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drawings/drawing2.xml" ContentType="application/vnd.openxmlformats-officedocument.drawing+xml"/>
  <Override PartName="/xl/tables/table5.xml" ContentType="application/vnd.openxmlformats-officedocument.spreadsheetml.table+xml"/>
  <Override PartName="/xl/drawings/drawing3.xml" ContentType="application/vnd.openxmlformats-officedocument.drawing+xml"/>
  <Override PartName="/xl/tables/table6.xml" ContentType="application/vnd.openxmlformats-officedocument.spreadsheetml.table+xml"/>
  <Override PartName="/xl/drawings/drawing4.xml" ContentType="application/vnd.openxmlformats-officedocument.drawing+xml"/>
  <Override PartName="/xl/tables/table7.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autoCompressPictures="0"/>
  <mc:AlternateContent xmlns:mc="http://schemas.openxmlformats.org/markup-compatibility/2006">
    <mc:Choice Requires="x15">
      <x15ac:absPath xmlns:x15ac="http://schemas.microsoft.com/office/spreadsheetml/2010/11/ac" url="/Users/msep2/Desktop/"/>
    </mc:Choice>
  </mc:AlternateContent>
  <xr:revisionPtr revIDLastSave="0" documentId="13_ncr:1_{D8A49855-EAE6-0D4B-8967-497C6B06B65C}" xr6:coauthVersionLast="41" xr6:coauthVersionMax="41" xr10:uidLastSave="{00000000-0000-0000-0000-000000000000}"/>
  <bookViews>
    <workbookView xWindow="-5340" yWindow="-21140" windowWidth="38400" windowHeight="21140" tabRatio="500" firstSheet="7" activeTab="9" xr2:uid="{00000000-000D-0000-FFFF-FFFF00000000}"/>
  </bookViews>
  <sheets>
    <sheet name="Animal hits n=178 SSv18.10.2016" sheetId="1" r:id="rId1"/>
    <sheet name="Human Hits n=292 SSv12.10.2016" sheetId="2" r:id="rId2"/>
    <sheet name="Variabelen bij Abstract screeni" sheetId="17" r:id="rId3"/>
    <sheet name="ANIMAL INCL" sheetId="19" r:id="rId4"/>
    <sheet name="HUMAN INCL" sheetId="18" r:id="rId5"/>
    <sheet name="INCLUDED papers" sheetId="20" r:id="rId6"/>
    <sheet name="Review PTSD Cognition FC Data " sheetId="22" r:id="rId7"/>
    <sheet name="Review PTSD FC &amp; Memory Data" sheetId="24" r:id="rId8"/>
    <sheet name="Review PTSD 7.11.17 MeFcOv comp" sheetId="26" r:id="rId9"/>
    <sheet name="Review PTSD Cognition Data Extr" sheetId="21" r:id="rId10"/>
    <sheet name="REVIEW VARs 10.10.2017.txt" sheetId="25" r:id="rId11"/>
    <sheet name="Cognitive measures human incl" sheetId="12" r:id="rId12"/>
    <sheet name="Rdoc SUbcomponents" sheetId="14" r:id="rId13"/>
  </sheets>
  <definedNames>
    <definedName name="_xlnm.Print_Area" localSheetId="10">'REVIEW VARs 10.10.2017.txt'!$B$1:$B$260</definedName>
    <definedName name="_xlnm.Print_Area" localSheetId="2">'Variabelen bij Abstract screeni'!$A$1:$E$23</definedName>
  </definedNames>
  <calcPr calcId="191029"/>
  <pivotCaches>
    <pivotCache cacheId="1" r:id="rId14"/>
  </pivotCaches>
  <extLst>
    <ext xmlns:mx="http://schemas.microsoft.com/office/mac/excel/2008/main" uri="{7523E5D3-25F3-A5E0-1632-64F254C22452}">
      <mx:ArchID Flags="4"/>
    </ext>
  </extLst>
</workbook>
</file>

<file path=xl/calcChain.xml><?xml version="1.0" encoding="utf-8"?>
<calcChain xmlns="http://schemas.openxmlformats.org/spreadsheetml/2006/main">
  <c r="DD436" i="21" l="1"/>
  <c r="DD435" i="21"/>
  <c r="CZ436" i="21"/>
  <c r="CZ435" i="21"/>
  <c r="DD673" i="21" l="1"/>
  <c r="CZ673" i="21"/>
  <c r="AP587" i="21" l="1"/>
  <c r="AP795" i="21"/>
  <c r="AP584" i="21"/>
  <c r="AP790" i="21"/>
  <c r="AP581" i="21"/>
  <c r="AP794" i="21"/>
  <c r="AP681" i="21"/>
  <c r="AP680" i="21"/>
  <c r="AP679" i="21"/>
  <c r="AP678" i="21"/>
  <c r="AP374" i="21"/>
  <c r="AP373" i="21"/>
  <c r="AP372" i="21"/>
  <c r="AP371" i="21"/>
  <c r="AP717" i="21"/>
  <c r="AP716" i="21"/>
  <c r="AP713" i="21"/>
  <c r="AP712" i="21"/>
  <c r="AP602" i="21"/>
  <c r="AP601" i="21"/>
  <c r="AP572" i="21"/>
  <c r="AP571" i="21"/>
  <c r="AP705" i="21"/>
  <c r="AP704" i="21"/>
  <c r="AP703" i="21"/>
  <c r="AP702" i="21"/>
  <c r="AP570" i="21"/>
  <c r="AP561" i="21"/>
  <c r="AP560" i="21"/>
  <c r="AP559" i="21"/>
  <c r="AP399" i="21"/>
  <c r="AP398" i="21"/>
  <c r="AP397" i="21"/>
  <c r="AO756" i="21"/>
  <c r="AO775" i="21"/>
  <c r="AO774" i="21"/>
  <c r="AO773" i="21"/>
  <c r="AO772" i="21"/>
  <c r="AO737" i="21"/>
  <c r="AO736" i="21"/>
  <c r="AO24" i="21"/>
  <c r="AO23" i="21"/>
  <c r="AO583" i="21"/>
  <c r="AO580" i="21"/>
  <c r="AO22" i="21"/>
  <c r="AO21" i="21"/>
  <c r="AO652" i="21"/>
  <c r="AO278" i="21"/>
  <c r="AO273" i="21"/>
  <c r="AO272" i="21"/>
  <c r="AO239" i="21"/>
  <c r="AO137" i="21"/>
  <c r="AO136" i="21"/>
  <c r="AO135" i="21"/>
  <c r="AO134" i="21"/>
  <c r="AO133" i="21"/>
  <c r="AO132" i="21"/>
  <c r="AO126" i="21"/>
  <c r="AO125" i="21"/>
  <c r="AO124" i="21"/>
  <c r="AO96" i="21"/>
  <c r="AO238" i="21"/>
  <c r="AO95" i="21"/>
  <c r="AO94" i="21"/>
  <c r="AO434" i="21"/>
  <c r="AO433" i="21"/>
  <c r="AO231" i="21"/>
  <c r="AO230" i="21"/>
  <c r="AO432" i="21"/>
  <c r="AO431" i="21"/>
  <c r="AO426" i="21"/>
  <c r="AO425" i="21"/>
  <c r="AO224" i="21"/>
  <c r="AO223" i="21"/>
  <c r="AO424" i="21"/>
  <c r="AO423" i="21"/>
  <c r="AP416" i="21"/>
  <c r="AP407" i="21"/>
  <c r="AP400" i="21"/>
  <c r="AO416" i="21"/>
  <c r="AO407" i="21"/>
  <c r="AO400" i="21"/>
  <c r="AO177" i="21"/>
  <c r="AO168" i="21"/>
  <c r="AO779" i="21"/>
  <c r="AO778" i="21"/>
  <c r="AO564" i="21"/>
  <c r="AO563" i="21"/>
  <c r="AN695" i="21"/>
  <c r="AN692" i="21"/>
  <c r="AN428" i="21"/>
  <c r="AN228" i="21"/>
  <c r="AN229" i="21"/>
  <c r="AN429" i="21"/>
  <c r="AN430" i="21"/>
  <c r="AN427" i="21"/>
  <c r="CY427" i="21"/>
  <c r="AN178" i="21"/>
  <c r="AN780" i="21"/>
  <c r="AN565" i="21"/>
  <c r="DE565" i="21"/>
  <c r="DE780" i="21"/>
  <c r="DA178" i="21"/>
  <c r="DE178" i="21"/>
  <c r="DA780" i="21"/>
  <c r="DA565" i="21"/>
  <c r="AN694" i="21" l="1"/>
  <c r="DC335" i="21"/>
  <c r="CY335" i="21"/>
  <c r="DC332" i="21"/>
  <c r="DC329" i="21"/>
  <c r="DC326" i="21"/>
  <c r="DC323" i="21"/>
  <c r="CY323" i="21"/>
  <c r="CY326" i="21"/>
  <c r="CY329" i="21"/>
  <c r="CY332" i="21"/>
  <c r="DE76" i="21" l="1"/>
  <c r="DE534" i="21"/>
  <c r="DE234" i="21"/>
  <c r="DA76" i="21"/>
  <c r="DA534" i="21"/>
  <c r="DA234" i="21"/>
  <c r="AN534" i="21"/>
  <c r="AN234" i="21"/>
  <c r="AN76" i="21"/>
  <c r="DE33" i="21"/>
  <c r="DA33" i="21"/>
  <c r="DA379" i="21"/>
  <c r="DE453" i="21"/>
  <c r="DE233" i="21"/>
  <c r="DA453" i="21"/>
  <c r="DA233" i="21"/>
  <c r="DE30" i="21"/>
  <c r="DE375" i="21"/>
  <c r="DA30" i="21"/>
  <c r="DA375" i="21"/>
  <c r="AN453" i="21"/>
  <c r="AN233" i="21"/>
  <c r="DK17" i="21" l="1"/>
  <c r="DO17" i="21"/>
  <c r="DW17" i="21"/>
  <c r="DK97" i="21"/>
  <c r="DO97" i="21"/>
  <c r="DW97" i="21"/>
  <c r="EA97" i="21"/>
  <c r="EG97" i="21"/>
  <c r="EK97" i="21"/>
  <c r="ES97" i="21"/>
  <c r="EW97" i="21"/>
  <c r="FC97" i="21"/>
  <c r="FG97" i="21"/>
  <c r="DK98" i="21"/>
  <c r="DK118" i="21"/>
  <c r="DO118" i="21"/>
  <c r="DK340" i="21"/>
  <c r="DO340" i="21"/>
  <c r="DW340" i="21"/>
  <c r="EA340" i="21"/>
  <c r="DK468" i="21"/>
  <c r="DK469" i="21"/>
  <c r="DK470" i="21"/>
  <c r="DK471" i="21"/>
  <c r="DK472" i="21"/>
  <c r="DK473" i="21"/>
  <c r="DK516" i="21"/>
  <c r="DO516" i="21"/>
  <c r="DW516" i="21"/>
  <c r="EA516" i="21"/>
  <c r="DK527" i="21"/>
  <c r="DO527" i="21"/>
  <c r="DK750" i="21"/>
  <c r="DK384" i="21"/>
  <c r="DO384" i="21"/>
  <c r="DW384" i="21"/>
  <c r="EA384" i="21"/>
  <c r="EG384" i="21"/>
  <c r="EK384" i="21"/>
  <c r="ES384" i="21"/>
  <c r="EW384" i="21"/>
  <c r="DK385" i="21"/>
  <c r="DO385" i="21"/>
  <c r="DW385" i="21"/>
  <c r="EA385" i="21"/>
  <c r="EG385" i="21"/>
  <c r="EK385" i="21"/>
  <c r="ES385" i="21"/>
  <c r="EW385" i="21"/>
  <c r="DK46" i="21"/>
  <c r="DO46" i="21"/>
  <c r="DK47" i="21"/>
  <c r="DO47" i="21"/>
  <c r="DW47" i="21"/>
  <c r="EA47" i="21"/>
  <c r="EG47" i="21"/>
  <c r="EK47" i="21"/>
  <c r="ES47" i="21"/>
  <c r="EW47" i="21"/>
  <c r="FC47" i="21"/>
  <c r="FG47" i="21"/>
  <c r="DK474" i="21"/>
  <c r="DO474" i="21"/>
  <c r="DW474" i="21"/>
  <c r="EA474" i="21"/>
  <c r="DK498" i="21"/>
  <c r="DO498" i="21"/>
  <c r="DK499" i="21"/>
  <c r="DO499" i="21"/>
  <c r="DK518" i="21"/>
  <c r="DO518" i="21"/>
  <c r="DW518" i="21"/>
  <c r="EA518" i="21"/>
  <c r="EG518" i="21"/>
  <c r="EK518" i="21"/>
  <c r="ES518" i="21"/>
  <c r="EW518" i="21"/>
  <c r="FC518" i="21"/>
  <c r="FG518" i="21"/>
  <c r="DK521" i="21"/>
  <c r="DO521" i="21"/>
  <c r="DW521" i="21"/>
  <c r="EA521" i="21"/>
  <c r="DK528" i="21"/>
  <c r="DO528" i="21"/>
  <c r="DW528" i="21"/>
  <c r="EG528" i="21"/>
  <c r="ES528" i="21"/>
  <c r="EW528" i="21"/>
  <c r="DK796" i="21"/>
  <c r="DO796" i="21"/>
  <c r="DW796" i="21"/>
  <c r="EA796" i="21"/>
  <c r="DK797" i="21"/>
  <c r="DO797" i="21"/>
  <c r="DW797" i="21"/>
  <c r="EA797" i="21"/>
  <c r="DK722" i="21"/>
  <c r="DK723" i="21"/>
  <c r="DK449" i="21"/>
  <c r="DO449" i="21"/>
  <c r="DW449" i="21"/>
  <c r="EA449" i="21"/>
  <c r="DI752" i="21"/>
  <c r="DJ752" i="21"/>
  <c r="DU752" i="21"/>
  <c r="DV752" i="21"/>
  <c r="DK115" i="21"/>
  <c r="DO115" i="21"/>
  <c r="DK743" i="21"/>
  <c r="DK793" i="21"/>
  <c r="DK243" i="21"/>
  <c r="DO243" i="21"/>
  <c r="DW243" i="21"/>
  <c r="EA243" i="21"/>
  <c r="DK148" i="21"/>
  <c r="DO148" i="21"/>
  <c r="DW148" i="21"/>
  <c r="EA148" i="21"/>
  <c r="EG148" i="21"/>
  <c r="EK148" i="21"/>
  <c r="ES148" i="21"/>
  <c r="EW148" i="21"/>
  <c r="DK149" i="21"/>
  <c r="DO149" i="21"/>
  <c r="DW149" i="21"/>
  <c r="EA149" i="21"/>
  <c r="EG149" i="21"/>
  <c r="EK149" i="21"/>
  <c r="ES149" i="21"/>
  <c r="EW149" i="21"/>
  <c r="EG249" i="21"/>
  <c r="EK249" i="21"/>
  <c r="EG250" i="21"/>
  <c r="EK250" i="21"/>
  <c r="EG251" i="21"/>
  <c r="EK251" i="21"/>
  <c r="DJ402" i="21"/>
  <c r="DN402" i="21"/>
  <c r="DV402" i="21"/>
  <c r="DZ402" i="21"/>
  <c r="EF402" i="21"/>
  <c r="EJ402" i="21"/>
  <c r="ER402" i="21"/>
  <c r="EV402" i="21"/>
  <c r="DA683" i="21"/>
  <c r="DE640" i="21" l="1"/>
  <c r="DE554" i="21"/>
  <c r="DE553" i="21"/>
  <c r="DE552" i="21"/>
  <c r="DE551" i="21"/>
  <c r="DE550" i="21"/>
  <c r="DE652" i="21"/>
  <c r="DE278" i="21"/>
  <c r="DE273" i="21"/>
  <c r="DE272" i="21"/>
  <c r="DE239" i="21"/>
  <c r="DE137" i="21"/>
  <c r="DE136" i="21"/>
  <c r="DE238" i="21"/>
  <c r="DE647" i="21"/>
  <c r="DE324" i="21"/>
  <c r="DE286" i="21"/>
  <c r="DE247" i="21"/>
  <c r="DE117" i="21"/>
  <c r="DE116" i="21"/>
  <c r="DE198" i="21"/>
  <c r="DE197" i="21"/>
  <c r="DE196" i="21"/>
  <c r="DE195" i="21"/>
  <c r="DE98" i="21"/>
  <c r="DD650" i="21"/>
  <c r="DD540" i="21"/>
  <c r="CZ650" i="21"/>
  <c r="DA640" i="21"/>
  <c r="DA554" i="21"/>
  <c r="DA553" i="21"/>
  <c r="DA552" i="21"/>
  <c r="DA551" i="21"/>
  <c r="DA550" i="21"/>
  <c r="DA653" i="21"/>
  <c r="DA652" i="21"/>
  <c r="DA278" i="21"/>
  <c r="DA273" i="21"/>
  <c r="DA647" i="21"/>
  <c r="DA286" i="21"/>
  <c r="DA247" i="21"/>
  <c r="DA117" i="21"/>
  <c r="DA116" i="21"/>
  <c r="DA115" i="21"/>
  <c r="DE85" i="21" l="1"/>
  <c r="AN691" i="21" l="1"/>
  <c r="AN693" i="21"/>
  <c r="AN690" i="21"/>
  <c r="AN378" i="21" l="1"/>
  <c r="AN282" i="21"/>
  <c r="AN465" i="21"/>
  <c r="AN464" i="21"/>
  <c r="AN165" i="21"/>
  <c r="AN367" i="21"/>
  <c r="AN461" i="21"/>
  <c r="AN562" i="21"/>
  <c r="AN569" i="21"/>
  <c r="DE144" i="21"/>
  <c r="DE143" i="21"/>
  <c r="DE142" i="21"/>
  <c r="DE141" i="21"/>
  <c r="DA144" i="21"/>
  <c r="DA143" i="21"/>
  <c r="DA142" i="21"/>
  <c r="DA141" i="21"/>
  <c r="AN158" i="21"/>
  <c r="DA741" i="21"/>
  <c r="DA735" i="21"/>
  <c r="DA734" i="21"/>
  <c r="DA733" i="21"/>
  <c r="DA731" i="21"/>
  <c r="DA730" i="21"/>
  <c r="DA729" i="21"/>
  <c r="DA727" i="21"/>
  <c r="DA726" i="21"/>
  <c r="DA725" i="21"/>
  <c r="DE725" i="21"/>
  <c r="DE727" i="21"/>
  <c r="DE729" i="21"/>
  <c r="DE730" i="21"/>
  <c r="DE731" i="21"/>
  <c r="DE733" i="21"/>
  <c r="DE734" i="21"/>
  <c r="DE735" i="21"/>
  <c r="DE741" i="21"/>
  <c r="DE773" i="21"/>
  <c r="DE775" i="21"/>
  <c r="AV759" i="21"/>
  <c r="AU759" i="21"/>
  <c r="AT759" i="21"/>
  <c r="AS759" i="21"/>
  <c r="AP759" i="21"/>
  <c r="AO759" i="21"/>
  <c r="AV758" i="21"/>
  <c r="AU758" i="21"/>
  <c r="AT758" i="21"/>
  <c r="AS758" i="21"/>
  <c r="AP758" i="21"/>
  <c r="AO758" i="21"/>
  <c r="AV568" i="21"/>
  <c r="AU568" i="21"/>
  <c r="AT568" i="21"/>
  <c r="AS568" i="21"/>
  <c r="AP568" i="21"/>
  <c r="AO568" i="21"/>
  <c r="AV762" i="21"/>
  <c r="AU762" i="21"/>
  <c r="AT762" i="21"/>
  <c r="AS762" i="21"/>
  <c r="AP762" i="21"/>
  <c r="AO762" i="21"/>
  <c r="AV761" i="21"/>
  <c r="AU761" i="21"/>
  <c r="AT761" i="21"/>
  <c r="AS761" i="21"/>
  <c r="AP761" i="21"/>
  <c r="AO761" i="21"/>
  <c r="AV760" i="21"/>
  <c r="AU760" i="21"/>
  <c r="AT760" i="21"/>
  <c r="AS760" i="21"/>
  <c r="AP760" i="21"/>
  <c r="AO760" i="21"/>
  <c r="AN742" i="21"/>
  <c r="AN741" i="21"/>
  <c r="AN773" i="21"/>
  <c r="AN774" i="21"/>
  <c r="AN775" i="21"/>
  <c r="AN772" i="21"/>
  <c r="DA775" i="21"/>
  <c r="DA773" i="21"/>
  <c r="AN735" i="21"/>
  <c r="AN734" i="21"/>
  <c r="AN733" i="21"/>
  <c r="AN731" i="21"/>
  <c r="AN730" i="21"/>
  <c r="AN729" i="21"/>
  <c r="AN727" i="21"/>
  <c r="AN726" i="21"/>
  <c r="AN725" i="21"/>
  <c r="AN786" i="21"/>
  <c r="AN785" i="21"/>
  <c r="AN715" i="21"/>
  <c r="AN784" i="21"/>
  <c r="AN783" i="21"/>
  <c r="AN643" i="21"/>
  <c r="AN782" i="21"/>
  <c r="AN718" i="21"/>
  <c r="AN701" i="21"/>
  <c r="AN781" i="21"/>
  <c r="AN769" i="21"/>
  <c r="AN768" i="21"/>
  <c r="AN711" i="21"/>
  <c r="AN710" i="21"/>
  <c r="DE788" i="21"/>
  <c r="DE26" i="21"/>
  <c r="DE682" i="21"/>
  <c r="DE586" i="21"/>
  <c r="DA788" i="21"/>
  <c r="DA26" i="21"/>
  <c r="DA682" i="21"/>
  <c r="DA586" i="21"/>
  <c r="AN788" i="21"/>
  <c r="AN26" i="21"/>
  <c r="AN682" i="21"/>
  <c r="AN586" i="21"/>
  <c r="AN22" i="21"/>
  <c r="AN580" i="21"/>
  <c r="AN583" i="21"/>
  <c r="AO674" i="21"/>
  <c r="AN674" i="21" s="1"/>
  <c r="AO675" i="21"/>
  <c r="AN675" i="21" s="1"/>
  <c r="AN23" i="21"/>
  <c r="AN24" i="21"/>
  <c r="AN736" i="21"/>
  <c r="AN737" i="21"/>
  <c r="AN21" i="21"/>
  <c r="DA737" i="21"/>
  <c r="DA736" i="21"/>
  <c r="DA24" i="21"/>
  <c r="DA23" i="21"/>
  <c r="DA675" i="21"/>
  <c r="DA674" i="21"/>
  <c r="DA583" i="21"/>
  <c r="DA580" i="21"/>
  <c r="DA22" i="21"/>
  <c r="DE737" i="21"/>
  <c r="DE736" i="21"/>
  <c r="DE24" i="21"/>
  <c r="DE23" i="21"/>
  <c r="DE675" i="21"/>
  <c r="DE674" i="21"/>
  <c r="DE583" i="21"/>
  <c r="DE580" i="21"/>
  <c r="DE22" i="21"/>
  <c r="DE21" i="21"/>
  <c r="DE745" i="21"/>
  <c r="DE651" i="21"/>
  <c r="DA745" i="21"/>
  <c r="DA651" i="21"/>
  <c r="DA21" i="21"/>
  <c r="AN666" i="21"/>
  <c r="AN745" i="21"/>
  <c r="AN651" i="21"/>
  <c r="AN346" i="21"/>
  <c r="AN345" i="21"/>
  <c r="AN344" i="21"/>
  <c r="AN343" i="21"/>
  <c r="AN163" i="21"/>
  <c r="AN640" i="21"/>
  <c r="AN638" i="21"/>
  <c r="AN636" i="21"/>
  <c r="AN175" i="21"/>
  <c r="AN283" i="21"/>
  <c r="AN266" i="21"/>
  <c r="AN274" i="21"/>
  <c r="AN291" i="21"/>
  <c r="AN633" i="21"/>
  <c r="AN408" i="21"/>
  <c r="AN632" i="21"/>
  <c r="AN631" i="21"/>
  <c r="AN537" i="21"/>
  <c r="AN630" i="21"/>
  <c r="AN157" i="21"/>
  <c r="AN360" i="21"/>
  <c r="AN593" i="21"/>
  <c r="AN592" i="21"/>
  <c r="AN591" i="21"/>
  <c r="DE211" i="21" l="1"/>
  <c r="DA211" i="21"/>
  <c r="AN587" i="21"/>
  <c r="AN795" i="21"/>
  <c r="AN790" i="21"/>
  <c r="AN581" i="21"/>
  <c r="AN794" i="21"/>
  <c r="AN584" i="21"/>
  <c r="DE587" i="21"/>
  <c r="DE584" i="21"/>
  <c r="DE581" i="21"/>
  <c r="DE795" i="21"/>
  <c r="DE790" i="21"/>
  <c r="DE794" i="21"/>
  <c r="DA587" i="21"/>
  <c r="DA795" i="21"/>
  <c r="DA584" i="21"/>
  <c r="DA790" i="21"/>
  <c r="DA581" i="21"/>
  <c r="DA794" i="21"/>
  <c r="AN764" i="21"/>
  <c r="AN467" i="21"/>
  <c r="AN567" i="21"/>
  <c r="AN53" i="21"/>
  <c r="AN155" i="21"/>
  <c r="AN362" i="21"/>
  <c r="AN650" i="21"/>
  <c r="DD649" i="21"/>
  <c r="DD648" i="21"/>
  <c r="DD541" i="21"/>
  <c r="CZ649" i="21"/>
  <c r="CZ648" i="21"/>
  <c r="CZ541" i="21"/>
  <c r="AO541" i="21"/>
  <c r="AN541" i="21" s="1"/>
  <c r="AO648" i="21"/>
  <c r="AN648" i="21" s="1"/>
  <c r="AO649" i="21"/>
  <c r="AN649" i="21" s="1"/>
  <c r="AO540" i="21"/>
  <c r="AN540" i="21" s="1"/>
  <c r="DE29" i="21"/>
  <c r="DE28" i="21"/>
  <c r="DA29" i="21"/>
  <c r="DA28" i="21"/>
  <c r="AP501" i="21"/>
  <c r="AP502" i="21"/>
  <c r="AP503" i="21"/>
  <c r="AP683" i="21"/>
  <c r="AP684" i="21"/>
  <c r="AP500" i="21"/>
  <c r="AO501" i="21"/>
  <c r="AO502" i="21"/>
  <c r="AO503" i="21"/>
  <c r="AO683" i="21"/>
  <c r="AO684" i="21"/>
  <c r="AO500" i="21"/>
  <c r="DA684" i="21"/>
  <c r="DA503" i="21"/>
  <c r="DA502" i="21"/>
  <c r="DA501" i="21"/>
  <c r="DE684" i="21"/>
  <c r="DE683" i="21"/>
  <c r="DE503" i="21"/>
  <c r="DE502" i="21"/>
  <c r="DE501" i="21"/>
  <c r="DE500" i="21"/>
  <c r="DE497" i="21"/>
  <c r="DA497" i="21"/>
  <c r="AN58" i="21"/>
  <c r="AN459" i="21"/>
  <c r="AN164" i="21"/>
  <c r="AN369" i="21"/>
  <c r="AN460" i="21"/>
  <c r="AN462" i="21"/>
  <c r="AN356" i="21"/>
  <c r="AN112" i="21"/>
  <c r="AP662" i="21"/>
  <c r="AP663" i="21"/>
  <c r="AP664" i="21"/>
  <c r="AP698" i="21"/>
  <c r="AP699" i="21"/>
  <c r="AP653" i="21"/>
  <c r="AO662" i="21"/>
  <c r="AO663" i="21"/>
  <c r="AO664" i="21"/>
  <c r="AO698" i="21"/>
  <c r="AO699" i="21"/>
  <c r="AO653" i="21"/>
  <c r="DE699" i="21"/>
  <c r="DE698" i="21"/>
  <c r="DE664" i="21"/>
  <c r="DE663" i="21"/>
  <c r="DE662" i="21"/>
  <c r="DA699" i="21"/>
  <c r="DA698" i="21"/>
  <c r="DA664" i="21"/>
  <c r="DA663" i="21"/>
  <c r="DA662" i="21"/>
  <c r="AN652" i="21"/>
  <c r="AN278" i="21"/>
  <c r="AN273" i="21"/>
  <c r="AN272" i="21"/>
  <c r="AN239" i="21"/>
  <c r="AN238" i="21"/>
  <c r="DA272" i="21"/>
  <c r="DA239" i="21"/>
  <c r="DA238" i="21"/>
  <c r="AN137" i="21"/>
  <c r="AN136" i="21"/>
  <c r="AN135" i="21"/>
  <c r="AN134" i="21"/>
  <c r="AN133" i="21"/>
  <c r="AN95" i="21"/>
  <c r="DE135" i="21"/>
  <c r="DE134" i="21"/>
  <c r="DE133" i="21"/>
  <c r="DE95" i="21"/>
  <c r="DA137" i="21"/>
  <c r="DA136" i="21"/>
  <c r="DA135" i="21"/>
  <c r="DA134" i="21"/>
  <c r="DA133" i="21"/>
  <c r="DA95" i="21"/>
  <c r="AN96" i="21"/>
  <c r="AN124" i="21"/>
  <c r="AN125" i="21"/>
  <c r="AN126" i="21"/>
  <c r="AN132" i="21"/>
  <c r="AN94" i="21"/>
  <c r="DA132" i="21"/>
  <c r="DA126" i="21"/>
  <c r="DA125" i="21"/>
  <c r="DE132" i="21"/>
  <c r="DE126" i="21"/>
  <c r="DE125" i="21"/>
  <c r="DE124" i="21"/>
  <c r="DE96" i="21"/>
  <c r="DE94" i="21"/>
  <c r="DA124" i="21"/>
  <c r="DA96" i="21"/>
  <c r="DE413" i="21"/>
  <c r="DE688" i="21"/>
  <c r="DA415" i="21"/>
  <c r="DA720" i="21"/>
  <c r="DA413" i="21"/>
  <c r="AN415" i="21"/>
  <c r="AN720" i="21"/>
  <c r="AN413" i="21"/>
  <c r="AN679" i="21"/>
  <c r="AN680" i="21"/>
  <c r="AN681" i="21"/>
  <c r="AN678" i="21"/>
  <c r="DE679" i="21"/>
  <c r="DE678" i="21"/>
  <c r="DA688" i="21"/>
  <c r="DA681" i="21"/>
  <c r="DA680" i="21"/>
  <c r="DA679" i="21"/>
  <c r="AN662" i="21" l="1"/>
  <c r="AN684" i="21"/>
  <c r="AN501" i="21"/>
  <c r="AN503" i="21"/>
  <c r="AN683" i="21"/>
  <c r="AN502" i="21"/>
  <c r="AN500" i="21"/>
  <c r="AN699" i="21"/>
  <c r="AN664" i="21"/>
  <c r="AN698" i="21"/>
  <c r="AN663" i="21"/>
  <c r="AN653" i="21"/>
  <c r="DE351" i="21"/>
  <c r="DE279" i="21"/>
  <c r="DA351" i="21"/>
  <c r="AN351" i="21"/>
  <c r="DE237" i="21"/>
  <c r="DA237" i="21"/>
  <c r="DD406" i="21"/>
  <c r="DD405" i="21"/>
  <c r="DD404" i="21"/>
  <c r="DD403" i="21"/>
  <c r="CZ406" i="21"/>
  <c r="CZ405" i="21"/>
  <c r="CZ404" i="21"/>
  <c r="CZ403" i="21"/>
  <c r="AN406" i="21"/>
  <c r="AN405" i="21"/>
  <c r="AN404" i="21"/>
  <c r="AN403" i="21"/>
  <c r="AN93" i="21"/>
  <c r="AN236" i="21"/>
  <c r="AN92" i="21"/>
  <c r="AP646" i="21"/>
  <c r="AO646" i="21"/>
  <c r="AN374" i="21"/>
  <c r="AN572" i="21"/>
  <c r="AN601" i="21"/>
  <c r="AN560" i="21"/>
  <c r="AN561" i="21"/>
  <c r="AN713" i="21"/>
  <c r="AN716" i="21"/>
  <c r="AN703" i="21"/>
  <c r="AN704" i="21"/>
  <c r="DA447" i="21"/>
  <c r="DA446" i="21"/>
  <c r="DA439" i="21"/>
  <c r="DA438" i="21"/>
  <c r="DE447" i="21"/>
  <c r="DE446" i="21"/>
  <c r="DE439" i="21"/>
  <c r="DE438" i="21"/>
  <c r="AN350" i="21"/>
  <c r="AN349" i="21"/>
  <c r="AN348" i="21"/>
  <c r="DD545" i="21"/>
  <c r="DD341" i="21"/>
  <c r="DD290" i="21"/>
  <c r="DD289" i="21"/>
  <c r="DD288" i="21"/>
  <c r="CZ545" i="21"/>
  <c r="CZ341" i="21"/>
  <c r="CZ290" i="21"/>
  <c r="CZ289" i="21"/>
  <c r="CZ288" i="21"/>
  <c r="CZ287" i="21"/>
  <c r="AP545" i="21"/>
  <c r="AO545" i="21"/>
  <c r="AP341" i="21"/>
  <c r="AO341" i="21"/>
  <c r="AP290" i="21"/>
  <c r="AO290" i="21"/>
  <c r="AP289" i="21"/>
  <c r="AO289" i="21"/>
  <c r="AP288" i="21"/>
  <c r="AO288" i="21"/>
  <c r="DE334" i="21"/>
  <c r="DE333" i="21"/>
  <c r="DE331" i="21"/>
  <c r="DE330" i="21"/>
  <c r="DE328" i="21"/>
  <c r="DE327" i="21"/>
  <c r="DE325" i="21"/>
  <c r="DE322" i="21"/>
  <c r="DE321" i="21"/>
  <c r="DE320" i="21"/>
  <c r="DE319" i="21"/>
  <c r="DA334" i="21"/>
  <c r="DA333" i="21"/>
  <c r="DA331" i="21"/>
  <c r="DA330" i="21"/>
  <c r="DA328" i="21"/>
  <c r="DA327" i="21"/>
  <c r="DA325" i="21"/>
  <c r="DA324" i="21"/>
  <c r="DA322" i="21"/>
  <c r="DA321" i="21"/>
  <c r="DA320" i="21"/>
  <c r="DE267" i="21"/>
  <c r="DE382" i="21"/>
  <c r="DE389" i="21"/>
  <c r="DE263" i="21"/>
  <c r="DE262" i="21"/>
  <c r="DE261" i="21"/>
  <c r="DE260" i="21"/>
  <c r="DE259" i="21"/>
  <c r="DE258" i="21"/>
  <c r="DE257" i="21"/>
  <c r="DE256" i="21"/>
  <c r="DE667" i="21"/>
  <c r="DA267" i="21"/>
  <c r="DA382" i="21"/>
  <c r="DA389" i="21"/>
  <c r="DA263" i="21"/>
  <c r="DA262" i="21"/>
  <c r="DA261" i="21"/>
  <c r="DA260" i="21"/>
  <c r="DA259" i="21"/>
  <c r="DA258" i="21"/>
  <c r="DA257" i="21"/>
  <c r="DA256" i="21"/>
  <c r="DA667" i="21"/>
  <c r="AN389" i="21"/>
  <c r="AN263" i="21"/>
  <c r="AN262" i="21"/>
  <c r="AN261" i="21"/>
  <c r="AN260" i="21"/>
  <c r="AN259" i="21"/>
  <c r="AN258" i="21"/>
  <c r="AN257" i="21"/>
  <c r="AN256" i="21"/>
  <c r="AN667" i="21"/>
  <c r="AN267" i="21"/>
  <c r="AN382" i="21"/>
  <c r="AN373" i="21" l="1"/>
  <c r="AN372" i="21"/>
  <c r="AN717" i="21"/>
  <c r="AN705" i="21"/>
  <c r="AN559" i="21"/>
  <c r="AN602" i="21"/>
  <c r="AN570" i="21"/>
  <c r="AN712" i="21"/>
  <c r="AN702" i="21"/>
  <c r="AN286" i="21"/>
  <c r="AN247" i="21"/>
  <c r="AN117" i="21"/>
  <c r="AN116" i="21"/>
  <c r="DE624" i="21"/>
  <c r="DE620" i="21"/>
  <c r="DE281" i="21"/>
  <c r="DA624" i="21"/>
  <c r="DA620" i="21"/>
  <c r="DA281" i="21"/>
  <c r="AN624" i="21"/>
  <c r="AN620" i="21"/>
  <c r="DE251" i="21"/>
  <c r="DE250" i="21"/>
  <c r="DE249" i="21"/>
  <c r="DA251" i="21"/>
  <c r="DA250" i="21"/>
  <c r="DA249" i="21"/>
  <c r="AN251" i="21"/>
  <c r="AN250" i="21"/>
  <c r="AN249" i="21"/>
  <c r="CY431" i="21"/>
  <c r="AN432" i="21"/>
  <c r="AN424" i="21"/>
  <c r="AN431" i="21"/>
  <c r="AN423" i="21"/>
  <c r="AN434" i="21"/>
  <c r="AN426" i="21"/>
  <c r="AN433" i="21"/>
  <c r="AN425" i="21"/>
  <c r="AN231" i="21"/>
  <c r="AN224" i="21"/>
  <c r="AN230" i="21"/>
  <c r="AN223" i="21"/>
  <c r="AO227" i="21"/>
  <c r="AN227" i="21" s="1"/>
  <c r="AO218" i="21"/>
  <c r="AN218" i="21" s="1"/>
  <c r="AO217" i="21"/>
  <c r="AN217" i="21" s="1"/>
  <c r="AO226" i="21"/>
  <c r="AN226" i="21" s="1"/>
  <c r="AO225" i="21"/>
  <c r="AN225" i="21" s="1"/>
  <c r="AO216" i="21"/>
  <c r="AN216" i="21" s="1"/>
  <c r="DD422" i="21" l="1"/>
  <c r="DC422" i="21"/>
  <c r="DC432" i="21" s="1"/>
  <c r="CZ220" i="21"/>
  <c r="CY220" i="21"/>
  <c r="CZ219" i="21"/>
  <c r="CY219" i="21"/>
  <c r="DE204" i="21"/>
  <c r="DE203" i="21"/>
  <c r="DE202" i="21"/>
  <c r="DE201" i="21"/>
  <c r="DE200" i="21"/>
  <c r="DA204" i="21"/>
  <c r="DA203" i="21"/>
  <c r="DA202" i="21"/>
  <c r="DA201" i="21"/>
  <c r="DA200" i="21"/>
  <c r="AP204" i="21"/>
  <c r="AP203" i="21"/>
  <c r="AP202" i="21"/>
  <c r="AP201" i="21"/>
  <c r="AP200" i="21"/>
  <c r="DE194" i="21" l="1"/>
  <c r="DA198" i="21"/>
  <c r="DA197" i="21"/>
  <c r="DA196" i="21"/>
  <c r="DA195" i="21"/>
  <c r="DA194" i="21"/>
  <c r="AP198" i="21"/>
  <c r="AP197" i="21"/>
  <c r="AP196" i="21"/>
  <c r="AP195" i="21"/>
  <c r="AP194" i="21"/>
  <c r="DE192" i="21"/>
  <c r="DE191" i="21"/>
  <c r="DE190" i="21"/>
  <c r="DE189" i="21"/>
  <c r="DE188" i="21"/>
  <c r="DA192" i="21"/>
  <c r="DA191" i="21"/>
  <c r="DA190" i="21"/>
  <c r="DA189" i="21"/>
  <c r="DA188" i="21"/>
  <c r="DA187" i="21"/>
  <c r="AP192" i="21"/>
  <c r="AP191" i="21"/>
  <c r="AP190" i="21"/>
  <c r="AP189" i="21"/>
  <c r="AP188" i="21"/>
  <c r="AN183" i="21" l="1"/>
  <c r="AN182" i="21"/>
  <c r="AN113" i="21"/>
  <c r="AN635" i="21"/>
  <c r="AN566" i="21"/>
  <c r="AN706" i="21"/>
  <c r="AN708" i="21"/>
  <c r="AN707" i="21"/>
  <c r="AN160" i="21"/>
  <c r="AN111" i="21"/>
  <c r="AN110" i="21"/>
  <c r="AN357" i="21"/>
  <c r="AN358" i="21"/>
  <c r="DE151" i="21"/>
  <c r="DA151" i="21"/>
  <c r="AN420" i="21"/>
  <c r="AN419" i="21"/>
  <c r="AN418" i="21"/>
  <c r="AN417" i="21"/>
  <c r="DE420" i="21"/>
  <c r="DE419" i="21"/>
  <c r="DE418" i="21"/>
  <c r="DE417" i="21"/>
  <c r="DA420" i="21"/>
  <c r="DA419" i="21"/>
  <c r="DA418" i="21"/>
  <c r="DA417" i="21"/>
  <c r="AN215" i="21"/>
  <c r="AN214" i="21"/>
  <c r="AN213" i="21"/>
  <c r="AN212" i="21"/>
  <c r="DA82" i="21"/>
  <c r="DA81" i="21"/>
  <c r="DA80" i="21"/>
  <c r="DA69" i="21"/>
  <c r="DA68" i="21"/>
  <c r="DA67" i="21"/>
  <c r="DA66" i="21"/>
  <c r="DA65" i="21"/>
  <c r="DA215" i="21"/>
  <c r="DA214" i="21"/>
  <c r="DA213" i="21"/>
  <c r="DA212" i="21"/>
  <c r="DE82" i="21"/>
  <c r="DE81" i="21"/>
  <c r="DE80" i="21"/>
  <c r="DE69" i="21"/>
  <c r="DE68" i="21"/>
  <c r="DE67" i="21"/>
  <c r="DE66" i="21"/>
  <c r="DE65" i="21"/>
  <c r="DE215" i="21"/>
  <c r="DE214" i="21"/>
  <c r="DE213" i="21"/>
  <c r="DE212" i="21"/>
  <c r="AN82" i="21"/>
  <c r="AN80" i="21"/>
  <c r="AN68" i="21"/>
  <c r="AN66" i="21"/>
  <c r="DE416" i="21"/>
  <c r="DE407" i="21"/>
  <c r="DE400" i="21"/>
  <c r="DE115" i="21"/>
  <c r="DE392" i="21"/>
  <c r="DA416" i="21"/>
  <c r="DA407" i="21"/>
  <c r="DA392" i="21"/>
  <c r="AP391" i="21"/>
  <c r="AP392" i="21"/>
  <c r="AP115" i="21"/>
  <c r="AO391" i="21"/>
  <c r="AO392" i="21"/>
  <c r="AO115" i="21"/>
  <c r="DE391" i="21"/>
  <c r="DA391" i="21"/>
  <c r="AN159" i="21"/>
  <c r="DE504" i="21"/>
  <c r="DE414" i="21"/>
  <c r="DE412" i="21"/>
  <c r="DA504" i="21"/>
  <c r="DA414" i="21"/>
  <c r="AN108" i="21"/>
  <c r="AN109" i="21"/>
  <c r="AN355" i="21"/>
  <c r="AN176" i="21"/>
  <c r="AN368" i="21"/>
  <c r="AN504" i="21"/>
  <c r="AN414" i="21"/>
  <c r="DA64" i="21"/>
  <c r="DA20" i="21"/>
  <c r="DA19" i="21"/>
  <c r="DA7" i="21"/>
  <c r="DE64" i="21"/>
  <c r="DE20" i="21"/>
  <c r="DE19" i="21"/>
  <c r="DE6" i="21"/>
  <c r="DA6" i="21"/>
  <c r="AN64" i="21"/>
  <c r="AN20" i="21"/>
  <c r="AN19" i="21"/>
  <c r="AN7" i="21"/>
  <c r="DA84" i="21"/>
  <c r="DA399" i="21"/>
  <c r="DA398" i="21"/>
  <c r="DE84" i="21"/>
  <c r="DE399" i="21"/>
  <c r="DE398" i="21"/>
  <c r="DE79" i="21"/>
  <c r="DA85" i="21"/>
  <c r="DA79" i="21"/>
  <c r="AN416" i="21" l="1"/>
  <c r="AN407" i="21"/>
  <c r="AN400" i="21"/>
  <c r="AP79" i="21"/>
  <c r="AO79" i="21"/>
  <c r="AP85" i="21"/>
  <c r="AO85" i="21"/>
  <c r="DA210" i="21"/>
  <c r="DA380" i="21"/>
  <c r="DA377" i="21"/>
  <c r="DE210" i="21"/>
  <c r="DE380" i="21"/>
  <c r="DE377" i="21"/>
  <c r="DE147" i="21"/>
  <c r="AN210" i="21"/>
  <c r="AN380" i="21"/>
  <c r="AN377" i="21"/>
  <c r="DE177" i="21"/>
  <c r="DE168" i="21"/>
  <c r="DE779" i="21"/>
  <c r="DE778" i="21"/>
  <c r="DA177" i="21"/>
  <c r="DA168" i="21"/>
  <c r="DA779" i="21"/>
  <c r="DA778" i="21"/>
  <c r="AN177" i="21"/>
  <c r="AN168" i="21"/>
  <c r="AN779" i="21"/>
  <c r="AN778" i="21"/>
  <c r="DA253" i="21"/>
  <c r="DA626" i="21"/>
  <c r="DE50" i="21"/>
  <c r="DE564" i="21"/>
  <c r="AN564" i="21"/>
  <c r="AN563" i="21"/>
  <c r="DA564" i="21"/>
  <c r="AO50" i="21"/>
  <c r="AN50" i="21" s="1"/>
  <c r="AO49" i="21"/>
  <c r="AN49" i="21" s="1"/>
  <c r="DA50" i="21"/>
  <c r="DE32" i="21" l="1"/>
  <c r="DE31" i="21"/>
  <c r="AP32" i="21"/>
  <c r="AN32" i="21" s="1"/>
  <c r="AP31" i="21"/>
  <c r="AN31" i="21" s="1"/>
  <c r="DA32" i="21"/>
  <c r="DA31" i="21"/>
  <c r="AN211" i="21"/>
  <c r="DE7" i="21"/>
  <c r="AN6" i="21"/>
  <c r="AN208" i="21"/>
  <c r="AN209" i="21"/>
  <c r="AN147" i="21"/>
  <c r="AN625" i="21"/>
  <c r="AN99" i="21"/>
  <c r="AN317" i="21"/>
  <c r="AN621" i="21"/>
  <c r="AN100" i="21"/>
  <c r="DE101" i="21"/>
  <c r="DE621" i="21"/>
  <c r="DE317" i="21"/>
  <c r="DE99" i="21"/>
  <c r="DE100" i="21"/>
  <c r="DE625" i="21"/>
  <c r="DA621" i="21"/>
  <c r="DA317" i="21"/>
  <c r="DA99" i="21"/>
  <c r="DA625" i="21"/>
  <c r="AN255" i="21"/>
  <c r="AN264" i="21"/>
  <c r="AN627" i="21"/>
  <c r="DA100" i="21"/>
  <c r="DA255" i="21"/>
  <c r="DA627" i="21"/>
  <c r="DE253" i="21"/>
  <c r="DE627" i="21"/>
  <c r="DE255" i="21"/>
  <c r="AN626" i="21"/>
  <c r="AN253" i="21"/>
  <c r="AN101" i="21"/>
  <c r="DA700" i="21"/>
  <c r="DE700" i="21"/>
  <c r="AN700" i="21"/>
  <c r="DE400" i="26"/>
  <c r="DA400" i="26"/>
  <c r="CS400" i="26"/>
  <c r="CO400" i="26"/>
  <c r="CI400" i="26"/>
  <c r="CE400" i="26"/>
  <c r="DE399" i="26"/>
  <c r="DA399" i="26"/>
  <c r="CS399" i="26"/>
  <c r="CO399" i="26"/>
  <c r="CI399" i="26"/>
  <c r="CE399" i="26"/>
  <c r="CO398" i="26"/>
  <c r="CI398" i="26"/>
  <c r="CE398" i="26"/>
  <c r="AM398" i="26"/>
  <c r="AM396" i="26"/>
  <c r="AM395" i="26"/>
  <c r="AM394" i="26"/>
  <c r="AM393" i="26"/>
  <c r="AM391" i="26"/>
  <c r="EA390" i="26"/>
  <c r="DW390" i="26"/>
  <c r="DO390" i="26"/>
  <c r="DK390" i="26"/>
  <c r="DE390" i="26"/>
  <c r="DA390" i="26"/>
  <c r="CS390" i="26"/>
  <c r="CO390" i="26"/>
  <c r="CI390" i="26"/>
  <c r="CE390" i="26"/>
  <c r="AU389" i="26"/>
  <c r="AT389" i="26"/>
  <c r="AS389" i="26"/>
  <c r="AR389" i="26"/>
  <c r="AO389" i="26"/>
  <c r="AN389" i="26"/>
  <c r="AU388" i="26"/>
  <c r="AT388" i="26"/>
  <c r="AS388" i="26"/>
  <c r="AR388" i="26"/>
  <c r="AO388" i="26"/>
  <c r="AN388" i="26"/>
  <c r="AU387" i="26"/>
  <c r="AT387" i="26"/>
  <c r="AS387" i="26"/>
  <c r="AR387" i="26"/>
  <c r="AO387" i="26"/>
  <c r="AN387" i="26"/>
  <c r="AU386" i="26"/>
  <c r="AT386" i="26"/>
  <c r="AS386" i="26"/>
  <c r="AR386" i="26"/>
  <c r="AO386" i="26"/>
  <c r="AN386" i="26"/>
  <c r="CO385" i="26"/>
  <c r="CI385" i="26"/>
  <c r="CE385" i="26"/>
  <c r="CO384" i="26"/>
  <c r="CI384" i="26"/>
  <c r="CE384" i="26"/>
  <c r="AM384" i="26"/>
  <c r="CO383" i="26"/>
  <c r="CI383" i="26"/>
  <c r="CE383" i="26"/>
  <c r="AM383" i="26"/>
  <c r="CO382" i="26"/>
  <c r="CI382" i="26"/>
  <c r="CE382" i="26"/>
  <c r="AM382" i="26"/>
  <c r="CS381" i="26"/>
  <c r="CO381" i="26"/>
  <c r="CI381" i="26"/>
  <c r="CE381" i="26"/>
  <c r="AM381" i="26"/>
  <c r="AM379" i="26"/>
  <c r="AM378" i="26"/>
  <c r="AM377" i="26"/>
  <c r="AM376" i="26"/>
  <c r="AM372" i="26"/>
  <c r="CI371" i="26"/>
  <c r="CE371" i="26"/>
  <c r="CI370" i="26"/>
  <c r="CE370" i="26"/>
  <c r="AM370" i="26"/>
  <c r="FB368" i="26"/>
  <c r="EV368" i="26"/>
  <c r="ER368" i="26"/>
  <c r="EK368" i="26"/>
  <c r="EG368" i="26"/>
  <c r="EA368" i="26"/>
  <c r="DW368" i="26"/>
  <c r="DO368" i="26"/>
  <c r="DK368" i="26"/>
  <c r="DE368" i="26"/>
  <c r="DA368" i="26"/>
  <c r="CS368" i="26"/>
  <c r="CO368" i="26"/>
  <c r="CI368" i="26"/>
  <c r="CE368" i="26"/>
  <c r="AM368" i="26"/>
  <c r="EA367" i="26"/>
  <c r="DW367" i="26"/>
  <c r="DO367" i="26"/>
  <c r="DK367" i="26"/>
  <c r="DE367" i="26"/>
  <c r="DA367" i="26"/>
  <c r="CS367" i="26"/>
  <c r="CO367" i="26"/>
  <c r="CI367" i="26"/>
  <c r="CE367" i="26"/>
  <c r="AM367" i="26"/>
  <c r="AM365" i="26"/>
  <c r="CI364" i="26"/>
  <c r="CE364" i="26"/>
  <c r="AM364" i="26"/>
  <c r="CI363" i="26"/>
  <c r="CE363" i="26"/>
  <c r="AM363" i="26"/>
  <c r="CI362" i="26"/>
  <c r="CE362" i="26"/>
  <c r="AM362" i="26"/>
  <c r="EK357" i="26"/>
  <c r="EG357" i="26"/>
  <c r="AM357" i="26"/>
  <c r="CS356" i="26"/>
  <c r="CO356" i="26"/>
  <c r="CI356" i="26"/>
  <c r="CE356" i="26"/>
  <c r="AM356" i="26"/>
  <c r="AM355" i="26"/>
  <c r="CS353" i="26"/>
  <c r="CO353" i="26"/>
  <c r="CI353" i="26"/>
  <c r="CE353" i="26"/>
  <c r="AM353" i="26"/>
  <c r="AM352" i="26"/>
  <c r="AM351" i="26"/>
  <c r="AM350" i="26"/>
  <c r="AM344" i="26"/>
  <c r="AM343" i="26"/>
  <c r="AO342" i="26"/>
  <c r="AM341" i="26"/>
  <c r="AM340" i="26"/>
  <c r="AM338" i="26"/>
  <c r="AM337" i="26"/>
  <c r="EK333" i="26"/>
  <c r="EG333" i="26"/>
  <c r="EA333" i="26"/>
  <c r="DW333" i="26"/>
  <c r="DO333" i="26"/>
  <c r="DK333" i="26"/>
  <c r="DE333" i="26"/>
  <c r="DA333" i="26"/>
  <c r="CS333" i="26"/>
  <c r="CO333" i="26"/>
  <c r="CI333" i="26"/>
  <c r="CE333" i="26"/>
  <c r="DJ331" i="26"/>
  <c r="DD331" i="26"/>
  <c r="CZ331" i="26"/>
  <c r="CN331" i="26"/>
  <c r="CH331" i="26"/>
  <c r="CD331" i="26"/>
  <c r="AM331" i="26"/>
  <c r="CR330" i="26"/>
  <c r="CN330" i="26"/>
  <c r="CH330" i="26"/>
  <c r="CD330" i="26"/>
  <c r="AM330" i="26"/>
  <c r="DE329" i="26"/>
  <c r="DA329" i="26"/>
  <c r="CS329" i="26"/>
  <c r="CO329" i="26"/>
  <c r="CI329" i="26"/>
  <c r="CE329" i="26"/>
  <c r="CI326" i="26"/>
  <c r="CE326" i="26"/>
  <c r="AM326" i="26"/>
  <c r="CI325" i="26"/>
  <c r="CE325" i="26"/>
  <c r="AM325" i="26"/>
  <c r="EA324" i="26"/>
  <c r="DW324" i="26"/>
  <c r="DK324" i="26"/>
  <c r="DA324" i="26"/>
  <c r="CS324" i="26"/>
  <c r="CO324" i="26"/>
  <c r="CI324" i="26"/>
  <c r="CE324" i="26"/>
  <c r="AM324" i="26"/>
  <c r="CS323" i="26"/>
  <c r="CO323" i="26"/>
  <c r="CI323" i="26"/>
  <c r="CE323" i="26"/>
  <c r="AM323" i="26"/>
  <c r="AM322" i="26"/>
  <c r="AM321" i="26"/>
  <c r="AM320" i="26"/>
  <c r="AM319" i="26"/>
  <c r="AM318" i="26"/>
  <c r="DE317" i="26"/>
  <c r="DA317" i="26"/>
  <c r="CS317" i="26"/>
  <c r="CO317" i="26"/>
  <c r="CI317" i="26"/>
  <c r="CE317" i="26"/>
  <c r="AM317" i="26"/>
  <c r="AM316" i="26"/>
  <c r="AM315" i="26"/>
  <c r="EK314" i="26"/>
  <c r="EG314" i="26"/>
  <c r="EA314" i="26"/>
  <c r="DW314" i="26"/>
  <c r="DO314" i="26"/>
  <c r="DK314" i="26"/>
  <c r="DE314" i="26"/>
  <c r="DA314" i="26"/>
  <c r="CS314" i="26"/>
  <c r="CO314" i="26"/>
  <c r="CI314" i="26"/>
  <c r="CE314" i="26"/>
  <c r="AM314" i="26"/>
  <c r="DE313" i="26"/>
  <c r="DA313" i="26"/>
  <c r="CS313" i="26"/>
  <c r="CO313" i="26"/>
  <c r="CI313" i="26"/>
  <c r="CE313" i="26"/>
  <c r="CI312" i="26"/>
  <c r="CE312" i="26"/>
  <c r="AM312" i="26"/>
  <c r="CI311" i="26"/>
  <c r="CE311" i="26"/>
  <c r="AM311" i="26"/>
  <c r="CI310" i="26"/>
  <c r="CE310" i="26"/>
  <c r="AM310" i="26"/>
  <c r="CI309" i="26"/>
  <c r="CE309" i="26"/>
  <c r="AM309" i="26"/>
  <c r="CI308" i="26"/>
  <c r="CE308" i="26"/>
  <c r="AM308" i="26"/>
  <c r="CI307" i="26"/>
  <c r="CE307" i="26"/>
  <c r="AM307" i="26"/>
  <c r="CI306" i="26"/>
  <c r="CE306" i="26"/>
  <c r="AM306" i="26"/>
  <c r="CI305" i="26"/>
  <c r="CE305" i="26"/>
  <c r="AM305" i="26"/>
  <c r="CI304" i="26"/>
  <c r="CE304" i="26"/>
  <c r="AM304" i="26"/>
  <c r="CI303" i="26"/>
  <c r="CE303" i="26"/>
  <c r="AM303" i="26"/>
  <c r="EK302" i="26"/>
  <c r="EG302" i="26"/>
  <c r="EA302" i="26"/>
  <c r="DW302" i="26"/>
  <c r="DO302" i="26"/>
  <c r="DK302" i="26"/>
  <c r="DE302" i="26"/>
  <c r="DA302" i="26"/>
  <c r="CS302" i="26"/>
  <c r="CO302" i="26"/>
  <c r="CI302" i="26"/>
  <c r="CE302" i="26"/>
  <c r="CS301" i="26"/>
  <c r="CO301" i="26"/>
  <c r="CI301" i="26"/>
  <c r="CE301" i="26"/>
  <c r="AM301" i="26"/>
  <c r="CS300" i="26"/>
  <c r="CO300" i="26"/>
  <c r="CI300" i="26"/>
  <c r="CE300" i="26"/>
  <c r="AM300" i="26"/>
  <c r="CS299" i="26"/>
  <c r="CO299" i="26"/>
  <c r="CI299" i="26"/>
  <c r="CE299" i="26"/>
  <c r="CI296" i="26"/>
  <c r="CE296" i="26"/>
  <c r="DE295" i="26"/>
  <c r="DA295" i="26"/>
  <c r="CS295" i="26"/>
  <c r="CO295" i="26"/>
  <c r="CI295" i="26"/>
  <c r="CE295" i="26"/>
  <c r="CO294" i="26"/>
  <c r="CI294" i="26"/>
  <c r="CE294" i="26"/>
  <c r="CO293" i="26"/>
  <c r="CI293" i="26"/>
  <c r="CE293" i="26"/>
  <c r="CO292" i="26"/>
  <c r="CI292" i="26"/>
  <c r="CE292" i="26"/>
  <c r="CO291" i="26"/>
  <c r="CI291" i="26"/>
  <c r="CE291" i="26"/>
  <c r="CO290" i="26"/>
  <c r="CI290" i="26"/>
  <c r="CE290" i="26"/>
  <c r="CO289" i="26"/>
  <c r="CI289" i="26"/>
  <c r="CE289" i="26"/>
  <c r="AM288" i="26"/>
  <c r="AM287" i="26"/>
  <c r="AM286" i="26"/>
  <c r="AM285" i="26"/>
  <c r="CI283" i="26"/>
  <c r="CE283" i="26"/>
  <c r="AM283" i="26"/>
  <c r="DE280" i="26"/>
  <c r="DA280" i="26"/>
  <c r="CS280" i="26"/>
  <c r="CO280" i="26"/>
  <c r="CI280" i="26"/>
  <c r="CE280" i="26"/>
  <c r="AM280" i="26"/>
  <c r="CS279" i="26"/>
  <c r="CO279" i="26"/>
  <c r="CI279" i="26"/>
  <c r="CE279" i="26"/>
  <c r="AM279" i="26"/>
  <c r="EK275" i="26"/>
  <c r="EG275" i="26"/>
  <c r="EA275" i="26"/>
  <c r="DW275" i="26"/>
  <c r="DO275" i="26"/>
  <c r="DK275" i="26"/>
  <c r="DE275" i="26"/>
  <c r="DA275" i="26"/>
  <c r="CS275" i="26"/>
  <c r="CO275" i="26"/>
  <c r="CI275" i="26"/>
  <c r="CE275" i="26"/>
  <c r="DO274" i="26"/>
  <c r="DK274" i="26"/>
  <c r="DE274" i="26"/>
  <c r="DA274" i="26"/>
  <c r="CS274" i="26"/>
  <c r="CO274" i="26"/>
  <c r="CI274" i="26"/>
  <c r="CE274" i="26"/>
  <c r="DO273" i="26"/>
  <c r="DK273" i="26"/>
  <c r="DE273" i="26"/>
  <c r="DA273" i="26"/>
  <c r="CS273" i="26"/>
  <c r="CO273" i="26"/>
  <c r="CI273" i="26"/>
  <c r="CE273" i="26"/>
  <c r="DO272" i="26"/>
  <c r="DK272" i="26"/>
  <c r="DE272" i="26"/>
  <c r="DA272" i="26"/>
  <c r="CS272" i="26"/>
  <c r="CO272" i="26"/>
  <c r="CI272" i="26"/>
  <c r="CE272" i="26"/>
  <c r="DE271" i="26"/>
  <c r="DA271" i="26"/>
  <c r="CS271" i="26"/>
  <c r="CO271" i="26"/>
  <c r="CI271" i="26"/>
  <c r="CE271" i="26"/>
  <c r="AM271" i="26"/>
  <c r="DE270" i="26"/>
  <c r="DA270" i="26"/>
  <c r="CO270" i="26"/>
  <c r="CI270" i="26"/>
  <c r="CE270" i="26"/>
  <c r="AM270" i="26"/>
  <c r="CI269" i="26"/>
  <c r="CE269" i="26"/>
  <c r="FO268" i="26"/>
  <c r="FK268" i="26"/>
  <c r="FE268" i="26"/>
  <c r="FA268" i="26"/>
  <c r="EU268" i="26"/>
  <c r="EQ268" i="26"/>
  <c r="EJ268" i="26"/>
  <c r="EF268" i="26"/>
  <c r="DZ268" i="26"/>
  <c r="DV268" i="26"/>
  <c r="DN268" i="26"/>
  <c r="DJ268" i="26"/>
  <c r="DD268" i="26"/>
  <c r="CZ268" i="26"/>
  <c r="CR268" i="26"/>
  <c r="CN268" i="26"/>
  <c r="AM268" i="26"/>
  <c r="AM266" i="26"/>
  <c r="CS263" i="26"/>
  <c r="CO263" i="26"/>
  <c r="CI263" i="26"/>
  <c r="CE263" i="26"/>
  <c r="AO263" i="26"/>
  <c r="AN263" i="26"/>
  <c r="CI261" i="26"/>
  <c r="CE261" i="26"/>
  <c r="AM261" i="26"/>
  <c r="CS260" i="26"/>
  <c r="CO260" i="26"/>
  <c r="CI260" i="26"/>
  <c r="CE260" i="26"/>
  <c r="AM260" i="26"/>
  <c r="DE259" i="26"/>
  <c r="DA259" i="26"/>
  <c r="CS259" i="26"/>
  <c r="CO259" i="26"/>
  <c r="CI259" i="26"/>
  <c r="AM259" i="26"/>
  <c r="DE258" i="26"/>
  <c r="DA258" i="26"/>
  <c r="CS258" i="26"/>
  <c r="CO258" i="26"/>
  <c r="CI258" i="26"/>
  <c r="CE258" i="26"/>
  <c r="AM258" i="26"/>
  <c r="EA257" i="26"/>
  <c r="DW257" i="26"/>
  <c r="DO257" i="26"/>
  <c r="DK257" i="26"/>
  <c r="DE257" i="26"/>
  <c r="DA257" i="26"/>
  <c r="CS257" i="26"/>
  <c r="CO257" i="26"/>
  <c r="CI257" i="26"/>
  <c r="CE257" i="26"/>
  <c r="AN257" i="26"/>
  <c r="EA256" i="26"/>
  <c r="DW256" i="26"/>
  <c r="DO256" i="26"/>
  <c r="DK256" i="26"/>
  <c r="DE256" i="26"/>
  <c r="DA256" i="26"/>
  <c r="CS256" i="26"/>
  <c r="CO256" i="26"/>
  <c r="CI256" i="26"/>
  <c r="CE256" i="26"/>
  <c r="AN256" i="26"/>
  <c r="AS255" i="26"/>
  <c r="AR255" i="26"/>
  <c r="AN255" i="26"/>
  <c r="AM255" i="26" s="1"/>
  <c r="AS254" i="26"/>
  <c r="AR254" i="26"/>
  <c r="AN254" i="26"/>
  <c r="AM254" i="26"/>
  <c r="DO253" i="26"/>
  <c r="DK253" i="26"/>
  <c r="DE253" i="26"/>
  <c r="DA253" i="26"/>
  <c r="CS253" i="26"/>
  <c r="CO253" i="26"/>
  <c r="CI253" i="26"/>
  <c r="CE253" i="26"/>
  <c r="EJ252" i="26"/>
  <c r="EF252" i="26"/>
  <c r="DZ252" i="26"/>
  <c r="DV252" i="26"/>
  <c r="DN252" i="26"/>
  <c r="DJ252" i="26"/>
  <c r="DD252" i="26"/>
  <c r="CZ252" i="26"/>
  <c r="CR252" i="26"/>
  <c r="CN252" i="26"/>
  <c r="CH252" i="26"/>
  <c r="CD252" i="26"/>
  <c r="AO252" i="26"/>
  <c r="AN252" i="26"/>
  <c r="DE251" i="26"/>
  <c r="DA251" i="26"/>
  <c r="CS251" i="26"/>
  <c r="CO251" i="26"/>
  <c r="CI251" i="26"/>
  <c r="CE251" i="26"/>
  <c r="GT248" i="26"/>
  <c r="GP248" i="26"/>
  <c r="GJ248" i="26"/>
  <c r="GF248" i="26"/>
  <c r="FZ248" i="26"/>
  <c r="FV248" i="26"/>
  <c r="FP248" i="26"/>
  <c r="FL248" i="26"/>
  <c r="FF248" i="26"/>
  <c r="FB248" i="26"/>
  <c r="EV248" i="26"/>
  <c r="ER248" i="26"/>
  <c r="EK248" i="26"/>
  <c r="EG248" i="26"/>
  <c r="EA248" i="26"/>
  <c r="DW248" i="26"/>
  <c r="DO248" i="26"/>
  <c r="DK248" i="26"/>
  <c r="DE248" i="26"/>
  <c r="DA248" i="26"/>
  <c r="CS248" i="26"/>
  <c r="CO248" i="26"/>
  <c r="CI248" i="26"/>
  <c r="CE248" i="26"/>
  <c r="AM237" i="26"/>
  <c r="CI236" i="26"/>
  <c r="CE236" i="26"/>
  <c r="AM236" i="26"/>
  <c r="DE235" i="26"/>
  <c r="DA235" i="26"/>
  <c r="CS235" i="26"/>
  <c r="CO235" i="26"/>
  <c r="CI235" i="26"/>
  <c r="CE235" i="26"/>
  <c r="AM235" i="26"/>
  <c r="CI233" i="26"/>
  <c r="CE233" i="26"/>
  <c r="AM233" i="26"/>
  <c r="AM232" i="26"/>
  <c r="AM231" i="26"/>
  <c r="AM230" i="26"/>
  <c r="CH229" i="26"/>
  <c r="CD229" i="26"/>
  <c r="CR228" i="26"/>
  <c r="CN228" i="26"/>
  <c r="CH228" i="26"/>
  <c r="CD228" i="26"/>
  <c r="CI226" i="26"/>
  <c r="CE226" i="26"/>
  <c r="AM226" i="26"/>
  <c r="DE225" i="26"/>
  <c r="DA225" i="26"/>
  <c r="CS225" i="26"/>
  <c r="CO225" i="26"/>
  <c r="CI225" i="26"/>
  <c r="CE225" i="26"/>
  <c r="AM225" i="26"/>
  <c r="DO223" i="26"/>
  <c r="DK223" i="26"/>
  <c r="DE223" i="26"/>
  <c r="DA223" i="26"/>
  <c r="CS223" i="26"/>
  <c r="CO223" i="26"/>
  <c r="CI223" i="26"/>
  <c r="CE223" i="26"/>
  <c r="AM223" i="26"/>
  <c r="CI222" i="26"/>
  <c r="CE222" i="26"/>
  <c r="DE221" i="26"/>
  <c r="DA221" i="26"/>
  <c r="CS221" i="26"/>
  <c r="CO221" i="26"/>
  <c r="CI221" i="26"/>
  <c r="CE221" i="26"/>
  <c r="AU220" i="26"/>
  <c r="AT220" i="26"/>
  <c r="AM220" i="26"/>
  <c r="AU219" i="26"/>
  <c r="AT219" i="26"/>
  <c r="AM219" i="26"/>
  <c r="CR218" i="26"/>
  <c r="CQ218" i="26"/>
  <c r="CN218" i="26"/>
  <c r="CM218" i="26"/>
  <c r="CH218" i="26"/>
  <c r="CG218" i="26"/>
  <c r="CD218" i="26"/>
  <c r="CC218" i="26"/>
  <c r="CR217" i="26"/>
  <c r="CQ217" i="26"/>
  <c r="CN217" i="26"/>
  <c r="CM217" i="26"/>
  <c r="CH217" i="26"/>
  <c r="CG217" i="26"/>
  <c r="CD217" i="26"/>
  <c r="CC217" i="26"/>
  <c r="CR216" i="26"/>
  <c r="CQ216" i="26"/>
  <c r="CN216" i="26"/>
  <c r="CM216" i="26"/>
  <c r="CH216" i="26"/>
  <c r="CG216" i="26"/>
  <c r="CD216" i="26"/>
  <c r="CC216" i="26"/>
  <c r="CR215" i="26"/>
  <c r="CQ215" i="26"/>
  <c r="CN215" i="26"/>
  <c r="CM215" i="26"/>
  <c r="CH215" i="26"/>
  <c r="CG215" i="26"/>
  <c r="CD215" i="26"/>
  <c r="CC215" i="26"/>
  <c r="EK211" i="26"/>
  <c r="EG211" i="26"/>
  <c r="EA211" i="26"/>
  <c r="DW211" i="26"/>
  <c r="DO211" i="26"/>
  <c r="DK211" i="26"/>
  <c r="DE211" i="26"/>
  <c r="DA211" i="26"/>
  <c r="CS211" i="26"/>
  <c r="CO211" i="26"/>
  <c r="CI211" i="26"/>
  <c r="CE211" i="26"/>
  <c r="AO211" i="26"/>
  <c r="EK210" i="26"/>
  <c r="EG210" i="26"/>
  <c r="EA210" i="26"/>
  <c r="DW210" i="26"/>
  <c r="DO210" i="26"/>
  <c r="DK210" i="26"/>
  <c r="DE210" i="26"/>
  <c r="DA210" i="26"/>
  <c r="CS210" i="26"/>
  <c r="CO210" i="26"/>
  <c r="CI210" i="26"/>
  <c r="CE210" i="26"/>
  <c r="AO210" i="26"/>
  <c r="EK209" i="26"/>
  <c r="EG209" i="26"/>
  <c r="EA209" i="26"/>
  <c r="DW209" i="26"/>
  <c r="DO209" i="26"/>
  <c r="DK209" i="26"/>
  <c r="DE209" i="26"/>
  <c r="DA209" i="26"/>
  <c r="CS209" i="26"/>
  <c r="CO209" i="26"/>
  <c r="CI209" i="26"/>
  <c r="CE209" i="26"/>
  <c r="AO209" i="26"/>
  <c r="AM208" i="26"/>
  <c r="AM207" i="26"/>
  <c r="AM206" i="26"/>
  <c r="AM205" i="26"/>
  <c r="AM204" i="26"/>
  <c r="AM203" i="26"/>
  <c r="AM202" i="26"/>
  <c r="AM201" i="26"/>
  <c r="AM200" i="26"/>
  <c r="AM199" i="26"/>
  <c r="AM198" i="26"/>
  <c r="AM197" i="26"/>
  <c r="AM196" i="26"/>
  <c r="AM194" i="26"/>
  <c r="AM193" i="26"/>
  <c r="AM192" i="26"/>
  <c r="AM191" i="26"/>
  <c r="AM190" i="26"/>
  <c r="CS188" i="26"/>
  <c r="CO188" i="26"/>
  <c r="CI188" i="26"/>
  <c r="CE188" i="26"/>
  <c r="DO187" i="26"/>
  <c r="DK187" i="26"/>
  <c r="DE187" i="26"/>
  <c r="DA187" i="26"/>
  <c r="CS187" i="26"/>
  <c r="CO187" i="26"/>
  <c r="CI187" i="26"/>
  <c r="CE187" i="26"/>
  <c r="AO187" i="26"/>
  <c r="AN187" i="26"/>
  <c r="DO186" i="26"/>
  <c r="DK186" i="26"/>
  <c r="DE186" i="26"/>
  <c r="DA186" i="26"/>
  <c r="CS186" i="26"/>
  <c r="CO186" i="26"/>
  <c r="CI186" i="26"/>
  <c r="CE186" i="26"/>
  <c r="AO186" i="26"/>
  <c r="AN186" i="26"/>
  <c r="CS185" i="26"/>
  <c r="CO185" i="26"/>
  <c r="CI185" i="26"/>
  <c r="CE185" i="26"/>
  <c r="AM185" i="26"/>
  <c r="CS184" i="26"/>
  <c r="CO184" i="26"/>
  <c r="CI184" i="26"/>
  <c r="CE184" i="26"/>
  <c r="AM184" i="26"/>
  <c r="CS183" i="26"/>
  <c r="CO183" i="26"/>
  <c r="CI183" i="26"/>
  <c r="CE183" i="26"/>
  <c r="AM183" i="26"/>
  <c r="CS182" i="26"/>
  <c r="CO182" i="26"/>
  <c r="CI182" i="26"/>
  <c r="CE182" i="26"/>
  <c r="AM182" i="26"/>
  <c r="CS177" i="26"/>
  <c r="CO177" i="26"/>
  <c r="CI177" i="26"/>
  <c r="CE177" i="26"/>
  <c r="DO176" i="26"/>
  <c r="DK176" i="26"/>
  <c r="DE176" i="26"/>
  <c r="DA176" i="26"/>
  <c r="CS176" i="26"/>
  <c r="CO176" i="26"/>
  <c r="CI176" i="26"/>
  <c r="CE176" i="26"/>
  <c r="FB169" i="26"/>
  <c r="EV169" i="26"/>
  <c r="ER169" i="26"/>
  <c r="EK169" i="26"/>
  <c r="EG169" i="26"/>
  <c r="EA169" i="26"/>
  <c r="DW169" i="26"/>
  <c r="DO169" i="26"/>
  <c r="DK169" i="26"/>
  <c r="DE169" i="26"/>
  <c r="DA169" i="26"/>
  <c r="CS169" i="26"/>
  <c r="CO169" i="26"/>
  <c r="CI169" i="26"/>
  <c r="CE169" i="26"/>
  <c r="AM169" i="26"/>
  <c r="CO168" i="26"/>
  <c r="CI168" i="26"/>
  <c r="CE168" i="26"/>
  <c r="AM168" i="26"/>
  <c r="CI167" i="26"/>
  <c r="CE167" i="26"/>
  <c r="AO167" i="26"/>
  <c r="AN167" i="26"/>
  <c r="CI166" i="26"/>
  <c r="CE166" i="26"/>
  <c r="DE165" i="26"/>
  <c r="DA165" i="26"/>
  <c r="CS165" i="26"/>
  <c r="CO165" i="26"/>
  <c r="CI165" i="26"/>
  <c r="CE165" i="26"/>
  <c r="AO165" i="26"/>
  <c r="AN165" i="26"/>
  <c r="CI164" i="26"/>
  <c r="CE164" i="26"/>
  <c r="DA163" i="26"/>
  <c r="CS163" i="26"/>
  <c r="CO163" i="26"/>
  <c r="CI163" i="26"/>
  <c r="CE163" i="26"/>
  <c r="CI162" i="26"/>
  <c r="CE162" i="26"/>
  <c r="CS158" i="26"/>
  <c r="CO158" i="26"/>
  <c r="CI158" i="26"/>
  <c r="CE158" i="26"/>
  <c r="CS157" i="26"/>
  <c r="CO157" i="26"/>
  <c r="CI157" i="26"/>
  <c r="CE157" i="26"/>
  <c r="CS156" i="26"/>
  <c r="CO156" i="26"/>
  <c r="CI156" i="26"/>
  <c r="CE156" i="26"/>
  <c r="CI154" i="26"/>
  <c r="CE154" i="26"/>
  <c r="AM153" i="26"/>
  <c r="CO152" i="26"/>
  <c r="CI152" i="26"/>
  <c r="CE152" i="26"/>
  <c r="AM152" i="26"/>
  <c r="EG151" i="26"/>
  <c r="EA151" i="26"/>
  <c r="DW151" i="26"/>
  <c r="DK151" i="26"/>
  <c r="DE151" i="26"/>
  <c r="DA151" i="26"/>
  <c r="CO151" i="26"/>
  <c r="CI151" i="26"/>
  <c r="CE151" i="26"/>
  <c r="CI150" i="26"/>
  <c r="CE150" i="26"/>
  <c r="EK149" i="26"/>
  <c r="EG149" i="26"/>
  <c r="EA149" i="26"/>
  <c r="DW149" i="26"/>
  <c r="DO149" i="26"/>
  <c r="DK149" i="26"/>
  <c r="DE149" i="26"/>
  <c r="DA149" i="26"/>
  <c r="CS149" i="26"/>
  <c r="CO149" i="26"/>
  <c r="CI149" i="26"/>
  <c r="CE149" i="26"/>
  <c r="CS148" i="26"/>
  <c r="CO148" i="26"/>
  <c r="CI148" i="26"/>
  <c r="CE148" i="26"/>
  <c r="CI144" i="26"/>
  <c r="CE144" i="26"/>
  <c r="DE142" i="26"/>
  <c r="DA142" i="26"/>
  <c r="CS142" i="26"/>
  <c r="CO142" i="26"/>
  <c r="CI142" i="26"/>
  <c r="CE142" i="26"/>
  <c r="EA141" i="26"/>
  <c r="DW141" i="26"/>
  <c r="DO141" i="26"/>
  <c r="DK141" i="26"/>
  <c r="DE141" i="26"/>
  <c r="DA141" i="26"/>
  <c r="CS141" i="26"/>
  <c r="CO141" i="26"/>
  <c r="CI141" i="26"/>
  <c r="CE141" i="26"/>
  <c r="DE140" i="26"/>
  <c r="DA140" i="26"/>
  <c r="CO140" i="26"/>
  <c r="CI140" i="26"/>
  <c r="CE140" i="26"/>
  <c r="AO140" i="26"/>
  <c r="AN140" i="26"/>
  <c r="AM140" i="26"/>
  <c r="DA137" i="26"/>
  <c r="CS137" i="26"/>
  <c r="CO137" i="26"/>
  <c r="CI137" i="26"/>
  <c r="CE137" i="26"/>
  <c r="CI134" i="26"/>
  <c r="CE134" i="26"/>
  <c r="AM134" i="26"/>
  <c r="CI133" i="26"/>
  <c r="CE133" i="26"/>
  <c r="AM133" i="26"/>
  <c r="AM132" i="26"/>
  <c r="AM131" i="26"/>
  <c r="CZ129" i="26"/>
  <c r="CY129" i="26"/>
  <c r="CN129" i="26"/>
  <c r="CM129" i="26"/>
  <c r="CD129" i="26"/>
  <c r="CC129" i="26"/>
  <c r="AS129" i="26"/>
  <c r="AR129" i="26"/>
  <c r="AN129" i="26"/>
  <c r="AM129" i="26"/>
  <c r="DO128" i="26"/>
  <c r="DK128" i="26"/>
  <c r="DE128" i="26"/>
  <c r="DA128" i="26"/>
  <c r="CS128" i="26"/>
  <c r="CO128" i="26"/>
  <c r="CI128" i="26"/>
  <c r="CE128" i="26"/>
  <c r="AM128" i="26"/>
  <c r="CI127" i="26"/>
  <c r="CE127" i="26"/>
  <c r="AM127" i="26"/>
  <c r="DO126" i="26"/>
  <c r="DK126" i="26"/>
  <c r="DA126" i="26"/>
  <c r="CS126" i="26"/>
  <c r="CO126" i="26"/>
  <c r="CI126" i="26"/>
  <c r="CE126" i="26"/>
  <c r="AM126" i="26"/>
  <c r="CI125" i="26"/>
  <c r="CE125" i="26"/>
  <c r="AM125" i="26"/>
  <c r="DO124" i="26"/>
  <c r="DK124" i="26"/>
  <c r="DE124" i="26"/>
  <c r="DA124" i="26"/>
  <c r="CS124" i="26"/>
  <c r="CO124" i="26"/>
  <c r="CI124" i="26"/>
  <c r="CE124" i="26"/>
  <c r="AM124" i="26"/>
  <c r="CI123" i="26"/>
  <c r="CE123" i="26"/>
  <c r="AM123" i="26"/>
  <c r="CO122" i="26"/>
  <c r="CI122" i="26"/>
  <c r="CE122" i="26"/>
  <c r="AO122" i="26"/>
  <c r="AN122" i="26"/>
  <c r="CO121" i="26"/>
  <c r="CI121" i="26"/>
  <c r="CE121" i="26"/>
  <c r="AO121" i="26"/>
  <c r="AN121" i="26" s="1"/>
  <c r="AM119" i="26"/>
  <c r="AM118" i="26"/>
  <c r="AM113" i="26"/>
  <c r="AM112" i="26"/>
  <c r="EG111" i="26"/>
  <c r="EA111" i="26"/>
  <c r="DW111" i="26"/>
  <c r="DA111" i="26"/>
  <c r="CS111" i="26"/>
  <c r="CO111" i="26"/>
  <c r="DA110" i="26"/>
  <c r="CS110" i="26"/>
  <c r="CO110" i="26"/>
  <c r="CI104" i="26"/>
  <c r="CE104" i="26"/>
  <c r="AM104" i="26"/>
  <c r="CI103" i="26"/>
  <c r="CE103" i="26"/>
  <c r="AM103" i="26"/>
  <c r="AM102" i="26"/>
  <c r="CI100" i="26"/>
  <c r="CE100" i="26"/>
  <c r="AM100" i="26"/>
  <c r="CI98" i="26"/>
  <c r="CE98" i="26"/>
  <c r="AO98" i="26"/>
  <c r="AN98" i="26"/>
  <c r="AM98" i="26"/>
  <c r="CI97" i="26"/>
  <c r="CE97" i="26"/>
  <c r="AM97" i="26"/>
  <c r="EA96" i="26"/>
  <c r="DW96" i="26"/>
  <c r="DO96" i="26"/>
  <c r="DK96" i="26"/>
  <c r="DE96" i="26"/>
  <c r="DA96" i="26"/>
  <c r="CS96" i="26"/>
  <c r="CO96" i="26"/>
  <c r="CI96" i="26"/>
  <c r="CE96" i="26"/>
  <c r="AM96" i="26"/>
  <c r="CI94" i="26"/>
  <c r="CE94" i="26"/>
  <c r="AM94" i="26"/>
  <c r="GJ93" i="26"/>
  <c r="GF93" i="26"/>
  <c r="FZ93" i="26"/>
  <c r="FV93" i="26"/>
  <c r="FP93" i="26"/>
  <c r="FL93" i="26"/>
  <c r="FF93" i="26"/>
  <c r="FB93" i="26"/>
  <c r="EV93" i="26"/>
  <c r="ER93" i="26"/>
  <c r="EK93" i="26"/>
  <c r="EG93" i="26"/>
  <c r="EA93" i="26"/>
  <c r="DW93" i="26"/>
  <c r="DO93" i="26"/>
  <c r="DK93" i="26"/>
  <c r="DE93" i="26"/>
  <c r="DA93" i="26"/>
  <c r="CS93" i="26"/>
  <c r="CO93" i="26"/>
  <c r="CI93" i="26"/>
  <c r="CE93" i="26"/>
  <c r="AM93" i="26"/>
  <c r="AS92" i="26"/>
  <c r="AR92" i="26"/>
  <c r="AS91" i="26"/>
  <c r="AR91" i="26"/>
  <c r="AS90" i="26"/>
  <c r="AR90" i="26"/>
  <c r="EA89" i="26"/>
  <c r="DW89" i="26"/>
  <c r="DO89" i="26"/>
  <c r="DK89" i="26"/>
  <c r="DE89" i="26"/>
  <c r="DA89" i="26"/>
  <c r="CS89" i="26"/>
  <c r="CO89" i="26"/>
  <c r="CI89" i="26"/>
  <c r="CE89" i="26"/>
  <c r="AM89" i="26"/>
  <c r="EA88" i="26"/>
  <c r="DW88" i="26"/>
  <c r="DO88" i="26"/>
  <c r="DK88" i="26"/>
  <c r="DE88" i="26"/>
  <c r="DA88" i="26"/>
  <c r="CS88" i="26"/>
  <c r="CO88" i="26"/>
  <c r="CI88" i="26"/>
  <c r="CE88" i="26"/>
  <c r="AM88" i="26"/>
  <c r="CI87" i="26"/>
  <c r="CE87" i="26"/>
  <c r="AM87" i="26"/>
  <c r="CS85" i="26"/>
  <c r="CO85" i="26"/>
  <c r="CI85" i="26"/>
  <c r="CE85" i="26"/>
  <c r="DE84" i="26"/>
  <c r="DA84" i="26"/>
  <c r="CS84" i="26"/>
  <c r="CO84" i="26"/>
  <c r="CI84" i="26"/>
  <c r="CE84" i="26"/>
  <c r="AM84" i="26"/>
  <c r="AM83" i="26"/>
  <c r="AM82" i="26"/>
  <c r="AM81" i="26"/>
  <c r="DA508" i="21"/>
  <c r="DE508" i="21"/>
  <c r="DA505" i="21"/>
  <c r="DE505" i="21"/>
  <c r="AN508" i="21"/>
  <c r="AN505" i="21"/>
  <c r="AN770" i="21"/>
  <c r="AN458" i="21"/>
  <c r="CZ752" i="21"/>
  <c r="CY752" i="21"/>
  <c r="AO752" i="21"/>
  <c r="AN752" i="21" s="1"/>
  <c r="AS752" i="21"/>
  <c r="AT752" i="21"/>
  <c r="AN724" i="21"/>
  <c r="AN86" i="21"/>
  <c r="AN87" i="21"/>
  <c r="AN728" i="21"/>
  <c r="AN732" i="21"/>
  <c r="AN89" i="21"/>
  <c r="DA728" i="21"/>
  <c r="DE728" i="21"/>
  <c r="DA724" i="21"/>
  <c r="DE724" i="21"/>
  <c r="DA732" i="21"/>
  <c r="DE732" i="21"/>
  <c r="DA87" i="21"/>
  <c r="DE87" i="21"/>
  <c r="DA86" i="21"/>
  <c r="DE86" i="21"/>
  <c r="DA89" i="21"/>
  <c r="DE89" i="21"/>
  <c r="AP723" i="21"/>
  <c r="AO723" i="21" s="1"/>
  <c r="AP722" i="21"/>
  <c r="AO722" i="21" s="1"/>
  <c r="DA723" i="21"/>
  <c r="DE723" i="21"/>
  <c r="DA722" i="21"/>
  <c r="DE722" i="21"/>
  <c r="AN665" i="21"/>
  <c r="AN78" i="21"/>
  <c r="AN590" i="21"/>
  <c r="AN589" i="21"/>
  <c r="DE536" i="21"/>
  <c r="DA536" i="21"/>
  <c r="DE535" i="21"/>
  <c r="DA535" i="21"/>
  <c r="AN536" i="21"/>
  <c r="AN535" i="21"/>
  <c r="AN347" i="21"/>
  <c r="DA672" i="21"/>
  <c r="DE672" i="21"/>
  <c r="AN672" i="21"/>
  <c r="AN514" i="21"/>
  <c r="AP514" i="21"/>
  <c r="AO514" i="21"/>
  <c r="DA514" i="21"/>
  <c r="DE514" i="21"/>
  <c r="DA285" i="21"/>
  <c r="DE285" i="21"/>
  <c r="DA543" i="21"/>
  <c r="DE543" i="21"/>
  <c r="AN543" i="21"/>
  <c r="AN285" i="21"/>
  <c r="DA383" i="21"/>
  <c r="DE383" i="21"/>
  <c r="DE254" i="21"/>
  <c r="DA254" i="21"/>
  <c r="AN383" i="21"/>
  <c r="AN254" i="21"/>
  <c r="AT246" i="21"/>
  <c r="AS246" i="21"/>
  <c r="AT245" i="21"/>
  <c r="AS245" i="21"/>
  <c r="AT244" i="21"/>
  <c r="AS244" i="21"/>
  <c r="DA149" i="21"/>
  <c r="DE149" i="21"/>
  <c r="DA148" i="21"/>
  <c r="DE148" i="21"/>
  <c r="DA150" i="21"/>
  <c r="DE150" i="21"/>
  <c r="AN149" i="21"/>
  <c r="AN148" i="21"/>
  <c r="AN150" i="21"/>
  <c r="DA400" i="21"/>
  <c r="DA412" i="21"/>
  <c r="AN412" i="21"/>
  <c r="AN671" i="21"/>
  <c r="AN265" i="21"/>
  <c r="AN670" i="21"/>
  <c r="DA381" i="24"/>
  <c r="CW381" i="24"/>
  <c r="CO381" i="24"/>
  <c r="CK381" i="24"/>
  <c r="CE381" i="24"/>
  <c r="CA381" i="24"/>
  <c r="DA379" i="24"/>
  <c r="CW379" i="24"/>
  <c r="CO379" i="24"/>
  <c r="CK379" i="24"/>
  <c r="CE379" i="24"/>
  <c r="CA379" i="24"/>
  <c r="CK378" i="24"/>
  <c r="CE378" i="24"/>
  <c r="CA378" i="24"/>
  <c r="AM378" i="24"/>
  <c r="AM376" i="24"/>
  <c r="AM375" i="24"/>
  <c r="AM374" i="24"/>
  <c r="AM373" i="24"/>
  <c r="AM371" i="24"/>
  <c r="DW370" i="24"/>
  <c r="DS370" i="24"/>
  <c r="DK370" i="24"/>
  <c r="DG370" i="24"/>
  <c r="DA370" i="24"/>
  <c r="CW370" i="24"/>
  <c r="CO370" i="24"/>
  <c r="CK370" i="24"/>
  <c r="CE370" i="24"/>
  <c r="CA370" i="24"/>
  <c r="AU369" i="24"/>
  <c r="AT369" i="24"/>
  <c r="AS369" i="24"/>
  <c r="AR369" i="24"/>
  <c r="AO369" i="24"/>
  <c r="AN369" i="24"/>
  <c r="AU368" i="24"/>
  <c r="AT368" i="24"/>
  <c r="AS368" i="24"/>
  <c r="AR368" i="24"/>
  <c r="AO368" i="24"/>
  <c r="AN368" i="24"/>
  <c r="AU367" i="24"/>
  <c r="AT367" i="24"/>
  <c r="AS367" i="24"/>
  <c r="AR367" i="24"/>
  <c r="AO367" i="24"/>
  <c r="AN367" i="24"/>
  <c r="AU366" i="24"/>
  <c r="AT366" i="24"/>
  <c r="AS366" i="24"/>
  <c r="AR366" i="24"/>
  <c r="AO366" i="24"/>
  <c r="AN366" i="24"/>
  <c r="CK365" i="24"/>
  <c r="CE365" i="24"/>
  <c r="CA365" i="24"/>
  <c r="CK364" i="24"/>
  <c r="CE364" i="24"/>
  <c r="CA364" i="24"/>
  <c r="AM364" i="24"/>
  <c r="CK363" i="24"/>
  <c r="CE363" i="24"/>
  <c r="CA363" i="24"/>
  <c r="AM363" i="24"/>
  <c r="CK362" i="24"/>
  <c r="CE362" i="24"/>
  <c r="CA362" i="24"/>
  <c r="AM362" i="24"/>
  <c r="CO361" i="24"/>
  <c r="CK361" i="24"/>
  <c r="CE361" i="24"/>
  <c r="CA361" i="24"/>
  <c r="AM361" i="24"/>
  <c r="AM359" i="24"/>
  <c r="AM358" i="24"/>
  <c r="AM357" i="24"/>
  <c r="AM356" i="24"/>
  <c r="AM352" i="24"/>
  <c r="CE351" i="24"/>
  <c r="CA351" i="24"/>
  <c r="CE350" i="24"/>
  <c r="CA350" i="24"/>
  <c r="AM350" i="24"/>
  <c r="EX348" i="24"/>
  <c r="ER348" i="24"/>
  <c r="EN348" i="24"/>
  <c r="EG348" i="24"/>
  <c r="EC348" i="24"/>
  <c r="DW348" i="24"/>
  <c r="DS348" i="24"/>
  <c r="DK348" i="24"/>
  <c r="DG348" i="24"/>
  <c r="DA348" i="24"/>
  <c r="CW348" i="24"/>
  <c r="CO348" i="24"/>
  <c r="CK348" i="24"/>
  <c r="CE348" i="24"/>
  <c r="CA348" i="24"/>
  <c r="AM348" i="24"/>
  <c r="DW347" i="24"/>
  <c r="DS347" i="24"/>
  <c r="DK347" i="24"/>
  <c r="DG347" i="24"/>
  <c r="DA347" i="24"/>
  <c r="CW347" i="24"/>
  <c r="CO347" i="24"/>
  <c r="CK347" i="24"/>
  <c r="CE347" i="24"/>
  <c r="CA347" i="24"/>
  <c r="AM347" i="24"/>
  <c r="AM345" i="24"/>
  <c r="CE344" i="24"/>
  <c r="CA344" i="24"/>
  <c r="AM344" i="24"/>
  <c r="CE343" i="24"/>
  <c r="CA343" i="24"/>
  <c r="AM343" i="24"/>
  <c r="CE342" i="24"/>
  <c r="CA342" i="24"/>
  <c r="AM342" i="24"/>
  <c r="CO337" i="24"/>
  <c r="CK337" i="24"/>
  <c r="CE337" i="24"/>
  <c r="CA337" i="24"/>
  <c r="AM337" i="24"/>
  <c r="EG336" i="24"/>
  <c r="EC336" i="24"/>
  <c r="AM336" i="24"/>
  <c r="AM335" i="24"/>
  <c r="CO333" i="24"/>
  <c r="CK333" i="24"/>
  <c r="CE333" i="24"/>
  <c r="CA333" i="24"/>
  <c r="AM333" i="24"/>
  <c r="AM332" i="24"/>
  <c r="AM331" i="24"/>
  <c r="AM330" i="24"/>
  <c r="AM324" i="24"/>
  <c r="AM323" i="24"/>
  <c r="AO322" i="24"/>
  <c r="AM321" i="24"/>
  <c r="AM320" i="24"/>
  <c r="AM318" i="24"/>
  <c r="AM317" i="24"/>
  <c r="EG313" i="24"/>
  <c r="EC313" i="24"/>
  <c r="DW313" i="24"/>
  <c r="DS313" i="24"/>
  <c r="DK313" i="24"/>
  <c r="DG313" i="24"/>
  <c r="DA313" i="24"/>
  <c r="CW313" i="24"/>
  <c r="CO313" i="24"/>
  <c r="CK313" i="24"/>
  <c r="CE313" i="24"/>
  <c r="CA313" i="24"/>
  <c r="DF311" i="24"/>
  <c r="CZ311" i="24"/>
  <c r="CV311" i="24"/>
  <c r="CJ311" i="24"/>
  <c r="CD311" i="24"/>
  <c r="BZ311" i="24"/>
  <c r="AM311" i="24"/>
  <c r="CN310" i="24"/>
  <c r="CJ310" i="24"/>
  <c r="CD310" i="24"/>
  <c r="BZ310" i="24"/>
  <c r="AM310" i="24"/>
  <c r="DA309" i="24"/>
  <c r="CW309" i="24"/>
  <c r="CO309" i="24"/>
  <c r="CK309" i="24"/>
  <c r="CE309" i="24"/>
  <c r="CA309" i="24"/>
  <c r="CE306" i="24"/>
  <c r="CA306" i="24"/>
  <c r="AM306" i="24"/>
  <c r="DW305" i="24"/>
  <c r="DS305" i="24"/>
  <c r="DG305" i="24"/>
  <c r="CW305" i="24"/>
  <c r="CO305" i="24"/>
  <c r="CK305" i="24"/>
  <c r="CE305" i="24"/>
  <c r="CA305" i="24"/>
  <c r="AM305" i="24"/>
  <c r="CE304" i="24"/>
  <c r="CA304" i="24"/>
  <c r="AM304" i="24"/>
  <c r="CO303" i="24"/>
  <c r="CK303" i="24"/>
  <c r="CE303" i="24"/>
  <c r="CA303" i="24"/>
  <c r="AM303" i="24"/>
  <c r="EG302" i="24"/>
  <c r="EC302" i="24"/>
  <c r="DW302" i="24"/>
  <c r="DS302" i="24"/>
  <c r="DK302" i="24"/>
  <c r="DG302" i="24"/>
  <c r="DA302" i="24"/>
  <c r="CW302" i="24"/>
  <c r="CO302" i="24"/>
  <c r="CK302" i="24"/>
  <c r="CE302" i="24"/>
  <c r="CA302" i="24"/>
  <c r="AM302" i="24"/>
  <c r="DA301" i="24"/>
  <c r="CW301" i="24"/>
  <c r="CO301" i="24"/>
  <c r="CK301" i="24"/>
  <c r="CE301" i="24"/>
  <c r="CA301" i="24"/>
  <c r="AM301" i="24"/>
  <c r="AM300" i="24"/>
  <c r="AM299" i="24"/>
  <c r="AM298" i="24"/>
  <c r="AM297" i="24"/>
  <c r="AM296" i="24"/>
  <c r="AM295" i="24"/>
  <c r="AM294" i="24"/>
  <c r="DA293" i="24"/>
  <c r="CW293" i="24"/>
  <c r="CO293" i="24"/>
  <c r="CK293" i="24"/>
  <c r="CE293" i="24"/>
  <c r="CA293" i="24"/>
  <c r="CE292" i="24"/>
  <c r="CA292" i="24"/>
  <c r="AM292" i="24"/>
  <c r="CE291" i="24"/>
  <c r="CA291" i="24"/>
  <c r="AM291" i="24"/>
  <c r="CE290" i="24"/>
  <c r="CA290" i="24"/>
  <c r="AM290" i="24"/>
  <c r="CE289" i="24"/>
  <c r="CA289" i="24"/>
  <c r="AM289" i="24"/>
  <c r="CE288" i="24"/>
  <c r="CA288" i="24"/>
  <c r="AM288" i="24"/>
  <c r="CE287" i="24"/>
  <c r="CA287" i="24"/>
  <c r="AM287" i="24"/>
  <c r="CE286" i="24"/>
  <c r="CA286" i="24"/>
  <c r="AM286" i="24"/>
  <c r="CE285" i="24"/>
  <c r="CA285" i="24"/>
  <c r="AM285" i="24"/>
  <c r="CE284" i="24"/>
  <c r="CA284" i="24"/>
  <c r="AM284" i="24"/>
  <c r="CE283" i="24"/>
  <c r="CA283" i="24"/>
  <c r="AM283" i="24"/>
  <c r="EG282" i="24"/>
  <c r="EC282" i="24"/>
  <c r="DW282" i="24"/>
  <c r="DS282" i="24"/>
  <c r="DK282" i="24"/>
  <c r="DG282" i="24"/>
  <c r="DA282" i="24"/>
  <c r="CW282" i="24"/>
  <c r="CO282" i="24"/>
  <c r="CK282" i="24"/>
  <c r="CE282" i="24"/>
  <c r="CA282" i="24"/>
  <c r="CO281" i="24"/>
  <c r="CK281" i="24"/>
  <c r="CE281" i="24"/>
  <c r="CA281" i="24"/>
  <c r="AM281" i="24"/>
  <c r="CO280" i="24"/>
  <c r="CK280" i="24"/>
  <c r="CE280" i="24"/>
  <c r="CA280" i="24"/>
  <c r="AM280" i="24"/>
  <c r="CO279" i="24"/>
  <c r="CK279" i="24"/>
  <c r="CE279" i="24"/>
  <c r="CA279" i="24"/>
  <c r="DA276" i="24"/>
  <c r="CW276" i="24"/>
  <c r="CO276" i="24"/>
  <c r="CK276" i="24"/>
  <c r="CE276" i="24"/>
  <c r="CA276" i="24"/>
  <c r="CE275" i="24"/>
  <c r="CA275" i="24"/>
  <c r="CK274" i="24"/>
  <c r="CE274" i="24"/>
  <c r="CA274" i="24"/>
  <c r="CK273" i="24"/>
  <c r="CE273" i="24"/>
  <c r="CA273" i="24"/>
  <c r="CK272" i="24"/>
  <c r="CE272" i="24"/>
  <c r="CA272" i="24"/>
  <c r="CK271" i="24"/>
  <c r="CE271" i="24"/>
  <c r="CA271" i="24"/>
  <c r="CK270" i="24"/>
  <c r="CE270" i="24"/>
  <c r="CA270" i="24"/>
  <c r="CK269" i="24"/>
  <c r="CE269" i="24"/>
  <c r="CA269" i="24"/>
  <c r="AM268" i="24"/>
  <c r="AM267" i="24"/>
  <c r="AM266" i="24"/>
  <c r="AM265" i="24"/>
  <c r="CE263" i="24"/>
  <c r="CA263" i="24"/>
  <c r="AM263" i="24"/>
  <c r="DA260" i="24"/>
  <c r="CW260" i="24"/>
  <c r="CO260" i="24"/>
  <c r="CK260" i="24"/>
  <c r="CE260" i="24"/>
  <c r="CA260" i="24"/>
  <c r="AM260" i="24"/>
  <c r="CO259" i="24"/>
  <c r="CK259" i="24"/>
  <c r="CE259" i="24"/>
  <c r="CA259" i="24"/>
  <c r="AM259" i="24"/>
  <c r="EG255" i="24"/>
  <c r="EC255" i="24"/>
  <c r="DW255" i="24"/>
  <c r="DS255" i="24"/>
  <c r="DK255" i="24"/>
  <c r="DG255" i="24"/>
  <c r="DA255" i="24"/>
  <c r="CW255" i="24"/>
  <c r="CO255" i="24"/>
  <c r="CK255" i="24"/>
  <c r="CE255" i="24"/>
  <c r="CA255" i="24"/>
  <c r="DK254" i="24"/>
  <c r="DG254" i="24"/>
  <c r="DA254" i="24"/>
  <c r="CW254" i="24"/>
  <c r="CO254" i="24"/>
  <c r="CK254" i="24"/>
  <c r="CE254" i="24"/>
  <c r="CA254" i="24"/>
  <c r="DK253" i="24"/>
  <c r="DG253" i="24"/>
  <c r="DA253" i="24"/>
  <c r="CW253" i="24"/>
  <c r="CO253" i="24"/>
  <c r="CK253" i="24"/>
  <c r="CE253" i="24"/>
  <c r="CA253" i="24"/>
  <c r="DK252" i="24"/>
  <c r="DG252" i="24"/>
  <c r="DA252" i="24"/>
  <c r="CW252" i="24"/>
  <c r="CO252" i="24"/>
  <c r="CK252" i="24"/>
  <c r="CE252" i="24"/>
  <c r="CA252" i="24"/>
  <c r="DA251" i="24"/>
  <c r="CW251" i="24"/>
  <c r="CO251" i="24"/>
  <c r="CK251" i="24"/>
  <c r="CE251" i="24"/>
  <c r="CA251" i="24"/>
  <c r="AM251" i="24"/>
  <c r="DA250" i="24"/>
  <c r="CW250" i="24"/>
  <c r="CK250" i="24"/>
  <c r="CE250" i="24"/>
  <c r="CA250" i="24"/>
  <c r="AM250" i="24"/>
  <c r="CE249" i="24"/>
  <c r="CA249" i="24"/>
  <c r="FK248" i="24"/>
  <c r="FG248" i="24"/>
  <c r="FA248" i="24"/>
  <c r="EW248" i="24"/>
  <c r="EQ248" i="24"/>
  <c r="EM248" i="24"/>
  <c r="EF248" i="24"/>
  <c r="EB248" i="24"/>
  <c r="DV248" i="24"/>
  <c r="DR248" i="24"/>
  <c r="DJ248" i="24"/>
  <c r="DF248" i="24"/>
  <c r="CZ248" i="24"/>
  <c r="CV248" i="24"/>
  <c r="CN248" i="24"/>
  <c r="CJ248" i="24"/>
  <c r="AM248" i="24"/>
  <c r="AM246" i="24"/>
  <c r="CO243" i="24"/>
  <c r="CK243" i="24"/>
  <c r="CE243" i="24"/>
  <c r="CA243" i="24"/>
  <c r="AO243" i="24"/>
  <c r="AN243" i="24"/>
  <c r="DA241" i="24"/>
  <c r="CW241" i="24"/>
  <c r="CO241" i="24"/>
  <c r="CK241" i="24"/>
  <c r="CE241" i="24"/>
  <c r="AM241" i="24"/>
  <c r="CE240" i="24"/>
  <c r="CA240" i="24"/>
  <c r="AM240" i="24"/>
  <c r="CO239" i="24"/>
  <c r="CK239" i="24"/>
  <c r="CE239" i="24"/>
  <c r="CA239" i="24"/>
  <c r="AM239" i="24"/>
  <c r="DA238" i="24"/>
  <c r="CW238" i="24"/>
  <c r="CO238" i="24"/>
  <c r="CK238" i="24"/>
  <c r="CE238" i="24"/>
  <c r="CA238" i="24"/>
  <c r="AM238" i="24"/>
  <c r="DW237" i="24"/>
  <c r="DS237" i="24"/>
  <c r="DK237" i="24"/>
  <c r="DG237" i="24"/>
  <c r="DA237" i="24"/>
  <c r="CW237" i="24"/>
  <c r="CO237" i="24"/>
  <c r="CK237" i="24"/>
  <c r="CE237" i="24"/>
  <c r="CA237" i="24"/>
  <c r="AN237" i="24"/>
  <c r="DW236" i="24"/>
  <c r="DS236" i="24"/>
  <c r="DK236" i="24"/>
  <c r="DG236" i="24"/>
  <c r="DA236" i="24"/>
  <c r="CW236" i="24"/>
  <c r="CO236" i="24"/>
  <c r="CK236" i="24"/>
  <c r="CE236" i="24"/>
  <c r="CA236" i="24"/>
  <c r="AN236" i="24"/>
  <c r="AS235" i="24"/>
  <c r="AR235" i="24"/>
  <c r="AN235" i="24"/>
  <c r="AM235" i="24" s="1"/>
  <c r="AS234" i="24"/>
  <c r="AR234" i="24"/>
  <c r="AN234" i="24"/>
  <c r="AM234" i="24" s="1"/>
  <c r="DK233" i="24"/>
  <c r="DG233" i="24"/>
  <c r="DA233" i="24"/>
  <c r="CW233" i="24"/>
  <c r="CO233" i="24"/>
  <c r="CK233" i="24"/>
  <c r="CE233" i="24"/>
  <c r="CA233" i="24"/>
  <c r="EF232" i="24"/>
  <c r="EB232" i="24"/>
  <c r="DV232" i="24"/>
  <c r="DR232" i="24"/>
  <c r="DJ232" i="24"/>
  <c r="DF232" i="24"/>
  <c r="CZ232" i="24"/>
  <c r="CV232" i="24"/>
  <c r="CN232" i="24"/>
  <c r="CJ232" i="24"/>
  <c r="CD232" i="24"/>
  <c r="BZ232" i="24"/>
  <c r="AO232" i="24"/>
  <c r="AN232" i="24"/>
  <c r="DA231" i="24"/>
  <c r="CW231" i="24"/>
  <c r="CO231" i="24"/>
  <c r="CK231" i="24"/>
  <c r="CE231" i="24"/>
  <c r="CA231" i="24"/>
  <c r="GP228" i="24"/>
  <c r="GL228" i="24"/>
  <c r="GF228" i="24"/>
  <c r="GB228" i="24"/>
  <c r="FV228" i="24"/>
  <c r="FR228" i="24"/>
  <c r="FL228" i="24"/>
  <c r="FH228" i="24"/>
  <c r="FB228" i="24"/>
  <c r="EX228" i="24"/>
  <c r="ER228" i="24"/>
  <c r="EN228" i="24"/>
  <c r="EG228" i="24"/>
  <c r="EC228" i="24"/>
  <c r="DW228" i="24"/>
  <c r="DS228" i="24"/>
  <c r="DK228" i="24"/>
  <c r="DG228" i="24"/>
  <c r="DA228" i="24"/>
  <c r="CW228" i="24"/>
  <c r="CO228" i="24"/>
  <c r="CK228" i="24"/>
  <c r="CE228" i="24"/>
  <c r="CA228" i="24"/>
  <c r="AM217" i="24"/>
  <c r="CE216" i="24"/>
  <c r="CA216" i="24"/>
  <c r="AM216" i="24"/>
  <c r="DA215" i="24"/>
  <c r="CW215" i="24"/>
  <c r="CO215" i="24"/>
  <c r="CK215" i="24"/>
  <c r="CE215" i="24"/>
  <c r="CA215" i="24"/>
  <c r="AM215" i="24"/>
  <c r="CE213" i="24"/>
  <c r="CA213" i="24"/>
  <c r="AM213" i="24"/>
  <c r="AM212" i="24"/>
  <c r="AM211" i="24"/>
  <c r="AM210" i="24"/>
  <c r="CD209" i="24"/>
  <c r="BZ209" i="24"/>
  <c r="CN208" i="24"/>
  <c r="CJ208" i="24"/>
  <c r="CD208" i="24"/>
  <c r="BZ208" i="24"/>
  <c r="CE206" i="24"/>
  <c r="CA206" i="24"/>
  <c r="AM206" i="24"/>
  <c r="DA205" i="24"/>
  <c r="CW205" i="24"/>
  <c r="CO205" i="24"/>
  <c r="CK205" i="24"/>
  <c r="CE205" i="24"/>
  <c r="CA205" i="24"/>
  <c r="AM205" i="24"/>
  <c r="DK203" i="24"/>
  <c r="DG203" i="24"/>
  <c r="DA203" i="24"/>
  <c r="CW203" i="24"/>
  <c r="CO203" i="24"/>
  <c r="CK203" i="24"/>
  <c r="CE203" i="24"/>
  <c r="CA203" i="24"/>
  <c r="AM203" i="24"/>
  <c r="CE202" i="24"/>
  <c r="CA202" i="24"/>
  <c r="DA201" i="24"/>
  <c r="CW201" i="24"/>
  <c r="CO201" i="24"/>
  <c r="CK201" i="24"/>
  <c r="CE201" i="24"/>
  <c r="CA201" i="24"/>
  <c r="AU200" i="24"/>
  <c r="AT200" i="24"/>
  <c r="AM200" i="24"/>
  <c r="AU199" i="24"/>
  <c r="AT199" i="24"/>
  <c r="AM199" i="24"/>
  <c r="CN198" i="24"/>
  <c r="CM198" i="24"/>
  <c r="CJ198" i="24"/>
  <c r="CI198" i="24"/>
  <c r="CD198" i="24"/>
  <c r="CC198" i="24"/>
  <c r="BZ198" i="24"/>
  <c r="BY198" i="24"/>
  <c r="CN197" i="24"/>
  <c r="CM197" i="24"/>
  <c r="CJ197" i="24"/>
  <c r="CI197" i="24"/>
  <c r="CD197" i="24"/>
  <c r="CC197" i="24"/>
  <c r="BZ197" i="24"/>
  <c r="BY197" i="24"/>
  <c r="CN196" i="24"/>
  <c r="CM196" i="24"/>
  <c r="CJ196" i="24"/>
  <c r="CI196" i="24"/>
  <c r="CD196" i="24"/>
  <c r="CC196" i="24"/>
  <c r="BZ196" i="24"/>
  <c r="BY196" i="24"/>
  <c r="CN195" i="24"/>
  <c r="CM195" i="24"/>
  <c r="CJ195" i="24"/>
  <c r="CI195" i="24"/>
  <c r="CD195" i="24"/>
  <c r="CC195" i="24"/>
  <c r="BZ195" i="24"/>
  <c r="BY195" i="24"/>
  <c r="EG191" i="24"/>
  <c r="EC191" i="24"/>
  <c r="DW191" i="24"/>
  <c r="DS191" i="24"/>
  <c r="DK191" i="24"/>
  <c r="DG191" i="24"/>
  <c r="DA191" i="24"/>
  <c r="CW191" i="24"/>
  <c r="CO191" i="24"/>
  <c r="CK191" i="24"/>
  <c r="CE191" i="24"/>
  <c r="CA191" i="24"/>
  <c r="AO191" i="24"/>
  <c r="EG190" i="24"/>
  <c r="EC190" i="24"/>
  <c r="DW190" i="24"/>
  <c r="DS190" i="24"/>
  <c r="DK190" i="24"/>
  <c r="DG190" i="24"/>
  <c r="DA190" i="24"/>
  <c r="CW190" i="24"/>
  <c r="CO190" i="24"/>
  <c r="CK190" i="24"/>
  <c r="CE190" i="24"/>
  <c r="CA190" i="24"/>
  <c r="AO190" i="24"/>
  <c r="EG189" i="24"/>
  <c r="EC189" i="24"/>
  <c r="DW189" i="24"/>
  <c r="DS189" i="24"/>
  <c r="DK189" i="24"/>
  <c r="DG189" i="24"/>
  <c r="DA189" i="24"/>
  <c r="CW189" i="24"/>
  <c r="CO189" i="24"/>
  <c r="CK189" i="24"/>
  <c r="CE189" i="24"/>
  <c r="CA189" i="24"/>
  <c r="AO189" i="24"/>
  <c r="AM188" i="24"/>
  <c r="AM187" i="24"/>
  <c r="AM186" i="24"/>
  <c r="AM185" i="24"/>
  <c r="AM184" i="24"/>
  <c r="AM183" i="24"/>
  <c r="AM182" i="24"/>
  <c r="AM181" i="24"/>
  <c r="AM180" i="24"/>
  <c r="AM179" i="24"/>
  <c r="AM178" i="24"/>
  <c r="AM177" i="24"/>
  <c r="AM176" i="24"/>
  <c r="AM174" i="24"/>
  <c r="AM173" i="24"/>
  <c r="AM172" i="24"/>
  <c r="AM171" i="24"/>
  <c r="AM170" i="24"/>
  <c r="CO168" i="24"/>
  <c r="CK168" i="24"/>
  <c r="CE168" i="24"/>
  <c r="CA168" i="24"/>
  <c r="CO167" i="24"/>
  <c r="CK167" i="24"/>
  <c r="CE167" i="24"/>
  <c r="CA167" i="24"/>
  <c r="AM167" i="24"/>
  <c r="CO166" i="24"/>
  <c r="CK166" i="24"/>
  <c r="CE166" i="24"/>
  <c r="CA166" i="24"/>
  <c r="AM166" i="24"/>
  <c r="CO165" i="24"/>
  <c r="CK165" i="24"/>
  <c r="CE165" i="24"/>
  <c r="CA165" i="24"/>
  <c r="AM165" i="24"/>
  <c r="CO164" i="24"/>
  <c r="CK164" i="24"/>
  <c r="CE164" i="24"/>
  <c r="CA164" i="24"/>
  <c r="AM164" i="24"/>
  <c r="DK163" i="24"/>
  <c r="DG163" i="24"/>
  <c r="DA163" i="24"/>
  <c r="CW163" i="24"/>
  <c r="CO163" i="24"/>
  <c r="CK163" i="24"/>
  <c r="CE163" i="24"/>
  <c r="CA163" i="24"/>
  <c r="AO163" i="24"/>
  <c r="AN163" i="24"/>
  <c r="DK162" i="24"/>
  <c r="DG162" i="24"/>
  <c r="DA162" i="24"/>
  <c r="CW162" i="24"/>
  <c r="CO162" i="24"/>
  <c r="CK162" i="24"/>
  <c r="CE162" i="24"/>
  <c r="CA162" i="24"/>
  <c r="AO162" i="24"/>
  <c r="AN162" i="24"/>
  <c r="CO157" i="24"/>
  <c r="CK157" i="24"/>
  <c r="CE157" i="24"/>
  <c r="CA157" i="24"/>
  <c r="DK156" i="24"/>
  <c r="DG156" i="24"/>
  <c r="DA156" i="24"/>
  <c r="CW156" i="24"/>
  <c r="CO156" i="24"/>
  <c r="CK156" i="24"/>
  <c r="CE156" i="24"/>
  <c r="CA156" i="24"/>
  <c r="EX149" i="24"/>
  <c r="ER149" i="24"/>
  <c r="EN149" i="24"/>
  <c r="EG149" i="24"/>
  <c r="EC149" i="24"/>
  <c r="DW149" i="24"/>
  <c r="DS149" i="24"/>
  <c r="DK149" i="24"/>
  <c r="DG149" i="24"/>
  <c r="DA149" i="24"/>
  <c r="CW149" i="24"/>
  <c r="CO149" i="24"/>
  <c r="CK149" i="24"/>
  <c r="CE149" i="24"/>
  <c r="CA149" i="24"/>
  <c r="AM149" i="24"/>
  <c r="CK148" i="24"/>
  <c r="CE148" i="24"/>
  <c r="CA148" i="24"/>
  <c r="AM148" i="24"/>
  <c r="CE147" i="24"/>
  <c r="CA147" i="24"/>
  <c r="AO147" i="24"/>
  <c r="AN147" i="24"/>
  <c r="CE146" i="24"/>
  <c r="CA146" i="24"/>
  <c r="DA145" i="24"/>
  <c r="CW145" i="24"/>
  <c r="CO145" i="24"/>
  <c r="CK145" i="24"/>
  <c r="CE145" i="24"/>
  <c r="CA145" i="24"/>
  <c r="AO145" i="24"/>
  <c r="AN145" i="24"/>
  <c r="CE144" i="24"/>
  <c r="CA144" i="24"/>
  <c r="CW143" i="24"/>
  <c r="CO143" i="24"/>
  <c r="CK143" i="24"/>
  <c r="CE143" i="24"/>
  <c r="CA143" i="24"/>
  <c r="CE142" i="24"/>
  <c r="CA142" i="24"/>
  <c r="CO138" i="24"/>
  <c r="CK138" i="24"/>
  <c r="CE138" i="24"/>
  <c r="CA138" i="24"/>
  <c r="CO137" i="24"/>
  <c r="CK137" i="24"/>
  <c r="CE137" i="24"/>
  <c r="CA137" i="24"/>
  <c r="CO136" i="24"/>
  <c r="CK136" i="24"/>
  <c r="CE136" i="24"/>
  <c r="CA136" i="24"/>
  <c r="CE134" i="24"/>
  <c r="CA134" i="24"/>
  <c r="AM133" i="24"/>
  <c r="CK132" i="24"/>
  <c r="CE132" i="24"/>
  <c r="CA132" i="24"/>
  <c r="AM132" i="24"/>
  <c r="EC131" i="24"/>
  <c r="DW131" i="24"/>
  <c r="DS131" i="24"/>
  <c r="DG131" i="24"/>
  <c r="DA131" i="24"/>
  <c r="CW131" i="24"/>
  <c r="CK131" i="24"/>
  <c r="CE131" i="24"/>
  <c r="CA131" i="24"/>
  <c r="EG130" i="24"/>
  <c r="EC130" i="24"/>
  <c r="DW130" i="24"/>
  <c r="DS130" i="24"/>
  <c r="DK130" i="24"/>
  <c r="DG130" i="24"/>
  <c r="DA130" i="24"/>
  <c r="CW130" i="24"/>
  <c r="CO130" i="24"/>
  <c r="CK130" i="24"/>
  <c r="CE130" i="24"/>
  <c r="CA130" i="24"/>
  <c r="CE129" i="24"/>
  <c r="CA129" i="24"/>
  <c r="CO128" i="24"/>
  <c r="CK128" i="24"/>
  <c r="CE128" i="24"/>
  <c r="CA128" i="24"/>
  <c r="CE124" i="24"/>
  <c r="CA124" i="24"/>
  <c r="DA122" i="24"/>
  <c r="CW122" i="24"/>
  <c r="CO122" i="24"/>
  <c r="CK122" i="24"/>
  <c r="CE122" i="24"/>
  <c r="CA122" i="24"/>
  <c r="DW121" i="24"/>
  <c r="DS121" i="24"/>
  <c r="DK121" i="24"/>
  <c r="DG121" i="24"/>
  <c r="DA121" i="24"/>
  <c r="CW121" i="24"/>
  <c r="CO121" i="24"/>
  <c r="CK121" i="24"/>
  <c r="CE121" i="24"/>
  <c r="CA121" i="24"/>
  <c r="DA120" i="24"/>
  <c r="CW120" i="24"/>
  <c r="CK120" i="24"/>
  <c r="CE120" i="24"/>
  <c r="CA120" i="24"/>
  <c r="AO120" i="24"/>
  <c r="AN120" i="24"/>
  <c r="AM120" i="24"/>
  <c r="CW117" i="24"/>
  <c r="CO117" i="24"/>
  <c r="CK117" i="24"/>
  <c r="CE117" i="24"/>
  <c r="CA117" i="24"/>
  <c r="AN363" i="21"/>
  <c r="AN51" i="21"/>
  <c r="AN776" i="21"/>
  <c r="AV757" i="21"/>
  <c r="AU757" i="21"/>
  <c r="AT757" i="21"/>
  <c r="AS757" i="21"/>
  <c r="AP757" i="21"/>
  <c r="AO757" i="21"/>
  <c r="AV756" i="21"/>
  <c r="AU756" i="21"/>
  <c r="AT756" i="21"/>
  <c r="AS756" i="21"/>
  <c r="AP756" i="21"/>
  <c r="AV765" i="21"/>
  <c r="AU765" i="21"/>
  <c r="AT765" i="21"/>
  <c r="AS765" i="21"/>
  <c r="AP765" i="21"/>
  <c r="AO765" i="21"/>
  <c r="AV54" i="21"/>
  <c r="AT54" i="21"/>
  <c r="AU54" i="21"/>
  <c r="AS54" i="21"/>
  <c r="AP54" i="21"/>
  <c r="AO54" i="21"/>
  <c r="DA740" i="21"/>
  <c r="DE740" i="21"/>
  <c r="AN740" i="21"/>
  <c r="AN25" i="21"/>
  <c r="DA25" i="21"/>
  <c r="DE25" i="21"/>
  <c r="AN714" i="21"/>
  <c r="AN603" i="21"/>
  <c r="AN709" i="21"/>
  <c r="AN644" i="21"/>
  <c r="DA744" i="21"/>
  <c r="DE744" i="21"/>
  <c r="AN744" i="21"/>
  <c r="AN342" i="21"/>
  <c r="AN463" i="21"/>
  <c r="DA639" i="21"/>
  <c r="DE639" i="21"/>
  <c r="AN639" i="21"/>
  <c r="AN637" i="21"/>
  <c r="AN409" i="21"/>
  <c r="AN410" i="21"/>
  <c r="AN366" i="21"/>
  <c r="AN600" i="21"/>
  <c r="AP598" i="21"/>
  <c r="AN596" i="21"/>
  <c r="AN595" i="21"/>
  <c r="AN167" i="21"/>
  <c r="AN365" i="21"/>
  <c r="DE516" i="21"/>
  <c r="DA516" i="21"/>
  <c r="DA500" i="21"/>
  <c r="DA499" i="21"/>
  <c r="DE499" i="21"/>
  <c r="DA498" i="21"/>
  <c r="DE498" i="21"/>
  <c r="AN499" i="21"/>
  <c r="AN498" i="21"/>
  <c r="DA496" i="21"/>
  <c r="DE496" i="21"/>
  <c r="AN55" i="21"/>
  <c r="AN359" i="21"/>
  <c r="AN361" i="21"/>
  <c r="DA449" i="21"/>
  <c r="DE449" i="21"/>
  <c r="AN449" i="21"/>
  <c r="DA678" i="21"/>
  <c r="AN688" i="21"/>
  <c r="AN402" i="21"/>
  <c r="DA646" i="21"/>
  <c r="DE646" i="21"/>
  <c r="AN371" i="21"/>
  <c r="AN571" i="21"/>
  <c r="DD287" i="21"/>
  <c r="AP287" i="21"/>
  <c r="AO287" i="21"/>
  <c r="DA340" i="21"/>
  <c r="DE340" i="21"/>
  <c r="DA319" i="21"/>
  <c r="AN284" i="21"/>
  <c r="DA437" i="21"/>
  <c r="DE437" i="21"/>
  <c r="AN437" i="21"/>
  <c r="AN275" i="21"/>
  <c r="AN277" i="21"/>
  <c r="AN276" i="21"/>
  <c r="DA268" i="21"/>
  <c r="DE268" i="21"/>
  <c r="AN268" i="21"/>
  <c r="DA390" i="21"/>
  <c r="DE390" i="21"/>
  <c r="AN390" i="21"/>
  <c r="DE248" i="21"/>
  <c r="DA248" i="21"/>
  <c r="AN248" i="21"/>
  <c r="DA542" i="21"/>
  <c r="DE542" i="21"/>
  <c r="DE187" i="21"/>
  <c r="DA193" i="21"/>
  <c r="DE193" i="21"/>
  <c r="DA199" i="21"/>
  <c r="DE199" i="21"/>
  <c r="AP187" i="21"/>
  <c r="AP193" i="21"/>
  <c r="AP199" i="21"/>
  <c r="AN185" i="21"/>
  <c r="AN184" i="21"/>
  <c r="AN186" i="21"/>
  <c r="AN181" i="21"/>
  <c r="AN179" i="21"/>
  <c r="AN763" i="21"/>
  <c r="AN577" i="21"/>
  <c r="AN466" i="21"/>
  <c r="AN170" i="21"/>
  <c r="AN171" i="21"/>
  <c r="AN173" i="21"/>
  <c r="AN174" i="21"/>
  <c r="AN172" i="21"/>
  <c r="AN558" i="21"/>
  <c r="AN364" i="21"/>
  <c r="AN52" i="21"/>
  <c r="AN180" i="21"/>
  <c r="AN156" i="21"/>
  <c r="DA152" i="21"/>
  <c r="DE152" i="21"/>
  <c r="DA381" i="21"/>
  <c r="DE381" i="21"/>
  <c r="DA397" i="21"/>
  <c r="DE397" i="21"/>
  <c r="DA512" i="21"/>
  <c r="DE512" i="21"/>
  <c r="AP512" i="21"/>
  <c r="AO512" i="21"/>
  <c r="DA510" i="21"/>
  <c r="DE510" i="21"/>
  <c r="DA49" i="21"/>
  <c r="DE49" i="21"/>
  <c r="DA563" i="21"/>
  <c r="DE563" i="21"/>
  <c r="DE39" i="21"/>
  <c r="DA39" i="21"/>
  <c r="DE17" i="21"/>
  <c r="DA17" i="21"/>
  <c r="B329" i="22"/>
  <c r="CN119" i="22"/>
  <c r="CJ119" i="22"/>
  <c r="CB119" i="22"/>
  <c r="BX119" i="22"/>
  <c r="BR119" i="22"/>
  <c r="BN119" i="22"/>
  <c r="CN118" i="22"/>
  <c r="CJ118" i="22"/>
  <c r="CB118" i="22"/>
  <c r="BX118" i="22"/>
  <c r="BR118" i="22"/>
  <c r="BN118" i="22"/>
  <c r="BX117" i="22"/>
  <c r="BR117" i="22"/>
  <c r="BN117" i="22"/>
  <c r="AG117" i="22"/>
  <c r="AG116" i="22"/>
  <c r="AG115" i="22"/>
  <c r="DJ114" i="22"/>
  <c r="DF114" i="22"/>
  <c r="CX114" i="22"/>
  <c r="CT114" i="22"/>
  <c r="CN114" i="22"/>
  <c r="CJ114" i="22"/>
  <c r="CB114" i="22"/>
  <c r="BX114" i="22"/>
  <c r="BR114" i="22"/>
  <c r="BN114" i="22"/>
  <c r="BX113" i="22"/>
  <c r="BR113" i="22"/>
  <c r="BN113" i="22"/>
  <c r="BX112" i="22"/>
  <c r="BR112" i="22"/>
  <c r="BN112" i="22"/>
  <c r="AG112" i="22"/>
  <c r="BX111" i="22"/>
  <c r="BR111" i="22"/>
  <c r="BN111" i="22"/>
  <c r="AG111" i="22"/>
  <c r="BX110" i="22"/>
  <c r="BR110" i="22"/>
  <c r="BN110" i="22"/>
  <c r="AG110" i="22"/>
  <c r="BR106" i="22"/>
  <c r="BN106" i="22"/>
  <c r="AG106" i="22"/>
  <c r="BR105" i="22"/>
  <c r="BN105" i="22"/>
  <c r="AG104" i="22"/>
  <c r="BR103" i="22"/>
  <c r="BN103" i="22"/>
  <c r="AG103" i="22"/>
  <c r="BR102" i="22"/>
  <c r="BN102" i="22"/>
  <c r="AG102" i="22"/>
  <c r="BR101" i="22"/>
  <c r="BN101" i="22"/>
  <c r="AG101" i="22"/>
  <c r="DT98" i="22"/>
  <c r="DP98" i="22"/>
  <c r="DJ98" i="22"/>
  <c r="DF98" i="22"/>
  <c r="CX98" i="22"/>
  <c r="CT98" i="22"/>
  <c r="CN98" i="22"/>
  <c r="CJ98" i="22"/>
  <c r="CB98" i="22"/>
  <c r="BX98" i="22"/>
  <c r="BR98" i="22"/>
  <c r="BN98" i="22"/>
  <c r="CS97" i="22"/>
  <c r="CM97" i="22"/>
  <c r="CI97" i="22"/>
  <c r="BW97" i="22"/>
  <c r="BQ97" i="22"/>
  <c r="BM97" i="22"/>
  <c r="AG97" i="22"/>
  <c r="CA96" i="22"/>
  <c r="BW96" i="22"/>
  <c r="BQ96" i="22"/>
  <c r="BM96" i="22"/>
  <c r="AG96" i="22"/>
  <c r="CN95" i="22"/>
  <c r="CJ95" i="22"/>
  <c r="CB95" i="22"/>
  <c r="BX95" i="22"/>
  <c r="BR95" i="22"/>
  <c r="BN95" i="22"/>
  <c r="BR93" i="22"/>
  <c r="BN93" i="22"/>
  <c r="AG93" i="22"/>
  <c r="DJ92" i="22"/>
  <c r="DF92" i="22"/>
  <c r="CT92" i="22"/>
  <c r="CJ92" i="22"/>
  <c r="CB92" i="22"/>
  <c r="BX92" i="22"/>
  <c r="BR92" i="22"/>
  <c r="BN92" i="22"/>
  <c r="AG92" i="22"/>
  <c r="BR91" i="22"/>
  <c r="BN91" i="22"/>
  <c r="AG91" i="22"/>
  <c r="CB90" i="22"/>
  <c r="BX90" i="22"/>
  <c r="BR90" i="22"/>
  <c r="BN90" i="22"/>
  <c r="AG90" i="22"/>
  <c r="DT89" i="22"/>
  <c r="DP89" i="22"/>
  <c r="DJ89" i="22"/>
  <c r="DF89" i="22"/>
  <c r="CX89" i="22"/>
  <c r="CT89" i="22"/>
  <c r="CN89" i="22"/>
  <c r="CJ89" i="22"/>
  <c r="CB89" i="22"/>
  <c r="BX89" i="22"/>
  <c r="BR89" i="22"/>
  <c r="BN89" i="22"/>
  <c r="AG89" i="22"/>
  <c r="CN88" i="22"/>
  <c r="CJ88" i="22"/>
  <c r="CB88" i="22"/>
  <c r="BX88" i="22"/>
  <c r="BR88" i="22"/>
  <c r="BN88" i="22"/>
  <c r="AG88" i="22"/>
  <c r="AG87" i="22"/>
  <c r="AG86" i="22"/>
  <c r="AG85" i="22"/>
  <c r="AG84" i="22"/>
  <c r="AG83" i="22"/>
  <c r="AG82" i="22"/>
  <c r="AG81" i="22"/>
  <c r="BR80" i="22"/>
  <c r="BN80" i="22"/>
  <c r="AG80" i="22"/>
  <c r="BR79" i="22"/>
  <c r="BN79" i="22"/>
  <c r="AG79" i="22"/>
  <c r="BR78" i="22"/>
  <c r="BN78" i="22"/>
  <c r="AG78" i="22"/>
  <c r="BR77" i="22"/>
  <c r="BN77" i="22"/>
  <c r="AG77" i="22"/>
  <c r="BR76" i="22"/>
  <c r="BN76" i="22"/>
  <c r="AG76" i="22"/>
  <c r="BR75" i="22"/>
  <c r="BN75" i="22"/>
  <c r="AG75" i="22"/>
  <c r="BR74" i="22"/>
  <c r="BN74" i="22"/>
  <c r="AG74" i="22"/>
  <c r="BR73" i="22"/>
  <c r="BN73" i="22"/>
  <c r="AG73" i="22"/>
  <c r="BR72" i="22"/>
  <c r="BN72" i="22"/>
  <c r="AG72" i="22"/>
  <c r="BR71" i="22"/>
  <c r="BN71" i="22"/>
  <c r="AG71" i="22"/>
  <c r="BR69" i="22"/>
  <c r="BN69" i="22"/>
  <c r="CN68" i="22"/>
  <c r="CJ68" i="22"/>
  <c r="CB68" i="22"/>
  <c r="BX68" i="22"/>
  <c r="BR68" i="22"/>
  <c r="BN68" i="22"/>
  <c r="BX67" i="22"/>
  <c r="BR67" i="22"/>
  <c r="BN67" i="22"/>
  <c r="BX66" i="22"/>
  <c r="BR66" i="22"/>
  <c r="BN66" i="22"/>
  <c r="BX65" i="22"/>
  <c r="BR65" i="22"/>
  <c r="BN65" i="22"/>
  <c r="BX64" i="22"/>
  <c r="BR64" i="22"/>
  <c r="BN64" i="22"/>
  <c r="BX63" i="22"/>
  <c r="BR63" i="22"/>
  <c r="BN63" i="22"/>
  <c r="BX62" i="22"/>
  <c r="BR62" i="22"/>
  <c r="BN62" i="22"/>
  <c r="BR61" i="22"/>
  <c r="BN61" i="22"/>
  <c r="AG61" i="22"/>
  <c r="CB60" i="22"/>
  <c r="BX60" i="22"/>
  <c r="BR60" i="22"/>
  <c r="BN60" i="22"/>
  <c r="AG60" i="22"/>
  <c r="DT57" i="22"/>
  <c r="DP57" i="22"/>
  <c r="DJ57" i="22"/>
  <c r="DF57" i="22"/>
  <c r="CX57" i="22"/>
  <c r="CT57" i="22"/>
  <c r="CN57" i="22"/>
  <c r="CJ57" i="22"/>
  <c r="CB57" i="22"/>
  <c r="BX57" i="22"/>
  <c r="BR57" i="22"/>
  <c r="BN57" i="22"/>
  <c r="CX56" i="22"/>
  <c r="CT56" i="22"/>
  <c r="CN56" i="22"/>
  <c r="CJ56" i="22"/>
  <c r="CB56" i="22"/>
  <c r="BX56" i="22"/>
  <c r="BR56" i="22"/>
  <c r="BN56" i="22"/>
  <c r="CX55" i="22"/>
  <c r="CT55" i="22"/>
  <c r="CN55" i="22"/>
  <c r="CJ55" i="22"/>
  <c r="CB55" i="22"/>
  <c r="BX55" i="22"/>
  <c r="BR55" i="22"/>
  <c r="BN55" i="22"/>
  <c r="CX54" i="22"/>
  <c r="CT54" i="22"/>
  <c r="CN54" i="22"/>
  <c r="CJ54" i="22"/>
  <c r="CB54" i="22"/>
  <c r="BX54" i="22"/>
  <c r="BR54" i="22"/>
  <c r="BN54" i="22"/>
  <c r="BR53" i="22"/>
  <c r="BN53" i="22"/>
  <c r="AG52" i="22"/>
  <c r="CN50" i="22"/>
  <c r="CJ50" i="22"/>
  <c r="CB50" i="22"/>
  <c r="BX50" i="22"/>
  <c r="BR50" i="22"/>
  <c r="AG50" i="22"/>
  <c r="BR49" i="22"/>
  <c r="BN49" i="22"/>
  <c r="AG49" i="22"/>
  <c r="DJ48" i="22"/>
  <c r="DF48" i="22"/>
  <c r="CX48" i="22"/>
  <c r="CT48" i="22"/>
  <c r="CN48" i="22"/>
  <c r="CJ48" i="22"/>
  <c r="CB48" i="22"/>
  <c r="BX48" i="22"/>
  <c r="BR48" i="22"/>
  <c r="BN48" i="22"/>
  <c r="AH48" i="22"/>
  <c r="CB47" i="22"/>
  <c r="BX47" i="22"/>
  <c r="BR47" i="22"/>
  <c r="BN47" i="22"/>
  <c r="AG47" i="22"/>
  <c r="CN46" i="22"/>
  <c r="CJ46" i="22"/>
  <c r="CB46" i="22"/>
  <c r="BX46" i="22"/>
  <c r="BR46" i="22"/>
  <c r="BN46" i="22"/>
  <c r="AG46" i="22"/>
  <c r="DJ45" i="22"/>
  <c r="DF45" i="22"/>
  <c r="CX45" i="22"/>
  <c r="CT45" i="22"/>
  <c r="CN45" i="22"/>
  <c r="CJ45" i="22"/>
  <c r="CB45" i="22"/>
  <c r="BX45" i="22"/>
  <c r="BR45" i="22"/>
  <c r="BN45" i="22"/>
  <c r="AH45" i="22"/>
  <c r="CX44" i="22"/>
  <c r="CT44" i="22"/>
  <c r="CN44" i="22"/>
  <c r="CJ44" i="22"/>
  <c r="CB44" i="22"/>
  <c r="BX44" i="22"/>
  <c r="BR44" i="22"/>
  <c r="BN44" i="22"/>
  <c r="BR42" i="22"/>
  <c r="BN42" i="22"/>
  <c r="AG42" i="22"/>
  <c r="CN41" i="22"/>
  <c r="CJ41" i="22"/>
  <c r="CB41" i="22"/>
  <c r="BX41" i="22"/>
  <c r="BR41" i="22"/>
  <c r="BN41" i="22"/>
  <c r="AG41" i="22"/>
  <c r="BQ39" i="22"/>
  <c r="BM39" i="22"/>
  <c r="CA38" i="22"/>
  <c r="BW38" i="22"/>
  <c r="BQ38" i="22"/>
  <c r="BM38" i="22"/>
  <c r="CN37" i="22"/>
  <c r="CJ37" i="22"/>
  <c r="CB37" i="22"/>
  <c r="BX37" i="22"/>
  <c r="BR37" i="22"/>
  <c r="BN37" i="22"/>
  <c r="AO36" i="22"/>
  <c r="AN36" i="22"/>
  <c r="AG36" i="22"/>
  <c r="AO35" i="22"/>
  <c r="AN35" i="22"/>
  <c r="AG35" i="22"/>
  <c r="CB34" i="22"/>
  <c r="BX34" i="22"/>
  <c r="BR34" i="22"/>
  <c r="BN34" i="22"/>
  <c r="AG34" i="22"/>
  <c r="CB33" i="22"/>
  <c r="BX33" i="22"/>
  <c r="BR33" i="22"/>
  <c r="BN33" i="22"/>
  <c r="AG33" i="22"/>
  <c r="CB32" i="22"/>
  <c r="BX32" i="22"/>
  <c r="BR32" i="22"/>
  <c r="BN32" i="22"/>
  <c r="AG32" i="22"/>
  <c r="CB31" i="22"/>
  <c r="BX31" i="22"/>
  <c r="BR31" i="22"/>
  <c r="BN31" i="22"/>
  <c r="AG31" i="22"/>
  <c r="CX30" i="22"/>
  <c r="CT30" i="22"/>
  <c r="CN30" i="22"/>
  <c r="CJ30" i="22"/>
  <c r="CB30" i="22"/>
  <c r="BX30" i="22"/>
  <c r="BR30" i="22"/>
  <c r="BN30" i="22"/>
  <c r="AI30" i="22"/>
  <c r="AH30" i="22"/>
  <c r="CX29" i="22"/>
  <c r="CT29" i="22"/>
  <c r="CN29" i="22"/>
  <c r="CJ29" i="22"/>
  <c r="CB29" i="22"/>
  <c r="BX29" i="22"/>
  <c r="BR29" i="22"/>
  <c r="BN29" i="22"/>
  <c r="AI29" i="22"/>
  <c r="AH29" i="22"/>
  <c r="CB27" i="22"/>
  <c r="BX27" i="22"/>
  <c r="BR27" i="22"/>
  <c r="BN27" i="22"/>
  <c r="EK26" i="22"/>
  <c r="EE26" i="22"/>
  <c r="EA26" i="22"/>
  <c r="DT26" i="22"/>
  <c r="DP26" i="22"/>
  <c r="DJ26" i="22"/>
  <c r="DF26" i="22"/>
  <c r="CX26" i="22"/>
  <c r="CT26" i="22"/>
  <c r="CN26" i="22"/>
  <c r="CJ26" i="22"/>
  <c r="CB26" i="22"/>
  <c r="BX26" i="22"/>
  <c r="BR26" i="22"/>
  <c r="BN26" i="22"/>
  <c r="AG26" i="22"/>
  <c r="BX25" i="22"/>
  <c r="BR25" i="22"/>
  <c r="BN25" i="22"/>
  <c r="AG25" i="22"/>
  <c r="BR24" i="22"/>
  <c r="BN24" i="22"/>
  <c r="CB23" i="22"/>
  <c r="BX23" i="22"/>
  <c r="BR23" i="22"/>
  <c r="BN23" i="22"/>
  <c r="CB22" i="22"/>
  <c r="BX22" i="22"/>
  <c r="BR22" i="22"/>
  <c r="BN22" i="22"/>
  <c r="CB21" i="22"/>
  <c r="BX21" i="22"/>
  <c r="BR21" i="22"/>
  <c r="BN21" i="22"/>
  <c r="BR19" i="22"/>
  <c r="BN19" i="22"/>
  <c r="AG18" i="22"/>
  <c r="CB17" i="22"/>
  <c r="BX17" i="22"/>
  <c r="BR17" i="22"/>
  <c r="BN17" i="22"/>
  <c r="DT16" i="22"/>
  <c r="DP16" i="22"/>
  <c r="DJ16" i="22"/>
  <c r="DF16" i="22"/>
  <c r="CX16" i="22"/>
  <c r="CT16" i="22"/>
  <c r="CN16" i="22"/>
  <c r="CJ16" i="22"/>
  <c r="CB16" i="22"/>
  <c r="BX16" i="22"/>
  <c r="BR16" i="22"/>
  <c r="BN16" i="22"/>
  <c r="BR15" i="22"/>
  <c r="BN15" i="22"/>
  <c r="CN13" i="22"/>
  <c r="CJ13" i="22"/>
  <c r="CB13" i="22"/>
  <c r="BX13" i="22"/>
  <c r="BR13" i="22"/>
  <c r="BN13" i="22"/>
  <c r="DJ12" i="22"/>
  <c r="DF12" i="22"/>
  <c r="CX12" i="22"/>
  <c r="CT12" i="22"/>
  <c r="CN12" i="22"/>
  <c r="CJ12" i="22"/>
  <c r="CB12" i="22"/>
  <c r="BX12" i="22"/>
  <c r="BR12" i="22"/>
  <c r="BN12" i="22"/>
  <c r="CN11" i="22"/>
  <c r="CJ11" i="22"/>
  <c r="BX11" i="22"/>
  <c r="BR11" i="22"/>
  <c r="BN11" i="22"/>
  <c r="AI11" i="22"/>
  <c r="AH11" i="22"/>
  <c r="AG11" i="22"/>
  <c r="CA8" i="22"/>
  <c r="BZ8" i="22"/>
  <c r="BW8" i="22"/>
  <c r="BV8" i="22"/>
  <c r="BQ8" i="22"/>
  <c r="BP8" i="22"/>
  <c r="BM8" i="22"/>
  <c r="BL8" i="22"/>
  <c r="CA7" i="22"/>
  <c r="BZ7" i="22"/>
  <c r="BW7" i="22"/>
  <c r="BV7" i="22"/>
  <c r="BQ7" i="22"/>
  <c r="BP7" i="22"/>
  <c r="BM7" i="22"/>
  <c r="BL7" i="22"/>
  <c r="CA6" i="22"/>
  <c r="BZ6" i="22"/>
  <c r="BW6" i="22"/>
  <c r="BV6" i="22"/>
  <c r="BQ6" i="22"/>
  <c r="BP6" i="22"/>
  <c r="BM6" i="22"/>
  <c r="BL6" i="22"/>
  <c r="CA5" i="22"/>
  <c r="BZ5" i="22"/>
  <c r="BW5" i="22"/>
  <c r="BV5" i="22"/>
  <c r="BQ5" i="22"/>
  <c r="BP5" i="22"/>
  <c r="BM5" i="22"/>
  <c r="BL5" i="22"/>
  <c r="DA797" i="21"/>
  <c r="DE797" i="21"/>
  <c r="DA796" i="21"/>
  <c r="DE796" i="21"/>
  <c r="DE793" i="21"/>
  <c r="DA793" i="21"/>
  <c r="AN793" i="21"/>
  <c r="AN787" i="21"/>
  <c r="AN629" i="21"/>
  <c r="DE140" i="21"/>
  <c r="DA140" i="21"/>
  <c r="DE750" i="21"/>
  <c r="DA750" i="21"/>
  <c r="AN743" i="21"/>
  <c r="DE772" i="21"/>
  <c r="DA772" i="21"/>
  <c r="DE774" i="21"/>
  <c r="DA774" i="21"/>
  <c r="DE743" i="21"/>
  <c r="DA743" i="21"/>
  <c r="AN411" i="21"/>
  <c r="DE411" i="21"/>
  <c r="DA411" i="21"/>
  <c r="DA687" i="21"/>
  <c r="DE687" i="21"/>
  <c r="AN661" i="21"/>
  <c r="DA771" i="21"/>
  <c r="DE771" i="21"/>
  <c r="DA747" i="21"/>
  <c r="DE747" i="21"/>
  <c r="DA746" i="21"/>
  <c r="DE746" i="21"/>
  <c r="AN771" i="21"/>
  <c r="AN747" i="21"/>
  <c r="AN746" i="21"/>
  <c r="DA549" i="21"/>
  <c r="DE549" i="21"/>
  <c r="CZ540" i="21"/>
  <c r="CZ544" i="21"/>
  <c r="DD544" i="21"/>
  <c r="AN544" i="21"/>
  <c r="DA27" i="21"/>
  <c r="DE27" i="21"/>
  <c r="DA530" i="21"/>
  <c r="DA528" i="21"/>
  <c r="DA529" i="21"/>
  <c r="DE530" i="21"/>
  <c r="DE528" i="21"/>
  <c r="AN528" i="21"/>
  <c r="AN530" i="21"/>
  <c r="AN529" i="21"/>
  <c r="DE529" i="21"/>
  <c r="AN527" i="21"/>
  <c r="DE527" i="21"/>
  <c r="DA527" i="21"/>
  <c r="DE518" i="21"/>
  <c r="DA518" i="21"/>
  <c r="DE521" i="21"/>
  <c r="DA521" i="21"/>
  <c r="AN524" i="21"/>
  <c r="AN523" i="21"/>
  <c r="AN522" i="21"/>
  <c r="AN518" i="21"/>
  <c r="AN521" i="21"/>
  <c r="AN519" i="21"/>
  <c r="AN525" i="21"/>
  <c r="AN520" i="21"/>
  <c r="AN526" i="21"/>
  <c r="DA513" i="21"/>
  <c r="DE513" i="21"/>
  <c r="DA511" i="21"/>
  <c r="DE511" i="21"/>
  <c r="DA509" i="21"/>
  <c r="DE509" i="21"/>
  <c r="DA515" i="21"/>
  <c r="DE515" i="21"/>
  <c r="DA507" i="21"/>
  <c r="DE507" i="21"/>
  <c r="DA721" i="21"/>
  <c r="DE721" i="21"/>
  <c r="DA677" i="21"/>
  <c r="DE677" i="21"/>
  <c r="DA676" i="21"/>
  <c r="DE676" i="21"/>
  <c r="DA789" i="21"/>
  <c r="DE789" i="21"/>
  <c r="DE506" i="21"/>
  <c r="DA506" i="21"/>
  <c r="AN513" i="21"/>
  <c r="AN507" i="21"/>
  <c r="AN789" i="21"/>
  <c r="AN515" i="21"/>
  <c r="AN676" i="21"/>
  <c r="AN509" i="21"/>
  <c r="AN677" i="21"/>
  <c r="AN511" i="21"/>
  <c r="AN721" i="21"/>
  <c r="AN506" i="21"/>
  <c r="DA475" i="21"/>
  <c r="DE475" i="21"/>
  <c r="DE474" i="21"/>
  <c r="DA474" i="21"/>
  <c r="DE473" i="21"/>
  <c r="DA473" i="21"/>
  <c r="DE472" i="21"/>
  <c r="DA472" i="21"/>
  <c r="DE471" i="21"/>
  <c r="DA471" i="21"/>
  <c r="DE470" i="21"/>
  <c r="DA470" i="21"/>
  <c r="DE469" i="21"/>
  <c r="DA469" i="21"/>
  <c r="DE468" i="21"/>
  <c r="DA468" i="21"/>
  <c r="DE352" i="21"/>
  <c r="DA352" i="21"/>
  <c r="AN352" i="21"/>
  <c r="DA279" i="21"/>
  <c r="AN279" i="21"/>
  <c r="DE653" i="21"/>
  <c r="DA94" i="21"/>
  <c r="AN235" i="21"/>
  <c r="DE385" i="21"/>
  <c r="DA385" i="21"/>
  <c r="DE384" i="21"/>
  <c r="DA384" i="21"/>
  <c r="AO385" i="21"/>
  <c r="AO384" i="21"/>
  <c r="AN33" i="21"/>
  <c r="AN30" i="21"/>
  <c r="AN379" i="21"/>
  <c r="AN375" i="21"/>
  <c r="DE280" i="21"/>
  <c r="DA280" i="21"/>
  <c r="AN280" i="21"/>
  <c r="AN281" i="21"/>
  <c r="DE243" i="21"/>
  <c r="DA243" i="21"/>
  <c r="AN81" i="21"/>
  <c r="AN69" i="21"/>
  <c r="AN67" i="21"/>
  <c r="AN65" i="21"/>
  <c r="DE118" i="21"/>
  <c r="DA118" i="21"/>
  <c r="DE97" i="21"/>
  <c r="DA97" i="21"/>
  <c r="AN97" i="21"/>
  <c r="DA98" i="21"/>
  <c r="AN98" i="21"/>
  <c r="DA628" i="21"/>
  <c r="DE628" i="21"/>
  <c r="DA209" i="21"/>
  <c r="DE209" i="21"/>
  <c r="DA208" i="21"/>
  <c r="DE208" i="21"/>
  <c r="DA147" i="21"/>
  <c r="DE61" i="21"/>
  <c r="DA61" i="21"/>
  <c r="AN60" i="21"/>
  <c r="DE46" i="21"/>
  <c r="DE47" i="21"/>
  <c r="DE48" i="21"/>
  <c r="DA46" i="21"/>
  <c r="DA47" i="21"/>
  <c r="DA48" i="21"/>
  <c r="DE264" i="21"/>
  <c r="DA264" i="21"/>
  <c r="DA101" i="21"/>
  <c r="DD222" i="21"/>
  <c r="CZ83" i="21"/>
  <c r="DD421" i="21"/>
  <c r="DD83" i="21"/>
  <c r="DD91" i="21"/>
  <c r="DD219" i="21"/>
  <c r="DD220" i="21"/>
  <c r="CZ91" i="21"/>
  <c r="CZ422" i="21"/>
  <c r="CZ222" i="21"/>
  <c r="CY222" i="21"/>
  <c r="CY422" i="21"/>
  <c r="CY432" i="21" s="1"/>
  <c r="CZ421" i="21"/>
  <c r="CY421" i="21"/>
  <c r="DD221" i="21"/>
  <c r="DC221" i="21"/>
  <c r="CZ221" i="21"/>
  <c r="CY221" i="21"/>
  <c r="DC222" i="21"/>
  <c r="DC423" i="21" s="1"/>
  <c r="DC427" i="21" s="1"/>
  <c r="DC421" i="21"/>
  <c r="CY83" i="21"/>
  <c r="CY91" i="21"/>
  <c r="DC91" i="21"/>
  <c r="DC83" i="21"/>
  <c r="DC220" i="21"/>
  <c r="DC219" i="21"/>
  <c r="C266" i="20"/>
  <c r="E182" i="1"/>
  <c r="C182" i="1"/>
  <c r="C296" i="2"/>
  <c r="F296" i="2"/>
  <c r="G182" i="1"/>
  <c r="I182" i="1"/>
  <c r="L296" i="2"/>
  <c r="H296" i="2"/>
  <c r="DC424" i="21" l="1"/>
  <c r="DC428" i="21" s="1"/>
  <c r="DC431" i="21"/>
  <c r="CY424" i="21"/>
  <c r="CY423" i="21"/>
  <c r="CY428" i="21" s="1"/>
</calcChain>
</file>

<file path=xl/sharedStrings.xml><?xml version="1.0" encoding="utf-8"?>
<sst xmlns="http://schemas.openxmlformats.org/spreadsheetml/2006/main" count="78439" uniqueCount="8309">
  <si>
    <t xml:space="preserve">PMID </t>
  </si>
  <si>
    <t>AbstractScreening_MS (1=include; 0 = exclude)</t>
  </si>
  <si>
    <t>Notes</t>
  </si>
  <si>
    <t>Brain measures?</t>
  </si>
  <si>
    <t>Fysiological measures?</t>
  </si>
  <si>
    <t>Task?</t>
  </si>
  <si>
    <t>PTSD Model?</t>
  </si>
  <si>
    <t xml:space="preserve">RDoC cluster? </t>
  </si>
  <si>
    <t>PTSD subjects?</t>
  </si>
  <si>
    <t>PMID (op alfabet)</t>
  </si>
  <si>
    <t>marine navy</t>
  </si>
  <si>
    <t>fear conditioning</t>
  </si>
  <si>
    <t>no?</t>
  </si>
  <si>
    <t>startle</t>
  </si>
  <si>
    <t>end of life distress in ptsd veterans</t>
  </si>
  <si>
    <t>cognitive bias/excutive control</t>
  </si>
  <si>
    <t>go/no-go</t>
  </si>
  <si>
    <t>mTBI &amp; PTSD veterans</t>
  </si>
  <si>
    <t>military population</t>
  </si>
  <si>
    <t>discrimination-and-transfer task</t>
  </si>
  <si>
    <t>PTSD veterans</t>
  </si>
  <si>
    <t>cognitive controle</t>
  </si>
  <si>
    <t>fear learning</t>
  </si>
  <si>
    <t>?</t>
  </si>
  <si>
    <t>-</t>
  </si>
  <si>
    <t>ptsd veterans</t>
  </si>
  <si>
    <t>nog extra checken vermoedelijk geen ptsd en twijfel over maten relevant zijn/ ook oud 1975</t>
  </si>
  <si>
    <t>mTBI</t>
  </si>
  <si>
    <t>executive functioning</t>
  </si>
  <si>
    <t>ptsd &amp; fibromyalgia; geen cog. Maat</t>
  </si>
  <si>
    <t>emotional stroop</t>
  </si>
  <si>
    <t>attention</t>
  </si>
  <si>
    <t>interferance/ attentional bias</t>
  </si>
  <si>
    <t>eeg</t>
  </si>
  <si>
    <t>visual motor-task target stimuli (pictures of domestic animals), non-target probe stimuli (combat-related pictures), and non-target irrelevant stimuli (</t>
  </si>
  <si>
    <t>interferance/ attentional bias?</t>
  </si>
  <si>
    <t>substance use &amp; sleep quality</t>
  </si>
  <si>
    <t>coping &amp; ptsd</t>
  </si>
  <si>
    <t>somatosensory processing</t>
  </si>
  <si>
    <t>meg</t>
  </si>
  <si>
    <t xml:space="preserve">RDoC (sub)construct </t>
  </si>
  <si>
    <t>neuroimaging classificatie van patienten met verschillende diagnoses, maar check tekst of er een taak wordt gedaan</t>
  </si>
  <si>
    <t>mri</t>
  </si>
  <si>
    <t>mtbi, maar ook ptsd schaal</t>
  </si>
  <si>
    <t>resting state mri</t>
  </si>
  <si>
    <t>checken of het effect ptsd eruit gehaald kan worden. Wrsl sample te klein</t>
  </si>
  <si>
    <t>visual attention</t>
  </si>
  <si>
    <t>pTSD veterans</t>
  </si>
  <si>
    <t>cardiac?</t>
  </si>
  <si>
    <t>Trail Making Tes</t>
  </si>
  <si>
    <t>HR &amp; DBP</t>
  </si>
  <si>
    <t>relived anger task</t>
  </si>
  <si>
    <t>feel angry</t>
  </si>
  <si>
    <t>not cognitive? Check full tekst</t>
  </si>
  <si>
    <t xml:space="preserve">forensic </t>
  </si>
  <si>
    <t>opiod system review</t>
  </si>
  <si>
    <t>fmri</t>
  </si>
  <si>
    <t>SC</t>
  </si>
  <si>
    <t>emotional movies</t>
  </si>
  <si>
    <t>no cognition</t>
  </si>
  <si>
    <t>chronic ptsd</t>
  </si>
  <si>
    <t>quality of life measures</t>
  </si>
  <si>
    <t xml:space="preserve">mTBI &amp; PTSD </t>
  </si>
  <si>
    <t>Paced Auditory Serial Addition Test (PASAT), Rey Auditory Verbal Learning Test (RAVLT), Conners' Continuous Performance Test II (CPT II), and Halstead Impairment Index (HII) including the Booklet Category Test (BCT)</t>
  </si>
  <si>
    <t>perception, learning?</t>
  </si>
  <si>
    <t>neurologische assesment</t>
  </si>
  <si>
    <t>imagery</t>
  </si>
  <si>
    <t>taak</t>
  </si>
  <si>
    <t>identity &amp; suicide / kwalitatief</t>
  </si>
  <si>
    <t>script-driven imagery.</t>
  </si>
  <si>
    <t>telehealth interventie</t>
  </si>
  <si>
    <t>future thinken &amp; social problem-solving task</t>
  </si>
  <si>
    <t>autobiografic memory &amp; problem solving</t>
  </si>
  <si>
    <t>memory</t>
  </si>
  <si>
    <t>generalization of memory</t>
  </si>
  <si>
    <t>Acheson, D. T., Geyer, M. A., Baker, D. G., Nievergelt, C. M., Yurgil, K., &amp; Risbrough, V. B. (2015). Conditioned fear and extinction learning performance and its association with psychiatric symptoms in active duty Marines. Psychoneuroendocrinology, 51, 495–505. Journal Article, Research Support, N.I.H., Extramural, Research Support, U.S. Gov’t, Non-P.H.S. http://doi.org/10.1016/j.psyneuen.2014.09.030</t>
  </si>
  <si>
    <t>Alici, Y., Smith, D., Lu, H. L., Bailey, A., Shreve, S., Rosenfeld, K., … Casarett, D. J. (2010). Families’ perceptions of veterans’ distress due to post-traumatic stress disorder-related symptoms at the end of life. Journal of Pain and Symptom Management, 39(3), 507–514. Journal Article, Research Support, U.S. Gov’t, Non-P.H.S. http://doi.org/10.1016/j.jpainsymman.2009.07.011</t>
  </si>
  <si>
    <t>Amick, M. M., Clark, A., Fortier, C. B., Esterman, M., Rasmusson, A. M., Kenna, A., … McGlinchey, R. (2013). PTSD modifies performance on a task of affective executive control among deployed OEF/OIF veterans with mild traumatic brain injury. Journal of the International Neuropsychological Society : JINS, 19(7), 792–801. Comparative Study, Journal Article, Research Support, Non-U.S. Gov’t. http://doi.org/10.1017/S1355617713000544</t>
  </si>
  <si>
    <t>Anastasides, N., Beck, K. D., Pang, K. C. H., Servatius, R. J., Gilbertson, M. W., Orr, S. P., &amp; Myers, C. E. (2015). Increased generalization of learned associations is related to re-experiencing symptoms in veterans with symptoms of post-traumatic stress. Stress (Amsterdam, Netherlands), 18(4), 484–489. Journal Article, Research Support, N.I.H., Extramural, Research Support, U.S. Gov’t, Non-P.H.S. http://doi.org/10.3109/10253890.2015.1053450</t>
  </si>
  <si>
    <t>Anger, W. K., Storzbach, D., Binder, L. M., Campbell, K. A., Rohlman, D. S., McCauley, L., … Davis, K. L. (1999). Neurobehavioral deficits in Persian Gulf veterans: evidence from a population-based study. Portland Environmental Hazards Research Center. Journal of the International Neuropsychological Society : JINS, 5(3), 203–212. Journal Article, Research Support, Non-U.S. Gov’t, Research Support, U.S. Gov’t, Non-P.H.S.</t>
  </si>
  <si>
    <t>Apperson, L. B., &amp; Stinnett, P. W. (1975). Parental factors as reported by patient groups. Journal of Clinical Psychology, 31(3), 419–425. Journal Article, Research Support, U.S. Gov’t, P.H.S.</t>
  </si>
  <si>
    <t>Archer, K. R., Coronado, R. A., Haislip, L. R., Abraham, C. M., Vanston, S. W., Lazaro, A. E., … Obremskey, W. T. (2015). Telephone-based goal management training for adults with mild traumatic brain injury: study protocol for a randomized controlled trial. Trials, 16, 244. Journal Article, Randomized Controlled Trial, Research Support, U.S. Gov’t, Non-P.H.S. http://doi.org/10.1186/s13063-015-0775-1</t>
  </si>
  <si>
    <t>Arnson, Y., Amital, D., Fostick, L., Silberman, A., Polliack, M. L., Zohar, J., … Amital, H. (2007). Physical activity protects male patients with post-traumatic stress disorder from developing severe fibromyalgia. Clinical and Experimental Rheumatology, 25(4), 529–533. Journal Article.</t>
  </si>
  <si>
    <t>Ashley, V., Honzel, N., Larsen, J., Justus, T., &amp; Swick, D. (2013). Attentional bias for trauma-related words: exaggerated emotional Stroop effect in Afghanistan and Iraq war veterans with PTSD. BMC Psychiatry, 13, 86. Journal Article, Research Support, U.S. Gov’t, Non-P.H.S. http://doi.org/10.1186/1471-244X-13-86</t>
  </si>
  <si>
    <t>Attias, J., Bleich, A., &amp; Gilat, S. (1996). Classification of veterans with post-traumatic stress disorder using visual brain evoked P3s to traumatic stimuli. The British Journal of Psychiatry : The Journal of Mental Science, 168(1), 110–115. Journal Article, Research Support, Non-U.S. Gov’t.</t>
  </si>
  <si>
    <t>Babson, K. A., Boden, M. T., &amp; Bonn-Miller, M. O. (2013). The impact of perceived sleep quality and sleep efficiency/duration on cannabis use during a self-guided quit attempt. Addictive Behaviors, 38(11), 2707–2713. Comparative Study, Journal Article, Research Support, U.S. Gov’t, Non-P.H.S. http://doi.org/10.1016/j.addbeh.2013.06.012</t>
  </si>
  <si>
    <t>Badour, C. L., Blonigen, D. M., Boden, M. T., Feldner, M. T., &amp; Bonn-Miller, M. O. (2012). A longitudinal test of the bi-directional relations between avoidance coping and  PTSD severity during and after PTSD treatment. Behaviour Research and Therapy, 50(10), 610–616. Journal Article, Research Support, N.I.H., Extramural, Research Support, U.S. Gov’t, Non-P.H.S. http://doi.org/10.1016/j.brat.2012.06.006</t>
  </si>
  <si>
    <t>Badura-Brack, A. S., Becker, K. M., McDermott, T. J., Ryan, T. J., Becker, M. M., Hearley, A. R., … Wilson, T. W. (2015). Decreased somatosensory activity to non-threatening touch in combat veterans with posttraumatic stress disorder. Psychiatry Research, 233(2), 194–200. Journal Article, Research Support, N.I.H., Extramural, Research Support, Non-U.S. Gov’t. http://doi.org/10.1016/j.pscychresns.2015.06.012</t>
  </si>
  <si>
    <t>Ball, T. M., Stein, M. B., &amp; Paulus, M. P. (2014). Toward the application of functional neuroimaging to individualized treatment for anxiety and depression. Depression and Anxiety, 31(11), 920–933. Journal Article, Review. http://doi.org/10.1002/da.22299</t>
  </si>
  <si>
    <t>Banks, S. D., Coronado, R. A., Clemons, L. R., Abraham, C. M., Pruthi, S., Conrad, B. N., … Archer, K. R. (2016). Thalamic Functional Connectivity in Mild Traumatic Brain Injury: Longitudinal Associations With Patient-Reported Outcomes and Neuropsychological Tests. Archives of Physical Medicine and Rehabilitation, 97(8), 1254–1261. Journal Article. http://doi.org/10.1016/j.apmr.2016.03.013</t>
  </si>
  <si>
    <t>Barlow-Ogden, K., &amp; Poynter, W. (2012). Mild traumatic brain injury and posttraumatic stress disorder: investigation of visual attention in Operation Iraqi Freedom/Operation Enduring Freedom veterans. Journal of Rehabilitation Research and Development, 49(7), 1101–1114. Journal Article, Research Support, U.S. Gov’t, Non-P.H.S.</t>
  </si>
  <si>
    <t>Beckham, J. C., Crawford, A. L., &amp; Feldman, M. E. (1998). Trail making test performance in Vietnam combat veterans with and without posttraumatic stress disorder. Journal of Traumatic Stress, 11(4), 811–819. Journal Article, Research Support, U.S. Gov’t, P.H.S. http://doi.org/10.1023/A:1024409903617</t>
  </si>
  <si>
    <t>Beckham, J. C., Vrana, S. R., Barefoot, J. C., Feldman, M. E., Fairbank, J., &amp; Moore, S. D. (2002). Magnitude and duration of cardiovascular responses to anger in Vietnam veterans with and without posttraumatic stress disorder. Journal of Consulting and Clinical Psychology, 70(1), 228–234. Journal Article.</t>
  </si>
  <si>
    <t>Binder, R. L., &amp; McNiel, D. E. (2007). “He said--she said”: the role of the forensic evaluator in determining credibility of plaintiffs who allege sexual exploitation and boundary violations. The Journal of the American Academy of Psychiatry and the Law, 35(2), 211–218. Journal Article.</t>
  </si>
  <si>
    <t>Bodnar, R. J. (2013). Endogenous opiates and behavior: 2012. Peptides, 50, 55–95. Journal Article, Review. http://doi.org/10.1016/j.peptides.2013.10.001</t>
  </si>
  <si>
    <t>Brashers-Krug, T., &amp; Jorge, R. (2015). Bi-Directional Tuning of Amygdala Sensitivity in Combat Veterans Investigated with fMRI. PloS One, 10(6), e0130246. Journal Article, Research Support, U.S. Gov’t, Non-P.H.S. http://doi.org/10.1371/journal.pone.0130246</t>
  </si>
  <si>
    <t>Bravo-Mehmedbasic, A., Kucukalic, A., Kulenovic, A. D., &amp; Suljic, E. (2010). Impact of chronic Posttraumatic Stress Disorder on the Quality of life of war survivors. Psychiatria Danubina, 22(3), 430–435. Journal Article.</t>
  </si>
  <si>
    <t>Brenner, L. A., Ladley-O’Brien, S. E., Harwood, J. E. F., Filley, C. M., Kelly, J. P., Homaifar, B. Y., &amp; Adler, L. E. (2009). An exploratory study of neuroimaging, neurologic, and neuropsychological findings in veterans with traumatic brain injury and/or posttraumatic stress disorder. Military Medicine, 174(4), 347–352. Journal Article, Research Support, Non-U.S. Gov’t, Research Support, U.S. Gov’t, Non-P.H.S.</t>
  </si>
  <si>
    <t>Brett, E. A., &amp; Mangine, W. (1985). Imagery and combat stress in Vietnam veterans. The Journal of Nervous and Mental Disease, 173(5), 309–311. Journal Article.</t>
  </si>
  <si>
    <t>Brewin, C. R., Garnett, R., &amp; Andrews, B. (2011). Trauma, identity and mental health in UK military veterans. Psychological Medicine, 41(8), 1733–1740. Journal Article, Research Support, Non-U.S. Gov’t. http://doi.org/10.1017/S003329171000231X</t>
  </si>
  <si>
    <t>Britton, J. C., Phan, K. L., Taylor, S. F., Fig, L. M., &amp; Liberzon, I. (2005). Corticolimbic blood flow in posttraumatic stress disorder during script-driven imagery. Biological Psychiatry, 57(8), 832–840. Clinical Trial, Journal Article, Research Support, U.S. Gov’t, Non-P.H.S. http://doi.org/10.1016/j.biopsych.2004.12.025</t>
  </si>
  <si>
    <t>Brooks, E., Manson, S. M., Bair, B., Dailey, N., &amp; Shore, J. H. (2012). The diffusion of telehealth in rural American Indian communities: a retrospective survey of key stakeholders. Telemedicine Journal and E-Health : The Official Journal of the American Telemedicine Association, 18(1), 60–66. Journal Article, Research Support, N.I.H., Extramural, Research Support, U.S. Gov’t, Non-P.H.S. http://doi.org/10.1089/tmj.2011.0076</t>
  </si>
  <si>
    <t>Brown, A. D., Kouri, N. A., Rahman, N., Joscelyne, A., Bryant, R. A., &amp; Marmar, C. R. (2016). Enhancing self-efficacy improves episodic future thinking and social-decision making in combat veterans with posttraumatic stress disorder. Psychiatry Research, 242, 19–25. Journal Article. http://doi.org/10.1016/j.psychres.2016.05.026</t>
  </si>
  <si>
    <t>Brown, A. D., Root, J. C., Romano, T. A., Chang, L. J., Bryant, R. A., &amp; Hirst, W. (2013). Overgeneralized autobiographical memory and future thinking in combat veterans with posttraumatic stress disorder. Journal of Behavior Therapy and Experimental Psychiatry, 44(1), 129–134. Journal Article. http://doi.org/10.1016/j.jbtep.2011.11.004</t>
  </si>
  <si>
    <t>Buchsbaum, M. S., Simmons, A. N., DeCastro, A., Farid, N., &amp; Matthews, S. C. (2015). Clusters of Low (18)F-Fluorodeoxyglucose Uptake Voxels in Combat Veterans with Traumatic Brain Injury and Post-Traumatic Stress Disorder. Journal of Neurotrauma, 32(22), 1736–1750. Journal Article, Research Support, U.S. Gov’t, Non-P.H.S. http://doi.org/10.1089/neu.2014.3660</t>
  </si>
  <si>
    <t>Burriss, L., Ayers, E., Ginsberg, J., &amp; Powell, D. A. (2008). Learning and memory impairment in PTSD: relationship to depression. Depression and Anxiety, 25(2), 149–157. Journal Article, Research Support, Non-U.S. Gov’t. http://doi.org/10.1002/da.20291</t>
  </si>
  <si>
    <t>Cai, W.-H., Blundell, J., Han, J., Greene, R. W., &amp; Powell, C. M. (2006). Postreactivation glucocorticoids impair recall of established fear memory. The Journal of Neuroscience : The Official Journal of the Society for Neuroscience, 26(37), 9560–9566. Journal Article, Research Support, N.I.H., Extramural, Research Support, Non-U.S. Gov’t, Research Support, U.S. Gov’t, Non-P.H.S. http://doi.org/10.1523/JNEUROSCI.2397-06.2006</t>
  </si>
  <si>
    <t>Calhoun, P. S., McDonald, S. D., Guerra, V. S., Eggleston, A. M., Beckham, J. C., &amp; Straits-Troster, K. (2010). Clinical utility of the Primary Care--PTSD Screen among U.S. veterans who served  since September 11, 2001. Psychiatry Research, 178(2), 330–335. Journal Article. http://doi.org/10.1016/j.psychres.2009.11.009</t>
  </si>
  <si>
    <t>Campbell, S. B., &amp; Renshaw, K. D. (2013). PTSD symptoms, disclosure, and relationship distress: explorations of mediation and associations over time. Journal of Anxiety Disorders, 27(5), 494–502. Journal Article. http://doi.org/10.1016/j.janxdis.2013.06.007</t>
  </si>
  <si>
    <t>Carr, C., d’Ardenne, P., Sloboda, A., Scott, C., Wang, D., &amp; Priebe, S. (2012). Group music therapy for patients with persistent post-traumatic stress disorder--an exploratory randomized controlled trial with mixed methods evaluation. Psychology and Psychotherapy, 85(2), 179–202. Journal Article, Randomized Controlled Trial. http://doi.org/10.1111/j.2044-8341.2011.02026.x</t>
  </si>
  <si>
    <t>Charles, E., Bouby-Serieys, V., Thomas, P., &amp; Clement, J.-P. (2006). [Links between life events, traumatism and dementia; an open study including 565  patients with dementia]. L’Encephale, 32(5 Pt 1), 746–752. English Abstract, Journal Article.</t>
  </si>
  <si>
    <t>Chemtob, C. M., Roitblat, H. L., Hamada, R. S., Muraoka, M. Y., Carlson, J. G., &amp; Bauer, G. B. (1999). Compelled attention: the effects of viewing trauma-related stimuli on concurrent  task performance in posttraumatic stress disorder. Journal of Traumatic Stress, 12(2), 309–326. Journal Article, Research Support, U.S. Gov’t, Non-P.H.S. http://doi.org/10.1023/A:1024728626505</t>
  </si>
  <si>
    <t>Chen, A. C., &amp; Etkin, A. (2013). Hippocampal network connectivity and activation differentiates post-traumatic stress disorder from generalized anxiety disorder. Neuropsychopharmacology : Official Publication of the American College of Neuropsychopharmacology, 38(10), 1889–1898. Journal Article, Research Support, N.I.H., Extramural. http://doi.org/10.1038/npp.2013.122</t>
  </si>
  <si>
    <t>Chesney, A. P., Larson, D., Brown, K., &amp; Bunce, H. (1981). A comparison of patient self-report and physicians’ observations in a psychiatric outpatient clinic. Journal of Psychiatric Research, 16(3), 173–182. Journal Article.</t>
  </si>
  <si>
    <t>Clark, A. L., Amick, M. M., Fortier, C., Milberg, W. P., &amp; McGlinchey, R. E. (2014). Poor performance validity predicts clinical characteristics and cognitive test performance of OEF/OIF/OND Veterans in a research setting. The Clinical Neuropsychologist, 28(5), 802–825. Journal Article, Research Support, Non-U.S. Gov’t, Validation Studies. http://doi.org/10.1080/13854046.2014.904928</t>
  </si>
  <si>
    <t>Clark, A. L., Sorg, S. F., Schiehser, D. M., Luc, N., Bondi, M. W., Sanderson, M., … Delano-Wood, L. (2016). Deep white matter hyperintensities affect verbal memory independent of PTSD symptoms in veterans with mild traumatic brain injury. Brain Injury, 30(7), 864–871. Journal Article. http://doi.org/10.3109/02699052.2016.1144894</t>
  </si>
  <si>
    <t>Clark, C. J., Lewis-Dmello, A., Anders, D., Parsons, A., Nguyen-Feng, V., Henn, L., &amp; Emerson, D. (2014). Trauma-sensitive yoga as an adjunct mental health treatment in group therapy for  survivors of domestic violence: a feasibility study. Complementary Therapies in Clinical Practice, 20(3), 152–158. Journal Article, Research Support, N.I.H., Extramural, Research Support, Non-U.S. Gov’t. http://doi.org/10.1016/j.ctcp.2014.04.003</t>
  </si>
  <si>
    <t>Clausen, A. N., Youngren, W., Sisante, J.-F. V, Billinger, S. A., Taylor, C., &amp; Aupperle, R. L. (2016). Combat PTSD and Implicit Behavioral Tendencies for Positive Affective Stimuli: A  Brief Report. Frontiers in Psychology, 7, 758. Journal Article. http://doi.org/10.3389/fpsyg.2016.00758</t>
  </si>
  <si>
    <t>Cloitre, M., Courtois, C. A., Charuvastra, A., Carapezza, R., Stolbach, B. C., &amp; Green, B. L. (2011). Treatment of complex PTSD: results of the ISTSS expert clinician survey on best practices. Journal of Traumatic Stress, 24(6), 615–627. Journal Article. http://doi.org/10.1002/jts.20697</t>
  </si>
  <si>
    <t>Cohen, B. E., Neylan, T. C., Yaffe, K., Samuelson, K. W., Li, Y., &amp; Barnes, D. E. (2013). Posttraumatic stress disorder and cognitive function: findings from the mind your heart study. The Journal of Clinical Psychiatry, 74(11), 1063–1070. Journal Article, Research Support, N.I.H., Extramural, Research Support, Non-U.S. Gov’t. http://doi.org/10.4088/JCP.12m08291</t>
  </si>
  <si>
    <t>Corbo, V., Amick, M. A., Milberg, W. P., McGlinchey, R. E., &amp; Salat, D. H. (2016). Early life trauma is associated with altered white matter integrity and affective control. Journal of Psychiatric Research, 79, 70–77. Journal Article. http://doi.org/10.1016/j.jpsychires.2016.05.001</t>
  </si>
  <si>
    <t>Crowell, T. A., Kieffer, K. M., Siders, C. A., &amp; Vanderploeg, R. D. (2002). Neuropsychological findings in combat-related posttraumatic stress disorder. The Clinical Neuropsychologist, 16(3), 310–321. Comparative Study, Journal Article. http://doi.org/10.1076/clin.16.3.310.13851</t>
  </si>
  <si>
    <t>Cudmore, J. (1996). Do nurses perceive that there is a need for defusing and debriefing following the resuscitation of a patient in the accident and emergency department? Nursing in Critical Care, 1(4), 188–193. Journal Article.</t>
  </si>
  <si>
    <t>Depue, B. E., Olson-Madden, J. H., Smolker, H. R., Rajamani, M., Brenner, L. A., &amp; Banich, M. T. (2014). Reduced amygdala volume is associated with deficits in inhibitory control: a voxel- and surface-based morphometric analysis of comorbid PTSD/mild TBI. BioMed Research International, 2014, 691505. Journal Article, Randomized Controlled Trial, Research Support, Non-U.S. Gov’t. http://doi.org/10.1155/2014/691505</t>
  </si>
  <si>
    <t>Detweiler, M. B., Self, J. A., Lane, S., Spencer, L., Lutgens, B., Kim, D.-Y., … Lehmann, L. P. (2015). Horticultural therapy: a pilot study on modulating cortisol levels and indices of substance craving, posttraumatic stress disorder, depression, and quality of life in veterans. Alternative Therapies in Health and Medicine, 21(4), 36–41. Journal Article, Randomized Controlled Trial, Research Support, Non-U.S. Gov’t.</t>
  </si>
  <si>
    <t>Dretsch, M. N., Thiel, K. J., Athy, J. R., Irvin, C. R., Sirmon-Fjordbak, B., &amp; Salvatore, A. (2012). Mood symptoms contribute to working memory decrement in active-duty soldiers being treated for posttraumatic stress disorder. Brain and Behavior, 2(4), 357–364. Journal Article. http://doi.org/10.1002/brb3.53</t>
  </si>
  <si>
    <t>Dunlop, B. W., Rothbaum, B. O., Binder, E. B., Duncan, E., Harvey, P. D., Jovanovic, T., … Mayberg, H. S. (2014). Evaluation of a corticotropin releasing hormone type 1 receptor antagonist in women with posttraumatic stress disorder: study protocol for a randomized controlled trial. Trials, 15, 240. Clinical Trial, Phase II, Journal Article, Multicenter Study, Randomized Controlled Trial, Research Support, N.I.H., Extramural, Research Support, Non-U.S. Gov’t, Research Support, U.S. Gov’t, Non-P.H.S. http://doi.org/10.1186/1745-6215-15-240</t>
  </si>
  <si>
    <t>Eidelman-Rothman, M., Goldstein, A., Levy, J., Weisman, O., Schneiderman, I., Mankuta, D., … Feldman, R. (2015). Oxytocin affects spontaneous neural oscillations in trauma-exposed war veterans. Frontiers in Behavioral Neuroscience, 9, 165. Journal Article. http://doi.org/10.3389/fnbeh.2015.00165</t>
  </si>
  <si>
    <t>Elman, I., Ariely, D., Mazar, N., Aharon, I., Lasko, N. B., Macklin, M. L., … Pitman, R. K. (2005). Probing reward function in post-traumatic stress disorder with beautiful facial images. Psychiatry Research, 135(3), 179–183. Journal Article, Research Support, N.I.H., Extramural, Research Support, U.S. Gov’t, Non-P.H.S., Research Support, U.S. Gov’t, P.H.S. http://doi.org/10.1016/j.psychres.2005.04.002</t>
  </si>
  <si>
    <t>Esterman, M., DeGutis, J., Mercado, R., Rosenblatt, A., Vasterling, J. J., Milberg, W., &amp; McGlinchey, R. (2013). Stress-related psychological symptoms are associated with increased attentional capture by visually salient distractors. Journal of the International Neuropsychological Society : JINS, 19(7), 835–840. Journal Article, Research Support, Non-U.S. Gov’t. http://doi.org/10.1017/S135561771300057X</t>
  </si>
  <si>
    <t>Fan, X., Henderson, D. C., Nguyen, D. D., Cather, C., Freudenreich, O., Evins, A. E., … Goff, D. C. (2008). Posttraumatic stress disorder, cognitive function and quality of life in patients with schizophrenia. Psychiatry Research, 159(1–2), 140–146. Comparative Study, Journal Article. http://doi.org/10.1016/j.psychres.2007.10.012</t>
  </si>
  <si>
    <t>Farberow, N. L., &amp; Nehemkis, A. M. (1979). Indirect self-destructive behavior in patients with Buerger’s disease. Journal of Personality Assessment, 43(1), 86–96. Journal Article. http://doi.org/10.1207/s15327752jpa4301_12</t>
  </si>
  <si>
    <t>Firth-Cozens, J., &amp; Brewin, C. R. (1988). Attributional change during psychotherapy. The British Journal of Clinical Psychology / the British Psychological Society, 27 ( Pt 1), 47–54. Comparative Study, Journal Article.</t>
  </si>
  <si>
    <t>Fisher, M. P. (2014). PTSD in the U.S. military, and the politics of prevalence. Social Science &amp; Medicine (1982), 115, 1–9. Journal Article, Research Support, Non-U.S. Gov’t. http://doi.org/10.1016/j.socscimed.2014.05.051</t>
  </si>
  <si>
    <t>Fontana, A., &amp; Rosenheck, R. (1998). Effects of compensation-seeking on treatment outcomes among veterans with posttraumatic stress disorder. The Journal of Nervous and Mental Disease, 186(4), 223–230. Journal Article.</t>
  </si>
  <si>
    <t>Franke, L. M., Czarnota, J. N., Ketchum, J. M., &amp; Walker, W. C. (2015). Factor analysis of persistent postconcussive symptoms within a military sample with blast exposure. The Journal of Head Trauma Rehabilitation, 30(1), E34-46. Journal Article, Research Support, N.I.H., Extramural, Research Support, U.S. Gov’t, Non-P.H.S. http://doi.org/10.1097/HTR.0000000000000042</t>
  </si>
  <si>
    <t>Freeman, T. W., Hart, J., Kimbrell, T., &amp; Ross, E. D. (2009). Comprehension of affective prosody in veterans with chronic posttraumatic stress  disorder. The Journal of Neuropsychiatry and Clinical Neurosciences, 21(1), 52–58. Journal Article. http://doi.org/10.1176/jnp.2009.21.1.52</t>
  </si>
  <si>
    <t>Galletly, C. A., McFarlane, A. C., &amp; Clark, R. (2008). Differentiating cortical patterns of cognitive dysfunction in schizophrenia and posttraumatic stress disorder. Psychiatry Research, 159(1–2), 196–206. Comparative Study, Journal Article, Research Support, Non-U.S. Gov’t. http://doi.org/10.1016/j.psychres.2007.04.001</t>
  </si>
  <si>
    <t>Galovski, T. E., Blain, L. M., Mott, J. M., Elwood, L., &amp; Houle, T. (2012). Manualized therapy for PTSD: flexing the structure of cognitive processing therapy. Journal of Consulting and Clinical Psychology, 80(6), 968–981. Journal Article, Randomized Controlled Trial, Research Support, N.I.H., Extramural. http://doi.org/10.1037/a0030600</t>
  </si>
  <si>
    <t>Ganzini, L., Denneson, L. M., Press, N., Bair, M. J., Helmer, D. A., Poat, J., &amp; Dobscha, S. K. (2013). Trust is the basis for effective suicide risk screening and assessment in veterans. Journal of General Internal Medicine, 28(9), 1215–1221. Journal Article, Multicenter Study, Research Support, U.S. Gov’t, Non-P.H.S. http://doi.org/10.1007/s11606-013-2412-6</t>
  </si>
  <si>
    <t>George, M. S., Raman, R., Benedek, D. M., Pelic, C. G., Grammer, G. G., Stokes, K. T., … Stein, M. B. (2014). A two-site pilot randomized 3 day trial of high dose left prefrontal repetitive transcranial magnetic stimulation (rTMS) for suicidal inpatients. Brain Stimulation, 7(3), 421–431. Journal Article, Multicenter Study, Randomized Controlled Trial, Research Support, U.S. Gov’t, Non-P.H.S. http://doi.org/10.1016/j.brs.2014.03.006</t>
  </si>
  <si>
    <t>Geracioti, T. D. J., Jefferson-Wilson, L., Strawn, J. R., Baker, D. G., Dashevsky, B. A., Horn, P. S., &amp; Ekhator, N. N. (2013). Effect of traumatic imagery on cerebrospinal fluid dopamine and serotonin metabolites in posttraumatic stress disorder. Journal of Psychiatric Research, 47(7), 995–998. Journal Article, Randomized Controlled Trial, Research Support, U.S. Gov’t, Non-P.H.S. http://doi.org/10.1016/j.jpsychires.2013.01.023</t>
  </si>
  <si>
    <t>Geraerts, E., Kozaric-Kovacic, D., Merckelbach, H., Peraica, T., Jelicic, M., &amp; Candel, I. (2007). Traumatic memories of war veterans: not so special after all. Consciousness and Cognition, 16(1), 170–177. Journal Article. http://doi.org/10.1016/j.concog.2006.02.005</t>
  </si>
  <si>
    <t>Geuze, E., Vermetten, E., de Kloet, C. S., Hijman, R., &amp; Westenberg, H. G. M. (2009). Neuropsychological performance is related to current social and occupational functioning in veterans with posttraumatic stress disorder. Depression and Anxiety, 26(1), 7–15. Journal Article, Research Support, Non-U.S. Gov’t. http://doi.org/10.1002/da.20476</t>
  </si>
  <si>
    <t>Geuze, E., Vermetten, E., Ruf, M., de Kloet, C. S., &amp; Westenberg, H. G. M. (2008). Neural correlates of associative learning and memory in veterans with posttraumatic stress disorder. Journal of Psychiatric Research, 42(8), 659–669. Comparative Study, Journal Article, Research Support, Non-U.S. Gov’t. http://doi.org/10.1016/j.jpsychires.2007.06.007</t>
  </si>
  <si>
    <t>Gilbertson, M. W., Gurvits, T. V, Lasko, N. B., Orr, S. P., &amp; Pitman, R. K. (2001). Multivariate assessment of explicit memory function in combat veterans with posttraumatic stress disorder. Journal of Traumatic Stress, 14(2), 413–432. Journal Article. http://doi.org/10.1023/A:1011181305501</t>
  </si>
  <si>
    <t>Gilbertson, M. W., Williston, S. K., Paulus, L. A., Lasko, N. B., Gurvits, T. V, Shenton, M. E., … Orr, S. P. (2007). Configural cue performance in identical twins discordant for posttraumatic stress disorder: theoretical implications for the role of hippocampal function. Biological Psychiatry, 62(5), 513–520. Journal Article, Research Support, N.I.H., Extramural, Research Support, U.S. Gov’t, Non-P.H.S. http://doi.org/10.1016/j.biopsych.2006.12.023</t>
  </si>
  <si>
    <t>Goldfinger, D. A., Amdur, R. L., &amp; Liberzon, I. (1998). Psychophysiologic responses to the Rorschach in PTSD patients, noncombat and combat controls. Depression and Anxiety, 8(3), 112–120. Clinical Trial, Comparative Study, Controlled Clinical Trial, Journal Article.</t>
  </si>
  <si>
    <t>Golier, J. A., Harvey, P. D., Legge, J., &amp; Yehuda, R. (2006). Memory performance in older trauma survivors: implications for the longitudinal course of PTSD. Annals of the New York Academy of Sciences, 1071, 54–66. Journal Article, Review. http://doi.org/10.1196/annals.1364.006</t>
  </si>
  <si>
    <t>Gondra, J. M., &amp; Sanchez de Miguel, M. (2009). Yale University’s Institute of Human Relations and the Spanish Civil War: Dollard and Miller’s study of fear and courage under battle conditions. The Spanish Journal of Psychology, 12(2), 393–404. Biography, Historical Article, Journal Article, Research Support, Non-U.S. Gov’t.</t>
  </si>
  <si>
    <t>Grassi-Oliveira, R., Stein, L. M., Lopes, R. P., Teixeira, A. L., &amp; Bauer, M. E. (2008). Low plasma brain-derived neurotrophic factor and childhood physical neglect are associated with verbal memory impairment in major depression--a preliminary report. Biological Psychiatry, 64(4), 281–285. Journal Article, Research Support, Non-U.S. Gov’t. http://doi.org/10.1016/j.biopsych.2008.02.023</t>
  </si>
  <si>
    <t>Green, E., Fairchild, J. K., Kinoshita, L. M., Noda, A., &amp; Yesavage, J. (2016). Effects of Posttraumatic Stress Disorder and Metabolic Syndrome on Cognitive Aging in Veterans. The Gerontologist, 56(1), 72–81. Journal Article, Research Support, Non-U.S. Gov’t, Research Support, U.S. Gov’t, Non-P.H.S. http://doi.org/10.1093/geront/gnv040</t>
  </si>
  <si>
    <t>Grillon, C., &amp; Morgan, C. A. 3rd. (1999). Fear-potentiated startle conditioning to explicit and contextual cues in Gulf War veterans with posttraumatic stress disorder. Journal of Abnormal Psychology, 108(1), 134–142. Clinical Trial, Comparative Study, Controlled Clinical Trial, Journal Article, Research Support, U.S. Gov’t, P.H.S.</t>
  </si>
  <si>
    <t>Grillon, C., Morgan, C. A. 3rd, Davis, M., &amp; Southwick, S. M. (1998). Effects of experimental context and explicit threat cues on acoustic startle in Vietnam veterans with posttraumatic stress disorder. Biological Psychiatry, 44(10), 1027–1036. Clinical Trial, Journal Article, Research Support, U.S. Gov’t, Non-P.H.S., Research Support, U.S. Gov’t, P.H.S.</t>
  </si>
  <si>
    <t>Grunert, B. K., Weis, J. M., Smucker, M. R., &amp; Christianson, H. F. (2007). Imagery rescripting and reprocessing therapy after failed prolonged exposure for  post-traumatic stress disorder following industrial injury. Journal of Behavior Therapy and Experimental Psychiatry, 38(4), 317–328. Journal Article. http://doi.org/10.1016/j.jbtep.2007.10.005</t>
  </si>
  <si>
    <t>Guillen-Riquelme, A., &amp; Buela-Casal, G. (2014). [Meta-analysis of group comparison and meta-analysis of reliability generalization of the State-Trait Anxiety Inventory Questionnaire (STAI)]. Revista espanola de salud publica, 88(1), 101–112. English Abstract, Journal Article, Meta-Analysis, Review. http://doi.org/10.4321/S1135-57272014000100007</t>
  </si>
  <si>
    <t>Gurvits, T. V, Lasko, N. B., Repak, A. L., Metzger, L. J., Orr, S. P., &amp; Pitman, R. K. (2002). Performance on visuospatial copying tasks in individuals with chronic posttraumatic stress disorder. Psychiatry Research, 112(3), 263–268. Journal Article, Research Support, U.S. Gov’t, Non-P.H.S.</t>
  </si>
  <si>
    <t>Hackmann, A., Ehlers, A., Speckens, A., &amp; Clark, D. M. (2004). Characteristics and content of intrusive memories in PTSD and their changes with  treatment. Journal of Traumatic Stress, 17(3), 231–240. Journal Article, Research Support, Non-U.S. Gov’t. http://doi.org/10.1023/B:JOTS.0000029266.88369.fd</t>
  </si>
  <si>
    <t>Hagenaars, M. A., van Minnen, A., &amp; Hoogduin, K. A. L. (2009). Reliving and disorganization in posttraumatic stress disorder and panic disorder  memories. The Journal of Nervous and Mental Disease, 197(8), 627–630. Comparative Study, Journal Article. http://doi.org/10.1097/NMD.0b013e3181b08bdf</t>
  </si>
  <si>
    <t>Haley, R. W., Kurt, T. L., &amp; Hom, J. (1997). Is there a Gulf War Syndrome? Searching for syndromes by factor analysis of symptoms. JAMA, 277(3), 215–222. Journal Article, Research Support, Non-U.S. Gov’t.</t>
  </si>
  <si>
    <t>Hall, T., Galletly, C., Clark, C. R., Veltmeyer, M., Metzger, L. J., Gilbertson, M. W., … McFarlane, A. (2012). The relationship between Hippocampal asymmetry and working memory processing in combat-related PTSD - a monozygotic twin study. Biology of Mood &amp; Anxiety Disorders, 2, 21. Journal Article. http://doi.org/10.1186/2045-5380-2-21</t>
  </si>
  <si>
    <t>Hannah, S. D. (2011). Psychosocial issues after a traumatic hand injury: facilitating adjustment. Journal of Hand Therapy : Official Journal of the American Society of Hand Therapists, 24(2), 95–102; quiz 103. Journal Article. http://doi.org/10.1016/j.jht.2010.11.001</t>
  </si>
  <si>
    <t>Harder, L. H., Chen, S., Baker, D. G., Chow, B., McFall, M., Saxon, A., &amp; Smith, M. W. (2011). The influence of posttraumatic stress disorder numbing and hyperarousal symptom clusters in the prediction of physical health status in veterans with chronic tobacco dependence and posttraumatic stress disorder. The Journal of Nervous and Mental Disease, 199(12), 940–945. Comparative Study, Journal Article, Multicenter Study, Randomized Controlled Trial, Research Support, N.I.H., Extramural, Research Support, Non-U.S. Gov’t, Research Support, U.S. Gov’t, Non-P.H.S. http://doi.org/10.1097/NMD.0b013e3182392bfb</t>
  </si>
  <si>
    <t>Hart, J. J., Kimbrell, T., Fauver, P., Cherry, B. J., Pitcock, J., Booe, L. Q., … Freeman, T. W. (2008). Cognitive dysfunctions associated with PTSD: evidence from World War II prisoners of war. The Journal of Neuropsychiatry and Clinical Neurosciences, 20(3), 309–316. Journal Article. http://doi.org/10.1176/jnp.2008.20.3.309</t>
  </si>
  <si>
    <t>Hartl, T. L., Rosen, C., Drescher, K., Lee, T. T., &amp; Gusman, F. (2005). Predicting high-risk behaviors in veterans with posttraumatic stress disorder. The Journal of Nervous and Mental Disease, 193(7), 464–472. Journal Article.</t>
  </si>
  <si>
    <t>Hassija, C. M., Luterek, J. A., Naragon-Gainey, K., Moore, S. A., &amp; Simpson, T. (2012). Impact of emotional approach coping and hope on PTSD and depression symptoms in a trauma exposed sample of Veterans receiving outpatient VA mental health care services. Anxiety, Stress, and Coping, 25(5), 559–573. Journal Article, Research Support, U.S. Gov’t, Non-P.H.S. http://doi.org/10.1080/10615806.2011.621948</t>
  </si>
  <si>
    <t>Hayes, J. P., Miller, D. R., Lafleche, G., Salat, D. H., &amp; Verfaellie, M. (2015). The nature of white matter abnormalities in blast-related mild traumatic brain injury. NeuroImage. Clinical, 8, 148–156. Journal Article, Research Support, N.I.H., Extramural, Research Support, Non-U.S. Gov’t, Research Support, U.S. Gov’t, Non-P.H.S. http://doi.org/10.1016/j.nicl.2015.04.001</t>
  </si>
  <si>
    <t>Hayes, J. P., LaBar, K. S., McCarthy, G., Selgrade, E., Nasser, J., Dolcos, F., &amp; Morey, R. A. (2011). Reduced hippocampal and amygdala activity predicts memory distortions for trauma  reminders in combat-related PTSD. Journal of Psychiatric Research, 45(5), 660–669. Journal Article, Research Support, N.I.H., Extramural, Research Support, U.S. Gov’t, Non-P.H.S. http://doi.org/10.1016/j.jpsychires.2010.10.007</t>
  </si>
  <si>
    <t>Hermes, E. D. A., Sernyak, M., &amp; Rosenheck, R. (2012). Impact of a program encouraging the use of generic antipsychotics. The American Journal of Managed Care, 18(8), e307-14. Journal Article, Research Support, Non-U.S. Gov’t.</t>
  </si>
  <si>
    <t>Higgins, P. C., &amp; Prigerson, H. G. (2013). Caregiver evaluation of the quality of end-of-life care (CEQUEL) scale: the caregiver’s perception of patient care near death. PloS One, 8(6), e66066. Journal Article, Research Support, N.I.H., Extramural, Research Support, Non-U.S. Gov’t. http://doi.org/10.1371/journal.pone.0066066</t>
  </si>
  <si>
    <t>Honzel, N., Justus, T., &amp; Swick, D. (2014). Posttraumatic stress disorder is associated with limited executive resources in a working memory task. Cognitive, Affective &amp; Behavioral Neuroscience, 14(2), 792–804. Journal Article, Research Support, U.S. Gov’t, Non-P.H.S. http://doi.org/10.3758/s13415-013-0219-x</t>
  </si>
  <si>
    <t>Hopper, J. W., Pitman, R. K., Su, Z., Heyman, G. M., Lasko, N. B., Macklin, M. L., … Elman, I. (2008). Probing reward function in posttraumatic stress disorder: expectancy and satisfaction with monetary gains and losses. Journal of Psychiatric Research, 42(10), 802–807. Journal Article, Research Support, N.I.H., Extramural, Research Support, U.S. Gov’t, Non-P.H.S. http://doi.org/10.1016/j.jpsychires.2007.10.008</t>
  </si>
  <si>
    <t>Hovens, J. E., Falger, P. R., Op den Velde, W., Meijer, P., de Groen, J. H., &amp; van Duijn, H. (1993). A self-rating scale for the assessment of posttraumatic stress disorder in Dutch  Resistance veterans of World War II. Journal of Clinical Psychology, 49(2), 196–203. Journal Article.</t>
  </si>
  <si>
    <t>Hudetz, J. A., Gandhi, S. D., Iqbal, Z., Patterson, K. M., Byrne, A. J., Warltier, D. C., &amp; Pagel, P. S. (2010). History of post-traumatic stress disorder is associated with impaired neuropsychometric performance after coronary artery surgery. Journal of Cardiothoracic and Vascular Anesthesia, 24(6), 964–968. Journal Article, Research Support, Non-U.S. Gov’t. http://doi.org/10.1053/j.jvca.2010.02.019</t>
  </si>
  <si>
    <t>Hyer, L., McCranie, E. W., Boudewyns, P. A., &amp; Sperr, E. (1996). Modes of long-term coping with trauma memories: relative use and associations with personality among Vietnam veterans with chronic PTSD. Journal of Traumatic Stress, 9(2), 299–316. Journal Article.</t>
  </si>
  <si>
    <t>Ioachimescu, A. G., Hampstead, B. M., Moore, A., Burgess, E., &amp; Phillips, L. S. (2015). Growth hormone deficiency after mild combat-related traumatic brain injury. Pituitary, 18(4), 535–541. Journal Article, Research Support, N.I.H., Extramural, Research Support, Non-U.S. Gov’t, Research Support, U.S. Gov’t, Non-P.H.S. http://doi.org/10.1007/s11102-014-0606-5</t>
  </si>
  <si>
    <t>Jenkins, M. A., Langlais, P. J., Delis, D., &amp; Cohen, R. (1998). Learning and memory in rape victims with posttraumatic stress disorder. The American Journal of Psychiatry, 155(2), 278–279. Journal Article, Research Support, U.S. Gov’t, Non-P.H.S., Research Support, U.S. Gov’t, P.H.S. http://doi.org/10.1176/ajp.155.2.278</t>
  </si>
  <si>
    <t>Johnsen, G. E., &amp; Asbjornsen, A. E. (2008). Consistent impaired verbal memory in PTSD: a meta-analysis. Journal of Affective Disorders, 111(1), 74–82. Comparative Study, Journal Article, Meta-Analysis, Research Support, Non-U.S. Gov’t. http://doi.org/10.1016/j.jad.2008.02.007</t>
  </si>
  <si>
    <t>Jones, C., Macmillan, R. R., &amp; Griffiths, R. D. (1994). Providing psychological support for patients after critical illness. Clinical Intensive Care : International Journal of Critical &amp; Coronary Care Medicine, 5(4), 176–179. Case Reports, Journal Article, Research Support, Non-U.S. Gov’t.</t>
  </si>
  <si>
    <t>Jordan, J., Titscher, G., &amp; Kirsch, H. (2011). [Treatment manual for psychotherapy of acute and posttraumatic stress disorders after multiple ICD shocks]. Herzschrittmachertherapie &amp; Elektrophysiologie, 22(3), 189–201. English Abstract, Journal Article, Review. http://doi.org/10.1007/s00399-011-0148-8</t>
  </si>
  <si>
    <t>Kalapatapu, R. K., Delucchi, K. L., Lasher, B. A., Vinogradov, S., &amp; Batki, S. L. (2013). Alcohol use biomarkers predicting cognitive performance: a secondary analysis in  veterans with alcohol dependence and posttraumatic stress disorder. Military Medicine, 178(9), 974–980. Journal Article, Randomized Controlled Trial, Research Support, N.I.H., Extramural, Research Support, U.S. Gov’t, Non-P.H.S. http://doi.org/10.7205/MILMED-D-13-00097</t>
  </si>
  <si>
    <t>Kalapatapu, R. K., Neylan, T. C., Regan, M. C., &amp; Cohen, B. E. (2014). Association of alcohol use biomarkers and cognitive performance in veterans with  problematic alcohol use and posttraumatic stress disorder: data from the mind your heart study. Journal of Addictive Diseases, 33(2), 67–76. Journal Article, Multicenter Study, Research Support, N.I.H., Extramural, Research Support, Non-U.S. Gov’t. http://doi.org/10.1080/10550887.2014.909701</t>
  </si>
  <si>
    <t>Kameg, K. M., Englert, N. C., Howard, V. M., &amp; Perozzi, K. J. (2013). Fusion of psychiatric and medical high fidelity patient simulation scenarios: effect on nursing student knowledge, retention of knowledge, and perception. Issues in Mental Health Nursing, 34(12), 892–900. Journal Article, Research Support, Non-U.S. Gov’t. http://doi.org/10.3109/01612840.2013.854543</t>
  </si>
  <si>
    <t>Kapfhammer, H.-P. (2008). [Therapeutic possibilities after traumatic experiences]. Psychiatria Danubina, 20(4), 532–545. English Abstract, Journal Article, Review.</t>
  </si>
  <si>
    <t>Kaser-Boyd, N. (1993). Rorschachs of women who commit homicide. Journal of Personality Assessment, 60(3), 458–470. Journal Article. http://doi.org/10.1207/s15327752jpa6003_3</t>
  </si>
  <si>
    <t>Katon, J. G., Washington, D. L., Cordasco, K. M., Reiber, G. E., Yano, E. M., &amp; Zephyrin, L. C. (2015). Prenatal Care for Women Veterans Who Use Department of Veterans Affairs Health Care. Women’s Health Issues : Official Publication of the Jacobs Institute of Women’s Health, 25(4), 377–381. Journal Article, Research Support, U.S. Gov’t, Non-P.H.S. http://doi.org/10.1016/j.whi.2015.03.004</t>
  </si>
  <si>
    <t>Kavanaugh, B., Holler, K., &amp; Selke, G. (2015). A neuropsychological profile of childhood maltreatment within an adolescent inpatient sample. Applied Neuropsychology. Child, 4(1), 9–19. Journal Article. http://doi.org/10.1080/21622965.2013.789964</t>
  </si>
  <si>
    <t>Keane, T. M., Kolb, L. C., Kaloupek, D. G., Orr, S. P., Blanchard, E. B., Thomas, R. G., … Lavori, P. W. (1998). Utility of psychophysiological measurement in the diagnosis of posttraumatic stress disorder: results from a Department of Veterans Affairs Cooperative Study. Journal of Consulting and Clinical Psychology, 66(6), 914–923. Clinical Trial, Journal Article, Multicenter Study, Research Support, U.S. Gov’t, Non-P.H.S.</t>
  </si>
  <si>
    <t>Kelley, A. M., Ranes, B. M., Estrada, A., &amp; Grandizio, C. M. (2015). Evaluation of the Military Functional Assessment Program: Preliminary Assessment  of the Construct Validity Using an Archived Database of Clinical Data. The Journal of Head Trauma Rehabilitation, 30(4), E11-20. Journal Article, Research Support, U.S. Gov’t, Non-P.H.S. http://doi.org/10.1097/HTR.0000000000000060</t>
  </si>
  <si>
    <t>Kent, C. D., Mashour, G. A., Metzger, N. A., Posner, K. L., &amp; Domino, K. B. (2013). Psychological impact of unexpected explicit recall of events occurring during surgery performed under sedation, regional anaesthesia, and general anaesthesia: data from the Anesthesia Awareness Registry. British Journal of Anaesthesia, 110(3), 381–387. Comparative Study, Journal Article, Research Support, Non-U.S. Gov’t. http://doi.org/10.1093/bja/aes386</t>
  </si>
  <si>
    <t>Kent, M., Davis, M. C., Stark, S. L., &amp; Stewart, L. A. (2011). A resilience-oriented treatment for posttraumatic stress disorder: results of a preliminary randomized clinical trial. Journal of Traumatic Stress, 24(5), 591–595. Journal Article, Randomized Controlled Trial, Research Support, N.I.H., Extramural, Research Support, Non-U.S. Gov’t. http://doi.org/10.1002/jts.20685</t>
  </si>
  <si>
    <t>Kibler, J. L., &amp; Lyons, J. A. (2004). Perceived coping ability mediates the relationship between PTSD severity and heart rate recovery in veterans. Journal of Traumatic Stress, 17(1), 23–29. Journal Article, Research Support, U.S. Gov’t, Non-P.H.S. http://doi.org/10.1023/B:JOTS.0000014672.16935.9c</t>
  </si>
  <si>
    <t>Kimble, M., Kaloupek, D., Kaufman, M., &amp; Deldin, P. (2000). Stimulus novelty differentially affects attentional allocation in PTSD. Biological Psychiatry, 47(10), 880–890. Journal Article, Research Support, U.S. Gov’t, P.H.S.</t>
  </si>
  <si>
    <t>Kinoshita, L. M., Yesavage, J. A., Noda, A., Jo, B., Hernandez, B., Taylor, J., … Scanlon, B. K. (2012). Modeling the effects of obstructive sleep apnea and hypertension in Vietnam veterans with PTSD. Sleep &amp; Breathing = Schlaf &amp; Atmung, 16(4), 1201–1209. Journal Article, Research Support, U.S. Gov’t, Non-P.H.S. http://doi.org/10.1007/s11325-011-0632-8</t>
  </si>
  <si>
    <t>Kivling-Boden, G., &amp; Sundbom, E. (2003). Cognitive abilities related to post-traumatic symptoms among refugees from the former Yugoslavia in psychiatric treatment. Nordic Journal of Psychiatry, 57(3), 191–198. Journal Article, Research Support, Non-U.S. Gov’t. http://doi.org/10.1080/08039480310001346</t>
  </si>
  <si>
    <t>Klaric, M., Franciskovic, T., Klaric, B., Kvesic, A., Kastelan, A., Graovac, M., &amp; Lisica, I. D. (2008). Psychological problems in children of war veterans with posttraumatic stress disorder in Bosnia and Herzegovina: cross-sectional study. Croatian Medical Journal, 49(4), 491–498. Comparative Study, Journal Article.</t>
  </si>
  <si>
    <t>Kolassa, I.-T., Eckart, C., Ruf, M., Neuner, F., de Quervain, D. J., &amp; Elbert, T. (2007). Lack of cortisol response in patients with posttraumatic stress disorder (PTSD) undergoing a diagnostic interview. BMC Psychiatry, 7, 54. Clinical Trial, Journal Article, Research Support, Non-U.S. Gov’t. http://doi.org/10.1186/1471-244X-7-54</t>
  </si>
  <si>
    <t>Koso, M., &amp; Hansen, S. (2006). Executive function and memory in posttraumatic stress disorder: a study of Bosnian war veterans. European Psychiatry : The Journal of the Association of European Psychiatrists, 21(3), 167–173. Journal Article, Research Support, Non-U.S. Gov’t. http://doi.org/10.1016/j.eurpsy.2005.06.004</t>
  </si>
  <si>
    <t>Kostek, J. A., Beck, K. D., Gilbertson, M. W., Orr, S. P., Pang, K. C. H., Servatius, R. J., &amp; Myers, C. E. (2014). Acquired equivalence in U.S. veterans with symptoms of posttraumatic stress: reexperiencing symptoms are associated with greater generalization. Journal of Traumatic Stress, 27(6), 717–720. Journal Article, Research Support, N.I.H., Extramural, Research Support, Non-U.S. Gov’t. http://doi.org/10.1002/jts.21974</t>
  </si>
  <si>
    <t>Kraus, A., Geuze, E., Schmahl, C., Greffrath, W., Treede, R.-D., Bohus, M., &amp; Vermetten, E. (2009). Differentiation of pain ratings in combat-related posttraumatic stress disorder. Pain, 143(3), 179–185. Journal Article, Research Support, Non-U.S. Gov’t. http://doi.org/10.1016/j.pain.2008.12.018</t>
  </si>
  <si>
    <t>Kremen, W. S., Koenen, K. C., Afari, N., &amp; Lyons, M. J. (2012). Twin studies of posttraumatic stress disorder: differentiating vulnerability factors from sequelae. Neuropharmacology, 62(2), 647–653. Journal Article, Review. http://doi.org/10.1016/j.neuropharm.2011.03.012</t>
  </si>
  <si>
    <t>Laddis, A. (2010). Outcome of crisis intervention for borderline personality disorder and post traumatic stress disorder: a model for modification of the mechanism of disorder in complex post traumatic syndromes. Annals of General Psychiatry, 9, 19. Journal Article. http://doi.org/10.1186/1744-859X-9-19</t>
  </si>
  <si>
    <t>Ladwig, K. H., Schoefinius, A., Dammann, G., Danner, R., Gurtler, R., &amp; Herrmann, R. (1999). Long-acting psychotraumatic properties of a cardiac arrest experience. The American Journal of Psychiatry, 156(6), 912–919. Journal Article. http://doi.org/10.1176/ajp.156.6.912</t>
  </si>
  <si>
    <t>Larson, E., Zollman, F., Kondiles, B., &amp; Starr, C. (2013). Memory deficits, postconcussive complaints, and posttraumatic stress disorder in  a volunteer sample of veterans. Rehabilitation Psychology, 58(3), 245–252. Journal Article, Research Support, Non-U.S. Gov’t. http://doi.org/10.1037/a0032953</t>
  </si>
  <si>
    <t>Levin, H. S., Wilde, E., Troyanskaya, M., Petersen, N. J., Scheibel, R., Newsome, M., … Li, X. (2010). Diffusion tensor imaging of mild to moderate blast-related traumatic brain injury and its sequelae. Journal of Neurotrauma, 27(4), 683–694. Journal Article, Research Support, Non-U.S. Gov’t, Research Support, U.S. Gov’t, Non-P.H.S. http://doi.org/10.1089/neu.2009.1073</t>
  </si>
  <si>
    <t>Lewis, G. C., Platts-Mills, T. F., Liberzon, I., Bair, E., Swor, R., Peak, D., … McLean, S. A. (2014). Incidence and predictors of acute psychological distress and dissociation after motor vehicle collision: a cross-sectional study. Journal of Trauma &amp; Dissociation : The Official Journal of the International Society for the Study of Dissociation (ISSD), 15(5), 527–547. Journal Article, Research Support, N.I.H., Extramural. http://doi.org/10.1080/15299732.2014.908805</t>
  </si>
  <si>
    <t>Lipov, E. G., Navaie, M., Brown, P. R., Hickey, A. H., Stedje-Larsen, E. T., &amp; McLay, R. N. (2013). Stellate ganglion block improves refractory post-traumatic stress disorder and associated memory dysfunction: a case report and systematic literature review. Military Medicine, 178(2), e260-4. Case Reports, Journal Article, Research Support, Non-U.S. Gov’t, Review. http://doi.org/10.7205/MILMED-D-12-00290</t>
  </si>
  <si>
    <t>Litz, B. T., Weathers, F. W., Monaco, V., Herman, D. S., Wulfsohn, M., Marx, B., &amp; Keane, T. M. (1996). Attention, arousal, and memory in posttraumatic stress disorder. Journal of Traumatic Stress, 9(3), 497–519. Journal Article, Research Support, U.S. Gov’t, Non-P.H.S.</t>
  </si>
  <si>
    <t>Loganovsky, K. N., &amp; Zdanevich, N. A. (2013). Cerebral basis of posttraumatic stress disorder following the Chernobyl disaster. CNS Spectrums, 18(2), 95–102. Journal Article. http://doi.org/10.1017/S109285291200096X</t>
  </si>
  <si>
    <t>Luszczynska, A., Durawa, A. B., Dudzinska, M., Kwiatkowska, M., Knysz, B., &amp; Knoll, N. (2012). The effects of mortality reminders on posttraumatic growth and finding benefits among patients with life-threatening illness and their caregivers. Psychology &amp; Health, 27(10), 1227–1243. Journal Article, Randomized Controlled Trial, Research Support, Non-U.S. Gov’t. http://doi.org/10.1080/08870446.2012.665055</t>
  </si>
  <si>
    <t>Lysaker, P. H., Dimaggio, G., Wickett-Curtis, A., Kukla, M., Luedtke, B., Vohs, J., … Davis, L. W. (2015). Deficits in Metacognitive Capacity Are Related to Subjective Distress and Heightened Levels of Hyperarousal Symptoms in Adults With Posttraumatic Stress Disorder. Journal of Trauma &amp; Dissociation : The Official Journal of the International Society for the Study of Dissociation (ISSD), 16(4), 384–398. Journal Article, Research Support, U.S. Gov’t, Non-P.H.S. http://doi.org/10.1080/15299732.2015.1005331</t>
  </si>
  <si>
    <t>MacNamara, A., Post, D., Kennedy, A. E., Rabinak, C. A., &amp; Phan, K. L. (2013). Electrocortical processing of social signals of threat in combat-related post-traumatic stress disorder. Biological Psychology, 94(2), 441–449. Journal Article, Research Support, U.S. Gov’t, Non-P.H.S. http://doi.org/10.1016/j.biopsycho.2013.08.009</t>
  </si>
  <si>
    <t>Markowitsch, H. J., Kessler, J., Weber-Luxenburger, G., Van der Ven, C., Albers, M., &amp; Heiss, W. D. (2000). Neuroimaging and behavioral correlates of recovery from mnestic block syndrome and other cognitive deteriorations. Neuropsychiatry, Neuropsychology, and Behavioral Neurology, 13(1), 60–66. Case Reports, Journal Article, Research Support, Non-U.S. Gov’t.</t>
  </si>
  <si>
    <t>Martz, E., Bodner, T., &amp; Livneh, H. (2009). Coping as a moderator of disability and psychosocial adaptation among Vietnam theater veterans. Journal of Clinical Psychology, 65(1), 94–112. Journal Article. http://doi.org/10.1002/jclp.20541</t>
  </si>
  <si>
    <t>McCormick, C. L., Yoash-Gantz, R. E., McDonald, S. D., Campbell, T. C., &amp; Tupler, L. A. (2013). Performance on the Green Word Memory Test following Operation Enduring Freedom/Operation Iraqi Freedom-era military service: Test failure is related to evaluation context. Archives of Clinical Neuropsychology : The Official Journal of the National Academy of Neuropsychologists, 28(8), 808–823. Journal Article, Research Support, U.S. Gov’t, Non-P.H.S. http://doi.org/10.1093/arclin/act050</t>
  </si>
  <si>
    <t>McDermott, T. J., Badura-Brack, A. S., Becker, K. M., Ryan, T. J., Bar-Haim, Y., Pine, D. S., … Wilson, T. W. (2016). Attention training improves aberrant neural dynamics during working memory processing in veterans with PTSD. Cognitive, Affective &amp; Behavioral Neuroscience. JOURNAL ARTICLE. http://doi.org/10.3758/s13415-016-0459-7</t>
  </si>
  <si>
    <t>McDermott, T. J., Badura-Brack, A. S., Becker, K. M., Ryan, T. J., Khanna, M. M., Heinrichs-Graham, E., &amp; Wilson, T. W. (2016). Male veterans with PTSD exhibit aberrant neural dynamics during working memory processing: an MEG study. Journal of Psychiatry &amp; Neuroscience : JPN, 41(4), 251–260. Journal Article.</t>
  </si>
  <si>
    <t>McFarland, C. P., Clark, J. B., Lee, L. O., Grande, L. J., Marx, B. P., &amp; Vasterling, J. J. (2016). Event-based prospective memory among veterans: The role of posttraumatic stress disorder symptom severity in executing intentions. Journal of Clinical and Experimental Neuropsychology, 38(2), 251–260. Journal Article. http://doi.org/10.1080/13803395.2015.1102203</t>
  </si>
  <si>
    <t>McGlinchey, R. E., Fortier, C. B., Venne, J. R., Maksimovskiy, A. L., &amp; Milberg, W. P. (2014). Effects of OEF/OIF-related physical and emotional co-morbidities on associative learning: concurrent delay and trace eyeblink classical conditioning. International Journal of Environmental Research and Public Health, 11(3), 3046–3073. Journal Article, Research Support, N.I.H., Extramural, Research Support, Non-U.S. Gov’t, Research Support, U.S. Gov’t, Non-P.H.S. http://doi.org/10.3390/ijerph110303046</t>
  </si>
  <si>
    <t>McNally, R. J. (1997). Implicit and explicit memory for trauma-related information in PTSD. Annals of the New York Academy of Sciences, 821, 219–224. Journal Article, Research Support, U.S. Gov’t, P.H.S., Review.</t>
  </si>
  <si>
    <t>Mcnally, R. J. (1997). Memory and anxiety disorders. Philosophical Transactions of the Royal Society of London. Series B, Biological Sciences, 352(1362), 1755–1759. Journal Article, Review. http://doi.org/10.1098/rstb.1997.0158</t>
  </si>
  <si>
    <t>McNally, R. J., Kaspi, S. P., Riemann, B. C., &amp; Zeitlin, S. B. (1990). Selective processing of threat cues in posttraumatic stress disorder. Journal of Abnormal Psychology, 99(4), 398–402. Journal Article, Research Support, U.S. Gov’t, P.H.S.</t>
  </si>
  <si>
    <t>McNally, R. J., Lasko, N. B., Macklin, M. L., &amp; Pitman, R. K. (1995). Autobiographical memory disturbance in combat-related posttraumatic stress disorder. Behaviour Research and Therapy, 33(6), 619–630. Journal Article.</t>
  </si>
  <si>
    <t>Melnyk, B. M., Alpert-Gillis, L., Feinstein, N. F., Crean, H. F., Johnson, J., Fairbanks, E., … Corbo-Richert, B. (2004). Creating opportunities for parent empowerment: program effects on the mental health/coping outcomes of critically ill young children and their mothers. Pediatrics, 113(6), e597-607. Clinical Trial, Journal Article, Randomized Controlled Trial, Research Support, U.S. Gov’t, P.H.S.</t>
  </si>
  <si>
    <t>Merten, T., Friedel, E., &amp; Stevens, A. (2006). [Insufficient cooperativeness in forensic neuropsychiatric assessment: prevalence estimates of negative response bias]. Versicherungsmedizin / herausgegeben von Verband der Lebensversicherungs-Unternehmen e.V. und Verband der Privaten Krankenversicherung e.V, 58(1), 19–21. English Abstract, Journal Article.</t>
  </si>
  <si>
    <t>Milad, M. R., Orr, S. P., Lasko, N. B., Chang, Y., Rauch, S. L., &amp; Pitman, R. K. (2008). Presence and acquired origin of reduced recall for fear extinction in PTSD: results of a twin study. Journal of Psychiatric Research, 42(7), 515–520. Journal Article, Research Support, N.I.H., Extramural, Twin Study. http://doi.org/10.1016/j.jpsychires.2008.01.017</t>
  </si>
  <si>
    <t>Mittal, D., Torres, R., Abashidze, A., &amp; Jimerson, N. (2001). Worsening of post-traumatic stress disorder symptoms with cognitive decline: case series. Journal of Geriatric Psychiatry and Neurology, 14(1), 17–20. Case Reports, Journal Article, Research Support, Non-U.S. Gov’t.</t>
  </si>
  <si>
    <t>Morel, K. R. (2008). Comparison of the Morel Emotional Numbing Test for Posttraumatic Stress Disorder  to the Word Memory Test in neuropsychological evaluations. The Clinical Neuropsychologist, 22(2), 350–362. Comparative Study, Journal Article. http://doi.org/10.1080/13854040701300531</t>
  </si>
  <si>
    <t>Morey, R. A., Dolcos, F., Petty, C. M., Cooper, D. A., Hayes, J. P., LaBar, K. S., &amp; McCarthy, G. (2009). The role of trauma-related distractors on neural systems for working memory and emotion processing in posttraumatic stress disorder. Journal of Psychiatric Research, 43(8), 809–817. Journal Article, Research Support, N.I.H., Extramural, Research Support, Non-U.S. Gov’t, Research Support, U.S. Gov’t, Non-P.H.S. http://doi.org/10.1016/j.jpsychires.2008.10.014</t>
  </si>
  <si>
    <t>Morey, R. A., Hariri, A. R., Gold, A. L., Hauser, M. A., Munger, H. J., Dolcos, F., &amp; McCarthy, G. (2011). Serotonin transporter gene polymorphisms and brain function during emotional distraction from cognitive processing in posttraumatic stress disorder. BMC Psychiatry, 11, 76. Journal Article, Research Support, N.I.H., Extramural, Research Support, Non-U.S. Gov’t, Research Support, U.S. Gov’t, Non-P.H.S. http://doi.org/10.1186/1471-244X-11-76</t>
  </si>
  <si>
    <t>Morey, R. A., Petty, C. M., Cooper, D. A., Labar, K. S., &amp; McCarthy, G. (2008). Neural systems for executive and emotional processing are modulated by symptoms of posttraumatic stress disorder in Iraq War veterans. Psychiatry Research, 162(1), 59–72. Journal Article, Research Support, N.I.H., Extramural, Research Support, Non-U.S. Gov’t, Research Support, U.S. Gov’t, Non-P.H.S. http://doi.org/10.1016/j.pscychresns.2007.07.007</t>
  </si>
  <si>
    <t>Morgan, C. A. 3rd, Grillon, C., Southwick, S. M., Davis, M., &amp; Charney, D. S. (1995). Fear-potentiated startle in posttraumatic stress disorder. Biological Psychiatry, 38(6), 378–385. Clinical Trial, Journal Article, Research Support, U.S. Gov’t, Non-P.H.S., Research Support, U.S. Gov’t, P.H.S. http://doi.org/10.1016/0006-3223(94)00321-S</t>
  </si>
  <si>
    <t>Mott, J. M., Stanley, M. A., Street, R. L. J., Grady, R. H., &amp; Teng, E. J. (2014). Increasing engagement in evidence-based PTSD treatment through shared decision-making: a pilot study. Military Medicine, 179(2), 143–149. Journal Article, Randomized Controlled Trial, Research Support, Non-U.S. Gov’t, Research Support, U.S. Gov’t, Non-P.H.S. http://doi.org/10.7205/MILMED-D-13-00363</t>
  </si>
  <si>
    <t>Motta, R. W., Joseph, J. M., Rose, R. D., Suozzi, J. M., &amp; Leiderman, L. J. (1997). Secondary trauma: assessing inter-generational transmission of war experiences with a modified Stroop procedure. Journal of Clinical Psychology, 53(8), 895–903. Journal Article.</t>
  </si>
  <si>
    <t>Motta, R. W., Suozzi, J. M., &amp; Joseph, J. M. (1994). Assessment of secondary traumatization with an emotional Stroop task. Perceptual and Motor Skills, 78(3 Pt 2), 1274. Journal Article. http://doi.org/10.2466/pms.1994.78.3c.1274</t>
  </si>
  <si>
    <t>Myers, C. E., Moustafa, A. A., Sheynin, J., Vanmeenen, K. M., Gilbertson, M. W., Orr, S. P., … Servatius, R. J. (2013). Learning to obtain reward, but not avoid punishment, is affected by presence of PTSD symptoms in male veterans: empirical data and computational model. PloS One, 8(8), e72508. Journal Article, Randomized Controlled Trial, Research Support, N.I.H., Extramural, Research Support, U.S. Gov’t, Non-P.H.S. http://doi.org/10.1371/journal.pone.0072508</t>
  </si>
  <si>
    <t>Myers, C. E., Radell, M. L., Shind, C., Ebanks-Williams, Y., Beck, K. D., &amp; Gilbertson, M. W. (2016). Beyond symptom self-report: use of a computer “avatar” to assess post-traumatic stress disorder (PTSD) symptoms. Stress (Amsterdam, Netherlands), 1–6. JOURNAL ARTICLE. http://doi.org/10.1080/10253890.2016.1232385</t>
  </si>
  <si>
    <t>Myhren, H., Ekeberg, O., Toien, K., Karlsson, S., &amp; Stokland, O. (2010). Posttraumatic stress, anxiety and depression symptoms in patients during the first year post intensive care unit discharge. Critical Care (London, England), 14(1), R14. Journal Article. http://doi.org/10.1186/cc8870</t>
  </si>
  <si>
    <t>Myhren, H., Toien, K., Ekeberg, O., Karlsson, S., Sandvik, L., &amp; Stokland, O. (2009). Patients’ memory and psychological distress after ICU stay compared with expectations of the relatives. Intensive Care Medicine, 35(12), 2078–2086. Journal Article. http://doi.org/10.1007/s00134-009-1614-1</t>
  </si>
  <si>
    <t>Nakamura, K. (2012). [Therapeutic interaction to promote patients’ recovery]. Seishin shinkeigaku zasshi = Psychiatria et neurologia Japonica, 114(11), 1316–1322. English Abstract, Journal Article.</t>
  </si>
  <si>
    <t>Neipert, L., Pastorek, N. J., Troyanskaya, M., Scheibel, R. S., Petersen, N. J., &amp; Levin, H. S. (2014). Effect of clinical characteristics on cognitive performance in service members and veterans with histories of blast-related mild traumatic brain injury. Brain Injury, 28(13–14), 1667–1674. Journal Article, Research Support, U.S. Gov’t, Non-P.H.S., Validation Studies. http://doi.org/10.3109/02699052.2014.947623</t>
  </si>
  <si>
    <t>Nelson, N. W., Hoelzle, J. B., Doane, B. M., McGuire, K. A., Ferrier-Auerbach, A. G., Charlesworth, M. J., … Sponheim, S. R. (2012). Neuropsychological outcomes of U.S. Veterans with report of remote blast-related  concussion and current psychopathology. Journal of the International Neuropsychological Society : JINS, 18(5), 845–855. Journal Article, Research Support, Non-U.S. Gov’t. http://doi.org/10.1017/S1355617712000616</t>
  </si>
  <si>
    <t>Newsome, M. R., Durgerian, S., Mourany, L., Scheibel, R. S., Lowe, M. J., Beall, E. B., … Rao, S. M. (2015). Disruption of caudate working memory activation in chronic blast-related traumatic brain injury. NeuroImage. Clinical, 8, 543–553. Journal Article, Research Support, U.S. Gov’t, Non-P.H.S. http://doi.org/10.1016/j.nicl.2015.04.024</t>
  </si>
  <si>
    <t>Neylan, T. C., Lenoci, M., Rothlind, J., Metzler, T. J., Schuff, N., Du, A.-T., … Marmar, C. R. (2004). Attention, learning, and memory in posttraumatic stress disorder. Journal of Traumatic Stress, 17(1), 41–46. Journal Article, Research Support, Non-U.S. Gov’t, Research Support, U.S. Gov’t, Non-P.H.S. http://doi.org/10.1023/B:JOTS.0000014675.75686.ee</t>
  </si>
  <si>
    <t>Norman, S. B., Rosen, J., Himmerich, S., Myers, U. S., Davis, B., Browne, K. C., &amp; Piland, N. (2015). Student Veteran perceptions of facilitators and barriers to achieving academic goals. Journal of Rehabilitation Research and Development, 52(6), 701–712. Journal Article, Research Support, U.S. Gov’t, Non-P.H.S. http://doi.org/10.1682/JRRD.2015.01.0013</t>
  </si>
  <si>
    <t>Nunes, R. R., Porto, V. C., Miranda, V. T., de Andrade, N. Q., &amp; Carneiro, L. M. M. (2012). Risk factor for intraoperative awareness. Revista Brasileira de Anestesiologia, 62(3), 365–374. Journal Article, Review. http://doi.org/10.1016/S0034-7094(12)70137-X</t>
  </si>
  <si>
    <t>O’Connell, M. J., Kasprow, W., &amp; Rosenheck, R. A. (2008). Rates and risk factors for homelessness after successful housing in a sample of formerly homeless veterans. Psychiatric Services (Washington, D.C.), 59(3), 268–275. Journal Article, Research Support, Non-U.S. Gov’t. http://doi.org/10.1176/appi.ps.59.3.268</t>
  </si>
  <si>
    <t>Ojo, J. O., Greenberg, M. B., Leary, P., Mouzon, B., Bachmeier, C., Mullan, M., … Crawford, F. (2014). Neurobehavioral, neuropathological and biochemical profiles in a novel mouse model of co-morbid post-traumatic stress disorder and mild traumatic brain injury. Frontiers in Behavioral Neuroscience, 8, 213. Journal Article. http://doi.org/10.3389/fnbeh.2014.00213</t>
  </si>
  <si>
    <t>Olatunji, B. O., Armstrong, T., Bilsky, S. A., &amp; Zhao, M. (2015). Threat modulation of visual search efficiency in PTSD: A comparison of distinct stimulus categories. Psychiatry Research, 229(3), 975–982. Journal Article. http://doi.org/10.1016/j.psychres.2015.05.090</t>
  </si>
  <si>
    <t>Olatunji, B. O., Armstrong, T., McHugo, M., &amp; Zald, D. H. (2013). Heightened attentional capture by threat in veterans with PTSD. Journal of Abnormal Psychology, 122(2), 397–405. Journal Article. http://doi.org/10.1037/a0030440</t>
  </si>
  <si>
    <t>Ormhaug, S. M., Shirk, S. R., &amp; Wentzel-Larsen, T. (2015). Therapist and client perspectives on the alliance in the treatment of traumatized adolescents. European Journal of Psychotraumatology, 6, 27705. Journal Article.</t>
  </si>
  <si>
    <t>Owens, G. P., Held, P., Blackburn, L., Auerbach, J. S., Clark, A. A., Herrera, C. J., … Stuart, G. L. (2014). Differences in relationship conflict, attachment, and depression in treatment-seeking veterans with hazardous substance use, PTSD, or PTSD and hazardous substance use. Journal of Interpersonal Violence, 29(7), 1318–1337. Journal Article. http://doi.org/10.1177/0886260513506274</t>
  </si>
  <si>
    <t>Palombo, D. J., Kapson, H. S., Lafleche, G., Vasterling, J. J., Marx, B. P., Franz, M., &amp; Verfaellie, M. (2015). Alterations in autobiographical memory for a blast event in Operation Enduring Freedom and Operation Iraqi Freedom veterans with mild traumatic brain injury. Neuropsychology, 29(4), 543–549. Journal Article, Research Support, Non-U.S. Gov’t, Research Support, U.S. Gov’t, Non-P.H.S. http://doi.org/10.1037/neu0000198</t>
  </si>
  <si>
    <t>Pang, E. W., Sedge, P., Grodecki, R., Robertson, A., MacDonald, M. J., Jetly, R., … Taylor, M. J. (2014). Colour or shape: examination of neural processes underlying mental flexibility in posttraumatic stress disorder. Translational Psychiatry, 4, e421. Journal Article, Research Support, Non-U.S. Gov’t. http://doi.org/10.1038/tp.2014.63</t>
  </si>
  <si>
    <t>Pantziaras, I., Fors, U., &amp; Ekblad, S. (2015). Training with virtual patients in transcultural psychiatry: do the learners actually learn? Journal of Medical Internet Research, 17(2), e46. Journal Article. http://doi.org/10.2196/jmir.3497</t>
  </si>
  <si>
    <t>Passie, T., Emrich, H. M., Karst, M., Brandt, S. D., &amp; Halpern, J. H. (2012). Mitigation of post-traumatic stress symptoms by Cannabis resin: a review of the clinical and neurobiological evidence. Drug Testing and Analysis, 4(7–8), 649–659. Case Reports, Journal Article, Review. http://doi.org/10.1002/dta.1377</t>
  </si>
  <si>
    <t>Peterson, J., Prochazka, A. V, &amp; Battaglia, C. (2015). Smoking cessation and care management for veterans with posttraumatic stress disorder: a study protocol for a randomized controlled trial. BMC Health Services Research, 15, 46. Comparative Study, Journal Article, Randomized Controlled Trial, Research Support, U.S. Gov’t, Non-P.H.S. http://doi.org/10.1186/s12913-015-0706-6</t>
  </si>
  <si>
    <t>Plach, H. L., &amp; Sells, C. H. (2013). Occupational performance needs of young veterans. The American Journal of Occupational Therapy : Official Publication of the American Occupational Therapy Association, 67(1), 73–81. Journal Article, Research Support, Non-U.S. Gov’t. http://doi.org/10.5014/ajot.2013.003871</t>
  </si>
  <si>
    <t>Podell, K., Gifford, K., Bougakov, D., &amp; Goldberg, E. (2010). Neuropsychological assessment in traumatic brain injury. The Psychiatric Clinics of North America, 33(4), 855–876. Journal Article, Review. http://doi.org/10.1016/j.psc.2010.08.003</t>
  </si>
  <si>
    <t>Ponsford, J., Cameron, P., Fitzgerald, M., Grant, M., Mikocka-Walus, A., &amp; Schonberger, M. (2012). Predictors of postconcussive symptoms 3 months after mild traumatic brain injury. Neuropsychology, 26(3), 304–313. Journal Article, Research Support, Non-U.S. Gov’t. http://doi.org/10.1037/a0027888</t>
  </si>
  <si>
    <t>Precin, P. (2011). Challenges of welfare-to-work programs. Work (Reading, Mass.), 38(1), 39–56. Journal Article. http://doi.org/10.3233/WOR-2011-1103</t>
  </si>
  <si>
    <t>Prieto, J. M., Blanch, J., Atala, J., Carreras, E., Rovira, M., Cirera, E., &amp; Gasto, C. (2002). Psychiatric morbidity and impact on hospital length of stay among hematologic cancer patients receiving stem-cell transplantation. Journal of Clinical Oncology : Official Journal of the American Society of Clinical Oncology, 20(7), 1907–1917. Journal Article, Research Support, Non-U.S. Gov’t.</t>
  </si>
  <si>
    <t>Pryor, K. O., Root, J. C., Mehta, M., Stern, E., Pan, H., Veselis, R. A., &amp; Silbersweig, D. A. (2015). Effect of propofol on the medial temporal lobe emotional memory system: a functional magnetic resonance imaging study in human subjects. British Journal of Anaesthesia, 115 Suppl, i104–i113. Journal Article, Randomized Controlled Trial, Research Support, N.I.H., Extramural, Research Support, Non-U.S. Gov’t. http://doi.org/10.1093/bja/aev038</t>
  </si>
  <si>
    <t>Rabinak, C. A., Holman, A., Angstadt, M., Kennedy, A. E., Hajcak, G., &amp; Phan, K. L. (2013). Neural response to errors in combat-exposed returning veterans with and without post-traumatic stress disorder: a preliminary event-related potential study. Psychiatry Research, 213(1), 71–78. Journal Article. http://doi.org/10.1016/j.pscychresns.2013.01.002</t>
  </si>
  <si>
    <t>Razavi, S. M., Negahban, Z., Pirhosseinloo, M., Razavi, M. S., Hadjati, G., &amp; Salamati, P. (2014). Sulfur Mustard Effects on Mental Health and Quality-of-Life: A Review. Iranian Journal of Psychiatry and Behavioral Sciences, 8(3), 11–21. Journal Article, Review.</t>
  </si>
  <si>
    <t>Reddy, S., Dick, A. M., Gerber, M. R., &amp; Mitchell, K. (2014). The effect of a yoga intervention on alcohol and drug abuse risk in veteran and civilian women with posttraumatic stress disorder. Journal of Alternative and Complementary Medicine (New York, N.Y.), 20(10), 750–756. Journal Article, Randomized Controlled Trial. http://doi.org/10.1089/acm.2014.0014</t>
  </si>
  <si>
    <t>Reger, G. M., Hoffman, J., Riggs, D., Rothbaum, B. O., Ruzek, J., Holloway, K. M., &amp; Kuhn, E. (2013). The “PE coach” smartphone application: an innovative approach to improving implementation, fidelity, and homework adherence during prolonged exposure. Psychological Services, 10(3), 342–349. Journal Article. http://doi.org/10.1037/a0032774</t>
  </si>
  <si>
    <t>Renard, S. B., Pijnenborg, M., &amp; Lysaker, P. H. (2012). Dissociation and social cognition in schizophrenia spectrum disorder. Schizophrenia Research, 137(1–3), 219–223. Journal Article, Research Support, U.S. Gov’t, Non-P.H.S. http://doi.org/10.1016/j.schres.2012.02.001</t>
  </si>
  <si>
    <t>Renshaw, K. D., Allen, E. S., Carter, S. P., Markman, H. J., &amp; Stanley, S. M. (2014). Partners’ attributions for service members’ symptoms of combat-related posttraumatic stress disorder. Behavior Therapy, 45(2), 187–198. Journal Article, Research Support, N.I.H., Extramural. http://doi.org/10.1016/j.beth.2013.10.005</t>
  </si>
  <si>
    <t>Renshaw, K. D., &amp; Campbell, S. B. (2011). Combat veterans’ symptoms of PTSD and partners’ distress: the role of partners’ perceptions of veterans’ deployment experiences. Journal of Family Psychology : JFP : Journal of the Division of Family Psychology of the American Psychological Association (Division 43), 25(6), 953–962. Comparative Study, Journal Article. http://doi.org/10.1037/a0025871</t>
  </si>
  <si>
    <t>Ritchie, E. C., Benedek, D., Malone, R., &amp; Carr-Malone, R. (2006). Psychiatry and the military: an update. The Psychiatric Clinics of North America, 29(3), 695–707. Journal Article, Review. http://doi.org/10.1016/j.psc.2006.04.008</t>
  </si>
  <si>
    <t>Robison-Andrew, E. J., Duval, E. R., Nelson, C. B., Echiverri-Cohen, A., Giardino, N., Defever, A., … Rauch, S. A. M. (2014). Changes in trauma-potentiated startle with treatment of posttraumatic stress disorder in combat Veterans. Journal of Anxiety Disorders, 28(4), 358–362. Journal Article, Randomized Controlled Trial, Research Support, U.S. Gov’t, Non-P.H.S. http://doi.org/10.1016/j.janxdis.2014.04.002</t>
  </si>
  <si>
    <t>Roca, V., Hart, J., Kimbrell, T., &amp; Freeman, T. (2006). Cognitive function and dissociative disorder status among veteran subjects with chronic posttraumatic stress disorder: a preliminary study. The Journal of Neuropsychiatry and Clinical Neurosciences, 18(2), 226–230. Journal Article. http://doi.org/10.1176/jnp.2006.18.2.226</t>
  </si>
  <si>
    <t>Rosenheck, R. (2001). Stages in the implementation of innovative clinical programs in complex organizations. The Journal of Nervous and Mental Disease, 189(12), 812–821. Journal Article.</t>
  </si>
  <si>
    <t>Roy, M. J., Costanzo, M. E., Jovanovic, T., Leaman, S., Taylor, P., Norrholm, S. D., &amp; Rizzo, A. A. (2013). Heart rate response to fear conditioning and virtual reality in subthreshold PTSD. Studies in Health Technology and Informatics, 191, 115–119. Journal Article.</t>
  </si>
  <si>
    <t>Ruderman, L., Ehrlich, D. B., Roy, A., Pietrzak, R. H., Harpaz-Rotem, I., &amp; Levy, I. (2016). POSTTRAUMATIC STRESS SYMPTOMS AND AVERSION TO AMBIGUOUS LOSSES IN COMBAT VETERANS. Depression and Anxiety, 33(7), 606–613. Journal Article. http://doi.org/10.1002/da.22494</t>
  </si>
  <si>
    <t>Ruzek, J. I., Rosen, R. C., Garvert, D. W., Smith, L. D., Sears, K. C., Marceau, L., … Stoddard, A. M. (2014). Online self-administered training of PTSD treatment providers in cognitive-behavioral intervention skills: results of a randomized controlled trial. Journal of Traumatic Stress, 27(6), 703–711. Journal Article, Randomized Controlled Trial, Research Support, U.S. Gov’t, Non-P.H.S. http://doi.org/10.1002/jts.21977</t>
  </si>
  <si>
    <t>Ruzek, J. I., Rosen, R. C., Marceau, L., Larson, M. J., Garvert, D. W., Smith, L., &amp; Stoddard, A. (2012). Online self-administered training for post-traumatic stress disorder treatment providers: design and methods for a randomized, prospective intervention study. Implementation Science : IS, 7, 43. Journal Article, Randomized Controlled Trial, Research Support, U.S. Gov’t, Non-P.H.S. http://doi.org/10.1186/1748-5908-7-43</t>
  </si>
  <si>
    <t>Sadeh, N., Spielberg, J. M., Miller, M. W., Milberg, W. P., Salat, D. H., Amick, M. M., … McGlinchey, R. E. (2015). Neurobiological indicators of disinhibition in posttraumatic stress disorder. Human Brain Mapping, 36(8), 3076–3086. Journal Article, Research Support, N.I.H., Extramural, Research Support, U.S. Gov’t, Non-P.H.S. http://doi.org/10.1002/hbm.22829</t>
  </si>
  <si>
    <t>Samuelson, K. W., Neylan, T. C., Lenoci, M., Metzler, T. J., Cardenas, V., Weiner, M. W., &amp; Marmar, C. R. (2009). Longitudinal effects of PTSD on memory functioning. Journal of the International Neuropsychological Society : JINS, 15(6), 853–861. Journal Article, Research Support, Non-U.S. Gov’t. http://doi.org/10.1017/S1355617709990282</t>
  </si>
  <si>
    <t>Samuelson, K. W., Neylan, T. C., Metzler, T. J., Lenoci, M., Rothlind, J., Henn-Haase, C., … Marmar, C. R. (2006). Neuropsychological functioning in posttraumatic stress disorder and alcohol abuse. Neuropsychology, 20(6), 716–726. Journal Article, Research Support, Non-U.S. Gov’t. http://doi.org/10.1037/0894-4105.20.6.716</t>
  </si>
  <si>
    <t>Sarac-Hadzihalilovic, A., Kulenovic, A., &amp; Kucukalic, A. (2008). Stress, memory and Bosnian war veterans. Bosnian Journal of Basic Medical Sciences / Udruzenje Basicnih Mediciniskih Znanosti = Association of Basic Medical Sciences, 8(2), 135–140. Journal Article.</t>
  </si>
  <si>
    <t>Saunders, G. H., Frederick, M. T., Arnold, M., Silverman, S., Chisolm, T. H., &amp; Myers, P. (2015). Auditory difficulties in blast-exposed Veterans with clinically normal hearing. Journal of Rehabilitation Research and Development, 52(3), 343–360. Journal Article, Randomized Controlled Trial, Research Support, U.S. Gov’t, Non-P.H.S. http://doi.org/10.1682/JRRD.2014.11.0275</t>
  </si>
  <si>
    <t>Sawyer, A. T., Liverant, G. I., Jun, J. J., Lee, D. J., Cohen, A. L., Dutra, S. J., … Sloan, D. M. (2016). Punishment Learning in U.S. Veterans With Posttraumatic Stress Disorder. Journal of Traumatic Stress, 29(4), 374–378. Journal Article. http://doi.org/10.1002/jts.22109</t>
  </si>
  <si>
    <t>Schmahl, C., Meinzer, M., Zeuch, A., Fichter, M., Cebulla, M., Kleindienst, N., … Bohus, M. (2010). Pain sensitivity is reduced in borderline personality disorder, but not in posttraumatic stress disorder and bulimia nervosa. The World Journal of Biological Psychiatry : The Official Journal of the World Federation of Societies of Biological Psychiatry, 11(2 Pt 2), 364–371. Clinical Trial, Journal Article. http://doi.org/10.3109/15622970701849952</t>
  </si>
  <si>
    <t>Schoutrop, M. J. A., Lange, A., Hanewald, G., Davidovich, U., &amp; Salomon, H. (2002). Structured writing and processing major stressful events: a controlled trial. Psychotherapy and Psychosomatics, 71(3), 151–157. Clinical Trial, Controlled Clinical Trial, Journal Article. http://doi.org/56282</t>
  </si>
  <si>
    <t>Schumm, J. A., Koucky, E. M., &amp; Bartel, A. (2014). Associations between perceived social reactions to trauma-related experiences with PTSD and depression among veterans seeking PTSD treatment. Journal of Traumatic Stress, 27(1), 50–57. Journal Article, Research Support, U.S. Gov’t, Non-P.H.S. http://doi.org/10.1002/jts.21879</t>
  </si>
  <si>
    <t>Scott, J. C., Woods, S. P., Wrocklage, K. M., Schweinsburg, B. C., Southwick, S. M., &amp; Krystal, J. H. (2016). Prospective Memory in Posttraumatic Stress Disorder. Journal of the International Neuropsychological Society : JINS, 22(7), 724–734. Journal Article. http://doi.org/10.1017/S1355617716000564</t>
  </si>
  <si>
    <t>Seedat, S., Videen, J. S., Kennedy, C. M., &amp; Stein, M. B. (2005). Single voxel proton magnetic resonance spectroscopy in women with and without intimate partner violence-related posttraumatic stress disorder. Psychiatry Research, 139(3), 249–258. Journal Article, Research Support, U.S. Gov’t, Non-P.H.S. http://doi.org/10.1016/j.pscychresns.2005.06.001</t>
  </si>
  <si>
    <t>Shah, A. J., Su, S., Veledar, E., Bremner, J. D., Goldstein, F. C., Lampert, R., … Vaccarino, V. (2011). Is heart rate variability related to memory performance in middle-aged men? Psychosomatic Medicine, 73(6), 475–482. Journal Article, Research Support, N.I.H., Extramural, Research Support, Non-U.S. Gov’t, Research Support, U.S. Gov’t, Non-P.H.S., Twin Study. http://doi.org/10.1097/PSY.0b013e3182227d6a</t>
  </si>
  <si>
    <t>Shalev, A. Y., Orr, S. P., &amp; Pitman, R. K. (1992). Psychophysiologic response during script-driven imagery as an outcome measure in  posttraumatic stress disorder. The Journal of Clinical Psychiatry, 53(9), 324–326. Case Reports, Journal Article, Research Support, Non-U.S. Gov’t.</t>
  </si>
  <si>
    <t>Shandera-Ochsner, A. L., Berry, D. T. R., Harp, J. P., Edmundson, M., Graue, L. O., Roach, A., &amp; High, W. M. J. (2013). Neuropsychological effects of self-reported deployment-related mild TBI and current PTSD in OIF/OEF veterans. The Clinical Neuropsychologist, 27(6), 881–907. Journal Article, Research Support, U.S. Gov’t, Non-P.H.S. http://doi.org/10.1080/13854046.2013.802017</t>
  </si>
  <si>
    <t>Shaw, M. E., Strother, S. C., McFarlane, A. C., Morris, P., Anderson, J., Clark, C. R., &amp; Egan, G. F. (2002). Abnormal functional connectivity in posttraumatic stress disorder. NeuroImage, 15(3), 661–674. Journal Article, Research Support, Non-U.S. Gov’t, Research Support, U.S. Gov’t, Non-P.H.S., Research Support, U.S. Gov’t, P.H.S. http://doi.org/10.1006/nimg.2001.1024</t>
  </si>
  <si>
    <t>Shemesh, E., Lurie, S., Stuber, M. L., Emre, S., Patel, Y., Vohra, P., … Shneider, B. L. (2000). A pilot study of posttraumatic stress and nonadherence in pediatric liver transplant recipients. Pediatrics, 105(2), E29. Case Reports, Journal Article.</t>
  </si>
  <si>
    <t>Shin, L. M., Bush, G., Milad, M. R., Lasko, N. B., Brohawn, K. H., Hughes, K. C., … Pitman, R. K. (2011). Exaggerated activation of dorsal anterior cingulate cortex during cognitive interference: a monozygotic twin study of posttraumatic stress disorder. The American Journal of Psychiatry, 168(9), 979–985. Journal Article, Research Support, N.I.H., Extramural, Research Support, Non-U.S. Gov’t, Research Support, U.S. Gov’t, Non-P.H.S. http://doi.org/10.1176/appi.ajp.2011.09121812</t>
  </si>
  <si>
    <t>Shu, I.-W., Onton, J. A., O’Connell, R. M., Simmons, A. N., &amp; Matthews, S. C. (2014). Combat veterans with comorbid PTSD and mild TBI exhibit a greater inhibitory processing ERP from the dorsal anterior cingulate cortex. Psychiatry Research, 224(1), 58–66. Journal Article, Research Support, Non-U.S. Gov’t, Research Support, U.S. Gov’t, Non-P.H.S. http://doi.org/10.1016/j.pscychresns.2014.07.010</t>
  </si>
  <si>
    <t>Shu, I.-W., Onton, J. A., Prabhakar, N., O’Connell, R. M., Simmons, A. N., &amp; Matthews, S. C. (2014). Combat veterans with PTSD after mild TBI exhibit greater ERPs from posterior-medial cortical areas while appraising facial features. Journal of Affective Disorders, 155, 234–240. Journal Article, Research Support, Non-U.S. Gov’t, Research Support, U.S. Gov’t, Non-P.H.S. http://doi.org/10.1016/j.jad.2013.06.057</t>
  </si>
  <si>
    <t>Shucard, J. L., McCabe, D. C., &amp; Szymanski, H. (2008). An event-related potential study of attention deficits in posttraumatic stress disorder during auditory and visual Go/NoGo continuous performance tasks. Biological Psychology, 79(2), 223–233. Journal Article, Research Support, N.I.H., Extramural. http://doi.org/10.1016/j.biopsycho.2008.05.005</t>
  </si>
  <si>
    <t>Shura, R. D., Rowland, J. A., &amp; Miskey, H. M. (2016). Auditory Consonant Trigrams: A Psychometric Updatedagger. Archives of Clinical Neuropsychology : The Official Journal of the National Academy of Neuropsychologists, 31(1), 47–57. Journal Article, Research Support, Non-U.S. Gov’t. http://doi.org/10.1093/arclin/acv083</t>
  </si>
  <si>
    <t>Sillanpaa, M. C., Agar, L. M., &amp; Axelrod, B. N. (1999). Minnesota Multiphasic Personality Inventory-2 validity patterns: an elucidation of Gulf War syndrome. Military Medicine, 164(4), 261–263. Journal Article.</t>
  </si>
  <si>
    <t>Simkin, D. R. (2002). Adolescent substance use disorders and comorbidity. Pediatric Clinics of North America, 49(2), 463–477. Journal Article, Review.</t>
  </si>
  <si>
    <t>Smith, K. S., Meloni, E. G., Myers, K. M., Van’t Veer, A., Carlezon, W. A. J., &amp; Rudolph, U. (2011). Reduction of fear-potentiated startle by benzodiazepines in C57BL/6J mice. Psychopharmacology, 213(4), 697–706. Journal Article, Research Support, N.I.H., Extramural, Research Support, Non-U.S. Gov’t. http://doi.org/10.1007/s00213-010-2026-1</t>
  </si>
  <si>
    <t>Soble, J. R., Spanierman, L. B., &amp; Fitzgerald Smith, J. (2013). Neuropsychological functioning of combat veterans with posttraumatic stress disorder and mild traumatic brain injury. Journal of Clinical and Experimental Neuropsychology, 35(5), 551–561. Journal Article. http://doi.org/10.1080/13803395.2013.798398</t>
  </si>
  <si>
    <t>Sodic, L., Anticevic, V., Britvic, D., &amp; Ivkosic, N. (2007). Short-term memory in Croatian war veterans with posttraumatic stress disorder. Croatian Medical Journal, 48(2), 140–145. Journal Article.</t>
  </si>
  <si>
    <t>Sowa, C. J., &amp; Barsanti, A. N. (1986). Differences between experienced and anticipatory distress. Journal of Clinical Psychology, 42(5), 703–707. Journal Article.</t>
  </si>
  <si>
    <t>Sozda, C. N., Muir, J. J., Springer, U. S., Partovi, D., &amp; Cole, M. A. (2014). Differential learning and memory performance in OEF/OIF veterans for verbal and visual material. Neuropsychology, 28(3), 347–352. Journal Article. http://doi.org/10.1037/neu0000043</t>
  </si>
  <si>
    <t>Speicher, S. M., Walter, K. H., &amp; Chard, K. M. (2014). Interdisciplinary residential treatment of posttraumatic stress disorder and traumatic brain injury: effects on symptom severity and occupational performance and satisfaction. The American Journal of Occupational Therapy : Official Publication of the American Occupational Therapy Association, 68(4), 412–421. Journal Article. http://doi.org/10.5014/ajot.2014.011304</t>
  </si>
  <si>
    <t>Sripada, R. K., King, A. P., Welsh, R. C., Garfinkel, S. N., Wang, X., Sripada, C. S., &amp; Liberzon, I. (2012). Neural dysregulation in posttraumatic stress disorder: evidence for disrupted equilibrium between salience and default mode brain networks. Psychosomatic Medicine, 74(9), 904–911. Journal Article, Research Support, N.I.H., Extramural, Research Support, Non-U.S. Gov’t, Research Support, U.S. Gov’t, Non-P.H.S. http://doi.org/10.1097/PSY.0b013e318273bf33</t>
  </si>
  <si>
    <t>Stack, J. A., Paradis, C. F., Reynolds, C. F. 3rd, Houck, P. R., Frank, E., Anderson, B., … Perel, J. M. (1995). Does recruitment method make a difference? Effects on protocol retention and treatment outcome in elderly depressed patients. Psychiatry Research, 56(1), 17–24. Comparative Study, Journal Article, Research Support, U.S. Gov’t, P.H.S.</t>
  </si>
  <si>
    <t>Steger, M. F., Owens, G. P., &amp; Park, C. L. (2015). Violations of war: testing the meaning-making model among Vietnam veterans. Journal of Clinical Psychology, 71(1), 105–116. Journal Article. http://doi.org/10.1002/jclp.22121</t>
  </si>
  <si>
    <t>Stevens, A., Friedel, E., Mehren, G., &amp; Merten, T. (2008). Malingering and uncooperativeness in psychiatric and psychological assessment: prevalence and effects in a German sample of claimants. Psychiatry Research, 157(1–3), 191–200. Journal Article. http://doi.org/10.1016/j.psychres.2007.01.003</t>
  </si>
  <si>
    <t>Storzbach, D., Campbell, K. A., Binder, L. M., McCauley, L., Anger, W. K., Rohlman, D. S., &amp; Kovera, C. A. (2000). Psychological differences between veterans with and without Gulf War unexplained  symptoms. Portland Environmental Hazards Research Center. Psychosomatic Medicine, 62(5), 726–735. Comparative Study, Journal Article, Research Support, U.S. Gov’t, Non-P.H.S.</t>
  </si>
  <si>
    <t>Storzbach, D., O’Neil, M. E., Roost, S.-M., Kowalski, H., Iverson, G. L., Binder, L. M., … Huckans, M. (2015). Comparing the Neuropsychological Test Performance of Operation Enduring Freedom/Operation Iraqi Freedom (OEF/OIF) Veterans with and without Blast Exposure, Mild Traumatic Brain Injury, and Posttraumatic Stress Symptoms. Journal of the International Neuropsychological Society : JINS, 21(5), 353–363. Journal Article, Research Support, Non-U.S. Gov’t, Research Support, U.S. Gov’t, Non-P.H.S., Research Support, U.S. Gov’t, P.H.S. http://doi.org/10.1017/S1355617715000326</t>
  </si>
  <si>
    <t>Stricker, N. H., Keller, J. E., Castillo, D. T., &amp; Haaland, K. Y. (2015). The neurocognitive performance of female veterans with posttraumatic stress disorder. Journal of Traumatic Stress, 28(2), 102–109. Journal Article, Research Support, Non-U.S. Gov’t, Research Support, U.S. Gov’t, Non-P.H.S. http://doi.org/10.1002/jts.22000</t>
  </si>
  <si>
    <t>Sullivan, M. P., Griffiths, G. G., &amp; Moore Sohlberg, M. (2014). Effect of posttraumatic stress on study time in a task measuring four component processes underlying text-level reading. Journal of Speech, Language, and Hearing Research : JSLHR, 57(5), 1731–1739. Journal Article, Research Support, Non-U.S. Gov’t. http://doi.org/10.1044/2014_JSLHR-L-13-0238</t>
  </si>
  <si>
    <t>Suris, A., North, C., Adinoff, B., Powell, C. M., &amp; Greene, R. (2010). Effects of exogenous glucocorticoid on combat-related PTSD symptoms. Annals of Clinical Psychiatry : Official Journal of the American Academy of Clinical Psychiatrists, 22(4), 274–279. Journal Article, Randomized Controlled Trial, Research Support, N.I.H., Extramural, Research Support, Non-U.S. Gov’t, Research Support, U.S. Gov’t, Non-P.H.S.</t>
  </si>
  <si>
    <t>Sutker, P. B., Galina, Z. H., West, J. A., &amp; Allain, A. N. (1990). Trauma-induced weight loss and cognitive deficits among former prisoners of war. Journal of Consulting and Clinical Psychology, 58(3), 323–328. Journal Article, Research Support, U.S. Gov’t, Non-P.H.S.</t>
  </si>
  <si>
    <t>Sutker, P. B., Winstead, D. K., Galina, Z. H., &amp; Allain, A. N. (1991). Cognitive deficits and psychopathology among former prisoners of war and combat veterans of the Korean conflict. The American Journal of Psychiatry, 148(1), 67–72. Case Reports, Journal Article, Research Support, U.S. Gov’t, Non-P.H.S. http://doi.org/10.1176/ajp.148.1.67</t>
  </si>
  <si>
    <t>Svenningsen, H. (2013). Associations between sedation, delirium and post-traumatic stress disorder and their impact on quality of life and memories following discharge from an intensive care unit. Danish Medical Journal, 60(4), B4630. Journal Article, Research Support, Non-U.S. Gov’t, Review.</t>
  </si>
  <si>
    <t>Swanson, G. S., Blount, J., &amp; Bruno, R. (1990). Comprehensive system Rorschach data on Vietnam combat veterans. Journal of Personality Assessment, 54(1–2), 160–169. Journal Article. http://doi.org/10.1080/00223891.1990.9673983</t>
  </si>
  <si>
    <t>Swick, D., Honzel, N., Larsen, J., &amp; Ashley, V. (2013). Increased response variability as a marker of executive dysfunction in veterans with post-traumatic stress disorder. Neuropsychologia, 51(14), 3033–3040. Journal Article, Research Support, N.I.H., Extramural, Research Support, U.S. Gov’t, Non-P.H.S. http://doi.org/10.1016/j.neuropsychologia.2013.10.008</t>
  </si>
  <si>
    <t>Swick, D., Honzel, N., Larsen, J., Ashley, V., &amp; Justus, T. (2012). Impaired response inhibition in veterans with post-traumatic stress disorder and  mild traumatic brain injury. Journal of the International Neuropsychological Society : JINS, 18(5), 917–926. Journal Article, Research Support, U.S. Gov’t, Non-P.H.S. http://doi.org/10.1017/S1355617712000458</t>
  </si>
  <si>
    <t>Swick, D., Honzel, N., &amp; Turken, U. (2015). Intact error monitoring in combat Veterans with post-traumatic stress disorder. Psychiatry Research, 234(2), 227–238. Journal Article, Research Support, U.S. Gov’t, Non-P.H.S. http://doi.org/10.1016/j.pscychresns.2015.09.016</t>
  </si>
  <si>
    <t>Tamanna, S., Parker, J. D., Lyons, J., &amp; Ullah, M. I. (2014). The effect of continuous positive air pressure (CPAP) on nightmares in patients with posttraumatic stress disorder (PTSD) and obstructive sleep apnea (OSA). Journal of Clinical Sleep Medicine : JCSM : Official Publication of the American  Academy of Sleep Medicine, 10(6), 631–636. Journal Article. http://doi.org/10.5664/jcsm.3786</t>
  </si>
  <si>
    <t>Tate, R. L., Pfaff, A., Baguley, I. J., Marosszeky, J. E., Gurka, J. A., Hodgkinson, A. E., … Hanna, J. (2006). A multicentre, randomised trial examining the effect of test procedures measuring emergence from post-traumatic amnesia. Journal of Neurology, Neurosurgery, and Psychiatry, 77(7), 841–849. Journal Article, Multicenter Study, Randomized Controlled Trial, Research Support, Non-U.S. Gov’t. http://doi.org/10.1136/jnnp.2005.074989</t>
  </si>
  <si>
    <t>Tian, F., Yennu, A., Smith-Osborne, A., Gonzalez-Lima, F., North, C. S., &amp; Liu, H. (2014). Prefrontal responses to digit span memory phases in patients with post-traumatic  stress disorder (PTSD): a functional near infrared spectroscopy study. NeuroImage. Clinical, 4, 808–819. Journal Article, Research Support, Non-U.S. Gov’t. http://doi.org/10.1016/j.nicl.2014.05.005</t>
  </si>
  <si>
    <t>Tischler, L., Brand, S. R., Stavitsky, K., Labinsky, E., Newmark, R., Grossman, R., … Yehuda, R. (2006). The relationship between hippocampal volume and declarative memory in a population of combat veterans with and without PTSD. Annals of the New York Academy of Sciences, 1071, 405–409. Journal Article. http://doi.org/10.1196/annals.1364.031</t>
  </si>
  <si>
    <t>Tocco, I., Azzi, M., Salini, E., &amp; Bassetto, F. (2013). Implementing a tailored approach for the hand-injured patient: a prospective study on the evolution of the posttraumatic psychic distress. Journal of Trauma Nursing : The Official Journal of the Society of Trauma Nurses, 20(4), 178–183. Comparative Study, Journal Article. http://doi.org/10.1097/JTN.0000000000000009</t>
  </si>
  <si>
    <t>Tonkovic, D., Adam, V. N., Kovacevic, M., Bogovic, T. Z., Drvar, Z., &amp; Baronica, R. (2012). [Perioperative disorders of mental functions]. Acta medica Croatica : casopis Hravatske akademije medicinskih znanosti, 66(1), 73–79. English Abstract, Journal Article, Review.</t>
  </si>
  <si>
    <t>Toomey, R., Alpern, R., Vasterling, J. J., Baker, D. G., Reda, D. J., Lyons, M. J., … Murphy, F. M. (2009). Neuropsychological functioning of U.S. Gulf War veterans 10 years after the war. Journal of the International Neuropsychological Society : JINS, 15(5), 717–729. Journal Article, Multicenter Study, Research Support, U.S. Gov’t, Non-P.H.S. http://doi.org/10.1017/S1355617709990294</t>
  </si>
  <si>
    <t>Troyanskaya, M., Pastorek, N. J., Scheibel, R. S., Petersen, N. J., McCulloch, K., Wilde, E. A., … Levin, H. S. (2015). Combat exposure, PTSD symptoms, and cognition following blast-related traumatic brain injury in OEF/OIF/OND service members and Veterans. Military Medicine, 180(3), 285–289. Journal Article, Research Support, U.S. Gov’t, Non-P.H.S. http://doi.org/10.7205/MILMED-D-14-00256</t>
  </si>
  <si>
    <t>Turco, R. (1982). The influence of previous life events and developmental experiences on the resolution of grief as developed in psychotherapy. The Psychiatric Quarterly, 54(3), 143–148. Case Reports, Journal Article.</t>
  </si>
  <si>
    <t>van der Kolk, B., Blitz, R., Burr, W., Sherry, S., &amp; Hartmann, E. (1984). Nightmares and trauma: a comparison of nightmares after combat with lifelong nightmares in veterans. The American Journal of Psychiatry, 141(2), 187–190. Comparative Study, Journal Article, Research Support, U.S. Gov’t, Non-P.H.S. http://doi.org/10.1176/ajp.141.2.187</t>
  </si>
  <si>
    <t>van Liempt, S., Vermetten, E., Lentjes, E., Arends, J., &amp; Westenberg, H. (2011). Decreased nocturnal growth hormone secretion and sleep fragmentation in combat-related posttraumatic stress disorder; potential predictors of impaired memory consolidation. Psychoneuroendocrinology, 36(9), 1361–1369. Clinical Trial, Journal Article, Research Support, Non-U.S. Gov’t. http://doi.org/10.1016/j.psyneuen.2011.03.009</t>
  </si>
  <si>
    <t>van Rooij, S. J. H., Geuze, E., Kennis, M., Rademaker, A. R., &amp; Vink, M. (2015). Neural correlates of inhibition and contextual cue processing related to treatment response in PTSD. Neuropsychopharmacology : Official Publication of the American College of Neuropsychopharmacology, 40(3), 667–675. Journal Article, Observational Study, Research Support, Non-U.S. Gov’t. http://doi.org/10.1038/npp.2014.220</t>
  </si>
  <si>
    <t>van Rooij, S. J. H., Rademaker, A. R., Kennis, M., Vink, M., Kahn, R. S., &amp; Geuze, E. (2014). Impaired right inferior frontal gyrus response to contextual cues in male veterans with PTSD during response inhibition. Journal of Psychiatry &amp; Neuroscience : JPN, 39(5), 330–338. Comparative Study, Journal Article, Research Support, Non-U.S. Gov’t.</t>
  </si>
  <si>
    <t>Vasterling, J. J., Brailey, K., Constans, J. I., &amp; Sutker, P. B. (1998). Attention and memory dysfunction in posttraumatic stress disorder. Neuropsychology, 12(1), 125–133. Clinical Trial, Journal Article, Research Support, U.S. Gov’t, Non-P.H.S.</t>
  </si>
  <si>
    <t>Vasterling, J. J., Duke, L. M., Brailey, K., Constans, J. I., Allain, A. N. J., &amp; Sutker, P. B. (2002). Attention, learning, and memory performances and intellectual resources in Vietnam veterans: PTSD and no disorder comparisons. Neuropsychology, 16(1), 5–14. Journal Article, Research Support, Non-U.S. Gov’t, Research Support, U.S. Gov’t, Non-P.H.S.</t>
  </si>
  <si>
    <t>Verfaellie, M., Lafleche, G., Spiro, A., &amp; Bousquet, K. (2014). Neuropsychological outcomes in OEF/OIF veterans with self-report of blast exposure: associations with mental health, but not MTBI. Neuropsychology, 28(3), 337–346. Journal Article. http://doi.org/10.1037/neu0000027</t>
  </si>
  <si>
    <t>Vermetten, E., Meijer, L., van der Wurff, P., &amp; Mert, A. (2013). The effect of military motion-assisted memory desensitization and reprocessing treatment on the symptoms of combat-related post traumatic stress disorder: first preliminary results. Studies in Health Technology and Informatics, 191, 125–127. Journal Article.</t>
  </si>
  <si>
    <t>Virta, M., Launes, J., Valanne, L., &amp; Hokkanen, L. (2016). Adult with Middle Interhemispheric Variant of Holoprosencephaly: Neuropsychological, Clinical, and Radiological Findings. Archives of Clinical Neuropsychology : The Official Journal of the National Academy of Neuropsychologists, 31(5), 472–479. Journal Article. http://doi.org/10.1093/arclin/acw026</t>
  </si>
  <si>
    <t>Vrana, S. R., Hughes, J. W., Dennis, M. F., Calhoun, P. S., &amp; Beckham, J. C. (2009). Effects of posttraumatic stress disorder status and covert hostility on cardiovascular responses to relived anger in women with and without PTSD. Biological Psychology, 82(3), 274–280. Journal Article, Research Support, N.I.H., Extramural, Research Support, U.S. Gov’t, Non-P.H.S. http://doi.org/10.1016/j.biopsycho.2009.08.008</t>
  </si>
  <si>
    <t>Vythilingam, M., Gill, J. M., Luckenbaugh, D. A., Gold, P. W., Collin, C., Bonne, O., … Charney, D. (2010). Low early morning plasma cortisol in posttraumatic stress disorder is associated  with co-morbid depression but not with enhanced glucocorticoid feedback inhibition. Psychoneuroendocrinology, 35(3), 442–450. Controlled Clinical Trial, Journal Article, Research Support, N.I.H., Intramural. http://doi.org/10.1016/j.psyneuen.2009.08.006</t>
  </si>
  <si>
    <t>Waddington, L., &amp; Morley, S. (2000). Availability bias in clinical formulation: the first idea that comes to mind. The British Journal of Medical Psychology, 73 ( Pt 1), 117–127. Clinical Trial, Journal Article, Randomized Controlled Trial.</t>
  </si>
  <si>
    <t>Wadsworth, A. P. J., &amp; Barker, H. R. J. (1976). A comparison of two treatments for depression: the antidepressive program vs. traditional therapy. Journal of Clinical Psychology, 32(2), 445–449. Comparative Study, Journal Article, Research Support, U.S. Gov’t, Non-P.H.S.</t>
  </si>
  <si>
    <t>Wangelin, B. C., &amp; Tuerk, P. W. (2015). TAKING THE PULSE OF PROLONGED EXPOSURE THERAPY: PHYSIOLOGICAL REACTIVITY TO TRAUMA IMAGERY AS AN OBJECTIVE MEASURE OF TREATMENT RESPONSE. Depression and Anxiety, 32(12), 927–934. Journal Article, Research Support, U.S. Gov’t, Non-P.H.S. http://doi.org/10.1002/da.22449</t>
  </si>
  <si>
    <t>Warner, C. H., Appenzeller, G. N., Grieger, T., Belenkiy, S., Breitbach, J., Parker, J., … Hoge, C. (2011). Importance of anonymity to encourage honest reporting in mental health screening  after combat deployment. Archives of General Psychiatry, 68(10), 1065–1071. Journal Article. http://doi.org/10.1001/archgenpsychiatry.2011.112</t>
  </si>
  <si>
    <t>Watson, C. G., Davenport, E., Anderson, P. E., Mendez, C. M., &amp; Gearhart, L. P. (1998). The relationships between premilitary school record data and risk for posttraumatic stress disorder among Vietnam war veterans. The Journal of Nervous and Mental Disease, 186(6), 338–344. Comparative Study, Journal Article, Research Support, U.S. Gov’t, Non-P.H.S.</t>
  </si>
  <si>
    <t>Whitney, K. A., Davis, J. J., Shepard, P. H., &amp; Herman, S. M. (2008). Utility of the response bias scale (RBS) and other MMPI-2 validity scales in predicting TOMM performance. Archives of Clinical Neuropsychology : The Official Journal of the National Academy of Neuropsychologists, 23(7–8), 777–786. Journal Article, Validation Studies. http://doi.org/10.1016/j.acn.2008.09.001</t>
  </si>
  <si>
    <t>Willis, P. F., Farrer, T. J., &amp; Bigler, E. D. (2011). Are effort measures sensitive to cognitive impairment? Military Medicine, 176(12), 1426–1431. Case Reports, Journal Article, Validation Studies.</t>
  </si>
  <si>
    <t>Wisco, B. E., Pineles, S. L., Shipherd, J. C., &amp; Marx, B. P. (2013). Attentional interference by threat and post-traumatic stress disorder: the role of thought control strategies. Cognition &amp; Emotion, 27(7), 1314–1325. Journal Article, Research Support, N.I.H., Extramural, Research Support, U.S. Gov’t, Non-P.H.S. http://doi.org/10.1080/02699931.2013.775109</t>
  </si>
  <si>
    <t>Wisdom, N. M., Pastorek, N. J., Miller, B. I., Booth, J. E., Romesser, J. M., Linck, J. F., &amp; Sim, A. H. (2014). PTSD and cognitive functioning: importance of including performance validity testing. The Clinical Neuropsychologist, 28(1), 128–145. Comparative Study, Journal Article, Research Support, U.S. Gov’t, Non-P.H.S. http://doi.org/10.1080/13854046.2013.863977</t>
  </si>
  <si>
    <t>Witthoft, M., Borgmann, E., White, A., &amp; Dyer, A. (2015). Body-related attentional biases in patients with posttraumatic stress disorder resulting from childhood sexual abuse with and without co-occurring borderline personality disorder. Journal of Behavior Therapy and Experimental Psychiatry, 46, 72–77. Journal Article. http://doi.org/10.1016/j.jbtep.2014.07.010</t>
  </si>
  <si>
    <t>Wolf, E. J., Logue, M. W., Hayes, J. P., Sadeh, N., Schichman, S. A., Stone, A., … Miller, M. W. (2016). Accelerated DNA methylation age: Associations with PTSD and neural integrity. Psychoneuroendocrinology, 63, 155–162. Journal Article, Research Support, N.I.H., Extramural, Research Support, U.S. Gov’t, Non-P.H.S. http://doi.org/10.1016/j.psyneuen.2015.09.020</t>
  </si>
  <si>
    <t>Woods, D. L., Yund, E. W., Wyma, J. M., Ruff, R., &amp; Herron, T. J. (2015). Measuring executive function in control subjects and TBI patients with question completion time (QCT). Frontiers in Human Neuroscience, 9, 288. Journal Article. http://doi.org/10.3389/fnhum.2015.00288</t>
  </si>
  <si>
    <t>Woodward, S. H., Kaloupek, D. G., Grande, L. J., Stegman, W. K., Kutter, C. J., Leskin, L., … Eliez, S. (2009). Hippocampal volume and declarative memory function in combat-related PTSD. Journal of the International Neuropsychological Society : JINS, 15(6), 830–839. Journal Article, Research Support, N.I.H., Extramural, Research Support, Non-U.S. Gov’t. http://doi.org/10.1017/S1355617709990476</t>
  </si>
  <si>
    <t>Woodward, S. H., Shurick, A. A., Alvarez, J., Kuo, J., Nonyieva, Y., Blechert, J., … Gross, J. J. (2015). A psychophysiological investigation of emotion regulation in chronic severe posttraumatic stress disorder. Psychophysiology, 52(5), 667–678. Journal Article. http://doi.org/10.1111/psyp.12392</t>
  </si>
  <si>
    <t>Writer, B. W., Schillerstrom, J. E., Regwan, H. K., &amp; Harlan, B. S. (2010). Executive clock drawing correlates with performance-based functional status in people with combat-related mild traumatic brain injury and comorbid posttraumatic stress disorder. Journal of Rehabilitation Research and Development, 47(9), 841–850. Journal Article.</t>
  </si>
  <si>
    <t>Wrocklage, K. M., Schweinsburg, B. C., Krystal, J. H., Trejo, M., Roy, A., Weisser, V., … Scott, J. C. (2016). Neuropsychological Functioning in Veterans with Posttraumatic Stress Disorder: Associations with Performance Validity, Comorbidities, and Functional Outcomes. Journal of the International Neuropsychological Society : JINS, 22(4), 399–411. Journal Article, Research Support, N.I.H., Extramural, Research Support, U.S. Gov’t, Non-P.H.S. http://doi.org/10.1017/S1355617716000059</t>
  </si>
  <si>
    <t>Yang, J.-C., Jeong, G.-W., Lee, M.-S., Kang, H.-K., Eun, S.-J., Kim, Y.-K., &amp; Lee, Y.-H. (2005). Functional MR imaging of psychogenic amnesia: a case report. Korean Journal of Radiology, 6(3), 196–199. Case Reports, Journal Article. http://doi.org/10.3348/kjr.2005.6.3.196</t>
  </si>
  <si>
    <t>Yang, M.-T., Chien, W.-L., Lu, D.-H., Liou, H.-C., &amp; Fu, W.-M. (2013). Acetazolamide impairs fear memory consolidation in rodents. Neuropharmacology, 67, 412–418. Journal Article, Research Support, Non-U.S. Gov’t. http://doi.org/10.1016/j.neuropharm.2012.11.031</t>
  </si>
  <si>
    <t>Yehuda, R., Keefe, R. S., Harvey, P. D., Levengood, R. A., Gerber, D. K., Geni, J., &amp; Siever, L. J. (1995). Learning and memory in combat veterans with posttraumatic stress disorder. The American Journal of Psychiatry, 152(1), 137–139. Comparative Study, Journal Article, Research Support, U.S. Gov’t, P.H.S. http://doi.org/10.1176/ajp.152.1.137</t>
  </si>
  <si>
    <t>Yehuda, R., Bierer, L. M., Pratchett, L., &amp; Malowney, M. (2010). Glucocorticoid augmentation of prolonged exposure therapy: rationale and case report. European Journal of Psychotraumatology, 1. Journal Article. http://doi.org/10.3402/ejpt.v1i0.5643</t>
  </si>
  <si>
    <t>Yehuda, R., Golier, J. A., Tischler, L., Harvey, P. D., Newmark, R., Yang, R. K., &amp; Buchsbaum, M. S. (2007). Hippocampal volume in aging combat veterans with and without post-traumatic stress disorder: relation to risk and resilience factors. Journal of Psychiatric Research, 41(5), 435–445. Journal Article, Research Support, N.I.H., Extramural, Research Support, U.S. Gov’t, Non-P.H.S. http://doi.org/10.1016/j.jpsychires.2005.12.002</t>
  </si>
  <si>
    <t>Yehuda, R., Golier, J. A., Tischler, L., Stavitsky, K., &amp; Harvey, P. D. (2005). Learning and memory in aging combat veterans with PTSD. Journal of Clinical and Experimental Neuropsychology, 27(4), 504–515. Comparative Study, Journal Article, Research Support, N.I.H., Extramural, Research Support, U.S. Gov’t, Non-P.H.S., Research Support, U.S. Gov’t, P.H.S. http://doi.org/10.1080/138033990520223</t>
  </si>
  <si>
    <t>Yehuda, R., Harvey, P. D., Buchsbaum, M., Tischler, L., &amp; Schmeidler, J. (2007). Enhanced effects of cortisol administration on episodic and working memory in aging veterans with PTSD. Neuropsychopharmacology : Official Publication of the American College of Neuropsychopharmacology, 32(12), 2581–2591. Clinical Trial, Journal Article, Randomized Controlled Trial, Research Support, N.I.H., Extramural. http://doi.org/10.1038/sj.npp.1301380</t>
  </si>
  <si>
    <t>Zalewski, Thompson, &amp; Gottesman, I. (1994). Comparison of Neuropsychological Test Performance in PTSD, Generalized Anxiety Disorder, and Control Vietnam Veterans. Assessment, 1(2), 133–142. JOURNAL ARTICLE.</t>
  </si>
  <si>
    <t>Reference</t>
  </si>
  <si>
    <t>pet</t>
  </si>
  <si>
    <t>mtbi &amp; ptsd</t>
  </si>
  <si>
    <t>verbal learning task</t>
  </si>
  <si>
    <t>wais, wechsler</t>
  </si>
  <si>
    <t>conclusie: general learning en memory imparements in ptsd</t>
  </si>
  <si>
    <t>fear memory</t>
  </si>
  <si>
    <t>rodent model?</t>
  </si>
  <si>
    <t>interventie met cort in clinical trial.  (reduce fear memory retrieval? Of rodent model?</t>
  </si>
  <si>
    <t>veterans</t>
  </si>
  <si>
    <t>emoitonal numbing &amp; relaties, geen cognitieve taak</t>
  </si>
  <si>
    <t>groep music therapie &amp; CMT voor ptsd</t>
  </si>
  <si>
    <t>patients</t>
  </si>
  <si>
    <t>validiteit van screeninglijsten</t>
  </si>
  <si>
    <t>life trauma exposure &amp; dementia. Niet reviewen, maar mogelijk wel interessant voor intro? / discussie</t>
  </si>
  <si>
    <t>digit detection task</t>
  </si>
  <si>
    <t>attention focus</t>
  </si>
  <si>
    <t>fear-related memory</t>
  </si>
  <si>
    <t>ook taken in fmri?</t>
  </si>
  <si>
    <t>ptsd &amp; GAD</t>
  </si>
  <si>
    <t>Het lijkt of er een ook een taak wordt gedaan, maar niet heleamal zeker.. Check ful tekst</t>
  </si>
  <si>
    <t>title suggest niet relevant.. oud en abstract niet in mendely.. Check later</t>
  </si>
  <si>
    <t>structeral mr</t>
  </si>
  <si>
    <t>short &amp; longterm memory</t>
  </si>
  <si>
    <t>mtbi &amp; ptsd veterans</t>
  </si>
  <si>
    <t>niet zeker of er genoeg ptsd is / analyses gecontroleerd voor ptsd</t>
  </si>
  <si>
    <t>California Verbal Learning Test: Forced Choice Recognition (FCR), Reliable Digit Span (RDS), and TOVA Symptom Exaggeration Index (SEI</t>
  </si>
  <si>
    <t>learning &amp; memory</t>
  </si>
  <si>
    <t>female victims of partner violence</t>
  </si>
  <si>
    <t>feasibility trauma yoga</t>
  </si>
  <si>
    <t>reward processing</t>
  </si>
  <si>
    <t>approach-avoidance task (AAT</t>
  </si>
  <si>
    <t>results of an expert opinion survey ISTSS/ niet reviewen wel goed voor intro over behandel aanbod voor ptsd</t>
  </si>
  <si>
    <t>processing speed, Trails A and B, letter fluency, category fluency, and verbal learning and recognition</t>
  </si>
  <si>
    <t>processingn &amp; learning</t>
  </si>
  <si>
    <t>outpatient adults (vetaran affaires)</t>
  </si>
  <si>
    <t>affective controle &amp; attention</t>
  </si>
  <si>
    <t xml:space="preserve">white matter </t>
  </si>
  <si>
    <t>veterans met ELS</t>
  </si>
  <si>
    <t>Affective Go/No-Go (AGN) &amp; test of Variable Attention (TOVA)</t>
  </si>
  <si>
    <t>no ptsd, eventueel nog full tekst checken</t>
  </si>
  <si>
    <t>intellectual ability, learning, memory, attention, visuospatial ability, executive functioning, language, and psychomotor speed</t>
  </si>
  <si>
    <t>nurse perceptions, no experimental measures</t>
  </si>
  <si>
    <t>nurses</t>
  </si>
  <si>
    <t>behavioural controle</t>
  </si>
  <si>
    <t>ptsd &amp; mTRI</t>
  </si>
  <si>
    <t>substance abuse treatment, wel ptasd, no cognitive task</t>
  </si>
  <si>
    <t>attention &amp; working memory</t>
  </si>
  <si>
    <t>Attention Network Task (ANT), Backward Digit Span (BDS) task,</t>
  </si>
  <si>
    <t>adult women</t>
  </si>
  <si>
    <t>efft OT, regios in working memory in cognitive controle, maar geen taak gedaan? // full tekst nog eens lezen</t>
  </si>
  <si>
    <t>reward function</t>
  </si>
  <si>
    <t>beautiful faces</t>
  </si>
  <si>
    <t>ptsd bij schizophrenia</t>
  </si>
  <si>
    <t>attention, working memory, executive functioning</t>
  </si>
  <si>
    <t>wel comorbiditeit van schizofrenia.. En onduidelijk of er een cognitieve taak gedaan is? --&gt; daaorm lees full tekst</t>
  </si>
  <si>
    <t>buergers disease &amp; ptsd</t>
  </si>
  <si>
    <t>no cognitive task</t>
  </si>
  <si>
    <t>cbt depresssion</t>
  </si>
  <si>
    <t>kwalitatief onderzoek over onder/over diagnose v ptsd</t>
  </si>
  <si>
    <t>in kaart brengen v compensatie claims door ptsd</t>
  </si>
  <si>
    <t>Sensory Organization Test, Paced Auditory Serial Addition Test, California Verbal Learning Test, and Delis-Kaplan Executive Function System subtests.</t>
  </si>
  <si>
    <t>attention &amp; learning / executive functioning</t>
  </si>
  <si>
    <t>emotion percepton</t>
  </si>
  <si>
    <t>hemisphere damage</t>
  </si>
  <si>
    <t>Aprosodia Battery</t>
  </si>
  <si>
    <t>working memory</t>
  </si>
  <si>
    <t>ptsd &amp; schizofrenia</t>
  </si>
  <si>
    <t>working memory auditory target detection task.</t>
  </si>
  <si>
    <t>EEG</t>
  </si>
  <si>
    <t>interpersonal trauma survirors</t>
  </si>
  <si>
    <t>perception interventie, no cognitive task</t>
  </si>
  <si>
    <t>suicide screening</t>
  </si>
  <si>
    <t>rTMS</t>
  </si>
  <si>
    <t>depressie geen cog. Taak, sucides</t>
  </si>
  <si>
    <t>trauma recall</t>
  </si>
  <si>
    <t>ptsd chronic veterans</t>
  </si>
  <si>
    <t>video</t>
  </si>
  <si>
    <t>CSF serotonine &amp; dopamine</t>
  </si>
  <si>
    <t>blood pressure, heart rate</t>
  </si>
  <si>
    <t>niet cognitief/gedragsmatig genoeg?</t>
  </si>
  <si>
    <t>interview amnesia, instrusions, sensory qualities of memories. Niet reviewen mogelijk nuttig voor intro?</t>
  </si>
  <si>
    <t>wechsler</t>
  </si>
  <si>
    <t>intellegence, learning, memory</t>
  </si>
  <si>
    <t>12 word-pair associates</t>
  </si>
  <si>
    <t>memory, attention, visual spatial skills, and executive function</t>
  </si>
  <si>
    <t>spacial processing</t>
  </si>
  <si>
    <t>spacial processing task</t>
  </si>
  <si>
    <t>rorschach</t>
  </si>
  <si>
    <t>SC &amp; HR</t>
  </si>
  <si>
    <t>declarative memory</t>
  </si>
  <si>
    <t>memory &amp; recall</t>
  </si>
  <si>
    <t>survivors of the Holocaust &amp; ptsd veterans</t>
  </si>
  <si>
    <t>interviews, no cognitive task</t>
  </si>
  <si>
    <t>verbal memory performance</t>
  </si>
  <si>
    <t>els, controle voor ptsd. Bdnf.</t>
  </si>
  <si>
    <t>weschler</t>
  </si>
  <si>
    <t>female MDD patients</t>
  </si>
  <si>
    <t>assess processing speed, verbal memory, and executive function.</t>
  </si>
  <si>
    <t>older ptsd veterans</t>
  </si>
  <si>
    <t>cognitive decline &amp; ptsd &amp; age</t>
  </si>
  <si>
    <t>context fear conditioning</t>
  </si>
  <si>
    <t>Total</t>
  </si>
  <si>
    <t>effect cognitive therapie for ptsd (naast alleen exposure). Cognitive measures?</t>
  </si>
  <si>
    <t>ptsd</t>
  </si>
  <si>
    <t>META-ANALYSE stai</t>
  </si>
  <si>
    <t>figure copying</t>
  </si>
  <si>
    <t>figure copy</t>
  </si>
  <si>
    <t>content intrusions, no cognitive task..</t>
  </si>
  <si>
    <t>comparing scripts of ptsd trauma memories en memories of first paniekaanval</t>
  </si>
  <si>
    <t>narrative rating scale, no task</t>
  </si>
  <si>
    <t>gulf war veterans</t>
  </si>
  <si>
    <t>cognitive symptoms measured met selfreport, no task?</t>
  </si>
  <si>
    <t>hippocampus, EEG</t>
  </si>
  <si>
    <t>compared twins. §</t>
  </si>
  <si>
    <t>auditory oddball target detection task</t>
  </si>
  <si>
    <t>veterans &amp; twins</t>
  </si>
  <si>
    <t>perception/controle/attention</t>
  </si>
  <si>
    <t>fysical health measures nog cognitive task</t>
  </si>
  <si>
    <t>iq en verwerkingssnelheid?</t>
  </si>
  <si>
    <t>war prisoners</t>
  </si>
  <si>
    <t>ptsd en negative health outcomes, no task?</t>
  </si>
  <si>
    <t>combat related ptsd</t>
  </si>
  <si>
    <t>hope &amp; coping strategies, no cognitive task?</t>
  </si>
  <si>
    <t>dti</t>
  </si>
  <si>
    <t>neuropsychological examination</t>
  </si>
  <si>
    <t xml:space="preserve">memory (context) </t>
  </si>
  <si>
    <t>effect antipsychotica &amp; provider decision making</t>
  </si>
  <si>
    <t>end of life &amp; caregiver perceptions</t>
  </si>
  <si>
    <t>Sternberg memory tas</t>
  </si>
  <si>
    <t>working memory &amp; executive resources</t>
  </si>
  <si>
    <t>ptsd patients</t>
  </si>
  <si>
    <t>eeg?</t>
  </si>
  <si>
    <t>vietnam veterans</t>
  </si>
  <si>
    <t>wheel of furtune-type gambling task</t>
  </si>
  <si>
    <t>dutch ptsd vragenlijst validatie</t>
  </si>
  <si>
    <t>perioperative history of ptsd</t>
  </si>
  <si>
    <t>post operative cog. Impairment.</t>
  </si>
  <si>
    <t>verbal &amp; non-verbal memory &amp; executive functioning</t>
  </si>
  <si>
    <t>chronic  Ptsd veterans</t>
  </si>
  <si>
    <t>Psychological measures?</t>
  </si>
  <si>
    <t>personality &amp; coping</t>
  </si>
  <si>
    <t>quality of liefe</t>
  </si>
  <si>
    <t>coping strategies</t>
  </si>
  <si>
    <t>depressioin</t>
  </si>
  <si>
    <t>personality. Exploratory study coping strategie[emotion focused en avoidance in ptsd] no cognitive task</t>
  </si>
  <si>
    <t>memory, inhibition</t>
  </si>
  <si>
    <t>mtbi veterans</t>
  </si>
  <si>
    <t>cortisol, growth hormone, thyroid hormone, glucagon</t>
  </si>
  <si>
    <t>no ptsd</t>
  </si>
  <si>
    <t>no ptsd? See full tekst</t>
  </si>
  <si>
    <t>rape victems</t>
  </si>
  <si>
    <t>delayed free recal. Recognition</t>
  </si>
  <si>
    <t>depression &amp; substance abuse</t>
  </si>
  <si>
    <t>verbal memory</t>
  </si>
  <si>
    <t>meta-analyse memory imparement! Niet reviewen, wel bespreken in intro</t>
  </si>
  <si>
    <t>icu</t>
  </si>
  <si>
    <t>problems after icu stay en het nut van follow upt</t>
  </si>
  <si>
    <t>cognitive restructuring</t>
  </si>
  <si>
    <t>implanted defibrillators patients</t>
  </si>
  <si>
    <t>psychologische testen na ICD implantatie nodig!, mogeijk nuttig voor intro?</t>
  </si>
  <si>
    <t>learning &amp; controle</t>
  </si>
  <si>
    <t>Trail Making Test parts A and B, Hopkins Verbal Learning Test-Revised, Balloon Analogue Risk Task, Delay Discounting Task</t>
  </si>
  <si>
    <t xml:space="preserve">ggt, ast, </t>
  </si>
  <si>
    <t>alcohol dependence &amp; ptsd; baseline analyse clinical trial data</t>
  </si>
  <si>
    <t>Trail Making Test Part A and Hopkins Verbal Learning Test</t>
  </si>
  <si>
    <t>alcohol dependence &amp; ptsd;  analyse clinical trial data cog perfr. &amp; link met biomarkers</t>
  </si>
  <si>
    <t>high fidelity patient simulation for nurse training</t>
  </si>
  <si>
    <t>review ptsd, trauma psycholog e&amp; neurobiologie.</t>
  </si>
  <si>
    <t>Rorschach</t>
  </si>
  <si>
    <t>women kill spouse</t>
  </si>
  <si>
    <t>problem solving</t>
  </si>
  <si>
    <t>nog cognitive measures. Women veterans &amp; child birth&amp;care</t>
  </si>
  <si>
    <t>women military</t>
  </si>
  <si>
    <t>executive functioning &amp; language</t>
  </si>
  <si>
    <t>adolescents psychiatric inpatient setting</t>
  </si>
  <si>
    <t>effeect van childhood maltreatment. [controled for ptsd]</t>
  </si>
  <si>
    <t>psychophysiological responding to challenge task</t>
  </si>
  <si>
    <t>combat scenes</t>
  </si>
  <si>
    <t>no cognitive task/ validity psychophysiologie in de diganose voor ptsd</t>
  </si>
  <si>
    <t>soldiers mtbi</t>
  </si>
  <si>
    <t>measure return to duty</t>
  </si>
  <si>
    <t>unexpected explicit recall</t>
  </si>
  <si>
    <t>anaesthetics, geen ptsd</t>
  </si>
  <si>
    <t>memory, executive functioning</t>
  </si>
  <si>
    <t>emotional health</t>
  </si>
  <si>
    <t>effect van resillience interventie</t>
  </si>
  <si>
    <t>cognitive appraisal/precieved threat en coping ability</t>
  </si>
  <si>
    <t>cognitive appraisal</t>
  </si>
  <si>
    <t>startle/HR</t>
  </si>
  <si>
    <t>novelty oddball task</t>
  </si>
  <si>
    <t>verbal memory &amp; exectutive function</t>
  </si>
  <si>
    <t>hypertention &amp; apnea</t>
  </si>
  <si>
    <t>ptsd refugees</t>
  </si>
  <si>
    <t>fluid intelligence, and the Benton Visual Retention Test, assessing episodic memory, were the most discriminating.</t>
  </si>
  <si>
    <t>intellegence learning memory</t>
  </si>
  <si>
    <t>veterans perception on psychologal problems in childeren</t>
  </si>
  <si>
    <t>Delayed Matching-to-Sample (DMS) task for distraction.</t>
  </si>
  <si>
    <t>cortisol</t>
  </si>
  <si>
    <t>attention. Executive functioning memory</t>
  </si>
  <si>
    <t>veterans ptds</t>
  </si>
  <si>
    <t>Attention to Response Task, the Hayling Sentence Completion Test, the Trail Making Test, Rivermead Behavioral Memory Test and Wechsler Adult Intelligence Scale (verbal scales)</t>
  </si>
  <si>
    <t>working memory attention, executive functioning, memory</t>
  </si>
  <si>
    <t>associative learning &amp; generalization</t>
  </si>
  <si>
    <t>pain perception</t>
  </si>
  <si>
    <t>pain sensitivity</t>
  </si>
  <si>
    <t xml:space="preserve">hippcompus. </t>
  </si>
  <si>
    <t>intellecttual. Memory. Executive functioning</t>
  </si>
  <si>
    <t>ptsd-twin control</t>
  </si>
  <si>
    <t>twin studie of ptsd; onduidelijk uit abstract hoe cognitive performance gemeten is</t>
  </si>
  <si>
    <t>outcome crisis intervention. No cognitive task</t>
  </si>
  <si>
    <t>cardiac arrest experience</t>
  </si>
  <si>
    <t xml:space="preserve">concentration. </t>
  </si>
  <si>
    <t>cognitive testing</t>
  </si>
  <si>
    <t xml:space="preserve">memory. </t>
  </si>
  <si>
    <t>witte matter</t>
  </si>
  <si>
    <t xml:space="preserve">mtbi </t>
  </si>
  <si>
    <t>wel ptsd symptoms gemeten.. Nier groepen verdeeld.</t>
  </si>
  <si>
    <t>motor vehicle</t>
  </si>
  <si>
    <t>ptsd inventariseren no cognitive task..</t>
  </si>
  <si>
    <t>military ptsd</t>
  </si>
  <si>
    <t>memroy</t>
  </si>
  <si>
    <t>case report, en systematic literature review. Wel testen</t>
  </si>
  <si>
    <t>Rey Auditory Verbal Learning Test.</t>
  </si>
  <si>
    <t>veterans ptsd</t>
  </si>
  <si>
    <t>physiologie</t>
  </si>
  <si>
    <t>depression</t>
  </si>
  <si>
    <t xml:space="preserve"> Chernobyl survivors</t>
  </si>
  <si>
    <t>eeg * cerebrovascular doppler</t>
  </si>
  <si>
    <t>memory attention</t>
  </si>
  <si>
    <t>impaired memory and attention, auditory-verbal memory and learning, proactive and retroactive interference, cerebellar and stem symptoms, intellectual changes</t>
  </si>
  <si>
    <t>post traumatic growth, no cogntive mearuses</t>
  </si>
  <si>
    <t>metacognitive capacity</t>
  </si>
  <si>
    <t>emotion recognition test</t>
  </si>
  <si>
    <t>schizofrena groep</t>
  </si>
  <si>
    <t>emotional faces matching task</t>
  </si>
  <si>
    <t>mnestic block syndrome</t>
  </si>
  <si>
    <t>mri &amp; pet</t>
  </si>
  <si>
    <t>ptd wel gemeten… maar niet als groepen?</t>
  </si>
  <si>
    <t>Green Word Memory Test</t>
  </si>
  <si>
    <t xml:space="preserve">ptsd, depression, </t>
  </si>
  <si>
    <t>working memory &amp; executive function</t>
  </si>
  <si>
    <t>WM</t>
  </si>
  <si>
    <t>WM task</t>
  </si>
  <si>
    <t>invleod attention training</t>
  </si>
  <si>
    <t>prospective memory</t>
  </si>
  <si>
    <t>PM task</t>
  </si>
  <si>
    <t>assocatieve learning / fear conditioning</t>
  </si>
  <si>
    <t>active duty personal ptsd &amp; mtbi</t>
  </si>
  <si>
    <t>implicite &amp; explicit memory</t>
  </si>
  <si>
    <t>interessent &amp; relevant, maar misschien review?</t>
  </si>
  <si>
    <t>review</t>
  </si>
  <si>
    <t>modified Stroop task in which they named the colors of neutral words (e.g., INPUT), positive words (e.g., LOVE), obsessive-compulsive disorder (OCD) words (e.g., GERMS), and PTSD words (e.g., BODYBAGS).</t>
  </si>
  <si>
    <t>memory &amp; cognitive controle?</t>
  </si>
  <si>
    <t>autobiografic memory</t>
  </si>
  <si>
    <t>parents IC childern</t>
  </si>
  <si>
    <t>evaluatie IC interventie COPE</t>
  </si>
  <si>
    <t>no cognitive measure</t>
  </si>
  <si>
    <t>forensic neurospychology</t>
  </si>
  <si>
    <t>geen overeenstemming tussen self-report en testscores</t>
  </si>
  <si>
    <t>fear extinction</t>
  </si>
  <si>
    <t>vetreans ptsd &amp; twins</t>
  </si>
  <si>
    <t>fearcondtioning</t>
  </si>
  <si>
    <t>SCR</t>
  </si>
  <si>
    <t>co-twin study</t>
  </si>
  <si>
    <t>cognitive decline</t>
  </si>
  <si>
    <t>no cognitive task, but cognitive decline &amp; ptsd</t>
  </si>
  <si>
    <t xml:space="preserve"> veterans ptsd</t>
  </si>
  <si>
    <t>Morel Emotional Numbing Test for Posttraumatic Stress Disorder (MENT) &amp; he Word Memory Test (WMT)</t>
  </si>
  <si>
    <t>attenttion WM</t>
  </si>
  <si>
    <t>visual working memroy task</t>
  </si>
  <si>
    <t>snp's</t>
  </si>
  <si>
    <t>serotonine</t>
  </si>
  <si>
    <t>symptom-provocation paradigms</t>
  </si>
  <si>
    <t>executive processing task</t>
  </si>
  <si>
    <t>executive function</t>
  </si>
  <si>
    <t>treatment decision</t>
  </si>
  <si>
    <t>Adult children of war veterans</t>
  </si>
  <si>
    <t>modified stroop task</t>
  </si>
  <si>
    <t>geen ptsd?</t>
  </si>
  <si>
    <t>stroop</t>
  </si>
  <si>
    <t>no abstract in mendeley</t>
  </si>
  <si>
    <t>diagnose kan je verbeteren door behavioural measures toe te voegen! --&gt; zet in intro!</t>
  </si>
  <si>
    <t>virtual environment</t>
  </si>
  <si>
    <t>task performance?</t>
  </si>
  <si>
    <t>learning bias</t>
  </si>
  <si>
    <t>reward learning, cognitive feedback, punishment learning</t>
  </si>
  <si>
    <t>memory measuring tool? [task?]</t>
  </si>
  <si>
    <t>niet duidelijk hoe ptsd / cognitive task zijn vastgesteld</t>
  </si>
  <si>
    <t>in vergelijking met relatives</t>
  </si>
  <si>
    <t>theraputic interaction met patiens</t>
  </si>
  <si>
    <t>Measures of simple reaction time, processing speed, visual attention, working memory and mathematical processing</t>
  </si>
  <si>
    <t>veterans MTBI</t>
  </si>
  <si>
    <t>wel ptsd gemeten</t>
  </si>
  <si>
    <t>learning, memory &amp; processing speed</t>
  </si>
  <si>
    <t>attention/learning/ memory</t>
  </si>
  <si>
    <t>naa &amp; mri</t>
  </si>
  <si>
    <t>alcohol/drug, depression</t>
  </si>
  <si>
    <t>attention, learning memory</t>
  </si>
  <si>
    <t>academic goals</t>
  </si>
  <si>
    <t>no ptsd &amp; no cognitive task</t>
  </si>
  <si>
    <t>anesthesia</t>
  </si>
  <si>
    <t>interaoperative awareness review</t>
  </si>
  <si>
    <t>history of homelessness</t>
  </si>
  <si>
    <t>homeless veterans</t>
  </si>
  <si>
    <t>ptsd &amp;mtbi model animal</t>
  </si>
  <si>
    <t>contextual fear &amp; spacial memroy</t>
  </si>
  <si>
    <t>neuroendocrine &amp; neuroimune</t>
  </si>
  <si>
    <t>visual search speed t</t>
  </si>
  <si>
    <t>emotional attentional blink task</t>
  </si>
  <si>
    <t>emotional attention task</t>
  </si>
  <si>
    <t>CBT</t>
  </si>
  <si>
    <t>effect CBT bij ptsd, niet reviewen mogelijk wel in introduction?</t>
  </si>
  <si>
    <t>ptsd &amp; HSU</t>
  </si>
  <si>
    <t>agression, depression, substance abuse, attatchment</t>
  </si>
  <si>
    <t>episodic blast recall</t>
  </si>
  <si>
    <t>no task, narrative coding</t>
  </si>
  <si>
    <t>no ptasd measure, no cognitive task</t>
  </si>
  <si>
    <t>Mental flexibility is a core executive function</t>
  </si>
  <si>
    <t>soldiers ptsd</t>
  </si>
  <si>
    <t>colour-shape set-shifting task</t>
  </si>
  <si>
    <t xml:space="preserve"> psychoeducatie over ptsd voor vluchtelingen</t>
  </si>
  <si>
    <t>interactive educational tool based on virtual patient methodology;</t>
  </si>
  <si>
    <t>review &amp; case report ptsd &amp; drug</t>
  </si>
  <si>
    <t>telehealth care &amp; smoking intervention in ptsd</t>
  </si>
  <si>
    <t>Occupational Performance Measure</t>
  </si>
  <si>
    <t>mtbi</t>
  </si>
  <si>
    <t>ImPACT Post-Concussional Symptom Scale and cognitive concussion battery,</t>
  </si>
  <si>
    <t>Attention, Verbal and Visual memory, Processing Speed and Reaction Time modules,</t>
  </si>
  <si>
    <t>wel ptsd gemeten… check full tekst</t>
  </si>
  <si>
    <t>challenges that were inherent in welfare-to-work programs</t>
  </si>
  <si>
    <t>psychische problemen na SCT voor cancer</t>
  </si>
  <si>
    <t>healthy</t>
  </si>
  <si>
    <t>effect van propofol on MTL in healthy subjects</t>
  </si>
  <si>
    <t>arrow version of the flanker task.</t>
  </si>
  <si>
    <t>eeg; ERN</t>
  </si>
  <si>
    <t>error-reated negativity (ERN)</t>
  </si>
  <si>
    <t>mental health of veterans na mustard gas exposure; review; no ptsd specifiek, no cognitive task;</t>
  </si>
  <si>
    <t>Investigate the effect of a yoga intervention on alcohol and drug abuse behaviors in women with PTSD</t>
  </si>
  <si>
    <t>ptsd wommen</t>
  </si>
  <si>
    <t>prolonged exposure als therapy via smartphone; no ptsd &amp; no cognitive task</t>
  </si>
  <si>
    <t>affect recognition</t>
  </si>
  <si>
    <t>link dissociatie &amp; affect recognition</t>
  </si>
  <si>
    <t>schizofrenia</t>
  </si>
  <si>
    <t>Bell-Lysaker Emotion Recognition Task</t>
  </si>
  <si>
    <t>Civilian wives of active duty service members</t>
  </si>
  <si>
    <t>marital satisfaction, their perceptions of service members' combat exposure during deployments, their perceptions of service members' symptoms of PTSD, and their attributions for those symptoms</t>
  </si>
  <si>
    <t>no cognitive task in ptsd patients</t>
  </si>
  <si>
    <t>no cognitive task in ptsd patients; but distress in partners of ptsd patients</t>
  </si>
  <si>
    <t xml:space="preserve">no cognitive task in ptsd patients; This article highlighted recent updates in military forensic psychiatry and the mechanisms through which answers to questions of disability and criminal culpability, and motivation underpinning self-injurious behavior, are determined within the United States military. </t>
  </si>
  <si>
    <t>trauma-potentiated startle?</t>
  </si>
  <si>
    <t>link met treatmetn response</t>
  </si>
  <si>
    <t>startle ; geen cognitieve task?</t>
  </si>
  <si>
    <t>attention, autobiographical memory, and verbal memory</t>
  </si>
  <si>
    <t>in ptsd met of zonder dissociatie</t>
  </si>
  <si>
    <t>van onderzoek naar praktijk, decisonmaking &amp; policiy. No ptsd; no cognitive taks</t>
  </si>
  <si>
    <t>fear conditioning in VR</t>
  </si>
  <si>
    <t>HR</t>
  </si>
  <si>
    <t xml:space="preserve"> risk and ambiguity decision-making task</t>
  </si>
  <si>
    <t>risk decision-making</t>
  </si>
  <si>
    <t>Our study compared web-based training in 3 intervention skills (motivation enhancement [ME], goal setting [GS], behavioral task assignment [BTA]) with web-based training plus telephone consultation, and a no-training control. ; no cognitive task in ptsd patietns</t>
  </si>
  <si>
    <t>rationale &amp; methods voor paper hierboven</t>
  </si>
  <si>
    <t>Go/No-Go (GNG) task</t>
  </si>
  <si>
    <t>inhibition</t>
  </si>
  <si>
    <t>mri &amp; restingstate fmri</t>
  </si>
  <si>
    <t>visual and verbal memory, and working memory</t>
  </si>
  <si>
    <t>explicite &amp; WM</t>
  </si>
  <si>
    <t>longitudinal effects of ptsd on memory functioning</t>
  </si>
  <si>
    <t>memory, attention, and processing speed performance.</t>
  </si>
  <si>
    <t>ptsd veterans &amp; alcohol abuse</t>
  </si>
  <si>
    <t>alcohol abuse, depression,</t>
  </si>
  <si>
    <t xml:space="preserve">Rivermead Behavioral Memory Test - RBMT </t>
  </si>
  <si>
    <t>everyday memory functioning</t>
  </si>
  <si>
    <t>blast exposed veterans</t>
  </si>
  <si>
    <t>auditory processing deficits</t>
  </si>
  <si>
    <t>punishment-based learning</t>
  </si>
  <si>
    <t xml:space="preserve"> punishment-based learning task</t>
  </si>
  <si>
    <t>female subjects</t>
  </si>
  <si>
    <t>heat &amp; cold pain threshold</t>
  </si>
  <si>
    <t>only pain perception; no cognitive task?</t>
  </si>
  <si>
    <t>reprocessing traumatic events, door writing assignments; trama maar geen ptsd? En geen cog task</t>
  </si>
  <si>
    <t>trauma</t>
  </si>
  <si>
    <t>perceptions of social acknowledgments &amp; disapproval</t>
  </si>
  <si>
    <t>Memory for Intentions Test + neurocognitive tests</t>
  </si>
  <si>
    <t>performance on the Stroop Color-Word task and Part B of the Trail Making Test</t>
  </si>
  <si>
    <t>intimate partners violence women</t>
  </si>
  <si>
    <t>MRS</t>
  </si>
  <si>
    <t>intimate partner violence; conflict tacticts</t>
  </si>
  <si>
    <t>memory &amp; learning</t>
  </si>
  <si>
    <t>verbal and visual Selective Reminding Tests (SRTs)</t>
  </si>
  <si>
    <t>HRV</t>
  </si>
  <si>
    <t>SC, EMG eye, heart rate</t>
  </si>
  <si>
    <t>israeli verterans</t>
  </si>
  <si>
    <t>imagery of traumatic events</t>
  </si>
  <si>
    <t>script-driven imagery, before and after treatment with systematic desensitization.; misschien niet cognitief genoeg?</t>
  </si>
  <si>
    <t>veterans mtbi &amp; ptsd</t>
  </si>
  <si>
    <t>neuropsychological testing, including neurocognitive and psychiatric feigning tests.</t>
  </si>
  <si>
    <t>xecutive (switching) tasks, verbal fluency, and verbal memory.</t>
  </si>
  <si>
    <t>lever transplant survivor</t>
  </si>
  <si>
    <t>ptsd in dit sample vaststellen</t>
  </si>
  <si>
    <t>ptsd, medication taking, perception of disease threate</t>
  </si>
  <si>
    <t>twin study ptsd</t>
  </si>
  <si>
    <t>Multi-Source Interference Task,</t>
  </si>
  <si>
    <t>depression &amp; alcohol use</t>
  </si>
  <si>
    <t>cognitive interference</t>
  </si>
  <si>
    <t>Stop Task,</t>
  </si>
  <si>
    <t>controle inhibitions</t>
  </si>
  <si>
    <t>Reading the Mind in the Eyes Test (RMET)</t>
  </si>
  <si>
    <t>empathy appraisal of faces</t>
  </si>
  <si>
    <t>cognitief genoeg?</t>
  </si>
  <si>
    <t>erp/eeg</t>
  </si>
  <si>
    <t>go/No-Go (GNG) task</t>
  </si>
  <si>
    <t>inhibition &amp; attention</t>
  </si>
  <si>
    <t>cognitive controle &amp; attention</t>
  </si>
  <si>
    <t>immediate memory/memory</t>
  </si>
  <si>
    <t>Auditory Consonant Trigrams (ACT) &amp; word memory test</t>
  </si>
  <si>
    <t>veterans ptsd &amp; mtbi</t>
  </si>
  <si>
    <t>wel controle voor ptsd, niet alleen ptsd sample</t>
  </si>
  <si>
    <t xml:space="preserve">veterans, </t>
  </si>
  <si>
    <t>mmpi2; stai-t; subjective compalints</t>
  </si>
  <si>
    <t>no ptsd patients?</t>
  </si>
  <si>
    <t>no ptsd, no cognitive task; substance abuse in adolescentes</t>
  </si>
  <si>
    <t>C57BL/6J mice</t>
  </si>
  <si>
    <t>startle; benzodiazapinses</t>
  </si>
  <si>
    <t>wel includeren; maar muis!</t>
  </si>
  <si>
    <t>neuropsychological testing</t>
  </si>
  <si>
    <t>depression &amp; anxiety</t>
  </si>
  <si>
    <t>shortterm memory</t>
  </si>
  <si>
    <t>Rey-Osterrieth Complex Figure Test (ROCFT), consisting of Copy, Immediate Recall, and Delayed Recall steps, and Benton Visual Retention Test (BVRT)</t>
  </si>
  <si>
    <t>distress in patienten meten</t>
  </si>
  <si>
    <t>verbal/visual performance split.</t>
  </si>
  <si>
    <t>no ptsd?</t>
  </si>
  <si>
    <t>wel gecontroleerd voor ptsd; geen ptsd groepen</t>
  </si>
  <si>
    <t>Canadian Occupational Performance Measure, Clinician-Administered PTSD Scale, Beck Depression Inventory-2nd Edition, and PTSD Checklist b</t>
  </si>
  <si>
    <t>voor en na treatment; geen cognitieve taak. Wel occupational performance</t>
  </si>
  <si>
    <t>restingstate fmri</t>
  </si>
  <si>
    <t>M</t>
  </si>
  <si>
    <t>elderly depressed patietns</t>
  </si>
  <si>
    <t>verschil in recruitment methode effect; no cognitive task in ptsd patietns</t>
  </si>
  <si>
    <t>veterans.</t>
  </si>
  <si>
    <t>beliefs en goals</t>
  </si>
  <si>
    <t>malingering &amp; uncooperativeness</t>
  </si>
  <si>
    <t>unexplained symptoms in gulf war veterans</t>
  </si>
  <si>
    <t xml:space="preserve">psychologial &amp; neurobehavioral functioning </t>
  </si>
  <si>
    <t>no ptsd diagnose, maar gulf war syndrome</t>
  </si>
  <si>
    <t>attention, spacial abilities, executive cuntioning</t>
  </si>
  <si>
    <t>neurocognitive performance</t>
  </si>
  <si>
    <t xml:space="preserve">iq; depression; </t>
  </si>
  <si>
    <t>learning &amp; executive functioning; processing speed</t>
  </si>
  <si>
    <t>reading perception</t>
  </si>
  <si>
    <t>read and study 3-sentence paragraphs describing semantic features associated with real and unreal objects</t>
  </si>
  <si>
    <t>cortisol administration</t>
  </si>
  <si>
    <t>ptsd vet</t>
  </si>
  <si>
    <t>memory reactivation task using well established imagery</t>
  </si>
  <si>
    <t>fysiologische maten &amp; cort administration</t>
  </si>
  <si>
    <t xml:space="preserve">prisoners of war; </t>
  </si>
  <si>
    <t>WAIS-R &amp; Wechsler memory scale</t>
  </si>
  <si>
    <t>no ptsd ?</t>
  </si>
  <si>
    <t>memory; attention; etc</t>
  </si>
  <si>
    <t>problemsolving</t>
  </si>
  <si>
    <t>personality; psychiatric diagnosis</t>
  </si>
  <si>
    <t>no ptsd patients ; vergelijking prisoners &amp; veterans; misschien wel een subgroep te gebruiken?</t>
  </si>
  <si>
    <t>ptsd na icu</t>
  </si>
  <si>
    <t>no cognitive task, no ptsd diagnoses (maar symtom checklist)</t>
  </si>
  <si>
    <t>impulsivity?</t>
  </si>
  <si>
    <t>trial-to-trial variability in reaction time (RT).</t>
  </si>
  <si>
    <t>depression; attentional impulsiveness; ptsd symptoms;</t>
  </si>
  <si>
    <t>executive controle &amp; inhibition</t>
  </si>
  <si>
    <t>ptsd &amp; mtbi veterans</t>
  </si>
  <si>
    <t>EEG &amp; ERN</t>
  </si>
  <si>
    <t>flanker task</t>
  </si>
  <si>
    <t>sleep apnea</t>
  </si>
  <si>
    <t>nightmare frequentie</t>
  </si>
  <si>
    <t>no cognitive task; wel nightmare frequentie?</t>
  </si>
  <si>
    <t>post-traumatic amnesia</t>
  </si>
  <si>
    <t>PTA</t>
  </si>
  <si>
    <t>Galveston Orientation and Amnesia Test (GOAT) and the WPTAS/MOPTAS. A short battery of cognitive and behavioural measurements</t>
  </si>
  <si>
    <t>geen ptsd?; niet voor review, maar mogelijk wel voor intro/kader?</t>
  </si>
  <si>
    <t>forward &amp; backward digit span tasks</t>
  </si>
  <si>
    <t>fNIRS</t>
  </si>
  <si>
    <t>veteran ptsd</t>
  </si>
  <si>
    <t>California Verbal Learning Test (CVLT),</t>
  </si>
  <si>
    <t>mutilating hand injuries</t>
  </si>
  <si>
    <t>highlighs the need for nurses to focus on emotional response of patiesns after trauma</t>
  </si>
  <si>
    <t>cog controle attention</t>
  </si>
  <si>
    <t>ICU</t>
  </si>
  <si>
    <t>depression, sleep, anxiety, ptsd, cognitive disorders, delirium</t>
  </si>
  <si>
    <t>Review</t>
  </si>
  <si>
    <t>Trails A &amp; B, California Verbal Learning Test-List B, and Continuous Performance Test sensitivity, with only Trails B surviving Bonferroni correction</t>
  </si>
  <si>
    <t>depression; toxicants exposure</t>
  </si>
  <si>
    <t>attention, memory, executive functioning</t>
  </si>
  <si>
    <t>Controlled Oral Word Association Test, Trail Making Test, Color-Word Interference Test, and Verbal Selective Reminding Test</t>
  </si>
  <si>
    <t>ptsd; Combat exposure scale</t>
  </si>
  <si>
    <t>attention, controle, learning</t>
  </si>
  <si>
    <t>retrieved</t>
  </si>
  <si>
    <t>grief, no ptsd, no cognitive task</t>
  </si>
  <si>
    <t>nightmares</t>
  </si>
  <si>
    <t>vooral over slaap &amp; traumatic vs lifetime nigthmares</t>
  </si>
  <si>
    <t>ptsd patietns</t>
  </si>
  <si>
    <t>growth hormone;</t>
  </si>
  <si>
    <t>memory consolidation</t>
  </si>
  <si>
    <t>15 word task</t>
  </si>
  <si>
    <t>stop-signal anticipation task.</t>
  </si>
  <si>
    <t>inhibition &amp; contextual cue processing</t>
  </si>
  <si>
    <t>effect v treatment onderzocht</t>
  </si>
  <si>
    <t>stop-signal anticipation task (SSAT)</t>
  </si>
  <si>
    <t>tasks of sustained attention, mental manipulation, initial acquisition of information, and retroactive interference.</t>
  </si>
  <si>
    <t>attention &amp; learning &amp; memory</t>
  </si>
  <si>
    <t>cognitive tasks</t>
  </si>
  <si>
    <t>memory &amp; executive functioning</t>
  </si>
  <si>
    <t>ptsd &amp; depression</t>
  </si>
  <si>
    <t>ptsd mtbi vet</t>
  </si>
  <si>
    <t>over 3MDR</t>
  </si>
  <si>
    <t>wel intervention, no cognitive task?</t>
  </si>
  <si>
    <t>adult holoprosencephaly</t>
  </si>
  <si>
    <t>case report; no ptsd</t>
  </si>
  <si>
    <t>anger recall task</t>
  </si>
  <si>
    <t>women ptsd</t>
  </si>
  <si>
    <t>HR; BP</t>
  </si>
  <si>
    <t>overt/covert hostality</t>
  </si>
  <si>
    <t>anger recall?</t>
  </si>
  <si>
    <t>is deze taak cognitief?</t>
  </si>
  <si>
    <t>MDD &amp; PTSD</t>
  </si>
  <si>
    <t>CAR: ACTH; DHEA-S</t>
  </si>
  <si>
    <t>MDD</t>
  </si>
  <si>
    <t>dexameth. Supp test</t>
  </si>
  <si>
    <t>study on availability bias in clinical psychologists; no cognitive task in ptsd patients</t>
  </si>
  <si>
    <t>verschil antidepressiva &amp; psychotheraie in depresie; no cognitive task in ptsd</t>
  </si>
  <si>
    <t>neurotisisme</t>
  </si>
  <si>
    <t>veterans depression</t>
  </si>
  <si>
    <t>short trauma imagery task</t>
  </si>
  <si>
    <t xml:space="preserve">HR; SC; </t>
  </si>
  <si>
    <t>effect van prolonged exposure; is imagery cognitief genoeg?</t>
  </si>
  <si>
    <t>eerlijkheid &amp; stigma in screening op ptsd; no cognitive task in ptsd patietns</t>
  </si>
  <si>
    <t>premilitary school performance</t>
  </si>
  <si>
    <t>substance abuse</t>
  </si>
  <si>
    <t>mmpi-2</t>
  </si>
  <si>
    <t>outpatient veterans</t>
  </si>
  <si>
    <t>no ptsd sample</t>
  </si>
  <si>
    <t xml:space="preserve">symptom validity tests (SVTs) </t>
  </si>
  <si>
    <t>case report of 3 patients; no ptsd sample</t>
  </si>
  <si>
    <t>Visual Search Task</t>
  </si>
  <si>
    <t>attentional interference</t>
  </si>
  <si>
    <t>mtbi ptsd veterans</t>
  </si>
  <si>
    <t>ptsd checklist</t>
  </si>
  <si>
    <t>childhood seksual abuse</t>
  </si>
  <si>
    <t>information processing bias</t>
  </si>
  <si>
    <t>DNA metilatie</t>
  </si>
  <si>
    <t>imaging?</t>
  </si>
  <si>
    <t>no cognitive task in psd patientes</t>
  </si>
  <si>
    <t>MRI</t>
  </si>
  <si>
    <t>emotion regulation task</t>
  </si>
  <si>
    <t>emotion regulation</t>
  </si>
  <si>
    <t>cog. Controle</t>
  </si>
  <si>
    <t>cardiac activity</t>
  </si>
  <si>
    <t>Executive Clock Drawing Tasks</t>
  </si>
  <si>
    <t>information processing (p=.035) and executive functions (p=.017), but no group differences in attention/working memory, verbal/language functioning, visuoconstruction, or episodic memory.</t>
  </si>
  <si>
    <t>information processing; executive functioning; WM;memory; language; memory</t>
  </si>
  <si>
    <t>quality of life</t>
  </si>
  <si>
    <t>retrograde psychogenic amnesia</t>
  </si>
  <si>
    <t>case report,  no ptsd</t>
  </si>
  <si>
    <t>face recognition task</t>
  </si>
  <si>
    <t>animal model!; axetazolamide intervention; no ptsd</t>
  </si>
  <si>
    <t xml:space="preserve"> California Verbal Learning Test. &amp; wais</t>
  </si>
  <si>
    <t>attention, learning, interferences</t>
  </si>
  <si>
    <t>two case reports PE; cognitive restructuring</t>
  </si>
  <si>
    <t>Prolonged exposure</t>
  </si>
  <si>
    <t>Wechsler Logical Memory test and Digit Span test</t>
  </si>
  <si>
    <t>California Verbal Learning Test (CVLT)</t>
  </si>
  <si>
    <t>learningn en momeory</t>
  </si>
  <si>
    <t>aging</t>
  </si>
  <si>
    <t>episodic and working memory performance</t>
  </si>
  <si>
    <t>Wechsler Adult Intelligence Scale-Revised Block Design subtest, the California Verbal Learning Test, the Rey-Osterrieth Complex Figure Drawing Test, and the Paced Auditory Serial Addition Test</t>
  </si>
  <si>
    <t>memory; learning; etc.</t>
  </si>
  <si>
    <t>Zoladz, P. R., Fleshner, M., &amp; Diamond, D. M. (2012). Psychosocial animal model of PTSD produces a long-lasting traumatic memory, an increase in general anxiety and PTSD-like glucocorticoid abnormalities. Psychoneuroendocrinology, 37(9), 1531–1545. http://doi.org/10.1016/j.psyneuen.2012.02.007</t>
  </si>
  <si>
    <t>Zoladz, P. R., Fleshner, M., &amp; Diamond, D. M. (2013). Differential effectiveness of tianeptine, clonidine and amitriptyline in blocking traumatic memory expression, anxiety and hypertension in an animal model of PTSD. Progress in Neuro-Psychopharmacology &amp; Biological Psychiatry, 44, 1–16. http://doi.org/10.1016/j.pnpbp.2013.01.001</t>
  </si>
  <si>
    <t>Zohar, J., Matar, M. A., Ifergane, G., Kaplan, Z., &amp; Cohen, H. (2008). Brief post-stressor treatment with pregabalin in an animal model for PTSD: short-term anxiolytic effects without long-term anxiogenic effect. European Neuropsychopharmacology : The Journal of the European College of Neuropsychopharmacology, 18(9), 653–666. http://doi.org/10.1016/j.euroneuro.2008.04.009</t>
  </si>
  <si>
    <t>Zeitlin, R., Patel, S., Solomon, R., Tran, J., Weeber, E. J., &amp; Echeverria, V. (2012). Cotinine enhances the extinction of contextual fear memory and reduces anxiety after fear conditioning. Behavioural Brain Research, 228(2), 284–293. http://doi.org/10.1016/j.bbr.2011.11.023</t>
  </si>
  <si>
    <t>Yuan, Q., Deng, K.-Y., Sun, L., Chi, S., Yang, Z., Wang, J., … Ji, G. (2016). Calstabin 2: An important regulator for learning and memory in mice. Scientific Reports, 6, 21087. http://doi.org/10.1038/srep21087</t>
  </si>
  <si>
    <t>Yu, H., Watt, H., Kesavan, C., Johnson, P. J., Wergedal, J. E., &amp; Mohan, S. (2012). Lasting consequences of traumatic events on behavioral and skeletal parameters in a mouse model for post-traumatic stress disorder (PTSD). PloS One, 7(8), e42684. http://doi.org/10.1371/journal.pone.0042684</t>
  </si>
  <si>
    <t>Yamamoto, S., Morinobu, S., Fuchikami, M., Kurata, A., Kozuru, T., &amp; Yamawaki, S. (2008). Effects of single prolonged stress and D-cycloserine on contextual fear extinction and hippocampal NMDA receptor expression in a rat model of PTSD. Neuropsychopharmacology : Official Publication of the American College of Neuropsychopharmacology, 33(9), 2108–2116. http://doi.org/10.1038/sj.npp.1301605</t>
  </si>
  <si>
    <t>Yamamoto, S. (2009). [A novel therapeutic approach for the treatment of post-traumatic stress disorder (PTSD): enhancing the impaired extinction of fear memory]. Nihon shinkei seishin yakurigaku zasshi = Japanese journal of psychopharmacology, 29(3), 135–139.</t>
  </si>
  <si>
    <t>Xie, K., Kuang, H., &amp; Tsien, J. Z. (2013). Mild blast events alter anxiety, memory, and neural activity patterns in the anterior cingulate cortex. PloS One, 8(5), e64907. http://doi.org/10.1371/journal.pone.0064907</t>
  </si>
  <si>
    <t>Wrubel, K. M., Barrett, D., Shumake, J., Johnson, S. E., &amp; Gonzalez-Lima, F. (2007). Methylene blue facilitates the extinction of fear in an animal model of susceptibility to learned helplessness. Neurobiology of Learning and Memory, 87(2), 209–217. http://doi.org/10.1016/j.nlm.2006.08.009</t>
  </si>
  <si>
    <t>Wilson, C. B., McLaughlin, L. D., Ebenezer, P. J., Nair, A. R., &amp; Francis, J. (2014). Valproic acid effects in the hippocampus and prefrontal cortex in an animal model of post-traumatic stress disorder. Behavioural Brain Research, 268, 72–80. http://doi.org/10.1016/j.bbr.2014.03.029</t>
  </si>
  <si>
    <t>Wellman, L. L., Fitzpatrick, M. E., Machida, M., &amp; Sanford, L. D. (2014). The basolateral amygdala determines the effects of fear memory on sleep in an animal model of PTSD. Experimental Brain Research, 232(5), 1555–1565. http://doi.org/10.1007/s00221-014-3850-z</t>
  </si>
  <si>
    <t>Weiss, C., &amp; Disterhoft, J. F. (2015). Eyeblink Conditioning and Novel Object Recognition in the Rabbit: Behavioral Paradigms for Assaying Psychiatric Diseases. Frontiers in Psychiatry, 6, 142. http://doi.org/10.3389/fpsyt.2015.00142</t>
  </si>
  <si>
    <t>Wang, Z., Zhu, K., Chen, L., Ou Yang, L., Huang, Y., &amp; Zhao, Y. (2015). Preventive effects of ginsenoside Rg1 on post-traumatic stress disorder (PTSD)-like behavior in male C57/B6 mice. Neuroscience Letters, 605, 24–28. http://doi.org/10.1016/j.neulet.2015.08.017</t>
  </si>
  <si>
    <t>Wang, W., Liu, Y., Zheng, H., Wang, H. N., Jin, X., Chen, Y. C., … Tan, Q. R. (2008). A modified single-prolonged stress model for post-traumatic stress disorder. Neuroscience Letters, 441(2), 237–241. http://doi.org/10.1016/j.neulet.2008.06.031</t>
  </si>
  <si>
    <t>Wang, M. (2013). Neurosteroids and brain aging. Minerva Ginecologica, 65(6), 587–605.</t>
  </si>
  <si>
    <t>Wang, J., Akirav, I., &amp; Richter-Levin, G. (2000). Short-term behavioral and electrophysiological consequences of underwater trauma. Physiology &amp; Behavior, 70(3–4), 327–332.</t>
  </si>
  <si>
    <t>Wang, H.-N., Bai, Y.-H., Chen, Y.-C., Zhang, R.-G., Wang, H.-H., Zhang, Y.-H., … Tan, Q.-R. (2015). Repetitive transcranial magnetic stimulation ameliorates anxiety-like behavior and impaired sensorimotor gating in a rat model of post-traumatic stress disorder. PloS One, 10(2), e0117189. http://doi.org/10.1371/journal.pone.0117189</t>
  </si>
  <si>
    <t>Walls, M. K., Race, N., Zheng, L., Vega-Alvarez, S. M., Acosta, G., Park, J., &amp; Shi, R. (2016). Structural and biochemical abnormalities in the absence of acute deficits in mild primary blast-induced head trauma. Journal of Neurosurgery, 124(3), 675–686. http://doi.org/10.3171/2015.1.JNS141571</t>
  </si>
  <si>
    <t>Wakizono, T., Sawamura, T., Shimizu, K., Nibuya, M., Suzuki, G., Toda, H., … Nomura, S. (2007). Stress vulnerabilities in an animal model of post-traumatic stress disorder. Physiology &amp; Behavior, 90(4), 687–695. http://doi.org/10.1016/j.physbeh.2006.12.008</t>
  </si>
  <si>
    <t>Viviani, D., Haegler, P., Strasser, D. S., &amp; Steiner, M. A. (2012). Sex comparison on long-lasting behavioral and physiological disturbances induced  by single shock experience in rats. Physiology &amp; Behavior, 107(2), 243–251. http://doi.org/10.1016/j.physbeh.2012.06.018</t>
  </si>
  <si>
    <t>Vanderheyden, W. M., George, S. A., Urpa, L., Kehoe, M., Liberzon, I., &amp; Poe, G. R. (2015). Sleep alterations following exposure to stress predict fear-associated memory impairments in a rodent model of PTSD. Experimental Brain Research, 233(8), 2335–2346. http://doi.org/10.1007/s00221-015-4302-0</t>
  </si>
  <si>
    <t>Tulogdi, A., Soros, P., Toth, M., Nagy, R., Biro, L., Aliczki, M., … Haller, J. (2012). Temporal changes in c-Fos activation patterns induced by conditioned fear. Brain Research Bulletin, 88(4), 359–370. http://doi.org/10.1016/j.brainresbull.2012.04.001</t>
  </si>
  <si>
    <t>Toth, M., Flandreau, E. I., Deslauriers, J., Geyer, M. A., Mansuy, I. M., Merlo Pich, E., &amp; Risbrough, V. B. (2016). Overexpression of Forebrain CRH During Early Life Increases Trauma Susceptibility in Adulthood. Neuropsychopharmacology : Official Publication of the American College of Neuropsychopharmacology, 41(6), 1681–1690. http://doi.org/10.1038/npp.2015.338</t>
  </si>
  <si>
    <t>Toledano, D., &amp; Gisquet-Verrier, P. (2014). Only susceptible rats exposed to a model of PTSD exhibit reactivity to trauma-related cues and other symptoms: an effect abolished by a single amphetamine injection. Behavioural Brain Research, 272, 165–174. http://doi.org/10.1016/j.bbr.2014.06.039</t>
  </si>
  <si>
    <t>Terzioglu, B., Kaleli, M., Aydin, B., Ketenci, S., Cabadak, H., &amp; Goren, M. Z. (2013). Increased noradrenaline levels in the rostral pons can be reversed by M1 antagonist in a rat model of post-traumatic stress disorder. Neurochemical Research, 38(8), 1726–1733. http://doi.org/10.1007/s11064-013-1076-2</t>
  </si>
  <si>
    <t>Takahashi, T., Shimizu, K., Shimazaki, K., Toda, H., &amp; Nibuya, M. (2014). Environmental enrichment enhances autophagy signaling in the rat hippocampus. Brain Research, 1592, 113–123. http://doi.org/10.1016/j.brainres.2014.10.026</t>
  </si>
  <si>
    <t>Takahashi, T., Morinobu, S., Iwamoto, Y., &amp; Yamawaki, S. (2006). Effect of paroxetine on enhanced contextual fear induced by single prolonged stress in rats. Psychopharmacology, 189(2), 165–173. http://doi.org/10.1007/s00213-006-0545-6</t>
  </si>
  <si>
    <t>Sun, X.-M., Tu, W.-Q., Shi, Y.-W., Xue, L., &amp; Zhao, H. (2014). Female-dependent impaired fear memory of adult rats induced by maternal separation, and screening of possible related genes in the hippocampal CA1. Behavioural Brain Research, 267, 111–118. http://doi.org/10.1016/j.bbr.2014.03.022</t>
  </si>
  <si>
    <t>Sun, X. R., Zhang, H., Zhao, H. T., Ji, M. H., Li, H. H., Wu, J., … Yang, J. J. (2016). Amelioration of oxidative stress-induced phenotype loss of parvalbumin interneurons might contribute to the beneficial effects of environmental enrichment in a rat model of post-traumatic stress disorder. Behavioural Brain Research, 312, 84–92. http://doi.org/10.1016/j.bbr.2016.06.016</t>
  </si>
  <si>
    <t>Solanki, N., Alkadhi, I., Atrooz, F., Patki, G., &amp; Salim, S. (2015). Grape powder prevents cognitive, behavioral, and biochemical impairments in a rat model of posttraumatic stress disorder. Nutrition Research (New York, N.Y.), 35(1), 65–75. http://doi.org/10.1016/j.nutres.2014.11.008</t>
  </si>
  <si>
    <t>Smith-Bell, C. A., Burhans, L. B., &amp; Schreurs, B. G. (2012). Predictors of susceptibility and resilience in an animal model of posttraumatic stress disorder. Behavioral Neuroscience, 126(6), 749–761. http://doi.org/10.1037/a0030713</t>
  </si>
  <si>
    <t>Sinha, R. K. (2006). P-CPA pretreatment reverses the changes in sleep and behavior following acute immobilization stress rats. The Journal of Physiological Sciences : JPS, 56(1), 123–129.</t>
  </si>
  <si>
    <t>Siegmund, A., &amp; Wotjak, C. T. (2007). A mouse model of posttraumatic stress disorder that distinguishes between conditioned and sensitised fear. Journal of Psychiatric Research, 41(10), 848–860. http://doi.org/10.1016/j.jpsychires.2006.07.017</t>
  </si>
  <si>
    <t>Shumake, J., Barrett, D., &amp; Gonzalez-Lima, F. (2005). Behavioral characteristics of rats predisposed to learned helplessness: reduced reward sensitivity, increased novelty seeking, and persistent fear memories. Behavioural Brain Research, 164(2), 222–230. http://doi.org/10.1016/j.bbr.2005.06.016</t>
  </si>
  <si>
    <t>Servatius, R. J., Ottenweller, J. E., Bergen, M. T., Soldan, S., &amp; Natelson, B. H. (1994). Persistent stress-induced sensitization of adrenocortical and startle responses. Physiology &amp; Behavior, 56(5), 945–954.</t>
  </si>
  <si>
    <t>Serova, L. I., Laukova, M., Alaluf, L. G., &amp; Sabban, E. L. (2013). Intranasal infusion of melanocortin receptor four (MC4R) antagonist to rats ameliorates development of depression and anxiety related symptoms induced by single prolonged stress. Behavioural Brain Research, 250, 139–147. http://doi.org/10.1016/j.bbr.2013.05.006</t>
  </si>
  <si>
    <t>Serova, L. I., Laukova, M., Alaluf, L. G., Pucillo, L., &amp; Sabban, E. L. (2014). Intranasal neuropeptide Y reverses anxiety and depressive-like behavior impaired  by single prolonged stress PTSD model. European Neuropsychopharmacology : The Journal of the European College of Neuropsychopharmacology, 24(1), 142–147. http://doi.org/10.1016/j.euroneuro.2013.11.007</t>
  </si>
  <si>
    <t>Schreurs, B. G., Smith-Bell, C. A., &amp; Burhans, L. B. (2011). Incubation of conditioning-specific reflex modification: implications for Post Traumatic Stress Disorder. Journal of Psychiatric Research, 45(11), 1535–1541. http://doi.org/10.1016/j.jpsychires.2011.07.003</t>
  </si>
  <si>
    <t>Schreurs, B. G., &amp; Smith-Bell, C. A. (2005). Heart rate changes during conditioning-specific reflex modification of the rabbit’s (Oryctolagus cuniculus) nictitating membrane response. Neurobiology of Learning and Memory, 84(2), 148–158. http://doi.org/10.1016/j.nlm.2005.06.003</t>
  </si>
  <si>
    <t>Sawamura, T., Shimizu, K., Nibuya, M., Wakizono, T., Suzuki, G., Tsunoda, T., … Nomura, S. (2004). Effect of paroxetine on a model of posttraumatic stress disorder in rats. Neuroscience Letters, 357(1), 37–40. http://doi.org/10.1016/j.neulet.2003.12.039</t>
  </si>
  <si>
    <t>Saridogan, G. E., Aykac, A., Cabadak, H., Cerit, C., Caliskan, M., &amp; Goren, M. Z. (2015). D-Cycloserine acts via increasing the GluN1 protein expressions in the frontal cortex and decreases the avoidance and risk assessment behaviors in a rat traumatic stress model. Behavioural Brain Research, 293, 227–233. http://doi.org/10.1016/j.bbr.2015.07.050</t>
  </si>
  <si>
    <t>Salm, A. K., Lally, B. E., Borysiewicz, E., Fil, D., &amp; Konat, G. (2015). Analysis of extinction acquisition to attenuated tones in prenatally stressed and non-stressed offspring following auditory fear conditioning. Physiology &amp; Behavior, 139, 157–166. http://doi.org/10.1016/j.physbeh.2014.11.027</t>
  </si>
  <si>
    <t>Sabban, E. L., Serova, L. I., Alaluf, L. G., Laukova, M., &amp; Peddu, C. (2015). Comparative effects of intranasal neuropeptide Y and HS014 in preventing anxiety  and depressive-like behavior elicited by single prolonged stress. Behavioural Brain Research, 295, 9–16. http://doi.org/10.1016/j.bbr.2014.12.038</t>
  </si>
  <si>
    <t>Rybnikova, E. A., Samoilov, M. O., Mironova, V. I., Tyul’kova, E. I., Pivina, S. G., Vataeva, L. A., … Kolchev, A. I. (2008). The possible use of hypoxic preconditioning for the prophylaxis of post-stress depressive episodes. Neuroscience and Behavioral Physiology, 38(7), 721–726. http://doi.org/10.1007/s11055-008-9038-x</t>
  </si>
  <si>
    <t>Roth, M. K., Bingham, B., Shah, A., Joshi, A., Frazer, A., Strong, R., &amp; Morilak, D. A. (2012). Effects of chronic plus acute prolonged stress on measures of coping style, anxiety, and evoked HPA-axis reactivity. Neuropharmacology, 63(6), 1118–1126. http://doi.org/10.1016/j.neuropharm.2012.07.034</t>
  </si>
  <si>
    <t>Rorabaugh, B. R., Krivenko, A., Eisenmann, E. D., Bui, A. D., Seeley, S., Fry, M. E., … Zoladz, P. R. (2015). Sex-dependent effects of chronic psychosocial stress on myocardial sensitivity to ischemic injury. Stress (Amsterdam, Netherlands), 18(6), 645–653. http://doi.org/10.3109/10253890.2015.1087505</t>
  </si>
  <si>
    <t>Richter-Levin, G. (1998). Acute and long-term behavioral correlates of underwater trauma--potential relevance to stress and post-stress syndromes. Psychiatry Research, 79(1), 73–83.</t>
  </si>
  <si>
    <t>Reznikov, R., Diwan, M., Nobrega, J. N., &amp; Hamani, C. (2015). Towards a better preclinical model of PTSD: characterizing animals with weak extinction, maladaptive stress responses and low plasma corticosterone. Journal of Psychiatric Research, 61, 158–165. http://doi.org/10.1016/j.jpsychires.2014.12.017</t>
  </si>
  <si>
    <t>Rau, V., DeCola, J. P., &amp; Fanselow, M. S. (2005). Stress-induced enhancement of fear learning: an animal model of posttraumatic stress disorder. Neuroscience and Biobehavioral Reviews, 29(8), 1207–1223. http://doi.org/10.1016/j.neubiorev.2005.04.010</t>
  </si>
  <si>
    <t>Qiu, Z.-K., Zhang, L.-M., Zhao, N., Chen, H.-X., Zhang, Y.-Z., Liu, Y.-Q., … Li, Y.-F. (2013). Repeated administration of AC-5216, a ligand for the 18 kDa translocator protein, improves behavioral deficits in a mouse model of post-traumatic stress disorder. Progress in Neuro-Psychopharmacology &amp; Biological Psychiatry, 45, 40–46. http://doi.org/10.1016/j.pnpbp.2013.04.010</t>
  </si>
  <si>
    <t>Qiu, Z.-K., Zhang, G.-H., He, J.-L., Ma, J.-C., Zeng, J., Shen, D., … Liu, C.-Y. (2015). Free and Easy Wanderer Plus (FEWP) improves behavioral deficits in an animal model of post-traumatic stress disorder by stimulating allopregnanolone biosynthesis. Neuroscience Letters, 602, 162–166. http://doi.org/10.1016/j.neulet.2015.06.055</t>
  </si>
  <si>
    <t>Qin, H., &amp; Dubnau, J. (2010). Genetic disruptions of Drosophila Pavlovian learning leave extinction learning intact. Genes, Brain, and Behavior, 9(2), 203–212. http://doi.org/10.1111/j.1601-183X.2009.00548.x</t>
  </si>
  <si>
    <t>Powers, M. S., Barrenha, G. D., Mlinac, N. S., Barker, E. L., &amp; Chester, J. A. (2010). Effects of the novel endocannabinoid uptake inhibitor, LY2183240, on fear-potentiated startle and alcohol-seeking behaviors in mice selectively bred for high alcohol preference. Psychopharmacology, 212(4), 571–583. http://doi.org/10.1007/s00213-010-1997-2</t>
  </si>
  <si>
    <t>Pinna, G., &amp; Rasmusson, A. M. (2014). Ganaxolone improves behavioral deficits in a mouse model of post-traumatic stress disorder. Frontiers in Cellular Neuroscience, 8, 256. http://doi.org/10.3389/fncel.2014.00256</t>
  </si>
  <si>
    <t>Pickens, C. L., Golden, S. A., Adams-Deutsch, T., Nair, S. G., &amp; Shaham, Y. (2009). Long-lasting incubation of conditioned fear in rats. Biological Psychiatry, 65(10), 881–886. http://doi.org/10.1016/j.biopsych.2008.12.010</t>
  </si>
  <si>
    <t>Pibiri, F., Nelson, M., Guidotti, A., Costa, E., &amp; Pinna, G. (2008). Decreased corticolimbic allopregnanolone expression during social isolation enhances contextual fear: A model relevant for posttraumatic stress disorder. Proceedings of the National Academy of Sciences of the United States of America, 105(14), 5567–5572. http://doi.org/10.1073/pnas.0801853105</t>
  </si>
  <si>
    <t>Piao, C., Deng, X., Wang, X., Yuan, Y., Liu, Z., &amp; Liang, J. (2016). Altered function in medial prefrontal cortex and nucleus accumbens links to stress-induced behavioral inflexibility. Behavioural Brain Research, 317, 16–26. http://doi.org/10.1016/j.bbr.2016.09.017</t>
  </si>
  <si>
    <t>Philbert, J., Belzung, C., &amp; Griebel, G. (2015). Long-lasting memory abnormalities following exposure to the mouse defense test battery: An animal model of PTSD. Physiology &amp; Behavior, 146, 67–72. http://doi.org/10.1016/j.physbeh.2015.03.039</t>
  </si>
  <si>
    <t>Philbert, J., Pichat, P., Palme, R., Belzung, C., &amp; Griebel, G. (2012). The CRF(1) receptor antagonist SSR125543 attenuates long-term cognitive deficit induced by acute inescapable stress in mice, independently from the hypothalamic pituitary adrenal axis. Pharmacology, Biochemistry, and Behavior, 102(3), 415–422. http://doi.org/10.1016/j.pbb.2012.05.013</t>
  </si>
  <si>
    <t>Philbert, J., Pichat, P., Beeske, S., Decobert, M., Belzung, C., &amp; Griebel, G. (2011). Acute inescapable stress exposure induces long-term sleep disturbances and avoidance behavior: a mouse model of post-traumatic stress disorder (PTSD). Behavioural Brain Research, 221(1), 149–154. http://doi.org/10.1016/j.bbr.2011.02.039</t>
  </si>
  <si>
    <t>Perathoner, S., Cordero-Maldonado, M. L., &amp; Crawford, A. D. (2016). Potential of zebrafish as a model for exploring the role of the amygdala in emotional memory and motivational behavior. Journal of Neuroscience Research, 94(6), 445–462. http://doi.org/10.1002/jnr.23712</t>
  </si>
  <si>
    <t>Patki, G., Solanki, N., &amp; Salim, S. (2014). Witnessing traumatic events causes severe behavioral impairments in rats. The International Journal of Neuropsychopharmacology / Official Scientific Journal of the Collegium Internationale Neuropsychopharmacologicum (CINP), 17(12), 2017–2029. http://doi.org/10.1017/S1461145714000923</t>
  </si>
  <si>
    <t>Patki, G., Li, L., Allam, F., Solanki, N., Dao, A. T., Alkadhi, K., &amp; Salim, S. (2014). Moderate treadmill exercise rescues anxiety and depression-like behavior as well  as memory impairment in a rat model of posttraumatic stress disorder. Physiology &amp; Behavior, 130, 47–53. http://doi.org/10.1016/j.physbeh.2014.03.016</t>
  </si>
  <si>
    <t>Park, K., Song, B., Kim, J., Hong, I., Song, S., Lee, J., … Choi, S. (2014). ABA renewal involves enhancements in both GluA2-lacking AMPA receptor activity and GluA1 phosphorylation in the lateral amygdala. PloS One, 9(6), e100108. http://doi.org/10.1371/journal.pone.0100108</t>
  </si>
  <si>
    <t>Park, J., Wood, J., Bondi, C., Del Arco, A., &amp; Moghaddam, B. (2016). Anxiety Evokes Hypofrontality and Disrupts Rule-Relevant Encoding by Dorsomedial  Prefrontal Cortex Neurons. The Journal of Neuroscience : The Official Journal of the Society for Neuroscience, 36(11), 3322–3335. http://doi.org/10.1523/JNEUROSCI.4250-15.2016</t>
  </si>
  <si>
    <t>Pare, W. P. (1996). Enhanced retrieval of unpleasant memories influenced by shock controllability, shock sequence, and rat strain. Biological Psychiatry, 39(9), 808–813. http://doi.org/10.1016/0006-3223(95)00220-0</t>
  </si>
  <si>
    <t>Padilla, E., Shumake, J., Barrett, D. W., Holmes, G., Sheridan, E. C., &amp; Gonzalez-Lima, F. (2010). Novelty-evoked activity in open field predicts susceptibility to helpless behavior. Physiology &amp; Behavior, 101(5), 746–754. http://doi.org/10.1016/j.physbeh.2010.08.017</t>
  </si>
  <si>
    <t>Ordian, N. E., Smolenskii, I. V, Pivina, S. G., &amp; Akulova, V. K. (2013). [Distinctive features of the anxiety state development in experimental model of posttraumatic stress disorder in the prenatally stressed male rats]. Zhurnal vysshei nervnoi deiatelnosti imeni I P Pavlova, 63(2), 280–289.</t>
  </si>
  <si>
    <t>Ojo, J. O., Greenberg, M. B., Leary, P., Mouzon, B., Bachmeier, C., Mullan, M., … Crawford, F. (2014). Neurobehavioral, neuropathological and biochemical profiles in a novel mouse model of co-morbid post-traumatic stress disorder and mild traumatic brain injury. Frontiers in Behavioral Neuroscience, 8, 213. http://doi.org/10.3389/fnbeh.2014.00213</t>
  </si>
  <si>
    <t>Ninomiya, E. M., Martynhak, B. J., Zanoveli, J. M., Correia, D., da Cunha, C., &amp; Andreatini, R. (2010). Spironolactone and low-dose dexamethasone enhance extinction of contextual fear conditioning. Progress in Neuro-Psychopharmacology &amp; Biological Psychiatry, 34(7), 1229–1235. http://doi.org/10.1016/j.pnpbp.2010.06.025</t>
  </si>
  <si>
    <t>Nelson, A. M., Demartini, K. S., &amp; Heinrichs, S. C. (2010). Heightened muscle tension and diurnal hyper-vigilance following exposure to a social defeat-conditioned odor cue in rats. Stress (Amsterdam, Netherlands), 13(2), 106–113. http://doi.org/10.3109/10253890903067400</t>
  </si>
  <si>
    <t>Nalloor, R., Bunting, K. M., &amp; Vazdarjanova, A. (2014). Altered hippocampal function before emotional trauma in rats susceptible to PTSD-like behaviors. Neurobiology of Learning and Memory, 112, 158–167. http://doi.org/10.1016/j.nlm.2014.02.006</t>
  </si>
  <si>
    <t>Muigg, P., Hetzenauer, A., Hauer, G., Hauschild, M., Gaburro, S., Frank, E., … Singewald, N. (2008). Impaired extinction of learned fear in rats selectively bred for high anxiety--evidence of altered neuronal processing in prefrontal-amygdala pathways. The European Journal of Neuroscience, 28(11), 2299–2309. http://doi.org/10.1111/j.1460-9568.2008.06511.x</t>
  </si>
  <si>
    <t>Monsey, M. S., Gerhard, D. M., Boyle, L. M., Briones, M. A., Seligsohn, M., &amp; Schafe, G. E. (2015). A diet enriched with curcumin impairs newly acquired and reactivated fear memories. Neuropsychopharmacology : Official Publication of the American College of Neuropsychopharmacology, 40(5), 1278–1288. http://doi.org/10.1038/npp.2014.315</t>
  </si>
  <si>
    <t>Molet, J., Maras, P. M., Avishai-Eliner, S., &amp; Baram, T. Z. (2014). Naturalistic rodent models of chronic early-life stress. Developmental Psychobiology, 56(8), 1675–1688. http://doi.org/10.1002/dev.21230</t>
  </si>
  <si>
    <t>Missig, G., Ayers, L. W., Schulkin, J., &amp; Rosen, J. B. (2010). Oxytocin reduces background anxiety in a fear-potentiated startle paradigm. Neuropsychopharmacology : Official Publication of the American College of Neuropsychopharmacology, 35(13), 2607–2616. http://doi.org/10.1038/npp.2010.155</t>
  </si>
  <si>
    <t>Mirza, N. R., Bright, J. L., Stanhope, K. J., Wyatt, A., &amp; Harrington, N. R. (2005). Lamotrigine has an anxiolytic-like profile in the rat conditioned emotional response test of anxiety: a potential role for sodium channels? Psychopharmacology, 180(1), 159–168. http://doi.org/10.1007/s00213-005-2146-1</t>
  </si>
  <si>
    <t>Mirshekar, M., Abrari, K., Goudarzi, I., &amp; Rashidy-Pour, A. (2013). Systemic administrations of beta-estradiol alleviate both conditioned and sensitized fear responses in an ovariectomized rat model of post-traumatic stress disorder. Neurobiology of Learning and Memory, 102, 12–19. http://doi.org/10.1016/j.nlm.2013.02.003</t>
  </si>
  <si>
    <t>Mikics, E., Baranyi, J., &amp; Haller, J. (2008). Rats exposed to traumatic stress bury unfamiliar objects--a novel measure of hyper-vigilance in PTSD models? Physiology &amp; Behavior, 94(3), 341–348. http://doi.org/10.1016/j.physbeh.2008.01.023</t>
  </si>
  <si>
    <t>Miao, Y.-L., Guo, W.-Z., Shi, W.-Z., Fang, W.-W., Liu, Y., Liu, J., … Li, Y.-F. (2014). Midazolam ameliorates the behavior deficits of a rat posttraumatic stress disorder model through dual 18 kDa translocator protein and central benzodiazepine receptor and neurosteroidogenesis. PloS One, 9(7), e101450. http://doi.org/10.1371/journal.pone.0101450</t>
  </si>
  <si>
    <t>McDowell, A. L., Filippone, A. B., Balbir, A., Germain, A., &amp; O’Donnell, C. P. (2013). Mild Transient Hypercapnia as a Novel Fear Conditioning Stimulus Allowing Re-Exposure during Sleep. PloS One, 8(6), e67435. http://doi.org/10.1371/journal.pone.0067435</t>
  </si>
  <si>
    <t>Mazor, A., Matar, M. A., Kaplan, Z., Kozlovsky, N., Zohar, J., &amp; Cohen, H. (2009). Gender-related qualitative differences in baseline and post-stress anxiety responses are not reflected in the incidence of criterion-based PTSD-like behaviour patterns. The World Journal of Biological Psychiatry : The Official Journal of the World Federation of Societies of Biological Psychiatry, 10(4 Pt 3), 856–869. http://doi.org/10.1080/15622970701561383</t>
  </si>
  <si>
    <t>Matar, M. A., Zohar, J., Kaplan, Z., &amp; Cohen, H. (2009). Alprazolam treatment immediately after stress exposure interferes with the normal HPA-stress response and increases vulnerability to subsequent stress in an animal model of PTSD. European Neuropsychopharmacology : The Journal of the European College of Neuropsychopharmacology, 19(4), 283–295. http://doi.org/10.1016/j.euroneuro.2008.12.004</t>
  </si>
  <si>
    <t>Maier, S. F. (2001). Exposure to the stressor environment prevents the temporal dissipation of behavioral depression/learned helplessness. Biological Psychiatry, 49(9), 763–773.</t>
  </si>
  <si>
    <t>Long, V. A., &amp; Fanselow, M. S. (2012). Stress-enhanced fear learning in rats is resistant to the effects of immediate massed extinction. Stress (Amsterdam, Netherlands), 15(6), 627–636. http://doi.org/10.3109/10253890.2011.650251</t>
  </si>
  <si>
    <t>Liu, F.-F., Yang, L.-D., Sun, X.-R., Zhang, H., Pan, W., Wang, X.-M., … Yuan, H.-M. (2015). NOX2 Mediated-Parvalbumin Interneuron Loss Might Contribute to Anxiety-Like and Enhanced Fear Learning Behavior in a Rat Model of Post-Traumatic Stress Disorder. Molecular Neurobiology. http://doi.org/10.1007/s12035-015-9571-x</t>
  </si>
  <si>
    <t>Li, X., Han, F., &amp; Shi, Y. (2015). IRE1alpha-XBP1 Pathway Is Activated Upon Induction of Single-Prolonged Stress in  Rat Neurons of the Medial Prefrontal Cortex. Journal of Molecular Neuroscience : MN, 57(1), 63–72. http://doi.org/10.1007/s12031-015-0577-7</t>
  </si>
  <si>
    <t>Li, C., Liu, Y., Yin, S., Lu, C., Liu, D., Jiang, H., &amp; Pan, F. (2015). Long-term effects of early adolescent stress: dysregulation of hypothalamic-pituitary-adrenal axis and central corticotropin releasing factor receptor 1 expression in adult male rats. Behavioural Brain Research, 288, 39–49. http://doi.org/10.1016/j.bbr.2015.04.007</t>
  </si>
  <si>
    <t>Leslie, J. C., Shaw, D., McCabe, C., Reynolds, D. S., &amp; Dawson, G. R. (2004). Effects of drugs that potentiate GABA on extinction of positively-reinforced operant behaviour. Neuroscience and Biobehavioral Reviews, 28(3), 229–238. http://doi.org/10.1016/j.neubiorev.2004.01.003</t>
  </si>
  <si>
    <t>Lee, B., Sur, B., Cho, S.-G., Yeom, M., Shim, I., Lee, H., &amp; Hahm, D.-H. (2016). Ginsenoside Rb1 rescues anxiety-like responses in a rat model of post-traumatic stress disorder. Journal of Natural Medicines, 70(2), 133–144. http://doi.org/10.1007/s11418-015-0943-3</t>
  </si>
  <si>
    <t>Lazaroni, T. L. do N., Bastos, C. P., Moraes, M. F. D., Santos, R. S., &amp; Pereira, G. S. (2016). Angiotensin-(1-7)/Mas axis modulates fear memory and extinction in mice. Neurobiology of Learning and Memory, 127, 27–33. http://doi.org/10.1016/j.nlm.2015.11.012</t>
  </si>
  <si>
    <t>Layton, B., &amp; Krikorian, R. (2002). Memory mechanisms in posttraumatic stress disorder. The Journal of Neuropsychiatry and Clinical Neurosciences, 14(3), 254–261. http://doi.org/10.1176/jnp.14.3.254</t>
  </si>
  <si>
    <t>Kutlu, M. G., Oliver, C., &amp; Gould, T. J. (2014). The effects of acute nicotine on contextual safety discrimination. Journal of Psychopharmacology (Oxford, England), 28(11), 1064–1070. http://doi.org/10.1177/0269881114552743</t>
  </si>
  <si>
    <t>Kuczera, T., Stilling, R. M., Hsia, H.-E., Bahari-Javan, S., Irniger, S., Nasmyth, K., … Fischer, A. (2011). The anaphase promoting complex is required for memory function in mice. Learning &amp; Memory (Cold Spring Harbor, N.Y.), 18(1), 49–57. http://doi.org/10.1101/lm.1998411</t>
  </si>
  <si>
    <t>Krishnamurthy, S., Garabadu, D., &amp; Joy, K. P. (2013). Risperidone ameliorates post-traumatic stress disorder-like symptoms in modified  stress re-stress model. Neuropharmacology, 75, 62–77. http://doi.org/10.1016/j.neuropharm.2013.07.005</t>
  </si>
  <si>
    <t>Kozlovsky, N., Matar, M. A., Kaplan, Z., Zohar, J., &amp; Cohen, H. (2009). The role of the galaninergic system in modulating stress-related responses in an  animal model of posttraumatic stress disorder. Biological Psychiatry, 65(5), 383–391. http://doi.org/10.1016/j.biopsych.2008.10.034</t>
  </si>
  <si>
    <t>Kozlovsky, N., Matar, M. A., Kaplan, Z., Kotler, M., Zohar, J., &amp; Cohen, H. (2008). The immediate early gene Arc is associated with behavioral resilience to stress exposure in an animal model of posttraumatic stress disorder. European Neuropsychopharmacology : The Journal of the European College of Neuropsychopharmacology, 18(2), 107–116. http://doi.org/10.1016/j.euroneuro.2007.04.009</t>
  </si>
  <si>
    <t>Koba, T., Kodama, Y., Shimizu, K., Nomura, S., Sugawara, M., Kobayashi, Y., &amp; Ogasawara, T. (2001). Persistent behavioural changes in rats following inescapable shock stress: a potential model of posttraumatic stress disorder. The World Journal of Biological Psychiatry : The Official Journal of the World Federation of Societies of Biological Psychiatry, 2(1), 34–37.</t>
  </si>
  <si>
    <t>King, J. A., Abend, S., &amp; Edwards, E. (2001). Genetic predisposition and the development of posttraumatic stress disorder in an animal model. Biological Psychiatry, 50(4), 231–237.</t>
  </si>
  <si>
    <t>Kellett, J., &amp; Kokkinidis, L. (2004). Extinction deficit and fear reinstatement after electrical stimulation of the amygdala: implications for kindling-associated fear and anxiety. Neuroscience, 127(2), 277–287. http://doi.org/10.1016/j.neuroscience.2004.05.011</t>
  </si>
  <si>
    <t>Kaufer, D., Friedman, A., Seidman, S., &amp; Soreq, H. (1998). Acute stress facilitates long-lasting changes in cholinergic gene expression. Nature, 393(6683), 373–377. http://doi.org/10.1038/30741</t>
  </si>
  <si>
    <t>Juven-Wetzler, A., Cohen, H., Kaplan, Z., Kohen, A., Porat, O., &amp; Zohar, J. (2014). Immediate ketamine treatment does not prevent posttraumatic stress responses in an animal model for PTSD. European Neuropsychopharmacology : The Journal of the European College of Neuropsychopharmacology, 24(3), 469–479. http://doi.org/10.1016/j.euroneuro.2013.08.007</t>
  </si>
  <si>
    <t>Jones, N., Duxon, M. S., &amp; King, S. M. (2002). Ethopharmacological analysis of the unstable elevated exposed plus maze, a novel  model of extreme anxiety: predictive validity and sensitivity to anxiogenic agents. Psychopharmacology, 161(3), 314–323. http://doi.org/10.1007/s00213-002-1029-y</t>
  </si>
  <si>
    <t>Jia, M., Meng, F., Smerin, S. E., Xing, G., Zhang, L., Su, D. M., … Li, H. (2012). Biomarkers in an animal model for revealing neural, hematologic, and behavioral correlates of PTSD. Journal of Visualized Experiments : JoVE, (68). http://doi.org/10.3791/3361</t>
  </si>
  <si>
    <t>Ji, L.-L., Tong, L., Xu, B.-K., Fu, C.-H., Shu, W., Peng, J.-B., &amp; Wang, Z.-Y. (2014). Intra-hippocampal administration of ZIP alleviates depressive and anxiety-like responses in an animal model of posttraumatic stress disorder. Behavioral and Brain Functions : BBF, 10, 28. http://doi.org/10.1186/1744-9081-10-28</t>
  </si>
  <si>
    <t>Ji, L.-L., Peng, J.-B., Fu, C.-H., Cao, D., Li, D., Tong, L., &amp; Wang, Z.-Y. (2016). Activation of Sigma-1 receptor ameliorates anxiety-like behavior and cognitive impairments in a rat model of post-traumatic stress disorder. Behavioural Brain Research, 311, 408–415. http://doi.org/10.1016/j.bbr.2016.05.056</t>
  </si>
  <si>
    <t>Javelot, H., Weiner, L., Terramorsi, R., Rougeot, C., Lalonde, R., &amp; Messaoudi, M. (2011). Efficacy of chronic antidepressant treatments in a new model of extreme anxiety in rats. Depression Research and Treatment, 2011, 531435. http://doi.org/10.1155/2011/531435</t>
  </si>
  <si>
    <t>Janezic, E. M., Uppalapati, S., Nagl, S., Contreras, M., French, E. D., &amp; Fellous, J.-M. (2016). Beneficial effects of chronic oxytocin administration and social co-housing in a  rodent model of post-traumatic stress disorder. Behavioural Pharmacology. http://doi.org/10.1097/FBP.0000000000000270</t>
  </si>
  <si>
    <t>Iwamoto, Y., Morinobu, S., Takahashi, T., &amp; Yamawaki, S. (2007). Single prolonged stress increases contextual freezing and the expression of glycine transporter 1 and vesicle-associated membrane protein 2 mRNA in the hippocampus of rats. Progress in Neuro-Psychopharmacology &amp; Biological Psychiatry, 31(3), 642–651. http://doi.org/10.1016/j.pnpbp.2006.12.010</t>
  </si>
  <si>
    <t>Imanaka, A., Morinobu, S., Toki, S., &amp; Yamawaki, S. (2006). Importance of early environment in the development of post-traumatic stress disorder-like behaviors. Behavioural Brain Research, 173(1), 129–137. http://doi.org/10.1016/j.bbr.2006.06.012</t>
  </si>
  <si>
    <t>Huang, Z., Liu, R., Bai, X., Zhao, G., Song, J., Wu, S., &amp; Du, G. (2014). Protective effects of the novel adenosine derivative WS0701 in a mouse model of posttraumatic stress disorder. Acta Pharmacologica Sinica, 35(1), 24–32. http://doi.org/10.1038/aps.2013.143</t>
  </si>
  <si>
    <t>Huang, G.-B., Zhao, T., Gao, X.-L., Zhang, H.-X., Xu, Y.-M., Li, H., &amp; Lv, L.-X. (2016). Effect of chronic social defeat stress on behaviors and dopamine receptor in adult mice. Progress in Neuro-Psychopharmacology &amp; Biological Psychiatry, 66, 73–79. http://doi.org/10.1016/j.pnpbp.2015.12.002</t>
  </si>
  <si>
    <t>Hou, L.-Q., Liu, S., &amp; Xiong, K.-R. (2013). [Effects of electroacupuncture intervention on behavior changes and hippocampal glucocorticoid receptor and mineralocorticoid receptor expression levels in post-traumatic stress disorder rats]. Zhen ci yan jiu = Acupuncture research / [Zhongguo yi xue ke xue yuan Yi xue qing bao yan jiu suo bian ji], 38(2), 140–145.</t>
  </si>
  <si>
    <t>Hendriksen, H., Prins, J., Olivier, B., &amp; Oosting, R. S. (2010). Environmental enrichment induces behavioral recovery and enhanced hippocampal cell proliferation in an antidepressant-resistant animal model for PTSD. PloS One, 5(8), e11943. http://doi.org/10.1371/journal.pone.0011943</t>
  </si>
  <si>
    <t>Hendriksen, H., Bink, D. I., Vergoossen, D. L. E., Suzet van Slobbe, E., Olivier, B., &amp; Oosting, R. S. (2015). Food restriction does not relieve PTSD-like anxiety. European Journal of Pharmacology, 753, 177–182. http://doi.org/10.1016/j.ejphar.2014.10.060</t>
  </si>
  <si>
    <t>Hendriksen, H., Bink, D. I., Daniels, E. G., Pandit, R., Piriou, C., Slieker, R., … Oosting, R. S. (2012). Re-exposure and environmental enrichment reveal NPY-Y1 as a possible target for post-traumatic stress disorder. Neuropharmacology, 63(4), 733–742. http://doi.org/10.1016/j.neuropharm.2012.05.028</t>
  </si>
  <si>
    <t>Harvey, B. H., Naciti, C., Brand, L., &amp; Stein, D. J. (2004). Serotonin and stress: protective or malevolent actions in the biobehavioral response to repeated trauma? Annals of the New York Academy of Sciences, 1032, 267–272. http://doi.org/10.1196/annals.1314.035</t>
  </si>
  <si>
    <t>Hammamieh, R., Chakraborty, N., De Lima, T. C. M., Meyerhoff, J., Gautam, A., Muhie, S., … Jett, M. (2012). Murine model of repeated exposures to conspecific trained aggressors simulates features of post-traumatic stress disorder. Behavioural Brain Research, 235(1), 55–66. http://doi.org/10.1016/j.bbr.2012.07.022</t>
  </si>
  <si>
    <t>Haller, J., Nagy, R., Toth, M., Pelczer, K. G., &amp; Mikics, E. (2011). NR2B subunit-specific NMDA antagonist Ro25-6981 inhibits the expression of conditioned fear: a comparison with the NMDA antagonist MK-801 and fluoxetine. Behavioural Pharmacology, 22(2), 113–121. http://doi.org/10.1097/FBP.0b013e328343d7b2</t>
  </si>
  <si>
    <t>Hager, T., Maroteaux, G., Pont, P. du, Julsing, J., van Vliet, R., &amp; Stiedl, O. (2014). Munc18-1 haploinsufficiency results in enhanced anxiety-like behavior as determined by heart rate responses in mice. Behavioural Brain Research, 260, 44–52. http://doi.org/10.1016/j.bbr.2013.11.033</t>
  </si>
  <si>
    <t>Hager, T., Jansen, R. F., Pieneman, A. W., Manivannan, S. N., Golani, I., van der Sluis, S., … Stiedl, O. (2014). Display of individuality in avoidance behavior and risk assessment of inbred mice. Frontiers in Behavioral Neuroscience, 8, 314. http://doi.org/10.3389/fnbeh.2014.00314</t>
  </si>
  <si>
    <t>Goswami, S., Samuel, S., Sierra, O. R., Cascardi, M., &amp; Pare, D. (2012). A rat model of post-traumatic stress disorder reproduces the hippocampal deficits seen in the human syndrome. Frontiers in Behavioral Neuroscience, 6, 26. http://doi.org/10.3389/fnbeh.2012.00026</t>
  </si>
  <si>
    <t>Goldstein, L. E., Rasmusson, A. M., Bunney, B. S., &amp; Roth, R. H. (1994). The NMDA glycine site antagonist (+)-HA-966 selectively regulates conditioned stress-induced metabolic activation of the mesoprefrontal cortical dopamine but not serotonin systems: a behavioral, neuroendocrine, and neurochemical study in the rat. The Journal of Neuroscience : The Official Journal of the Society for Neuroscience, 14(8), 4937–4950.</t>
  </si>
  <si>
    <t>George, S. A., Rodriguez-Santiago, M., Riley, J., Abelson, J. L., Floresco, S. B., &amp; Liberzon, I. (2015). Alterations in cognitive flexibility in a rat model of post-traumatic stress disorder. Behavioural Brain Research, 286, 256–264. http://doi.org/10.1016/j.bbr.2015.02.051</t>
  </si>
  <si>
    <t>George, S. A., Knox, D., Curtis, A. L., Aldridge, J. W., Valentino, R. J., &amp; Liberzon, I. (2013). Altered locus coeruleus-norepinephrine function following single prolonged stress. The European Journal of Neuroscience, 37(6), 901–909. http://doi.org/10.1111/ejn.12095</t>
  </si>
  <si>
    <t>Geerse, G.-J., van Gurp, L. C. A., Wiegant, V. M., &amp; Stam, R. (2006). Individual reactivity to the open-field predicts the expression of stress-induced behavioural and somatic pain sensitisation. Behavioural Brain Research, 174(1), 112–118. http://doi.org/10.1016/j.bbr.2006.07.010</t>
  </si>
  <si>
    <t>Geerse, G.-J., van Gurp, L. C. A., Wiegant, V. M., &amp; Stam, R. (2006). Individual reactivity to the open-field predicts the expression of cardiovascular and behavioural sensitisation to novel stress. Behavioural Brain Research, 175(1), 9–17. http://doi.org/10.1016/j.bbr.2006.07.011</t>
  </si>
  <si>
    <t>Garabadu, D., Ahmad, A., &amp; Krishnamurthy, S. (2015). Risperidone Attenuates Modified Stress-Re-stress Paradigm-Induced Mitochondrial Dysfunction and Apoptosis in Rats Exhibiting Post-traumatic Stress Disorder-Like Symptoms. Journal of Molecular Neuroscience : MN, 56(2), 299–312. http://doi.org/10.1007/s12031-015-0532-7</t>
  </si>
  <si>
    <t>Gao, J., Wang, H., Liu, Y., Li, Y.-Y., Chen, C., Liu, L.-M., … Yang, C. (2014). Glutamate and GABA imbalance promotes neuronal apoptosis in hippocampus after stress. Medical Science Monitor : International Medical Journal of Experimental and Clinical Research, 20, 499–512. http://doi.org/10.12659/MSM.890589</t>
  </si>
  <si>
    <t>Ganon-Elazar, E., &amp; Akirav, I. (2012). Cannabinoids prevent the development of behavioral and endocrine alterations in a rat model of intense stress. Neuropsychopharmacology : Official Publication of the American College of Neuropsychopharmacology, 37(2), 456–466. http://doi.org/10.1038/npp.2011.204</t>
  </si>
  <si>
    <t>Galatzer-Levy, I. R., Moscarello, J., Blessing, E. M., Klein, J., Cain, C. K., &amp; LeDoux, J. E. (2014). Heterogeneity in signaled active avoidance learning: substantive and methodological relevance of diversity in instrumental defensive responses to threat cues. Frontiers in Systems Neuroscience, 8, 179. http://doi.org/10.3389/fnsys.2014.00179</t>
  </si>
  <si>
    <t>Galatzer-Levy, I. R., Bonanno, G. A., Bush, D. E. A., &amp; Ledoux, J. E. (2013). Heterogeneity in threat extinction learning: substantive and methodological considerations for identifying individual difference in response to stress. Frontiers in Behavioral Neuroscience, 7, 55. http://doi.org/10.3389/fnbeh.2013.00055</t>
  </si>
  <si>
    <t>Fucich, E. A., Paredes, D., &amp; Morilak, D. A. (2016). Therapeutic Effects of Extinction Learning as a Model of Exposure Therapy in Rats. Neuropsychopharmacology : Official Publication of the American College of Neuropsychopharmacology. http://doi.org/10.1038/npp.2016.127</t>
  </si>
  <si>
    <t>Frenger, P. (2015). Inexpensive Complex Hand Model Twenty Years Later. Biomedical Sciences Instrumentation, 51, 378–384.</t>
  </si>
  <si>
    <t>Feng, D., Guo, B., Liu, G., Wang, B., Wang, W., Gao, G., … Wu, S. (2015). FGF2 alleviates PTSD symptoms in rats by restoring GLAST function in astrocytes via the JAK/STAT pathway. European Neuropsychopharmacology : The Journal of the European College of Neuropsychopharmacology, 25(8), 1287–1299. http://doi.org/10.1016/j.euroneuro.2015.04.020</t>
  </si>
  <si>
    <t>Ding, A. Y., Li, Q., Zhou, I. Y., Ma, S. J., Tong, G., McAlonan, G. M., &amp; Wu, E. X. (2013). MR diffusion tensor imaging detects rapid microstructural changes in amygdala and hippocampus following fear conditioning in mice. PloS One, 8(1), e51704. http://doi.org/10.1371/journal.pone.0051704</t>
  </si>
  <si>
    <t>Diehl, L. A., Alvares, L. O., Noschang, C., Engelke, D., Andreazza, A. C., Goncalves, C. A. S., … Dalmaz, C. (2012). Long-lasting effects of maternal separation on an animal model of post-traumatic  stress disorder: effects on memory and hippocampal oxidative stress. Neurochemical Research, 37(4), 700–707. http://doi.org/10.1007/s11064-011-0660-6</t>
  </si>
  <si>
    <t>DaSilva, J. K., Lei, Y., Madan, V., Mann, G. L., Ross, R. J., Tejani-Butt, S., &amp; Morrison, A. R. (2011). Fear conditioning fragments REM sleep in stress-sensitive Wistar-Kyoto, but not Wistar, rats. Progress in Neuro-Psychopharmacology &amp; Biological Psychiatry, 35(1), 67–73. http://doi.org/10.1016/j.pnpbp.2010.08.023</t>
  </si>
  <si>
    <t>Dalla, C., Pitychoutis, P. M., Kokras, N., &amp; Papadopoulou-Daifoti, Z. (2010). Sex differences in animal models of depression and antidepressant response. Basic &amp; Clinical Pharmacology &amp; Toxicology, 106(3), 226–233. http://doi.org/10.1111/j.1742-7843.2009.00516.x</t>
  </si>
  <si>
    <t>Crabbe, J. C., Schlumbohm, J. P., Hack, W., Barkley-Levenson, A. M., Metten, P., &amp; Lattal, K. M. (2016). Fear conditioning in mouse lines genetically selected for binge-like ethanol drinking. Alcohol (Fayetteville, N.Y.), 52, 25–32. http://doi.org/10.1016/j.alcohol.2016.01.004</t>
  </si>
  <si>
    <t>Corral-Frias, N. S., Lahood, R. P., Edelman-Vogelsang, K. E., French, E. D., &amp; Fellous, J.-M. (2013). Involvement of the ventral tegmental area in a rodent model of post-traumatic stress disorder. Neuropsychopharmacology : Official Publication of the American College of Neuropsychopharmacology, 38(2), 350–363. http://doi.org/10.1038/npp.2012.189</t>
  </si>
  <si>
    <t>Corley, M. J., Caruso, M. J., &amp; Takahashi, L. K. (2012). Stress-induced enhancement of fear conditioning and sensitization facilitates extinction-resistant and habituation-resistant fear behaviors in a novel animal model of posttraumatic stress disorder. Physiology &amp; Behavior, 105(2), 408–416. http://doi.org/10.1016/j.physbeh.2011.08.037</t>
  </si>
  <si>
    <t>Cohen, S., Kozlovsky, N., Matar, M. A., Kaplan, Z., Zohar, J., &amp; Cohen, H. (2012). Post-exposure sleep deprivation facilitates correctly timed interactions between  glucocorticoid and adrenergic systems, which attenuate traumatic stress responses. Neuropsychopharmacology : Official Publication of the American College of Neuropsychopharmacology, 37(11), 2388–2404. http://doi.org/10.1038/npp.2012.94</t>
  </si>
  <si>
    <t>Cohen, H., Zohar, J., Matar, M. A., Kaplan, Z., &amp; Geva, A. B. (2005). Unsupervised fuzzy clustering analysis supports behavioral cutoff criteria in an  animal model of posttraumatic stress disorder. Biological Psychiatry, 58(8), 640–650. http://doi.org/10.1016/j.biopsych.2005.04.002</t>
  </si>
  <si>
    <t>Cohen, H., Ziv, Y., Cardon, M., Kaplan, Z., Matar, M. A., Gidron, Y., … Kipnis, J. (2006). Maladaptation to mental stress mitigated by the adaptive immune system via depletion of naturally occurring regulatory CD4+CD25+ cells. Journal of Neurobiology, 66(6), 552–563. http://doi.org/10.1002/neu.20249</t>
  </si>
  <si>
    <t>Cohen, H., Matar, M. A., Buskila, D., Kaplan, Z., &amp; Zohar, J. (2008). Early post-stressor intervention with high-dose corticosterone attenuates posttraumatic stress response in an animal model of posttraumatic stress disorder. Biological Psychiatry, 64(8), 708–717. http://doi.org/10.1016/j.biopsych.2008.05.025</t>
  </si>
  <si>
    <t>Cohen, H., Liu, T., Kozlovsky, N., Kaplan, Z., Zohar, J., &amp; Mathe, A. A. (2012). The neuropeptide Y (NPY)-ergic system is associated with behavioral resilience to stress exposure in an animal model of post-traumatic stress disorder. Neuropsychopharmacology : Official Publication of the American College of Neuropsychopharmacology, 37(2), 350–363. http://doi.org/10.1038/npp.2011.230</t>
  </si>
  <si>
    <t>Cohen, H., Liberzon, I., &amp; Richter-Levin, G. (2009). Exposure to extreme stress impairs contextual odour discrimination in an animal model of PTSD. The International Journal of Neuropsychopharmacology / Official Scientific Journal of the Collegium Internationale Neuropsychopharmacologicum (CINP), 12(3), 291–303. http://doi.org/10.1017/S146114570800919X</t>
  </si>
  <si>
    <t>Cohen, H., Kozlovsky, N., Matar, M. A., Zohar, J., &amp; Kaplan, Z. (2014). Distinctive hippocampal and amygdalar cytoarchitectural changes underlie specific patterns of behavioral disruption following stress exposure in an animal model of PTSD. European Neuropsychopharmacology : The Journal of the European College of Neuropsychopharmacology, 24(12), 1925–1944. http://doi.org/10.1016/j.euroneuro.2014.09.009</t>
  </si>
  <si>
    <t>Cohen, H., Kaplan, Z., Koresh, O., Matar, M. A., Geva, A. B., &amp; Zohar, J. (2011). Early post-stressor intervention with propranolol is ineffective in preventing posttraumatic stress responses in an animal model for PTSD. European Neuropsychopharmacology : The Journal of the European College of Neuropsychopharmacology, 21(3), 230–240. http://doi.org/10.1016/j.euroneuro.2010.11.011</t>
  </si>
  <si>
    <t>Cohen, H., Kaplan, Z., Kozlovsky, N., Gidron, Y., Matar, M. A., &amp; Zohar, J. (2010). Hippocampal microinfusion of oxytocin attenuates the behavioural response to stress by means of dynamic interplay with the glucocorticoid-catecholamine responses. Journal of Neuroendocrinology, 22(8), 889–904. http://doi.org/10.1111/j.1365-2826.2010.02003.x</t>
  </si>
  <si>
    <t>Chuang, J.-C., Perello, M., Sakata, I., Osborne-Lawrence, S., Savitt, J. M., Lutter, M., &amp; Zigman, J. M. (2011). Ghrelin mediates stress-induced food-reward behavior in mice. The Journal of Clinical Investigation, 121(7), 2684–2692. http://doi.org/10.1172/JCI57660</t>
  </si>
  <si>
    <t>Chourbaji, S., Vogt, M. A., &amp; Gass, P. (2008). Mice that under- or overexpress glucocorticoid receptors as models for depression or posttraumatic stress disorder. Progress in Brain Research, 167, 65–77. http://doi.org/10.1016/S0079-6123(07)67005-8</t>
  </si>
  <si>
    <t>Chester, J. A., Kirchhoff, A. M., &amp; Barrenha, G. D. (2014). Relation between corticosterone and fear-related behavior in mice selectively bred for high or low alcohol preference. Addiction Biology, 19(4), 663–675. http://doi.org/10.1111/adb.12034</t>
  </si>
  <si>
    <t>Chen, L., Shen, B., Liu, D., &amp; Li, S. (2014). The effects of early-life predator stress on anxiety- and depression-like behaviors of adult rats. Neural Plasticity, 2014, 163908. http://doi.org/10.1155/2014/163908</t>
  </si>
  <si>
    <t>Chen, C., Ji, M., Xu, Q., Zhang, Y., Sun, Q., Liu, J., … Li, W. (2015). Sevoflurane attenuates stress-enhanced fear learning by regulating hippocampal BDNF expression and Akt/GSK-3beta signaling pathway in a rat model of post-traumatic stress disorder. Journal of Anesthesia, 29(4), 600–608. http://doi.org/10.1007/s00540-014-1964-x</t>
  </si>
  <si>
    <t>Campos, A. C., Ferreira, F. R., da Silva, W. A. J., &amp; Guimaraes, F. S. (2013). Predator threat stress promotes long lasting anxiety-like behaviors and modulates synaptophysin and CB1 receptors expression in brain areas associated with PTSD symptoms. Neuroscience Letters, 533, 34–38. http://doi.org/10.1016/j.neulet.2012.11.016</t>
  </si>
  <si>
    <t>Cai, W.-H., Blundell, J., Han, J., Greene, R. W., &amp; Powell, C. M. (2006). Postreactivation glucocorticoids impair recall of established fear memory. The Journal of Neuroscience : The Official Journal of the Society for Neuroscience, 26(37), 9560–9566. http://doi.org/10.1523/JNEUROSCI.2397-06.2006</t>
  </si>
  <si>
    <t>Cacciaglia, R., Krause-Utz, A., Vogt, M. A., Schmahl, C., Flor, H., &amp; Gass, P. (2013). Voluntary exercise does not ameliorate context memory and hyperarousal in a mouse model for post-traumatic stress disorder (PTSD). The World Journal of Biological Psychiatry : The Official Journal of the World Federation of Societies of Biological Psychiatry, 14(5), 403–409. http://doi.org/10.3109/15622975.2011.583270</t>
  </si>
  <si>
    <t>Burgdorf, J., Kroes, R. A., Zhang, X., Gross, A. L., Schmidt, M., Weiss, C., … Moskal, J. R. (2015). Rapastinel (GLYX-13) has therapeutic potential for the treatment of post-traumatic stress disorder: Characterization of a NMDA receptor-mediated metaplasticity process in the medial prefrontal cortex of rats. Behavioural Brain Research, 294, 177–185. http://doi.org/10.1016/j.bbr.2015.07.039</t>
  </si>
  <si>
    <t>Brydges, N. M., Wood, E. R., Holmes, M. C., &amp; Hall, J. (2014). Prepubertal stress and hippocampal function: sex-specific effects. Hippocampus, 24(6), 684–692. http://doi.org/10.1002/hipo.22259</t>
  </si>
  <si>
    <t>Bruijnzeel, A. W., Stam, R., Croiset, G., &amp; Wiegant, V. M. (2001). Long-term sensitization of cardiovascular stress responses after a single stressful experience. Physiology &amp; Behavior, 73(1–2), 81–86.</t>
  </si>
  <si>
    <t>Brennan, F. X., Beck, K. D., &amp; Servatius, R. J. (2006). Predator odor exposure facilitates acquisition of a leverpress avoidance response in rats. Neuropsychiatric Disease and Treatment, 2(1), 65–69.</t>
  </si>
  <si>
    <t>Brennan, F. X., Beck, K. D., Ross, R. J., &amp; Servatius, R. J. (2005). Stress-induced increases in avoidance responding: an animal model of post-traumatic stress disorder behavior? Neuropsychiatric Disease and Treatment, 1(1), 69–72.</t>
  </si>
  <si>
    <t>Brachman, R. A., McGowan, J. C., Perusini, J. N., Lim, S. C., Pham, T. H., Faye, C., … Denny, C. A. (2016). Ketamine as a Prophylactic Against Stress-Induced Depressive-like Behavior. Biological Psychiatry, 79(9), 776–786. http://doi.org/10.1016/j.biopsych.2015.04.022</t>
  </si>
  <si>
    <t>Bollen, E., Vanmierlo, T., Akkerman, S., Wouters, C., Steinbusch, H. M. W., &amp; Prickaerts, J. (2013). 7,8-Dihydroxyflavone improves memory consolidation processes in rats and mice. Behavioural Brain Research, 257, 8–12. http://doi.org/10.1016/j.bbr.2013.09.029</t>
  </si>
  <si>
    <t>Bocchio, M., Fucsina, G., Oikonomidis, L., McHugh, S. B., Bannerman, D. M., Sharp, T., &amp; Capogna, M. (2015). Increased Serotonin Transporter Expression Reduces Fear and Recruitment of Parvalbumin Interneurons of the Amygdala. Neuropsychopharmacology : Official Publication of the American College of Neuropsychopharmacology, 40(13), 3015–3026. http://doi.org/10.1038/npp.2015.157</t>
  </si>
  <si>
    <t>Bespalov, A. Y., van Gaalen, M. M., &amp; Gross, G. (2010). Antidepressant treatment in anxiety disorders. Current Topics in Behavioral Neurosciences, 2, 361–390.</t>
  </si>
  <si>
    <t>Berardi, A., Trezza, V., Palmery, M., Trabace, L., Cuomo, V., &amp; Campolongo, P. (2014). An updated animal model capturing both the cognitive and emotional features of post-traumatic stress disorder (PTSD). Frontiers in Behavioral Neuroscience, 8, 142. http://doi.org/10.3389/fnbeh.2014.00142</t>
  </si>
  <si>
    <t>Bentefour, Y., Bennis, M., Garcia, R., &amp; M’hamed, S. B. (2015). Effects of paroxetine on PTSD-like symptoms in mice. Psychopharmacology, 232(13), 2303–2312. http://doi.org/10.1007/s00213-014-3861-2</t>
  </si>
  <si>
    <t>Barsy, B., Mikics, E., Barsvari, B., &amp; Haller, J. (2011). The long-term impact of footshock stress on addiction-related behaviors in rats. Neuropharmacology, 60(2–3), 267–273. http://doi.org/10.1016/j.neuropharm.2010.09.009</t>
  </si>
  <si>
    <t>Bali, A., &amp; Jaggi, A. S. (2015). Electric foot shock stress: a useful tool in neuropsychiatric studies. Reviews in the Neurosciences, 26(6), 655–677. http://doi.org/10.1515/revneuro-2015-0015</t>
  </si>
  <si>
    <t>Baisley, S. K., Cloninger, C. L., &amp; Bakshi, V. P. (2011). Fos expression following regimens of predator stress versus footshock that differentially affect prepulse inhibition in rats. Physiology &amp; Behavior, 104(5), 796–803. http://doi.org/10.1016/j.physbeh.2011.08.001</t>
  </si>
  <si>
    <t>Aykac, A., Aydin, B., Cabadak, H., &amp; Goren, M. Z. (2012). The change in muscarinic receptor subtypes in different brain regions of rats treated with fluoxetine or propranolol in a model of post-traumatic stress disorder. Behavioural Brain Research, 232(1), 124–129. http://doi.org/10.1016/j.bbr.2012.04.002</t>
  </si>
  <si>
    <t>Adamec, R., Strasser, K., Blundell, J., Burton, P., &amp; McKay, D. W. (2006). Protein synthesis and the mechanisms of lasting change in anxiety induced by severe stress. Behavioural Brain Research, 167(2), 270–286. http://doi.org/10.1016/j.bbr.2005.09.019</t>
  </si>
  <si>
    <t>Adamec, R., Fougere, D., &amp; Risbrough, V. (2010). CRF receptor blockade prevents initiation and consolidation of stress effects on  affect in the predator stress model of PTSD. The International Journal of Neuropsychopharmacology / Official Scientific Journal of the Collegium Internationale Neuropsychopharmacologicum (CINP), 13(6), 747–757. http://doi.org/10.1017/S1461145709990496</t>
  </si>
  <si>
    <t>Adamec, R., Burton, P., Blundell, J., Murphy, D. L., &amp; Holmes, A. (2006). Vulnerability to mild predator stress in serotonin transporter knockout mice. Behavioural Brain Research, 170(1), 126–140. http://doi.org/10.1016/j.bbr.2006.02.012</t>
  </si>
  <si>
    <t>Animals</t>
  </si>
  <si>
    <t>Dark/light</t>
  </si>
  <si>
    <t>dark</t>
  </si>
  <si>
    <t>Gender</t>
  </si>
  <si>
    <t>FPS</t>
  </si>
  <si>
    <t>anxiety task, no cognitive task..</t>
  </si>
  <si>
    <t>mice Wild type (WT, C57 background), heterozygous (SERT +/-, HET) mice and homozygous knockout (SERT -/-, KO)</t>
  </si>
  <si>
    <t xml:space="preserve"> C57BL6 mice + selective CRF1 antagonist </t>
  </si>
  <si>
    <t>rats</t>
  </si>
  <si>
    <t>EPM</t>
  </si>
  <si>
    <t>light&amp;dark</t>
  </si>
  <si>
    <t>Sprague-Dawley rats</t>
  </si>
  <si>
    <t>hippocampus amygdala PFC, muscarinic receptors</t>
  </si>
  <si>
    <t>freezing</t>
  </si>
  <si>
    <t xml:space="preserve">Prepuls inhibition </t>
  </si>
  <si>
    <t>cfos; prelimbic, infralimbic, and cingulate cortices, the paraventricular hypothalamic nucleus, the paraventricular thalamic nucleus, and the lateral periaqueductal gray</t>
  </si>
  <si>
    <t>only brain measures, no task</t>
  </si>
  <si>
    <t>review over het footschok al model voor verschillende psychatrische stoornissen</t>
  </si>
  <si>
    <t>body temperature</t>
  </si>
  <si>
    <t>mice</t>
  </si>
  <si>
    <t>avoidance &amp; contextual fear: EPM</t>
  </si>
  <si>
    <t>EPM &amp; contextual memory</t>
  </si>
  <si>
    <t>animal model for anxiety &amp; cognitive aspects of PTSD</t>
  </si>
  <si>
    <t>Negative Valence - Acute Threat (fear)</t>
  </si>
  <si>
    <t>Cognitive sytem - Attention</t>
  </si>
  <si>
    <t>Cognitive sytem - Perception</t>
  </si>
  <si>
    <t>Arousal &amp; Regulatory systems - arousal</t>
  </si>
  <si>
    <t>Cognitive system - WM / interference control</t>
  </si>
  <si>
    <t>Cognitive system - Declarative Memory</t>
  </si>
  <si>
    <t>Cognitive system - Declarative Memory &amp; Cognitive Controle</t>
  </si>
  <si>
    <t>Cognitive sytem - Attention &amp; WM</t>
  </si>
  <si>
    <t>Positive Valence Systems - Reward learning</t>
  </si>
  <si>
    <t>Cognitive sytem - Attention / WM / Cognitive controle</t>
  </si>
  <si>
    <t>Cognitive sytem - WM</t>
  </si>
  <si>
    <t>Cognitive system - Declarative Memory &amp; WM</t>
  </si>
  <si>
    <t>Cognitive system - Declarative Memory &amp; Attention &amp; Cognitive controle</t>
  </si>
  <si>
    <t>Go/No-go task,</t>
  </si>
  <si>
    <t>modified Stroop procedure (MSP), a standard Stroop procedure, a recognition memory task, and a threat rating task.</t>
  </si>
  <si>
    <t>Cognitive system - Attention</t>
  </si>
  <si>
    <t>Cognitive system - WM</t>
  </si>
  <si>
    <t>test of Memory Malingering (TOMM)</t>
  </si>
  <si>
    <t>Cognitive system - Declarative Memory &amp; Cognitive Controle - Goal selection</t>
  </si>
  <si>
    <t>Cognitive system - Perception Auditory</t>
  </si>
  <si>
    <t>Negative Valence - Potential Threat (anxiety)</t>
  </si>
  <si>
    <t>Cognitive system - Cognitive controle - Response selection,performance monitoring</t>
  </si>
  <si>
    <t>Social Processes - Social Communication - Reception of facial communication</t>
  </si>
  <si>
    <t>Cognitive system - Declarative memory &amp; Cognitive controle - Response selection,performance monitoring</t>
  </si>
  <si>
    <t>Cognitive system - Cognitive controle - Goal selection; updating; represenation and maintenance</t>
  </si>
  <si>
    <t>Cognitive system - WM &amp; attention</t>
  </si>
  <si>
    <t>Cognitive system - Declarative Memory &amp; WM - interference controle</t>
  </si>
  <si>
    <t>Negative Valence - Potential Threat (anxiety) &amp; Acute Threat (fear)</t>
  </si>
  <si>
    <t>Negative Valence - Potential Threat (anxiety) &amp; Acute Threat (fear) &amp; Arousal</t>
  </si>
  <si>
    <t>Negative Valence - Potential Threat (anxiety) &amp; Arousal</t>
  </si>
  <si>
    <t>Cognitive system - Declarative Memory &amp; Attention</t>
  </si>
  <si>
    <t>Cognitive system - Declarative Memory &amp; Attention &amp; Perception</t>
  </si>
  <si>
    <t>Veterans PTSD</t>
  </si>
  <si>
    <t>Cognitive system - Declarative Memory &amp; Attention &amp; Cognitive controle - goal selection</t>
  </si>
  <si>
    <t>Cognitive system - Declarative Memory &amp; Attention &amp; Cognitive controle - goal selection &amp; WM</t>
  </si>
  <si>
    <t>Negative Valence - Sustained Threat</t>
  </si>
  <si>
    <t>memory imagery</t>
  </si>
  <si>
    <t>emotional imagery</t>
  </si>
  <si>
    <t>Cognitive system - Declarative Memory &amp; Cognitive controle - goal selection &amp; WM</t>
  </si>
  <si>
    <t>Cognitive system - Attention &amp; Cognitive controle - Goal selection; updating; represenation and maintenance</t>
  </si>
  <si>
    <t>visual attention &amp; task switching</t>
  </si>
  <si>
    <t>Negative Valence - Sustained Threat &amp; Positive Valence - Reward Learning</t>
  </si>
  <si>
    <t>Cognitive system - Declarative Memory &amp; Attention &amp; WM</t>
  </si>
  <si>
    <t>problem solving/project bias?</t>
  </si>
  <si>
    <t>problem solving? Projection bias</t>
  </si>
  <si>
    <t>Rey Auditory Verbal Learning Test (RAVLT) and Color-Word Interference Test (CWIT)</t>
  </si>
  <si>
    <t>Cognitive system - Declarative Memory &amp; Negative Valence System?</t>
  </si>
  <si>
    <t>Cognitive sytem - Perception - Visual &amp; …?</t>
  </si>
  <si>
    <t>executive function, memory, and motor function</t>
  </si>
  <si>
    <t>Cognitive system - Declarative Memory &amp; …?</t>
  </si>
  <si>
    <t>Cognitive system - Cognitive controle - Response selection, inhibition</t>
  </si>
  <si>
    <t>crh antagonist in PTSD clinical trial</t>
  </si>
  <si>
    <t>mtbi, ptsd, blast exposure veterans</t>
  </si>
  <si>
    <t>female ptsd veterans</t>
  </si>
  <si>
    <t>Cognitive system - Declarative Memory &amp; Attention &amp; Cognitive controle &amp; WM</t>
  </si>
  <si>
    <t>Cognitive system - Declarative Memory &amp; Cognitive controle</t>
  </si>
  <si>
    <t>Cognitive system - WM &amp; Cognitive controle</t>
  </si>
  <si>
    <t>review cog aspect in onderzoek naar antidepressiva treatment voor anxiety disorders. Wil interessant als 'voorbeeld'?</t>
  </si>
  <si>
    <t>5-HTTOE mice</t>
  </si>
  <si>
    <t>cFos; PV expressing interneurons in BLA &amp; patchclamp</t>
  </si>
  <si>
    <t>No cognitive task</t>
  </si>
  <si>
    <t>BDNF</t>
  </si>
  <si>
    <t>No Stressor, no PTSD model</t>
  </si>
  <si>
    <t>leverpress escape/avoidance conditioning</t>
  </si>
  <si>
    <t>avoidance &amp; anxiety</t>
  </si>
  <si>
    <t>Negative Valence - Acute Threat (fear) &amp; Potential Threat (anxiety) &amp; Sustained Threat</t>
  </si>
  <si>
    <t>restrained for 2 hours and exposed to trimethylthiazoline (TMT), a component of fox feces, restrained only, or served as home cage controls</t>
  </si>
  <si>
    <t>CORT</t>
  </si>
  <si>
    <t>novel cylinder (Day 14); shock prod acquisition test (Day 15); and shock prod retention test (Day 16)</t>
  </si>
  <si>
    <t>HR, BP</t>
  </si>
  <si>
    <t>Negative Valence - Acute Threat (fear) &amp; Sustained Threat</t>
  </si>
  <si>
    <t>hippocampus</t>
  </si>
  <si>
    <t>(spatial) memory</t>
  </si>
  <si>
    <t>(spatial) memory &amp; contextual fear</t>
  </si>
  <si>
    <t>Cognitive system - Declarative Memory &amp; Negative Valence - Potential Threat (anxiety)</t>
  </si>
  <si>
    <t>chronic mild unpredictable stress (CUS)</t>
  </si>
  <si>
    <t>Contextual fear extinction (CFE) [ depression: Porsolt, sucrose preference, and novelty-induced hypophagia tests,]; MPFC-dependent positive emotional learning paradigm</t>
  </si>
  <si>
    <t>mPFC LTP electrophysiology</t>
  </si>
  <si>
    <t>contextual fear memory</t>
  </si>
  <si>
    <t>C57BL/6NCrl mice</t>
  </si>
  <si>
    <t>effect van running (physical exercise)</t>
  </si>
  <si>
    <t>context memory &amp; hyperarousal &amp; anxiety</t>
  </si>
  <si>
    <t>Cognitive system - Declarative Memory &amp; Negative Valence - Potential Threat (anxiety) &amp; Acute Threat (fear)</t>
  </si>
  <si>
    <t>rodent model</t>
  </si>
  <si>
    <t>effect van CORT</t>
  </si>
  <si>
    <t>contextual fear conditioning</t>
  </si>
  <si>
    <t>cannabinoid receptor 1 expression in mPFC, amygdala &amp; hippocampus</t>
  </si>
  <si>
    <t>wistar rats</t>
  </si>
  <si>
    <t>stress-enhanced fear learning / contextual fear conditioning</t>
  </si>
  <si>
    <t>hippocampal BDNF &amp; akt/gsk-3beta</t>
  </si>
  <si>
    <t>Negative Valence - Potential Threat (anxiety) &amp; Acute Threat (fear) Sustained Threat (avoidance) &amp; Arousal</t>
  </si>
  <si>
    <t>depression &amp; anxiety like behavior</t>
  </si>
  <si>
    <t>wistar rats &amp; wistar kyoto (WKY) = genetic depression model</t>
  </si>
  <si>
    <t>HAP &amp; LAP rats [genetic risk model for ptsd &amp; alcohol abuse]</t>
  </si>
  <si>
    <t>CORT &amp; FPS</t>
  </si>
  <si>
    <t>Cognitive Measure</t>
  </si>
  <si>
    <t>review animal models under/over expression GR's, as model for depression / ptsd</t>
  </si>
  <si>
    <t>conditioned place preference (CPP) task</t>
  </si>
  <si>
    <t>food reward processing</t>
  </si>
  <si>
    <t>chronic social defeat stress (CSDS), a model of prolonged psychosocial stress, featuring aspects of major depression and posttraumatic stress disorder.</t>
  </si>
  <si>
    <t>ghrelin</t>
  </si>
  <si>
    <t>catecholaminergic neurons</t>
  </si>
  <si>
    <t>Positive Valence Systems - Reward Learning</t>
  </si>
  <si>
    <t>hippocampal MR GR; oxy mRNA</t>
  </si>
  <si>
    <t>startle &amp; freezing; circulating cort/ oxytocin</t>
  </si>
  <si>
    <t>behavioral response to stress</t>
  </si>
  <si>
    <t>EPM &amp; ASR</t>
  </si>
  <si>
    <t>effect propranolol</t>
  </si>
  <si>
    <t>EPM &amp; ASR; object recognition task</t>
  </si>
  <si>
    <t>Cognitive system - Declarative Memory &amp; Arousal</t>
  </si>
  <si>
    <t>ASR; freezing; HR</t>
  </si>
  <si>
    <t>non-spatial memory</t>
  </si>
  <si>
    <t>Neurons from CA1, CA3, and dentate gyrus subregions and basolateral amygdala were reconstructed and subjected to Sholl analysis and spine density estimation. Glucocorticoid receptor, brain-derived neurotrophic factor, phospho-NR1-Ser-889, phospho-GluR1-Ser-845, phospho-calcium/calmodulin dependent protein kinase II-Thy-286, post-synaptic density protein 95 and phospho-CREB-Ser-133 were evaluated in the hippocampus</t>
  </si>
  <si>
    <t>only brain measures &amp; 'symptoms'</t>
  </si>
  <si>
    <t>anxiety, brain measures</t>
  </si>
  <si>
    <t>differential contextual odour conditioning (DCOC) paradigm</t>
  </si>
  <si>
    <t>contextual learning</t>
  </si>
  <si>
    <t>NPY</t>
  </si>
  <si>
    <t>no cognitive task, only anxiety</t>
  </si>
  <si>
    <t>startle &amp; freezing</t>
  </si>
  <si>
    <t>cort injections</t>
  </si>
  <si>
    <t>startle &amp; avoidance</t>
  </si>
  <si>
    <t>Negative Valence -  Sustained Threat &amp; arousal</t>
  </si>
  <si>
    <t>t-cell deficient mice &amp; WT</t>
  </si>
  <si>
    <t>CNS antigens</t>
  </si>
  <si>
    <t>avoidance behavior</t>
  </si>
  <si>
    <t>maze learning?</t>
  </si>
  <si>
    <t>raw UFC data-analyses from previous studies.; mogelijk toch relevant voor review.. Intro?</t>
  </si>
  <si>
    <t>freezing, startle, HR</t>
  </si>
  <si>
    <t>mifepristone &amp; epinephrine administration</t>
  </si>
  <si>
    <t>GR experssion hipp. ; dendritic length</t>
  </si>
  <si>
    <t>fear sensitization &amp; extinction</t>
  </si>
  <si>
    <t>VTA &amp; dopamine antagonist</t>
  </si>
  <si>
    <t>anxiety-like, nociception, and touch-sensitivity tests</t>
  </si>
  <si>
    <t>high drinking in the dark mouse line</t>
  </si>
  <si>
    <t>minireview sekse verschillen in depressie models</t>
  </si>
  <si>
    <t>wistar rats &amp; wistar kyoto (WKY) = stress sensitive model</t>
  </si>
  <si>
    <t>no cognitive task?</t>
  </si>
  <si>
    <t>REM sleep &amp; fearlearning?</t>
  </si>
  <si>
    <t>Negative Valence - Acute Threat (fear) &amp; Arousal</t>
  </si>
  <si>
    <t>wistar rats na maternal separation</t>
  </si>
  <si>
    <t>ELS</t>
  </si>
  <si>
    <t>oxitative stress in hippocampus</t>
  </si>
  <si>
    <t>mouse</t>
  </si>
  <si>
    <t>fear conditioning &amp; brain response</t>
  </si>
  <si>
    <t>in vivo imaging, DTI; amygdala &amp; hipp</t>
  </si>
  <si>
    <t>Notes:</t>
  </si>
  <si>
    <t>Fear conditioning studies</t>
  </si>
  <si>
    <t>Check full tekst</t>
  </si>
  <si>
    <t>Animal studies</t>
  </si>
  <si>
    <t>high-performance liquid chromatography, western blot &amp; immunohistochemistry, glutamate CSF</t>
  </si>
  <si>
    <t>behavioral abnormalities?</t>
  </si>
  <si>
    <t>wat voor behavioral abnormalities?</t>
  </si>
  <si>
    <t>artifical intellegence model</t>
  </si>
  <si>
    <t>cognitive flexibility and coping behavior</t>
  </si>
  <si>
    <t>attentional set-shifting test or shock-probe defensive burying test</t>
  </si>
  <si>
    <t>phosphorylation of ribosomal protein S6 in the medial prefrontal cortex (mPFC)</t>
  </si>
  <si>
    <t>cognitive set-shifting and active coping behavior; mechanisms of exposure therapy; injection with anisomycin</t>
  </si>
  <si>
    <t>individual differences in extinction learning</t>
  </si>
  <si>
    <t>signaled active avoidance (AA) training</t>
  </si>
  <si>
    <t>rats are trained to prevent an aversive outcome (shock) by performing a learned instrumental behavior (shuttling between chambers) during the presentation of a conditioned threat cue (tone)</t>
  </si>
  <si>
    <t>avoidance &amp; fear</t>
  </si>
  <si>
    <t>ASR; HPA;</t>
  </si>
  <si>
    <t>inhibitory avoidance (IA) conditioning and extinction, &amp; anxiety</t>
  </si>
  <si>
    <t>avoidance, conditioning &amp; extingction; anxiety</t>
  </si>
  <si>
    <t>emotion, cognitive behavior,</t>
  </si>
  <si>
    <t>brain morphology, apoptosis, and balance of gamma-aminobutyric acid (GABA) and glutamate in the hippocampus and prefrontal cortex</t>
  </si>
  <si>
    <t>body weight and plasma corticosterone concentrations) &amp; freezing</t>
  </si>
  <si>
    <t>2 h restraint and 20 min forced swim followed by halothane anesthesia on day 2 (D-2)</t>
  </si>
  <si>
    <t>depressive-like symptom (increase in immobility period) in forced swim, anxiety-like behavior (decrease in percentage of open arm entries and time spent) in elevated plus maze and cognitive deficits (loss in spatial recognition memory) in Y-maze tests</t>
  </si>
  <si>
    <t>exploratory behavior &amp; anxiety</t>
  </si>
  <si>
    <t>effect inflamatie colonic; no cognitive task</t>
  </si>
  <si>
    <t>forced swim &amp; tail immersion</t>
  </si>
  <si>
    <t>electrophysiology in LC &amp; mRBA experssion</t>
  </si>
  <si>
    <t>reversal learning and strategy set-shifting</t>
  </si>
  <si>
    <t>cognitive flexibility</t>
  </si>
  <si>
    <t>mPFC DA &amp; 5-HT</t>
  </si>
  <si>
    <t>FC?</t>
  </si>
  <si>
    <t>serum cort; freezing</t>
  </si>
  <si>
    <t>Lewis Rats</t>
  </si>
  <si>
    <t>individual differences in fearconditioning, avoidance &amp; risk</t>
  </si>
  <si>
    <t>WT mice</t>
  </si>
  <si>
    <t>HR &amp; HRV</t>
  </si>
  <si>
    <t>novelty exposure, fear conditioning</t>
  </si>
  <si>
    <t>geen ptsd model?</t>
  </si>
  <si>
    <t>memory &amp; fear learning</t>
  </si>
  <si>
    <t>shock context exposure: freezing &amp; openfield: exploration</t>
  </si>
  <si>
    <t>(context) fear learning &amp; exploration</t>
  </si>
  <si>
    <t>spine density mPFC</t>
  </si>
  <si>
    <t>partition test; sensory cues agressor</t>
  </si>
  <si>
    <t>prolonged grooming, freezing, retarded locomotion and no tail rattling</t>
  </si>
  <si>
    <t>no cog. Task, wel exposure to threat cues</t>
  </si>
  <si>
    <t>repeated trauma model</t>
  </si>
  <si>
    <t>5-HT receptor density hippocampus &amp; mPFC</t>
  </si>
  <si>
    <t>sensitistatie &amp; exposure based learning; context</t>
  </si>
  <si>
    <t>reexposure to shock environment</t>
  </si>
  <si>
    <t>CRF, NPY, glutamate receptores</t>
  </si>
  <si>
    <t>locomotor &amp; freezing</t>
  </si>
  <si>
    <t>qPCR NPY expression</t>
  </si>
  <si>
    <t>reexposure to shock environment, openfield</t>
  </si>
  <si>
    <t>context &amp; non-context learning</t>
  </si>
  <si>
    <t>MR GR hippocampus</t>
  </si>
  <si>
    <t>bullying, no ptsd. ?</t>
  </si>
  <si>
    <t>D1 amygdala &amp; PFC</t>
  </si>
  <si>
    <t>anxiety, locomotor, memory</t>
  </si>
  <si>
    <t>memory, anxiety, locomotor</t>
  </si>
  <si>
    <t>apoptose hippocampus, western blotting, qPCR</t>
  </si>
  <si>
    <t xml:space="preserve"> </t>
  </si>
  <si>
    <t>adenosine dericate administration</t>
  </si>
  <si>
    <t>ELS (neonatal isolation) &amp; PTSD</t>
  </si>
  <si>
    <t>anxiety &amp;memory</t>
  </si>
  <si>
    <t>contextual fear memory &amp; locomotor activity</t>
  </si>
  <si>
    <t>cDNA hippocampus mRNA</t>
  </si>
  <si>
    <t>reexposure &amp; novel object</t>
  </si>
  <si>
    <t>study on effect oxytocin administration &amp; social housing</t>
  </si>
  <si>
    <t>panic disorder model, no PTSD</t>
  </si>
  <si>
    <t>forced apnea + cold water vaporization in an inescapable situation</t>
  </si>
  <si>
    <t>extreme anxiety</t>
  </si>
  <si>
    <t>re-stress &amp; re-exposure to forced swim component of SPS; tests for anxiety &amp; cognitive impairment</t>
  </si>
  <si>
    <t>anxiety &amp; cognitive impaiment</t>
  </si>
  <si>
    <t>PKMzeta exp in hippocampus</t>
  </si>
  <si>
    <t>re-stress &amp; re-exposure to forced swim component of SPS; open field, forced swim, EPM</t>
  </si>
  <si>
    <t>only anxiety</t>
  </si>
  <si>
    <t>unstable EPM</t>
  </si>
  <si>
    <t>anxiety model, no ptsd, no cognitive task</t>
  </si>
  <si>
    <t>cutoff behavioral model ptsd</t>
  </si>
  <si>
    <t>dexamethason suppression test; freezing</t>
  </si>
  <si>
    <t xml:space="preserve">anxiety </t>
  </si>
  <si>
    <t>acute stress, no ptsd model, no cognitive task</t>
  </si>
  <si>
    <t>no ptsd model, no cognitive task. Fearconditioning after amygdala kindeling</t>
  </si>
  <si>
    <t>congenital learned helpless (cLH)</t>
  </si>
  <si>
    <t>pain tolerance, spatial memory, HPA</t>
  </si>
  <si>
    <t>HPA</t>
  </si>
  <si>
    <t>reexposure to intermittent stress met en zonder situational cues</t>
  </si>
  <si>
    <t>active acoidance/escapes</t>
  </si>
  <si>
    <t>Negative Valence -  Sustained Threat</t>
  </si>
  <si>
    <t>immediate early gene expression Arc</t>
  </si>
  <si>
    <t>hpa</t>
  </si>
  <si>
    <t>galanin mRNA levels hippocampus &amp; PFC</t>
  </si>
  <si>
    <t>cort</t>
  </si>
  <si>
    <t>EPM &amp; ASR; trauma cue response</t>
  </si>
  <si>
    <t>EPM, Y-maze test</t>
  </si>
  <si>
    <t xml:space="preserve">MR GR hippocampus, amygdala, </t>
  </si>
  <si>
    <t>plasma cort</t>
  </si>
  <si>
    <t>mice laking essential subunit APC2;</t>
  </si>
  <si>
    <t xml:space="preserve"> geen ptsd model? Wordt alzheimer model genoemd</t>
  </si>
  <si>
    <t>review. theoretical model memories in ptsd</t>
  </si>
  <si>
    <t>mas knockout mice (MasKO)</t>
  </si>
  <si>
    <t>Cognitive system - Cognitive controle - Goal selection; &amp; Negative Valence - Potential Threat (anxiety)</t>
  </si>
  <si>
    <t>NPY hypothalamic, LC tyrosine hydroxylase, BDNF mRNA in hippocampus</t>
  </si>
  <si>
    <t>cognitive task?</t>
  </si>
  <si>
    <t>anxiety &amp; risk assessment? (gemeten in EPM)</t>
  </si>
  <si>
    <t>C57B1/6 mice</t>
  </si>
  <si>
    <t>positively reinforeced operant behavior</t>
  </si>
  <si>
    <t>early adolescent rats</t>
  </si>
  <si>
    <t>cort levels</t>
  </si>
  <si>
    <t>memory &amp; anxiety</t>
  </si>
  <si>
    <t>anxiety-like behavior, exploration behavior, and spatial memory</t>
  </si>
  <si>
    <t>Endoplasmic reticulum stress (ERS) in mPFC &amp; neuronal apoptose</t>
  </si>
  <si>
    <t>anxiety &amp; fear learning</t>
  </si>
  <si>
    <t>hippocampal nicotinamide adenosine dinucleotide phosphate (NADPH) oxidase 2 (NOX2) and parvalbumin (PV) interneurons</t>
  </si>
  <si>
    <t>extinction</t>
  </si>
  <si>
    <t>fear learning &amp; extinction</t>
  </si>
  <si>
    <t>contextual fear memory?</t>
  </si>
  <si>
    <t>reexposure to IS context; learned helplessness</t>
  </si>
  <si>
    <t>freezing to trauma-cue</t>
  </si>
  <si>
    <t>freezing, startle; cort</t>
  </si>
  <si>
    <t>EPM &amp; ASR &amp; MWM</t>
  </si>
  <si>
    <t>ANIMAL STUDY, WEL INCLUDEREN - ook gevonden bij animal search</t>
  </si>
  <si>
    <t>FVB/J mice</t>
  </si>
  <si>
    <t>reexposure</t>
  </si>
  <si>
    <t>HR; BP; plasma epinephrine</t>
  </si>
  <si>
    <t>no cognitive task? ; rol van slaap in fear learning</t>
  </si>
  <si>
    <t>contextual fear memory &amp; locomotor activity &amp; anxiety</t>
  </si>
  <si>
    <t>cue reminders; novel object</t>
  </si>
  <si>
    <t>Cognitive system - Declarative Memory &amp; Negative Valence - Sustained Threat (avoidance)</t>
  </si>
  <si>
    <t>context reminder &amp; novel context</t>
  </si>
  <si>
    <t>fear sensitization &amp; extinction; context</t>
  </si>
  <si>
    <t>conditioned emotional response test (CER)</t>
  </si>
  <si>
    <t>anxiety</t>
  </si>
  <si>
    <t>Cognitive system - Declarative Memory &amp; Negative Valence - Potential Threat (anxiety) &amp; Arousal</t>
  </si>
  <si>
    <t>effect oxytocin</t>
  </si>
  <si>
    <t>model for ELS</t>
  </si>
  <si>
    <t>effect curcuma</t>
  </si>
  <si>
    <t>fear learning; short term memory, longterm memory</t>
  </si>
  <si>
    <t>Pavlovian fear memory; fear memory retrieval (reactivation) and postreactivation (PR)-STM are intact</t>
  </si>
  <si>
    <t>immediate early genes Arc/Arg3.1</t>
  </si>
  <si>
    <t>HAB &amp; LAB rats</t>
  </si>
  <si>
    <t>cfos amygdala IL cingulate cortices</t>
  </si>
  <si>
    <t>ptsd model?</t>
  </si>
  <si>
    <t>novel box</t>
  </si>
  <si>
    <t>rats, genetic susceptible</t>
  </si>
  <si>
    <t>hippocampus &amp; amygdala IEG</t>
  </si>
  <si>
    <t>tension &amp; sleep disturbances</t>
  </si>
  <si>
    <t>muscle tension</t>
  </si>
  <si>
    <t xml:space="preserve">reminder cues, locomotor activity, </t>
  </si>
  <si>
    <t xml:space="preserve">extinction </t>
  </si>
  <si>
    <t>effect v spironolactone &amp; dexametasone &amp; mifepristone</t>
  </si>
  <si>
    <t>stress-restress</t>
  </si>
  <si>
    <t>EPM &amp; forced swim</t>
  </si>
  <si>
    <t>depression like behavior &amp;  &amp; anxiety</t>
  </si>
  <si>
    <t>prenatally stressed rats</t>
  </si>
  <si>
    <t>HR; HRV; plasma corticosterone</t>
  </si>
  <si>
    <t>individual differences in learned helplessness</t>
  </si>
  <si>
    <t>passive avoidance training &amp; tailshock</t>
  </si>
  <si>
    <t>passive avoidance response</t>
  </si>
  <si>
    <t>Meer toegespits op depressie dan op ptsd?</t>
  </si>
  <si>
    <t>mPFC &amp; OFC recodings in freely moving rats</t>
  </si>
  <si>
    <t>flexible switches</t>
  </si>
  <si>
    <t>executive functioning &amp; flexible switching</t>
  </si>
  <si>
    <t>anciogenic treatment</t>
  </si>
  <si>
    <t>pharmacological anxiety induced.. Wordt niet gesproken over ptsd model</t>
  </si>
  <si>
    <t>ABA renewal, ABC renewal</t>
  </si>
  <si>
    <t>context specific relapse of fear &amp; brain measures</t>
  </si>
  <si>
    <t>electrophysiology</t>
  </si>
  <si>
    <t>no ptsd, no cog. Task?</t>
  </si>
  <si>
    <t>OF, light-dark, EPM, radial arm water maze test</t>
  </si>
  <si>
    <t>blood corticosterone</t>
  </si>
  <si>
    <t>anxiety, depression &amp; memory</t>
  </si>
  <si>
    <t>effect van exercise op memory</t>
  </si>
  <si>
    <t>trauma witness model (TWM) [modified social defeat stress model]</t>
  </si>
  <si>
    <t>blood</t>
  </si>
  <si>
    <t>memory, anxiety, depression</t>
  </si>
  <si>
    <t>depression-anxiety-like behavior and memory tests</t>
  </si>
  <si>
    <t>zebrafish</t>
  </si>
  <si>
    <t>Review zebrafish 'amygdala'</t>
  </si>
  <si>
    <t>swiss mice</t>
  </si>
  <si>
    <t>reminder object</t>
  </si>
  <si>
    <t>cognitive performance &amp; HPA</t>
  </si>
  <si>
    <t>effect CRF(1) receptor antagonist</t>
  </si>
  <si>
    <t>shift from visual cue learning</t>
  </si>
  <si>
    <t>place-to-cue set-shifting</t>
  </si>
  <si>
    <t>neuonal activation in mPFC &amp;Nac</t>
  </si>
  <si>
    <t>contextual fear memory &amp; fear extinction</t>
  </si>
  <si>
    <t>frontocortical en hippocampal GABAA expression</t>
  </si>
  <si>
    <t>same-sex intruder and anxiety-like behavior in an elevated plus maze; contextual fear</t>
  </si>
  <si>
    <t>contextual fear &amp; extinction</t>
  </si>
  <si>
    <t>HAP &amp; LAP mice</t>
  </si>
  <si>
    <t>effect LY2183240</t>
  </si>
  <si>
    <t>arousal alcohol intake, fear conditioning</t>
  </si>
  <si>
    <t>Cognitive system - Declarative Memory &amp; Negative Valence - Potential Threat (anxiety) &amp; arousal</t>
  </si>
  <si>
    <t>Drosophila melanogaster</t>
  </si>
  <si>
    <t>extinction/ aversive odor memory</t>
  </si>
  <si>
    <t>associative memory</t>
  </si>
  <si>
    <t>fear learning, maar geen ptsd model?</t>
  </si>
  <si>
    <t>SPS</t>
  </si>
  <si>
    <t>FC</t>
  </si>
  <si>
    <t>SI</t>
  </si>
  <si>
    <t>SI = Social isolation</t>
  </si>
  <si>
    <t>FC = Fear Conditioning</t>
  </si>
  <si>
    <t>SPS = Single prolonged stress</t>
  </si>
  <si>
    <t>SDS</t>
  </si>
  <si>
    <t>SDS = Social Defeat stress</t>
  </si>
  <si>
    <t>PS</t>
  </si>
  <si>
    <t>PS = Predator stress</t>
  </si>
  <si>
    <t>IFS = Inescapable FootShock</t>
  </si>
  <si>
    <t>IFS</t>
  </si>
  <si>
    <t>FC &amp; SPS</t>
  </si>
  <si>
    <t>IFS + reminders</t>
  </si>
  <si>
    <t>CFC</t>
  </si>
  <si>
    <t>CFC = Contextual Fear Conditioning</t>
  </si>
  <si>
    <t>RS = Restrained Stress</t>
  </si>
  <si>
    <t>RS+PS+IFS</t>
  </si>
  <si>
    <t>PS &amp; sleep deprivatie</t>
  </si>
  <si>
    <t>PS &amp; RS</t>
  </si>
  <si>
    <t>PS + behavioral cut-off model</t>
  </si>
  <si>
    <t>OF, CFC, EPM</t>
  </si>
  <si>
    <t>CFC = Contextual fear conditioning</t>
  </si>
  <si>
    <t>EPM = Elevated Plus Maze [anxiety]</t>
  </si>
  <si>
    <t>ORT</t>
  </si>
  <si>
    <t>MWM</t>
  </si>
  <si>
    <t>OLT = Object Location Test [Place/context memory]</t>
  </si>
  <si>
    <t>MWM = Morris Water Maze [spatial memory]</t>
  </si>
  <si>
    <t>ORT+OLT</t>
  </si>
  <si>
    <t>EPM+OF+MWM + hot-plate test</t>
  </si>
  <si>
    <t>OF</t>
  </si>
  <si>
    <t>OF+EPM; Y maze test</t>
  </si>
  <si>
    <t>hipp, amygdala, PFC</t>
  </si>
  <si>
    <t>SRs = Sitational Reminders</t>
  </si>
  <si>
    <t>SRs, OF, EPM, Staircase test (ST)</t>
  </si>
  <si>
    <t>Read!</t>
  </si>
  <si>
    <t>outbred Sprague-Daqley rats</t>
  </si>
  <si>
    <t>OF+EPM+novelty suppressed feeding (NSF)</t>
  </si>
  <si>
    <t>MWM - underwater trauma</t>
  </si>
  <si>
    <t>MWM (als SRs)</t>
  </si>
  <si>
    <t>myocardial functioning</t>
  </si>
  <si>
    <t>anxiety &amp; cardiac functioning, no cognitive model</t>
  </si>
  <si>
    <t>coping, anxiety, HPA</t>
  </si>
  <si>
    <t>Chronic plus Acute Prolonged Stress (CAPS)</t>
  </si>
  <si>
    <t>shock probe defensive burying, novelty suppressed feeding</t>
  </si>
  <si>
    <t>ACTH, CORT</t>
  </si>
  <si>
    <t>depressie model, no PTSD model</t>
  </si>
  <si>
    <t>internasal NPY</t>
  </si>
  <si>
    <t>EPM, FSw</t>
  </si>
  <si>
    <t>FSw = Forced Swim [depression]</t>
  </si>
  <si>
    <t>noradrenergic system HPA activation</t>
  </si>
  <si>
    <t>LC</t>
  </si>
  <si>
    <t>M+F</t>
  </si>
  <si>
    <t>FSh = FootShock</t>
  </si>
  <si>
    <t>FSh</t>
  </si>
  <si>
    <t>FC+chronic unpredictable stress (CUS)</t>
  </si>
  <si>
    <t>PS+FSh</t>
  </si>
  <si>
    <t>PS /FSh+SI</t>
  </si>
  <si>
    <t>FSh + reexposure</t>
  </si>
  <si>
    <t>Anxiety, Depression, No Cognitive task</t>
  </si>
  <si>
    <t>FC+Extinction</t>
  </si>
  <si>
    <t>exposure therapy</t>
  </si>
  <si>
    <t>D-cycloserine</t>
  </si>
  <si>
    <t>avoidance &amp; risk assessment</t>
  </si>
  <si>
    <t>amygdala &amp; hippocampus GluN1 protein expression</t>
  </si>
  <si>
    <t>Negative Valence - Potential Threat (anxiety) &amp; Sustained Threat (avoidance)</t>
  </si>
  <si>
    <t>avoidance</t>
  </si>
  <si>
    <t>rabbit</t>
  </si>
  <si>
    <t>emotion &amp; arousal</t>
  </si>
  <si>
    <t>No, cog task</t>
  </si>
  <si>
    <t>internasal HS014</t>
  </si>
  <si>
    <t>FSw+EPM</t>
  </si>
  <si>
    <t>tailshocks</t>
  </si>
  <si>
    <t>EPM, tailshock</t>
  </si>
  <si>
    <t>stress sensitizatie</t>
  </si>
  <si>
    <t>congenitally helpless rat strain</t>
  </si>
  <si>
    <t>LH = Learned Helplessness</t>
  </si>
  <si>
    <t>consumption of a 5% sucrose solution. Next, we assessed exploratory behavior and fearfulness in both a novel and familiar open field, and in a light-dark test. Finally, we assessed fear conditioning by exposing the animals to 4 tone-shock pairs on 1 day (acquisition) and then presenting 60 tones over the next 2 days (extinction).</t>
  </si>
  <si>
    <t>reward sensitivity; exploratory behavior; fear learning</t>
  </si>
  <si>
    <t>Positive Valence Systems - Reward Learning &amp; Negative Valence Systems - Sustained Threat</t>
  </si>
  <si>
    <t>LH [strain]</t>
  </si>
  <si>
    <t>C57BL/6N (B6N) and C57BL/6JOla (B6JOla) mice</t>
  </si>
  <si>
    <t>(non)associative memory</t>
  </si>
  <si>
    <t>SRs (Cue &amp; Context) ;conditioned response to contextual trauma reminders (associative fear), the sensitised reaction to a neutral tone in a novel environment (non-associative fear, hyperarousal), social interaction and various emotional behaviours using Modified Holeboard, Test for Novelty-Induced Suppression of Feeding and Forced Swimming Test, after different incubation times (1, 14, 28 days)</t>
  </si>
  <si>
    <t>young Charles Foster rats</t>
  </si>
  <si>
    <t>p-CPA injections</t>
  </si>
  <si>
    <t>EEG; EOG; EMG</t>
  </si>
  <si>
    <t>OF+EPM + sleep</t>
  </si>
  <si>
    <t>anxiety no cognition</t>
  </si>
  <si>
    <t>rabits</t>
  </si>
  <si>
    <t xml:space="preserve">fear susceptibility? </t>
  </si>
  <si>
    <t xml:space="preserve">antioxidant rich grape powder </t>
  </si>
  <si>
    <t>BDNF in amygdala</t>
  </si>
  <si>
    <t>short&amp;longterm memory tests?</t>
  </si>
  <si>
    <t>Environmental Enrichment</t>
  </si>
  <si>
    <t>PV interneurons</t>
  </si>
  <si>
    <t>OF, EPM, FC, MWM</t>
  </si>
  <si>
    <t>EPM &amp; ASR; non-spatial memory task &amp; locomotor activity</t>
  </si>
  <si>
    <t>spatial recognition memory, anxiety, depressive like behavior</t>
  </si>
  <si>
    <t>spatial memory</t>
  </si>
  <si>
    <t>contextual fear &amp; spatial memroy</t>
  </si>
  <si>
    <t>spatial memory &amp; anxiety</t>
  </si>
  <si>
    <t xml:space="preserve">CFC, MWM, </t>
  </si>
  <si>
    <t>paroxetine</t>
  </si>
  <si>
    <t>hippocampus autophage signaling</t>
  </si>
  <si>
    <t>EPM, OF</t>
  </si>
  <si>
    <t>numbing/avoidance (gekoppeld aan EPM en OF?)</t>
  </si>
  <si>
    <t>animal model of ptsd?'</t>
  </si>
  <si>
    <t>NA in pons</t>
  </si>
  <si>
    <t>selective M1 muscarinic receptor antagonist, pirenzepine</t>
  </si>
  <si>
    <t>anxiety?</t>
  </si>
  <si>
    <t>amphetamine injection</t>
  </si>
  <si>
    <t>SRs (odor context cues); EPM; ASR</t>
  </si>
  <si>
    <t>mice (ELS &amp; CRH overexp.)</t>
  </si>
  <si>
    <t>avoidance &amp; arousal</t>
  </si>
  <si>
    <t>cFos, hipp amygdala PFC hypothalamus, brainstem, periaqueductal gray</t>
  </si>
  <si>
    <t>Long-Evans Rats</t>
  </si>
  <si>
    <t>fear learning (context?)</t>
  </si>
  <si>
    <t>fear assocaited memory test &amp; REM sleep</t>
  </si>
  <si>
    <t>freezing; HR</t>
  </si>
  <si>
    <t>coping (avoidance), anxiety</t>
  </si>
  <si>
    <t>Wistar, Fischer 344, Lewis rats</t>
  </si>
  <si>
    <t>hyperactive and hypoactive bidirectional behavioral changes that are associated with hypervigilant and hyperarousal behavior, and the numbing and avoidant behavior</t>
  </si>
  <si>
    <t>mTBI ipv ptsd</t>
  </si>
  <si>
    <t xml:space="preserve">Locomotor behavior, motor performance, and short-term memory </t>
  </si>
  <si>
    <t>SPS&amp;S</t>
  </si>
  <si>
    <t>OF, EPM, PPI</t>
  </si>
  <si>
    <t>PPI = Prepulse Inhibition</t>
  </si>
  <si>
    <t>arousal anxiety</t>
  </si>
  <si>
    <t>LTP DG</t>
  </si>
  <si>
    <t>spatial learning task</t>
  </si>
  <si>
    <t>AD ipv PTSD</t>
  </si>
  <si>
    <t>SPS&amp;S(IFS)</t>
  </si>
  <si>
    <t>SSRI</t>
  </si>
  <si>
    <t>C57/B6 mice</t>
  </si>
  <si>
    <t>serum cort; CRH</t>
  </si>
  <si>
    <t>Ginsenoside Rg1</t>
  </si>
  <si>
    <t>imaging</t>
  </si>
  <si>
    <t>freezing &amp; REM</t>
  </si>
  <si>
    <t>contextual freezing &amp; sleep</t>
  </si>
  <si>
    <t>PS &amp; Social stress</t>
  </si>
  <si>
    <t>histone deacetylase inhibitors</t>
  </si>
  <si>
    <t>ROS = Reactive oxygen species</t>
  </si>
  <si>
    <t>blood oxydative stress</t>
  </si>
  <si>
    <t>ROS &amp; pro-inflammatory cytokins mRNA in hipp en PFC</t>
  </si>
  <si>
    <t>anxiety &amp; brain reactie</t>
  </si>
  <si>
    <t>methylene blue</t>
  </si>
  <si>
    <t>memory (fear), extinction context</t>
  </si>
  <si>
    <t>in vivo recording</t>
  </si>
  <si>
    <t>hippocampal NMDA rec. Exp</t>
  </si>
  <si>
    <t>bone response</t>
  </si>
  <si>
    <t>F?</t>
  </si>
  <si>
    <t>Calstabin2 knockout (KO) mice &amp; WT</t>
  </si>
  <si>
    <t>calstabin2 = FKBP12.6; niet echt een PTSD model… wel fear learning?</t>
  </si>
  <si>
    <t>cotinine, a tobacco-derived compound</t>
  </si>
  <si>
    <t>Two-month-old C57BL/6J mice</t>
  </si>
  <si>
    <t>xpression of extracellular signal-regulated kinase (ERK)1/2 were assessed after extinction in the hippocampus</t>
  </si>
  <si>
    <t>geen PTSD model? Alleen contextual fear learning?</t>
  </si>
  <si>
    <t>pregabalin, antiepileptic</t>
  </si>
  <si>
    <t>EPM &amp; ASR &amp; reexposure cue</t>
  </si>
  <si>
    <t>amitriptyline, clonidine, tianeptine or vehicle.</t>
  </si>
  <si>
    <t>HR,BP</t>
  </si>
  <si>
    <t>glucocorticoid</t>
  </si>
  <si>
    <t>Intervention?</t>
  </si>
  <si>
    <t>antidepressiva treatment</t>
  </si>
  <si>
    <t>Ketamine</t>
  </si>
  <si>
    <t>FSw &amp; dominant interaction test &amp; novelty suppressed feeding paradigm &amp; sucrose splash test</t>
  </si>
  <si>
    <t>model ptsd &amp; depression</t>
  </si>
  <si>
    <t>effect v NMDA receptor modulator (GLYX-13; rapastinel)</t>
  </si>
  <si>
    <t>meer ELS model dan PTSD</t>
  </si>
  <si>
    <t>chronic feral cat stress in juvenile ages</t>
  </si>
  <si>
    <t>effect mifepristone</t>
  </si>
  <si>
    <t xml:space="preserve">no cognitive task; </t>
  </si>
  <si>
    <t>ketamine administration</t>
  </si>
  <si>
    <t>nicotine administration</t>
  </si>
  <si>
    <t>GABA agonist</t>
  </si>
  <si>
    <t>; no cognitive task</t>
  </si>
  <si>
    <t>alprazolam treatment</t>
  </si>
  <si>
    <t>meer fear learning dan echt cog. Abilities</t>
  </si>
  <si>
    <t>effect beta-estradiol</t>
  </si>
  <si>
    <t>CFC; REM</t>
  </si>
  <si>
    <t>NOR; trace eyeblink conditioning (EBC)</t>
  </si>
  <si>
    <t>MWM, CFC, rotarod test</t>
  </si>
  <si>
    <t>EPM, LDB, OF</t>
  </si>
  <si>
    <t>OF+rotarod+NOR</t>
  </si>
  <si>
    <t>LDB = Light-Dark Box [anxiety]</t>
  </si>
  <si>
    <t>NOR = Novel object recognition [memory]</t>
  </si>
  <si>
    <t>ORT = Object Recognition Test [memory]</t>
  </si>
  <si>
    <t>OF+CFC+EPM</t>
  </si>
  <si>
    <t>OF+FC</t>
  </si>
  <si>
    <t>OF+MWM</t>
  </si>
  <si>
    <t>OF+FSw</t>
  </si>
  <si>
    <t>OF = Open Field [anxiety, exploration, locomotor]</t>
  </si>
  <si>
    <t>avoidance+FC</t>
  </si>
  <si>
    <t>ORT+contextual clues</t>
  </si>
  <si>
    <t>SBT</t>
  </si>
  <si>
    <t>SBT = Shuttle-Box Task [learned helplessness, Escape-Avoidance]</t>
  </si>
  <si>
    <t>EPM+LDB</t>
  </si>
  <si>
    <t>ASR+EPM+LDB, and hole-board tests.</t>
  </si>
  <si>
    <t>CFC+ASR+DLB+O-Maze</t>
  </si>
  <si>
    <t>PTSD Models:</t>
  </si>
  <si>
    <t>Tasks:</t>
  </si>
  <si>
    <t>novelty stress; EPM+LDB</t>
  </si>
  <si>
    <t>novel &amp; familiar OF; sucrose consumption; passive harm-avoidance tasks; restrained stress</t>
  </si>
  <si>
    <t>EPM+CFC, and analgesia in the flinch-jump and hot-plate tests</t>
  </si>
  <si>
    <t>contextual/cued fear; EPM; OF; novel object</t>
  </si>
  <si>
    <t>FC+CFC</t>
  </si>
  <si>
    <t>CFC &amp; spatial navigation</t>
  </si>
  <si>
    <t>(shock) sensitisatie &amp; motor activity/exploration</t>
  </si>
  <si>
    <t>no cog. Task?</t>
  </si>
  <si>
    <t>social avoidance + memory</t>
  </si>
  <si>
    <t>no cog. Task</t>
  </si>
  <si>
    <t>in Borghans&amp;Homberg paper?</t>
  </si>
  <si>
    <t>*</t>
  </si>
  <si>
    <t>UT = Underwater Trauma</t>
  </si>
  <si>
    <t>SEFL = Stress-enhanced fear learning</t>
  </si>
  <si>
    <t>SDS+LH+CORT</t>
  </si>
  <si>
    <t>focus on cardiovascular stress response.; no cognitive task</t>
  </si>
  <si>
    <t>PS (als ELS)</t>
  </si>
  <si>
    <t>no cognitive task? No ptsd model, maar fear learning?</t>
  </si>
  <si>
    <t>PS + UT</t>
  </si>
  <si>
    <t>avoidance &amp; fear [no context]</t>
  </si>
  <si>
    <t xml:space="preserve">only fear conditioning, no context.. </t>
  </si>
  <si>
    <t>SD</t>
  </si>
  <si>
    <t>RS+ITS</t>
  </si>
  <si>
    <t>ITS = inescapable TailShock</t>
  </si>
  <si>
    <t>learned helplessness als PTSD model?</t>
  </si>
  <si>
    <t>RS+FSw+halothane anesthesia &amp; re-stress (SRS)</t>
  </si>
  <si>
    <t>ORT + context exposure</t>
  </si>
  <si>
    <t>EPM (risk assessment)</t>
  </si>
  <si>
    <t>LH</t>
  </si>
  <si>
    <t>classical FC</t>
  </si>
  <si>
    <t>RS</t>
  </si>
  <si>
    <t>startle &amp; avoidacne behavior</t>
  </si>
  <si>
    <t>UT</t>
  </si>
  <si>
    <t>reexposure to shock context</t>
  </si>
  <si>
    <t>EPM &amp; ASR, fear memory - cue reexposure</t>
  </si>
  <si>
    <t>EPM &amp; ASR, fear memory _ cue reexposure</t>
  </si>
  <si>
    <t>anxiety en fear memory? Cue</t>
  </si>
  <si>
    <t>anxiety en fear memory? cue</t>
  </si>
  <si>
    <t>AbstractScreening_EG (1=include; 0 = exclude)</t>
  </si>
  <si>
    <t>Notes_EG</t>
  </si>
  <si>
    <t>included_MS</t>
  </si>
  <si>
    <t>moeilijk op te maken uit abstract…</t>
  </si>
  <si>
    <t>tja, wil je somatosensory perception echt meenemen?</t>
  </si>
  <si>
    <t>wel een leuk artikel!</t>
  </si>
  <si>
    <t>tja, is dat cognitief? Ook maar eens over hebben</t>
  </si>
  <si>
    <t>maar ook wel emotie, dus niet alleen aandacht</t>
  </si>
  <si>
    <t>ligt aan wat ze verstaan onder 'task-based hippocampal asssesment</t>
  </si>
  <si>
    <t>ook interessant om te lezen…</t>
  </si>
  <si>
    <t>mmm</t>
  </si>
  <si>
    <t>zeker lezen, lijkt mij ook mooi</t>
  </si>
  <si>
    <t>mmm zou ik niet includen lijkt mij</t>
  </si>
  <si>
    <t>gaat over de Zil, dus mogelijk wel interessant om te lezen</t>
  </si>
  <si>
    <t xml:space="preserve">wel mooi hoor ;-) </t>
  </si>
  <si>
    <t>tis een case report</t>
  </si>
  <si>
    <t>grappig dat die er tussen zit</t>
  </si>
  <si>
    <t>tja de vraag is of je de paar MTBI studies niet mee moet nemen. In iedergeval kijken lijkt mij, want verwacht wel comorbide PTSD</t>
  </si>
  <si>
    <t>idem</t>
  </si>
  <si>
    <t>gaat wel over secondary traumatization, maar mogelijk wel interessant, voor discussie</t>
  </si>
  <si>
    <t>moeilijk in te schatten op basis van abstract.</t>
  </si>
  <si>
    <t>even naar overlap met PTSD kijken</t>
  </si>
  <si>
    <t>wel kijken of je het echt wil meenemen</t>
  </si>
  <si>
    <t>mmm, maar fearconditioning dan wel? Toch maar even over hebben…</t>
  </si>
  <si>
    <t>article in english?</t>
  </si>
  <si>
    <t>bah muizen</t>
  </si>
  <si>
    <t>overlap met PTSD?</t>
  </si>
  <si>
    <t>Waarom includeer je deze?</t>
  </si>
  <si>
    <t>ik had deze geincludeerd in het kader van perceptie &amp; attention</t>
  </si>
  <si>
    <t>Ik heb het geincludeerd ik het kader van recall v autobiographic events</t>
  </si>
  <si>
    <t>akkoord</t>
  </si>
  <si>
    <t>je hebt gelijk :)</t>
  </si>
  <si>
    <t>autobiographic recall trigger? Maar misschien wordt het te 'wazig'</t>
  </si>
  <si>
    <t>geen sprake van PTSD, maar van ELT op basis van abstract?</t>
  </si>
  <si>
    <t>Worden de resultaten dan niet te heterogeen?</t>
  </si>
  <si>
    <t>response inhibition</t>
  </si>
  <si>
    <t>ja lastig…</t>
  </si>
  <si>
    <t>ja in ENG</t>
  </si>
  <si>
    <t>auditory processing</t>
  </si>
  <si>
    <t>over preceived social relations, waarom include?</t>
  </si>
  <si>
    <t>checken of er sprake is van PTSD</t>
  </si>
  <si>
    <t>Rorschach exclude, akkoord</t>
  </si>
  <si>
    <t>tbi, zie boven</t>
  </si>
  <si>
    <t>Vragen Milou n.a.v. results EG</t>
  </si>
  <si>
    <t>Waarom?</t>
  </si>
  <si>
    <t>exclude</t>
  </si>
  <si>
    <t>attention meenemen., somato sensory processing.. Laat het van de taak afhangen. --&gt; taak afhankelijk</t>
  </si>
  <si>
    <t xml:space="preserve">0. er zijn heel veel imagry studies. Frankati et all review 10jaar geleden.; kl phan. Ruth lenius. Dough bremmer. Pittman.; includeren als er iets gedrag gemeten wordt… bij alleen brain measures excluderen. </t>
  </si>
  <si>
    <t>altijd full text checken of het alleen ELS is of dat het ELS is met PTSD --&gt; dus artikel checken.; dus checken of er niet toch een pstd sample is en of dat gecorreleerd is met performance. Caps hoger dan 45 ernsitge ptsd</t>
  </si>
  <si>
    <t xml:space="preserve">check de full tekst.. Gebeurd er eits cognitiefs? Zelde </t>
  </si>
  <si>
    <t>check full tekst, voor nu 0</t>
  </si>
  <si>
    <t xml:space="preserve">is een nieuw concept… dat er in de anders amples mogelijk ook mtbi was… check net als ELS de full teksts.. Include als er analyses zijn in relatie met PTSD.  Geldt mogelijk ook voor andere PTSD samples. </t>
  </si>
  <si>
    <t>is er een analyses op PTSD, dan include</t>
  </si>
  <si>
    <t>include</t>
  </si>
  <si>
    <t>check full tekst. Includeren als er een cognitieve component gemeten wordt, niet alleen als er trauma sensitisatie gemeten wordt. Zoals startle</t>
  </si>
  <si>
    <t>mild tbi checken… is het cognitief en is er een ptsd analyse?</t>
  </si>
  <si>
    <t>0.zij doen veel met cognitieve processing..  Maar op basis van abstract exclude..</t>
  </si>
  <si>
    <t>check full tekst; ptsd gerelateerde analyse include.</t>
  </si>
  <si>
    <t>0. exclude rorschach</t>
  </si>
  <si>
    <t>sensorimotor gating (PPI) als cognitieve maat?; exclude</t>
  </si>
  <si>
    <t>check full tekst.. Check of er ptsd is en of er een taak gedaan wordt.</t>
  </si>
  <si>
    <t>EG include</t>
  </si>
  <si>
    <t>Antwoorden overleg overeenstemming 7.11.16</t>
  </si>
  <si>
    <t xml:space="preserve">geen ptsd model maar ELS?; </t>
  </si>
  <si>
    <t>check de full tekst EG zou checken… milou exclude.</t>
  </si>
  <si>
    <t>no ptsd model? Alzheimer's disease mouse model</t>
  </si>
  <si>
    <t>alleen fearconditioning; geen ptsd model</t>
  </si>
  <si>
    <t>PDF gedownload + in mendeley</t>
  </si>
  <si>
    <t>[article in japans]</t>
  </si>
  <si>
    <t>[full tekst requested on research gate]</t>
  </si>
  <si>
    <t>anxiety task, no cognitive task../ wel een subgroep met reexposure to cat ordor</t>
  </si>
  <si>
    <t>anxiety task, no cognitive task.. / wel exposure to trauma cue reminder</t>
  </si>
  <si>
    <t>EPM; SRs</t>
  </si>
  <si>
    <t>CHC</t>
  </si>
  <si>
    <t>0, of toch full tekst checken?</t>
  </si>
  <si>
    <t>(congenitally helpless rat strain) LH</t>
  </si>
  <si>
    <t>1 [chek full tekst]</t>
  </si>
  <si>
    <t>0 [ want duidelijke only fear conditioning uit abstract]</t>
  </si>
  <si>
    <t>ITS</t>
  </si>
  <si>
    <t>Geen PTSD, maar ELS [variable prepuberal stress]</t>
  </si>
  <si>
    <t>healthy Rats &amp; transgenic mouse model of Alzheimer's disease, i.e. APPswe/PS1dE9 mice</t>
  </si>
  <si>
    <t>no cognitive task, maar depressie maten</t>
  </si>
  <si>
    <t>0 [ alleen sensitistatie van de stress response]</t>
  </si>
  <si>
    <t>Exclusie reden</t>
  </si>
  <si>
    <t>ANX</t>
  </si>
  <si>
    <t>REV</t>
  </si>
  <si>
    <t>morphine intake &amp; Place preferance</t>
  </si>
  <si>
    <t>FS</t>
  </si>
  <si>
    <t>REV = review</t>
  </si>
  <si>
    <t>ANX = only anxiety measures</t>
  </si>
  <si>
    <t>FS = only Fysiologische Sensitisatie during fear/anxiety measured [no learning componend]</t>
  </si>
  <si>
    <t>MOD</t>
  </si>
  <si>
    <t>MOD = no PTSD model</t>
  </si>
  <si>
    <t>DEP</t>
  </si>
  <si>
    <t>DEP = only depression measures</t>
  </si>
  <si>
    <t>ANX, DEP, MOD</t>
  </si>
  <si>
    <t>1 [ extinction freezing?.. Check full tekxt?] Meeten wel recall…</t>
  </si>
  <si>
    <t>1 nemen time in open-arm als avoidance maat… EPM</t>
  </si>
  <si>
    <t>EPM &amp; ASR; SRs</t>
  </si>
  <si>
    <t>EPM &amp; contextual freezing</t>
  </si>
  <si>
    <t>contextual freezing measured, no cog task</t>
  </si>
  <si>
    <t>NO PTSD MODEL</t>
  </si>
  <si>
    <t>FSh &amp; PS</t>
  </si>
  <si>
    <t>FC; auditory predator odor fear extinction or habituation of fear sensitization</t>
  </si>
  <si>
    <t>fearconditioning na PS; check full tekst</t>
  </si>
  <si>
    <t>onlty anxiety testing; 0</t>
  </si>
  <si>
    <t>EPM &amp; ASR; contextual freezing</t>
  </si>
  <si>
    <t>conditioned place preference</t>
  </si>
  <si>
    <t>anxiety measures na situational reminder (net voor meeting exposure aan trauma reminder) echter geen cognitieve taak; check full tekst</t>
  </si>
  <si>
    <t>full tekst check. ook avoidance</t>
  </si>
  <si>
    <t>only FC?</t>
  </si>
  <si>
    <t>1. wel avoidacne gemeten</t>
  </si>
  <si>
    <t>uit abstract duidelijkd at het alleen FC is (zonder reminder etc) of ptsd model</t>
  </si>
  <si>
    <t>uit abstract duidelijk alleen FC en geen ptsd model</t>
  </si>
  <si>
    <t>geen cogniteive maat/ duidelijke controle groep?</t>
  </si>
  <si>
    <t>[article in chinese]</t>
  </si>
  <si>
    <t>check full tekst. sds model for ptsd, maar spreken zelf niet over ptsd …</t>
  </si>
  <si>
    <t>eventueel full tekst checken? Wel re-exposure</t>
  </si>
  <si>
    <t>only fc, no ptsd model</t>
  </si>
  <si>
    <t>no ptsd model, only fearconditioning task</t>
  </si>
  <si>
    <t>els?</t>
  </si>
  <si>
    <t>1 no cog. Task?</t>
  </si>
  <si>
    <t>o. Only fear conditioning. No ptsd</t>
  </si>
  <si>
    <t>ANX, DEP</t>
  </si>
  <si>
    <t>1 [ONLY FC]</t>
  </si>
  <si>
    <t>wel freezing to trauma cue gemeten…</t>
  </si>
  <si>
    <t>FREEZIN TO TRAUMA CUE?</t>
  </si>
  <si>
    <t>NO PTSD MODEL?</t>
  </si>
  <si>
    <t>1 [ ALLEEN FC, maar wel freezing to context</t>
  </si>
  <si>
    <t>wel contextual freezing gemeten?</t>
  </si>
  <si>
    <t>enke fear conditioning? Wel reexposure?</t>
  </si>
  <si>
    <t>ANX, FS</t>
  </si>
  <si>
    <t>excluded, article in japans</t>
  </si>
  <si>
    <t>LAN</t>
  </si>
  <si>
    <t>LAN = not english</t>
  </si>
  <si>
    <t>mild blast</t>
  </si>
  <si>
    <t>[WEL shock en situation reminder?] full tekst checken?</t>
  </si>
  <si>
    <t>mtbi ipv ptsd</t>
  </si>
  <si>
    <t>PPII DUS INCLUDEREN</t>
  </si>
  <si>
    <t>[1] lijkt alleen fc te zijn… full tekst checken?</t>
  </si>
  <si>
    <t>alleen fc, geen reminders etc..</t>
  </si>
  <si>
    <t>Subjects_n</t>
  </si>
  <si>
    <t>Subjects_n_ptsd</t>
  </si>
  <si>
    <t>Subjects_n_control</t>
  </si>
  <si>
    <t>Subjects_trauma-type_OR_PTSD-model</t>
  </si>
  <si>
    <t>Subjects_ptsd-measure</t>
  </si>
  <si>
    <t>Method_study-design</t>
  </si>
  <si>
    <t>Deployment</t>
  </si>
  <si>
    <t>CAPS</t>
  </si>
  <si>
    <t>between subjects</t>
  </si>
  <si>
    <t>p&lt;.006</t>
  </si>
  <si>
    <t>F</t>
  </si>
  <si>
    <t>FINAL incl/excl</t>
  </si>
  <si>
    <t>FINAL incl/excl_comment</t>
  </si>
  <si>
    <t>only study protocol</t>
  </si>
  <si>
    <t>Row Labels</t>
  </si>
  <si>
    <t>(blank)</t>
  </si>
  <si>
    <t>Grand Total</t>
  </si>
  <si>
    <t>Count of Task?</t>
  </si>
  <si>
    <t>cognitive measures</t>
  </si>
  <si>
    <t>Summerized Codebook:</t>
  </si>
  <si>
    <t>Domains</t>
  </si>
  <si>
    <t>Attention</t>
  </si>
  <si>
    <t>included?</t>
  </si>
  <si>
    <t>Fear Conditioning</t>
  </si>
  <si>
    <t>AT</t>
  </si>
  <si>
    <t>Memory</t>
  </si>
  <si>
    <t>Me</t>
  </si>
  <si>
    <t>Learning</t>
  </si>
  <si>
    <t>RDoC Subcomponents</t>
  </si>
  <si>
    <t>Animal</t>
  </si>
  <si>
    <t>Human</t>
  </si>
  <si>
    <t>RDoC</t>
  </si>
  <si>
    <t>abs</t>
  </si>
  <si>
    <t>Background</t>
  </si>
  <si>
    <t>exl?</t>
  </si>
  <si>
    <t>Trauma_type/PTSD Model</t>
  </si>
  <si>
    <t>Task</t>
  </si>
  <si>
    <t>NOTES_ABS</t>
  </si>
  <si>
    <t>Human (1) of Animal (2)</t>
  </si>
  <si>
    <t>military population(1)</t>
  </si>
  <si>
    <t>Subjects_background (bv military/civilian/animalstrain/etc) 1= active duty military; 2 = veteran; 3 = civilian 4=rat; 5=mice</t>
  </si>
  <si>
    <t>Notes_abstract screening</t>
  </si>
  <si>
    <t>Subjects_background (bv military/civilian/animalstrain/etc) words</t>
  </si>
  <si>
    <t>FEAR</t>
  </si>
  <si>
    <t>ATTENTION</t>
  </si>
  <si>
    <t>MEMORY</t>
  </si>
  <si>
    <t>Executive (switching) tasks, verbal fluency, and verbal memory.</t>
  </si>
  <si>
    <t>PERCEPTION</t>
  </si>
  <si>
    <t>REWARD</t>
  </si>
  <si>
    <t>1?</t>
  </si>
  <si>
    <t>INHIBITION/CONTROL</t>
  </si>
  <si>
    <t>Acheson</t>
  </si>
  <si>
    <t>Amick</t>
  </si>
  <si>
    <t>Anastasides</t>
  </si>
  <si>
    <t>Anger</t>
  </si>
  <si>
    <t>Ashley</t>
  </si>
  <si>
    <t>Attias</t>
  </si>
  <si>
    <t>Badura-Brack</t>
  </si>
  <si>
    <t>Barlow-Ogden</t>
  </si>
  <si>
    <t>Beckham</t>
  </si>
  <si>
    <t>Brenner</t>
  </si>
  <si>
    <t>Brett</t>
  </si>
  <si>
    <t>Britton</t>
  </si>
  <si>
    <t>Brown</t>
  </si>
  <si>
    <t>Buchsbaum</t>
  </si>
  <si>
    <t>Burriss</t>
  </si>
  <si>
    <t>Chemtob</t>
  </si>
  <si>
    <t>Chen</t>
  </si>
  <si>
    <t>Clark</t>
  </si>
  <si>
    <t>Clausen</t>
  </si>
  <si>
    <t>Cohen</t>
  </si>
  <si>
    <t>Corbo</t>
  </si>
  <si>
    <t>Crowell</t>
  </si>
  <si>
    <t>Depue</t>
  </si>
  <si>
    <t>Dretsch</t>
  </si>
  <si>
    <t>Dunlop</t>
  </si>
  <si>
    <t>Elman</t>
  </si>
  <si>
    <t>Esterman</t>
  </si>
  <si>
    <t>Fan</t>
  </si>
  <si>
    <t>Franke</t>
  </si>
  <si>
    <t>Freeman</t>
  </si>
  <si>
    <t>Galletly</t>
  </si>
  <si>
    <t>Geracioti</t>
  </si>
  <si>
    <t>Geuze</t>
  </si>
  <si>
    <t>Gilbertson</t>
  </si>
  <si>
    <t>Golier</t>
  </si>
  <si>
    <t>Green</t>
  </si>
  <si>
    <t>Grillon</t>
  </si>
  <si>
    <t>Grunert</t>
  </si>
  <si>
    <t>Gurvits</t>
  </si>
  <si>
    <t>Hall</t>
  </si>
  <si>
    <t>Hart</t>
  </si>
  <si>
    <t>Hayes</t>
  </si>
  <si>
    <t>Honzel</t>
  </si>
  <si>
    <t>Hopper</t>
  </si>
  <si>
    <t>Hudetz</t>
  </si>
  <si>
    <t>Jenkins</t>
  </si>
  <si>
    <t>Kalapatapu</t>
  </si>
  <si>
    <t>Kavanaugh</t>
  </si>
  <si>
    <t>Kent</t>
  </si>
  <si>
    <t>Kibler</t>
  </si>
  <si>
    <t>Kimble</t>
  </si>
  <si>
    <t>Kinoshita</t>
  </si>
  <si>
    <t>Kivling-Boden</t>
  </si>
  <si>
    <t>Kolassa</t>
  </si>
  <si>
    <t>Koso</t>
  </si>
  <si>
    <t>Kostek</t>
  </si>
  <si>
    <t>Kremen</t>
  </si>
  <si>
    <t>Larson</t>
  </si>
  <si>
    <t>Levin</t>
  </si>
  <si>
    <t>Litz</t>
  </si>
  <si>
    <t>Loganovsky</t>
  </si>
  <si>
    <t>Lysaker</t>
  </si>
  <si>
    <t>MacNamara</t>
  </si>
  <si>
    <t>McCormick</t>
  </si>
  <si>
    <t>McDermott</t>
  </si>
  <si>
    <t>McFarland</t>
  </si>
  <si>
    <t>McGlinchey</t>
  </si>
  <si>
    <t>McNally</t>
  </si>
  <si>
    <t>Milad</t>
  </si>
  <si>
    <t>Morel</t>
  </si>
  <si>
    <t>Morey</t>
  </si>
  <si>
    <t>Morgan</t>
  </si>
  <si>
    <t>Motta</t>
  </si>
  <si>
    <t>Myers</t>
  </si>
  <si>
    <t>Myhren</t>
  </si>
  <si>
    <t>Neipert</t>
  </si>
  <si>
    <t>Nelson</t>
  </si>
  <si>
    <t>Newsome</t>
  </si>
  <si>
    <t>Neylan</t>
  </si>
  <si>
    <t>Olatunji</t>
  </si>
  <si>
    <t>Palombo</t>
  </si>
  <si>
    <t>Pang</t>
  </si>
  <si>
    <t>Podell</t>
  </si>
  <si>
    <t>Ponsford</t>
  </si>
  <si>
    <t>Rabinak</t>
  </si>
  <si>
    <t>Robison-Andrew</t>
  </si>
  <si>
    <t>Roca</t>
  </si>
  <si>
    <t>Roy</t>
  </si>
  <si>
    <t>Ruderman</t>
  </si>
  <si>
    <t>Sadeh</t>
  </si>
  <si>
    <t>Samuelson</t>
  </si>
  <si>
    <t>Sarac-Hadzihalilovic</t>
  </si>
  <si>
    <t>Saunders</t>
  </si>
  <si>
    <t>Sawyer</t>
  </si>
  <si>
    <t>Scott</t>
  </si>
  <si>
    <t>Seedat</t>
  </si>
  <si>
    <t>Shah</t>
  </si>
  <si>
    <t>Shalev</t>
  </si>
  <si>
    <t>Shandera-Ochsner</t>
  </si>
  <si>
    <t>Shaw</t>
  </si>
  <si>
    <t>Shin</t>
  </si>
  <si>
    <t>Shu</t>
  </si>
  <si>
    <t>Shucard</t>
  </si>
  <si>
    <t>Shura</t>
  </si>
  <si>
    <t>Soble</t>
  </si>
  <si>
    <t>Sodic</t>
  </si>
  <si>
    <t>Sozda</t>
  </si>
  <si>
    <t>Storzbach</t>
  </si>
  <si>
    <t>Stricker</t>
  </si>
  <si>
    <t>Sullivan</t>
  </si>
  <si>
    <t>Suris</t>
  </si>
  <si>
    <t>Sutker</t>
  </si>
  <si>
    <t>Swick</t>
  </si>
  <si>
    <t>Tian</t>
  </si>
  <si>
    <t>Tischler</t>
  </si>
  <si>
    <t>Troyanskaya</t>
  </si>
  <si>
    <t>van</t>
  </si>
  <si>
    <t>Vasterling</t>
  </si>
  <si>
    <t>Verfaellie</t>
  </si>
  <si>
    <t>Wangelin</t>
  </si>
  <si>
    <t>Wisco</t>
  </si>
  <si>
    <t>Wisdom</t>
  </si>
  <si>
    <t>Witthoft</t>
  </si>
  <si>
    <t>Wolf</t>
  </si>
  <si>
    <t>Woods</t>
  </si>
  <si>
    <t>Woodward</t>
  </si>
  <si>
    <t>Writer</t>
  </si>
  <si>
    <t>Wrocklage</t>
  </si>
  <si>
    <t>Yehuda</t>
  </si>
  <si>
    <t>Zalewski</t>
  </si>
  <si>
    <t>Aykac</t>
  </si>
  <si>
    <t>Baisley</t>
  </si>
  <si>
    <t>Barsy</t>
  </si>
  <si>
    <t>Bentefour</t>
  </si>
  <si>
    <t>Berardi</t>
  </si>
  <si>
    <t>Brennan</t>
  </si>
  <si>
    <t>Brydges</t>
  </si>
  <si>
    <t>Burgdorf</t>
  </si>
  <si>
    <t>Cacciaglia</t>
  </si>
  <si>
    <t>Cai</t>
  </si>
  <si>
    <t>Chuang</t>
  </si>
  <si>
    <t>Corley</t>
  </si>
  <si>
    <t>Corral-Frias</t>
  </si>
  <si>
    <t>Diehl</t>
  </si>
  <si>
    <t>Ding</t>
  </si>
  <si>
    <t>Feng</t>
  </si>
  <si>
    <t>Fucich</t>
  </si>
  <si>
    <t>Galatzer-Levy</t>
  </si>
  <si>
    <t>Ganon-Elazar</t>
  </si>
  <si>
    <t>Gao</t>
  </si>
  <si>
    <t>Garabadu</t>
  </si>
  <si>
    <t>George</t>
  </si>
  <si>
    <t>Goswami</t>
  </si>
  <si>
    <t>Haller</t>
  </si>
  <si>
    <t>Harvey</t>
  </si>
  <si>
    <t>Hendriksen</t>
  </si>
  <si>
    <t>Huang</t>
  </si>
  <si>
    <t>Imanaka</t>
  </si>
  <si>
    <t>Iwamoto</t>
  </si>
  <si>
    <t>Janezic</t>
  </si>
  <si>
    <t>Ji</t>
  </si>
  <si>
    <t>Juven-Wetzler</t>
  </si>
  <si>
    <t>Koba</t>
  </si>
  <si>
    <t>Kozlovsky</t>
  </si>
  <si>
    <t>Krishnamurthy</t>
  </si>
  <si>
    <t>Lazaroni</t>
  </si>
  <si>
    <t>Lee</t>
  </si>
  <si>
    <t>Li</t>
  </si>
  <si>
    <t>Liu</t>
  </si>
  <si>
    <t>Long</t>
  </si>
  <si>
    <t>Maier</t>
  </si>
  <si>
    <t>Matar</t>
  </si>
  <si>
    <t>Mazor</t>
  </si>
  <si>
    <t>Miao</t>
  </si>
  <si>
    <t>Mikics</t>
  </si>
  <si>
    <t>Mirshekar</t>
  </si>
  <si>
    <t>Missig</t>
  </si>
  <si>
    <t>Monsey</t>
  </si>
  <si>
    <t>Nalloor</t>
  </si>
  <si>
    <t>Ninomiya</t>
  </si>
  <si>
    <t>Ojo</t>
  </si>
  <si>
    <t>Pare</t>
  </si>
  <si>
    <t>Park</t>
  </si>
  <si>
    <t>Patki</t>
  </si>
  <si>
    <t>Philbert</t>
  </si>
  <si>
    <t>Piao</t>
  </si>
  <si>
    <t>Pibiri</t>
  </si>
  <si>
    <t>Pickens</t>
  </si>
  <si>
    <t>Pinna</t>
  </si>
  <si>
    <t>Powers</t>
  </si>
  <si>
    <t>Qiu</t>
  </si>
  <si>
    <t>Reznikov</t>
  </si>
  <si>
    <t>Richter-Levin</t>
  </si>
  <si>
    <t>Roth</t>
  </si>
  <si>
    <t>Salm</t>
  </si>
  <si>
    <t>Saridogan</t>
  </si>
  <si>
    <t>Sawamura</t>
  </si>
  <si>
    <t>Siegmund</t>
  </si>
  <si>
    <t>Solanki</t>
  </si>
  <si>
    <t>Sun</t>
  </si>
  <si>
    <t>Takahashi</t>
  </si>
  <si>
    <t>Toledano</t>
  </si>
  <si>
    <t>Toth</t>
  </si>
  <si>
    <t>Tulogdi</t>
  </si>
  <si>
    <t>Vanderheyden</t>
  </si>
  <si>
    <t>Viviani</t>
  </si>
  <si>
    <t>Wakizono</t>
  </si>
  <si>
    <t>Wang</t>
  </si>
  <si>
    <t>Wellman</t>
  </si>
  <si>
    <t>Yamamoto</t>
  </si>
  <si>
    <t>Yu</t>
  </si>
  <si>
    <t>Yuan</t>
  </si>
  <si>
    <t>Zeitlin</t>
  </si>
  <si>
    <t>Zohar</t>
  </si>
  <si>
    <t>Zoladz</t>
  </si>
  <si>
    <t>First Author</t>
  </si>
  <si>
    <t>Authors</t>
  </si>
  <si>
    <t xml:space="preserve">Acheson, D. T., Geyer, M. A., Baker, D. G., Nievergelt, C. M., Yurgil, K., &amp; Risbrough, V. B. </t>
  </si>
  <si>
    <t xml:space="preserve">Amick, M. M., Clark, A., Fortier, C. B., Esterman, M., Rasmusson, A. M., Kenna, A., … McGlinchey, R. </t>
  </si>
  <si>
    <t xml:space="preserve">Anastasides, N., Beck, K. D., Pang, K. C. H., Servatius, R. J., Gilbertson, M. W., Orr, S. P., &amp; Myers, C. E. </t>
  </si>
  <si>
    <t xml:space="preserve">Anger, W. K., Storzbach, D., Binder, L. M., Campbell, K. A., Rohlman, D. S., McCauley, L., … Davis, K. L. </t>
  </si>
  <si>
    <t xml:space="preserve">Ashley, V., Honzel, N., Larsen, J., Justus, T., &amp; Swick, D. </t>
  </si>
  <si>
    <t xml:space="preserve">Attias, J., Bleich, A., &amp; Gilat, S. </t>
  </si>
  <si>
    <t xml:space="preserve">Badura-Brack, A. S., Becker, K. M., McDermott, T. J., Ryan, T. J., Becker, M. M., Hearley, A. R., … Wilson, T. W. </t>
  </si>
  <si>
    <t xml:space="preserve">Barlow-Ogden, K., &amp; Poynter, W. </t>
  </si>
  <si>
    <t xml:space="preserve">Beckham, J. C., Crawford, A. L., &amp; Feldman, M. E. </t>
  </si>
  <si>
    <t xml:space="preserve">Brenner, L. A., Ladley-O’Brien, S. E., Harwood, J. E. F., Filley, C. M., Kelly, J. P., Homaifar, B. Y., &amp; Adler, L. E. </t>
  </si>
  <si>
    <t xml:space="preserve">Brett, E. A., &amp; Mangine, W. </t>
  </si>
  <si>
    <t xml:space="preserve">Britton, J. C., Phan, K. L., Taylor, S. F., Fig, L. M., &amp; Liberzon, I. </t>
  </si>
  <si>
    <t xml:space="preserve">Brown, A. D., Kouri, N. A., Rahman, N., Joscelyne, A., Bryant, R. A., &amp; Marmar, C. R. </t>
  </si>
  <si>
    <t xml:space="preserve">Brown, A. D., Root, J. C., Romano, T. A., Chang, L. J., Bryant, R. A., &amp; Hirst, W. </t>
  </si>
  <si>
    <t xml:space="preserve">Buchsbaum, M. S., Simmons, A. N., DeCastro, A., Farid, N., &amp; Matthews, S. C. </t>
  </si>
  <si>
    <t xml:space="preserve">Burriss, L., Ayers, E., Ginsberg, J., &amp; Powell, D. A. </t>
  </si>
  <si>
    <t xml:space="preserve">Chemtob, C. M., Roitblat, H. L., Hamada, R. S., Muraoka, M. Y., Carlson, J. G., &amp; Bauer, G. B. </t>
  </si>
  <si>
    <t xml:space="preserve">Chen, A. C., &amp; Etkin, A. </t>
  </si>
  <si>
    <t xml:space="preserve">Clark, A. L., Amick, M. M., Fortier, C., Milberg, W. P., &amp; McGlinchey, R. E. </t>
  </si>
  <si>
    <t xml:space="preserve">Clark, A. L., Sorg, S. F., Schiehser, D. M., Luc, N., Bondi, M. W., Sanderson, M., … Delano-Wood, L. </t>
  </si>
  <si>
    <t xml:space="preserve">Clausen, A. N., Youngren, W., Sisante, J.-F. V, Billinger, S. A., Taylor, C., &amp; Aupperle, R. L. </t>
  </si>
  <si>
    <t xml:space="preserve">Cohen, B. E., Neylan, T. C., Yaffe, K., Samuelson, K. W., Li, Y., &amp; Barnes, D. E. </t>
  </si>
  <si>
    <t xml:space="preserve">Corbo, V., Amick, M. A., Milberg, W. P., McGlinchey, R. E., &amp; Salat, D. H. </t>
  </si>
  <si>
    <t xml:space="preserve">Crowell, T. A., Kieffer, K. M., Siders, C. A., &amp; Vanderploeg, R. D. </t>
  </si>
  <si>
    <t xml:space="preserve">Depue, B. E., Olson-Madden, J. H., Smolker, H. R., Rajamani, M., Brenner, L. A., &amp; Banich, M. T. </t>
  </si>
  <si>
    <t xml:space="preserve">Dretsch, M. N., Thiel, K. J., Athy, J. R., Irvin, C. R., Sirmon-Fjordbak, B., &amp; Salvatore, A. </t>
  </si>
  <si>
    <t xml:space="preserve">Dunlop, B. W., Rothbaum, B. O., Binder, E. B., Duncan, E., Harvey, P. D., Jovanovic, T., … Mayberg, H. S. </t>
  </si>
  <si>
    <t xml:space="preserve">Elman, I., Ariely, D., Mazar, N., Aharon, I., Lasko, N. B., Macklin, M. L., … Pitman, R. K. </t>
  </si>
  <si>
    <t xml:space="preserve">Esterman, M., DeGutis, J., Mercado, R., Rosenblatt, A., Vasterling, J. J., Milberg, W., &amp; McGlinchey, R. </t>
  </si>
  <si>
    <t xml:space="preserve">Fan, X., Henderson, D. C., Nguyen, D. D., Cather, C., Freudenreich, O., Evins, A. E., … Goff, D. C. </t>
  </si>
  <si>
    <t xml:space="preserve">Franke, L. M., Czarnota, J. N., Ketchum, J. M., &amp; Walker, W. C. </t>
  </si>
  <si>
    <t xml:space="preserve">Freeman, T. W., Hart, J., Kimbrell, T., &amp; Ross, E. D. </t>
  </si>
  <si>
    <t xml:space="preserve">Galletly, C. A., McFarlane, A. C., &amp; Clark, R. </t>
  </si>
  <si>
    <t xml:space="preserve">Geracioti, T. D. J., Jefferson-Wilson, L., Strawn, J. R., Baker, D. G., Dashevsky, B. A., Horn, P. S., &amp; Ekhator, N. N. </t>
  </si>
  <si>
    <t xml:space="preserve">Geuze, E., Vermetten, E., de Kloet, C. S., Hijman, R., &amp; Westenberg, H. G. M. </t>
  </si>
  <si>
    <t xml:space="preserve">Geuze, E., Vermetten, E., Ruf, M., de Kloet, C. S., &amp; Westenberg, H. G. M. </t>
  </si>
  <si>
    <t xml:space="preserve">Gilbertson, M. W., Gurvits, T. V, Lasko, N. B., Orr, S. P., &amp; Pitman, R. K. </t>
  </si>
  <si>
    <t xml:space="preserve">Gilbertson, M. W., Williston, S. K., Paulus, L. A., Lasko, N. B., Gurvits, T. V, Shenton, M. E., … Orr, S. P. </t>
  </si>
  <si>
    <t xml:space="preserve">Golier, J. A., Harvey, P. D., Legge, J., &amp; Yehuda, R. </t>
  </si>
  <si>
    <t xml:space="preserve">Green, E., Fairchild, J. K., Kinoshita, L. M., Noda, A., &amp; Yesavage, J. </t>
  </si>
  <si>
    <t xml:space="preserve">Grillon, C., &amp; Morgan, C. A. 3rd. </t>
  </si>
  <si>
    <t xml:space="preserve">Grillon, C., Morgan, C. A. 3rd, Davis, M., &amp; Southwick, S. M. </t>
  </si>
  <si>
    <t xml:space="preserve">Grunert, B. K., Weis, J. M., Smucker, M. R., &amp; Christianson, H. F. </t>
  </si>
  <si>
    <t xml:space="preserve">Gurvits, T. V, Lasko, N. B., Repak, A. L., Metzger, L. J., Orr, S. P., &amp; Pitman, R. K. </t>
  </si>
  <si>
    <t xml:space="preserve">Hall, T., Galletly, C., Clark, C. R., Veltmeyer, M., Metzger, L. J., Gilbertson, M. W., … McFarlane, A. </t>
  </si>
  <si>
    <t xml:space="preserve">Hart, J. J., Kimbrell, T., Fauver, P., Cherry, B. J., Pitcock, J., Booe, L. Q., … Freeman, T. W. </t>
  </si>
  <si>
    <t xml:space="preserve">Hayes, J. P., LaBar, K. S., McCarthy, G., Selgrade, E., Nasser, J., Dolcos, F., &amp; Morey, R. A. </t>
  </si>
  <si>
    <t xml:space="preserve">Hayes, J. P., Miller, D. R., Lafleche, G., Salat, D. H., &amp; Verfaellie, M. </t>
  </si>
  <si>
    <t xml:space="preserve">Honzel, N., Justus, T., &amp; Swick, D. </t>
  </si>
  <si>
    <t xml:space="preserve">Hopper, J. W., Pitman, R. K., Su, Z., Heyman, G. M., Lasko, N. B., Macklin, M. L., … Elman, I. </t>
  </si>
  <si>
    <t xml:space="preserve">Hudetz, J. A., Gandhi, S. D., Iqbal, Z., Patterson, K. M., Byrne, A. J., Warltier, D. C., &amp; Pagel, P. S. </t>
  </si>
  <si>
    <t xml:space="preserve">Jenkins, M. A., Langlais, P. J., Delis, D., &amp; Cohen, R. </t>
  </si>
  <si>
    <t xml:space="preserve">Kalapatapu, R. K., Delucchi, K. L., Lasher, B. A., Vinogradov, S., &amp; Batki, S. L. </t>
  </si>
  <si>
    <t xml:space="preserve">Kalapatapu, R. K., Neylan, T. C., Regan, M. C., &amp; Cohen, B. E. </t>
  </si>
  <si>
    <t xml:space="preserve">Kavanaugh, B., Holler, K., &amp; Selke, G. </t>
  </si>
  <si>
    <t xml:space="preserve">Kent, M., Davis, M. C., Stark, S. L., &amp; Stewart, L. A. </t>
  </si>
  <si>
    <t xml:space="preserve">Kibler, J. L., &amp; Lyons, J. A. </t>
  </si>
  <si>
    <t xml:space="preserve">Kimble, M., Kaloupek, D., Kaufman, M., &amp; Deldin, P. </t>
  </si>
  <si>
    <t xml:space="preserve">Kinoshita, L. M., Yesavage, J. A., Noda, A., Jo, B., Hernandez, B., Taylor, J., … Scanlon, B. K. </t>
  </si>
  <si>
    <t xml:space="preserve">Kivling-Boden, G., &amp; Sundbom, E. </t>
  </si>
  <si>
    <t xml:space="preserve">Kolassa, I.-T., Eckart, C., Ruf, M., Neuner, F., de Quervain, D. J., &amp; Elbert, T. </t>
  </si>
  <si>
    <t xml:space="preserve">Koso, M., &amp; Hansen, S. </t>
  </si>
  <si>
    <t xml:space="preserve">Kostek, J. A., Beck, K. D., Gilbertson, M. W., Orr, S. P., Pang, K. C. H., Servatius, R. J., &amp; Myers, C. E. </t>
  </si>
  <si>
    <t xml:space="preserve">Kremen, W. S., Koenen, K. C., Afari, N., &amp; Lyons, M. J. </t>
  </si>
  <si>
    <t xml:space="preserve">Larson, E., Zollman, F., Kondiles, B., &amp; Starr, C. </t>
  </si>
  <si>
    <t xml:space="preserve">Levin, H. S., Wilde, E., Troyanskaya, M., Petersen, N. J., Scheibel, R., Newsome, M., … Li, X. </t>
  </si>
  <si>
    <t xml:space="preserve">Litz, B. T., Weathers, F. W., Monaco, V., Herman, D. S., Wulfsohn, M., Marx, B., &amp; Keane, T. M. </t>
  </si>
  <si>
    <t xml:space="preserve">Loganovsky, K. N., &amp; Zdanevich, N. A. </t>
  </si>
  <si>
    <t xml:space="preserve">Lysaker, P. H., Dimaggio, G., Wickett-Curtis, A., Kukla, M., Luedtke, B., Vohs, J., … Davis, L. W. </t>
  </si>
  <si>
    <t xml:space="preserve">MacNamara, A., Post, D., Kennedy, A. E., Rabinak, C. A., &amp; Phan, K. L. </t>
  </si>
  <si>
    <t xml:space="preserve">McCormick, C. L., Yoash-Gantz, R. E., McDonald, S. D., Campbell, T. C., &amp; Tupler, L. A. </t>
  </si>
  <si>
    <t xml:space="preserve">McDermott, T. J., Badura-Brack, A. S., Becker, K. M., Ryan, T. J., Bar-Haim, Y., Pine, D. S., … Wilson, T. W. </t>
  </si>
  <si>
    <t xml:space="preserve">McDermott, T. J., Badura-Brack, A. S., Becker, K. M., Ryan, T. J., Khanna, M. M., Heinrichs-Graham, E., &amp; Wilson, T. W. </t>
  </si>
  <si>
    <t xml:space="preserve">McFarland, C. P., Clark, J. B., Lee, L. O., Grande, L. J., Marx, B. P., &amp; Vasterling, J. J. </t>
  </si>
  <si>
    <t xml:space="preserve">McGlinchey, R. E., Fortier, C. B., Venne, J. R., Maksimovskiy, A. L., &amp; Milberg, W. P. </t>
  </si>
  <si>
    <t xml:space="preserve">McNally, R. J., Kaspi, S. P., Riemann, B. C., &amp; Zeitlin, S. B. </t>
  </si>
  <si>
    <t xml:space="preserve">McNally, R. J., Lasko, N. B., Macklin, M. L., &amp; Pitman, R. K. </t>
  </si>
  <si>
    <t xml:space="preserve">Milad, M. R., Orr, S. P., Lasko, N. B., Chang, Y., Rauch, S. L., &amp; Pitman, R. K. </t>
  </si>
  <si>
    <t xml:space="preserve">Morel, K. R. </t>
  </si>
  <si>
    <t xml:space="preserve">Morey, R. A., Dolcos, F., Petty, C. M., Cooper, D. A., Hayes, J. P., LaBar, K. S., &amp; McCarthy, G. </t>
  </si>
  <si>
    <t xml:space="preserve">Morey, R. A., Hariri, A. R., Gold, A. L., Hauser, M. A., Munger, H. J., Dolcos, F., &amp; McCarthy, G. </t>
  </si>
  <si>
    <t xml:space="preserve">Morey, R. A., Petty, C. M., Cooper, D. A., Labar, K. S., &amp; McCarthy, G. </t>
  </si>
  <si>
    <t xml:space="preserve">Morgan, C. A. 3rd, Grillon, C., Southwick, S. M., Davis, M., &amp; Charney, D. S. </t>
  </si>
  <si>
    <t xml:space="preserve">Motta, R. W., Joseph, J. M., Rose, R. D., Suozzi, J. M., &amp; Leiderman, L. J. </t>
  </si>
  <si>
    <t xml:space="preserve">Myers, C. E., Moustafa, A. A., Sheynin, J., Vanmeenen, K. M., Gilbertson, M. W., Orr, S. P., … Servatius, R. J. </t>
  </si>
  <si>
    <t xml:space="preserve">Myers, C. E., Radell, M. L., Shind, C., Ebanks-Williams, Y., Beck, K. D., &amp; Gilbertson, M. W. </t>
  </si>
  <si>
    <t xml:space="preserve">Myhren, H., Ekeberg, O., Toien, K., Karlsson, S., &amp; Stokland, O. </t>
  </si>
  <si>
    <t xml:space="preserve">Myhren, H., Toien, K., Ekeberg, O., Karlsson, S., Sandvik, L., &amp; Stokland, O. </t>
  </si>
  <si>
    <t xml:space="preserve">Neipert, L., Pastorek, N. J., Troyanskaya, M., Scheibel, R. S., Petersen, N. J., &amp; Levin, H. S. </t>
  </si>
  <si>
    <t xml:space="preserve">Nelson, N. W., Hoelzle, J. B., Doane, B. M., McGuire, K. A., Ferrier-Auerbach, A. G., Charlesworth, M. J., … Sponheim, S. R. </t>
  </si>
  <si>
    <t xml:space="preserve">Newsome, M. R., Durgerian, S., Mourany, L., Scheibel, R. S., Lowe, M. J., Beall, E. B., … Rao, S. M. </t>
  </si>
  <si>
    <t xml:space="preserve">Neylan, T. C., Lenoci, M., Rothlind, J., Metzler, T. J., Schuff, N., Du, A.-T., … Marmar, C. R. </t>
  </si>
  <si>
    <t xml:space="preserve">Olatunji, B. O., Armstrong, T., Bilsky, S. A., &amp; Zhao, M. </t>
  </si>
  <si>
    <t xml:space="preserve">Olatunji, B. O., Armstrong, T., McHugo, M., &amp; Zald, D. H. </t>
  </si>
  <si>
    <t xml:space="preserve">Palombo, D. J., Kapson, H. S., Lafleche, G., Vasterling, J. J., Marx, B. P., Franz, M., &amp; Verfaellie, M. </t>
  </si>
  <si>
    <t xml:space="preserve">Pang, E. W., Sedge, P., Grodecki, R., Robertson, A., MacDonald, M. J., Jetly, R., … Taylor, M. J. </t>
  </si>
  <si>
    <t xml:space="preserve">Podell, K., Gifford, K., Bougakov, D., &amp; Goldberg, E. </t>
  </si>
  <si>
    <t xml:space="preserve">Ponsford, J., Cameron, P., Fitzgerald, M., Grant, M., Mikocka-Walus, A., &amp; Schonberger, M. </t>
  </si>
  <si>
    <t xml:space="preserve">Rabinak, C. A., Holman, A., Angstadt, M., Kennedy, A. E., Hajcak, G., &amp; Phan, K. L. </t>
  </si>
  <si>
    <t xml:space="preserve">Robison-Andrew, E. J., Duval, E. R., Nelson, C. B., Echiverri-Cohen, A., Giardino, N., Defever, A., … Rauch, S. A. M. </t>
  </si>
  <si>
    <t xml:space="preserve">Roca, V., Hart, J., Kimbrell, T., &amp; Freeman, T. </t>
  </si>
  <si>
    <t xml:space="preserve">Roy, M. J., Costanzo, M. E., Jovanovic, T., Leaman, S., Taylor, P., Norrholm, S. D., &amp; Rizzo, A. A. </t>
  </si>
  <si>
    <t xml:space="preserve">Ruderman, L., Ehrlich, D. B., Roy, A., Pietrzak, R. H., Harpaz-Rotem, I., &amp; Levy, I. </t>
  </si>
  <si>
    <t xml:space="preserve">Sadeh, N., Spielberg, J. M., Miller, M. W., Milberg, W. P., Salat, D. H., Amick, M. M., … McGlinchey, R. E. </t>
  </si>
  <si>
    <t xml:space="preserve">Samuelson, K. W., Neylan, T. C., Lenoci, M., Metzler, T. J., Cardenas, V., Weiner, M. W., &amp; Marmar, C. R. </t>
  </si>
  <si>
    <t xml:space="preserve">Samuelson, K. W., Neylan, T. C., Metzler, T. J., Lenoci, M., Rothlind, J., Henn-Haase, C., … Marmar, C. R. </t>
  </si>
  <si>
    <t xml:space="preserve">Sarac-Hadzihalilovic, A., Kulenovic, A., &amp; Kucukalic, A. </t>
  </si>
  <si>
    <t xml:space="preserve">Saunders, G. H., Frederick, M. T., Arnold, M., Silverman, S., Chisolm, T. H., &amp; Myers, P. </t>
  </si>
  <si>
    <t xml:space="preserve">Sawyer, A. T., Liverant, G. I., Jun, J. J., Lee, D. J., Cohen, A. L., Dutra, S. J., … Sloan, D. M. </t>
  </si>
  <si>
    <t xml:space="preserve">Scott, J. C., Woods, S. P., Wrocklage, K. M., Schweinsburg, B. C., Southwick, S. M., &amp; Krystal, J. H. </t>
  </si>
  <si>
    <t xml:space="preserve">Seedat, S., Videen, J. S., Kennedy, C. M., &amp; Stein, M. B. </t>
  </si>
  <si>
    <t xml:space="preserve">Shah, A. J., Su, S., Veledar, E., Bremner, J. D., Goldstein, F. C., Lampert, R., … Vaccarino, V. </t>
  </si>
  <si>
    <t xml:space="preserve">Shalev, A. Y., Orr, S. P., &amp; Pitman, R. K. </t>
  </si>
  <si>
    <t xml:space="preserve">Shandera-Ochsner, A. L., Berry, D. T. R., Harp, J. P., Edmundson, M., Graue, L. O., Roach, A., &amp; High, W. M. J. </t>
  </si>
  <si>
    <t xml:space="preserve">Shaw, M. E., Strother, S. C., McFarlane, A. C., Morris, P., Anderson, J., Clark, C. R., &amp; Egan, G. F. </t>
  </si>
  <si>
    <t xml:space="preserve">Shin, L. M., Bush, G., Milad, M. R., Lasko, N. B., Brohawn, K. H., Hughes, K. C., … Pitman, R. K. </t>
  </si>
  <si>
    <t xml:space="preserve">Shu, I.-W., Onton, J. A., O’Connell, R. M., Simmons, A. N., &amp; Matthews, S. C. </t>
  </si>
  <si>
    <t xml:space="preserve">Shu, I.-W., Onton, J. A., Prabhakar, N., O’Connell, R. M., Simmons, A. N., &amp; Matthews, S. C. </t>
  </si>
  <si>
    <t xml:space="preserve">Shucard, J. L., McCabe, D. C., &amp; Szymanski, H. </t>
  </si>
  <si>
    <t xml:space="preserve">Shura, R. D., Rowland, J. A., &amp; Miskey, H. M. </t>
  </si>
  <si>
    <t xml:space="preserve">Soble, J. R., Spanierman, L. B., &amp; Fitzgerald Smith, J. </t>
  </si>
  <si>
    <t xml:space="preserve">Sodic, L., Anticevic, V., Britvic, D., &amp; Ivkosic, N. </t>
  </si>
  <si>
    <t xml:space="preserve">Sozda, C. N., Muir, J. J., Springer, U. S., Partovi, D., &amp; Cole, M. A. </t>
  </si>
  <si>
    <t xml:space="preserve">Storzbach, D., O’Neil, M. E., Roost, S.-M., Kowalski, H., Iverson, G. L., Binder, L. M., … Huckans, M. </t>
  </si>
  <si>
    <t xml:space="preserve">Stricker, N. H., Keller, J. E., Castillo, D. T., &amp; Haaland, K. Y. </t>
  </si>
  <si>
    <t xml:space="preserve">Sullivan, M. P., Griffiths, G. G., &amp; Moore Sohlberg, M. </t>
  </si>
  <si>
    <t xml:space="preserve">Suris, A., North, C., Adinoff, B., Powell, C. M., &amp; Greene, R. </t>
  </si>
  <si>
    <t xml:space="preserve">Sutker, P. B., Galina, Z. H., West, J. A., &amp; Allain, A. N. </t>
  </si>
  <si>
    <t xml:space="preserve">Sutker, P. B., Winstead, D. K., Galina, Z. H., &amp; Allain, A. N. </t>
  </si>
  <si>
    <t xml:space="preserve">Swick, D., Honzel, N., &amp; Turken, U. </t>
  </si>
  <si>
    <t xml:space="preserve">Swick, D., Honzel, N., Larsen, J., &amp; Ashley, V. </t>
  </si>
  <si>
    <t xml:space="preserve">Swick, D., Honzel, N., Larsen, J., Ashley, V., &amp; Justus, T. </t>
  </si>
  <si>
    <t xml:space="preserve">Tian, F., Yennu, A., Smith-Osborne, A., Gonzalez-Lima, F., North, C. S., &amp; Liu, H. </t>
  </si>
  <si>
    <t xml:space="preserve">Tischler, L., Brand, S. R., Stavitsky, K., Labinsky, E., Newmark, R., Grossman, R., … Yehuda, R. </t>
  </si>
  <si>
    <t xml:space="preserve">Troyanskaya, M., Pastorek, N. J., Scheibel, R. S., Petersen, N. J., McCulloch, K., Wilde, E. A., … Levin, H. S. </t>
  </si>
  <si>
    <t xml:space="preserve">van der Kolk, B., Blitz, R., Burr, W., Sherry, S., &amp; Hartmann, E. </t>
  </si>
  <si>
    <t xml:space="preserve">van Rooij, S. J. H., Geuze, E., Kennis, M., Rademaker, A. R., &amp; Vink, M. </t>
  </si>
  <si>
    <t xml:space="preserve">van Rooij, S. J. H., Rademaker, A. R., Kennis, M., Vink, M., Kahn, R. S., &amp; Geuze, E. </t>
  </si>
  <si>
    <t xml:space="preserve">Vasterling, J. J., Brailey, K., Constans, J. I., &amp; Sutker, P. B. </t>
  </si>
  <si>
    <t xml:space="preserve">Vasterling, J. J., Duke, L. M., Brailey, K., Constans, J. I., Allain, A. N. J., &amp; Sutker, P. B. </t>
  </si>
  <si>
    <t xml:space="preserve">Verfaellie, M., Lafleche, G., Spiro, A., &amp; Bousquet, K. </t>
  </si>
  <si>
    <t xml:space="preserve">Wangelin, B. C., &amp; Tuerk, P. W. </t>
  </si>
  <si>
    <t xml:space="preserve">Wisco, B. E., Pineles, S. L., Shipherd, J. C., &amp; Marx, B. P. </t>
  </si>
  <si>
    <t xml:space="preserve">Wisdom, N. M., Pastorek, N. J., Miller, B. I., Booth, J. E., Romesser, J. M., Linck, J. F., &amp; Sim, A. H. </t>
  </si>
  <si>
    <t xml:space="preserve">Witthoft, M., Borgmann, E., White, A., &amp; Dyer, A. </t>
  </si>
  <si>
    <t xml:space="preserve">Wolf, E. J., Logue, M. W., Hayes, J. P., Sadeh, N., Schichman, S. A., Stone, A., … Miller, M. W. </t>
  </si>
  <si>
    <t xml:space="preserve">Woods, D. L., Yund, E. W., Wyma, J. M., Ruff, R., &amp; Herron, T. J. </t>
  </si>
  <si>
    <t xml:space="preserve">Woodward, S. H., Kaloupek, D. G., Grande, L. J., Stegman, W. K., Kutter, C. J., Leskin, L., … Eliez, S. </t>
  </si>
  <si>
    <t xml:space="preserve">Woodward, S. H., Shurick, A. A., Alvarez, J., Kuo, J., Nonyieva, Y., Blechert, J., … Gross, J. J. </t>
  </si>
  <si>
    <t xml:space="preserve">Writer, B. W., Schillerstrom, J. E., Regwan, H. K., &amp; Harlan, B. S. </t>
  </si>
  <si>
    <t xml:space="preserve">Wrocklage, K. M., Schweinsburg, B. C., Krystal, J. H., Trejo, M., Roy, A., Weisser, V., … Scott, J. C. </t>
  </si>
  <si>
    <t xml:space="preserve">Yehuda, R., Golier, J. A., Tischler, L., Harvey, P. D., Newmark, R., Yang, R. K., &amp; Buchsbaum, M. S. </t>
  </si>
  <si>
    <t xml:space="preserve">Yehuda, R., Golier, J. A., Tischler, L., Stavitsky, K., &amp; Harvey, P. D. </t>
  </si>
  <si>
    <t xml:space="preserve">Yehuda, R., Harvey, P. D., Buchsbaum, M., Tischler, L., &amp; Schmeidler, J. </t>
  </si>
  <si>
    <t xml:space="preserve">Yehuda, R., Keefe, R. S., Harvey, P. D., Levengood, R. A., Gerber, D. K., Geni, J., &amp; Siever, L. J. </t>
  </si>
  <si>
    <t xml:space="preserve">Zalewski, Thompson, &amp; Gottesman, I. </t>
  </si>
  <si>
    <t xml:space="preserve">Aykac, A., Aydin, B., Cabadak, H., &amp; Goren, M. Z. </t>
  </si>
  <si>
    <t xml:space="preserve">Baisley, S. K., Cloninger, C. L., &amp; Bakshi, V. P. </t>
  </si>
  <si>
    <t xml:space="preserve">Barsy, B., Mikics, E., Barsvari, B., &amp; Haller, J. </t>
  </si>
  <si>
    <t xml:space="preserve">Bentefour, Y., Bennis, M., Garcia, R., &amp; M’hamed, S. B. </t>
  </si>
  <si>
    <t xml:space="preserve">Berardi, A., Trezza, V., Palmery, M., Trabace, L., Cuomo, V., &amp; Campolongo, P. </t>
  </si>
  <si>
    <t xml:space="preserve">Brennan, F. X., Beck, K. D., &amp; Servatius, R. J. </t>
  </si>
  <si>
    <t xml:space="preserve">Brennan, F. X., Beck, K. D., Ross, R. J., &amp; Servatius, R. J. </t>
  </si>
  <si>
    <t xml:space="preserve">Brydges, N. M., Wood, E. R., Holmes, M. C., &amp; Hall, J. </t>
  </si>
  <si>
    <t xml:space="preserve">Burgdorf, J., Kroes, R. A., Zhang, X., Gross, A. L., Schmidt, M., Weiss, C., … Moskal, J. R. </t>
  </si>
  <si>
    <t xml:space="preserve">Cacciaglia, R., Krause-Utz, A., Vogt, M. A., Schmahl, C., Flor, H., &amp; Gass, P. </t>
  </si>
  <si>
    <t xml:space="preserve">Cai, W.-H., Blundell, J., Han, J., Greene, R. W., &amp; Powell, C. M. </t>
  </si>
  <si>
    <t xml:space="preserve">Chen, C., Ji, M., Xu, Q., Zhang, Y., Sun, Q., Liu, J., … Li, W. </t>
  </si>
  <si>
    <t xml:space="preserve">Chuang, J.-C., Perello, M., Sakata, I., Osborne-Lawrence, S., Savitt, J. M., Lutter, M., &amp; Zigman, J. M. </t>
  </si>
  <si>
    <t xml:space="preserve">Cohen, H., Kaplan, Z., Koresh, O., Matar, M. A., Geva, A. B., &amp; Zohar, J. </t>
  </si>
  <si>
    <t xml:space="preserve">Cohen, H., Kaplan, Z., Kozlovsky, N., Gidron, Y., Matar, M. A., &amp; Zohar, J. </t>
  </si>
  <si>
    <t xml:space="preserve">Cohen, H., Liberzon, I., &amp; Richter-Levin, G. </t>
  </si>
  <si>
    <t xml:space="preserve">Cohen, H., Liu, T., Kozlovsky, N., Kaplan, Z., Zohar, J., &amp; Mathe, A. A. </t>
  </si>
  <si>
    <t xml:space="preserve">Cohen, H., Matar, M. A., Buskila, D., Kaplan, Z., &amp; Zohar, J. </t>
  </si>
  <si>
    <t xml:space="preserve">Cohen, H., Ziv, Y., Cardon, M., Kaplan, Z., Matar, M. A., Gidron, Y., … Kipnis, J. </t>
  </si>
  <si>
    <t xml:space="preserve">Cohen, S., Kozlovsky, N., Matar, M. A., Kaplan, Z., Zohar, J., &amp; Cohen, H. </t>
  </si>
  <si>
    <t xml:space="preserve">Corley, M. J., Caruso, M. J., &amp; Takahashi, L. K. </t>
  </si>
  <si>
    <t xml:space="preserve">Corral-Frias, N. S., Lahood, R. P., Edelman-Vogelsang, K. E., French, E. D., &amp; Fellous, J.-M. </t>
  </si>
  <si>
    <t xml:space="preserve">Diehl, L. A., Alvares, L. O., Noschang, C., Engelke, D., Andreazza, A. C., Goncalves, C. A. S., … Dalmaz, C. </t>
  </si>
  <si>
    <t xml:space="preserve">Ding, A. Y., Li, Q., Zhou, I. Y., Ma, S. J., Tong, G., McAlonan, G. M., &amp; Wu, E. X. </t>
  </si>
  <si>
    <t xml:space="preserve">Feng, D., Guo, B., Liu, G., Wang, B., Wang, W., Gao, G., … Wu, S. </t>
  </si>
  <si>
    <t xml:space="preserve">Fucich, E. A., Paredes, D., &amp; Morilak, D. A. </t>
  </si>
  <si>
    <t xml:space="preserve">Galatzer-Levy, I. R., Moscarello, J., Blessing, E. M., Klein, J., Cain, C. K., &amp; LeDoux, J. E. </t>
  </si>
  <si>
    <t xml:space="preserve">Ganon-Elazar, E., &amp; Akirav, I. </t>
  </si>
  <si>
    <t xml:space="preserve">Gao, J., Wang, H., Liu, Y., Li, Y.-Y., Chen, C., Liu, L.-M., … Yang, C. </t>
  </si>
  <si>
    <t xml:space="preserve">Garabadu, D., Ahmad, A., &amp; Krishnamurthy, S. </t>
  </si>
  <si>
    <t xml:space="preserve">George, S. A., Rodriguez-Santiago, M., Riley, J., Abelson, J. L., Floresco, S. B., &amp; Liberzon, I. </t>
  </si>
  <si>
    <t xml:space="preserve">Goswami, S., Samuel, S., Sierra, O. R., Cascardi, M., &amp; Pare, D. </t>
  </si>
  <si>
    <t xml:space="preserve">Haller, J., Nagy, R., Toth, M., Pelczer, K. G., &amp; Mikics, E. </t>
  </si>
  <si>
    <t xml:space="preserve">Harvey, B. H., Naciti, C., Brand, L., &amp; Stein, D. J. </t>
  </si>
  <si>
    <t xml:space="preserve">Hendriksen, H., Bink, D. I., Daniels, E. G., Pandit, R., Piriou, C., Slieker, R., … Oosting, R. S. </t>
  </si>
  <si>
    <t xml:space="preserve">Hendriksen, H., Prins, J., Olivier, B., &amp; Oosting, R. S. </t>
  </si>
  <si>
    <t xml:space="preserve">Huang, G.-B., Zhao, T., Gao, X.-L., Zhang, H.-X., Xu, Y.-M., Li, H., &amp; Lv, L.-X. </t>
  </si>
  <si>
    <t xml:space="preserve">Huang, Z., Liu, R., Bai, X., Zhao, G., Song, J., Wu, S., &amp; Du, G. </t>
  </si>
  <si>
    <t xml:space="preserve">Imanaka, A., Morinobu, S., Toki, S., &amp; Yamawaki, S. </t>
  </si>
  <si>
    <t xml:space="preserve">Iwamoto, Y., Morinobu, S., Takahashi, T., &amp; Yamawaki, S. </t>
  </si>
  <si>
    <t xml:space="preserve">Janezic, E. M., Uppalapati, S., Nagl, S., Contreras, M., French, E. D., &amp; Fellous, J.-M. </t>
  </si>
  <si>
    <t xml:space="preserve">Ji, L.-L., Peng, J.-B., Fu, C.-H., Cao, D., Li, D., Tong, L., &amp; Wang, Z.-Y. </t>
  </si>
  <si>
    <t xml:space="preserve">Juven-Wetzler, A., Cohen, H., Kaplan, Z., Kohen, A., Porat, O., &amp; Zohar, J. </t>
  </si>
  <si>
    <t xml:space="preserve">Koba, T., Kodama, Y., Shimizu, K., Nomura, S., Sugawara, M., Kobayashi, Y., &amp; Ogasawara, T. </t>
  </si>
  <si>
    <t xml:space="preserve">Kozlovsky, N., Matar, M. A., Kaplan, Z., Zohar, J., &amp; Cohen, H. </t>
  </si>
  <si>
    <t xml:space="preserve">Krishnamurthy, S., Garabadu, D., &amp; Joy, K. P. </t>
  </si>
  <si>
    <t xml:space="preserve">Lazaroni, T. L. do N., Bastos, C. P., Moraes, M. F. D., Santos, R. S., &amp; Pereira, G. S. </t>
  </si>
  <si>
    <t xml:space="preserve">Lee, B., Sur, B., Cho, S.-G., Yeom, M., Shim, I., Lee, H., &amp; Hahm, D.-H. </t>
  </si>
  <si>
    <t xml:space="preserve">Li, C., Liu, Y., Yin, S., Lu, C., Liu, D., Jiang, H., &amp; Pan, F. </t>
  </si>
  <si>
    <t xml:space="preserve">Li, X., Han, F., &amp; Shi, Y. </t>
  </si>
  <si>
    <t xml:space="preserve">Liu, F.-F., Yang, L.-D., Sun, X.-R., Zhang, H., Pan, W., Wang, X.-M., … Yuan, H.-M. </t>
  </si>
  <si>
    <t xml:space="preserve">Long, V. A., &amp; Fanselow, M. S. </t>
  </si>
  <si>
    <t xml:space="preserve">Maier, S. F. </t>
  </si>
  <si>
    <t xml:space="preserve">Matar, M. A., Zohar, J., Kaplan, Z., &amp; Cohen, H. </t>
  </si>
  <si>
    <t xml:space="preserve">Mazor, A., Matar, M. A., Kaplan, Z., Kozlovsky, N., Zohar, J., &amp; Cohen, H. </t>
  </si>
  <si>
    <t xml:space="preserve">Miao, Y.-L., Guo, W.-Z., Shi, W.-Z., Fang, W.-W., Liu, Y., Liu, J., … Li, Y.-F. </t>
  </si>
  <si>
    <t xml:space="preserve">Mikics, E., Baranyi, J., &amp; Haller, J. </t>
  </si>
  <si>
    <t xml:space="preserve">Mirshekar, M., Abrari, K., Goudarzi, I., &amp; Rashidy-Pour, A. </t>
  </si>
  <si>
    <t xml:space="preserve">Missig, G., Ayers, L. W., Schulkin, J., &amp; Rosen, J. B. </t>
  </si>
  <si>
    <t xml:space="preserve">Monsey, M. S., Gerhard, D. M., Boyle, L. M., Briones, M. A., Seligsohn, M., &amp; Schafe, G. E. </t>
  </si>
  <si>
    <t xml:space="preserve">Nalloor, R., Bunting, K. M., &amp; Vazdarjanova, A. </t>
  </si>
  <si>
    <t xml:space="preserve">Ninomiya, E. M., Martynhak, B. J., Zanoveli, J. M., Correia, D., da Cunha, C., &amp; Andreatini, R. </t>
  </si>
  <si>
    <t xml:space="preserve">Ojo, J. O., Greenberg, M. B., Leary, P., Mouzon, B., Bachmeier, C., Mullan, M., … Crawford, F. </t>
  </si>
  <si>
    <t xml:space="preserve">Pare, W. P. </t>
  </si>
  <si>
    <t xml:space="preserve">Park, K., Song, B., Kim, J., Hong, I., Song, S., Lee, J., … Choi, S. </t>
  </si>
  <si>
    <t xml:space="preserve">Patki, G., Li, L., Allam, F., Solanki, N., Dao, A. T., Alkadhi, K., &amp; Salim, S. </t>
  </si>
  <si>
    <t xml:space="preserve">Patki, G., Solanki, N., &amp; Salim, S. </t>
  </si>
  <si>
    <t xml:space="preserve">Philbert, J., Belzung, C., &amp; Griebel, G. </t>
  </si>
  <si>
    <t xml:space="preserve">Philbert, J., Pichat, P., Beeske, S., Decobert, M., Belzung, C., &amp; Griebel, G. </t>
  </si>
  <si>
    <t xml:space="preserve">Philbert, J., Pichat, P., Palme, R., Belzung, C., &amp; Griebel, G. </t>
  </si>
  <si>
    <t xml:space="preserve">Piao, C., Deng, X., Wang, X., Yuan, Y., Liu, Z., &amp; Liang, J. </t>
  </si>
  <si>
    <t xml:space="preserve">Pibiri, F., Nelson, M., Guidotti, A., Costa, E., &amp; Pinna, G. </t>
  </si>
  <si>
    <t xml:space="preserve">Pickens, C. L., Golden, S. A., Adams-Deutsch, T., Nair, S. G., &amp; Shaham, Y. </t>
  </si>
  <si>
    <t xml:space="preserve">Pinna, G., &amp; Rasmusson, A. M. </t>
  </si>
  <si>
    <t xml:space="preserve">Powers, M. S., Barrenha, G. D., Mlinac, N. S., Barker, E. L., &amp; Chester, J. A. </t>
  </si>
  <si>
    <t xml:space="preserve">Qiu, Z.-K., Zhang, G.-H., He, J.-L., Ma, J.-C., Zeng, J., Shen, D., … Liu, C.-Y. </t>
  </si>
  <si>
    <t xml:space="preserve">Qiu, Z.-K., Zhang, L.-M., Zhao, N., Chen, H.-X., Zhang, Y.-Z., Liu, Y.-Q., … Li, Y.-F. </t>
  </si>
  <si>
    <t xml:space="preserve">Reznikov, R., Diwan, M., Nobrega, J. N., &amp; Hamani, C. </t>
  </si>
  <si>
    <t xml:space="preserve">Richter-Levin, G. </t>
  </si>
  <si>
    <t xml:space="preserve">Roth, M. K., Bingham, B., Shah, A., Joshi, A., Frazer, A., Strong, R., &amp; Morilak, D. A. </t>
  </si>
  <si>
    <t xml:space="preserve">Salm, A. K., Lally, B. E., Borysiewicz, E., Fil, D., &amp; Konat, G. </t>
  </si>
  <si>
    <t xml:space="preserve">Saridogan, G. E., Aykac, A., Cabadak, H., Cerit, C., Caliskan, M., &amp; Goren, M. Z. </t>
  </si>
  <si>
    <t xml:space="preserve">Sawamura, T., Shimizu, K., Nibuya, M., Wakizono, T., Suzuki, G., Tsunoda, T., … Nomura, S. </t>
  </si>
  <si>
    <t xml:space="preserve">Siegmund, A., &amp; Wotjak, C. T. </t>
  </si>
  <si>
    <t xml:space="preserve">Solanki, N., Alkadhi, I., Atrooz, F., Patki, G., &amp; Salim, S. </t>
  </si>
  <si>
    <t xml:space="preserve">Sun, X. R., Zhang, H., Zhao, H. T., Ji, M. H., Li, H. H., Wu, J., … Yang, J. J. </t>
  </si>
  <si>
    <t xml:space="preserve">Sun, X.-M., Tu, W.-Q., Shi, Y.-W., Xue, L., &amp; Zhao, H. </t>
  </si>
  <si>
    <t xml:space="preserve">Takahashi, T., Morinobu, S., Iwamoto, Y., &amp; Yamawaki, S. </t>
  </si>
  <si>
    <t xml:space="preserve">Takahashi, T., Shimizu, K., Shimazaki, K., Toda, H., &amp; Nibuya, M. </t>
  </si>
  <si>
    <t xml:space="preserve">Toledano, D., &amp; Gisquet-Verrier, P. </t>
  </si>
  <si>
    <t xml:space="preserve">Toth, M., Flandreau, E. I., Deslauriers, J., Geyer, M. A., Mansuy, I. M., Merlo Pich, E., &amp; Risbrough, V. B. </t>
  </si>
  <si>
    <t xml:space="preserve">Tulogdi, A., Soros, P., Toth, M., Nagy, R., Biro, L., Aliczki, M., … Haller, J. </t>
  </si>
  <si>
    <t xml:space="preserve">Vanderheyden, W. M., George, S. A., Urpa, L., Kehoe, M., Liberzon, I., &amp; Poe, G. R. </t>
  </si>
  <si>
    <t xml:space="preserve">Viviani, D., Haegler, P., Strasser, D. S., &amp; Steiner, M. A. </t>
  </si>
  <si>
    <t xml:space="preserve">Wakizono, T., Sawamura, T., Shimizu, K., Nibuya, M., Suzuki, G., Toda, H., … Nomura, S. </t>
  </si>
  <si>
    <t xml:space="preserve">Wang, H.-N., Bai, Y.-H., Chen, Y.-C., Zhang, R.-G., Wang, H.-H., Zhang, Y.-H., … Tan, Q.-R. </t>
  </si>
  <si>
    <t xml:space="preserve">Wang, J., Akirav, I., &amp; Richter-Levin, G. </t>
  </si>
  <si>
    <t xml:space="preserve">Wang, W., Liu, Y., Zheng, H., Wang, H. N., Jin, X., Chen, Y. C., … Tan, Q. R. </t>
  </si>
  <si>
    <t xml:space="preserve">Wang, Z., Zhu, K., Chen, L., Ou Yang, L., Huang, Y., &amp; Zhao, Y. </t>
  </si>
  <si>
    <t xml:space="preserve">Wellman, L. L., Fitzpatrick, M. E., Machida, M., &amp; Sanford, L. D. </t>
  </si>
  <si>
    <t xml:space="preserve">Yamamoto, S., Morinobu, S., Fuchikami, M., Kurata, A., Kozuru, T., &amp; Yamawaki, S. </t>
  </si>
  <si>
    <t xml:space="preserve">Yu, H., Watt, H., Kesavan, C., Johnson, P. J., Wergedal, J. E., &amp; Mohan, S. </t>
  </si>
  <si>
    <t xml:space="preserve">Yuan, Q., Deng, K.-Y., Sun, L., Chi, S., Yang, Z., Wang, J., … Ji, G. </t>
  </si>
  <si>
    <t xml:space="preserve">Zeitlin, R., Patel, S., Solomon, R., Tran, J., Weeber, E. J., &amp; Echeverria, V. </t>
  </si>
  <si>
    <t xml:space="preserve">Zohar, J., Matar, M. A., Ifergane, G., Kaplan, Z., &amp; Cohen, H. </t>
  </si>
  <si>
    <t xml:space="preserve">Zoladz, P. R., Fleshner, M., &amp; Diamond, D. M. </t>
  </si>
  <si>
    <t>Publication Year</t>
  </si>
  <si>
    <t>Method_Measure</t>
  </si>
  <si>
    <t>Startle response (EMG)</t>
  </si>
  <si>
    <t>Outcome1_M</t>
  </si>
  <si>
    <t>Outcome2_M</t>
  </si>
  <si>
    <t>Outcome3_M</t>
  </si>
  <si>
    <t>Outcome4_M</t>
  </si>
  <si>
    <t>Outcome5_M</t>
  </si>
  <si>
    <t>Outcome6_M</t>
  </si>
  <si>
    <t>Outcome7_M</t>
  </si>
  <si>
    <t>Outcome8_M</t>
  </si>
  <si>
    <t>Method_Experimental Groups (n)</t>
  </si>
  <si>
    <t>p&lt;.001</t>
  </si>
  <si>
    <t>CS+ &gt; CS- [controle]</t>
  </si>
  <si>
    <t>No difference CS+ &amp; CS- [PTSD patients]</t>
  </si>
  <si>
    <t>Higher CS- rep. In PTSD patients during Acq.</t>
  </si>
  <si>
    <t>p&lt;.004</t>
  </si>
  <si>
    <t>p&lt;.05</t>
  </si>
  <si>
    <t>PTSD group higher level of conditioned fear across extinction session (vs controle)</t>
  </si>
  <si>
    <t>Outcome1_VarName</t>
  </si>
  <si>
    <t>PTSD_Acq_CS+_StartleMag</t>
  </si>
  <si>
    <t>Outcome2_VarName</t>
  </si>
  <si>
    <t>PTSD_Acq_CS-_StartleMag</t>
  </si>
  <si>
    <t>Outcome3_VarName</t>
  </si>
  <si>
    <t>Controle Group</t>
  </si>
  <si>
    <t>Combat Controles</t>
  </si>
  <si>
    <t>Control_Acq_CS-_StartleMag</t>
  </si>
  <si>
    <t>Control_Acq_CS+_StartleMag</t>
  </si>
  <si>
    <t>Diff_outcome1&amp;2_Statistic</t>
  </si>
  <si>
    <t>Diff_outcome1&amp;2_SUM</t>
  </si>
  <si>
    <t>Diff_outcome3&amp;4_SUM</t>
  </si>
  <si>
    <t>Diff_Outcome 3&amp;4_Statistic</t>
  </si>
  <si>
    <t>Diff_Outcome1&amp;2+3&amp;4_SUM</t>
  </si>
  <si>
    <t>Diff_Outcome1&amp;2+3&amp;4_Statistic</t>
  </si>
  <si>
    <t>Outcome5_VarName</t>
  </si>
  <si>
    <t>Outcome4_VarName</t>
  </si>
  <si>
    <t>Control_EarlyExt_%_Conditioned_fear</t>
  </si>
  <si>
    <t>Outcome6_VarName</t>
  </si>
  <si>
    <t>PTSD_EarlyExt_%_Conditioned_fear</t>
  </si>
  <si>
    <t>Outcome7_VarName</t>
  </si>
  <si>
    <t>Control_MidExt1_%_Conditioned_fear</t>
  </si>
  <si>
    <t>Outcome8_VarName</t>
  </si>
  <si>
    <t>PTSD_MidExt1_%_Conditioned_fear</t>
  </si>
  <si>
    <t>Control_MidExt2_%_Conditioned_fear</t>
  </si>
  <si>
    <t>PTSD_MidExt2_%_Conditioned_fear</t>
  </si>
  <si>
    <t>Control_LateExt_%_Conditioned_fear</t>
  </si>
  <si>
    <t>PTSD_LateExt_%_Conditioned_fear</t>
  </si>
  <si>
    <t>F(1,22) = 7.0,p=0.01</t>
  </si>
  <si>
    <t>ptsd: F(1,22)=2.9, p =.10; non-ptsd: F91,22) = 0.01</t>
  </si>
  <si>
    <t>Domein (FINAL)</t>
  </si>
  <si>
    <t>PTSD_Acq_CS+_StartleMag(uV)_session1</t>
  </si>
  <si>
    <t>PTSD_Acq_CS-_StartleMag(uV)_session1</t>
  </si>
  <si>
    <t>Control_Acq_CS+_StartleMag(uV)_session1</t>
  </si>
  <si>
    <t>Control_Acq_CS-_StartleMag(uV)_session1</t>
  </si>
  <si>
    <t>Control_PostConditioning_CS+_StartleMag(uV)_session1</t>
  </si>
  <si>
    <t>PTSD_PostConditioning_CS+_StartleMag(uV)_session1</t>
  </si>
  <si>
    <t>Control_PostConditioning_CS-_StartleMag(uV)_session1</t>
  </si>
  <si>
    <t>PTSD_PostConditioning_CS-_StartleMag(uV)_session1</t>
  </si>
  <si>
    <t>Control_Retention_CS-_StartleMag(uV)_session2</t>
  </si>
  <si>
    <t>Control_Retention_CS+_StartleMag(uV)_session2</t>
  </si>
  <si>
    <t>PTSD_Retention_CS+_StartleMag(uV)_session2</t>
  </si>
  <si>
    <t>PTSD_Retention_CS-_StartleMag(uV)_session2</t>
  </si>
  <si>
    <t>Control_Reconditioning_CS+_StartleMag(uV)_session2</t>
  </si>
  <si>
    <t>Control_Reconditioning_CS-_StartleMag(uV)_session2</t>
  </si>
  <si>
    <t>PTSD_Reconditioning_CS+_StartleMag(uV)_session2</t>
  </si>
  <si>
    <t>PTSD_Reconditioning_CS-_StartleMag(uV)_session2</t>
  </si>
  <si>
    <t>F(1,22) = 6,3, p&lt;.01</t>
  </si>
  <si>
    <t>Higher CS- rep. Then ITI resp in PTSD patients, not in controles</t>
  </si>
  <si>
    <t>Method_Task</t>
  </si>
  <si>
    <t>ShuttelBox - Avoidance</t>
  </si>
  <si>
    <t>2-3 months</t>
  </si>
  <si>
    <t>Method_animal light dark testing?</t>
  </si>
  <si>
    <t>na</t>
  </si>
  <si>
    <t>light</t>
  </si>
  <si>
    <t>NOTES MS during data extraction</t>
  </si>
  <si>
    <t>no shock in shuttle box</t>
  </si>
  <si>
    <t>footshock (1.5mA) in shuttle box</t>
  </si>
  <si>
    <t>PTSD_Stepthrough-latency(s)_24h</t>
  </si>
  <si>
    <t>Control_Stepthrough-latency(s)_24h</t>
  </si>
  <si>
    <t>PTSD_Stepthrough-latency(s)_2weeks</t>
  </si>
  <si>
    <t>Control_Stepthrough-latency(s)_2weeks</t>
  </si>
  <si>
    <t>ptsd group increased stepthrough latency</t>
  </si>
  <si>
    <t>ns</t>
  </si>
  <si>
    <t>p.2305: Post hoc Scheffé tests indicated that the 1.5-mA group differed from each of the two other groups (0.0 and 0.4 mA) only during the last retention session (day 13: both p &lt; 0.0001); -- Highlighted 05 Jan 2017</t>
  </si>
  <si>
    <t>PTSD group alleen na 2 weken nog avoidance van shock compartment</t>
  </si>
  <si>
    <t>p&lt;0.0001</t>
  </si>
  <si>
    <t>authors beschrijven 1.5mA footshock groep tijdens passive avoidance training als "ptsd model", 0mA footshock is controle groep, 0.4mA group keert terug naar baseline na 2 weken. Daarom gekozen om alleen de 0mA als controle te nemen, en 1.5mA group als 'pstd model';  alleen avoidance &amp; contextual fear (geen fear sensitisatie data of angst data)</t>
  </si>
  <si>
    <t>Control_%_Contextual_Conditioned_fear_24h(na clasical conditioning)</t>
  </si>
  <si>
    <t>Control_%_Contextual_Conditioned_fear_8dagen(na clasical conditioning)</t>
  </si>
  <si>
    <t>PTSD_%_Contextual_Conditioned_fear_24h(na clasical conditioning)</t>
  </si>
  <si>
    <t>PTSD_%_Contextual_Conditioned_fear_8dagen(na clasical conditioning)</t>
  </si>
  <si>
    <t>Diff_Outcome5-6_SUM</t>
  </si>
  <si>
    <t>Diff_Outcome7-8_SUM</t>
  </si>
  <si>
    <t>PTSD increased contextual fear learning</t>
  </si>
  <si>
    <t>PTSD 2week persistend avoidance of shock compartment</t>
  </si>
  <si>
    <t>Contextual (fear) memory</t>
  </si>
  <si>
    <t>2 months</t>
  </si>
  <si>
    <t>cat odor exposure model (collar)</t>
  </si>
  <si>
    <t>non exposed</t>
  </si>
  <si>
    <t>Control_CatExp_%timefreezing_contextualfear_Day1</t>
  </si>
  <si>
    <t>PTSD_CatExp_%timefreezing_contextualfear_Day1</t>
  </si>
  <si>
    <t>PTSD_footshock_%timefreezing_contextualfear_Day1</t>
  </si>
  <si>
    <t>Control_footshock_%timefreezing_contextualfear_Day1</t>
  </si>
  <si>
    <t>PTSD_footshock_%timefreezing_contextualfear_Day7</t>
  </si>
  <si>
    <t>PTSD_CatExp_%timefreezing_contextualfear_Day7</t>
  </si>
  <si>
    <t>Control_CatExp_%timefreezing_contextualfear_Day7</t>
  </si>
  <si>
    <t>Control_footshock_%timefreezing_contextualfear_Day7</t>
  </si>
  <si>
    <t>PTSD_CatExp_%timefreezing_contextualfear_Day14</t>
  </si>
  <si>
    <t>PTSD_footshock_%timefreezing_contextualfear_Day14</t>
  </si>
  <si>
    <t>Control_footshock_%timefreezing_contextualfear_Day14</t>
  </si>
  <si>
    <t>Control_CatExp_%timefreezing_contextualfear_Day14</t>
  </si>
  <si>
    <t>Outcome1_SD</t>
  </si>
  <si>
    <t>Outcome1_SEM</t>
  </si>
  <si>
    <t>Outcome2_SD</t>
  </si>
  <si>
    <t>Outcome2_SEM</t>
  </si>
  <si>
    <t>Outcome3_SD</t>
  </si>
  <si>
    <t>Outcome3_SEM</t>
  </si>
  <si>
    <t>Outcome4_SD</t>
  </si>
  <si>
    <t>Outcome4_SEM</t>
  </si>
  <si>
    <t>Outcome5_SD</t>
  </si>
  <si>
    <t>Outcome5_SEM</t>
  </si>
  <si>
    <t>Outcome6_SD</t>
  </si>
  <si>
    <t>Outcome6_SEM</t>
  </si>
  <si>
    <t>Outcome7_SD</t>
  </si>
  <si>
    <t>Outcome7_SEM</t>
  </si>
  <si>
    <t>Outcome8_SD</t>
  </si>
  <si>
    <t>Outcome8_SEM</t>
  </si>
  <si>
    <t>KeyFinding</t>
  </si>
  <si>
    <t>[CS- PTSD &gt; CS- Control] &amp; [CS+ = CS - in PTSD] during fear acq</t>
  </si>
  <si>
    <t>Fear in PTSD &gt; control bij ext.</t>
  </si>
  <si>
    <t>Fear Acquisition</t>
  </si>
  <si>
    <t>Fear Extinction</t>
  </si>
  <si>
    <t>Fear Re-Conditioning</t>
  </si>
  <si>
    <t>CS+ &gt; CS - [both] reconditioning</t>
  </si>
  <si>
    <t>CS+ = CS- [both] extinction</t>
  </si>
  <si>
    <t>[CS- PTSD &gt; CS- Control] &amp; [CS+ = CS - in PTSD] acquisitie</t>
  </si>
  <si>
    <t>Fear Retention</t>
  </si>
  <si>
    <t>CS+&gt;CS- in both groups during reconditioning</t>
  </si>
  <si>
    <t>Diff_Outcome5-6_Statistic</t>
  </si>
  <si>
    <t>Diff_Outcome7-8_Statistic</t>
  </si>
  <si>
    <t>[F(1,22) =1.3 ns; ptsd F(1,22) = 0.4 ns.)</t>
  </si>
  <si>
    <t>Diff_Outcome5&amp;6+7&amp;8_SUM</t>
  </si>
  <si>
    <t>Diff_Outcome5&amp;6+7&amp;8_Statistic</t>
  </si>
  <si>
    <t>PTSD group (vs controle) higher level of conditioned fear during Mid extinction 2 (&amp; late extinction)</t>
  </si>
  <si>
    <t>PTSD group (vs controle) higher level of conditioned fear during (Mid extinction 2 &amp;) late extinction</t>
  </si>
  <si>
    <t>AVOIDANCE</t>
  </si>
  <si>
    <t>Avoidance</t>
  </si>
  <si>
    <t>Contextual fear learning</t>
  </si>
  <si>
    <t>No sig difference CS+ &amp; CS- during retention for controle &amp; PTSD?</t>
  </si>
  <si>
    <t>A one-way ANOVA on data of day 4 (=na 24u) showed a main effect of group (F2,18=9.31, p&lt;0.01), wherein the 1.5-mA group differed only from the 0.0-mA group (post hoc Scheffé tests: p &lt; 0.001</t>
  </si>
  <si>
    <t>A one-way ANOVA on data of day 12 (=na2weeks) also indicated a main effect of group (F2,18= 14.98, p &lt; 0.0001), wherein 1.5-mA mice displayed more freezing than mice in each of the two other groups (0.0- and 0.4-mA groups; post hoc Scheffé tests: with each p &lt; 0.05).</t>
  </si>
  <si>
    <t>p &lt; 0.001</t>
  </si>
  <si>
    <t>p&lt;.09, ns</t>
  </si>
  <si>
    <t>F(1,22) = 1,2; ns</t>
  </si>
  <si>
    <t>PTSD group increased % freezing then control</t>
  </si>
  <si>
    <t>ptsd group increased stepthrough latency, during last retention sessoin</t>
  </si>
  <si>
    <t>(exposed vs non-exposed)</t>
  </si>
  <si>
    <t>p&lt;0.05</t>
  </si>
  <si>
    <t>only na day1 meer contextual freesing in ptds group (dag 7 &amp; 14  ptsd &amp; controle gelijk)</t>
  </si>
  <si>
    <t>0? (niet af te lezen)</t>
  </si>
  <si>
    <t>niet af te lezen uit grafiek</t>
  </si>
  <si>
    <t>no diff. Ptds &amp; controle op day14</t>
  </si>
  <si>
    <t>no difference ptsd &amp; control op day 7</t>
  </si>
  <si>
    <t>ptsd group more % freezing then controle group op day 1</t>
  </si>
  <si>
    <t>n=8-11?</t>
  </si>
  <si>
    <t>n=8-11? Per group?/ per meet moment / per conditie? Slecht gerapporteerd!</t>
  </si>
  <si>
    <t>sample sizes heel slecht gerapporteerd</t>
  </si>
  <si>
    <t>social housing + multiple footshock exposure model (5x 2s 0.8mA)</t>
  </si>
  <si>
    <t xml:space="preserve"> isolation + multiple footshock exposure model (5x 2s 0.8mA)</t>
  </si>
  <si>
    <t>Contextual (fear) memory [+socialisolation]</t>
  </si>
  <si>
    <t>PTSD_isolation+footshock_%timefreezing_contextualfear_Day1</t>
  </si>
  <si>
    <t>Control_isolation+footshock_%timefreezing_contextualfear_Day1</t>
  </si>
  <si>
    <t>PTSD_isolation+footshock_%timefreezing_contextualfear_Day7</t>
  </si>
  <si>
    <t>Control_isolation+footshock_%timefreezing_contextualfear_Day7</t>
  </si>
  <si>
    <t>PTSD_isolation+footshock_%timefreezing_contextualfear_Day14</t>
  </si>
  <si>
    <t>Control_isolation+footshock_%timefreezing_contextualfear_Day14</t>
  </si>
  <si>
    <t>PTSD_isolation+footshock_%timefreezing_contextualfear_Day21</t>
  </si>
  <si>
    <t>Control_isolation+footshock_%timefreezing_contextualfear_Day21</t>
  </si>
  <si>
    <t>Outcome9_VarName</t>
  </si>
  <si>
    <t>Outcome9_M</t>
  </si>
  <si>
    <t>Outcome9_SD</t>
  </si>
  <si>
    <t>Outcome9_SEM</t>
  </si>
  <si>
    <t>PTSD_isolation+footshock_%timefreezing_contextualfear_Day56</t>
  </si>
  <si>
    <t>Outcome10_VarName</t>
  </si>
  <si>
    <t>Outcome10_M</t>
  </si>
  <si>
    <t>Outcome10_SD</t>
  </si>
  <si>
    <t>Outcome10_SEM</t>
  </si>
  <si>
    <t>Control_isolation+footshock_%timefreezing_contextualfear_Day56</t>
  </si>
  <si>
    <t>Diff_Outcome 8-10 SUM</t>
  </si>
  <si>
    <t>Diff_Outcome 9-10 Statistic</t>
  </si>
  <si>
    <t>p&lt;0.01</t>
  </si>
  <si>
    <t>pstd groupe more % freezing op day1</t>
  </si>
  <si>
    <t>ptsd group more % freezing then control</t>
  </si>
  <si>
    <t>p&lt;0,01</t>
  </si>
  <si>
    <t>ptsd group more % freezing then controle</t>
  </si>
  <si>
    <t xml:space="preserve"> p&lt;0,01</t>
  </si>
  <si>
    <t>ptsd group more freezing then controle</t>
  </si>
  <si>
    <t>ptsd group more freezing then control</t>
  </si>
  <si>
    <t>ptsd more %freezing then control</t>
  </si>
  <si>
    <t>multiple footschocks + isolation --&gt; longlasting memory trace for the traumatic event [% conditioned freezing blijft hoog (t/m 56days)</t>
  </si>
  <si>
    <t>multiple footschocks - social isolation  --&gt; longlasting memory trace for the traumatic event [% conditioned freezing blijft hoog (t/m 56days) [maar minder emotional distress, door social buffering?]</t>
  </si>
  <si>
    <t>Chronic unpredictable stress (CUS) - 21 days</t>
  </si>
  <si>
    <t>n=9-14 rats per group?</t>
  </si>
  <si>
    <t>9-14?</t>
  </si>
  <si>
    <t>sample sizes heel slecht gerapporteerd; ptsd group met vehicle &amp; rapastinel (alleen vehicle &amp; no stress data opgenomen in tabel)</t>
  </si>
  <si>
    <t>Swiss mice</t>
  </si>
  <si>
    <t>Subjects_Strain_or_Population</t>
  </si>
  <si>
    <t>Military</t>
  </si>
  <si>
    <t>light? Niet zeker</t>
  </si>
  <si>
    <t>CFC (re-exposure)</t>
  </si>
  <si>
    <t>2 (3 in totale paper, nl interventie met rapastinel)</t>
  </si>
  <si>
    <t>Contextual fear consolidation</t>
  </si>
  <si>
    <t>PTSD_Acq_%contextual_freezing</t>
  </si>
  <si>
    <t>PTSD_EXTday1_%contextual_freezing</t>
  </si>
  <si>
    <t>PTSD_ContextualConsolidation_day14_%contextual_freezing</t>
  </si>
  <si>
    <t>Control_Acq_%contextual_freezing</t>
  </si>
  <si>
    <t>Control_EXTday1_%contextual_freezing</t>
  </si>
  <si>
    <t>Control_ContextualConsolidation_day14_%contextual_freezing</t>
  </si>
  <si>
    <t>Control_Freezing_delta(D14-D6)_contextual_consolidation</t>
  </si>
  <si>
    <t>PTSD_Freezing_delta(D14-D6)_contextual_consolidation</t>
  </si>
  <si>
    <t>PTSD_EXTday2_%contextual_freezing</t>
  </si>
  <si>
    <t>Control_EXTday2_%contextual_freezing</t>
  </si>
  <si>
    <t>PTSD_EXTday3_%contextual_freezing</t>
  </si>
  <si>
    <t>Control_EXTday3_%contextual_freezing</t>
  </si>
  <si>
    <t>PTSD_EXTday4_%contextual_freezing</t>
  </si>
  <si>
    <t>Control_EXTday4_%contextual_freezing</t>
  </si>
  <si>
    <t>PTSD_EXTday5_%contextual_freezing</t>
  </si>
  <si>
    <t>Control_EXTday5_%contextual_freezing</t>
  </si>
  <si>
    <t>Outcome12_VarName</t>
  </si>
  <si>
    <t>Outcome11_VarName</t>
  </si>
  <si>
    <t>Outcome11_M</t>
  </si>
  <si>
    <t>Outcome11_SD</t>
  </si>
  <si>
    <t>Outcome11_SEM</t>
  </si>
  <si>
    <t>PTSD_EXTday6_%contextual_freezing</t>
  </si>
  <si>
    <t>Control_EXTday6_%contextual_freezing</t>
  </si>
  <si>
    <t>Outcome12_M</t>
  </si>
  <si>
    <t>Outcome12_SD</t>
  </si>
  <si>
    <t>Outcome12_SEM</t>
  </si>
  <si>
    <t>Diff_Outcome11-12 SUM</t>
  </si>
  <si>
    <t>Diff_Outcome11-12 Statistic</t>
  </si>
  <si>
    <t>no difference PTSD vs controle in %freezing on day2 ext.</t>
  </si>
  <si>
    <t>no difference PTSD vs controle in %freezing on day1 ext.</t>
  </si>
  <si>
    <t>no difference PTSD vs controle in %freezing during acquisition</t>
  </si>
  <si>
    <t>PTSD higher % freezing during extinction day 3 dan control</t>
  </si>
  <si>
    <t>no diff?</t>
  </si>
  <si>
    <t>ns?</t>
  </si>
  <si>
    <t>%freezing in PTSD group sig higher than control on day 5 extinction</t>
  </si>
  <si>
    <t>PTSD higher % freezing on day 6 ext?</t>
  </si>
  <si>
    <t>PTSD group more % freezing on day 14 then control</t>
  </si>
  <si>
    <t>PTSD group sig (within subject) increase of % freezing (after extinction)</t>
  </si>
  <si>
    <t>no dif ptsd &amp; control during acquisition of fear</t>
  </si>
  <si>
    <t>Diff_General SUM</t>
  </si>
  <si>
    <t>CUS + vehicle treatment increased freezing levels on the consolidation retrieval day (D14) when compared to D14 (t(8) = 2.5, P &lt; .05), whereas CUS + rapastinel and No CUS rats did not show this effect (all P’s &gt; .05), indicating that rapastinel reversed the CUS-induced enhancement of fear conditioning.</t>
  </si>
  <si>
    <t>CUS+ vehicle rats showed increased freezing levels compared to No CUS rats [F(2, 29)=4.4, P&lt;.05; Fisher’s PLSD post hoc test rapastinel vs. vehicle, vehicle vs. No CUS control, P &lt; .05].</t>
  </si>
  <si>
    <t>ptsd freezing neemt minder snel af during extinction (sig)</t>
  </si>
  <si>
    <t>renewal' of fear (increased freezing na extinction) vs control (sig)</t>
  </si>
  <si>
    <t>6 week old</t>
  </si>
  <si>
    <t>non-shock</t>
  </si>
  <si>
    <t>2 (3 total in paper, runners data not included</t>
  </si>
  <si>
    <t>footshock (2s 0.7mA) in conditioning chamber</t>
  </si>
  <si>
    <t>CFC (re-exposure to context day 28)</t>
  </si>
  <si>
    <t>% Freezing</t>
  </si>
  <si>
    <t>StepThroughLatency(S) - passive avoidance</t>
  </si>
  <si>
    <t>PTSD_%contextual_freezing_Day28</t>
  </si>
  <si>
    <t>Control_%contextual_freezing_Day28</t>
  </si>
  <si>
    <t>PTSD more % freezing ady 28 during shock context reexposure vs control</t>
  </si>
  <si>
    <t>p = 0.003</t>
  </si>
  <si>
    <t>PTSD more % freezing day 28 (context reexposure) dan control</t>
  </si>
  <si>
    <t>goed gerapporteerde data</t>
  </si>
  <si>
    <t>8 week old</t>
  </si>
  <si>
    <t>C57BL/6 mice</t>
  </si>
  <si>
    <t>[all shocked]</t>
  </si>
  <si>
    <t>2 (all shocked, differend {} cort administrated total 6 groups)</t>
  </si>
  <si>
    <t>cort administration after reactiviation of contextual fear memory.. (no 'non ptsd group') wel 2 vehicle groups (met en zonder reminder shock)</t>
  </si>
  <si>
    <t>12 [no non shocked (='ptsd') group; alleen een non-reminder group]</t>
  </si>
  <si>
    <t>2 footshocks (2s, 0.5mA) + reminder</t>
  </si>
  <si>
    <t>2 footshocks (2s, 0.5mA) - reminder shock</t>
  </si>
  <si>
    <t>CFC (re-exposure to context 72h later) met of zonder reminder shock at 48h</t>
  </si>
  <si>
    <t>PTSD_ReminderShock_%contextual_freezing</t>
  </si>
  <si>
    <t>PTSD_NoReminderShock_%contextual_freezing</t>
  </si>
  <si>
    <t>no difference met of zonder reminder cue in %freezing during acquisition</t>
  </si>
  <si>
    <t>p=0.99 [ns]</t>
  </si>
  <si>
    <t>Niet echt goede controle group, alle dieren geshoked.. Geen verschil tussen reminder of niet</t>
  </si>
  <si>
    <t>fmri study</t>
  </si>
  <si>
    <t>MINI interview (DSM-IV)</t>
  </si>
  <si>
    <t>n=13(F)</t>
  </si>
  <si>
    <t>n=27(F)</t>
  </si>
  <si>
    <t>no behavioral data reported. Fmri study</t>
  </si>
  <si>
    <t>Subjects_background (1= active duty military; 2 = veteran; 3 = civilian 4=rat; 5=mice)</t>
  </si>
  <si>
    <t>adult</t>
  </si>
  <si>
    <t>3 experiments: sevoflurane during, after 'trauma' = 15 shocks [exp1]</t>
  </si>
  <si>
    <t>3 experiments: sevoflurane during, after 'trauma' = 15 shocks [ exp2]</t>
  </si>
  <si>
    <t>3 experiments: sevoflurane during, after 'trauma' = 15 shocks [exp3]</t>
  </si>
  <si>
    <t>(80 in total experiment) 20 vehicle rats, waarvan 10 exposed &amp; 10 non shocked</t>
  </si>
  <si>
    <t>Data from vehicl injected group?</t>
  </si>
  <si>
    <t>CFC (re-exposure to shock in other context)</t>
  </si>
  <si>
    <t>Contextual (fear) memory/generalization</t>
  </si>
  <si>
    <t>15 foot-shocks (1 mA, 1s, 240-480s interval) &amp; reexposure to shock (1mA, 1s) in different context</t>
  </si>
  <si>
    <t>single  shock (1mA, 1s) in different context</t>
  </si>
  <si>
    <t>PTSD_%freezing_singlefootshock_day2_VehiclePostTrauma</t>
  </si>
  <si>
    <t>Control_%freezing_singlefootshock_day2_VehiclePostTrauma</t>
  </si>
  <si>
    <t>PTSD_%freezing_singlefootshock_day2_VehiclePreTrauma</t>
  </si>
  <si>
    <t>Control_%freezing_singlefootshock_day2_VehiclePreTrauma</t>
  </si>
  <si>
    <t>PTSD_%freezing_singlefootshock_context_day3_VehiclePreTrauma</t>
  </si>
  <si>
    <t>Control_%freezing_singlefootshock_context_day3_VehiclePreTrauma</t>
  </si>
  <si>
    <t>PTSD_%freezing_singlefootshock_context_day3_VehiclePostTrauma</t>
  </si>
  <si>
    <t>Control_%freezing_singlefootshock_context_day3_VehiclePostTrauma</t>
  </si>
  <si>
    <t>2 (all vehicle injected pre trauma)</t>
  </si>
  <si>
    <t>2 (all vehicle injected post trauma)</t>
  </si>
  <si>
    <t>no difference between ptsd &amp; controle in % freezing during single footshock</t>
  </si>
  <si>
    <t xml:space="preserve">PTSD group increase % freezing (SEFL) </t>
  </si>
  <si>
    <t>ptsd group show stress enhanced contextual fear learning compared to control (geen verschil in freezing resp to single footshock)</t>
  </si>
  <si>
    <t>(152 in total experiment) 20 vehicle rats, waarvan 10 exposed &amp; 10 non shocked</t>
  </si>
  <si>
    <t>2 (only ptsd groep 1vehicle injected post trauma)</t>
  </si>
  <si>
    <t>PTSD_%freezing_singlefootshock_day3_VehiclePreTrauma</t>
  </si>
  <si>
    <t>Control_%freezing_singlefootshock_day2_NONVehiclePreTrauma</t>
  </si>
  <si>
    <t>Control_%freezing_singlefootshock_day3_NONVehiclePreTrauma</t>
  </si>
  <si>
    <t>no diff in control condition between day 2 &amp; day3 freezing; sig. Increase in freezing in pstd group on day3 (tov day2)</t>
  </si>
  <si>
    <t>no diff in %freezing in control condition  day 2 vs day3; in PTSD GROUP: sig. Increase in freezing  on day3 (tov day2) --&gt; SEFL</t>
  </si>
  <si>
    <t>Predator-scent Stress (2day soiled cat litter = trauma) (Situational reminder = unused cat litter)</t>
  </si>
  <si>
    <t>unsoiled cat litter exposure  &amp; (Situational reminder = unused cat litter)</t>
  </si>
  <si>
    <t>Contextual freezing measurement (freezing to situational reminder/cue exposure)</t>
  </si>
  <si>
    <t>classificatie volgens CBC model na exposure to trauma (PSS)</t>
  </si>
  <si>
    <r>
      <t xml:space="preserve">3 experiments:[ 1 NPY bepalen in harvested brain na PSS exp; 2 behavior NPY agonist; 3 effect NPY injections on Cort] </t>
    </r>
    <r>
      <rPr>
        <b/>
        <sz val="12"/>
        <color rgb="FF000000"/>
        <rFont val="Calibri"/>
        <family val="2"/>
      </rPr>
      <t>data exp 2 genomen voor review want enige met behavior!</t>
    </r>
  </si>
  <si>
    <t>2 [4 in total: unexposed, trauma exposed extreme disrupted behaviour (EBR), trauma exposed minimally disrupted BR (MBR), trauma exposed partially disrupted BR (PBR)) --- &gt; bij de analyse van freezing behaviour wordt echter alleen naar verschil exp - unexp gekeken &amp; prevalentie van EBR, MBR, PBR gemeten..</t>
  </si>
  <si>
    <t>exposed (PTSD), more freezing to cue reminder</t>
  </si>
  <si>
    <t>p&lt;0.00015</t>
  </si>
  <si>
    <t>Control_%freezing_remindercue_7day_[vehicle injected]</t>
  </si>
  <si>
    <t>PTSD_%freezing_remindercue_7day_[vehicle injected]</t>
  </si>
  <si>
    <t>PTSD more % freezing day 7 to cue reexposure, then control</t>
  </si>
  <si>
    <t>(231 total) 20</t>
  </si>
  <si>
    <t>gebruiken wel CBC, maar nemen dat niet mee bij analyse v freezing data (dan gewoon EXP vs UNEXP)</t>
  </si>
  <si>
    <t>Long-Evans rats</t>
  </si>
  <si>
    <t>10 footshocks (0.4mA OR 0.8mA, 1s)</t>
  </si>
  <si>
    <t>0.0mA footshock</t>
  </si>
  <si>
    <t>shocked vs non-shocked</t>
  </si>
  <si>
    <t>8+8</t>
  </si>
  <si>
    <t xml:space="preserve">4 experiments in paper (only exp 1 (fear extinction) &amp; 2(fear habituation) included) </t>
  </si>
  <si>
    <t>Control_(0.0mA shocks)_auditoryfearconditioning_associative learning</t>
  </si>
  <si>
    <t>Auditory Fear Conditioning with predator odor cloth</t>
  </si>
  <si>
    <t>PTSD_(0.4mA shocks)_auditoryfearconditioning_associative learning</t>
  </si>
  <si>
    <t>PTSD_(0.8mA shocks)_auditoryfearconditioning_associative learning</t>
  </si>
  <si>
    <t>0.8mA group (ptsd) showed less freezing then 0.0mA group(control) [no diff with 0.4mA group]</t>
  </si>
  <si>
    <t>Associative fear learning</t>
  </si>
  <si>
    <t>extinction after Auditory Fear Conditioning with predator odor cloth</t>
  </si>
  <si>
    <t>Control_(0.0mA shocks)_extinction_day1</t>
  </si>
  <si>
    <t>Control_(0.0mA shocks)_extinction_day2</t>
  </si>
  <si>
    <t>Control_(0.0mA shocks)_extinction_day3</t>
  </si>
  <si>
    <t>Control_(0.0mA shocks)_extinction_day4</t>
  </si>
  <si>
    <t>Control_(0.0mA shocks)_extinction_day5</t>
  </si>
  <si>
    <t>PTSD (0.8mA) group showed less freezing during acquisition of auditory cues with predator odor then controls</t>
  </si>
  <si>
    <t>PTSD groups (0.4mA &amp; 0.8mA) showed more freezing during extinction training (all 5 days) compared to control (0.0mA) [F2,21=5.07; p&lt;0.05); in all groups freezing decreased from day 1 compared to all subsequent days (p&lt;0.001)</t>
  </si>
  <si>
    <t>PTSD_(0.4mA shocks)_extinction_day1</t>
  </si>
  <si>
    <t>PTSD_(0.4mA shocks)_extinction_day2</t>
  </si>
  <si>
    <t>PTSD_(0.4mA shocks)_extinction_day3</t>
  </si>
  <si>
    <t>PTSD_(0.4mA shocks)_extinction_day4</t>
  </si>
  <si>
    <t>PTSD_(0.4mA shocks)_extinction_day5</t>
  </si>
  <si>
    <t>PTSD_(0.8mA shocks)_extinction_day1</t>
  </si>
  <si>
    <t>PTSD_(0.8mA shocks)_extinction_day2</t>
  </si>
  <si>
    <t>PTSD_(0.8mA shocks)_extinction_day3</t>
  </si>
  <si>
    <t>Outcome13_VarName</t>
  </si>
  <si>
    <t>Outcome13_M</t>
  </si>
  <si>
    <t>Outcome13_SD</t>
  </si>
  <si>
    <t>Outcome13_SEM</t>
  </si>
  <si>
    <t>Outcome14_VarName</t>
  </si>
  <si>
    <t>Outcome14_M</t>
  </si>
  <si>
    <t>Outcome14_SD</t>
  </si>
  <si>
    <t>Outcome14_SEM</t>
  </si>
  <si>
    <t>Diff_Outcome13-14 SUM</t>
  </si>
  <si>
    <t>Diff_Outcome13-14 Statistic</t>
  </si>
  <si>
    <t>PTSD_(0.8mA shocks)_extinction_day4</t>
  </si>
  <si>
    <t>Outcome15_VarName</t>
  </si>
  <si>
    <t>PTSD_(0.8mA shocks)_extinction_day5</t>
  </si>
  <si>
    <t>Outcome15_M</t>
  </si>
  <si>
    <t>Outcome15_SD</t>
  </si>
  <si>
    <t>Outcome15_SEM</t>
  </si>
  <si>
    <t xml:space="preserve">4 experiments in paper (only exp 1 (fear extinction na associatieve fear learning) included, overige experimenten hebben geen 'learning' component maar gaan over habituatie (zonder CS presentatie) en sensitizatie na shock) </t>
  </si>
  <si>
    <t>(associative) Fear Extinction</t>
  </si>
  <si>
    <t>zelfde dieren</t>
  </si>
  <si>
    <t>zelfde dieren; ook nog habituatie exp dat laat zien dat CS presentatie during extinction nodig is voor verhoogde freezing levels (zonder geen sensitizatie)</t>
  </si>
  <si>
    <t>PTSD_pre-shock</t>
  </si>
  <si>
    <t>PTSD_FC_(during US-CS paring)</t>
  </si>
  <si>
    <t>PTSD_CueTest_1monthafterFC</t>
  </si>
  <si>
    <t>PTSD_ContextTest_1monthafterFC</t>
  </si>
  <si>
    <t>freezing increased during FC, compared to pre-shock</t>
  </si>
  <si>
    <t>no statistic repored</t>
  </si>
  <si>
    <t>one month after FC increased freezing to cue &amp; context</t>
  </si>
  <si>
    <t>p&lt;0.001 (both)</t>
  </si>
  <si>
    <t>increased freezing to cue &amp; context reminders one month after FC in shocked group (no control group)</t>
  </si>
  <si>
    <t>scans in light, behavioral testing unknown</t>
  </si>
  <si>
    <t>FC + reminder cue &amp; context</t>
  </si>
  <si>
    <t>within subjects</t>
  </si>
  <si>
    <t>C57BL/6N mice</t>
  </si>
  <si>
    <t>3x 2s, 0.5mA shocks</t>
  </si>
  <si>
    <t>DTI paper (ook behavioral fearconditioning data) NO CONTROL GROUP</t>
  </si>
  <si>
    <t>90-95 day old</t>
  </si>
  <si>
    <t>Fear Acquisition &amp; Retention</t>
  </si>
  <si>
    <t>2 experiments in paper (alleen 2de gerapporteerd, deze duurde langer (meer dagen follow up) &amp; dieren in exp1 hadden intracranial cannula implants.. In exp2 niet) de procedures waren verder identiek</t>
  </si>
  <si>
    <t>ong. 60 day old</t>
  </si>
  <si>
    <t>Control rats remained in a room adjacent to the SPS rats for the duration of SPS and were handled twice for several minutes.</t>
  </si>
  <si>
    <t>exposed to SPS vs non exposed</t>
  </si>
  <si>
    <t>Single-Prolonged Stress (SPS) [Rats were (i) restrained (7 cm diameter, 21 cm length) for 2 h, (ii) individually placed in a clear acrylic cylinder (20 cm diameter) filled to two thirds (35cm) of its height with water (24 1C) and forced to swim for 15 min, and (iii) following 15min recuperation, exposed to the inhalation anesthetic isoflurane (Nicholas Piramal) until the loss of consciousness.]</t>
  </si>
  <si>
    <t>(inhibitory) Avoidance Conditioning</t>
  </si>
  <si>
    <t>(inhibitory) Avoidance Extinction</t>
  </si>
  <si>
    <t>latency (s) to cross to shock context</t>
  </si>
  <si>
    <t>latency (S) to cross to shock context</t>
  </si>
  <si>
    <t>FC (0.7mA footshock, 2s) (week after SPS)</t>
  </si>
  <si>
    <t>FC (0.7mA footshock, 2s) (week after sps) + extinction (1 trial per day 24h after conditioning and for 3 days(day1-3)</t>
  </si>
  <si>
    <t>Control_veh2minafterSPS_conditioning_latency(s)</t>
  </si>
  <si>
    <t>PTSD_veh2minafterSPS_conditioning_latency(s)</t>
  </si>
  <si>
    <t>Control_veh2hafterSPS_conditioning_latency(s)</t>
  </si>
  <si>
    <t>PTSD_veh2hafterSPS_conditioning_latency(s)</t>
  </si>
  <si>
    <t>Control_veh24hafterSPS_conditioning_latency(s)</t>
  </si>
  <si>
    <t>PTSD_veh24hafterSPS_conditioning_latency(s)</t>
  </si>
  <si>
    <t>Control_veh48hafterSPS_conditioning_latency(s)</t>
  </si>
  <si>
    <t>PTSD_veh48hafterSPS_conditioning_latency(s)</t>
  </si>
  <si>
    <t>8 veh -sps (4 groups), veh2min, 2h, 24h, 48h + sps (in study more, but drug administration in brian)</t>
  </si>
  <si>
    <t>Control_veh2minafterSPS_EXT1_latency(s)</t>
  </si>
  <si>
    <t>Control_veh2minafterSPS_EXT2_latency(s)</t>
  </si>
  <si>
    <t>Control_veh2minafterSPS_EXT3_latency(s)</t>
  </si>
  <si>
    <t>PTSD_veh2minafterSPS_EXT3_latency(s)</t>
  </si>
  <si>
    <t>PTSD_veh2minafterSPS_EXT2_latency(s)</t>
  </si>
  <si>
    <t>PTSD_veh2minafterSPS_EXT1_latency(s)</t>
  </si>
  <si>
    <t>2 (veh-SPS, veh2h+SPS)</t>
  </si>
  <si>
    <t>2 (veh-SPS, veh2min+SPS)</t>
  </si>
  <si>
    <t>2 (veh-SPS, veh24h+SPS)</t>
  </si>
  <si>
    <t>2 (veh-SPS, veh48h+SPS)</t>
  </si>
  <si>
    <t>Control_veh2hafterSPS_EXT1_latency(s)</t>
  </si>
  <si>
    <t>PTSD_veh2hafterSPS_EXT1_latency(s)</t>
  </si>
  <si>
    <t>Control_veh2hafterSPS_EXT2_latency(s)</t>
  </si>
  <si>
    <t>PTSD_veh2hafterSPS_EXT2_latency(s)</t>
  </si>
  <si>
    <t>Control_veh2hafterSPS_EXT3_latency(s)</t>
  </si>
  <si>
    <t>PTSD_veh2hafterSPS_EXT3_latency(s)</t>
  </si>
  <si>
    <t>Control_veh24hafterSPS_EXT1_latency(s)</t>
  </si>
  <si>
    <t>PTSD_veh24hafterSPS_EXT1_latency(s)</t>
  </si>
  <si>
    <t>Control_veh24hafterSPS_EXT2_latency(s)</t>
  </si>
  <si>
    <t>PTSD_veh24hafterSPS_EXT2_latency(s)</t>
  </si>
  <si>
    <t>Control_veh24hafterSPS_EXT3_latency(s)</t>
  </si>
  <si>
    <t>PTSD_veh24hafterSPS_EXT3_latency(s)</t>
  </si>
  <si>
    <t>Control_veh48hafterSPS_EXT1_latency(s)</t>
  </si>
  <si>
    <t>PTSD_veh48hafterSPS_EXT1_latency(s)</t>
  </si>
  <si>
    <t>Control_veh48hafterSPS_EXT2_latency(s)</t>
  </si>
  <si>
    <t>PTSD_veh48hafterSPS_EXT2_latency(s)</t>
  </si>
  <si>
    <t>Control_veh48hafterSPS_EXT3_latency(s)</t>
  </si>
  <si>
    <t>PTSD_veh48hafterSPS_EXT3_latency(s)</t>
  </si>
  <si>
    <t>verschillende groepen! (totaal 49+46)</t>
  </si>
  <si>
    <t>PTSD SIG LONGER LATENCY TO CROSS OVER DURING CONDITIONING</t>
  </si>
  <si>
    <t>p=0.01</t>
  </si>
  <si>
    <t>p=0.002</t>
  </si>
  <si>
    <t>p=0.026</t>
  </si>
  <si>
    <t>no sig dif on ext3</t>
  </si>
  <si>
    <t>ptsd group increased latency then control con 2hveh</t>
  </si>
  <si>
    <t>p=0.001</t>
  </si>
  <si>
    <t>ptsd increase latency then control 24h veh</t>
  </si>
  <si>
    <t>ptsd group increased latency then control 48h</t>
  </si>
  <si>
    <t>PTSD increased latency (inhibitory avoidacne) during conditioning (ongeacht timing vehicle injection na SPS)</t>
  </si>
  <si>
    <t>p=0.013</t>
  </si>
  <si>
    <t>p=0.029</t>
  </si>
  <si>
    <t>ptsd group increased latency then control ext2 (2min)</t>
  </si>
  <si>
    <t>no sig diff on ext3</t>
  </si>
  <si>
    <t>(inhibitory) Avoidance - fear retrieval</t>
  </si>
  <si>
    <t>PTSD higher latency then control ext1 (2min) - dus hogere fear retrieval</t>
  </si>
  <si>
    <t>ptsd higher latency then control ext1 (2h) - dus meer fear retrieval</t>
  </si>
  <si>
    <t>ptsd group increased latency then control (ext1) 24h - dus meer fear retrieval</t>
  </si>
  <si>
    <t>p=0.009</t>
  </si>
  <si>
    <t>ptsd group increased latency then control 48h on ext1 - dus meer fear retrieval</t>
  </si>
  <si>
    <t>PTSD increased latency (inhibitory avoidacne) during fear retreival (ext1) (ongeacht timing vehicle injection na SPS)</t>
  </si>
  <si>
    <t>ptsd grou increased latency (minder extinction) then control</t>
  </si>
  <si>
    <t>ptsd group increased latency (minder extinction) then control ext2 (2h)</t>
  </si>
  <si>
    <t>PTSD group op ext 2 hogere latency (inhibitory avoidance; minder extinctie) dan control, op ext3 geen verschil</t>
  </si>
  <si>
    <t>pstd group increaseed latency (less extinction) then control group (48h exxt2)</t>
  </si>
  <si>
    <t>p=0.014</t>
  </si>
  <si>
    <t>meerder experimenten, allen vehic systemic injections besproken.. Groepen uitgesplitst naar tijdming v injectie &amp; fase van experiment (cond, retrieval, extinc)</t>
  </si>
  <si>
    <t>zelfde dieren (als 2 regels hierboven)</t>
  </si>
  <si>
    <t>etc</t>
  </si>
  <si>
    <t>17 (combat controls) + 14 (healthy controls)</t>
  </si>
  <si>
    <t>Combat Controles &amp; Healthy civilians</t>
  </si>
  <si>
    <t>Military + Civilian</t>
  </si>
  <si>
    <t>Structured Clinical Interview for DSM-III-R (SCID)</t>
  </si>
  <si>
    <t>FC (shock: 1.5mA, 5msec duration) - fear potentiated startle experiment</t>
  </si>
  <si>
    <t>eyeblink (EMG) / startle magnitude (uV)</t>
  </si>
  <si>
    <t>Contextual Fear conditioning</t>
  </si>
  <si>
    <t>(explicit) CUE Fear conditioning</t>
  </si>
  <si>
    <t>same people (context data)</t>
  </si>
  <si>
    <t>not reported</t>
  </si>
  <si>
    <r>
      <t>in PTSD veterans, compared to non-PTSD veterans [</t>
    </r>
    <r>
      <rPr>
        <i/>
        <sz val="10"/>
        <color theme="1"/>
        <rFont val="Calibri"/>
        <family val="2"/>
        <scheme val="minor"/>
      </rPr>
      <t>F</t>
    </r>
    <r>
      <rPr>
        <sz val="10"/>
        <color theme="1"/>
        <rFont val="Calibri"/>
        <family val="2"/>
        <scheme val="minor"/>
      </rPr>
      <t xml:space="preserve">(1,62) 5.6, </t>
    </r>
    <r>
      <rPr>
        <i/>
        <sz val="10"/>
        <color theme="1"/>
        <rFont val="Calibri"/>
        <family val="2"/>
        <scheme val="minor"/>
      </rPr>
      <t xml:space="preserve">p </t>
    </r>
    <r>
      <rPr>
        <sz val="10"/>
        <color theme="1"/>
        <rFont val="Calibri"/>
        <family val="2"/>
        <scheme val="minor"/>
      </rPr>
      <t>.02] and civilians [</t>
    </r>
    <r>
      <rPr>
        <i/>
        <sz val="10"/>
        <color theme="1"/>
        <rFont val="Calibri"/>
        <family val="2"/>
        <scheme val="minor"/>
      </rPr>
      <t>F</t>
    </r>
    <r>
      <rPr>
        <sz val="10"/>
        <color theme="1"/>
        <rFont val="Calibri"/>
        <family val="2"/>
        <scheme val="minor"/>
      </rPr>
      <t xml:space="preserve">(1,62) 3.5, </t>
    </r>
    <r>
      <rPr>
        <i/>
        <sz val="10"/>
        <color theme="1"/>
        <rFont val="Calibri"/>
        <family val="2"/>
        <scheme val="minor"/>
      </rPr>
      <t xml:space="preserve">p </t>
    </r>
    <r>
      <rPr>
        <sz val="10"/>
        <color theme="1"/>
        <rFont val="Calibri"/>
        <family val="2"/>
        <scheme val="minor"/>
      </rPr>
      <t xml:space="preserve">.06] </t>
    </r>
  </si>
  <si>
    <t>Control_Civilian_baseline 1 (non- experimental threat context)_StartleMag(uV)</t>
  </si>
  <si>
    <t>Control_Combat_baseline 1 (non- experimental threat context)_StartleMag(uV)</t>
  </si>
  <si>
    <t>PTSD_baseline 1 (non- experimental threat context, is baseline in de sessie waar mensen sowieso geen shock krijgen)_StartleMag(uV)</t>
  </si>
  <si>
    <t>Control_Civilian_baseline 2 (experimental threat context, baseline in de sessie waar mensen shocken gaan krijgen)_StartleMag(uV)</t>
  </si>
  <si>
    <t>Control_Combat_baseline 2 (experimental threat context)_StartleMag(uV)</t>
  </si>
  <si>
    <t>PTSD_baseline 2 (experimental threat context)_StartleMag(uV)</t>
  </si>
  <si>
    <t>Startle_Mag_after shock electrode on_PTSD_uV</t>
  </si>
  <si>
    <t>Startle_Mag_after shock electrode on_healthyVeterans_uV</t>
  </si>
  <si>
    <t>Startle_Mag_after shock electrode on_healthyCivilian_uV</t>
  </si>
  <si>
    <t>Control_Civilian_threatCUE_fearpotentiated startle test 1_StartleMag(uV)</t>
  </si>
  <si>
    <t>Control_Civilian_safeCUE_fearpotentiated startle test 1_StartleMag(uV)</t>
  </si>
  <si>
    <t>Control_Combat_threatCUE_fearpotentiated startle test 1_StartleMag(uV)</t>
  </si>
  <si>
    <t>Control_Combat_safeCUE_fearpotentiated startle test 1_StartleMag(uV)</t>
  </si>
  <si>
    <t>PTSD_threatCUE_fearpotentiated startle test 1_StartleMag(uV)</t>
  </si>
  <si>
    <t>PTSD_safeCUE_fearpotentiated startle test 1_StartleMag(uV)</t>
  </si>
  <si>
    <t>Control_Civilian_threatCUE_fearpotentiated startle test 2_StartleMag(uV)</t>
  </si>
  <si>
    <t>Control_Civilian_safeCUE_fearpotentiated startle test 2_StartleMag(uV)</t>
  </si>
  <si>
    <t>Control_Combat_threatCUE_fearpotentiated startle test 2_StartleMag(uV)</t>
  </si>
  <si>
    <t>Control_Combat_safeCUE_fearpotentiated startle test 2_StartleMag(uV)</t>
  </si>
  <si>
    <t>PTSD_threatCUE_fearpotentiated startle test 2_StartleMag(uV)</t>
  </si>
  <si>
    <t>PTSD_safeCUE_fearpotentiated startle test 2_StartleMag(uV)</t>
  </si>
  <si>
    <t xml:space="preserve">in PTSD group sterkere increase in startle door plaatsen electrode (zonder shock), vergeleken met civilian ([F(1,62)  =4.6, p = .04]; en bijna groter dan in veterans(noemen ze trend)  [F(1,62)   3.3, p = .07] </t>
  </si>
  <si>
    <t>PTSD group sig hogere startle dan combat &amp; civilian control in een 'context waar je schokken kan krijgen', vergeleken met context waar dat niet kan / ook het plaatsen van de shock electrode had een grotere invloed in ptsd patienten (sterkere verhoging dan in civilian control, trend veterans)</t>
  </si>
  <si>
    <t>In alle groupen Threat cue grotere startle dan Safe cue (fear-potentiated startle: condition: F(1,62)   50.6, p=.001); GEEN groespverschillen [[group x period: F(2,62)   1.5, ns].] wel totale startle mag hoger dan controles</t>
  </si>
  <si>
    <t>In alle groupen Threat cue grotere startle dan Safe cue (fear-potentiated startle: condition: F(1,62)   50.6, p=.001); GEEN groespverschillen [[group x period: F(2,62)   1.5, ns].]; wel startle ptsd group hoger dan controles door heel experiment</t>
  </si>
  <si>
    <t xml:space="preserve">same people (cue data) </t>
  </si>
  <si>
    <t>in dit onderzoek ook prepuls inhibitie gemeten (nu niet gerapporteerd)</t>
  </si>
  <si>
    <t>10x 3mA footshocks (1s)</t>
  </si>
  <si>
    <t>Wistar Rats</t>
  </si>
  <si>
    <t>CFC (re-exposure to context 24h later)</t>
  </si>
  <si>
    <t>control rats in shock context, no shock (0.0mA)</t>
  </si>
  <si>
    <t>PTSD_%Freezing_reexposure24h_veh_NMDAselectivesubunitblockcohort</t>
  </si>
  <si>
    <t>Control_%Freezing_reexposure24h_veh_NMDAselectivesubunitblockcohort</t>
  </si>
  <si>
    <t>PTSD_%Freezing_reexposure24h_veh_NMDAblockcohort</t>
  </si>
  <si>
    <t>Control_%Freezing_reexposure24h_veh_NMDAblockcohort</t>
  </si>
  <si>
    <t>Control_%Freezing_reexposure24h_veh_SSRIcohort</t>
  </si>
  <si>
    <t>PTSD(shocked)_%Freezing_reexposure24h_veh_SSRIcohort</t>
  </si>
  <si>
    <t>ptsd group more freezing at context reexposure</t>
  </si>
  <si>
    <t>H(3,40)=24,15; p&lt;0.001</t>
  </si>
  <si>
    <t>pstd group more % freezing at context reexposure</t>
  </si>
  <si>
    <t>H(3,55)=33,96; p&lt;0.001</t>
  </si>
  <si>
    <t>ptsd group more % freezing at context reexposure</t>
  </si>
  <si>
    <t>H(3,40)=28,07; p&lt;0.001</t>
  </si>
  <si>
    <t>2 (non-shocked+veh; shocked+Veh) per experiment, 3 experiments [in paper ook nog fluoxetine, MK-801, Ro25-6981 groups… data niet geincludeerd for review]</t>
  </si>
  <si>
    <t xml:space="preserve"> ong. 10/4(exp1) + 14/4 (exp2) + 10/4 (exp3)</t>
  </si>
  <si>
    <t>ong. 17..</t>
  </si>
  <si>
    <t>3 experimenten (ssri, nmda general block, nmda subunit blok cohorts (met vehicle))</t>
  </si>
  <si>
    <t>shocks (ptsd group) increased % freezing at context reexposure after 24h</t>
  </si>
  <si>
    <t>KunMing mice</t>
  </si>
  <si>
    <t>2 exp. Only data exp1 included in review (behaviour ); exp 2 are brain measures CFC &amp; NOR test included (EPM &amp; OF niet)</t>
  </si>
  <si>
    <t>1 (2 weeks for testing)</t>
  </si>
  <si>
    <t>Subjects_gender_ptsd (M = male; F = female; - = not reported)</t>
  </si>
  <si>
    <t>Subjects_gender_control (M = male; F = female; - = not reported)</t>
  </si>
  <si>
    <t>Subjects_m_Age_ptsd (- = not reported)</t>
  </si>
  <si>
    <t>Subjects_sd_Age_ptsd (- = not reported)</t>
  </si>
  <si>
    <t>Subjects_m_Age_control (- = not reported)</t>
  </si>
  <si>
    <t>Subjects_sd_Age_control (- = not reported)</t>
  </si>
  <si>
    <t>0.0mA footshock; no sps</t>
  </si>
  <si>
    <t>2 (more in paper, not included drug injection)</t>
  </si>
  <si>
    <t>CFC (re-exposure to context 1 week after sps)</t>
  </si>
  <si>
    <t>Footshock (1mA, 5s, for 5 days) + SPS: [.Mice were immobilized for 2 h ina Plexiglas mouse holder device, followed immediately by a20-min forced swimming test in 24±1°C water. The forcedswim was carried out in a plastic tub (20 cm diameter, 30 cmheight) that was two-thirds full of water. Following a 15-minrecuperation period, the mice were exposed to ether until theylost consciousness, and they were then returned to their home cages]</t>
  </si>
  <si>
    <t>time Freezing (s)</t>
  </si>
  <si>
    <t>PTSD group more time contextual freezing compared to control</t>
  </si>
  <si>
    <t>ptsd group more time freezing to cue then control</t>
  </si>
  <si>
    <t>PTSD group Sig more fear then control bij reexposure to CUE &amp; Context</t>
  </si>
  <si>
    <t>PTSD animal more freezing to trauma cue &amp; context reminders (after 1week)</t>
  </si>
  <si>
    <t>recognition rate (%) [= novel object explorationtime / total exploration time *100]</t>
  </si>
  <si>
    <t>Novel Object Recognition [ habituation 5min; training 10 min; test 5 min --&gt; test 4h after training]</t>
  </si>
  <si>
    <t>Control_sfreezing_ContextReexposure</t>
  </si>
  <si>
    <t>PTSD(CF&amp;SPS)_sfreezing_ContextReexposure</t>
  </si>
  <si>
    <t>Control_sfreezing_CueReexposure(light)</t>
  </si>
  <si>
    <t>PTSD(CF&amp;SPS)_sfreezing_CueReexposure(light)</t>
  </si>
  <si>
    <t>PTSD(CF+SPS)_%Recognition NOR test</t>
  </si>
  <si>
    <t>Control_%Recognition NOR test</t>
  </si>
  <si>
    <t>Control group better object recognition then ptsd (1 week after trauma)</t>
  </si>
  <si>
    <t>PTSD memory impairment 1 week after trauma, compaired to control</t>
  </si>
  <si>
    <t>same animals; NB PRE trauma (SPS) conditioning!!</t>
  </si>
  <si>
    <t>retention of contextual &amp; Cue fear memory [Acquisitie/conditioning PRE trauma!</t>
  </si>
  <si>
    <t>Memory impairment [conditining pre trauma]</t>
  </si>
  <si>
    <t>SPS [2h restraint, 20min forced swim, ether anesthesia]</t>
  </si>
  <si>
    <t>no sps</t>
  </si>
  <si>
    <t>CFC (1 week after sps): exposure to conditioning context, footshock (0.8mA 4s) 24h break; shock context reexposure</t>
  </si>
  <si>
    <t>Contextual fearlearning AFTER trauma!</t>
  </si>
  <si>
    <t>Contextual fear learning (after trauma &amp; context / cue unrealated to trauma)</t>
  </si>
  <si>
    <t>PTSD (SPS)_sFreezing_Contextual (1week after SPS)</t>
  </si>
  <si>
    <t>Control (Sham)_sFreezing_Contextual</t>
  </si>
  <si>
    <t>PTSD group more freezing at context reexposure (NB not trauma context!)</t>
  </si>
  <si>
    <t>PTSD group more contextual freezing (to non-trauma shock context) then control animals --&gt; dus sterkere contextual fearlearning 1 week na trauma</t>
  </si>
  <si>
    <t>t = -3,857; df = 14; p=0.0017</t>
  </si>
  <si>
    <t>oxytocin &amp; social housing manipulations --&gt; now only data single housed non injected animals included</t>
  </si>
  <si>
    <t>Footshock (2mA, 10s) [ &amp; 3 situational reminders (= reexposure to apparatus), day 2, 4 &amp; 6]</t>
  </si>
  <si>
    <t>NO Footshock, verder zelfde procedure [ &amp; 3 situational reminders (= reexposure to apparatus), day 2, 4 &amp; 6]</t>
  </si>
  <si>
    <t>Situational Reminders (shock context reexposure day2, day4, day6)</t>
  </si>
  <si>
    <t>Contextual fear extinction</t>
  </si>
  <si>
    <t>Contextual fear Generalization</t>
  </si>
  <si>
    <t>post trauma fear conditioning</t>
  </si>
  <si>
    <t>Control(sham)_Single_housed_SR1</t>
  </si>
  <si>
    <t>PTSD(shock)_Single_housed_SR1</t>
  </si>
  <si>
    <t>Control(sham)_Single_housed_SR2</t>
  </si>
  <si>
    <t>PTSD(shock)_Single_housed_SR2</t>
  </si>
  <si>
    <t>Control(sham)_Single_housed_SR3</t>
  </si>
  <si>
    <t>PTSD(shock)_Single_housed_SR3</t>
  </si>
  <si>
    <t>PTSD group less entries to shock side on SR1 (=day2)</t>
  </si>
  <si>
    <t>PTSD group sig less entries to shock side compared to control  (=day4)</t>
  </si>
  <si>
    <t>PTSD group sig less entiries to shock side on SR3 (Day6)</t>
  </si>
  <si>
    <t># entries to shock side</t>
  </si>
  <si>
    <t>F(1,22) = 26,52; p&lt;0.01</t>
  </si>
  <si>
    <t>F(1,22)=15,89; p&lt;0.01</t>
  </si>
  <si>
    <t>F(1,22)=36,22; P&lt;0.01</t>
  </si>
  <si>
    <t>Latency to escape white side (s) [white site "lijkt op shock kamer" &amp; is natuurlijk aversive for animal]</t>
  </si>
  <si>
    <t>Control(Sham)_Single Housed_latency to escape white(s)</t>
  </si>
  <si>
    <t>PTSD(shocked)_Single Housed_latency to escape white(s)</t>
  </si>
  <si>
    <t>P&lt;0.05 [F(1,73)=6,75,P&lt;0.02]</t>
  </si>
  <si>
    <t>latency to escape white higher in ptsd group, dus meer generalization of traumatic context</t>
  </si>
  <si>
    <t>8-12 weeks</t>
  </si>
  <si>
    <t>Cue &amp; Contextual fear memory</t>
  </si>
  <si>
    <t>Footshock (0.7mA, 2s)</t>
  </si>
  <si>
    <t>MasKO on FVB/N Background (+ control) &amp; MasKO on mixed 129xC57BL/6 background + controle (WT)</t>
  </si>
  <si>
    <t>Cue &amp; CFC</t>
  </si>
  <si>
    <t>0?</t>
  </si>
  <si>
    <t>no SPS</t>
  </si>
  <si>
    <t>Exposed to SPS vs non exposed</t>
  </si>
  <si>
    <t>training: FC (0.8mA, 2s) + tone 13/ test: 14 day after SPS/or control Contextual fear &amp; cued (auditory) fear</t>
  </si>
  <si>
    <t>Control(early Veh injection)_%contextFreezing</t>
  </si>
  <si>
    <t>PTSD(SPS; early Veh injection)_%contextFreezing</t>
  </si>
  <si>
    <t>Control(early Veh injection)_%cueFreezing</t>
  </si>
  <si>
    <t>PTSD(SPS; early Veh injection)_%cueFreezing</t>
  </si>
  <si>
    <t>Control(late Veh injection)_%contextFreezing</t>
  </si>
  <si>
    <t>PTSD(SPS; late Veh injection)_%contextFreezing</t>
  </si>
  <si>
    <t>Control(late Veh injection)_%cueFreezing</t>
  </si>
  <si>
    <t>PTSD(SPS; late Veh injection)_%cueFreezing</t>
  </si>
  <si>
    <t>PTSD group more contextual freezing then control (2week after SPS)</t>
  </si>
  <si>
    <t>PTSD group more CUE freezing then control 2 week after sps</t>
  </si>
  <si>
    <t>PTSD group more cue &amp; context freezing then control, 2 week after trauma</t>
  </si>
  <si>
    <t>beide p&lt;.05</t>
  </si>
  <si>
    <r>
      <t>F</t>
    </r>
    <r>
      <rPr>
        <sz val="7"/>
        <color rgb="FF111111"/>
        <rFont val="DwsdgnAdvTT3713a231"/>
      </rPr>
      <t>3,44</t>
    </r>
    <r>
      <rPr>
        <sz val="10"/>
        <color rgb="FF111111"/>
        <rFont val="DwsdgnAdvTT3713a231"/>
      </rPr>
      <t xml:space="preserve">= 59.259, </t>
    </r>
    <r>
      <rPr>
        <sz val="10"/>
        <color rgb="FF111111"/>
        <rFont val="PdcswxAdvTT50a2f13e.I"/>
      </rPr>
      <t>P</t>
    </r>
    <r>
      <rPr>
        <sz val="10"/>
        <color rgb="FF111111"/>
        <rFont val="DwsdgnAdvTT3713a231"/>
      </rPr>
      <t xml:space="preserve">=0.000 </t>
    </r>
  </si>
  <si>
    <r>
      <t>F</t>
    </r>
    <r>
      <rPr>
        <sz val="7"/>
        <color rgb="FF111111"/>
        <rFont val="DwsdgnAdvTT3713a231"/>
      </rPr>
      <t>3,44</t>
    </r>
    <r>
      <rPr>
        <sz val="10"/>
        <color rgb="FF111111"/>
        <rFont val="DwsdgnAdvTT3713a231"/>
      </rPr>
      <t xml:space="preserve">=30.583, </t>
    </r>
    <r>
      <rPr>
        <sz val="10"/>
        <color rgb="FF111111"/>
        <rFont val="PdcswxAdvTT50a2f13e.I"/>
      </rPr>
      <t>P</t>
    </r>
    <r>
      <rPr>
        <sz val="10"/>
        <color rgb="FF111111"/>
        <rFont val="DwsdgnAdvTT3713a231"/>
      </rPr>
      <t xml:space="preserve">=0.000; </t>
    </r>
  </si>
  <si>
    <r>
      <t>F</t>
    </r>
    <r>
      <rPr>
        <sz val="7"/>
        <color rgb="FF111111"/>
        <rFont val="DwsdgnAdvTT3713a231"/>
      </rPr>
      <t>3,44</t>
    </r>
    <r>
      <rPr>
        <sz val="10"/>
        <color rgb="FF111111"/>
        <rFont val="DwsdgnAdvTT3713a231"/>
      </rPr>
      <t xml:space="preserve">= 28.294, </t>
    </r>
    <r>
      <rPr>
        <sz val="10"/>
        <color rgb="FF111111"/>
        <rFont val="PdcswxAdvTT50a2f13e.I"/>
      </rPr>
      <t>P</t>
    </r>
    <r>
      <rPr>
        <sz val="10"/>
        <color rgb="FF111111"/>
        <rFont val="DwsdgnAdvTT3713a231"/>
      </rPr>
      <t xml:space="preserve">=0.000 </t>
    </r>
  </si>
  <si>
    <r>
      <t>F</t>
    </r>
    <r>
      <rPr>
        <sz val="7"/>
        <color rgb="FF111111"/>
        <rFont val="DwsdgnAdvTT3713a231"/>
      </rPr>
      <t>3,44</t>
    </r>
    <r>
      <rPr>
        <sz val="10"/>
        <color rgb="FF111111"/>
        <rFont val="DwsdgnAdvTT3713a231"/>
      </rPr>
      <t xml:space="preserve">=22.195, </t>
    </r>
    <r>
      <rPr>
        <sz val="10"/>
        <color rgb="FF111111"/>
        <rFont val="PdcswxAdvTT50a2f13e.I"/>
      </rPr>
      <t>P</t>
    </r>
    <r>
      <rPr>
        <sz val="10"/>
        <color rgb="FF111111"/>
        <rFont val="DwsdgnAdvTT3713a231"/>
      </rPr>
      <t xml:space="preserve">=0.000 </t>
    </r>
  </si>
  <si>
    <t>PTSD group more freezing to context</t>
  </si>
  <si>
    <t>PTSD group more freezing to cue then control</t>
  </si>
  <si>
    <t>PTSD group more freezing to CUE &amp; Context 2 week after trauma, compared to control</t>
  </si>
  <si>
    <t>both p&lt;0.05</t>
  </si>
  <si>
    <t>PTSD group more CUE &amp; Contextual freezing 2 week after trauma (compared to FC'ed control group) [no effect of timing vehicle treatment)</t>
  </si>
  <si>
    <t>2*12 [for delayed &amp; early VEH inj]</t>
  </si>
  <si>
    <t>2*24 [for delayed &amp; early VEH inj]</t>
  </si>
  <si>
    <t>study on effect of APO, only vehicle injected data included [for delayed &amp; early VEH inj]</t>
  </si>
  <si>
    <t>90 day old</t>
  </si>
  <si>
    <t>trauma context exposure, no shocks</t>
  </si>
  <si>
    <t>15 footshock [1mA, 1s] shocks in trauma context [no cue]</t>
  </si>
  <si>
    <t>1 Footshock in new context (0.75mA, 1s) [ 1 day after last extinction training]</t>
  </si>
  <si>
    <t>Control(NoShock/NoExtinction)_conditioningNEWcontext(direct after shock)_%Freezing</t>
  </si>
  <si>
    <t>PTSD(Shock/NoExtinction)_conditioningNEWcontext(direct after shock)_%Freezing</t>
  </si>
  <si>
    <t>PTSD(Shock/NoExtinction)_retentionNEWcontext(24h after shock)_%Freezing</t>
  </si>
  <si>
    <t>Control(NoShock/NoExtinction)_retentionNEWcontext(24h after shock)_%Freezing</t>
  </si>
  <si>
    <t>contextual SEFL [[non trauma context] measure for generalization</t>
  </si>
  <si>
    <t>contextual fear renewal [ trauma context] after  SEFL</t>
  </si>
  <si>
    <t>2 [no shock/no extinction; shocks/no extinction;  [ in paper ook nog 2 extinction groupen: shocks/10min extinctoini; shockes/72h extinction]}</t>
  </si>
  <si>
    <t>1 day or 21 days after SEFL test: exposure to original trauma context</t>
  </si>
  <si>
    <t>Contextual SEFL [[non trauma context] measure for generalization [after renewal test in trauma context]</t>
  </si>
  <si>
    <t>contextual fear renewal [ trauma context] direct after extinction</t>
  </si>
  <si>
    <t>exposed to sps</t>
  </si>
  <si>
    <t>2 [shocks/10min extinctoini; shockes/72h extinction]</t>
  </si>
  <si>
    <t>only shocked groups (n=16)</t>
  </si>
  <si>
    <t>only shocked groups (=24)</t>
  </si>
  <si>
    <t>EXP1 extinction (only shocked groups)</t>
  </si>
  <si>
    <t>EXP1 extinction (data not included in this line) - SEFL (contextual) - renewal (contextual)</t>
  </si>
  <si>
    <t>EXP2 extinction (only shocked groups)</t>
  </si>
  <si>
    <t>EXP2 extinction (data not included in this line) - renewal (contextual) - SEFL (contextual)</t>
  </si>
  <si>
    <t>extinction [5xexposure to trauma context, no shock] 10min na trauma of 72h na trauma</t>
  </si>
  <si>
    <t>extinction [5xexposure to trauma context, no shock] 10min or 72h na trauma</t>
  </si>
  <si>
    <t>1 day after extinction training : exposure to original trauma context</t>
  </si>
  <si>
    <t>1 Footshock in new context (0.75mA, 1s) [ 1 day after last extinction training [dus zelfde dag als renewal test]]</t>
  </si>
  <si>
    <t>Control(NoShock/NoExtinction)_conditioningNEWcontext(baseline)_%Freezing</t>
  </si>
  <si>
    <t>PTSD(Shock/NoExtinction)_conditioningNEWcontext(baseline)_%Freezing</t>
  </si>
  <si>
    <t>PTSD group more  baseline freezing  (=generalization) then control group</t>
  </si>
  <si>
    <t>p&lt;0.001</t>
  </si>
  <si>
    <t>ptsd more % freezing post trauma then control</t>
  </si>
  <si>
    <t>P&lt;0.001</t>
  </si>
  <si>
    <t>PTSD group exaggerated contextual SEFL (24h after shock) = 'long term memory' (auteurs)</t>
  </si>
  <si>
    <t>PTSD group more freezing in new context &amp; exaggerated contextual SEFL (direct)</t>
  </si>
  <si>
    <t>contextul fear generalizatie &amp; Exaggerated fear learning in PTSD group</t>
  </si>
  <si>
    <t>Control(NoShock/NoExtinction)_renewalTRAUMAcontext_1day after SEFLtest(day5)_%Freezing</t>
  </si>
  <si>
    <t>PTSD(Shock/NoExtinction)_renewalTRAUMAcontext_1day after SEFLtest(day5)_%Freezing</t>
  </si>
  <si>
    <t>Control(NoShock/NoExtinction)_renewalTRAUMAcontext_20day after SEFLtest(day25)_%Freezing</t>
  </si>
  <si>
    <t>PTSD(Shock/NoExtinction)_renewalTRAUMAcontext_20day after SEFLtest(day25)_%Freezing</t>
  </si>
  <si>
    <t>PTSD group more freezing (contextual fear renewal) then control [on day5 after trauma]</t>
  </si>
  <si>
    <t>ptsd group more fear renewat then control day25 after trauma</t>
  </si>
  <si>
    <t>ptsd group more fear renewal (in % freezing) then control op day5 en day25 na trauma</t>
  </si>
  <si>
    <t>PTSD group more contextual fear renewal (op day 5 &amp; day25)</t>
  </si>
  <si>
    <t>Control(NoShock/NoExtinction)_renewalTRAUMAcontext_1day after extinction(day3)_%Freezing</t>
  </si>
  <si>
    <t>PTSD(Shock/NoExtinction)_renewalTRAUMAcontext_1day after extinction(day3)_%Freezing</t>
  </si>
  <si>
    <t>ptsd group more contextual fear</t>
  </si>
  <si>
    <t xml:space="preserve">ptsd group more contextual feaar then control </t>
  </si>
  <si>
    <t>0 (of not shown?)</t>
  </si>
  <si>
    <t>low baseline freezing to new context (no generalization?) on both groups.. No difference</t>
  </si>
  <si>
    <t xml:space="preserve">ptsd group more freezing to new context after shock (increased contextual SEFL).. </t>
  </si>
  <si>
    <t>increased freezing in control &amp; PTSD group after shock in new context - no generalization of contextual fear on baseline, after shock in new context PTSD group stronger fear response then control..</t>
  </si>
  <si>
    <t>PTSD group more freezing to new context 24h after shock in new context --&gt; increase SEFL</t>
  </si>
  <si>
    <t>PTSD group no baseline generalisation, but exaggerated SEFL (direct &amp;24hlater) compared to control</t>
  </si>
  <si>
    <t>PTSD(Shocks/10min)_EXT1_%freezing</t>
  </si>
  <si>
    <t>PTSD(Shocks/72h)_EXT1_%freezing</t>
  </si>
  <si>
    <t>PTSD(Shocks/10min)_EXT2_%freezing</t>
  </si>
  <si>
    <t>PTSD(Shocks/72h)_EXT2_%freezing</t>
  </si>
  <si>
    <t>PTSD(Shocks/10min)_EXT3_%freezing</t>
  </si>
  <si>
    <t>PTSD(Shocks/72h)_EXT3_%freezing</t>
  </si>
  <si>
    <t>PTSD(Shocks/10min)_EXT4_%freezing</t>
  </si>
  <si>
    <t>PTSD(Shocks/72h)_EXT4_%freezing</t>
  </si>
  <si>
    <t>PTSD(Shocks/10min)_EXT5_%freezing</t>
  </si>
  <si>
    <t>PTSD(Shocks/72h)_EXT5_%freezing</t>
  </si>
  <si>
    <t>PTSD group with delayed extinction (72h) higher levels of freezing during extinction training (p&lt;0.001) then direct extinction (10-min)</t>
  </si>
  <si>
    <t>[8 per group]</t>
  </si>
  <si>
    <t>IS (inescapable tail shocks 80 1.0mA, 5sec tail shocks)</t>
  </si>
  <si>
    <t>2 no shock groups [restrained or home cage control]</t>
  </si>
  <si>
    <t>[tail shock, opsluiting &amp; home cage controles] -- 10 experimenten hoofd vraag mbt escape behaviour.. Niet included in review</t>
  </si>
  <si>
    <t>1 &amp; 2</t>
  </si>
  <si>
    <t>escape behaviour / learned helplessness</t>
  </si>
  <si>
    <t>M(18) &amp; F(7)</t>
  </si>
  <si>
    <t>M(22) &amp; F(3)</t>
  </si>
  <si>
    <t>2,1 (SE)</t>
  </si>
  <si>
    <t>2 (SE)</t>
  </si>
  <si>
    <t>2 (PTSD &amp; combat control)</t>
  </si>
  <si>
    <t>delayed &amp; trace Auditory Fear Conditioning (85decibels) with airpuff as US (100 ms corneal airpuff delivered to the right eye that averaged 3 pounds of pressure per square inch.) - 90 conditioning trails &amp; direct erna (onafgebroken) 18 extinction trials</t>
  </si>
  <si>
    <t>Fear conditioning &amp; Extinction</t>
  </si>
  <si>
    <t>Control_DelayCond_AcqFin9_%ConResp</t>
  </si>
  <si>
    <t>Control_DelayCond_Ext_%ConResp</t>
  </si>
  <si>
    <t>PTSD_DelayCond_AcqFin9_%ConResp</t>
  </si>
  <si>
    <t>Control_TraceCond_Ext_%ConResp</t>
  </si>
  <si>
    <t>Control_TraceCond_AcqFin9_%ConResp</t>
  </si>
  <si>
    <t>reduced fear during extinction</t>
  </si>
  <si>
    <t>4.04</t>
  </si>
  <si>
    <t>ext iets lager (not sig)</t>
  </si>
  <si>
    <t>PTSD_DelayCond_Ext_%ConResp</t>
  </si>
  <si>
    <t>PTSD_TraceCond_AcqFin9_%ConResp</t>
  </si>
  <si>
    <t>PTSD_TraceCond_Ext_%ConResp</t>
  </si>
  <si>
    <t>trend reduced fear during extinction</t>
  </si>
  <si>
    <t>ns (P&lt;0.09)</t>
  </si>
  <si>
    <t>reduced fear during trace extinction</t>
  </si>
  <si>
    <t>Fear extinction in PTSD &amp; Control [trace &amp; delay con) - fear acquisitie intakt in ptsd &amp; controls</t>
  </si>
  <si>
    <t>PTSD(SPS)_VEH_%Freezing_CFC_Day16/17</t>
  </si>
  <si>
    <t>Control(no SPS)_VEH_%Freezing_CFC_Day16/17</t>
  </si>
  <si>
    <t>PTSD group more contextual fear conditioning, then control</t>
  </si>
  <si>
    <t>PTSD group more contextual fear expression 17day after trauma</t>
  </si>
  <si>
    <t>CFC (day 16/17 after SPS), footshock 0.8mA, 4s op day16</t>
  </si>
  <si>
    <t>2 (VEH-SPS &amp; VEH no SPS)</t>
  </si>
  <si>
    <t>only data veh group included</t>
  </si>
  <si>
    <t>7 (van de 14 exposed twins)</t>
  </si>
  <si>
    <t>7 (trauma exposed, geen ptsd) &amp; 14 unexposed twins</t>
  </si>
  <si>
    <t>14 pairs (exp vietnam - unexp twins) = 28 subjects</t>
  </si>
  <si>
    <t>58,1 (ExP+/UxP+)</t>
  </si>
  <si>
    <t>59,1 (Exp-/UxP-)</t>
  </si>
  <si>
    <t>unexposed twins &amp; combat controls</t>
  </si>
  <si>
    <t>4 [there were four cells of seven subjects each as follows: ExP+: combatexposed veteran with current, combat-related PTSD, and UxP+: his combat-unexposed co-twin; as well as ExP : combat-exposed veteran who never had combat-related PTSD, and UxP : his combat-unexposed co-twin.</t>
  </si>
  <si>
    <t>(contextual &amp; cued) fear conditioning &amp; extinction</t>
  </si>
  <si>
    <t>Skin conductance responses (SCR's)</t>
  </si>
  <si>
    <t>PTSD_SCRsqrt_Acq_CS+</t>
  </si>
  <si>
    <t>PTSD_SCRsqrt_Acq_CS-</t>
  </si>
  <si>
    <t>Control(Exposed)_SCRsqrt_Acq_CS+</t>
  </si>
  <si>
    <t>Control(Exposed)_SCRsqrt_Acq_CS-</t>
  </si>
  <si>
    <t>Control(unexp, twin ptsd)_SCRsqrt_Acq_CS+</t>
  </si>
  <si>
    <t>Control(unexp, twin ptsd)_SCRsqrt_Acq_CS-</t>
  </si>
  <si>
    <t>Control(unxp twin v Exposed healthy)_SCRsqrt_Acq_CS+</t>
  </si>
  <si>
    <t>Control(unxp twin v Exposed healthy)_SCRsqrt_Acq_CS-</t>
  </si>
  <si>
    <t>PTSD_SCRsqrt_EXTlearning_CS+</t>
  </si>
  <si>
    <t>PTSD_SCRsqrt_EXTlearning_CS-</t>
  </si>
  <si>
    <t>Control(unexp, twin ptsd)_SCRsqrt_EXTlearning_CS+</t>
  </si>
  <si>
    <t>Control(unexp, twin ptsd)_SCRsqrt_EXTlearning_CS-</t>
  </si>
  <si>
    <t>Control(Exposed)_SCRsqrt_EXTlearning_CS+</t>
  </si>
  <si>
    <t>Control(Exposed)_SCRsqrt_EXTlearning_CS-</t>
  </si>
  <si>
    <t>Control(unxp twin v Exposed healthy)_SCRsqrt_EXTlearning_CS+</t>
  </si>
  <si>
    <t>Control(unxp twin v Exposed healthy)_SCRsqrt_EXTlearning_CS-</t>
  </si>
  <si>
    <t>Extinction learning</t>
  </si>
  <si>
    <t>Extinction retention</t>
  </si>
  <si>
    <t>same subjects</t>
  </si>
  <si>
    <t>PTSD_SCRsqrt_EXTretention_CS+</t>
  </si>
  <si>
    <t>PTSD_SCRsqrt_EXTretention_CS-</t>
  </si>
  <si>
    <t>Control(unexp, twin ptsd)_SCRsqrt_EXTretention_CS+</t>
  </si>
  <si>
    <t>Control(unexp, twin ptsd)_SCRsqrt_EXTretention_CS-</t>
  </si>
  <si>
    <t>Control(Exposed)_SCRsqrt_EXTretention_CS+</t>
  </si>
  <si>
    <t>Control(Exposed)_SCRsqrt_EXTretention_CS-</t>
  </si>
  <si>
    <t>Control(unxp twin v Exposed healthy)_SCRsqrt_EXTretention_CS+</t>
  </si>
  <si>
    <t>Control(unxp twin v Exposed healthy)_SCRsqrt_EXTretention_CS-</t>
  </si>
  <si>
    <t>SCR to CS+ greater then to CS- in all groups (p=.007) no sig diff between groups</t>
  </si>
  <si>
    <t xml:space="preserve"> F1,11.3 = 8.6, p = 0.007</t>
  </si>
  <si>
    <t>significant a Stimulus effect, with SCRs to the CS+ greater than to the CS [ for all measures reported in this row ]</t>
  </si>
  <si>
    <t>ong. 70% extinction (of the aquired conditioned responses) in all groups, no group differences</t>
  </si>
  <si>
    <t>respons to CS+ greater then to CS- in all groups (p&lt;0.001) &amp; ExP+ higher SCR's then ExP- sub (p=0.01) &amp; UnP+ sub (P=0.03)</t>
  </si>
  <si>
    <t>ong. 70% ext of aquired fear for al groups</t>
  </si>
  <si>
    <t>ns diff between group</t>
  </si>
  <si>
    <t>resp. F1,12 = 7.1, p = 0.01 (EXP-) &amp;  F1,7.2 = 5.2, p = 0.03 (UxP+)</t>
  </si>
  <si>
    <t>all measures [CS+&gt;CS- resp] &amp; [exposed PTSD higher responses then exposed control (ExP-) &amp; unexposed twins of patients (UxP+)</t>
  </si>
  <si>
    <t>light?</t>
  </si>
  <si>
    <t>overiectomized female rats as subjects exposed to SPSS or shock // de shame (einige niet overiectomized) &amp; control hebben geen SPS of shock gehad… Slechte controle group? Geen trauma zonder overiectomized…</t>
  </si>
  <si>
    <t>2 [SPS + Shock (want onderdeel taak) &amp; shock alone (want onderdeel taak] in paper ook nog een sham en een controle group maar die hebben beide geen shock gehad.. En dat is onderdeel van de FC taak, daarom data niet opgenomen in line..)</t>
  </si>
  <si>
    <t>2 groups included [SPS + Shock (want onderdeel taak) &amp; shock alone (want onderdeel taak] in paper ook nog een sham en een controle group maar die hebben beide geen shock gehad.. En dat is onderdeel van de FC taak, daarom data niet opgenomen in line..)</t>
  </si>
  <si>
    <t>10 tot 8</t>
  </si>
  <si>
    <t>ong 20</t>
  </si>
  <si>
    <t>PTSD(sps)_Cond.Fear.Resp_1week</t>
  </si>
  <si>
    <t>Control(no sps, wel shock)_Cond.Fear.Resp_1week</t>
  </si>
  <si>
    <t>PTSD(sps)_Cond.Fear.Resp_2week</t>
  </si>
  <si>
    <t>Control(no sps, wel shock)_Cond.Fear.Resp_2week</t>
  </si>
  <si>
    <t>PTSD(sps)_Cond.Fear.Resp_3week</t>
  </si>
  <si>
    <t>Control(no sps, wel shock)_Cond.Fear.Resp_3week</t>
  </si>
  <si>
    <t>PTSD(sps)_Sensi.Fear.Resp_1week</t>
  </si>
  <si>
    <t>Control(no sps, wel shock)_Sensi.Fear.Resp_1week</t>
  </si>
  <si>
    <t>PTSD(sps)_Sensi.Fear.Resp_2week</t>
  </si>
  <si>
    <t>Control(no sps, wel shock)_Sensi.Fear.Resp_2week</t>
  </si>
  <si>
    <t>PTSD(sps)_Sensi.Fear.Resp_3week</t>
  </si>
  <si>
    <t>Control(no sps, wel shock)_Sensi.Fear.Resp_3week</t>
  </si>
  <si>
    <t>shock (2x 4s, 1 mA, 30 interval) 1 day after SPS (in kamer A) for spss rats, [others in chamber A without shock] &amp; TEST conditioned fear response 1, 2 or 3 weeks later in chamber A [ er wordt ook een Sensitized fear response gemeten in een nieuwe kamer (chamber B) met een neutrale tone.. zou je generalizatie kunnen oemen? Data staat ook in deze regel..</t>
  </si>
  <si>
    <t>Contextual Fear conditioning &amp;  sensitisatie (/generalisatie?)</t>
  </si>
  <si>
    <t>ptsd group higher freezing to context 1 week after shock</t>
  </si>
  <si>
    <t>ptsd group more freezing to context 2 week after trauma</t>
  </si>
  <si>
    <t>PTSD group higher freezing to context then control 3 week after shock</t>
  </si>
  <si>
    <t>no diff between ptsd &amp; control group 1 week after shock in % freezing to natural tone in new contxt</t>
  </si>
  <si>
    <t>ptsd group more freezing in new context then control (blijft hoog in ptsd op week2), bij controle verlaagd.</t>
  </si>
  <si>
    <t>ptsd group higher freezing to neutral tone in new context 3weeks afters hock (controle, verlaagd - ptsd blijft hoog)</t>
  </si>
  <si>
    <t>fear sensitisatie (of gen?) PTSD group blijft hoog freezen tot neutral cue tot 3 week na shock (&amp; trauma) control alleen 1week later verhoogde vreezing</t>
  </si>
  <si>
    <t>PTSD group (SPS+shock) tot 3 weken na sps&amp;shock verhoogde conditionene freezing (in shock context) compared to control); ook hogere fear sensitisatie (of gen. In new context) (welke 1 week na trauma ook verhoogd is in controle, maar op week2&amp;3 weer lager is)</t>
  </si>
  <si>
    <t>0 [wel overiectomiezed.. Er is een ander exp in papers waar injecties gegeven worden met b-estradiol]</t>
  </si>
  <si>
    <t>acquisitie, consolidatie &amp; expressie van conditioned fear</t>
  </si>
  <si>
    <t>no ptsd model, only classical fear conditioning (no 'trauma')</t>
  </si>
  <si>
    <t>Deployment (vietnam verterans)</t>
  </si>
  <si>
    <t>healthy civilians</t>
  </si>
  <si>
    <t># (nummers voor unieke artikelen op volgorde v screening)2</t>
  </si>
  <si>
    <t>FC (blue &amp; red light (one CS+ other CS-) [US 1.5mA, 5msec]</t>
  </si>
  <si>
    <t>PTSD_Threat_EMG(uV)</t>
  </si>
  <si>
    <t>Control_Threat_EMG(uV)</t>
  </si>
  <si>
    <t>PTSD_NoThreat_EMG(uV)</t>
  </si>
  <si>
    <t>Control_NoThreat_EMG(uV)</t>
  </si>
  <si>
    <t>PTSD higher startle resp to threat then control</t>
  </si>
  <si>
    <t>PTSD higher startle resp then control in no-threat trials</t>
  </si>
  <si>
    <t>overall PTSD group higher startle in threat &amp; safe then control</t>
  </si>
  <si>
    <t>(F = 4.62; df = 1,17; p &lt; .04)</t>
  </si>
  <si>
    <t>PTSD higher startle then control group (p&lt;0.04)</t>
  </si>
  <si>
    <t>exposure to cat hair (mild stressor) --&gt; then classification based on acoustic startle response &amp; behaviour in EPM in RES, SUS, INT</t>
  </si>
  <si>
    <t>"young adult rat"</t>
  </si>
  <si>
    <t>exposure --&gt; resilient</t>
  </si>
  <si>
    <t>CFC (2 footshock, 1mA, 1s) [geen idee hoe lang na PSS]</t>
  </si>
  <si>
    <t>classificatie volgens CBC model na exposure to trauma (PSS) in susceptible of resistant based on ASR &amp; EPM scores - 4 day after stressor cat</t>
  </si>
  <si>
    <t>% Freezing (time)</t>
  </si>
  <si>
    <t>no differences in contextual freezing during fear conditioning between sus &amp; res</t>
  </si>
  <si>
    <t>PTSD_Sus_%Freezing_DuringCFC</t>
  </si>
  <si>
    <t>Control_Res_%Freezing_DuringCFC</t>
  </si>
  <si>
    <t>(niet gerapparoteerd of het STD of SEM is, waarschijnlijk SEM)</t>
  </si>
  <si>
    <t>no diff</t>
  </si>
  <si>
    <t>F(1,13)=2,83, ns</t>
  </si>
  <si>
    <t>footschock (1.5mA, 1s)</t>
  </si>
  <si>
    <t>CFC &amp; Extinction</t>
  </si>
  <si>
    <t>1 (exposed to footshock &amp; Veh)</t>
  </si>
  <si>
    <t>"Adult"</t>
  </si>
  <si>
    <t>10 per group</t>
  </si>
  <si>
    <t>exposed to footschock, no control</t>
  </si>
  <si>
    <t>Freezing time (s)</t>
  </si>
  <si>
    <t>same paper Different animals</t>
  </si>
  <si>
    <t>1 (direct for testing-1h_Control group of spironolactone)</t>
  </si>
  <si>
    <t>1 (direct for testing_1h_Control group of mifepristone)</t>
  </si>
  <si>
    <t>1 (direct for testing_20min_Control group of dexamethasone)</t>
  </si>
  <si>
    <t>1 (direct for testing_20min_Control group of propranolol)</t>
  </si>
  <si>
    <t>1 (direct before testing (20min)_Control group of spironolactone)</t>
  </si>
  <si>
    <t>same paper Different animals_AFTER-testing</t>
  </si>
  <si>
    <t>PTSD_VEH(dexamethasone)_Ext1</t>
  </si>
  <si>
    <t>PTSD_VEH(propranolol)_Ext1</t>
  </si>
  <si>
    <t>PTSD_VEH(mifepristone)_Ext1</t>
  </si>
  <si>
    <t>PTSD_VEH(spironolactone)_Ext1</t>
  </si>
  <si>
    <t>PTSD_VEH(spironolactoneAFTER)_Ext1</t>
  </si>
  <si>
    <t>PTSD_VEH(fludrocortisone)_Ext1</t>
  </si>
  <si>
    <t>PTSD_VEH(propranolol)_Ext2</t>
  </si>
  <si>
    <t>PTSD_VEH(dexamethasone)_Ext2</t>
  </si>
  <si>
    <t>PTSD_VEH(mifepristone)_Ext2</t>
  </si>
  <si>
    <t>PTSD_VEH(spironolactone)_Ext2</t>
  </si>
  <si>
    <t>PTSD_VEH(spironolactoneAFTER)_Ext2</t>
  </si>
  <si>
    <t>PTSD_VEH(fludrocortisone)_Ext2</t>
  </si>
  <si>
    <t>PTSD_VEH(propranolol)_Ext3</t>
  </si>
  <si>
    <t>PTSD_VEH(dexamethasone)_Ext3</t>
  </si>
  <si>
    <t>PTSD_VEH(mifepristone)_Ext3</t>
  </si>
  <si>
    <t>PTSD_VEH(spironolactone)_Ext3</t>
  </si>
  <si>
    <t>PTSD_VEH(spironolactoneAFTER)_Ext3</t>
  </si>
  <si>
    <t>PTSD_VEH(fludrocortisone)_Ext3</t>
  </si>
  <si>
    <t>session 2 &amp; 3 diff sig from session 1</t>
  </si>
  <si>
    <t>p&lt;0.01 (for session 2 &amp; 3)</t>
  </si>
  <si>
    <t>session 3 differ sig from session 1 &amp; 2 (no dif between session 1 &amp; 2)</t>
  </si>
  <si>
    <t>(session1-3 p.01; session2-3 p.05)</t>
  </si>
  <si>
    <t>session 3 differ from sessoin 1 (rest ns)</t>
  </si>
  <si>
    <t>session 1-3 p.01 [rest ns]</t>
  </si>
  <si>
    <t>p 0.05 between sessions [0.01 overal decrease)</t>
  </si>
  <si>
    <t>7-8 per group</t>
  </si>
  <si>
    <t>9-20 per group</t>
  </si>
  <si>
    <r>
      <t xml:space="preserve">1 (direct </t>
    </r>
    <r>
      <rPr>
        <b/>
        <sz val="12"/>
        <color theme="0" tint="-0.499984740745262"/>
        <rFont val="Calibri"/>
        <family val="2"/>
        <scheme val="minor"/>
      </rPr>
      <t>after</t>
    </r>
    <r>
      <rPr>
        <sz val="12"/>
        <color theme="0" tint="-0.499984740745262"/>
        <rFont val="Calibri"/>
        <family val="2"/>
        <scheme val="minor"/>
      </rPr>
      <t xml:space="preserve"> testing (1-5min)_Control group of spironolactone)</t>
    </r>
  </si>
  <si>
    <t>9 tot 20?</t>
  </si>
  <si>
    <t>7 tot 8?</t>
  </si>
  <si>
    <t>sig extinction in ptsd group</t>
  </si>
  <si>
    <t>only in session 3 sig. Extinction in ptsd group</t>
  </si>
  <si>
    <t>10-12 weeks</t>
  </si>
  <si>
    <t>11-13 per group</t>
  </si>
  <si>
    <t>exposed vs non-exposed</t>
  </si>
  <si>
    <t>same animals, different tests</t>
  </si>
  <si>
    <t>same animales, different tests</t>
  </si>
  <si>
    <t>spatial learning &amp; memory</t>
  </si>
  <si>
    <t>2 (4 in paper, MTBI, PTSD, beide &amp; control) --&gt; only control &amp; ptsd included</t>
  </si>
  <si>
    <t>Footshock (1mA, 2s; day12) &amp; unpredictiable predator odor exposure(s) (during day 1 - 21, op random momenten during light/dark cycle)</t>
  </si>
  <si>
    <t>cued &amp; contextual fear retention (after FC during unpredictable trauma / stress sessie)</t>
  </si>
  <si>
    <t>PTSD_Contextual freezing_%Freezing(9day after FC, FC (day12) during unpredictable trauma (PPS) exposue day1-21)</t>
  </si>
  <si>
    <t>Control_Contextual freezing_%Freezing(9day after FC, FC (day12) during unpredictable trauma (PPS) exposue day1-21)</t>
  </si>
  <si>
    <t>PTSD_novelcontext(preCue)_freezing_%Freezing(9day after FC, FC (day12) during unpredictable trauma (PPS) exposue day1-21)</t>
  </si>
  <si>
    <t>Control_novelcontext(preCue)_freezing_%Freezing(9day after FC, FC (day12) during unpredictable trauma (PPS) exposue day1-21)</t>
  </si>
  <si>
    <t>PTSD_Cue_retention_freezing_%Freezing(9day after FC, FC (day12) during unpredictable trauma (PPS) exposue day1-21)</t>
  </si>
  <si>
    <t>Control_Cue_retention_freezing_%Freezing(9day after FC, FC (day12) during unpredictable trauma (PPS) exposue day1-21)</t>
  </si>
  <si>
    <t>PTSD group more freezing to cue 9day after FC)</t>
  </si>
  <si>
    <t>PTSD group more contextual freezing then control (9day after fc)</t>
  </si>
  <si>
    <t>p=0.0016</t>
  </si>
  <si>
    <t>no difference between control &amp; ptsd</t>
  </si>
  <si>
    <t>P=0.004</t>
  </si>
  <si>
    <t>% Freezing (s)</t>
  </si>
  <si>
    <t>more cued &amp; contextual freezing in PTSD group (fear retention)</t>
  </si>
  <si>
    <t>stress/trauma exposure (both); testing: ?</t>
  </si>
  <si>
    <t>cue &amp; CFC</t>
  </si>
  <si>
    <t>Radial Arm Water Maze (RAWM)</t>
  </si>
  <si>
    <t>Data study dubbel in tabel? (0=nee; 1=ja, same subjects different task, 2=ja,different animals, 'same' task)</t>
  </si>
  <si>
    <t>ong. 23</t>
  </si>
  <si>
    <t># entries in incorrect arm</t>
  </si>
  <si>
    <t>PTSD_MemoryErrors_Lastday</t>
  </si>
  <si>
    <t>Control_MemoryErrors_Lastday</t>
  </si>
  <si>
    <t>No difference in learning between control &amp; ptsd</t>
  </si>
  <si>
    <t>no difference in learning ptsd &amp; control (direct after trauma 1-21day); effect trauma, meer dan effect ptsd?</t>
  </si>
  <si>
    <t>no ptsd model, FC study?</t>
  </si>
  <si>
    <t>auteurs beschrijven situational reminders als onderdeel v trauma proccedure ) oxytocin &amp; social housing manipulations --&gt; now only data single housed non injected animals included</t>
  </si>
  <si>
    <t>social isolation (3-4 weeks)</t>
  </si>
  <si>
    <t>els</t>
  </si>
  <si>
    <t>no cog task? [same animals]</t>
  </si>
  <si>
    <t>Good model according to Flandreau etal. 2017? (1=ja; - = na)</t>
  </si>
  <si>
    <t>PTSD Model in Borghans etal.2015? (1=ja; - = na)</t>
  </si>
  <si>
    <t>wel Fs, maar longterm followup</t>
  </si>
  <si>
    <t>1 [ wel footshock, maar long-term measurs]</t>
  </si>
  <si>
    <t>Only ELS, No PTSD</t>
  </si>
  <si>
    <t xml:space="preserve">Exclude? Chronic stressor --&gt; Model depression &amp; PTSD. </t>
  </si>
  <si>
    <t>0 [FC en extinctie gemeten 3 dagen na training, = direct effect]</t>
  </si>
  <si>
    <t>? [autheurs spreken zelf wel over PTSD model, maar mogelijk te kort dag? 3day folow up]</t>
  </si>
  <si>
    <t>1 [ FC met predator odor]</t>
  </si>
  <si>
    <t>0 [FC short term test (1day]</t>
  </si>
  <si>
    <t>no PTSD model, only avoidance training &amp; individual differences daarin [ ze zeggen dat die verschillen wel mogelijk informatief zijn voor het risico op ptsd van een individu, maar testen dat niet]</t>
  </si>
  <si>
    <t>2week after trauma: increased generalization of traumatic context in PTSD groep (want increased latency to escape white concluderen autheurs) Het lijkt of de shock context donker was in de conditioning box</t>
  </si>
  <si>
    <t>1e week after trauma - Shocked animals (PTSD group) show contextual fear</t>
  </si>
  <si>
    <t>Black &amp; white box test (lijkt op shock omgeving, maar niet hetzelfde. Door autheurs gebruikt om te meten in hoeverre trauma context informatie gegeneralizeerd word) - 14day after trauma</t>
  </si>
  <si>
    <t>1 [FC, 1week followup]</t>
  </si>
  <si>
    <t>1 [FC, 2 week followup]</t>
  </si>
  <si>
    <t>1 [FC 1week followup]</t>
  </si>
  <si>
    <t>0? [FC, 3day followup.. Longterm genoeg?]</t>
  </si>
  <si>
    <t>wel benoemd ptsd model, beschreven in borghans, maar ook 'short term (1day followup)? [sample sizes niet precies vermeld]</t>
  </si>
  <si>
    <t>wel benoemd ptsd model, beschreven in borghans, maar ook 'short term (1day followup)? - [exp1 same animals]</t>
  </si>
  <si>
    <t>wel benoemd ptsd model, beschreven in borghans, maar ook 'short term (1day followup)? - [exp2 same animals]</t>
  </si>
  <si>
    <t>meer depressie model? - excluderen? - Escape behavior voornamelijk (niet cog. ) ook een FC taak in exp9 maar data not reported…</t>
  </si>
  <si>
    <t>0 [FC en extinctie gemeten 3 dagen na training, = lang genoeg?]</t>
  </si>
  <si>
    <t>no ptsd model, nu excluded want relatief direct effect gemeten (3dagen na FC, extinctie gemeten)&amp; 'zwakke schok' [Niet echt controle group.. Wat te doen met deze studie?]</t>
  </si>
  <si>
    <t>no non trauma group; ? [autheurs spreken zelf wel over PTSD model, maar mogelijk te kort dag? 3day folow up] echter wel hoge schock sterkte --&gt; wat te doen met deze studie?</t>
  </si>
  <si>
    <t>no ptsd model, FC study (zwakke schok &amp; short term followup) + no non trauma group</t>
  </si>
  <si>
    <t xml:space="preserve">0 [FC short term test (1day] --&gt; welke meer shock dan normal FC… </t>
  </si>
  <si>
    <t>FC study (zwakke shock sterkte?), no PTSD model? Autheurs suggest MasKO als ptsd model aan einde discussie…. Wat te doen met deze studie? Geen 'trauma' manipulatie maar alleen genetische background.. All animal's shocked</t>
  </si>
  <si>
    <t>echter wel lange trauma? (day1-21) Wat daarmee te doen? / noemen het zelf ook ptsd model</t>
  </si>
  <si>
    <t>0 [klopt niet met criteria A --&gt; EVENT] volgens Flandreau</t>
  </si>
  <si>
    <t>0? [ wel footshock, maar long-term measurs day12] maar ook langduring trauma wat misschien niet spoort met criterium A (event?) volgens 0 [klopt niet met criteria A --&gt; EVENT] volgens Flandreau</t>
  </si>
  <si>
    <t>1 [FC 1week followup] echter spreken autheurs wel meer over fearconditioning</t>
  </si>
  <si>
    <t>no ptsd model, maar FC &amp; slice preparation direct after FC (DAY1-2)- extinction (day 4-6) - renewal (DAY7);; autheurs hebben het zelf over een FC study</t>
  </si>
  <si>
    <t>1 [FC follow up to 21 days..]</t>
  </si>
  <si>
    <t>0 [social stress wel, isolation niet perse]</t>
  </si>
  <si>
    <t>Footshock 1.5mA, 2s [+ cue reminder exposure]</t>
  </si>
  <si>
    <t>Exploration in (s)</t>
  </si>
  <si>
    <t>conditioned object avoidance test at 1 day post footshock(stress) - conditioned opbject in home cage</t>
  </si>
  <si>
    <t>conditioned object avoidance test at 7 day post footshock(stress) - conditioned opbject in home cage</t>
  </si>
  <si>
    <t>conditioned object avoidance test at 14 day post footshock(stress) - conditioned opbject in home cage</t>
  </si>
  <si>
    <t>conditioned object avoidance test at 21 day post footshock(stress) - conditioned opbject in home cage</t>
  </si>
  <si>
    <t>conditioned object avoidance test at 28 day post footshock(stress) - conditioned opbject in home cage</t>
  </si>
  <si>
    <t>avoidance (day1)</t>
  </si>
  <si>
    <t>avoidance(day1)</t>
  </si>
  <si>
    <t>avoidance(day7)</t>
  </si>
  <si>
    <t>avoidance (day14)</t>
  </si>
  <si>
    <t>avoidance (day21)</t>
  </si>
  <si>
    <t>avoidance (day 28)</t>
  </si>
  <si>
    <t>conditioned object avoidance test at 1 day post footshock(stress) - novel/unknown opbject in home cage</t>
  </si>
  <si>
    <t>conditioned object avoidance test at 7 day post footshock(stress) - novel/unknown opbject in home cage</t>
  </si>
  <si>
    <t>conditioned object avoidance test at 14 day post footshock(stress) - novel/unknown opbject in home cage</t>
  </si>
  <si>
    <t>FC (maar longterm followup 28days)</t>
  </si>
  <si>
    <t>different animals!</t>
  </si>
  <si>
    <t>conditioned object avoidance test at 21 day post footshock(stress) - novel/unknown opbject in home cage</t>
  </si>
  <si>
    <t>conditioned object avoidance test at 28 day post footshock(stress) - novel/unknown opbject in home cage</t>
  </si>
  <si>
    <t>2 (more in paper)</t>
  </si>
  <si>
    <t>PTSD_ExplorationTime_ReminderObject_Day1</t>
  </si>
  <si>
    <t>PTSD_ExplorationTime_ReminderObject_Day21</t>
  </si>
  <si>
    <t>PTSD_ExplorationTime_ReminderObject_Day7</t>
  </si>
  <si>
    <t>PTSD_ExplorationTime_ReminderObject_Day14</t>
  </si>
  <si>
    <t>PTSD_ExplorationTime_NovelObject_Day1</t>
  </si>
  <si>
    <t>PTSD_ExplorationTime_NovelObject_Day7</t>
  </si>
  <si>
    <t>PTSD_ExplorationTime_NovelObject_Day14</t>
  </si>
  <si>
    <t>PTSD_ExplorationTime_NovelObject_Day21</t>
  </si>
  <si>
    <t>Control_ExplorationTime_ReminderObject_Day1</t>
  </si>
  <si>
    <t>Control_ExplorationTime_NovelObject_Day1</t>
  </si>
  <si>
    <t>Control_ExplorationTime_ReminderObject_Day7</t>
  </si>
  <si>
    <t>Control_ExplorationTime_NovelObject_Day7</t>
  </si>
  <si>
    <t>Control_ExplorationTime_ReminderObject_Day14</t>
  </si>
  <si>
    <t>Control_ExplorationTime_NovelObject_Day14</t>
  </si>
  <si>
    <t>Control_ExplorationTime_ReminderObject_Day21</t>
  </si>
  <si>
    <t>Control_ExplorationTime_NovelObject_Day21</t>
  </si>
  <si>
    <t>control group sig more exploration of object then stress group</t>
  </si>
  <si>
    <t>control more, ns…</t>
  </si>
  <si>
    <t>Control_ExplorationTime_ReminderObject_Day28</t>
  </si>
  <si>
    <t>Control_ExplorationTime_NovelObject_Day28</t>
  </si>
  <si>
    <t>no dif</t>
  </si>
  <si>
    <t>no diff (control meer, ns)</t>
  </si>
  <si>
    <t>PTSD_ExplorationTime_ReminderObject_Day28</t>
  </si>
  <si>
    <t>PTSD_ExplorationTime_NovelObject_Day28</t>
  </si>
  <si>
    <t>control anaimal exprole more then stressed animals + Stressed mice generalize avoidance to reminder &amp; new opbject.. (tot 28 dagen na trauma) No effect on locomotor &amp; (begraaf) gedrag --&gt; data not included, want niet cognitief</t>
  </si>
  <si>
    <t>isolated (ptsd) vs grouphoused (control)</t>
  </si>
  <si>
    <t>different animals! - Cue &amp; CFC (24h na einde SI) - fear acquisitie (met 1, 3 of 6 shocks during training) &amp; extinction</t>
  </si>
  <si>
    <t>Swiss-Webster mice</t>
  </si>
  <si>
    <t>group housed</t>
  </si>
  <si>
    <t>Fear Retention (Cue)</t>
  </si>
  <si>
    <t>Fear Retntion (Context)</t>
  </si>
  <si>
    <t>Fear Extinction (Cue)</t>
  </si>
  <si>
    <t>Fear Extinction (Context)</t>
  </si>
  <si>
    <t>adult'</t>
  </si>
  <si>
    <t>FC (extinction, cue, 11 tones no shock, 3days)</t>
  </si>
  <si>
    <t>FC (extinction, context,  6day, no tone (CS) no shock, 5min exposure to context per day)</t>
  </si>
  <si>
    <t>Freezing time (s)/5min</t>
  </si>
  <si>
    <t>FC (1x footshock 2s, 0.5mA) - context test 24h after conditioning mean day 1-6 after training</t>
  </si>
  <si>
    <t>FC (3x footshock 2s, 0.5mA) - Cue test 24h after conditioning</t>
  </si>
  <si>
    <t>FC (3x footshock 2s, 0.5mA) - context test 24h after conditioning mean day 1-6 after training</t>
  </si>
  <si>
    <t>FC (6x footshock 2s, 0.5mA) - context test 24h after conditioning mean day 1-6 after training</t>
  </si>
  <si>
    <t>PTSD(SI)_Freezing_Context_24hpostFC_1shock</t>
  </si>
  <si>
    <t>PTSD(SI)_Freezing_Context_24hpostFC_3shock</t>
  </si>
  <si>
    <t>PTSD(SI)_Freezing_Context_24hpostFC_6shock</t>
  </si>
  <si>
    <t>Control(group)_Freezing_Context_24hpostFC_3shock</t>
  </si>
  <si>
    <t>Control(group)_Freezing_Context_24hpostFC_1shock</t>
  </si>
  <si>
    <t>Control(group)_Freezing_Context_24hpostFC_6shock</t>
  </si>
  <si>
    <t>p&lt;0,01 [students t test]</t>
  </si>
  <si>
    <t>more contextual freezin in ptsd (SI) mice - 24h after FC</t>
  </si>
  <si>
    <t>FC (1x footshock 2s, 0.5mA) - conditioning</t>
  </si>
  <si>
    <t>FC (3x footshock 2s, 0.5mA) - conditioning</t>
  </si>
  <si>
    <t>FC (6x footshock 2s, 0.5mA) - conditioning</t>
  </si>
  <si>
    <t>PTSD(SI)_Freezing_conditioning_1shock</t>
  </si>
  <si>
    <t>PTSD(SI)_Freezing_conditioning_3shock</t>
  </si>
  <si>
    <t>PTSD(SI)_Freezing_conditioning_6shock</t>
  </si>
  <si>
    <t>Control(group__Freezing_conditioning_1shock</t>
  </si>
  <si>
    <t>Control(group)_Freezing_conditioning_3shock</t>
  </si>
  <si>
    <t>Control(group)_Freezing_conditioning_6shock</t>
  </si>
  <si>
    <t>no difference in freezing during training</t>
  </si>
  <si>
    <t>FC na SI</t>
  </si>
  <si>
    <t>PTSD(SI)_Freezing_Cue_24hpostFC_3shock</t>
  </si>
  <si>
    <t>control(group)_Freezing_Cue_24hpostFC_3shock</t>
  </si>
  <si>
    <t>2,14 [uitgerekend in excl]</t>
  </si>
  <si>
    <t>2,39 [uitgerekend in excl, op basis van mean alle tonen met stdev functie, is het dan toch sem?]</t>
  </si>
  <si>
    <t>no difference in cued freezing 24h after FC</t>
  </si>
  <si>
    <t>PTSD(SI)_Freezing_CueExtinction_Trail1</t>
  </si>
  <si>
    <t>PTSD(SI)_Freezing_CueExtinction_Trail2</t>
  </si>
  <si>
    <t>PTSD(SI)_Freezing_CueExtinction_Trail3</t>
  </si>
  <si>
    <t>Control(group)_Freezing_CueExtinction_Trail1</t>
  </si>
  <si>
    <t>Control(group)_Freezing_CueExtinction_Trail2</t>
  </si>
  <si>
    <t>Control(group)_Freezing_CueExtinction_Trail3</t>
  </si>
  <si>
    <t>no dif on trial1</t>
  </si>
  <si>
    <t>control &amp; ptsd group sig extinction, no diff between groups</t>
  </si>
  <si>
    <t>both p&lt;0.04 cue ext trial1-trial2</t>
  </si>
  <si>
    <t>ptsd en control sig extinc on trial 3, no group diff</t>
  </si>
  <si>
    <t>both dif trial 1 - trial3 = p&lt;0.02</t>
  </si>
  <si>
    <t>PTSD &amp; Control show cue extinc. No group differences</t>
  </si>
  <si>
    <t>no dif between in fear acq ptsd &amp; control</t>
  </si>
  <si>
    <t>More contextual fear retention in PTSD mice (24h after training)</t>
  </si>
  <si>
    <t>no dif in cued fear retention between control &amp; ptsd mice 24h after training</t>
  </si>
  <si>
    <t>PTSD(SI)_Freezing_ContextExtinction_Trail1</t>
  </si>
  <si>
    <t>Control(group)_Freezing_ContextExtinction_Trail1</t>
  </si>
  <si>
    <t>PTSD(SI)_Freezing_ContextExtinction_Trail2</t>
  </si>
  <si>
    <t>Control(group)_Freezing_ContextExtinction_Trail2</t>
  </si>
  <si>
    <t>PTSD(SI)_Freezing_ContextExtinction_Trail3</t>
  </si>
  <si>
    <t>Control(group)_Freezing_ContextExtinction_Trail3</t>
  </si>
  <si>
    <t>PTSD(SI)_Freezing_ContextExtinction_Trail4</t>
  </si>
  <si>
    <t>Control(group)_Freezing_ContextExtinction_Trail4</t>
  </si>
  <si>
    <t>PTSD(SI)_Freezing_ContextExtinction_Trail5</t>
  </si>
  <si>
    <t>Control(group)_Freezing_ContextExtinction_Trail5</t>
  </si>
  <si>
    <t>PTSD(SI)_Freezing_ContextExtinction_Trail6</t>
  </si>
  <si>
    <t>Control(group)_Freezing_ContextExtinction_Trail6</t>
  </si>
  <si>
    <t>control animal exprole more then stressed animals + Stressed mice generalize avoidance to reminder &amp; new opbject.. (tot 28 dagen na trauma) No effect on locomotor &amp; (begraaf) gedrag --&gt; data not included, want niet cognitief</t>
  </si>
  <si>
    <t>ptsd group higher freezing to context then control overal</t>
  </si>
  <si>
    <t>ptsd group higher freezing to context then control overall --&gt; vertraagde extinctie &amp; verminderde extinctie</t>
  </si>
  <si>
    <t>10 sessions FC (= 10x 0.5s, 0.5mA footshocks)</t>
  </si>
  <si>
    <t>no control group.. FC</t>
  </si>
  <si>
    <t>1 [FC 61day followup]</t>
  </si>
  <si>
    <t>no control group, wel different incubationtime groups - only FC, wel 2 month followup</t>
  </si>
  <si>
    <t>conditioned inhibition of lever-pressing for food pellets [ Suppression ration = ([precue - cue(tone)]/[precue +cue]) (1 is high fear; 0 is nofear)</t>
  </si>
  <si>
    <t>FC (4 tones (CS) zonder shock during cue test) 2, 15, 31 or 61 days after fear conditioning</t>
  </si>
  <si>
    <t>PTSD(FC)_2dayIncubation_SuppressionRatio</t>
  </si>
  <si>
    <t>PTSD(FC)_15dayIncubation_SuppressionRatio</t>
  </si>
  <si>
    <t>PTSD(FC)_31dayIncubation_SuppressionRatio</t>
  </si>
  <si>
    <t>PTSD(FC)_61dayIncubation_SuppressionRatio</t>
  </si>
  <si>
    <t>no dif between suppresion ration on day 2 and day 15 (low fear)</t>
  </si>
  <si>
    <t>more fear day31 &amp; day61 after fear conditioning, compared to day2 and day 15</t>
  </si>
  <si>
    <t>[F (3,48)   13.7, p   .01],</t>
  </si>
  <si>
    <t>after 10shocks, cue fear after 31 &amp; 61 day's (not after 2, 15 days)</t>
  </si>
  <si>
    <t>FC (maar longterm followup 61days)</t>
  </si>
  <si>
    <t>10/15 per dag &amp; 4 dagen (exp groups)</t>
  </si>
  <si>
    <t>? [dark/light cycle]</t>
  </si>
  <si>
    <t>contextual fear extinction retention or reinstatement of contextual fear</t>
  </si>
  <si>
    <t>CFC (re-exposure for 5 days )</t>
  </si>
  <si>
    <t>CFC (re-exposure 7 day after last extinction trial = day12 after FCtraining )</t>
  </si>
  <si>
    <t>PTSD(SI)_Reactivation_contextual24haftertrainging</t>
  </si>
  <si>
    <t>Control(group)_Freezing_ExtinctionTrial1</t>
  </si>
  <si>
    <t>Control(group)_Reactivation_Freezing_contextual24haftertrainging</t>
  </si>
  <si>
    <t>Control(group)_Freezing_ExtinctionTrial2</t>
  </si>
  <si>
    <t>PTSD(SI)_Freezing_ExtinctionTrial1</t>
  </si>
  <si>
    <t>PTSD(SI)_Freezing_ExtinctionTrial2</t>
  </si>
  <si>
    <t>PTSD(SI)_Freezing_ExtinctionTrial3</t>
  </si>
  <si>
    <t>Control(group)_Freezing_ExtinctionTrial3</t>
  </si>
  <si>
    <t>PTSD(SI)_Freezing_ExtinctionTrial4</t>
  </si>
  <si>
    <t>Control(group)_Freezing_ExtinctionTrial4</t>
  </si>
  <si>
    <t>PTSD(SI)_Freezing_ExtinctionTrial5</t>
  </si>
  <si>
    <t>Control(group)_Freezing_ExtinctionTrial5</t>
  </si>
  <si>
    <t>PTSD(SI)_Freezing_Contextualfear(Extinction)Retention_7day after last extinction session(day12after Fctraining)</t>
  </si>
  <si>
    <t>Control(group)_Freezing_Contextualfear(Extinction)Retention_7day after last extinction session(day12after Fctraining)</t>
  </si>
  <si>
    <t>CFC(reexposure 24h after FC with footshock 4x [2s, 0.5mA]) - no vehicl injected jet</t>
  </si>
  <si>
    <t>0 [veh injection na reactivation, dus na collectie van data in deze regel]</t>
  </si>
  <si>
    <t>10 tot 12</t>
  </si>
  <si>
    <t>PTSD group more freezing then control</t>
  </si>
  <si>
    <t>PTSD group less extinction then control</t>
  </si>
  <si>
    <t>PTSD group more contextual fear renewal upon context exposure 7day after extinction</t>
  </si>
  <si>
    <t>More contextual freezing in PTSD grou</t>
  </si>
  <si>
    <t>Less &amp; Slower fear extinction in PTSD group</t>
  </si>
  <si>
    <t>contextual fear renewal upon reexposure to context 7day after last extinction session (12day after Fctraining)</t>
  </si>
  <si>
    <t>[veh group comparison statistics not reported]</t>
  </si>
  <si>
    <t>autors don't reported statistics to support this claim</t>
  </si>
  <si>
    <t>[niet leesbaar in grafiek]</t>
  </si>
  <si>
    <t>no cognitive task, no ptsd model --&gt; Fear potentiated startle (zonder leren &amp; alcohol induced conditioned place preference</t>
  </si>
  <si>
    <t>FC (15 shocks, 17day followup)</t>
  </si>
  <si>
    <t>ICR mice (strain for PTSD like sympoms after trauma exposure)</t>
  </si>
  <si>
    <t>? [light/dark cycle]</t>
  </si>
  <si>
    <t>no footshock</t>
  </si>
  <si>
    <t>1 [FC, 2.5 week followup]</t>
  </si>
  <si>
    <t>15 footshocks (0.8mA, interval: 10s, duration 10s)</t>
  </si>
  <si>
    <t>2 (shocked vs non-shocked)</t>
  </si>
  <si>
    <t>exposure to situational reminders (for 5min, on day5, 10 and 17)</t>
  </si>
  <si>
    <t>PTSD_context_%Freezing_Day5</t>
  </si>
  <si>
    <t>Control_context_%Freezing_Day5</t>
  </si>
  <si>
    <t>PTSD_context_%Freezing_Day10</t>
  </si>
  <si>
    <t>Control_context_%Freezing_Day10</t>
  </si>
  <si>
    <t>PTSD_context_%Freezing_Day17</t>
  </si>
  <si>
    <t>Control_context_%Freezing_Day17</t>
  </si>
  <si>
    <t>p&lt;.01</t>
  </si>
  <si>
    <t>control less contextual freezing then ptsd on day 17 (after footshock)</t>
  </si>
  <si>
    <t>control less contextual freezing then ptsd on day 10 (after footshock)</t>
  </si>
  <si>
    <t>control less contextual freezing then ptsd on day 5 (after footshock)</t>
  </si>
  <si>
    <t>PTSD show more contextual freezing then control up to 17 day after footshocks</t>
  </si>
  <si>
    <t>1min forced swim - no underwater</t>
  </si>
  <si>
    <t>[ eerst taak leren, dan trauma, dan test] - alle dieren leerde de taak pre trauma aan. Aan leer data niet in tabel opgenomen (want geen verschil &amp; nog geen verschil in trauma vs control)</t>
  </si>
  <si>
    <t>2 [control &amp; trauma]</t>
  </si>
  <si>
    <t>% in quadrant - Quadrant anlysis test in water maze [ 1h post trauma] &amp; [3 weeks post trauma]</t>
  </si>
  <si>
    <t>PTSD_1hpostTrauma_%inQuadrant1{=previous platform}</t>
  </si>
  <si>
    <t>Control_1hpostTrauma_%inQuadrant1{=previous platform}</t>
  </si>
  <si>
    <t>3 [control; trauma in context; trauma out-context]</t>
  </si>
  <si>
    <t>spatial memory (in morris water maze) - [day1-8 training; day9: trauma of niet; day 9 1h post trauma Test;  3 week post trauma test]</t>
  </si>
  <si>
    <t>PTSD_3weeks_postTrauma_%inQuadrant1{=previous platform}</t>
  </si>
  <si>
    <t>Control_3weeks_postTrauma_%inQuadrant1{=previous platform}</t>
  </si>
  <si>
    <t>t10 = 4,39; p = 0.01</t>
  </si>
  <si>
    <t>t10 = 5.2; p=0.001</t>
  </si>
  <si>
    <t>control rats better memory then trauma rats; up to 3 weeks post trauma</t>
  </si>
  <si>
    <t>both 1h &amp; 3weeks p&lt;0.01</t>
  </si>
  <si>
    <t>Control rats better memory 1hposttrauma (more % time in right quadrant (1) then ptsd)</t>
  </si>
  <si>
    <t>Control rats better memory 3weeks post trauma (more % time in right quadrant (1) then ptsd)</t>
  </si>
  <si>
    <t>PTSD less memory for spatical info then control (1h &amp; 3 week after trauma)</t>
  </si>
  <si>
    <t xml:space="preserve">Underwater Trauma (in morris water maze waar ook training &amp; test is) - 1min forced swim &amp; 30s under water </t>
  </si>
  <si>
    <t xml:space="preserve">Underwater Trauma (in morris water maze waar training en test is [in CONTEXT] of in andere maze [out context]) - 1min forced swim &amp; 30s under water </t>
  </si>
  <si>
    <t>12 [trauma in context] + 12 [trauma out context]</t>
  </si>
  <si>
    <t>spatial memory (in morris water maze) - [day1-5 training; day4: trauma (in &amp;out context) of niet; day 5 1h post trauma Test;  3 week post trauma test]</t>
  </si>
  <si>
    <t>PTSDinCONTEXT_1hpostTrauma_%inQuadrant1{=previous platform}</t>
  </si>
  <si>
    <t>PTSDoutCONTEXT_1hpostTrauma_%inQuadrant1{=previous platform}</t>
  </si>
  <si>
    <t>PTSDinCONTEXT_3week_postTrauma_%inQuadrant1{=previous platform}</t>
  </si>
  <si>
    <t>PTSDoutCONTEXT_3week_postTrauma_%inQuadrant1{=previous platform}</t>
  </si>
  <si>
    <t>F2,47=41,1; p=0.0001</t>
  </si>
  <si>
    <t>only trauma in context impaired memory 1h after trauma (out context trauma en control niet)</t>
  </si>
  <si>
    <t xml:space="preserve">out context trauma dieren vergelijkbaar als control,. Trauma in context </t>
  </si>
  <si>
    <t>F2,47=11.13; p=0.0001</t>
  </si>
  <si>
    <t>only in trauma context group slechte memory, control &amp; out-context group gelijk, &amp; beter dan incontext 3 weeks na trauma</t>
  </si>
  <si>
    <t>Only impaired spatial memory in in-trauma context [out-context ptsd &amp; control vergelijkbaar en beter dan incontext group] 1h &amp; 3 weeks</t>
  </si>
  <si>
    <t>Contextual Spatial Memory</t>
  </si>
  <si>
    <t>Spatial Memory</t>
  </si>
  <si>
    <t>78 (11F)</t>
  </si>
  <si>
    <t>1&amp;2</t>
  </si>
  <si>
    <t>Combat Controles - low symptoms</t>
  </si>
  <si>
    <t>PTSD Checklist-Military Version (PCL-M ) score (28-49 = high; below 28 = low)</t>
  </si>
  <si>
    <t>2 month after Deployment (afghanistant or Iraq) + high sympoms op checklist</t>
  </si>
  <si>
    <t>2 (high &amp; low symptoms)</t>
  </si>
  <si>
    <t>NB: subthreshold PTSD! &amp; ook data over HR responses in reactie op VR senarios van iraq en afghanistan.. Deze data nu niet included (want niet cog. En gedragsmatig?)</t>
  </si>
  <si>
    <t>niet gerapporteerd</t>
  </si>
  <si>
    <t>M + F (Niet uitgesplitst naar goep, totaal sample: 11 van 78 F)</t>
  </si>
  <si>
    <t>29,72 (niet uitgesplitst naar group, dit is total sample data) | range 19-51jr</t>
  </si>
  <si>
    <t>Control_LowSymp_BPM_FC_DangerCue_MidFC</t>
  </si>
  <si>
    <t>PTSD_HighSymp_BPM_FC_DangerCue_MidFC</t>
  </si>
  <si>
    <t>Control_LowSymp_BPM_FC_DangerCue_EarlyFC</t>
  </si>
  <si>
    <t>PTSD_HighSymp_BPM_FC_DangerCue_EarlyFC</t>
  </si>
  <si>
    <t>PTSD_HighSymp_BPM_FC_DangerCue_lateFC</t>
  </si>
  <si>
    <t>Control_LowSymp_BPM_FC_DangerCue_lateFC</t>
  </si>
  <si>
    <t>fear conditioning (US = 140 psi airblast to the larynx) paired met colored shaps (danger cue) en andere shapes als safe cue (&amp; HR responese to virtual reality task --&gt; niet included.. Niet cognitief) - aanleer data in 3 blocken van 12 trials opgedeeld</t>
  </si>
  <si>
    <t>subthreshold ptsd - autheurs spreken daar zelf ook over</t>
  </si>
  <si>
    <t>BPM_Heart rate response to safety en danger cues gedurende de taak (in FC task)</t>
  </si>
  <si>
    <t>high symptom group greater HR response in early &amp; late FC to danger cues</t>
  </si>
  <si>
    <t>Total experiment (Group*Condition*Time) F(2,52)=2,998; p=0,05</t>
  </si>
  <si>
    <t>PTSD_HighSymp_BPM_FC_SafeCue_MidFC</t>
  </si>
  <si>
    <t>Control_LowSymp_BPM_FC_SafeCue_MidFC</t>
  </si>
  <si>
    <t>PTSD_HighSymp_BPM_FC_SafeCue_EarlyFC</t>
  </si>
  <si>
    <t>Control_LowSymp_BPM_FC_SafeCue_EarlyFC</t>
  </si>
  <si>
    <t>PTSD_HighSymp_BPM_FC_SafeCue_LateFC</t>
  </si>
  <si>
    <t>Control_LowSymp_BPM_FC_SafeCue_LateFC</t>
  </si>
  <si>
    <t>high symptom group greater HR response in mid &amp; late FC to safe cues</t>
  </si>
  <si>
    <t>those with higher subthreshold ptsd symptoms reacted more strongly during the early and late periods in response to the danger cues, and during the mid and late periods in response to safety cues.</t>
  </si>
  <si>
    <t>prenatal stress als 'trauma' en dan FC &amp; extinction</t>
  </si>
  <si>
    <t>maternal separation als trauma (ook control group) daarna FC op day90 (test 1h na acq &amp; 24h later) in helft van iedere groep; andere helft morris water maze | excluded want ook control group niet longterm test na FC(maar 1dag)</t>
  </si>
  <si>
    <t>8-week</t>
  </si>
  <si>
    <t>SPS [2h restraint, 20min forced swim, ether anesthesia] + VEH</t>
  </si>
  <si>
    <t>no SPS (sham) + VEH</t>
  </si>
  <si>
    <t>PTSD(SPS)_ContextualFreezing_2weekaftertrauma_24h after footshock_VEH</t>
  </si>
  <si>
    <t>Control(sham)_ContextualFreezing_2weekaftertrauma_24h after footshock_VEH</t>
  </si>
  <si>
    <t>VEH group van 0.1mg/ml paroxetine</t>
  </si>
  <si>
    <t>VEH group van 0.03mg/ml paroxetine</t>
  </si>
  <si>
    <t>VEH group van 0.01mg/ml paroxetine</t>
  </si>
  <si>
    <t>PTSD more contextual freezing 15ay after trauma</t>
  </si>
  <si>
    <t>PTSD more contextual freezing in CFC 15day after trauma</t>
  </si>
  <si>
    <t>15day after SPS - (C)FC (footshock 0.8mA, 4s) + 24h context reexposure</t>
  </si>
  <si>
    <t>Direct (24h after SPS) - (C)FC (footshock 0.8mA, 4s) + 24h context reexposure</t>
  </si>
  <si>
    <t>no difference in contextual fear 2day after trauma</t>
  </si>
  <si>
    <t>PTSD(SPS)_ContextualFreezing_2dayaftertrauma_24h after footshock_VEH</t>
  </si>
  <si>
    <t>Control(sham)_ContextualFreezing_2dayaftertrauma_24h after footshock_VEH</t>
  </si>
  <si>
    <t>Acute - Contextual Fear conditioning</t>
  </si>
  <si>
    <t>Contextual Fear conditioning (2week after Trauma)</t>
  </si>
  <si>
    <t>1 [FC 28day followup]</t>
  </si>
  <si>
    <t>dark (early hours of dark period)</t>
  </si>
  <si>
    <t>PTSD(footshock)_%ContextualFreezing_Day1</t>
  </si>
  <si>
    <t>PTSD(footshock)_%ContextualFreezing_Day28</t>
  </si>
  <si>
    <t>Control(noShock)_%ContextualFreezing_Day28</t>
  </si>
  <si>
    <t>Control(noShock)_%ContextualFreezing_Day1</t>
  </si>
  <si>
    <t>PTSD group more contextual fear 1 day after shock</t>
  </si>
  <si>
    <t>p&lt;0.022</t>
  </si>
  <si>
    <t xml:space="preserve">PTSD group more contextual freezing 28 days after shock </t>
  </si>
  <si>
    <t>p&lt;0.017</t>
  </si>
  <si>
    <t>different animals for measure day1 &amp; day 28</t>
  </si>
  <si>
    <t>10 Footshocks (3mA) [1day later reexposure to shock context]</t>
  </si>
  <si>
    <t>10 Footshocks (3mA) [28 day later reexposure to shock context]</t>
  </si>
  <si>
    <t>CFC (1 day after footshocks reexposure to shock context)</t>
  </si>
  <si>
    <t>CFC ( 28 day after footshocks reexposure to shock context)</t>
  </si>
  <si>
    <t>ptsd more contextual freezing 1day after trauma</t>
  </si>
  <si>
    <t>ptsd more contextual freezing 28day after trauma</t>
  </si>
  <si>
    <t>0 (fc 1day followup)</t>
  </si>
  <si>
    <t>36 totaal (/4 (2groups; 2 days) = 18 per dag &amp; 9 per group</t>
  </si>
  <si>
    <t>FC (1day followup)</t>
  </si>
  <si>
    <t>1 (geen vehicle wel electrodes geimplanteerd voor slaaprecording)</t>
  </si>
  <si>
    <t>8-10 weeks</t>
  </si>
  <si>
    <t>17 (in batches van 6-8 exposed to sps)</t>
  </si>
  <si>
    <t>same animals!</t>
  </si>
  <si>
    <t>Fear Extinction recall</t>
  </si>
  <si>
    <t>fear extinction in ContextB 24h after FC in context A NO FOOTSHOCK wel tones</t>
  </si>
  <si>
    <t>CFC (1mA, 1s footshock paired with tones- in CONTEXT A (=een van de 2 unique met different olfactory en visual cues))</t>
  </si>
  <si>
    <t>Extinction recall - reexposure to context B 24h after extinction training [48h after FC]</t>
  </si>
  <si>
    <t>(%?) Freezing time (s) per 70s block</t>
  </si>
  <si>
    <t>PTSD_Freezing_Acq</t>
  </si>
  <si>
    <t>PTSD_Freezing_EXT(24hpostACQ)</t>
  </si>
  <si>
    <t>PTSD_Freezing_EXTReval(24afterEXT; 48h After ACQ)</t>
  </si>
  <si>
    <t>Control_Freezing_Acq</t>
  </si>
  <si>
    <t>Control_Freezing_EXT(24hpostACQ)</t>
  </si>
  <si>
    <t>Control_Freezing_EXTReval(24afterEXT; 48h After ACQ)</t>
  </si>
  <si>
    <t>no dif in fear acquisitie</t>
  </si>
  <si>
    <t>t(24)=0.305; p=0.76 NS</t>
  </si>
  <si>
    <t>no dif in fear extinction</t>
  </si>
  <si>
    <t>t(24)=1,94; p=0.064 NS</t>
  </si>
  <si>
    <t>PTSD more freezing during extinction recall --&gt; impaired recall of extinction memory</t>
  </si>
  <si>
    <t xml:space="preserve">t(24)=2.12; p=0.04 </t>
  </si>
  <si>
    <t>PTSD impaired recall of extinction memory</t>
  </si>
  <si>
    <t>No dif in fear acq</t>
  </si>
  <si>
    <t>no dif in fear ext</t>
  </si>
  <si>
    <t>light? (SPS at start of lights on)</t>
  </si>
  <si>
    <t>data in tekst vermeld</t>
  </si>
  <si>
    <t>12h light/dark cycle (light 8-20</t>
  </si>
  <si>
    <t>3 [ SPS+ shock; Shock; no sps no shock - all with vehicle]</t>
  </si>
  <si>
    <t>different animals per day (1, 7 and 14)</t>
  </si>
  <si>
    <t>no SPS (2 groupen 1 met footshock, 1 zonder footshock)</t>
  </si>
  <si>
    <t>SPS [2h restraint, 20min forced swim, ether anesthesia] + Shock! [Footshock (30min  after SPS procedure (1mA, 4s) in trauma group)]</t>
  </si>
  <si>
    <t>day1 CFC --&gt; Reexposure to footshock context 1 day after footshock [Footshock (30min  after SPS procedure (1mA, 4s) in trauma group)]</t>
  </si>
  <si>
    <t>day7 CFC --&gt; Reexposure to footshock context 7 day after footshock [Footshock (30min  after SPS procedure (1mA, 4s) in trauma group)]</t>
  </si>
  <si>
    <t>day14 CFC --&gt; Reexposure to footshock context 14 day after footshock [Footshock (30min  after SPS procedure (1mA, 4s) in trauma group)]</t>
  </si>
  <si>
    <t>PTSD(SPS+Shock)_Freezing_Day1</t>
  </si>
  <si>
    <t>Control(Shock)_Freezing_Day1</t>
  </si>
  <si>
    <t>Control(NoShock)_Freezing_Day1</t>
  </si>
  <si>
    <t>PTSD(SPS+Shock)_Freezing_Day14</t>
  </si>
  <si>
    <t>PTSD(SPS+Shock)_Freezing_Day7</t>
  </si>
  <si>
    <t>Control(Shock)_Freezing_Day7</t>
  </si>
  <si>
    <t>Control(Shock)_Freezing_Day14</t>
  </si>
  <si>
    <t>Control(NoShock)_Freezing_Day7</t>
  </si>
  <si>
    <t>Control(NoShock)_Freezing_Day14</t>
  </si>
  <si>
    <t>9 (shock) + 12 (sham)</t>
  </si>
  <si>
    <t>9 (shock) + 15 (sham)</t>
  </si>
  <si>
    <t>PTSD (SPS+Shock) sig increased fear response (no sig dif between control groups +&amp;- shock)</t>
  </si>
  <si>
    <t>Overall ANOVA (group effect): F(2,106)=62,779,p=0.000 .. Post-Hoc SPS+Shock vs Sham p=0.000; Post-hoc Shock vs Sham p=0.096</t>
  </si>
  <si>
    <t>PTSD group sig higher contextual fear (on day1, 7 &amp; 14)</t>
  </si>
  <si>
    <t>Contextual fear memory</t>
  </si>
  <si>
    <t>Contextual fear memory / conditioning</t>
  </si>
  <si>
    <t>FC after SPS</t>
  </si>
  <si>
    <t>1 [FC met 21 day followup]</t>
  </si>
  <si>
    <t>CFC - context reexposure on day 7 and day 21</t>
  </si>
  <si>
    <t>20 footshocks (0.8mA, 0.5s duration, 1min interval) --&gt; later context reexposure</t>
  </si>
  <si>
    <t>1 (in paper 2: muscimol &amp; vehicle in BLA mirco injected group) --&gt; only vehicl data included</t>
  </si>
  <si>
    <t>7 (van 14 in total, 7 vehicl injected)</t>
  </si>
  <si>
    <t>1 (before FC training, microinjection in BLA)</t>
  </si>
  <si>
    <t>no control group</t>
  </si>
  <si>
    <t>PTSD_ContextualFreezing_Day7</t>
  </si>
  <si>
    <t>PTSD_ContextualFreezing_Day21</t>
  </si>
  <si>
    <t>PTSD_freezingPreFC</t>
  </si>
  <si>
    <t xml:space="preserve">sig increase in freezing at context reexposure on day 7 and day 21 (compared to pre FC) </t>
  </si>
  <si>
    <t>increased freezing at context reexposure on day 21 (compared to preTraining)</t>
  </si>
  <si>
    <t>increased freezing at context reexposure on day 7 (compared to preTraining)</t>
  </si>
  <si>
    <t>Shocked animals increased contextual freezing up to 21days post training (FC)</t>
  </si>
  <si>
    <t>no SPS (Sham)</t>
  </si>
  <si>
    <t>sprague-Dawley rats</t>
  </si>
  <si>
    <t>3 experiments in paper, only data exp1 included. Exp2 oral administration of d-cycloserine &amp; exp3 mRNA level measures</t>
  </si>
  <si>
    <t>CFC (24h after SPS, 2x footshock 4s, 0.8mA, 30s interval) + extinction training for 5 days - start 24h after FC)</t>
  </si>
  <si>
    <t>PTSD_%Freezing_ExtinctionDay1</t>
  </si>
  <si>
    <t>Control_%Freezing_ExtinctionDay1</t>
  </si>
  <si>
    <t>PTSD_%Freezing_ExtinctionDay2</t>
  </si>
  <si>
    <t>Control_%Freezing_ExtinctionDay2</t>
  </si>
  <si>
    <t>PTSD_%Freezing_ExtinctionDay3</t>
  </si>
  <si>
    <t>Control_%Freezing_ExtinctionDay3</t>
  </si>
  <si>
    <t>PTSD_%Freezing_ExtinctionDay4</t>
  </si>
  <si>
    <t>Control_%Freezing_ExtinctionDay4</t>
  </si>
  <si>
    <t>PTSD_%Freezing_ExtinctionDay5</t>
  </si>
  <si>
    <t>Control_%Freezing_ExtinctionDay5</t>
  </si>
  <si>
    <t>no dif in freezing on day 1 --&gt; same FC in boht groups</t>
  </si>
  <si>
    <t>ptsd group higher freezing to context then control on day2</t>
  </si>
  <si>
    <t>ptsd group more contextual freezing on day 3 then control</t>
  </si>
  <si>
    <t>ptsd more contextual freezing then control on day 4 of extinction training</t>
  </si>
  <si>
    <t>ptsd group more contextual freezing on day 5 of extinction training then control</t>
  </si>
  <si>
    <t>PTSD &amp; Control group similar fear acquisition, but PTSD group has imparaid fear extinction (day2-5)</t>
  </si>
  <si>
    <t>t(18)=1.54; p=0.13 NS</t>
  </si>
  <si>
    <t>t(18)=2,76; p&lt;0.05</t>
  </si>
  <si>
    <t>t(18)=3,67; p&lt;0.01</t>
  </si>
  <si>
    <t>t(18)=3.63; p&lt;0.01</t>
  </si>
  <si>
    <t>t(18)=4,11; p&lt;0.01</t>
  </si>
  <si>
    <t xml:space="preserve"> Freezing time (s) / 10s interval (average of 3min van 10s tests)</t>
  </si>
  <si>
    <t>9 weeks</t>
  </si>
  <si>
    <t>FC (3x, 2sec duration, 1.5mA) - later context + CUE(tones) reexposure &amp; freezing measurement</t>
  </si>
  <si>
    <t>C57BL/6J Mice</t>
  </si>
  <si>
    <t>? (14h light; 10h dark)</t>
  </si>
  <si>
    <t>3 weeks [pre-puberal mice]</t>
  </si>
  <si>
    <t>24 (12 injected with FG-7142 (anxiogenic drug) - 12 not injected)</t>
  </si>
  <si>
    <t>FC (3x, 3sec duration, 1.5mA) - later context + CUE(tones) reexposure &amp; freezing measurement [ in helft PTSD group coupled with (FG-7142)anxiogenic drug injection prior to FC als part of PTSD model)</t>
  </si>
  <si>
    <t>1 (of els?)</t>
  </si>
  <si>
    <t>1 [FC, maar 5 week followup]</t>
  </si>
  <si>
    <t>1 [FC maar 7 week followup]</t>
  </si>
  <si>
    <t>CFC (shock context reexposure, 1,3,5 weeks after FC)</t>
  </si>
  <si>
    <t>CFC (shock context reexposure, 1,3,5,7 weeks after FC)</t>
  </si>
  <si>
    <t>Fear Retention (Context)</t>
  </si>
  <si>
    <t>Fear Memory/retention (Context)</t>
  </si>
  <si>
    <t>3 (2 trauma met of zonder anxiogenic drug)</t>
  </si>
  <si>
    <t>PTSD_averagefreezingtime(s)/10stestperiod_1week</t>
  </si>
  <si>
    <t>Control_averagefreezingtime(s)/10stestperiod_1week</t>
  </si>
  <si>
    <t>PTSD_averagefreezingtime(s)/10stestperiod_3week</t>
  </si>
  <si>
    <t>Control_averagefreezingtime(s)/10stestperiod_3week</t>
  </si>
  <si>
    <t>PTSD_averagefreezingtime(s)/10stestperiod_5week</t>
  </si>
  <si>
    <t>Control_averagefreezingtime(s)/10stestperiod_5week</t>
  </si>
  <si>
    <t>pstd group more contextual freezing then control 1week after FC</t>
  </si>
  <si>
    <t>pstd group more contextual freezing then control 3week after FC</t>
  </si>
  <si>
    <t>pstd group more contextual freezing then control 5week after FC</t>
  </si>
  <si>
    <t>PTSD_averagefreezingtime(s)/10stestperiod_1week_[data Injected &amp; non-injected PTSD animal combined]</t>
  </si>
  <si>
    <t>Control_averagefreezingtime(s)/10stestperiod_1week_[data Injected &amp; non-injected PTSD animal combined]</t>
  </si>
  <si>
    <t>PTSD_averagefreezingtime(s)/10stestperiod_3week_[data Injected &amp; non-injected PTSD animal combined]</t>
  </si>
  <si>
    <t>Control_averagefreezingtime(s)/10stestperiod_3week_[data Injected &amp; non-injected PTSD animal combined]</t>
  </si>
  <si>
    <t>PTSD_averagefreezingtime(s)/10stestperiod_5week_[data Injected &amp; non-injected PTSD animal combined]</t>
  </si>
  <si>
    <t>Control_averagefreezingtime(s)/10stestperiod_5week_[data Injected &amp; non-injected PTSD animal combined]</t>
  </si>
  <si>
    <t>PTSD_averagefreezingtime(s)/10stestperiod_7week_[data Injected &amp; non-injected PTSD animal combined]</t>
  </si>
  <si>
    <t>Control_averagefreezingtime(s)/10stestperiod_7week_[data Injected &amp; non-injected PTSD animal combined]</t>
  </si>
  <si>
    <t>pre-puberal mice! (include?) / 2 ptst groups met en zonder injection naast shocks.. Nu combined data van deze dieren geincludeerd als ptsd group. No differences between ptsd groups.. [data ook los in artikel.. Kan ook los gerapporteerd owrden]</t>
  </si>
  <si>
    <t>te jong? / PTSD groups splitsen?</t>
  </si>
  <si>
    <t>1 [ geen vehicle injection, wel anixiogenic drug injection in helft ptsd group]</t>
  </si>
  <si>
    <t>PTSD group more contextual freezing then control up to 5 weeks after 'shocks'</t>
  </si>
  <si>
    <t>PTSD group more contextual freezing then control up to 7 weeks after 'shocks'</t>
  </si>
  <si>
    <t>3 protocols [ protocol1: CFC &amp; 24h retention (niet included, te shortterm, no ptsd) protocol2: CFC, 24h retention, 25later extinction trials (day3-6), what to do?; protocol 3: CFC, 24h retention, day 10 retention</t>
  </si>
  <si>
    <t xml:space="preserve"> [no control group]</t>
  </si>
  <si>
    <t>FC (2s, 1mA) + cue tone &amp; context testing later</t>
  </si>
  <si>
    <t>1 [FC 10 day follow up]</t>
  </si>
  <si>
    <t>1 ( only vehicle data protocol 3 included)</t>
  </si>
  <si>
    <t>CFC (context reexposure 24h &amp; 10 day after FC.. VEH injectrion between retention (24h) &amp; 10day test</t>
  </si>
  <si>
    <t>PTSD(FC)_acqFC_%contextual freezing</t>
  </si>
  <si>
    <t>PTSD(FC)_24hRetention_%contextual freezing</t>
  </si>
  <si>
    <t>PTSD(FC)_10dayLongTermMemory_%contextual freezing</t>
  </si>
  <si>
    <t>? [light/dark cycle; lights on at 7h]</t>
  </si>
  <si>
    <t>(niet vermeld of SEM of SD gerapporteerd is.. Meest SEM.. Dus daarom bij SEM gezet)</t>
  </si>
  <si>
    <t>no statistical comparison between these groups</t>
  </si>
  <si>
    <t>no statistical comparison between groups. Er lijkt meer freezing te zijn on day10.. Maar lijkt niet sig.</t>
  </si>
  <si>
    <t>? Freezing levels lijken gelijk te blijven during FC, 24h retention en 10 day retention.. Echter geen vergelijking met control group , of within animals.. Uit ander protocol in paper lijken control rats niet te freezen..</t>
  </si>
  <si>
    <t>allen data protocol 3 included ( no control group; ook geen statistische vergelijking whitin subjects..), wat te doen met rpotocol 2?</t>
  </si>
  <si>
    <t>Psychosocial stress paradigm [ two 1h cat exposures (1 during light &amp; 2 during dark phase), 10days separated + unstable housing conditions 31days after 1ste cat exposure]</t>
  </si>
  <si>
    <t>no cat exposure, no housing instability]</t>
  </si>
  <si>
    <t>? [light/dark cycle; lights on at 7h] - 1e cat exposure during light phase, 2de during dark phase</t>
  </si>
  <si>
    <r>
      <t xml:space="preserve">[predator-based fear conditioning = exposure to chamber 3min before each cat exposure + Tone last 30s of chamber exposure (control group, ook 3min chamber exposure  + tone (not followed by cat exposure)] - 3 weeks after last cat exposure (day32) --&gt; </t>
    </r>
    <r>
      <rPr>
        <b/>
        <sz val="12"/>
        <color rgb="FF000000"/>
        <rFont val="Calibri"/>
        <family val="2"/>
      </rPr>
      <t>context test:</t>
    </r>
    <r>
      <rPr>
        <sz val="12"/>
        <color rgb="FF000000"/>
        <rFont val="Calibri"/>
        <family val="2"/>
      </rPr>
      <t xml:space="preserve"> reexposure to this context 5min  ; Daarna </t>
    </r>
    <r>
      <rPr>
        <b/>
        <sz val="12"/>
        <color rgb="FF000000"/>
        <rFont val="Calibri"/>
        <family val="2"/>
      </rPr>
      <t>cue test</t>
    </r>
    <r>
      <rPr>
        <sz val="12"/>
        <color rgb="FF000000"/>
        <rFont val="Calibri"/>
        <family val="2"/>
      </rPr>
      <t>: 6min exposure to new context waar de tone te horen is voor 3min</t>
    </r>
  </si>
  <si>
    <t>2 experimenten beschrijven 1e gedrags data / 2de hpa meeting &amp; manipulatie [niet included]</t>
  </si>
  <si>
    <t xml:space="preserve">Fear Memory/retention </t>
  </si>
  <si>
    <t>PTSD_ContextMemoryTrauma_day32(3weeks)_%Freezing</t>
  </si>
  <si>
    <t>1 [wel chronic stress… klopt dat met criterium a?]</t>
  </si>
  <si>
    <t>Control_ContextMemoryTrauma_day32(3weeks)_%Freezing</t>
  </si>
  <si>
    <t>PTSD more contextual freezing then control 32 days after trauma</t>
  </si>
  <si>
    <t>PTSD_CueMemoryTrauma_day32(3weeks)_%Freezing_Pre-Tone</t>
  </si>
  <si>
    <t>PTSD_CueMemoryTrauma_day32(3weeks)_%Freezing_Tone</t>
  </si>
  <si>
    <t>Control_CueMemoryTrauma_day32(3weeks)_%Freezing_Pre-Tone</t>
  </si>
  <si>
    <t>Control_CueMemoryTrauma_day32(3weeks)_%Freezing_Tone</t>
  </si>
  <si>
    <t>No difference in pre-cue freezing in novel context (no overgeneralization..?)</t>
  </si>
  <si>
    <t>NS</t>
  </si>
  <si>
    <t>PTSD group more cue freezing then control 32 day after trauma</t>
  </si>
  <si>
    <t>trauma'  niet te chronisch? 31 days (2 events (cat), ondertussen social instability)</t>
  </si>
  <si>
    <t>t(14)=4,55; p&lt;0.001</t>
  </si>
  <si>
    <t>PTSD increased freezing to trauma context  + to trauma cue in new context (niet to new context zonder trauma cue) reexposure 3 weeks after trauma (day32) --&gt; ook te interpreteren als no overgeneralization?</t>
  </si>
  <si>
    <t>main effect stress (F(1,16)=6,26 en tone (F(1,16)=12,59 en interaction stress x tone F(1,16)=7,62); all p&lt;0.05</t>
  </si>
  <si>
    <t>PTSD group more freezing in novel context, ONLY when cue was present</t>
  </si>
  <si>
    <t>0 [ experimental setup wel het zelfde als in ander papers (zoladz,2013)]</t>
  </si>
  <si>
    <t>1 [ experimental setup + behavioral taak wel het zelfde als in ander papers (zoladz,2012)]</t>
  </si>
  <si>
    <t>1 [ experimental setup (andere behavioral task) wel het zelfde als in ander papers (zoladz,2012)]</t>
  </si>
  <si>
    <t>Novel Object Recognition on day 34 post trauma [ habituation 5min (day 34); training 5 min (day35); test 5 min ( 3h after training; dus ook op day35)]</t>
  </si>
  <si>
    <t>PTSD+VEH_ContextMemoryTrauma_day32(3weeks)_%Freezing</t>
  </si>
  <si>
    <t>Control+VEH_ContextMemoryTrauma_day32(3weeks)_%Freezing</t>
  </si>
  <si>
    <t>zelfde experimental setup (trauma, timing, en behavioral experiments) als paper by Zoladz,2012 --&gt; echter dan vehicle injections [en tianeptine, clonidine, amitriptyline om effect op memory expressie te onderzoken] // acute stress during cat exposures ook gemeten maar nu niet opgenomen in datatabel review</t>
  </si>
  <si>
    <t>zelfde experimental setup (trauma, timing, WEL ANDERE TAAK: NAMELIJK NOVEL OBJECT RECOGNITION!) als paper by Zoladz,2012 --&gt; echter dan vehicle injections [en tianeptine, clonidine, amitriptyline om effect op memory expressie te onderzoken] // acute stress during cat exposures ook gemeten maar nu niet opgenomen in datatabel review</t>
  </si>
  <si>
    <t>&lt;data not shown&gt;</t>
  </si>
  <si>
    <t xml:space="preserve">NO evidence for preference for novel object (geen learning?) --&gt; also no effect of stress or DURG effect [ no group differences] </t>
  </si>
  <si>
    <t>P&gt;0.05 NS</t>
  </si>
  <si>
    <t>% Freezing [ % immobility]</t>
  </si>
  <si>
    <t>Exploration ratio (time on novel object divided by time on familiar object)</t>
  </si>
  <si>
    <t>PTSD+VEH_CueMemoryTrauma_day32(3weeks)_%Freezing_Pre-Tone</t>
  </si>
  <si>
    <t>Control+VEH_CueMemoryTrauma_day32(3weeks)_%Freezing_Pre-Tone</t>
  </si>
  <si>
    <t>PTSD+VEH_CueMemoryTrauma_day32(3weeks)_%Freezing_Tone</t>
  </si>
  <si>
    <t>Control+VEH_CueMemoryTrauma_day32(3weeks)_%Freezing_Tone</t>
  </si>
  <si>
    <t>P&lt;0.05</t>
  </si>
  <si>
    <t>sig. Main effect of stress (f(1,100)=12,04 &amp; stres x drug interaction F(5,100) = 2,71 (beide p&lt;0.05)</t>
  </si>
  <si>
    <t>trauma'  niet te chronisch? 31 days (2 events (cat), ondertussen social instability) &amp; OOK geen data gerapporteerd van deze taak.</t>
  </si>
  <si>
    <t># (nummers voor unieke artikelen op volgorde v screening. Begonnen bij FC papers)</t>
  </si>
  <si>
    <t>Memory # voor unieke artikelen op volgorde v screening (memory papers)</t>
  </si>
  <si>
    <t>10 footshocks (3mA, 1s shock train, 0.01s shocks)</t>
  </si>
  <si>
    <t>1 (FC maar longterm follow up, 28day)</t>
  </si>
  <si>
    <t>non-shock, wel context exposure</t>
  </si>
  <si>
    <t>dark (reversed light cycle,12h lights off 10h; test 11-13h)</t>
  </si>
  <si>
    <t>CFC (28day later)</t>
  </si>
  <si>
    <t>PTSD_28dayafter FC_CFC_%Freezing in 1e min</t>
  </si>
  <si>
    <t>PTSD_28dayafter FC_CFC_%Freezing in 2e min</t>
  </si>
  <si>
    <t>PTSD_28dayafter FC_CFC_%Freezing in 3e min</t>
  </si>
  <si>
    <t>PTSD_28dayafter FC_CFC_%Freezing in 4e min</t>
  </si>
  <si>
    <t>PTSD_28dayafter FC_CFC_%Freezing in 5e min</t>
  </si>
  <si>
    <t>data control group not shown, but authors mention pstd group sig higher then control at all time points (p&lt;0.0012)</t>
  </si>
  <si>
    <t>pstd group sig higher  freezing at context reexposure (at day28) then control at all 5 testing minutes (p&lt;0.0012)</t>
  </si>
  <si>
    <t>ook conditioned place preference data.. Nu niet included want 'addiction behaviour &amp; motivatie ipv cognitie' // mean data control group NOT SHOWN, only statistics!</t>
  </si>
  <si>
    <t>tbi, but no healthy control group</t>
  </si>
  <si>
    <t>12 M, 1 F</t>
  </si>
  <si>
    <t>deployment?</t>
  </si>
  <si>
    <t>Veterans</t>
  </si>
  <si>
    <t>Structured Clinical Interview for DSM-IV (SCID-IV)</t>
  </si>
  <si>
    <t>dit paper bevat ook aandachts/concentratie en motor maten.. Nu niet opgenomen in database..</t>
  </si>
  <si>
    <t>0 [zou wel kunnen, als je naar aandacht wil kijken]</t>
  </si>
  <si>
    <t>13 (in paper ook tbi &amp; tbi+ptsd group, data niet opgenomen in database)</t>
  </si>
  <si>
    <t>[1]</t>
  </si>
  <si>
    <t>1 (in paper 3. ook TBI &amp; TBI-PTSD)</t>
  </si>
  <si>
    <t>Ray Auditory Verbal Learning Test (RAVLT)</t>
  </si>
  <si>
    <t>Auditory / Verbal Learning</t>
  </si>
  <si>
    <t>PTSD_RAVLT Total Score (T-score)</t>
  </si>
  <si>
    <t>total score on RAVLT (T-score)</t>
  </si>
  <si>
    <t>[CI: 34,7 - 45,9]</t>
  </si>
  <si>
    <t>no diff in RAVLT scores between PTSD alone &amp; TBI alone &amp; TBI + PTSD --&gt; data laatste groupen not included</t>
  </si>
  <si>
    <t>no control group….</t>
  </si>
  <si>
    <t>no healthy control group, 1 timepoint</t>
  </si>
  <si>
    <t>Posttraumatic Stress Disorder Checklist-Military Version (PCL-M) score equal or above 44</t>
  </si>
  <si>
    <t>In dit paper wordt gekeken naar het effect van Self-efficiy induction op future thinking… data experimental group niet included alleen control groups (healthy &amp; PTSD) on future thinking</t>
  </si>
  <si>
    <t>89% M</t>
  </si>
  <si>
    <t>100% M</t>
  </si>
  <si>
    <t>18 (=control PTSD; n=19 for control in high self efficacy manipulation group)</t>
  </si>
  <si>
    <t>12 (=control PTSD; n=13 of PTSD+high self efficacy training)</t>
  </si>
  <si>
    <t>2 (4 in paper)</t>
  </si>
  <si>
    <t>Episodic Future thinking task: "Try to image an event in the future when you will feel… [5 positive &amp; 5 negative words]" / event moet 24u duren, en 60s antwoord tijd --&gt; measure self-efficacy  &amp; Positivity &amp; negativity in content</t>
  </si>
  <si>
    <t>Self-efficacy content in future thinking task (voor ieder antwoord 2 = self-efficiacy present; 1 = no self efficiaty present; 0=unclear )</t>
  </si>
  <si>
    <t>PTSD_Self-Efficacy_infuturethinking_(notraining)</t>
  </si>
  <si>
    <t>Control_Self-Efficacy_infuturethinking_(notraining)</t>
  </si>
  <si>
    <t>PTSD group less self-efficacy in contenct in respsons to positive cue word then individuals without ptsd ---&gt; cog. Bias?</t>
  </si>
  <si>
    <t>t(60)=2,64; p&lt;0.05; d=0.64</t>
  </si>
  <si>
    <t>Cognitive bias &amp; episodic future thining</t>
  </si>
  <si>
    <t>Problem Solving</t>
  </si>
  <si>
    <t>Cognitive BIAS</t>
  </si>
  <si>
    <t>cognitive bias ipv memory &amp; learning?</t>
  </si>
  <si>
    <t>"almost all-male" sample?</t>
  </si>
  <si>
    <t>Degree of specificity for future memorys &amp; autobiografical memories - [20 trials] - [scoring: 3 (specific)= event in 24h, includ people &amp; location; 2 (intermediat) = repeated event, more then 1 day; 1 (general) no specif details; 0= ommision/no resp</t>
  </si>
  <si>
    <t>Modified Autobiographical Memory Test: generate autobiographical memories or future simulations in response to 20neutral word cues [trials: 4 conditions Recent memory (recall past event, month); remote memory (recall past event, 5-20 year), recent simulation (imagine future event, month) , remote simulation (imagine future event, 5-20 years]</t>
  </si>
  <si>
    <t>PTSD_Specificity_Recent(month)_Memory</t>
  </si>
  <si>
    <t>Control_Specificity_Recent(month)_Memory</t>
  </si>
  <si>
    <t>PTSD_Specificity_Remote(5-20year)_Memory</t>
  </si>
  <si>
    <t>Control_Specificity_Remote(5-20year)_Memory</t>
  </si>
  <si>
    <t>PTSD_Specificity_Recent(month)_Future</t>
  </si>
  <si>
    <t>Control_Specificity_Recent(month)_Future</t>
  </si>
  <si>
    <t>PTSD_Specificity_Remote(5-20year)_Future</t>
  </si>
  <si>
    <t>Control_Specificity_Remote(5-20year)_Future</t>
  </si>
  <si>
    <t>control more specifc recent memory recall</t>
  </si>
  <si>
    <t>t=6,41; p&lt;0.001</t>
  </si>
  <si>
    <t>control more specificity in remote memory</t>
  </si>
  <si>
    <t>t=4,55; p&lt;0.001</t>
  </si>
  <si>
    <t>both p&lt;.001</t>
  </si>
  <si>
    <t>Combat controls more specific autobiografical memory recall (remote &amp; recent) then PTSD veterans</t>
  </si>
  <si>
    <t>control more specifc recent future thinking then ptsd</t>
  </si>
  <si>
    <t>t=4,54; p&lt;0.001</t>
  </si>
  <si>
    <t>control more specific remote future thinking then ptsd group</t>
  </si>
  <si>
    <t>t=4,73; p&lt;.001</t>
  </si>
  <si>
    <t>both p&lt;0.001</t>
  </si>
  <si>
    <t>Combat controls have more specific future simulation (both remote &amp; recent) then PTSD veterans</t>
  </si>
  <si>
    <t>Combat controls have more specifc (remote&amp;recent) memory recall &amp; (remote&amp;recent) future simulations then ptsd</t>
  </si>
  <si>
    <t>Autobiografical Memory (specificity - generalization) [en future simulation]</t>
  </si>
  <si>
    <t>overgeneralized autobiografical memory in PTSD</t>
  </si>
  <si>
    <t>excluderen? healthy, tbi &amp; tbi+ptsd group…. No ptsd alone group…</t>
  </si>
  <si>
    <t>clinical interview (psychologist); CAPS (above 26); Missisippi scale (above 107)</t>
  </si>
  <si>
    <t>Combat Controles &amp; NON-Combat controls (2 groups)</t>
  </si>
  <si>
    <t>combat control: n=31; non-combat control: n=70</t>
  </si>
  <si>
    <t>89,58% M &amp; 10,42% F</t>
  </si>
  <si>
    <t>combat: [100% M]; non-combat: [83,10% M; 16,9% F]</t>
  </si>
  <si>
    <t>combat: 60,59; non-combat: 56,91</t>
  </si>
  <si>
    <t>combat: 13,83; non-combat: 14,77</t>
  </si>
  <si>
    <t>3 ( PTSD &amp; 2x  control)</t>
  </si>
  <si>
    <t>subset extra tests afgenomen --&gt; deze op deze regel vermeld.</t>
  </si>
  <si>
    <t>subset extra tests afgenomen; die data op andere regel opgenomen</t>
  </si>
  <si>
    <t>combat control: n=25; non-combat control: n=26</t>
  </si>
  <si>
    <t>[not separated reported for subset]</t>
  </si>
  <si>
    <t>Wechsler Memory Scale III (WMS III) Logical Memory (narrative memory under free recall) &amp; Wechsler Memory Scale III (WMS III)  Verbal Paired Associate subtests (explicite episodic memory)</t>
  </si>
  <si>
    <t>WMS III Logical Memory subscale scores / WMS III Verbal Paired Associate subscale scores / En de op die twee gebaseerde Auditory Memory Index</t>
  </si>
  <si>
    <t>Auditory / Verbal Learning [een subtest: explicit episodic?]</t>
  </si>
  <si>
    <t>PTSD_WMSIII_LMSS</t>
  </si>
  <si>
    <t>Non-Combat Control_WMSIII_LMSS</t>
  </si>
  <si>
    <t>Combat Control_WMSIII_LMSS</t>
  </si>
  <si>
    <t>PTSD_WMSIII_VPASS</t>
  </si>
  <si>
    <t>Combat Control_WMSIII_VPASS</t>
  </si>
  <si>
    <t>Non-combat Control_WMSIII_VPASS</t>
  </si>
  <si>
    <t>PTSD_WMSIII_Auditory Memory Index</t>
  </si>
  <si>
    <t>Combat Control_WMSIII_Auditory Memory Index</t>
  </si>
  <si>
    <t>Non-Combat Control_WMSIII_Auditory Memory Index</t>
  </si>
  <si>
    <t>Non-combat &amp; combat control score higher then PTSD veterans on logical mamory scale; [no diff between non-combat &amp; combat control]</t>
  </si>
  <si>
    <t>Group effect F(2, 133)=5,89; p&lt;.01; post-hoc diff ptsd &amp; andere groepen: p&lt;.05</t>
  </si>
  <si>
    <t>PTSD group lower scores then both control groups</t>
  </si>
  <si>
    <t>Group effect F(2,133)=5,65; p&lt;.001; post hocs ptsd different p&lt;.05</t>
  </si>
  <si>
    <t>PTSD group lower then other 2 groups (die verschillen niet); group effect: F(2,133)=7,91; p&lt;.001</t>
  </si>
  <si>
    <t>PTSD group lower scores on verbal memory then both control groups</t>
  </si>
  <si>
    <t>WAIS Vocabulary subset (verbal comprehansion) &amp; WAIS Digit Span subset (WM)</t>
  </si>
  <si>
    <t>verbal memory [ en WM, data nog included)</t>
  </si>
  <si>
    <t xml:space="preserve">1 (subset van total sample) </t>
  </si>
  <si>
    <t>WAIS Vocabulary substest scale scores - Digit span data not reported in paper (no differences found)..</t>
  </si>
  <si>
    <t>PTSD_WAIS_VocabularySubtest</t>
  </si>
  <si>
    <t>Combat Control_WAIS_VocabularySubtest</t>
  </si>
  <si>
    <t>Non-Combat Control_WAIS_VocabularySubtest</t>
  </si>
  <si>
    <t>Group effect (F2,77) = 4,07, p&lt;.02; [Digit span NO DIFFERENCE F(2,77)=.55, p&lt;.10]</t>
  </si>
  <si>
    <t>PTSD group lower vcocabulary memory score then control groups</t>
  </si>
  <si>
    <t>PTSD group lower verbal memory scores, then control groups [no effect pstd on WM]</t>
  </si>
  <si>
    <t>in dit onderzoek wordt op basis van test performance (goed vs slecht) gekeken heoveel % ptsd heeft etc.. Is dat bruikbaar voor ons review?</t>
  </si>
  <si>
    <t>in poor performance group, greater prevalence of PTSD (niet te zeggen wat oorzaak of gevolg is)</t>
  </si>
  <si>
    <t xml:space="preserve"> groupen op basis v cog. Performance ipv PTSD diagnose.. Bruikbaar? --&gt; geen experimenteel design?</t>
  </si>
  <si>
    <t>MTBI ipv PTSD (no PTSD group, wel mean PTSD scores v controles &amp; MTBI patients)</t>
  </si>
  <si>
    <t>deze paper zat niet in papers, toegevoegd op 18.april</t>
  </si>
  <si>
    <t>Veterans (Mind your heart study)</t>
  </si>
  <si>
    <t>M &amp; F (n=13; 3.8%)</t>
  </si>
  <si>
    <t>M &amp; F (n=21; 10.7%)</t>
  </si>
  <si>
    <t>deployment? (recruitment via VA, niet expliciet genoemd dat alleen militairen / veteranen kunnen deelnemen.. )</t>
  </si>
  <si>
    <t>CAPS (PTSD group: full + partial)</t>
  </si>
  <si>
    <t>Executive function</t>
  </si>
  <si>
    <t>12 words Remember &amp; Recognition [number correct: range 0-12]</t>
  </si>
  <si>
    <t>PTSD_Verbal learning_#Correct</t>
  </si>
  <si>
    <t>Control_Verbal learning_#Correct</t>
  </si>
  <si>
    <t>PTSD wors in verbal learning compared to control</t>
  </si>
  <si>
    <t>PTSD_Verbal recognition_#Correct</t>
  </si>
  <si>
    <t>Control_Verbal recognition_#Correct</t>
  </si>
  <si>
    <t>no sig diff between PTSD &amp; control in verbal recognition</t>
  </si>
  <si>
    <t>p=.13</t>
  </si>
  <si>
    <t>PTSD slechter in learning, niet in recognition</t>
  </si>
  <si>
    <t>PTSD worse then verbal learning then Control, no diff in verbal recognition</t>
  </si>
  <si>
    <t>Hopkins Verbal Learning Test [remember/learning &amp; recogntion]</t>
  </si>
  <si>
    <t>Verbal learning &amp; memory ( ook data over processingspeed, executive functioning, WM, mental flexibiity &amp; language  --&gt; nu niet included</t>
  </si>
  <si>
    <t>0 [zou wel kunnen, als je naar WM, executive functioning, processing speed wil kijken]</t>
  </si>
  <si>
    <t>Predator-scent Stress (2day soiled cat litter = trauma; 10min exposure per dag) (Situational reminder = unused cat litter; 10min exposure)</t>
  </si>
  <si>
    <t>no trauma exposure (exposure to fresh unused litter for 10min)</t>
  </si>
  <si>
    <t>Contextual freezing measurement (freezing to situational reminder/cue exposure), day31 after FC</t>
  </si>
  <si>
    <t>activity phase (dark)</t>
  </si>
  <si>
    <t>PTSD (exposed)_CFC_Day31</t>
  </si>
  <si>
    <t>Control (exposed)_CFC_Day31</t>
  </si>
  <si>
    <t>Ptsd (PSS exposed) group more contextual freezin to reminder cue then controls (pss unexposed)</t>
  </si>
  <si>
    <t>exposed (ptsd group) meer freezing to reminder cue op day31 dan controles</t>
  </si>
  <si>
    <r>
      <rPr>
        <b/>
        <sz val="12"/>
        <color rgb="FF000000"/>
        <rFont val="Calibri"/>
        <family val="2"/>
      </rPr>
      <t>Jammer: gebruik gemaakt van behavioral cutoff model, maar vervolgens CFC data alleen uitgesplitst naar exposed vs non-exposed</t>
    </r>
    <r>
      <rPr>
        <sz val="12"/>
        <color rgb="FF000000"/>
        <rFont val="Calibri"/>
        <family val="2"/>
      </rPr>
      <t xml:space="preserve"> [wel een object recognition task gedaan in dit paper, maar niet in de "ptsd" group.. [ bij die taak werd het effect van je farmacologische interventies getest (propanolol &amp; nadolol)]</t>
    </r>
  </si>
  <si>
    <t>F(1,82)=61,2, p&lt;0.0001</t>
  </si>
  <si>
    <t xml:space="preserve"> [159 total paper; only exp 1 included (n=89)… daarvan vehicl-stress n=20, vehicl-nonStres n=12]</t>
  </si>
  <si>
    <t>12 [ unexposed vehicle</t>
  </si>
  <si>
    <t>20 [exposed vehicle]</t>
  </si>
  <si>
    <t>exp vs non-exp: [classificatie volgens CBC model na exposure to trauma (PSS), in Extreme behavioral respone (EBR); Minimal BR (MBR) en partial behavioral response (PBR)] --&gt; echter voor latere testen alleen onderscheid tussen exposed en niet exposed gemaakt….</t>
  </si>
  <si>
    <t xml:space="preserve">3 experiments in paper (met ider 2 subexperimenten…), 1e geen trauma.. Data niet included; exp 2 verschillende types trauma - 1 dag later dcoc training &amp; op day 11 testing; exp 3 </t>
  </si>
  <si>
    <t>24 (PSS); 16 (UWT); 10 RST; 10 EP</t>
  </si>
  <si>
    <t>15 (PSS)</t>
  </si>
  <si>
    <t>ook een experiment met non-spacial memory in dit paper, maar deze dieren geen pss exposure maar alleen cort injecties…. Daarom data not included</t>
  </si>
  <si>
    <t>137 is total aantal dieren in experiment, 7 groepen (verschillende cort dosissen na PSS, unexp &amp; saline na PSS)</t>
  </si>
  <si>
    <t>1 (ptsd)</t>
  </si>
  <si>
    <t xml:space="preserve">exposed to unused litter </t>
  </si>
  <si>
    <t>Predator scent stress (PSS): 10min well-soiled cat litter (in use by cat for 2 days, sifted for stools)</t>
  </si>
  <si>
    <t>exp vs non-exp: [classificatie volgens CBC model na exposure to trauma (PSS), in Extreme behavioral respone (EBR); Minimal BR (MBR) en partial behavioral response (PBR)] --&gt; echter voor latere testen alleen onderscheid tussen exposed en niet exposed gemaa</t>
  </si>
  <si>
    <t>2 (in totaal experiment 7: unexposed, saline, 5 CORT groepen)</t>
  </si>
  <si>
    <t>Situational reminder of unused cat litter (10min) at day 31 after PSS</t>
  </si>
  <si>
    <t>dark (reversed light cycle,12h lights off 8AM; test 9.30 AM - 5 PM)</t>
  </si>
  <si>
    <t>PTSD_CFC_day31</t>
  </si>
  <si>
    <t>Control_CFC_day31</t>
  </si>
  <si>
    <t>PTSD (exposed Group) sig more freezing to reminder cue then unexposed</t>
  </si>
  <si>
    <t>ptsd group exposed more freezing then nonexposed… [echter kan dit ook gezond leren zijn]</t>
  </si>
  <si>
    <t>de ptsd group zou je ook kunnen interpreteren als gezond leren…</t>
  </si>
  <si>
    <t>80 (current) + 80 (history)</t>
  </si>
  <si>
    <t>80+80+80    [ uit 4,112 veterans --&gt; 4 groups of 80 (current PTSD, history of PTSD, non-PTSD matched psychiatric control group &amp; normal control group) --&gt; alleen current &amp; history PTSD &amp; normal control group included [ history of ptsd group wil interessant voor project MILOU.. maar niet voor het review? voor de zekerheid wel in database opgenomen]</t>
  </si>
  <si>
    <t>risk of selectie bias in participant selectie in poging om self-report bias te minimalizeren?</t>
  </si>
  <si>
    <t>current: 37,96 / history: 38,03</t>
  </si>
  <si>
    <t>current: 2,39 / history: 2,26</t>
  </si>
  <si>
    <t>Vietnam Deployment</t>
  </si>
  <si>
    <t>(self-report) DIS-III-A &amp; MMPI [history ptsd wel DIS-III-A ptsd, geen mmpi ptsd verhoging, current ptsd beide)</t>
  </si>
  <si>
    <t>General cognitive functioning</t>
  </si>
  <si>
    <t>General intellectual abilities</t>
  </si>
  <si>
    <t>Language-related abilities</t>
  </si>
  <si>
    <t>Language</t>
  </si>
  <si>
    <t>Verbal Memory</t>
  </si>
  <si>
    <t>Visual Memory</t>
  </si>
  <si>
    <t>Executive Functioning</t>
  </si>
  <si>
    <t>3 (current ptsd &amp; history ptsd &amp; control)</t>
  </si>
  <si>
    <t>Controlled Oral Word Association test (COWA) &amp; Animal Naming test</t>
  </si>
  <si>
    <t>Rey-O delayed free recall</t>
  </si>
  <si>
    <t>total correct score</t>
  </si>
  <si>
    <t>index scores of California Verbal learning test (CVLT) [ total correct words, trials 1-5, total correct words on list B, total correct on short delay free Recall &amp; total correct on long delay cued recall]</t>
  </si>
  <si>
    <t>Wisconsin Card Sorting Test (WCST)</t>
  </si>
  <si>
    <t>number of sorts achieved &amp; total perservations</t>
  </si>
  <si>
    <t>[index scores]</t>
  </si>
  <si>
    <t>Trial 1 of PASAT (Paced Auditory Serial Addition Test)</t>
  </si>
  <si>
    <t>PTSD_current_WAIS-R_InformationScaleScore</t>
  </si>
  <si>
    <t>PTSD_current_WAIS-R_BlockScaleScore</t>
  </si>
  <si>
    <t>Control_WAIS-R_InformationScaleScore</t>
  </si>
  <si>
    <t>PTSD_history_WAIS-R_InformationScaleScore</t>
  </si>
  <si>
    <t>PTSD_history_WAIS-R_BlockScaleScore</t>
  </si>
  <si>
    <t>Control_WAIS-R_BlockScaleScore</t>
  </si>
  <si>
    <t>GTT (metric vergelijkbaar met IQ, mean 100 &amp; sd 15) average score; information scale score &amp; block design scale score &amp; GTT current</t>
  </si>
  <si>
    <t>total words</t>
  </si>
  <si>
    <t>PTSD_current_FAS_totalWords</t>
  </si>
  <si>
    <t>Control_FAS_totalWords</t>
  </si>
  <si>
    <t>PTSD_history_FAS_totalWords</t>
  </si>
  <si>
    <t>PTSD_current_Animal_totalWords</t>
  </si>
  <si>
    <t>Control_Animal_totalWords</t>
  </si>
  <si>
    <t>PTSD_history_Animal_totalWords</t>
  </si>
  <si>
    <t>PTSD_current_PASAT_trial1</t>
  </si>
  <si>
    <t>Control_PASAT_trial1</t>
  </si>
  <si>
    <t>PTSD_history_PASAT_trial1</t>
  </si>
  <si>
    <t>PTSD_current_Rey-O_DelayedMemoryRecall</t>
  </si>
  <si>
    <t>PTSD_current_NumberSorts</t>
  </si>
  <si>
    <t>Control_Rey-O_DelayedMemoryRecall</t>
  </si>
  <si>
    <t>Control_NumberSorts</t>
  </si>
  <si>
    <t>PTSD_history_Rey-O_DelayedMemoryRecall</t>
  </si>
  <si>
    <t>PTSD_history_NumberSorts</t>
  </si>
  <si>
    <t>PTSD_current_TotalPerseverations</t>
  </si>
  <si>
    <t>Control_TotalPerseverations</t>
  </si>
  <si>
    <t>PTSD_history_TotalPerseverations</t>
  </si>
  <si>
    <t>PTSD_current_TotalCorrect,Trial1-5</t>
  </si>
  <si>
    <t>PTSD_current_TotalCorrect,ListB</t>
  </si>
  <si>
    <t>PTSD_current_TotalCorrect,LD Free</t>
  </si>
  <si>
    <t>PTSD_current_TotalCorrect,LD Cued</t>
  </si>
  <si>
    <t>PTSD_current_TotalCorrect,LD Recog</t>
  </si>
  <si>
    <t>Control_TotalCorrect,Trial1-5</t>
  </si>
  <si>
    <t>Control_TotalCorrect,ListB</t>
  </si>
  <si>
    <t>Control_TotalCorrect,LD Free</t>
  </si>
  <si>
    <t>Control_TotalCorrect,LD Cued</t>
  </si>
  <si>
    <t>Control_TotalCorrect,LD Recog</t>
  </si>
  <si>
    <t>PTSD_history_TotalCorrect,ListB</t>
  </si>
  <si>
    <t>PTSD_history_TotalCorrect,LD Free</t>
  </si>
  <si>
    <t>PTSD_history_TotalCorrect,LD Cued</t>
  </si>
  <si>
    <t>PTSD_history_TotalCorrect,LD Recog</t>
  </si>
  <si>
    <t>PTSD_history_TotalCorrect,Trial1-5</t>
  </si>
  <si>
    <t>Information and Block Design subtests (WAIS-R) &amp; General Technical Test (GTT) (pre en current scores)</t>
  </si>
  <si>
    <t>PTSD_current_GGT-pre</t>
  </si>
  <si>
    <t>Control_GGT-pre</t>
  </si>
  <si>
    <t>PTSD_history_GGT-pre</t>
  </si>
  <si>
    <t>PTSD_history_GTT-current</t>
  </si>
  <si>
    <t>Control_GTT-current</t>
  </si>
  <si>
    <t>PTSD_current_GTT-current</t>
  </si>
  <si>
    <t>No difference in Enlistment GTT between groups</t>
  </si>
  <si>
    <t>F(3,316)=.67; p=.57</t>
  </si>
  <si>
    <t>NO DIFF in cog preformance -- one-way MANOVA met group als single factor, en de 17 neuropsychologische test scores als depentent variabelen --&gt; Wilks Lambda = .832, F(51, 894) = 1,11; p = .28</t>
  </si>
  <si>
    <t>no diff in pre-GTT scores between groups &amp;&amp; verschil tussen pre &amp; current GTT binnen groups (mixed model anova, Wilks Lambda=.973, F(3,316)=2,96, p=.027 ---&gt; Comparing three clinical groups met NC group --&gt; alleen PTSD_history anders (Wilks Lambda=.951, F(1,158)=8,09, p&lt;.005) dan NC --&gt; MAAR ptsd_history group greater improvement then healthy control!!) &amp;&amp; NO DIFF in cog preformance -- one-way MANOVA met group als single factor, en de 17 neuropsychologische test scores als depentent variabelen --&gt; Wilks Lambda = .832, F(51, 894) = 1,11; p = .28</t>
  </si>
  <si>
    <t>no exposure</t>
  </si>
  <si>
    <t>Predator scent stress (PSS) [voor DCOC training]</t>
  </si>
  <si>
    <t>Predator scent stress (PSS); OR Underwater trauma (UWT) 1min swim, 30s under water; OR Restraint stress (RST) 1h; OR Elevated platform stress (EP) [ voor DCOC training]</t>
  </si>
  <si>
    <t>Differential contextual odour test in neutral area (With ODOUR) (DCOC) on day 11 -------&gt; [DCOC training: (safe / rewarding omgeving --&gt; day 1-10: odour + suger water )&amp;&amp; (aversive omgeving: day 5-10: Odour + 10s, 0.8mA + footschock + 10s tone (80dB)) --- DCOC testing: alleen odour in neutral new area, 6min exp. --&gt; measure freezing // COC: control procesdure, alles zelfde als DCOC, behalve geen odour in safe environment</t>
  </si>
  <si>
    <t>Differential contextual odour test in neutral area (No ODOUR) on day 11 (DCOC) [DCOC training: (safe / rewarding omgeving --&gt; day 1-10: odour + suger water )&amp;&amp; (aversive omgeving: day 5-10: Odour + 10s, 0.8mA + footschock + 10s tone (80dB)) --- DCOC testing: alleen odour in neutral new area, 6min exp. --&gt; measure freezing // COC: control procesdure, alles zelfde als DCOC, behalve geen odour in safe environment</t>
  </si>
  <si>
    <t>Control_AUC_day11_test in neurtal area NO Odour [DCOC]</t>
  </si>
  <si>
    <t>PTSD_PSS_AUC_day11_test in neurtal area NO Odour [DCOC]</t>
  </si>
  <si>
    <t>PTSD_PSS_AUC_day11_test in neurtal area + Odour [DCOC]</t>
  </si>
  <si>
    <t>Control_AUC_day11_test in neurtal area + Odour [DCOC]</t>
  </si>
  <si>
    <t>PTSD_UWT_AUC_day11_test in neurtal area + Odour [DCOC]</t>
  </si>
  <si>
    <t>PTSD_RST_AUC_day11_test in neurtal area + Odour [DCOC]</t>
  </si>
  <si>
    <t>PTSD_EP_AUC_day11_test in neurtal area + Odour [DCOC]</t>
  </si>
  <si>
    <t>pss group higher freezing then naive rats</t>
  </si>
  <si>
    <t>UWT rats more freezing then rst</t>
  </si>
  <si>
    <t>p&lt;0.004</t>
  </si>
  <si>
    <t>no diff between naive &amp; ep, EP lower freezing then UWT &amp; PSS, ook no diff between EP &amp; RST</t>
  </si>
  <si>
    <t>ep-UWT (p&lt;0.001); ep-PSS (p&lt;0.0001)</t>
  </si>
  <si>
    <t>naive less freezing then PSS, UWT &amp; rst rats;; PSS more freezing then UWT, PSS &amp; UWT more freezing then RST</t>
  </si>
  <si>
    <t>naive-UWT (p&lt;0,0001); naive-PSS (p&lt;0.001); naive-RST (p&lt;0.015); PSS-UWT (p&lt;0.0001); PSS-RST (P&lt;0.0001); UWT-RST (p&lt;0.004)</t>
  </si>
  <si>
    <t>BOTH GROUPS low freezing in new context with no odour &amp; no diff</t>
  </si>
  <si>
    <t>PSS, UWT trauma rats more freezing in neutral context after DCOC training [PSS strekste effect!] --&gt; these rats can't modulate behavioural response to odour based on other contextual cues (safety or danger or new signals)</t>
  </si>
  <si>
    <t>geen verschil tussen ptsd &amp; control, beide low freezing. DUS het effect in de dataregel hierboven is door context modeleren &amp; dus zonder geur no freezing [dus de taak wel geleerd]</t>
  </si>
  <si>
    <t>Predator scent stress (PSS) [after DCOC or COC training (bij coc odour alleen gekoppeld aan averse context]</t>
  </si>
  <si>
    <t>33 [only total sample gerapporteerd --&gt;  verdeelt over 4 exp groups, waarvan 2 PSS (COC &amp; DCOC) en 2 sham (DCOC &amp; COC)</t>
  </si>
  <si>
    <t>contextual (fear) learning &amp; memory</t>
  </si>
  <si>
    <t>2 (different design)</t>
  </si>
  <si>
    <t>Differential contextual odour test (en COC) in neutral area [ DCOC or COC training , then 1 test in neutral area (day 11), then stress or sham, then new test in neutral area on day 20 --&gt; NB ieder dier dus 2x getest in neutral context</t>
  </si>
  <si>
    <t>% Freezing (time), per 1 min timebin (van 6min exp) --&gt; daarna AUC berekend voor freezing gedurende het hele testfase v 6min</t>
  </si>
  <si>
    <t>Naive_DCOC_Baseline(direct after training)_freezing to neutral new context</t>
  </si>
  <si>
    <t>Naive_COC_Baseline(direct after training)_freezing to neutral new context</t>
  </si>
  <si>
    <t>Naive COC group show more freezing at baseline, dit betekend dat beide groupen de ttaak geleerd hebben. In COC geur alleen gecombineerd met afersive omgeving, in DCOC geur met beide [daardoor geur geen voorspeller]</t>
  </si>
  <si>
    <t>COC - PSS more freezing then DCOC-PSS in neutral context 7days after trainine &amp; stressor</t>
  </si>
  <si>
    <t>p&lt;0.04</t>
  </si>
  <si>
    <t>PTSD_PSSPostTraining_COC</t>
  </si>
  <si>
    <t>PTSD_PSSPostTraining_DCOC</t>
  </si>
  <si>
    <t>Sham_PostTraining_COC</t>
  </si>
  <si>
    <t>Sham_PostTraining_DCOC</t>
  </si>
  <si>
    <t xml:space="preserve">sham-COC more freezing then DCOC day7 after training </t>
  </si>
  <si>
    <t>p&lt;0.007</t>
  </si>
  <si>
    <t>PSS-DCOC more freezing then sham DCOC 7day after training &amp; stress; (PSS-COC more freezing then sham-COC)</t>
  </si>
  <si>
    <t>PSS-DCOC vs Sham-DCOC: p&lt;0.0001;; PSS-COC vs Shem-COC: P&lt;0.015</t>
  </si>
  <si>
    <t>animals learn task (baseline results) , Trauma after learning ---&gt; impair ability to retain differntial odour conditioning</t>
  </si>
  <si>
    <t>[lastig artikel, lang over gedaan om te begrijpen welke experimenten met elke groepen gedaan waren en hoe dit te interpreteren]</t>
  </si>
  <si>
    <t>light (MS &amp; Tasks)</t>
  </si>
  <si>
    <t>4 (non-seperated control &amp; ptsd, MS control &amp; ptsd)</t>
  </si>
  <si>
    <t>Time spent in target or opposite quadrant (s), during de 60s test phase of the experiment</t>
  </si>
  <si>
    <t>Morris Water Maze (spatial Memory) [ one month after trauma, 5 training sessions of 4 trials binnen 10m, 60s om het platform te vinden, daarna erop gezet en gelaten voor 20s] op day 6 testing trial</t>
  </si>
  <si>
    <t>1 (wel FC, maar 3 weken Situational reminders en dan testing , dus omgeving leren &amp; long-term)</t>
  </si>
  <si>
    <t>Single Footshock (1mA, 20s) &amp; 3 weekly Situational Reminders (=context re- exposure) // De helft van de dieren heeft ook ELS (MS) gehad (pnd 1 - 10, per dag 3h van moeder)</t>
  </si>
  <si>
    <t>PTSD_noELS_TimeTarget(s)</t>
  </si>
  <si>
    <t>Control_noELS_TimeTarget(s)</t>
  </si>
  <si>
    <t>PTSD_noELS_TimeOppositeThenTarget(s)</t>
  </si>
  <si>
    <t>Control_noELS_TimeOppositeThenTarget(s)</t>
  </si>
  <si>
    <t>PTSD_ELS_TimeTarget(s)</t>
  </si>
  <si>
    <t>Control_ELS_TimeTarget(s)</t>
  </si>
  <si>
    <t>PTSD_ELS_TimeOppositeThenTarget(s)</t>
  </si>
  <si>
    <t>Control_ELS_TimeOppositeThenTarget(s)</t>
  </si>
  <si>
    <t>4 groupen, 7-10 per group; geen totaal aantal dieren genoemd</t>
  </si>
  <si>
    <t>een deel van de dieren heeft ook ELS gehad, data geincludeerd, later maar kijken of we dat willen gebruiken. Er is ook een alleen adult trauma group</t>
  </si>
  <si>
    <t>dus ong 17</t>
  </si>
  <si>
    <t>sample size slecht gerapporteerd</t>
  </si>
  <si>
    <t>60 days (at adult stressor exposure); MS PND 1-10</t>
  </si>
  <si>
    <t>shocked, no els group more time in opposite quadrant then, no-shocked, no els group</t>
  </si>
  <si>
    <t>F(1,28)=33,01;p&lt;0.001</t>
  </si>
  <si>
    <t>sig shock interaction effect for opposite quadrant: MS-Shock group more time in opposite quadrand then no shock-MS &amp; no shock,no-MS.</t>
  </si>
  <si>
    <t>F(1,28)=5,407; p&lt;0.05</t>
  </si>
  <si>
    <t>shocked group less time on target</t>
  </si>
  <si>
    <t>F(1,28)=8,702; p&lt;0.01</t>
  </si>
  <si>
    <t>main effect of shock: shock animals less time on target</t>
  </si>
  <si>
    <t>F(1,28)=8,702; p&lt;0.01 [ NB analyses appart voor target &amp; non-target.. Maar wel els &amp; no-els dieren samen]</t>
  </si>
  <si>
    <t>adult stress impairs spatial memory learning, vooral in dieren met ELS achtergrond</t>
  </si>
  <si>
    <t>M(12) &amp; F(2)</t>
  </si>
  <si>
    <t>M(53) &amp; F(19)</t>
  </si>
  <si>
    <t>physical abuse or assault (54% of total sample); accident or injury (41%); life threatening illnes (38%) bereavement (12%); sexual abuse (10%); witnessing violence or death (9%)</t>
  </si>
  <si>
    <t>Schizophrenia or Schizoaffective outpatients</t>
  </si>
  <si>
    <t>Schizophrenia or Schizoaffective outpatients without PTSD</t>
  </si>
  <si>
    <t>Harvard Trauma Questionnaire (HTQ) to measure trauma &amp; PTSD [selfreport]</t>
  </si>
  <si>
    <t>alle patienten hebben de diagnose schizophrenia</t>
  </si>
  <si>
    <t>alle participanten hebben schizophrenia or schizoaffetive disorder; WAIS afgenomen als cognitive measure</t>
  </si>
  <si>
    <t>alle participanten bloodgesteld aan blast exposure</t>
  </si>
  <si>
    <t>alle participanten blast exposure &amp; psdt symptomen en cognitive sympomen gemeten… factor analyse op postconcussion questionnaire.. Gevonden factoren gelinkt aan sympotomen en cognitiieve maten etc. PCL (ptsd) scores .52 r2 correlatie met emotionele factor op &amp; .31 r2 with cognitive factor --&gt; echter er is dus NIET gekeken naar verband tussen PCL (ptsd) symptomen en prestatie op cognitieve taken</t>
  </si>
  <si>
    <t>Charles Foster rats</t>
  </si>
  <si>
    <t>Modified Stress re-stress (SRS) [D1: SPS (2h restraint, 20min forced swiming, ether anesthesia) + restress on D8, D14, D20, D26, D30 by exposure to forced swimming procedure for 20min</t>
  </si>
  <si>
    <t>10 ( total exp. 6*5=30)</t>
  </si>
  <si>
    <t>2 (SRS &amp; Control)</t>
  </si>
  <si>
    <t>Y-Maze test on day 32; 2h after restress session EPM en dan an 5min Y-maze test; spatial recognition memory</t>
  </si>
  <si>
    <t>? [ animals on 12/12 light/dark cycle</t>
  </si>
  <si>
    <t>% time spent in novel arm to time spent in all arms</t>
  </si>
  <si>
    <t>PTSD_SRS_%TimeNovel</t>
  </si>
  <si>
    <t>PTSD_SRS_%TimeKnown</t>
  </si>
  <si>
    <t>Control_%TimeNovel</t>
  </si>
  <si>
    <t>Control_%TimeKnown</t>
  </si>
  <si>
    <t>Control more % novel arm entries then ptsd</t>
  </si>
  <si>
    <t>PTSD more % known arm entries then control</t>
  </si>
  <si>
    <t>Control group more novel entries then known enteries. PTSD group more known entries then novel entries --&gt; control  recognize better</t>
  </si>
  <si>
    <t>PTSD less spatial recognition memory then control! (contral kan wel differencieren!)</t>
  </si>
  <si>
    <t>Deployment (bosnia, lebanon, combodia, afghanistan)</t>
  </si>
  <si>
    <t>combat controls</t>
  </si>
  <si>
    <t>Structured Clinical Interview for DSM-IV (SCID-IV) &amp; Clinician-Administered PTSD scale (CAPS) [ score under 20 controle group; ptsd group caps score groter dan 50]</t>
  </si>
  <si>
    <t>IQ</t>
  </si>
  <si>
    <t>WAIS-III - subtests: vocabulary, similarities, pictures arrangement, block design subtests</t>
  </si>
  <si>
    <t>estimated total intelligence quotient</t>
  </si>
  <si>
    <t>no sig diff in IQ estimated toal IQ</t>
  </si>
  <si>
    <t>PTSD_IQ</t>
  </si>
  <si>
    <t>Control_IQ</t>
  </si>
  <si>
    <t>no sig dif between control &amp; ptsd</t>
  </si>
  <si>
    <t>F(1,47)=2,642; p=.111 [NS]</t>
  </si>
  <si>
    <t>Wechsler Memory Scale-Revised (WMS-R) - Visual reproduction I &amp; II (figural memory)</t>
  </si>
  <si>
    <t>PTSD_AVLT_Total correctly recalled after delay</t>
  </si>
  <si>
    <t>Control_AVLT_Total correctly recalled after delay</t>
  </si>
  <si>
    <t>PTSD_AVLT_Total correct recognition</t>
  </si>
  <si>
    <t>Control_AVLT_Total correct recognition</t>
  </si>
  <si>
    <t>PTSD_AVLT_Total false positives</t>
  </si>
  <si>
    <t>Control_AVLT_Total false positives</t>
  </si>
  <si>
    <t>Rey Auditory Verbal-Learning Test (AVLT)</t>
  </si>
  <si>
    <t>California Verbal-learning Test (CVLT)</t>
  </si>
  <si>
    <t>Wechsler Memory Scale-Revised (WMS-R) - Logical memory I &amp; II (logical memory)</t>
  </si>
  <si>
    <t>PTSD_CVLT_Total correct trials 1–5</t>
  </si>
  <si>
    <t>Control_CVLT_Total correct trials 1–5</t>
  </si>
  <si>
    <t>PTSD_CVLT_Immediate recall</t>
  </si>
  <si>
    <t>Control_CVLT_Immediate recall</t>
  </si>
  <si>
    <t>PTSD_CVLT_Immediate cued recall</t>
  </si>
  <si>
    <t>Control_CVLT_Immediate cued recall</t>
  </si>
  <si>
    <t>PTSD_CVLT_Delayed recall</t>
  </si>
  <si>
    <t>Control_CVLT_Delayed recall</t>
  </si>
  <si>
    <t>PTSD_CVLT_Delayed cued recall</t>
  </si>
  <si>
    <t>Control_CVLT_Delayed cued recall</t>
  </si>
  <si>
    <t>PTSD_CVLT_Hits recognition</t>
  </si>
  <si>
    <t>Control_CVLT_Hits recognition</t>
  </si>
  <si>
    <t>Total correct trials 1–5 &amp; Total correctly recalled after delay &amp;Total correct recognition &amp; Total false positives</t>
  </si>
  <si>
    <t>Total correct trials 1–5 &amp; Immediate recall &amp; Immediate cued recall &amp; Delayed recall &amp; Delayed cued recall &amp; Hits recognition</t>
  </si>
  <si>
    <t xml:space="preserve">Logical memory—immediate recall &amp; Logical memory—delayed recall </t>
  </si>
  <si>
    <t xml:space="preserve">Figural memory—reproduction &amp; Figural memory—delayed recall &amp; Figural memory—recognition </t>
  </si>
  <si>
    <t>PTSD_WMS-R_Logical memory—immediate recall</t>
  </si>
  <si>
    <t>Control_WMS-R_Logical memory—immediate recall</t>
  </si>
  <si>
    <t xml:space="preserve">PTSD_WMS-R_Logical memory—delayed recall </t>
  </si>
  <si>
    <t xml:space="preserve">Control_WMS-R_Logical memory—delayed recall </t>
  </si>
  <si>
    <t>PTSD_WMS-R_Figural memory—reproduction</t>
  </si>
  <si>
    <t>Control_WMS-R_Figural memory—reproduction</t>
  </si>
  <si>
    <t xml:space="preserve">PTSD_WMS-R_Figural memory—delayed recall </t>
  </si>
  <si>
    <t xml:space="preserve">Control_WMS-R_Figural memory—delayed recall </t>
  </si>
  <si>
    <t>PTSD_WMS-R_Figural memory—recognition</t>
  </si>
  <si>
    <t>Control_WMS-R_Figural memory—recognition</t>
  </si>
  <si>
    <t>LET OP: zelfde subjects, wel iets afwijkende groepsgrotes</t>
  </si>
  <si>
    <t>Verbal learning &amp; memory</t>
  </si>
  <si>
    <r>
      <t>F(1,48) =</t>
    </r>
    <r>
      <rPr>
        <sz val="8"/>
        <color theme="1"/>
        <rFont val="AdvMPi"/>
      </rPr>
      <t xml:space="preserve"> </t>
    </r>
    <r>
      <rPr>
        <sz val="8"/>
        <color theme="1"/>
        <rFont val="AdvJansonT"/>
      </rPr>
      <t>20.25 ; p=.000</t>
    </r>
  </si>
  <si>
    <t>control &gt; ptsd</t>
  </si>
  <si>
    <t>F(1,48) = 8.44; p = .006</t>
  </si>
  <si>
    <t>control&gt; ptsd</t>
  </si>
  <si>
    <t>No diff</t>
  </si>
  <si>
    <t>F(1,47) = 2.91 p = .095  || NS</t>
  </si>
  <si>
    <t>Control&gt;PTSD</t>
  </si>
  <si>
    <t>F(1,48) = 7.35; p= .009</t>
  </si>
  <si>
    <t xml:space="preserve">F(1,45) = 0.09; p= .764 </t>
  </si>
  <si>
    <t xml:space="preserve">F(1,48) = 4.50; p= .039 </t>
  </si>
  <si>
    <t>Control &gt; ptsd</t>
  </si>
  <si>
    <t xml:space="preserve">F(1,47) 5 7.07 p=.011 </t>
  </si>
  <si>
    <t>F(1,48) = 4.54; p=.038</t>
  </si>
  <si>
    <t>Control &gt; PTSD</t>
  </si>
  <si>
    <t xml:space="preserve">F(1,45)  0.88; p=.352 </t>
  </si>
  <si>
    <t>F(1,47) = 6.98; p= .011</t>
  </si>
  <si>
    <t>F(1,48) = 2.19 ; p=.146  || NS</t>
  </si>
  <si>
    <t>F(1,45) = 0.54; p=.465</t>
  </si>
  <si>
    <t>F(1,45) = 0.18; p=.677</t>
  </si>
  <si>
    <t>F(1,45) = 0.39; p= .537</t>
  </si>
  <si>
    <t>No difference between ptsd &amp; control</t>
  </si>
  <si>
    <t>Controls better leren &amp; memory performance (leren, recall &amp; recognition) then PTSD (but no diff in false positives)</t>
  </si>
  <si>
    <t>PTSD_AVLT_Total correct trials 1–5 [=leren]</t>
  </si>
  <si>
    <t>Control_AVLT_Total correct trials 1–5 [ = leren]</t>
  </si>
  <si>
    <r>
      <t>F(1,45) =</t>
    </r>
    <r>
      <rPr>
        <sz val="8"/>
        <color theme="0" tint="-0.499984740745262"/>
        <rFont val="AdvMPi"/>
      </rPr>
      <t xml:space="preserve"> </t>
    </r>
    <r>
      <rPr>
        <sz val="8"/>
        <color theme="0" tint="-0.499984740745262"/>
        <rFont val="AdvJansonT"/>
      </rPr>
      <t>2.39; p=.129  || NS</t>
    </r>
  </si>
  <si>
    <t>Controls beter then ptsd in logical memory</t>
  </si>
  <si>
    <t>Control better in delayed recall &amp; recognition of figure then ptsd, no diff in figure reproduction scores</t>
  </si>
  <si>
    <t>Deployment (Lebanon, cambodia, Bosnia)</t>
  </si>
  <si>
    <t>Structured Clinical Interview for DSM-IV (SCID-IV) &amp; Clinician-Administered PTSD scale (CAPS) [ alleen patienten met CAPS groter dan 50 were included)</t>
  </si>
  <si>
    <t>combat controls (die wel A1 criterium voldoen volgens CAPS = trauma experienced)</t>
  </si>
  <si>
    <t>associative learning &amp; memory</t>
  </si>
  <si>
    <t>encoding &amp; (20 na encoding) retrieval of 12 word-pairs [ encoding blocks: presentation of unrelated word-pairs die mensen moeten herinneren;; (fMRI studie, dus daarom ook control trials, voor het contrast --&gt; control blocks: presentation of successive numbers of two figures (bv 31-23) --&gt; moeten subjects silently repeaten. ] Ieder word-pair is 3x getoond in de zelfde volgorde. -- om lear strategie effecten zoveel mogelijk te beperken hebben mensen de instructie gekregen om zoveel mogelijk te leren door herhaling (herhalen..) verder geen specifieke strategieen, behalve het maken van visual images (om dat dit waarschijnlijk automatisch gebeurd en inhiberen ervan daarom erg moeilijk is &amp; taak zou beinvloeden..) ----- Retrieval 20 min na encoding.. daar steeds 1 woord van het paar getoond en en dan moeten deelnemers in stilte de andere herhalen. zelfde voor controle bloks. 1 cijfer getoond en dan moeten ze andere cijfer herhalen. .. Direct na de 2de run, subject uit scanner en dan moten ze het scond word van de word pairs helrhaling in respons to het eeerste woords --&gt; dan antwoorden wel recorded.</t>
  </si>
  <si>
    <t>PTSD_number of recalled word-pairs</t>
  </si>
  <si>
    <t>Number of recalled word-pairs</t>
  </si>
  <si>
    <t>Control_numer of recalled word-pairs</t>
  </si>
  <si>
    <t>ptsd trend iets slechter retrieval dan control.. NS</t>
  </si>
  <si>
    <t>two-tailed t-test; p=0.071</t>
  </si>
  <si>
    <t>no sig diff, ptsd trend slechter retrieval dan control</t>
  </si>
  <si>
    <t>49,08 [tijdens testing; in vietnam 22,54(3,53)]</t>
  </si>
  <si>
    <t>46,37 [tijdens testing; tijdens vietnam 19,58(2,22)]</t>
  </si>
  <si>
    <t>Deployment Vietnam</t>
  </si>
  <si>
    <t>note: leeftijd tussen groepen sig. Anders --&gt; ptsd jonger &amp; jonger tijdens deployment (resp p=.0154, p=.0066)</t>
  </si>
  <si>
    <t>Structured Clinical Interview for DSM-III-R (SCID), voor het verdelen in experimentele groupen.. Vervolgens ook nog een CAPS tijdens het onderzoek om het klachtenlevel in kaart te brengen voor beide groupen</t>
  </si>
  <si>
    <t>General cognitive ability</t>
  </si>
  <si>
    <t xml:space="preserve">Wechsler Adult Intelligence Scale-Revised (WAIS-R; Wechsler, 1987a) </t>
  </si>
  <si>
    <t>Intelligence Quotient (IQ) Estimated IQ based upon prorated score including the following WAIS-R subtests: Information, Arithmetic, Picture Completion, Picture Arrange-
ment, Block Design.</t>
  </si>
  <si>
    <t xml:space="preserve">Attention/concentration </t>
  </si>
  <si>
    <t xml:space="preserve">WAIS-R Digit Span </t>
  </si>
  <si>
    <t xml:space="preserve">Total score (forward + backward) </t>
  </si>
  <si>
    <t xml:space="preserve">Perceptual-motor speed and scanning </t>
  </si>
  <si>
    <t>Trail Making A &amp; B (Reitan, 1958) &amp; Symbol Digit Modalities (SDM; Smith, 1973)</t>
  </si>
  <si>
    <t>Form A completion time (s), Form B completion time (s), SUM: Form B completion time/Form A completion time &amp; Total items completed within 90-s time limit</t>
  </si>
  <si>
    <t xml:space="preserve">Wisconsin Card Sorting Test (WCST; Heaton, 1981) </t>
  </si>
  <si>
    <t xml:space="preserve">Number of categories completed, Nonperseverative errors, SUM: Perseverative responses </t>
  </si>
  <si>
    <t>Visuospatial / visuoconstructive</t>
  </si>
  <si>
    <t xml:space="preserve">Rey-Osterreith Complex Figure (ROCF; Osterreith, 1944) </t>
  </si>
  <si>
    <t xml:space="preserve">Copy score </t>
  </si>
  <si>
    <t xml:space="preserve">Wechsler Memory Scale-Revised (WMS-R; Wechsler, 1987b) </t>
  </si>
  <si>
    <t>general Memory</t>
  </si>
  <si>
    <t>verbal Memory</t>
  </si>
  <si>
    <t>visual Memory</t>
  </si>
  <si>
    <t>SUM: General Memory Index ; NB sum van Verbal Memory Index, Visual Memory, Index Delayed Recall Index; welke ook los in de tabel staan!</t>
  </si>
  <si>
    <t>Verbal Memory Index</t>
  </si>
  <si>
    <t>PTSD_WMS-GeneralMemory</t>
  </si>
  <si>
    <t>PTSD_WMS-VerbalMemory</t>
  </si>
  <si>
    <t>PTSD_WMS-VisualMemory</t>
  </si>
  <si>
    <t>PTSD_WMS-DelayedMemory</t>
  </si>
  <si>
    <t>delayed recall Memory [ visual &amp; verbal?]</t>
  </si>
  <si>
    <t>Wechsler Memory Scale-Revised (WMS-R; Wechsler, 1987b)  &amp; Rey-Osterreith Complex Figure  immediate recall</t>
  </si>
  <si>
    <t>Wechsler Memory Scale-Revised (WMS-R; Wechsler, 1987b)  &amp; Rey-Osterreith Complex Figure  delayed recall</t>
  </si>
  <si>
    <t>Delayed Recall Index ( van WMS-R) &amp; delayed recall score op ROCF</t>
  </si>
  <si>
    <t>Visual Memory ( van WMS-R) &amp; Immediate recall score op ROCF</t>
  </si>
  <si>
    <t>Control_WMS-GeneralMemory</t>
  </si>
  <si>
    <t>Control_WMS-VerbalMemory</t>
  </si>
  <si>
    <t>Control_WMS-VisualMemory</t>
  </si>
  <si>
    <t>Control_WMS-DelayedMemory</t>
  </si>
  <si>
    <t>PTSD_WAIS-R Estimated IQ</t>
  </si>
  <si>
    <t>Control_WAIS-R Estimated IQ</t>
  </si>
  <si>
    <t>PTSD_Attention(DigitSpan)</t>
  </si>
  <si>
    <t>Control_Attention(DigitSpan)</t>
  </si>
  <si>
    <t>PTSD_ROCF_Immediate recall</t>
  </si>
  <si>
    <t>PTSD_ROCF_Delayed recall</t>
  </si>
  <si>
    <t>Control_ROCF_Immediate recall</t>
  </si>
  <si>
    <t>Control_ROCF_Delayed recall</t>
  </si>
  <si>
    <t>t(29)=0.29; p=.7744</t>
  </si>
  <si>
    <t>t(29)=0.48; p=.6382</t>
  </si>
  <si>
    <t>t(27,5)=3.34; p=.0024</t>
  </si>
  <si>
    <t>t(30)=3,81; p=.0006</t>
  </si>
  <si>
    <t>PTSD worse then control</t>
  </si>
  <si>
    <t>t(30)=4,15; p=.0003</t>
  </si>
  <si>
    <t>t(30)=3,80; p=.0007</t>
  </si>
  <si>
    <t>ptsd slechter verbal memory then control</t>
  </si>
  <si>
    <t>ptsd slechter visual memory then control on WMS, no diff on Rey complex figule immediate recall</t>
  </si>
  <si>
    <t>ptsd slechter delayed recall on WMS &amp; no diff on Rey complex figure delayed reacall</t>
  </si>
  <si>
    <t>PTSD_ROCF_Copy</t>
  </si>
  <si>
    <t>Control_ROCF_Copy</t>
  </si>
  <si>
    <t>t(20,6)=2,30; p=.0320</t>
  </si>
  <si>
    <t>PTSD worse then control in visuospatial construction</t>
  </si>
  <si>
    <t>ptsd worse then control</t>
  </si>
  <si>
    <t>t(30)=2,96; p=.0060</t>
  </si>
  <si>
    <t>t(17,8)=4,56; p=.0003</t>
  </si>
  <si>
    <t>control higher then ptsd, ptsd normal</t>
  </si>
  <si>
    <t>PTSD_TrailMakingTest_FormA_completionTime</t>
  </si>
  <si>
    <t>Control_TrailMakingTest_FormA_completionTime</t>
  </si>
  <si>
    <t>PTSD_TrailMakingTest_FormB_completionTime</t>
  </si>
  <si>
    <t>Control_TrailMakingTest_FormB_completionTime</t>
  </si>
  <si>
    <t>PTSD_TrailMakingTest_FromBcompletionTime/FormAcompletionTime</t>
  </si>
  <si>
    <t>t(30)=1,02; p=.3180</t>
  </si>
  <si>
    <t>ptsd take more time for trial b completion = impairred performance</t>
  </si>
  <si>
    <t>t(30)=3.00; p=.0054</t>
  </si>
  <si>
    <t>no diff in performance on trial a (1234) ; ptsd group slechter in trial b --&gt; b is moeilijker, daarin moeten mensen afwisselend cijfers en letters verbinden dus (1A2B3C4D etc)</t>
  </si>
  <si>
    <t>Control_TrailMakingTest_FromBcompletionTime/FormAcompletionTime</t>
  </si>
  <si>
    <t>t(30)=1,61; p=.1188</t>
  </si>
  <si>
    <t>ptsd only worse performance on trial B(1a2b3c,etc) (no diff on trial a of b/a)</t>
  </si>
  <si>
    <t>PTSD_WCST_numberCategoriesCompleted</t>
  </si>
  <si>
    <t>Control_WCST_numberCategoriesCompleted</t>
  </si>
  <si>
    <t>PTSD_WCST_NonperseverativeErrors</t>
  </si>
  <si>
    <t>Control_WCST_NonperseverativeErrors</t>
  </si>
  <si>
    <t>PTSD_PerseverativeResponses</t>
  </si>
  <si>
    <t>Control_PerseverativeResponses</t>
  </si>
  <si>
    <t>control more categories completed then ptsd = better performance</t>
  </si>
  <si>
    <t>t(30)=2,17; p=.0377</t>
  </si>
  <si>
    <t>10.60</t>
  </si>
  <si>
    <t>ptsd more errors then control</t>
  </si>
  <si>
    <t>t(30)=2,18; p=.0372</t>
  </si>
  <si>
    <t>ptsd slechter performance then control</t>
  </si>
  <si>
    <t>ptsd worse performance then control</t>
  </si>
  <si>
    <t>t(22,1)=2,81; p=.0102</t>
  </si>
  <si>
    <t>PTSD worse performance then  control on executive functioning</t>
  </si>
  <si>
    <t>non-exposed monozygotic twins (van 18 pairs heeft de combat exposed twin ptsd ontwikkeld; van 23 pairs krijg de exposed twin geen ptsd)</t>
  </si>
  <si>
    <t>CAPS; daarnaast SCID (dsm-IV) voor comorbidity [ only current ptsd included]</t>
  </si>
  <si>
    <t>Veterans &amp; non-military monozygote twin</t>
  </si>
  <si>
    <t>"3 groupen" [ 1) unexposed monozygote twins van ptsd patients, n=18; 2) exposed non ptsd, n=23;  &amp; 3) monozygote twins van deze exposed non-ptsd mensen, n=23]</t>
  </si>
  <si>
    <t>52,3 (P+)</t>
  </si>
  <si>
    <t>unexposed-PTSDtwin(UnP+):  52,3    ; exposed-non-ptsd (P-)  51,9 ; non-ptsd twin (UxP-)  51,9</t>
  </si>
  <si>
    <t>unexposed-PTSDtwin(UnP+):   3,1   ; exposed-non-ptsd (P-) 2,3  ; non-ptsd twin (UxP-) 2,3</t>
  </si>
  <si>
    <t>4 (P+, UnexP+, P-, UnexP-)</t>
  </si>
  <si>
    <t>Cube &amp; Paper Test (allocentric spatial processing task) (fmri studie) 20 items in 2 categorieen [1 set imagen piece of paper being folded &amp; a series of holes beeing punched throught all layers; dan moet deelnemer goede configural pattern selecteren. Set2: composed of cubes that contain markings (letters, number, geometric shapes) on each side, alles maar op 1 manier te zien en dan moet je die mentaal draaien om te bepalen welke de target cube s]</t>
  </si>
  <si>
    <t>total errors on the Cube &amp; Paper Test</t>
  </si>
  <si>
    <t>UnexposedTwin_Non-PTSD_TotalErrors on Cube&amp;PaperTest</t>
  </si>
  <si>
    <t>ExposedTwin_PTSD_TotalErrors on Cube&amp;PaperTest</t>
  </si>
  <si>
    <t>main effect diagnosis (t(39) = 2,78; p=.008</t>
  </si>
  <si>
    <t>ExposedTwin_Non-PTSD_TotalErrors on Cube&amp;PaperTest</t>
  </si>
  <si>
    <t>UnexposedTwin_PTSD_TotalErrors on Cube&amp;PaperTest</t>
  </si>
  <si>
    <t>ptsd combat veterans made more errors then non-ptsd combat veterans</t>
  </si>
  <si>
    <t>ExP+&gt;ExP-: t(39) = 2,43; p = .020</t>
  </si>
  <si>
    <t>high-risk unexposed twin makes more mistakes then low-risk unexposed twin</t>
  </si>
  <si>
    <t>UxP+ &gt; UxP-: t(39) = 2,30; p=.027</t>
  </si>
  <si>
    <t xml:space="preserve"> no interaction effect between diagnosis * exposure, nu main effect of exposure. But main effect of diagnosis --&gt; DUS ptsd veterans &amp; hun unexposed twins doen het slechter op de test dan non-ptsd veterans en hun exposed twins --&gt; effect size Diagnosis main effect .89 (cohen's D)  ----&gt; NB dit effect niet meer significant na controle voor general verbal functioning (WAIS-R) &amp; IQ</t>
  </si>
  <si>
    <t>ALLE DEELNEMERS ZIJN MALE MONOZYGOTIC TWIN PAIRS, WAARVAN ER 1 IN VIETNAM GEDIEND HEEFT (EX) AND DE ANDER NIET (UN); ook andere cognitieve maten afgenomen WAIS-R, Facial recognition task, visual object and spatial perception test, california verbal learning test --&gt; echter die data niet gerapporteerd per subgroup, wordt over gesproken als covar in model.. voor sommige maten.. alleen IQ los gerapporteerd..</t>
  </si>
  <si>
    <t>NB ook IQ data beschikbaar</t>
  </si>
  <si>
    <t>3 [ holocaust survivors + control ]</t>
  </si>
  <si>
    <t>holocaust survivors, no ptsd: n=16 &amp; non exposed healthy jewish adults: n=35</t>
  </si>
  <si>
    <t>M&amp;F (ratio niet weergegeven)</t>
  </si>
  <si>
    <t>hele sample: mean 69 [range 59-79]</t>
  </si>
  <si>
    <t>hele sample: 6 SD</t>
  </si>
  <si>
    <t xml:space="preserve">Holocaust </t>
  </si>
  <si>
    <t>[niet vermeld hoe ptsd gemeten / vastgesteld is…?]</t>
  </si>
  <si>
    <t>2 [ vietnam veterans + control ]</t>
  </si>
  <si>
    <t>Data study dubbel in tabel? (0=nee; 1=ja, same subjects different task, 2=ja,different animals/humans, 'same' task)</t>
  </si>
  <si>
    <t>20 (combat controls) - 15 (noncombat controls)</t>
  </si>
  <si>
    <t>hele sample: mean 66 [range 50-83]</t>
  </si>
  <si>
    <t>Vietnam Veterans</t>
  </si>
  <si>
    <t>2 (veterans) = ander sample</t>
  </si>
  <si>
    <t>M? (niet duidelijk beschreven)</t>
  </si>
  <si>
    <t>combat controls &amp; non-exposed controls</t>
  </si>
  <si>
    <t>Holocaust survivors</t>
  </si>
  <si>
    <t>Spatial memory</t>
  </si>
  <si>
    <t>PTSD veterans &amp; hun unexposed twins doen het slechter op de spatial test dan non-ptsd veterans en hun unexposed twins.</t>
  </si>
  <si>
    <t>Delayed memory</t>
  </si>
  <si>
    <t>Immediate memory (explicite &amp; implicite memory?)</t>
  </si>
  <si>
    <t>Paired associates test (cued recall) met High &amp; Low associate wordpairs</t>
  </si>
  <si>
    <t>holocaust survivors without ptsd (PTSD(-) &amp; non-exposed controls (Non-Exposed))</t>
  </si>
  <si>
    <t>PTSD(+)_HighAssociates_NumberCorrectWordsRecalled</t>
  </si>
  <si>
    <t>PTSD(-), wel exposed_HighAssociates_NumberCorrectWordsRecalled</t>
  </si>
  <si>
    <t>Non-Exposed_HighAssociates_NumberCorrectWordsRecalled</t>
  </si>
  <si>
    <t>PTSD(+)_LowAssociates_NumberCorrectWordsRecalled</t>
  </si>
  <si>
    <t>PTSD(-)_LowAssociates_NumberCorrectWordsRecalled</t>
  </si>
  <si>
    <t>Non-Exposed_LowAssociates_NumberCorrectWordsRecalled</t>
  </si>
  <si>
    <t>ptsd(+) slechter performance on high associates (makkelijke conditie) dan non-exposed (no diff met exposed, no ptsd)</t>
  </si>
  <si>
    <t>non-exp vs ptsd(+): p&lt;.001</t>
  </si>
  <si>
    <t>PTSD group slechter dan unexposed &amp; exposed zonder ptsd; in low associates (moeilijke conditie)</t>
  </si>
  <si>
    <t>ptsd(+) vs ptsd(-): p=0.004; non-exposed vs ptsd(+): p&lt;.001</t>
  </si>
  <si>
    <t>PTSD patienten slechter dan non-exposed voor high associates (makkelijk); bij low associates ptsd group slechter dan non-exposed &amp; exposed non-ptsd</t>
  </si>
  <si>
    <t>holocaust survivors, no ptsd: n=26 &amp; non exposed healthy jewish adults: n=40</t>
  </si>
  <si>
    <t>Non-Exposed_Trial1vanListA[=pre listB]_#CorrectWords</t>
  </si>
  <si>
    <t>PTSD(+)_Trial5vanListA[=pre listB]_#CorrectWords</t>
  </si>
  <si>
    <t>PTSD(-), wel exposed_Trial1vanListA[=pre listB]_#CorrectWords</t>
  </si>
  <si>
    <t>PTSD(+)_Trial1vanListA[=pre listB]_#CorrectWords</t>
  </si>
  <si>
    <t>PTSD(-)_Trial5vanListA[=pre listB]_#CorrectWords</t>
  </si>
  <si>
    <t>Non-Exposed_Trial5vanListA[=pre listB]_#CorrectWords</t>
  </si>
  <si>
    <t>PTSD(+)_ShortDelayvanListA[=postListB]_#correctWords</t>
  </si>
  <si>
    <t>PTSD(-)_ShortDelayvanListA[=postListB]_#correctWords</t>
  </si>
  <si>
    <t>Non-Exposed_ShortDelayvanListA[=postListB]_#correctWords</t>
  </si>
  <si>
    <t>PTSD(+)_LongDelayvanListA[=postListB]_#correctWords</t>
  </si>
  <si>
    <t>PTSD(-)_LongDelayvanListA[=postListB]_#correctWords</t>
  </si>
  <si>
    <t>Non-Exposed_LongDelayvanListA[=postListB]_#correctWords</t>
  </si>
  <si>
    <t>1 (holocaust sample) = same subjects [NB: ander aantal; niet duidelijk of het een volledig ander sample is, of dat er sprake is van overlap..]</t>
  </si>
  <si>
    <t># words recalled [ van lijst v 16]</t>
  </si>
  <si>
    <t xml:space="preserve">PTSD group </t>
  </si>
  <si>
    <t>California Verbal-learning Test (CVLT) - trial1, 5, short(direct na listB), long delay(20min na listB)</t>
  </si>
  <si>
    <t># words recalled [ van lijst v 16] - Free Recall</t>
  </si>
  <si>
    <t>learning, short &amp; delayed memory</t>
  </si>
  <si>
    <t>NB; voor deze data ook een verwijzer naar een ander artikel: ref19; Yehuda, golier, halligan etal 2004; SD's niet gerapporteerd! NB Older trauma survivors; holocaust survivors&amp; vietnam Veterans with and without ptsd &amp; non-exposed subjects</t>
  </si>
  <si>
    <t>NB deze data gerapporteerd in ref 27: yehuda, golier, tischler, 2005; SD's niet gerapporteerd! NB  vietnam Veterans with and without ptsd &amp; non-exposed subjects</t>
  </si>
  <si>
    <t>NB data gerapporteerd in andere studie lijkt het; Golier, yehuda, lupien, 2002; SD's niet gerapporteerd! NB Older trauma survivors; holocaust survivors&amp; vietnam Veterans with and without ptsd &amp; non-exposed subjects</t>
  </si>
  <si>
    <t>Geen orginieel research artikel? | wat te doen met age? / SD niet gerapporteerd; data al eerder gerapporteerd --&gt; geen originele studie .. Check of de betreffende papers in de lijst zitten</t>
  </si>
  <si>
    <t>not reported, 12h light/dark cycle</t>
  </si>
  <si>
    <t>object recognition memory</t>
  </si>
  <si>
    <t>object location recognition memory [ rat identical start position]</t>
  </si>
  <si>
    <t>object location recognition memory [ rat different start position ] --&gt; hippocampal dependent</t>
  </si>
  <si>
    <r>
      <t xml:space="preserve">24h habituatie zonder objects - Novel object recognition task (NOR) = object identity - sample phase: expolore 2 </t>
    </r>
    <r>
      <rPr>
        <b/>
        <sz val="12"/>
        <color rgb="FF000000"/>
        <rFont val="Calibri"/>
        <family val="2"/>
      </rPr>
      <t>identical!</t>
    </r>
    <r>
      <rPr>
        <sz val="12"/>
        <color rgb="FF000000"/>
        <rFont val="Calibri"/>
        <family val="2"/>
      </rPr>
      <t xml:space="preserve"> novel objects (5min) - 2min inter-phase interval [1 object replaced with novel object] - 5 min test phase (explore objects)</t>
    </r>
  </si>
  <si>
    <t>EPM [ 0 open arm entries = ptsd group]</t>
  </si>
  <si>
    <t>wel in open arm na predator treat = resilient</t>
  </si>
  <si>
    <t>1 day after completion of memory task Predator threat (=10min exposure to 48h used soiled cat litter) + 1 week later EPM test --&gt; niet naar open arm = ptsd</t>
  </si>
  <si>
    <t>PTSD_NORSamplePhase_expolorationTime(s)</t>
  </si>
  <si>
    <t>PTSD_EORSamplePhase_expolorationTime(s)</t>
  </si>
  <si>
    <t>PTSD_AORSamplePhase_expolorationTime(s)</t>
  </si>
  <si>
    <t>Control_NORSamplePhase_expolorationTime(s)</t>
  </si>
  <si>
    <t>Control_EORSamplePhase_expolorationTime(s)</t>
  </si>
  <si>
    <t>Control_AORSamplePhase_expolorationTime(s)</t>
  </si>
  <si>
    <t>preferential exploration of novel relative to familiar items [ time in s ] &amp; Discrimination index [= (novel - familiar)/(novel + familiar)], over eerste 1.5s van de test fase</t>
  </si>
  <si>
    <t>NB trauma NA memory tasks; om zo te kunnen bepalen of hippocampus afwijkingen VOOR of NA trauma ontstaan in PTSD individueen</t>
  </si>
  <si>
    <t>no diff in sampeling fase, dus geen verschil in initiele exploratie</t>
  </si>
  <si>
    <t>verschil in test fase, ptsd minder tijd bij novel object vergeleken met familiair, alleen in AOR</t>
  </si>
  <si>
    <t xml:space="preserve">A two-factor analysis of variance (ANOVA) using task identity (NOR, EOR, AOR) and behavioral phenotype (PTSDlike, Resilient) as between factors revealed no main effects of task [F=1.61, df =2, p=0.21] or phenotype [F=1.64, df =1, p = 0.20] and no interactions between task and phenotype [F = 2.45, df = 2, p = 0.09]. </t>
  </si>
  <si>
    <t>2 (3 different samples) + groupen samen geanalyseerd in anova's…</t>
  </si>
  <si>
    <t>PTSD_NORTestPhaseNovel_expolorationTime(s)_FIRSTMINUTE</t>
  </si>
  <si>
    <t>Control_NORTestPhaseNovel_expolorationTime(s)_FIRSTMINUTE</t>
  </si>
  <si>
    <t>Control_EORTestPhaseNovel_expolorationTime(s)_FIRSTMINUTE</t>
  </si>
  <si>
    <t>Control_AORTestPhaseNovel_expolorationTime(s)_FIRSTMINUTE</t>
  </si>
  <si>
    <t>PTSD_EORTestPhaseNovel_expolorationTime(s)_FIRSTMINUTE</t>
  </si>
  <si>
    <t>PTSD_AORTestPhaseNovel_expolorationTime(s)_FIRSTMINUTE</t>
  </si>
  <si>
    <t>PTSD_NORTestPhaseNovel_expolorationTime(s)_LASTMINUTE</t>
  </si>
  <si>
    <t>PTSD_EORTestPhaseNovel_expolorationTime(s)_LASTMINUTE</t>
  </si>
  <si>
    <t>PTSD_AORTestPhaseNovel_expolorationTime(s)_LASTMINUTE</t>
  </si>
  <si>
    <t>Control_AORTestPhaseNovel_expolorationTime(s)_LASTMINUTE</t>
  </si>
  <si>
    <t>Control_NORTestPhaseNovel_expolorationTime(s)_LASTMINUTE</t>
  </si>
  <si>
    <t>Control_EORTestPhaseNovel_expolorationTime(s)_LASTMINUTE</t>
  </si>
  <si>
    <t>PTSD_NORTestPhaseFamiliar_expolorationTime(s)_FIRSTMINUTE</t>
  </si>
  <si>
    <t>PTSD_EORTestPhaseFamiliar_expolorationTime(s)_FIRSTMINUTE</t>
  </si>
  <si>
    <t>PTSD_AORTestPhaseFamiliar_expolorationTime(s)_FIRSTMINUTE</t>
  </si>
  <si>
    <t>Control_NORTestPhaseFamiliar_expolorationTime(s)_FIRSTMINUTE</t>
  </si>
  <si>
    <t>Control_EORTestPhaseFamiliar_expolorationTime(s)_FIRSTMINUTE</t>
  </si>
  <si>
    <t>Control_AORTestPhaseFamiliar_expolorationTime(s)_FIRSTMINUTE</t>
  </si>
  <si>
    <t>PTSD_NORTestPhaseFamiliar_expolorationTime(s)_LASTMINUTE</t>
  </si>
  <si>
    <t>PTSD_EORTestPhaseFamiliar_expolorationTime(s)_LASTMINUTE</t>
  </si>
  <si>
    <t>PTSD_AORTestPhaseFamiliar_expolorationTime(s)_LASTMINUTE</t>
  </si>
  <si>
    <t>Control_NORTestPhaseFamiliar_expolorationTime(s)_LASTMINUTE</t>
  </si>
  <si>
    <t>Control_EORTestPhaseFamiliar_expolorationTime(s)_LASTMINUTE</t>
  </si>
  <si>
    <t>Control_AORTestPhaseFamiliar_expolorationTime(s)_LASTMINUTE</t>
  </si>
  <si>
    <t>This revealed a main effect of object identity [F = 26.6, df = 1, p &lt; 0.001] and exploration period [F = 46.6, df = 1, p &lt; 0.001] with a significant interaction between them [F = 8.6, df = 1, p = 0.004], but no effect of phenotype [F = 0.5, df = 1, p = 0.51]</t>
  </si>
  <si>
    <t>more time exploring the objects early than late in the 5 min testing period, irrespective of task or phenotype. However, the latter trend appeared to be differentially expressed in relation to the novel (Figure 2C1) vs. familiar (Figure 2C2) items.</t>
  </si>
  <si>
    <t>This revealed a main effect of object identity [F = 26.6, df = 1, p &lt; 0.001] and exploration period [F = 46.6, df = 1, p &lt; 0.001] with a significant interaction between them [F = 8.6, df = 1, p = 0.004], but no effect of phenotype [F = 0.5, df = 1, p = 0.51];; &amp;&amp; p.5: main effect of task [F = 3.8, df = 2, p = 0.025] such that rats showed lower exploration times of the novel and familiar items in the NOR as compared to both EOR and AOR tasks (Scheffe, p’s &lt; 0.015) -- Highlighted 14 Jun 2017</t>
  </si>
  <si>
    <t>PTSD_NOR_DiscriminationIndex[FIRST1.5min]</t>
  </si>
  <si>
    <t>PTSD_EOR_DiscriminationIndex[FIRST1.5min]</t>
  </si>
  <si>
    <t>PTSD_AOR_DiscriminationIndex[FIRST1.5min]</t>
  </si>
  <si>
    <t>Control_NOR_DiscriminationIndex[FIRST1.5min]</t>
  </si>
  <si>
    <t>Control_EOR_DiscriminationIndex[FIRST1.5min]</t>
  </si>
  <si>
    <t>Control_AOR_DiscriminationIndex[FIRST1.5min]</t>
  </si>
  <si>
    <t>Mann–Whitney U test comparing the DIs of Resilient vs. PTSD-like rats on the AOR task revealed a significant difference (p = 0.024) with PTSD-like rats exhibiting lower discrimination of the novel items than Resilient rats</t>
  </si>
  <si>
    <t>PTSD lager discriminatie index dan control</t>
  </si>
  <si>
    <t>no difference tussen ptsd &amp; control op NOR</t>
  </si>
  <si>
    <t>no difference tussen ptsd &amp; control op EOR</t>
  </si>
  <si>
    <t>PTSD lagere discriminatie index op AOR dan control - NB trauma NA AOR taak</t>
  </si>
  <si>
    <t>NB wel trauma NA memory task</t>
  </si>
  <si>
    <t>Deployment (primarily Vietnam Era)</t>
  </si>
  <si>
    <t>CAPS [0-19 asymptomatic/fex; 20-39 mild ptsd/ subthreshold; 40-59=moderate ptsd/threshold; 60-79=severe PTSD; &gt;80=extreme ptsd symptomatology] --&gt; PTSD group &gt;= 40</t>
  </si>
  <si>
    <t>included: 55+33  [total sample 204 --&gt; 4 groupen: ptsd-/mets- = 33 (control); ptsd-/mets+ = 34; ptsd+/mets- = 55 (PTSD); ptsd+/mets+]</t>
  </si>
  <si>
    <t>Processing Speed</t>
  </si>
  <si>
    <t>2 (4 in total sample ook metabolic syndrome groupen)</t>
  </si>
  <si>
    <t>older adults &amp; metabolic syndrome groups</t>
  </si>
  <si>
    <t>Rey Auditory Verbal Learning Test (RAVLT) - learn &amp; recall 15 nouns; 5 trials; delay is 20 in after learning</t>
  </si>
  <si>
    <t>Sum 5 trials: range 0-75 &amp; delay # recalled na 20 min</t>
  </si>
  <si>
    <t>Trail Making Test (TMT) &amp; Color-word interference test CWIT</t>
  </si>
  <si>
    <t>TMT: We subtracted the time to complete Part A from time to complete Part B (B − A) to control for differences in  ne motor skills and psychomotor processing speed. ; CWIT: We subtracted the average of the color naming condition and the word reading condition from: (a) the inhibition condition, and (b) the inhibition/switching condition to isolate the executive function components of the tasks.</t>
  </si>
  <si>
    <t>Digit Symbol subtest of the Weschler Adult Intelligence Scale-III</t>
  </si>
  <si>
    <t>Verbal Memory (trial 1-5 &amp; delayed)</t>
  </si>
  <si>
    <t>PTSD_RAVLT_DelayedRecall_#Recalled</t>
  </si>
  <si>
    <t>Control_RAVLT_DelayedRecall_#Recalled</t>
  </si>
  <si>
    <t>PTSD_RAVLT_Trial1-5_#Recalled</t>
  </si>
  <si>
    <t>Control_RAVLT_Trial1-5_#Recalled</t>
  </si>
  <si>
    <t>no dif between ptsd &amp; control on learning trials</t>
  </si>
  <si>
    <t>no diff between control en ptsd (geen main effect pstd; wel een interactie effect tussen MetS en PTSD..Echter niet relevant voor dit review)</t>
  </si>
  <si>
    <t>p=.36</t>
  </si>
  <si>
    <t>p=.81</t>
  </si>
  <si>
    <t>[data nog toevoegen]</t>
  </si>
  <si>
    <t>number correct</t>
  </si>
  <si>
    <t>PTSD_DigitSymbol(No.Correct)</t>
  </si>
  <si>
    <t>Control_DigitSymbol(No.Correct)</t>
  </si>
  <si>
    <t>no main effect op ptsd on learning or memory;  (wel interactie met metabol sysntroom: in de group zonder metabol syndroom. In de group met wel een verschil)</t>
  </si>
  <si>
    <t>no diff between ptsd or control , no interaction</t>
  </si>
  <si>
    <t>b=-.13,p=0.78 (main ptsd)</t>
  </si>
  <si>
    <t>no dif between control en ptd</t>
  </si>
  <si>
    <t>.. Dataa nog invoeren</t>
  </si>
  <si>
    <t>Morris Water Maze (7days after einde trauma procedure)</t>
  </si>
  <si>
    <t>1 (TDS model niet beschreven, SRS wel)</t>
  </si>
  <si>
    <t>Time-dependent sensitization (TDS) --&gt; is eignelijk SRS, 1 week tussen initeel stres en restress --&gt;  papers harvey, 2003 bekeken waar naar verwezen wordt. Blijkt: "Rats were placed in a perspex restrainer for 2 h with
the tail-gate adjusted to keep the rat well contained without impairing circulation to the limbs. Immediately thereafter, the rats were individually placed in 18 cm of ambient water (258C) in a perspex swim tank and allowed to swim for 20 min. Following this, each rat was then immediately exposed to 0.8 ml of 4% halothane vapours in a 5-l sealed plastic container until loss of consciousness, and then removed. -- The rats were then placed in a Tempadair drier before being returned to their cages. The animals were left undisturbed for 7 days. Seven days after the initial stressor, the rats were exposed to a ‘restress’ session, consisting of a 20-min swim in 18 cm of ambient water (25 8C) in a perspex swim tank."</t>
  </si>
  <si>
    <t>Staat hier niet gerapporteerd, in paper waar procedure staat --&gt; Sprague-Dawley rats M</t>
  </si>
  <si>
    <t>exposed - non-exposed</t>
  </si>
  <si>
    <t>ratio time spent in correct quadrant</t>
  </si>
  <si>
    <t>not reported [ paper waar naar verwezen wordt voor procedure: 12h light dark cyle}</t>
  </si>
  <si>
    <t>10?</t>
  </si>
  <si>
    <t>niet helemaal duidelijk of er 10 per group zijn, of 10 in totaal --&gt; in procedure paper 10 per groep</t>
  </si>
  <si>
    <t>2 (4 ook 2 injected groups, serotonine)</t>
  </si>
  <si>
    <t>PTSD_7dayPostTDS_meanrationtimespentinthetargetquadrant</t>
  </si>
  <si>
    <t>Control_meanrationtimespentinthetargetquadrant</t>
  </si>
  <si>
    <t>ptsd group minder tijd in juiste quadrant</t>
  </si>
  <si>
    <t>p&lt;0.05 (dunnett's test na anova)</t>
  </si>
  <si>
    <t>ptsd group slechter spatial memory 7 day na trauma</t>
  </si>
  <si>
    <t>M &amp; F(n=4; 28,6%)</t>
  </si>
  <si>
    <t>M &amp; F(n=3; 20%)</t>
  </si>
  <si>
    <t>CAPS (voor ptsd symp) &amp; SCID (exclusie criteria)</t>
  </si>
  <si>
    <t>combat controls (trauma exposed controls)</t>
  </si>
  <si>
    <t>Surprise memory test (1 week after encoding [ 160 stimuli: 60 high arousing trauma combat photo's; 60 neutral photos, 40 positive photos ] - recognition memory task [160 original + 80 novel lures [similar scenes as orignial pictures (30trauma, 30 neutral, 20 positive)], all in black-white. PP had to indicate if picture is old or new &amp; how confidence they are (4point scale)</t>
  </si>
  <si>
    <t>PTSD_TraumaHits</t>
  </si>
  <si>
    <t>Control_TraumaHits</t>
  </si>
  <si>
    <t>PTSD_TraumaFA</t>
  </si>
  <si>
    <t>Control_TraumaFA</t>
  </si>
  <si>
    <t>PTSD_NeutralHits</t>
  </si>
  <si>
    <t>Control_NeutralHits</t>
  </si>
  <si>
    <t>PTSD_NeutralFA</t>
  </si>
  <si>
    <t>Control_NeutralFA</t>
  </si>
  <si>
    <t>proportie [hits (rememberd correctly + high level of confidence (=3 of 4)) - hit rate all hits/all stimuli at encoding; misses; FA falsely rememberd lures dived by total numer of lures | response bias (criterion) = [z(hit) + z(fa)] /2 --&gt; index of tendency to overrespond or underrespond (hoe liberaal ben je)]</t>
  </si>
  <si>
    <t xml:space="preserve">highes FA in trauma pictures (compared to neural); patients higher FA for trauma pictures then controls. </t>
  </si>
  <si>
    <t xml:space="preserve">more hits for trauma stimuli then for neutral, no effect group of interaction </t>
  </si>
  <si>
    <t>main pictures [F(1,27)=22,54, p&lt;0.001] no main effect group or interaction</t>
  </si>
  <si>
    <t>main effect picture type (F(1,27)=26,65, p&lt;0.001) | main effect group [F(1,27) = 4,19, p=0.05 | trend-level effect interaction (F(1,27) = 3,51, p=0.07 --&gt; follow up analyses: p&lt;0.03 (patient vs control for trauma) (patient vs control for neurtral = p,034)</t>
  </si>
  <si>
    <r>
      <t xml:space="preserve">24h habituatie zonder objects - Egocentric object recognition task (EOR) = object location; rat identical start position - sample phase: expolore 2 </t>
    </r>
    <r>
      <rPr>
        <b/>
        <sz val="12"/>
        <color theme="0" tint="-0.499984740745262"/>
        <rFont val="Calibri"/>
        <family val="2"/>
      </rPr>
      <t>distinct!</t>
    </r>
    <r>
      <rPr>
        <sz val="12"/>
        <color theme="0" tint="-0.499984740745262"/>
        <rFont val="Calibri"/>
        <family val="2"/>
      </rPr>
      <t xml:space="preserve"> novel objects (5min) - 2min inter-phase interval [1 object replaced with identival copy of remaining object] - 5 min test phase (explore objects)</t>
    </r>
    <r>
      <rPr>
        <b/>
        <sz val="12"/>
        <color theme="0" tint="-0.499984740745262"/>
        <rFont val="Calibri"/>
        <family val="2"/>
      </rPr>
      <t xml:space="preserve"> [ rat identical start position] - "novel location of familiar object" | one trial per day, 4 days</t>
    </r>
  </si>
  <si>
    <r>
      <t xml:space="preserve">24h habituatie zonder objects - Allocentric object recognition tasks (AOR) = object location, rat differetn start position; -  sample phase: expolore 2 distinct! novel objects (5min) - 2min inter-phase interval [1 object replaced with identival copy of remaining object] - 5 min test phase (explore objects) </t>
    </r>
    <r>
      <rPr>
        <b/>
        <sz val="12"/>
        <color theme="0" tint="-0.499984740745262"/>
        <rFont val="Calibri"/>
        <family val="2"/>
      </rPr>
      <t>[ rat diffferent start position]! - "novel location of familiar object" | one trial per day, 4 days</t>
    </r>
  </si>
  <si>
    <t>trauma &amp; neutral surprise memory</t>
  </si>
  <si>
    <t>all participants highest hits voor trauma stimuli (compared to neutral) - no diff control vs patient | FA highest for trauma pictures, vooral in patienten!  Geen verschil in FA voor neutral stimuli --&gt; patients less detalied memories, mainly driven door hoge FA rates dan controls --&gt; mogelijk meer gok herinnering zonder veel contextual details. [OOK positive response bias in beide groupen, maar geen groups verschil. F(1,27=1,2,p&gt;0.2) data verder niet in tabel of in artikel]</t>
  </si>
  <si>
    <t>[effect antipsychotica &amp; provider decision making] ? Klopt niet</t>
  </si>
  <si>
    <t>interactie term fa is trend sig. Wel belangrijke conclusie in paper… terecht?</t>
  </si>
  <si>
    <t>no ptsd only group, en geen directe vergelijking tussen ptsd &amp; neuropsychologische performance</t>
  </si>
  <si>
    <t>8-9 weeks old</t>
  </si>
  <si>
    <t>1 (footshock x10, en test op situational reminder in light/dark box)</t>
  </si>
  <si>
    <t>non exposed (undisturbed)</t>
  </si>
  <si>
    <t>2 (4 in total paper, ook enriched environment groups)</t>
  </si>
  <si>
    <t>latency to enter dark compartment &amp; amount of time spent in each compartment &amp; number of times the animals changes from compartment</t>
  </si>
  <si>
    <t>not reproted, 12h light/dark cycle</t>
  </si>
  <si>
    <t>PTSD_LatencyTime(s)</t>
  </si>
  <si>
    <t>Control_LatencyTime(s)</t>
  </si>
  <si>
    <t>PTSD_TimeInLight(s)</t>
  </si>
  <si>
    <t>Control_TimeInLight(s)</t>
  </si>
  <si>
    <t>PTSD_#passages</t>
  </si>
  <si>
    <t>Control_#passages</t>
  </si>
  <si>
    <t>no diff between ptsd &amp; control</t>
  </si>
  <si>
    <t>ptds more time in light (waar geen trauma was) --&gt; herinneren trauma locatie</t>
  </si>
  <si>
    <t>U,0.001, z = 24.16, p,0.001</t>
  </si>
  <si>
    <t>no diff between ptsd en control</t>
  </si>
  <si>
    <t>ptsd minder tijd in dark (=shock compartment) dan control, 3weeks na shocks. No diff in latency &amp; crossings</t>
  </si>
  <si>
    <t>IFS (inescapable footshock procedure) - 10 shocks 1mA in dark compartment (6s duration, over periode van 15min) van light dark box - 3w later reexposure to light/dark box</t>
  </si>
  <si>
    <t xml:space="preserve">3 weeks after IFS --&gt; light/dark box (lit compartment 30s, then door dark compartment (waar eerder de footshocks waren) open for 5min --&gt; scoren latency to enter, time in each, numer of crosses  </t>
  </si>
  <si>
    <t>IFS (inescapable footshock procedure) - 10 shocks 1mA in dark compartment (6s duration, over periode van 15min) van light dark box - 3w later reexposure to novel context</t>
  </si>
  <si>
    <t>1 (footshock x10, en test op novel context 3 week later</t>
  </si>
  <si>
    <t>3 weeks after IFS --&gt; open field test (5min white noise) met sudden silence stress (5min)</t>
  </si>
  <si>
    <t>freezing during sudden silence in novel context</t>
  </si>
  <si>
    <t>PTSD_FreezingNovelContext(s)</t>
  </si>
  <si>
    <t>Control_FreezingNovelContext(s)</t>
  </si>
  <si>
    <t>ptsd more freezing then control 3 weeks na trauma in novel context</t>
  </si>
  <si>
    <t>bonferroni p&lt;0.001</t>
  </si>
  <si>
    <t>ptsd group generalize fear to novel context (compared to control)</t>
  </si>
  <si>
    <t>1 (alle dieren BrdU injected na IFS)</t>
  </si>
  <si>
    <t>context memory &amp; generalizatie</t>
  </si>
  <si>
    <t>1 (single)</t>
  </si>
  <si>
    <t>1 (single, beschreven procedure wel overeenkomstig, en SDS aangeraden als model voor sociaal of combat -related ptsd --&gt; multiple exposures)</t>
  </si>
  <si>
    <t>ook light dark box en open field, maar hier die bijde niet gekoppeld aan trauma reminder, dus data niet included</t>
  </si>
  <si>
    <t>no exposed to agressor (wel routine van eigen strain)</t>
  </si>
  <si>
    <t>exposure + social avoidance test</t>
  </si>
  <si>
    <t>chronic social defeat [ exposure to CD1 aggressor mouse for 10 min, gedurende 10 days ] + selection susceptible or unsusceptible [day11: social avoidance testing. New chambre, 2.5min no cd1 in kooitje midden in chamber, laatste 2.5min wel cd1 in kooitje in chamber. meet interaction rate (= 100* length of stay in interactoin area in second phase / length of stay in interaction area in the first phase) kleiner dan 100 is susceptible group]</t>
  </si>
  <si>
    <t>model wel in ptsd model reviews.. Maar auteurs spreken zelf niet over ptsd model in de study</t>
  </si>
  <si>
    <t>30 (history)</t>
  </si>
  <si>
    <t>56 (no ptds history + surgery) &amp; 28 non surgery controls (wel coronary artery disease)</t>
  </si>
  <si>
    <t>2 [met coronary aratery surgery]</t>
  </si>
  <si>
    <t>m? (niet duidelijk beschreven)</t>
  </si>
  <si>
    <t>surgical (8) + non-surgical (8)</t>
  </si>
  <si>
    <t>Coronary artery surgery (+veterans) + history ptsd</t>
  </si>
  <si>
    <t>veterans?</t>
  </si>
  <si>
    <t>screenign? Niet gerapporteerd hoe</t>
  </si>
  <si>
    <t>niet goed te vinden wat gender en achtergrond van het sample is. Waarschijnlijk militairen en voornamelijk man / ook niet gerapporteerd hoe ptsd vastgesteld is..</t>
  </si>
  <si>
    <t>Non-verbal memory (recent ..wel immediate &amp; delayed)</t>
  </si>
  <si>
    <t>Verbal Memory (recent, wel immidate &amp; delayed)</t>
  </si>
  <si>
    <t>backward digit span, semantic fluency (all animals in the zoo),  phonemic fluency (all wordts with 's) [1week before surgery &amp; 1 week after (of bij ontslag, afhankelijk van wat eerder was)]</t>
  </si>
  <si>
    <t>PTSD_Baseline_Figure reconstruction</t>
  </si>
  <si>
    <t>story memory (learn &amp; recall story in 1 trails) &amp; word list memory (lear &amp; remember list of 10 unrelated wors in 4 trials) subtest from Repeatable battery for the assessment of neuropsychological status [1week before surgery &amp; 1 week after (of bij ontslag, afhankelijk van wat eerder was)]</t>
  </si>
  <si>
    <t>Brief Visual memory test revised (card met 6 simple geometric designs, 2 points per design, vor 10s, on 3 sequential trials) [1week before surgery &amp; 1 week after (of bij ontslag, afhankelijk van wat eerder was)]</t>
  </si>
  <si>
    <t>surgical (68) + [non-surgical (69)]</t>
  </si>
  <si>
    <t>surgery zonder history van ptsd &amp; non-surgery [=normative control group, gebruik om zscores te berekenen van verandering over  tijd in patient en surgical controles]</t>
  </si>
  <si>
    <t>3 ( PTSD &amp; surgical control &amp; normative control om verschilschores mee te berekenen)</t>
  </si>
  <si>
    <t>Control(surgical)_Baseline_Figure reconstruction</t>
  </si>
  <si>
    <t>PTSD_1Week_Figure reconstruction</t>
  </si>
  <si>
    <t>Control(surgical)_1Week_Figure reconstruction</t>
  </si>
  <si>
    <t>Geen verschil in non verbal memoryh tussen history ptsd of niet VOOR surgery</t>
  </si>
  <si>
    <t>p=0.08</t>
  </si>
  <si>
    <t>digit span / semantic fluency / phonemic fluency / stroop &amp;&amp; Moller's z-score to assess cognitive change from baseline to 1week after (met gebruik van normative control group)</t>
  </si>
  <si>
    <t>PTSD_Baseline_DelayedFigureReproduction</t>
  </si>
  <si>
    <t>Control_Baseline_DelayedFigureReproduction</t>
  </si>
  <si>
    <t>PTSD_1Week_DelayedFigureReproduction</t>
  </si>
  <si>
    <t>Control_1Week_DelayedFigureReproduction</t>
  </si>
  <si>
    <t>no diff between pts en control prior to surgery</t>
  </si>
  <si>
    <t>PTSD_Baseline_Immediate Story Recall</t>
  </si>
  <si>
    <t>Control_Baseline_Immediate Story Recall</t>
  </si>
  <si>
    <t>Geen verschil  history ptsd of niet VOOR surgery</t>
  </si>
  <si>
    <t>p=0.35</t>
  </si>
  <si>
    <t>PTSD_1Week_Immediate Story Recall</t>
  </si>
  <si>
    <t>Control_1Week_Immediate Story Recall</t>
  </si>
  <si>
    <t>PTSD_Baseline_Delayed Story Recall</t>
  </si>
  <si>
    <t>Control_Baseline_Delayed Story Recall</t>
  </si>
  <si>
    <t>PTSD_1Week_Delayed Story Recall</t>
  </si>
  <si>
    <t>Control_1Week_Delayed Story Recall</t>
  </si>
  <si>
    <t>PTSD_Baseline_Immediate Word List Recall</t>
  </si>
  <si>
    <t>Control_Baseline_Immediate Word List Recall</t>
  </si>
  <si>
    <t>PTSD_1Week_Immediate Word List Recall</t>
  </si>
  <si>
    <t>Control_1Week_Immediate Word List Recall</t>
  </si>
  <si>
    <t>PTSD_Baseline_Delayed Word List Recall</t>
  </si>
  <si>
    <t>Control_Baseline_Delayed Word List Recall</t>
  </si>
  <si>
    <t>PTSD_1Week_Delayed Word List Recall</t>
  </si>
  <si>
    <t>Outcome16_VarName</t>
  </si>
  <si>
    <t>Outcome16_M</t>
  </si>
  <si>
    <t>Outcome16_SD</t>
  </si>
  <si>
    <t>Outcome16_SEM</t>
  </si>
  <si>
    <t>Diff_Outcome15-16SUM</t>
  </si>
  <si>
    <t>Diff_Outcome15-16 Statistic</t>
  </si>
  <si>
    <t>Control_1Week_Delayed Word List Recall</t>
  </si>
  <si>
    <t>PTSD worse on baseline (=prior surgery) then control</t>
  </si>
  <si>
    <t>p=0.0006</t>
  </si>
  <si>
    <t>ptsd worse then control prior to surgery</t>
  </si>
  <si>
    <t>p=0.003</t>
  </si>
  <si>
    <t>no diff between ptsd en control prior to surgery</t>
  </si>
  <si>
    <t>p=0.07</t>
  </si>
  <si>
    <t>executive Functioning [data not yet included]</t>
  </si>
  <si>
    <t>Figure reconstruction (max score 36) &amp; delayed figure reproduction (na 20min; ma score 12) &amp;&amp; Moller's z-score to assess cognitive change from baseline to 1week after (met gebruik van normative control group) [no statistics on individuele maten, maar overal cog impairment score betrekend door gem zscore van zscores op de verschillende maten te nemen --&gt; 2 groepen gemaakt met en zonder impariment (impairement als verandering negatief en groter dan 1SD. Vervolgens multivariate linear regressoin gedaan om te kijken of prior ptsd group membership voorspelde]</t>
  </si>
  <si>
    <t>Immediate story recall (max score 20)  / delayed story recall  (max score 10) / immedicate word list recall  (max score 40) / delayed word list recall (max score 10) &amp;&amp; Moller's z-score to assess cognitive change from baseline to 1week after (met gebruik van normative control group)[no statistics on individuele maten, maar overal cog impairment score betrekend door gem zscore van zscores op de verschillende maten te nemen --&gt; 2 groepen gemaakt met en zonder impariment (impairement als verandering negatief en groter dan 1SD. Vervolgens multivariate linear regressoin gedaan om te kijken of prior ptsd group membership voorspelde]</t>
  </si>
  <si>
    <t>No diff between prior ptsd &amp; surgical control at baseline = 1week before sugery |[no statistics on individuele maten, maar overal cog impairment score betrekend door gem zscore van zscores op de verschillende maten te nemen --&gt; 2 groepen gemaakt met en zonder impariment (impairement als verandering negatief en groter dan 1SD. Vervolgens multivariate linear regressoin gedaan om te kijken of prior ptsd group membership voorspelde] --&gt; Overall cognitive performance (composite z score van verbal non verbal en executive functioning) after surgery significantly (p   0.002) decreased by at least 1 SD in 27 patients (48%) without and 25 patients (83%) with a history of PTSD versus nonsurgical controls. |ptsd sig. voorspeller van cog impairment p=0.005</t>
  </si>
  <si>
    <t>prior to surgery: no diff in immediate &amp; delayed story recall; ptsd group worse in immediate &amp; delayed word list recall  | [no statistics on individuele maten, maar overal cog impairment score betrekend door gem zscore van zscores op de verschillende maten te nemen --&gt; 2 groepen gemaakt met en zonder impariment (impairement als verandering negatief en groter dan 1SD. Vervolgens multivariate linear regressoin gedaan om te kijken of prior ptsd group membership voorspelde] --&gt;  Overall cognitive performance (composite z score van verbal non verbal en executive functioning) after surgery significantly (p   0.002) decreased by at least 1 SD in 27 patients (48%) without and 25 patients (83%) with a history of PTSD versus nonsurgical controls. | ptsd sig. voorspeller van cog impairment p=0.005</t>
  </si>
  <si>
    <t>baseline vergelijking gedaan op individuele taken, verandering over tijd (1week voor-1week na surgery) gemeten door te kijken naar overal cog. performance (verbal &amp; non-verbal &amp; executive functioning! ) | niet goed te vinden wat gender en achtergrond van het sample is. Waarschijnlijk militairen en voornamelijk man / ook niet gerapporteerd hoe ptsd vastgesteld is..</t>
  </si>
  <si>
    <t>NB. overal analyse op effect trauma of cog. Verandering (=memory + executive functioning)… alleen separate analyses op baseline data! Echter wel m &amp; sd gerapporteerd, dus wel bruikbaar?</t>
  </si>
  <si>
    <t>er is ook een sps only group &amp; sham group, naast ELS &amp; EE groups --&gt; alleen die data included</t>
  </si>
  <si>
    <t>PN day 63 (behavioral experiments) | trauma PN day 56</t>
  </si>
  <si>
    <t xml:space="preserve">PN day 63 (behavioral experiments) </t>
  </si>
  <si>
    <t>Single-Prolonged Stress (SPS) [Rats were restrained 2h + 20min forced swim 24degree water (24cm diameter, 50cm height, 2/3 water filled) + [15min recuperating] + diethyl ether until loss of consciousness] (dan 7day undisturbed: PN 56-63)</t>
  </si>
  <si>
    <t>no exposure (left undisturbed)</t>
  </si>
  <si>
    <t>2 (more in paper, els &amp; ee)</t>
  </si>
  <si>
    <t>light [12h / 12h light -dark cycle (lights on at 8h), all behaviroal experiments between 8-14h]</t>
  </si>
  <si>
    <t xml:space="preserve">Contextual fear conditioning test [ shock grid floor, 180s in chamber prior to US (=continuouse footshock, 0.8mA, 4s), dan terug naar home cage - na 24h reexposure to shock context </t>
  </si>
  <si>
    <t>Freezing time (s) in 180s interval</t>
  </si>
  <si>
    <t>PTSD_Contextual Freezing(s)_[1week na trauma, 24h na fc]</t>
  </si>
  <si>
    <t>PTSD_Contextual Freezing(s)_[24h na fc]</t>
  </si>
  <si>
    <t>ptsd rats (SPS) more contextual freezing na FC then control</t>
  </si>
  <si>
    <t>ptsd rats (SPS) more contextual freezing na FC then control (1week na trauma)</t>
  </si>
  <si>
    <r>
      <t>2way anova, met stress &amp; NI  significant effect of stress [F(1, 43) = 45.852, p &lt; 0.0001] --</t>
    </r>
    <r>
      <rPr>
        <b/>
        <sz val="12"/>
        <color rgb="FF000000"/>
        <rFont val="Calibri"/>
        <family val="2"/>
      </rPr>
      <t xml:space="preserve"> followup Post hoc analysis revealed that the enhanced contextual freezing time in the Sham + SPS group was significantly greater than that in the Sham group (p = 0.02) </t>
    </r>
  </si>
  <si>
    <t>cfc na sps</t>
  </si>
  <si>
    <t>3 [ rape survivors ]</t>
  </si>
  <si>
    <t>16 (trauma control) + 16 (non-trauma control)</t>
  </si>
  <si>
    <t>SCID (met criteria) &amp; modified version of Mississippi Scale for Combat Related PTSD (score boven 107)</t>
  </si>
  <si>
    <t>trauma control (rape victems) &amp; non-trauma controls</t>
  </si>
  <si>
    <t>zeer beperkt gerapporteerd</t>
  </si>
  <si>
    <t>F hoofdzakelijk (total sample 1 man, niet gerapporteerd in welke group)</t>
  </si>
  <si>
    <t>total sample: 6,9 (niet per group gerapporteerd)</t>
  </si>
  <si>
    <t>total sample: 27.7 (niet per group gerapporteerd) [range 19-44]</t>
  </si>
  <si>
    <t>3 (PTSD &amp; trauma en non-trauma control)</t>
  </si>
  <si>
    <t>California Verbal-learning Test (CVLT) - immediate free recall over five trials (amount learned), slope of the learning curve (learning efficiency), short-delay (3-minute) and longdelay (20-minute) recall (ability to retrieve newly learned information with or without category prompts), number of words discriminated from distractors (recognition memory), and semantic (categoryor meaning-related) and serial (order of presentation) clustering measures of encoding strategy. -- Highlighted 17 Jul 2017</t>
  </si>
  <si>
    <t>immediate free recall over five trials (amount learned), slope of the learning curve (learning efficiency), short-delay (3-minute) and longdelay (20-minute) recall (ability to retrieve newly learned information with or without category prompts), number of words discriminated from distractors (recognition memory), and semantic (categoryor meaning-related) and serial (order of presentation) clustering measures of encoding strategy</t>
  </si>
  <si>
    <t>rape (sexual assault) - average time sinds trauma: 6.2 years (SD=5,3, range 1-20)</t>
  </si>
  <si>
    <r>
      <t xml:space="preserve">p.2: California Verbal Learning Test indices, the performance of the PTSD-positive group was worse than that of the other two groups on </t>
    </r>
    <r>
      <rPr>
        <b/>
        <u/>
        <sz val="12"/>
        <color rgb="FF000000"/>
        <rFont val="Calibri"/>
        <family val="2"/>
      </rPr>
      <t>number of words learned</t>
    </r>
    <r>
      <rPr>
        <u/>
        <sz val="12"/>
        <color rgb="FF000000"/>
        <rFont val="Calibri"/>
        <family val="2"/>
      </rPr>
      <t xml:space="preserve"> (F=4.82, df=2, 44, p=0.02) and</t>
    </r>
    <r>
      <rPr>
        <b/>
        <u/>
        <sz val="12"/>
        <color rgb="FF000000"/>
        <rFont val="Calibri"/>
        <family val="2"/>
      </rPr>
      <t xml:space="preserve"> short-delay free recall </t>
    </r>
    <r>
      <rPr>
        <u/>
        <sz val="12"/>
        <color rgb="FF000000"/>
        <rFont val="Calibri"/>
        <family val="2"/>
      </rPr>
      <t>(F=3.63, df=2, 44, p=0.03). -- Highlighted 17 Jul 2017 | p.2:</t>
    </r>
    <r>
      <rPr>
        <b/>
        <u/>
        <sz val="12"/>
        <color rgb="FF000000"/>
        <rFont val="Calibri"/>
        <family val="2"/>
      </rPr>
      <t xml:space="preserve"> long-delay recall </t>
    </r>
    <r>
      <rPr>
        <u/>
        <sz val="12"/>
        <color rgb="FF000000"/>
        <rFont val="Calibri"/>
        <family val="2"/>
      </rPr>
      <t xml:space="preserve">(F=5.74, df=2, 44, p&lt;0.01 Post hoc analysis indicated that the PTSD-positive subjects recalled fewer list items than did the PTSD-negative and comparison groups -- Highlighted 17 Jul 2017 | p.2: NS: </t>
    </r>
    <r>
      <rPr>
        <b/>
        <u/>
        <sz val="12"/>
        <color rgb="FF000000"/>
        <rFont val="Calibri"/>
        <family val="2"/>
      </rPr>
      <t>category cues</t>
    </r>
    <r>
      <rPr>
        <u/>
        <sz val="12"/>
        <color rgb="FF000000"/>
        <rFont val="Calibri"/>
        <family val="2"/>
      </rPr>
      <t xml:space="preserve"> were provided to the subjects, the recall difference declined to a </t>
    </r>
    <r>
      <rPr>
        <b/>
        <u/>
        <sz val="12"/>
        <color rgb="FF000000"/>
        <rFont val="Calibri"/>
        <family val="2"/>
      </rPr>
      <t xml:space="preserve">nonsignificant level </t>
    </r>
    <r>
      <rPr>
        <u/>
        <sz val="12"/>
        <color rgb="FF000000"/>
        <rFont val="Calibri"/>
        <family val="2"/>
      </rPr>
      <t>(F=3.75, df=2, 44, p=0.03). -- Highlighted 17 Jul 2017 | p.2: NO between-groups difference was observed in recognition hits (F=0.63, df=2, 44, p=0.54). -- Highlighted 17 Jul 2017 | p.2: no differences in learning strategy were apparent, as the three groups had similar scores on the semantic and serial clustering indices. -- Highlighted 17 Jul 2017</t>
    </r>
  </si>
  <si>
    <t>no data provided only statistics.. Data opvragen? | study uit 1998</t>
  </si>
  <si>
    <t>1 group, waarin caps &amp; neurocog. Maten gemeten --&gt; echter geen verschil tussen ptsd patietn vs gezond bekeken.. Maar analyses op het effect van alcohol gebruik op cog. Performance</t>
  </si>
  <si>
    <t>1 group, waarin caps &amp; neurocog. Maten gemeten --&gt; echter geen verschil tussen ptsd patietn vs gezond bekeken.. Maar analyses op het effect van alcohol gebruik op cog. Performance [ er wordt in de analyse gecontroleerd voor ptsd ipv het effect ervan bekeken</t>
  </si>
  <si>
    <t>no ptsd model, FC study? / NO CONTROL GROUP!</t>
  </si>
  <si>
    <t>no ptsd model, FC study?/ NO CONTROL GROUP!</t>
  </si>
  <si>
    <t>no control? - FC (maar longterm followup 61days)</t>
  </si>
  <si>
    <t>alle deelnemers ptsd, verdeeld over interventie vs no interventie</t>
  </si>
  <si>
    <t xml:space="preserve">[ptsd geen onafhankelijke var] ---&gt; geen ptsd group vs controle (1sample --&gt; effect alcohol biomarkers on cognition) no data reported for ptsd patients vs controls </t>
  </si>
  <si>
    <t xml:space="preserve">[ptsd geen onafhankelijke var] ---&gt; geen ptsd group vs controle (1sample --&gt; effect alcohol  on cognition) no data reported for ptsd patients vs controls </t>
  </si>
  <si>
    <t>alle deelnemers moeten ptsd hebben (caps boven 40) | no control group | niet direct gekeken naar effect ptsd op cognitie / relatie ertussen</t>
  </si>
  <si>
    <t>alle deelnemers ptsd (caps &gt;=40)</t>
  </si>
  <si>
    <t>alle deelnemers ptsd ; NO control group</t>
  </si>
  <si>
    <t>Harvard Trauma Questionnaire (HTQ) to measure trauma &amp; PTSD [selfreport] &amp; independent psychiatrist with DSM-III_R</t>
  </si>
  <si>
    <t>Refugees (former Yugoslavia)</t>
  </si>
  <si>
    <t>trauma-control (wel refugee, no ptsd diagnosis)</t>
  </si>
  <si>
    <t>regufees - organized violence during the war and the thnic persecutions in former yugoslavia</t>
  </si>
  <si>
    <t>Visual memory &amp; recall</t>
  </si>
  <si>
    <t>3 [refugee]</t>
  </si>
  <si>
    <t>Benton (score range 0-10) - Thurstone (score range 0-28)</t>
  </si>
  <si>
    <t>[not separated reported for patienten en controls] - Total sample 13/34 F (mean age 39.2 years, range 26-51); 21/34 M (mean age 38.2, range 27-58) --&gt; p.195: There were no significant differences between females and males with regard to the average PTSD symptom level or average cognitive performance (t =0.07; df =32; P =0.94 and t =0.26; df =32; P =0.80, respectively). -- Highlighted 18 Jul 2017 &amp;&amp; p.195: Neither the average PTSD symptom level nor the average cognitive performance was significantly correlated to age (r =0.19, P =0.28, and r =0.13, P =0.47, respectively), or to educational level (r =0.20, P =0.26, and r =0.23, P =0.19, respectively) -- Highlighted 18 Jul 2017</t>
  </si>
  <si>
    <t>21 (op basis van HTQ) [op basis van psychiater: 20; echter 21 gebruikt voor analyses]</t>
  </si>
  <si>
    <t>1 (not extracted yet)</t>
  </si>
  <si>
    <t>PTSD_Benton(VisualRetention)</t>
  </si>
  <si>
    <t>Control_Benton(VisualRetention)</t>
  </si>
  <si>
    <t>PTSD_Thurstone(VisualRecognition)</t>
  </si>
  <si>
    <t>Control_Thurstone(VisualRecognition)</t>
  </si>
  <si>
    <t>F(1,32)=2,24; p=0.14</t>
  </si>
  <si>
    <t>no diff between ptsd en trauma control op visual recognition en visual retention..</t>
  </si>
  <si>
    <t>F(1,32)=2,18; p=0.15</t>
  </si>
  <si>
    <t>QUALITY NOTES</t>
  </si>
  <si>
    <t>Thurstone Memory Test  (visual recognition) &amp; Benton Visual Retention Test (relate episodic memory)</t>
  </si>
  <si>
    <t xml:space="preserve">ook data voor intelligence, reasoning, perception, nu niet included (daarop patienten slechtere performance)|| no subject free of ptsd symptoms, control group (=non-ptsd) wel onder cut-off | [&amp;&amp;  depressie bij 13v/d ptsd group en bij 5 v/d non-ptsd group] || </t>
  </si>
  <si>
    <t>no diff between ptsd &amp; trauma-control &amp; echter WEL correlatie met SEVERITY ptsd-symptoms &amp; taak performance (Pearsons correlation=-0.46, p&lt;0.05)</t>
  </si>
  <si>
    <t>no diff &amp; NO  correlatie met SEVERITY ptsd-symptoms &amp; taak performance (Pearsons correlation=-0.29, NS)</t>
  </si>
  <si>
    <t>no diff between (diagnose)ptsd en trauma-control group op visual recognition en visual retention.. Echter wel een correlatie tussen ptsd symptom severity &amp; performance op recall (episodic memory; Benton), maar niet op recognition (Thurstone).</t>
  </si>
  <si>
    <t>[Gender en leeftijd NIET per exp. group beschreven] &amp; [ongelijke groepsgrotes]</t>
  </si>
  <si>
    <t>Bosnia-and-Herzegovina veterans</t>
  </si>
  <si>
    <t>Diagnosis psychiatrist according to DSM-IV criteria | symptom severity gemeten met Posttraumatic Diagnostic Scale (part 3: current symptom severity)</t>
  </si>
  <si>
    <t>combat controls (similar wartime history &amp; matched op general intellectual function)</t>
  </si>
  <si>
    <t>PTSD_TotalScore</t>
  </si>
  <si>
    <t>Control_TotalScore</t>
  </si>
  <si>
    <t>(niet expliciet genoemd dat het SD is, maar vermoedleijk wel..)</t>
  </si>
  <si>
    <t>PTSD group slechter op memory test</t>
  </si>
  <si>
    <r>
      <t xml:space="preserve">t </t>
    </r>
    <r>
      <rPr>
        <sz val="8"/>
        <color rgb="FF211E1E"/>
        <rFont val="Times"/>
        <family val="1"/>
      </rPr>
      <t xml:space="preserve">= –10.22, </t>
    </r>
    <r>
      <rPr>
        <i/>
        <sz val="8"/>
        <color rgb="FF211E1E"/>
        <rFont val="Times"/>
        <family val="1"/>
      </rPr>
      <t xml:space="preserve">P </t>
    </r>
    <r>
      <rPr>
        <sz val="8"/>
        <color rgb="FF211E1E"/>
        <rFont val="Times"/>
        <family val="1"/>
      </rPr>
      <t xml:space="preserve">&lt; 0.001  n2=0.86 </t>
    </r>
  </si>
  <si>
    <t>ptsd slechter dan control op total memory score</t>
  </si>
  <si>
    <t>Rivermead Behavioral Memory Test - total score</t>
  </si>
  <si>
    <t>everyday memory (episodic?) (immediate &amp; delayed recall)</t>
  </si>
  <si>
    <t>total score(total maximum score 24 (= normal memory))</t>
  </si>
  <si>
    <t>verbal - everyday memory (episodic?) (immediate &amp; delayed recall) - Verbal subscales?</t>
  </si>
  <si>
    <t>Rivermead Behavioral Memory Test -  non-verbal subscales [ hidden belonging; picture recognition; face recognition; new route (immediate &amp; delayed); orientation</t>
  </si>
  <si>
    <t>Rivermead Behavioral Memory Test - verbal subscales [Name; appointment; newspaper article (immediate &amp; delayed); message; date]</t>
  </si>
  <si>
    <t>(niet expliciet genoemd dat het SD is, maar vermoedleijk wel..) - indeling verbal vs non-verbal zelf gemaakt</t>
  </si>
  <si>
    <t>1? [data not yet extracted]</t>
  </si>
  <si>
    <t>[Name; appointment; newspaper article (immediate &amp; delayed); message; date]</t>
  </si>
  <si>
    <t>[Hidden belonging; picture recognition; face recognition; new route (immediate &amp; delayed); orientation</t>
  </si>
  <si>
    <t>PTSD_RememberName</t>
  </si>
  <si>
    <t>Control_RememberName</t>
  </si>
  <si>
    <t>PTSD_RememberAppointment</t>
  </si>
  <si>
    <t>Control_RememberAppointment</t>
  </si>
  <si>
    <t>PTSD_RememberingNewspaperArticle(ImmediateRecall)</t>
  </si>
  <si>
    <t>Control_RememberingNewspaperArticle(ImmediateRecall)</t>
  </si>
  <si>
    <t>PTSD_RememberingNewspaperArticle(DelayedRecall)</t>
  </si>
  <si>
    <t>Control_RememberingNewspaperArticle(DelayedRecall)</t>
  </si>
  <si>
    <t>PTSD_DeliveringMesssage</t>
  </si>
  <si>
    <t>Control_DeliveringMesssage</t>
  </si>
  <si>
    <t>PTSD_Date</t>
  </si>
  <si>
    <t>Control_Date</t>
  </si>
  <si>
    <t>control better then ptsd</t>
  </si>
  <si>
    <t>t=-4,91; p&lt;0.001; n2=0,62</t>
  </si>
  <si>
    <t>control better then patient</t>
  </si>
  <si>
    <t>t=-5,54; p&lt;0,001; n2=0,67</t>
  </si>
  <si>
    <t>control better then patietn</t>
  </si>
  <si>
    <t>t=-4,47; p&lt;0.001; n2=0,59</t>
  </si>
  <si>
    <t>t=-2,24; p&lt;0,034; n2=0,34</t>
  </si>
  <si>
    <t>t=-2,51; p&lt;0,017; 0,38</t>
  </si>
  <si>
    <t>Control better then PTSD in verbal episodic memory</t>
  </si>
  <si>
    <t>PTSD_RememberHiddenBelonging</t>
  </si>
  <si>
    <t>Control_RememberHiddenBelonging</t>
  </si>
  <si>
    <t>t=-6,46; p&lt;0,001; n2=0,72</t>
  </si>
  <si>
    <t>PTSD_PictureRecognition (semantic?)</t>
  </si>
  <si>
    <t>non-verbal - everyday memory (episodic?, picture &amp; face recognition mogelijk semantisch?) (immediate &amp; delayed recall</t>
  </si>
  <si>
    <t>Control_PictureRecognition (semantic?)</t>
  </si>
  <si>
    <t>PTSD_FaceRecognition (semantic?)</t>
  </si>
  <si>
    <t>Control_FaceRecognition (semantic?)</t>
  </si>
  <si>
    <t>t=-3,89; p&lt;0.001; n2=0.53</t>
  </si>
  <si>
    <t>t=-3,01; p&lt;0.005; n2=0,44</t>
  </si>
  <si>
    <t>t=-5,52; p&lt;0,001; n2=0,67</t>
  </si>
  <si>
    <t>PTSD_RememberingNewRoute(Immediate)</t>
  </si>
  <si>
    <t>Control_RememberingNewRoute(Immediate)</t>
  </si>
  <si>
    <t>PTSD_RememberingNewRoute(Delayed)</t>
  </si>
  <si>
    <t>Control_RememberingNewRoute(Delayed)</t>
  </si>
  <si>
    <t>t=-5,22; p&lt;0.001; n2=0,65</t>
  </si>
  <si>
    <t>t=5,56; p&lt;0.001; n2=0,67</t>
  </si>
  <si>
    <t>PTSD_Orrientation</t>
  </si>
  <si>
    <t>Control_Orrientation</t>
  </si>
  <si>
    <t>t=-3,49; p&lt;0.001; n2=0,49</t>
  </si>
  <si>
    <t>Control better then PTSD in non-verbal episodic (en semantic?) memory</t>
  </si>
  <si>
    <t>nuttig artikel over link ptsd reexperiencing symptoms &amp; generalization</t>
  </si>
  <si>
    <t>wel relevante studie, maar gekeken naar symptomen van ptsd ipv verschil controle &amp; patienten group [ bevinding is correlatie tussen reexperiencing sympotomen &amp; mate van memory generalizatie ]</t>
  </si>
  <si>
    <t>REVIEW</t>
  </si>
  <si>
    <t>3 months (adult)</t>
  </si>
  <si>
    <t>50/50 restrained wel (en wel cited)</t>
  </si>
  <si>
    <t>1 (restrained wel, en srs genoemd (maar misschien meer een test?)</t>
  </si>
  <si>
    <t>Stress re-stress paradigm: 1) Stress:(start at 8:00 on D-2 of experiment): 2h restrained - foreced swim 20min (diameter 18cm, 18cm depth water, 25 graden) - halothane exposure (general anesthetic). |  &lt;undisturbed&gt; | 2) Re-stress: D-8: forced swim (20min).. [Re-stress repeated on D-14, D-20, D-26, D-32] --&gt; re-stress een manier om stress sensitizatie te meten..</t>
  </si>
  <si>
    <t>unexposed?</t>
  </si>
  <si>
    <t>Charles Foster strain albino rats</t>
  </si>
  <si>
    <t>non-exposed to SRS</t>
  </si>
  <si>
    <t>2 (6 in total experiment (pas &amp; ris groups)</t>
  </si>
  <si>
    <t>12:12h light/dark cycle [all experiments tussen 8:00 - 16:00h]</t>
  </si>
  <si>
    <t>spatial recognition memory: % entries in known vs novel arms (during 5min)</t>
  </si>
  <si>
    <t>Y-Maze test after stress &amp; restress tests [ steeds nieuwe cues per test, zodat ze nieuw blijven voor de dieren] - {Y-maze (total 3arms): explore 2 arms for 15min, then 4h later: explore all arms (3) 5min --&gt; number of entries recored [ ter info:  total numer of entries = general exploration attitude; %entries in known vs novel arm (5min) = spatial recognition memory; coping to novel invironment: % of time spent in novel amr/ time spent in all arms &amp; in center [--&gt; decrease in coping behavior = increase in anxiety])</t>
  </si>
  <si>
    <t>PTSD_%entriesKNOWN_Day2</t>
  </si>
  <si>
    <t>PTSD_%entriesNOVEL_Day2</t>
  </si>
  <si>
    <t>Control_%entriesKNOWN_Day2</t>
  </si>
  <si>
    <t>Control_%entriesNOVEL_Day2</t>
  </si>
  <si>
    <t>control more time in novel arm</t>
  </si>
  <si>
    <t>for PTSD no diff between novel &amp; known entries on day2</t>
  </si>
  <si>
    <t>Control animal more time on novel arm, ptsd not</t>
  </si>
  <si>
    <t>PTSD_%entriesKNOWN_Day8</t>
  </si>
  <si>
    <t>PTSD_%entriesNOVEL_Day8</t>
  </si>
  <si>
    <t>Control_%entriesKNOWN_Day8</t>
  </si>
  <si>
    <t>Control_%entriesNOVEL_Day8</t>
  </si>
  <si>
    <t>PTSD_%entriesKNOWN_Day14</t>
  </si>
  <si>
    <t>PTSD_%entriesNOVEL_Day14</t>
  </si>
  <si>
    <t>Control_%entriesKNOWN_Day14</t>
  </si>
  <si>
    <t>Control_%entriesNOVEL_Day14</t>
  </si>
  <si>
    <t>PTSD_%entriesKNOWN_Day20</t>
  </si>
  <si>
    <t>PTSD_%entriesNOVEL_Day20</t>
  </si>
  <si>
    <t>Control_%entriesKNOWN_Day20</t>
  </si>
  <si>
    <t>Control_%entriesNOVEL_Day20</t>
  </si>
  <si>
    <t>PTSD_%entriesKNOWN_Day26</t>
  </si>
  <si>
    <t>PTSD_%entriesNOVEL_Day26</t>
  </si>
  <si>
    <t>Control_%entriesKNOWN_Day26</t>
  </si>
  <si>
    <t>Control_%entriesNOVEL_Day26</t>
  </si>
  <si>
    <t>PTSD_%entriesKNOWN_Day32</t>
  </si>
  <si>
    <t>PTSD_%entriesNOVEL_Day32</t>
  </si>
  <si>
    <t>Control_%entriesKNOWN_Day32</t>
  </si>
  <si>
    <t>Control_%entriesNOVEL_Day32</t>
  </si>
  <si>
    <t>Outcome17_VarName</t>
  </si>
  <si>
    <t>Outcome17_M</t>
  </si>
  <si>
    <t>Outcome17_SD</t>
  </si>
  <si>
    <t>Outcome17_SEM</t>
  </si>
  <si>
    <t>Outcome18_VarName</t>
  </si>
  <si>
    <t>Outcome18_M</t>
  </si>
  <si>
    <t>Outcome18_SD</t>
  </si>
  <si>
    <t>Outcome18_SEM</t>
  </si>
  <si>
    <t>Diff_outcome17-18SUM</t>
  </si>
  <si>
    <t>Diff_outcome17-18Statistic</t>
  </si>
  <si>
    <t>Outcome19_VarName</t>
  </si>
  <si>
    <t>Outcome19_M</t>
  </si>
  <si>
    <t>Outcome19_SD</t>
  </si>
  <si>
    <t>Outcome19_SEM</t>
  </si>
  <si>
    <t>Outcome20_VarName</t>
  </si>
  <si>
    <t>Outcome20_M</t>
  </si>
  <si>
    <t>Outcome20_SD</t>
  </si>
  <si>
    <t>Outcome20_SEM</t>
  </si>
  <si>
    <t>Diff_outcome19-20SUM</t>
  </si>
  <si>
    <t>Diff_outcome19-20Statistics</t>
  </si>
  <si>
    <t>Outcome21_VarName</t>
  </si>
  <si>
    <t>Outcome21_M</t>
  </si>
  <si>
    <t>Outcome21_SD</t>
  </si>
  <si>
    <t>Outcome21_SEM</t>
  </si>
  <si>
    <t>Outcome22_VarName</t>
  </si>
  <si>
    <t>Outcome22_M</t>
  </si>
  <si>
    <t>Outcome22_SD</t>
  </si>
  <si>
    <t>Outcome22_SEM</t>
  </si>
  <si>
    <t>Diff_outcome21-22SUM</t>
  </si>
  <si>
    <t>Diff_outcome21-22Statistic</t>
  </si>
  <si>
    <t>Outcome23_VarName</t>
  </si>
  <si>
    <t>Outcome23_M</t>
  </si>
  <si>
    <t>Outcome23_SD</t>
  </si>
  <si>
    <t>Outcome23_SEM</t>
  </si>
  <si>
    <t>Outcome24_VarName</t>
  </si>
  <si>
    <t>Outcome24_M</t>
  </si>
  <si>
    <t>Outcome24_SD</t>
  </si>
  <si>
    <t>Outcome24_SEM</t>
  </si>
  <si>
    <t>Diff_outcome23-24SUM</t>
  </si>
  <si>
    <t>Diff_outcome23-24Statistic</t>
  </si>
  <si>
    <t>ptsd more entries in known arm</t>
  </si>
  <si>
    <t>control more entires in novel arm</t>
  </si>
  <si>
    <t>control more entries in novel arm</t>
  </si>
  <si>
    <t>more entries in known arm</t>
  </si>
  <si>
    <t>more entries in novel arm</t>
  </si>
  <si>
    <t>Control more entries in novel arm (altijd D2,8,14,20,26,32); PTSD more entires in known arm (day8,14,20,26,32) - no dif on day2</t>
  </si>
  <si>
    <t>er staan ook f waarden van de 2x2 anova in (exp.groups verschillen, arm verschillen, algemene f waarden nu niet opgenomen in data set, alleen p-waardes posthoc testen)</t>
  </si>
  <si>
    <t>CAPS &amp; PTSD checklist-military version (PCL-M) en Rivermead postconcussion questionnaire (RPQ)</t>
  </si>
  <si>
    <t>Repeatable Battery for the Assessment of Neuropsychological Status (RBANS) - memory measures (story recall trials, list recall, list recogntion, figure recall)</t>
  </si>
  <si>
    <t>91%M</t>
  </si>
  <si>
    <t>92%M</t>
  </si>
  <si>
    <t>2 (more in total sample ook concussion, onduidelijk hoeveel comorbidity..?)</t>
  </si>
  <si>
    <t>Control_RBANS_Memory_Tscore</t>
  </si>
  <si>
    <t>PTSD_RBANS_Memory_Tscore</t>
  </si>
  <si>
    <t>t(203)=-2,34; p=.02</t>
  </si>
  <si>
    <t>age&amp;education adjusted t score (story recall trials, list recall, list recogntion, figure recall) - p.249: t scores calculated based on a population mean of 50 and SD of 10. -- Highlighted 25 Jul 2017</t>
  </si>
  <si>
    <t>ook effect postconcussion onderzocht; mogelijk comorbidity in ptsd group. In het paper ook een correlatie tussen pclm maat &amp; memory subscales berekend (maar voor hele group) --&gt; immediate memory - PCL-M: pearson -.13 (NS); delayed memory - PCL-M: pearon -,12 (NS)</t>
  </si>
  <si>
    <t>comorbiede concussive &amp; corelatie analyses op heel sample.. Wel data total memory index uitgesplitst naar ptsd vs control</t>
  </si>
  <si>
    <t>32 (64 in total sample, ook een antagonist &amp; exercise group</t>
  </si>
  <si>
    <t>21 days old (early adolescent)</t>
  </si>
  <si>
    <t>repeated inescapable electric footshock (0.5mA, 6s, 20x per trial (30min), 2 trials per day, 6days)</t>
  </si>
  <si>
    <t>1 (alle non-antagonist groups, hebben vehicle gehad (80% polyethylene glycol 400)</t>
  </si>
  <si>
    <t>1? (footshock wel 20*2*6 keer en longterm behavioral tests (2weeks 'treadmill' + 14days injections)</t>
  </si>
  <si>
    <t>? (light: 7-19u)</t>
  </si>
  <si>
    <t>spatial Memory</t>
  </si>
  <si>
    <t>2 (4 in total paper)</t>
  </si>
  <si>
    <t>Y-Maze (8 weeks after stressor) - training trial: 15min explore 2 arms. Return na 1h: test trial (5min explore 3 arms).</t>
  </si>
  <si>
    <t>number of entries, time spent, distance in each arm (only first 2min data) --&gt; ratio entry (novel arm/total entries); ratio time (time in novel/time in other arms); ration distance (distance in novel arm/ distance in any arm)</t>
  </si>
  <si>
    <t>PTSD_RatioEntry_8weekaftertrauma</t>
  </si>
  <si>
    <t>Control_RatioEntry</t>
  </si>
  <si>
    <t>PTSD_RatioTime_8weekaftertrauma</t>
  </si>
  <si>
    <t>Control_RatioTime</t>
  </si>
  <si>
    <t>PTSD_RatioDistance_8weekaftertrauma</t>
  </si>
  <si>
    <t>Control_RatioDistance</t>
  </si>
  <si>
    <t>control higher ratio entry (= in verhouding meer novel arm entry = better spatial memory</t>
  </si>
  <si>
    <t>control more time in novel arm = better spatial memory</t>
  </si>
  <si>
    <t>no diff in distance in novel arm/rest between control &amp; ptsd</t>
  </si>
  <si>
    <t>F(3,60)=18,09;p=0.000 --&gt; posthoc s vs cont p=0.000</t>
  </si>
  <si>
    <t>F(3,60)=28,768, p=0,000, posthoc s vs contro p=0.000</t>
  </si>
  <si>
    <t>Control rats have better spatial memory then ptsd (trauma unrelated)</t>
  </si>
  <si>
    <t>both in time &amp; entries p&lt;0.01</t>
  </si>
  <si>
    <t>no diff between groups (incl exersice &amp; antagonist): F(3,60)=2,318, p=0,085</t>
  </si>
  <si>
    <t>ptsd worse spatial memory 2 moth after trauma</t>
  </si>
  <si>
    <t>ptsd patients slechter memory index dan control</t>
  </si>
  <si>
    <t>kleine groepen! N=5</t>
  </si>
  <si>
    <t>overal anova's reported met posthoc; experiment in early adulthood</t>
  </si>
  <si>
    <t>(120 verdeeld over 5 groups)</t>
  </si>
  <si>
    <t>Single-Prolonged Stress (SPS) [Rats were restrained 2h + 20min forced swim 25degree water + [15min rest] + ether anesthesia (until loss of consciousness)</t>
  </si>
  <si>
    <t>in home cage no exposure, no handeling until behavioral study</t>
  </si>
  <si>
    <t xml:space="preserve">Morris Water Maze (7days after SPS? (tijd voor OFT test genoteerd, aangenomen dat behavioral testen achter elkaar was): pre-training (60s free swim), training 4 trials daily for 5days, 20s interval between trials [trial: 120s to find platform, 20 stay on platfom] - probe test (without platform) day 6 </t>
  </si>
  <si>
    <t>escape latencies to find platfomr averaging four trial values per day; test: percecntages of time spenet in the target quadrant as index for spatial memory</t>
  </si>
  <si>
    <t>5 (1 control, sps day1, day4, day7, day14) --&gt; behavioral experiments lijken gedaan in sps-day7 group en control group</t>
  </si>
  <si>
    <t>? Reversed 12h/12h light dark cycle</t>
  </si>
  <si>
    <t>spatial Memory &amp; learning</t>
  </si>
  <si>
    <t>PTSD_LatencyTime(s)_Learning_day1</t>
  </si>
  <si>
    <t>Control_LatencyTime(s)_Learning_day1</t>
  </si>
  <si>
    <t>PTSD_LatencyTime(s)_Learning_day2</t>
  </si>
  <si>
    <t>Control_LatencyTime(s)_Learning_day2</t>
  </si>
  <si>
    <t>PTSD_LatencyTime(s)_Learning_day3</t>
  </si>
  <si>
    <t>Control_LatencyTime(s)_Learning_day3</t>
  </si>
  <si>
    <t>PTSD_LatencyTime(s)_Learning_day4</t>
  </si>
  <si>
    <t>Control_LatencyTime(s)_Learning_day4</t>
  </si>
  <si>
    <t>PTSD_LatencyTime(s)_Learning_day5</t>
  </si>
  <si>
    <t>Control_LatencyTime(s)_Learning_day5</t>
  </si>
  <si>
    <t>PTSD_TESTday6_%TimeInTargetQuadrant</t>
  </si>
  <si>
    <t>Control_TESTday6_%TimeInTargetQuadrant</t>
  </si>
  <si>
    <t>control better then ptsd (faster escape)</t>
  </si>
  <si>
    <t>control better then ptsd (more time in previous platform quadrant)</t>
  </si>
  <si>
    <t>Control faster spatial learning &amp; better spatial memory then ptsd group</t>
  </si>
  <si>
    <t>niet helemaal duidelijk hoe de groepen in elkaar zitten (1 control group of meer?) en hoelang na sps de behavioral test gedaan is…</t>
  </si>
  <si>
    <t>3&amp;4 (chernobyl cleanup workers, evacuees, veterans afghanistan, healthy persons)</t>
  </si>
  <si>
    <t>healthy unexposed controles</t>
  </si>
  <si>
    <t>M &amp; F (in total samplen=152men &amp; 89F, onbekend hoe de verdeling in de subgroepen is)</t>
  </si>
  <si>
    <t>radiation ptsd' + veteranen in 1 group ptsd; --&gt; mean age ptsd groep zelf berekend door gemiddelde v de groepen te nemen (voor mean &amp; sd) klopt dat?</t>
  </si>
  <si>
    <t>leeftijds berekening ptsd group?</t>
  </si>
  <si>
    <t>DSM-IV diagnose; ook  PTSD scales Irritability; Impact of Events Scale (IES and IES-R), and Mississippi PTSD Scale afgenomen</t>
  </si>
  <si>
    <t>1 (samen met memory in 1 maat)</t>
  </si>
  <si>
    <t>attention &amp; memory (1task)</t>
  </si>
  <si>
    <t>5 (4ptsd, 1 control)</t>
  </si>
  <si>
    <t>Rey Auditory Verbal-Learning Test (RAVLT)</t>
  </si>
  <si>
    <t>Short cognitive performance test (SKT)</t>
  </si>
  <si>
    <t>auditory verbal memorization (RAVLT A1-5); proactive verbal interference (RAVLTB); short-term verbal memory (RAVLT A6); retroactive interference (RAVLT A5-A6)</t>
  </si>
  <si>
    <t>memory &amp; attention</t>
  </si>
  <si>
    <t>PTSD_CleanupWorkersARS(acute radiation sickness)_SKT</t>
  </si>
  <si>
    <t>PTSD_CleanupWorkers_SKT</t>
  </si>
  <si>
    <t>PTSD_Evacuees_SKT</t>
  </si>
  <si>
    <t>PTSD_CombatVeterans_SKT</t>
  </si>
  <si>
    <t>Control_healthyUnexposed_SKT</t>
  </si>
  <si>
    <t>no diff between cleanup with and without ARS</t>
  </si>
  <si>
    <t>veterans better performance then evacuees; vets &amp; evacuees beter then cleanupworkers</t>
  </si>
  <si>
    <t>Evacuees-CleanupARS: p&lt;0.01; Evacuees-Cleanupworkers: p&lt;0.001; Veterans-CleanupARS: p&lt;.001; Veterans-Cleanup: P&lt;.001; Veterans-Evacuees: p&lt;.01</t>
  </si>
  <si>
    <t>controls best performance</t>
  </si>
  <si>
    <t>Control-CleanupARS: p&lt;0.001; Control-Cleanup: P&lt;0.001; Control-Evacuees: P&lt;0.001</t>
  </si>
  <si>
    <t>memory &amp; attention worst in cleanup workers with ARS; healhty best performance (daarna veterans, daarna evacuees, daarna cleanupworkers)</t>
  </si>
  <si>
    <t>PTSD_CleanupWorkersARS(acute radiation sickness)_RAVLT_A1-A5(Memorization)</t>
  </si>
  <si>
    <t>PTSD_CleanupWorkers_RAVLT_A1-A5(Memorization)</t>
  </si>
  <si>
    <t>PTSD_Evacuees_RAVLT_A1-A5(Memorization)</t>
  </si>
  <si>
    <t>PTSD_Veterans_RAVLT_A1-A5(Memorization)</t>
  </si>
  <si>
    <t>Control_RAVLT_A1-A5(Memorization)</t>
  </si>
  <si>
    <t>PTSD_CleanupWorkersARS(acute radiation sickness)_RAVLT_B(ProactiveInterference)</t>
  </si>
  <si>
    <t>PTSD_CleanupWorkers_RAVLT_B(ProactiveInterference)</t>
  </si>
  <si>
    <t>PTSD_Evacuees_RAVLT_B(ProactiveInterference)</t>
  </si>
  <si>
    <t>PTSD_Veterans_RAVLT_B(ProactiveInterference)</t>
  </si>
  <si>
    <t>Control_RAVLT_B(ProactiveInterference)</t>
  </si>
  <si>
    <t>PTSD_CleanupWorkersARS(acute radiation sickness)_RAVLT_A6(short-term Memory)</t>
  </si>
  <si>
    <t>PTSD_CleanupWorkers_RAVLT_A6(short-term Memory)</t>
  </si>
  <si>
    <t>PTSD_Evacuees_RAVLT_A6(short-term Memory)</t>
  </si>
  <si>
    <t>PTSD_Veterans_RAVLT_A6(short-term Memory)</t>
  </si>
  <si>
    <t>Control_RAVLT_A6(short-term Memory)</t>
  </si>
  <si>
    <t>PTSD_CleanupWorkersARS(acute radiation sickness)_RAVLT_A5-A6(Retroactive interference)</t>
  </si>
  <si>
    <t>PTSD_CleanupWorkers_RAVLT_A5-A6(Retroactive interference)</t>
  </si>
  <si>
    <t>PTSD_Evacuees_RAVLT_A5-A6(Retroactive interference)</t>
  </si>
  <si>
    <t>PTSD_Veterans_RAVLT_A5-A6(Retroactive interference)</t>
  </si>
  <si>
    <t>Control_RAVLT_A5-A6(Retroactive interference)</t>
  </si>
  <si>
    <t>cleanup better then cleanupwithARS</t>
  </si>
  <si>
    <t>Evacuee-cleenup: p&lt;.001; vet-cleanup p&lt;.01; rest ns</t>
  </si>
  <si>
    <t>evacuees better then cleenupworkers; no diff between evacuees &amp; veterans; no diff between evacuees en cleanupARS; no diff between Veterans &amp; cleanupARS</t>
  </si>
  <si>
    <t>control group sig better then cleanup ars; cleanup; evacuees</t>
  </si>
  <si>
    <t>all p&lt;.001</t>
  </si>
  <si>
    <t>no diff between cleanupARS en cleanup</t>
  </si>
  <si>
    <t>evacues better then cleanup</t>
  </si>
  <si>
    <t>veterans sig better then cleanup workers; controls sig better then cleanupARS, cleanup and evacuees</t>
  </si>
  <si>
    <t>vet-cleanup: p&lt;.01; control - (cleanupARS, cleanup, evacuees) all p&lt;.001</t>
  </si>
  <si>
    <t>cleanup worse then cleanupARS</t>
  </si>
  <si>
    <t>evacuees better then cealup wrkers, &amp; veterans; no diff with cleenupARS; | controls better then evacuees, cleanupARS en cleanup</t>
  </si>
  <si>
    <t>evacuees-cleanup: p&lt;.001; veterans-evacuees: p&lt;.01; control - [evacuees, cleanupARS, cleanup]: all p&lt;.001</t>
  </si>
  <si>
    <t>no diff between cleanupARS &amp; cleanup</t>
  </si>
  <si>
    <t>no diff between cleanup/cleanupARS/evacuees</t>
  </si>
  <si>
    <t>Veterans better then cleanupARS, cleanup and evacuees; control only better then cleanupARS</t>
  </si>
  <si>
    <t>veteran-cleanupARS: p&lt;.001; veteran-cleanup: p&lt;.01; veteran-evacuees: p&lt;.01 | control-cleanupARS P&lt;.05</t>
  </si>
  <si>
    <t>auditory-verbal memorization, proactive verbal interference and short-term verbal memory worst in cleanupworkers. And best in control subjects | verbal retroactive interference worst in cleanup with ARS [&amp; best in ptsd veterans?]</t>
  </si>
  <si>
    <t>verbal memory (short &amp; long term)</t>
  </si>
  <si>
    <t>dark (reversed 12h light/dark cycle)</t>
  </si>
  <si>
    <t>Chernoyl cleanup, evacuees &amp; veterans</t>
  </si>
  <si>
    <t>Chernobyl radiation exposure (cleanup workers, met en zonder ARS; evacuees); deployment</t>
  </si>
  <si>
    <t>M (20) &amp; F (n=6+7+6+6  --&gt; in different stages oestrous cycle)</t>
  </si>
  <si>
    <t>M (20) &amp; F (n=7+7+6+8  --&gt; in different stages oestrous cycle)</t>
  </si>
  <si>
    <t>93 (53F; 40M)</t>
  </si>
  <si>
    <t>Predator scent stress (PSS) - 10min exposure well-soiled cat litter (2day used by cat)</t>
  </si>
  <si>
    <t>exposed to fresh, unused litter for 10min</t>
  </si>
  <si>
    <t>male &amp; female los bestudeerd (female in verschillende stage cyles)</t>
  </si>
  <si>
    <t>time in right quadrant; escape latency</t>
  </si>
  <si>
    <t>Moris Water Maze 7day after PSS (trauma): training  120s tijd om platform te vinden (mag 30s blijven) (1.8m diameter &amp; 0.6m high, water 26graden, 10cm square platform, 1cm lewo water) 4 trials per day, 4days (aquisition); extinction (day 5 platform removed); day 6-7 reversal phase (platform op tegenovergestelde plek)</t>
  </si>
  <si>
    <t>4 (m - f, baseline (=control) &amp; pss)</t>
  </si>
  <si>
    <t>PTSD_Female_%time in training quadrantDAY5_PSS</t>
  </si>
  <si>
    <t>Control_Female_%time in training quadrantDAY5_Baseline</t>
  </si>
  <si>
    <t>PTSD_male_%time in training quadrantDAY5_PSS</t>
  </si>
  <si>
    <t>Control_male_%time in training quadrantDAY5_Baseline</t>
  </si>
  <si>
    <t>exposed vs non-exposed (global effect) [&amp; daarna classificatie volgens CBC model na exposure to trauma (PSS) en reanalyse --&gt; Helaas niet voor spatial memory data..]</t>
  </si>
  <si>
    <t>wel cbc, maar spatial memory data alleen exposed vs non-expode vergeleken</t>
  </si>
  <si>
    <t>interaction pss &amp; gender; no main effect pss</t>
  </si>
  <si>
    <t>(main pss: F(1,36)=3,8, p=0.06) Interaction PSS*Gender F(1,36) = 8,2, p&lt;0.007</t>
  </si>
  <si>
    <t>male &amp; female learn task; after pss, males more impared then females (no effect of pss on female, wel effect on male)</t>
  </si>
  <si>
    <t>no effect on female, wel on male (meer statisc data in paper)</t>
  </si>
  <si>
    <t>PCL-M score above 50 [cutof waarmee, 71% true positive, 90% true negative)]</t>
  </si>
  <si>
    <t>military (active &amp; veterans)</t>
  </si>
  <si>
    <t>214 [inpatient (n=44) &amp; outpatient (n=170)]</t>
  </si>
  <si>
    <t>M&amp;F [total sample: 199M &amp; 15F]</t>
  </si>
  <si>
    <t>Green Word Memory Test (WMT)</t>
  </si>
  <si>
    <t>scoring via manual: cutoff for pass, fail &amp; caution</t>
  </si>
  <si>
    <t>inpatient (n=44) &amp; outpatient (n=170) [ echter no sig effect op resultaten in subgroup analysis (x2=(2,n=214)=3,29, ph=0.21, p=.19)]; [Comorbidity: 36% v sample ook mogelijk depressie; TBI n=122]</t>
  </si>
  <si>
    <t>total sample: 34,0 (niet per group gerapporteerd)</t>
  </si>
  <si>
    <t>total sample: 9,7 (niet per group gerapporteerd)</t>
  </si>
  <si>
    <t>verbal &amp; non verbal memory (niet apart gerapporteerd in paper)</t>
  </si>
  <si>
    <t>WMT is een malingering/ sympotom validitiy test ipv een memory test? [ dan geen cognitieve maat…] / in paper alleen % pass/fail/caution gerapporteerd.. Geen ruwe scores / memory subsets</t>
  </si>
  <si>
    <t>PCL-C (PTSD checklist civilian verion) (dimentionele analyses met scores en daarna analyses met cut-off (50) for clinically significant ptsd</t>
  </si>
  <si>
    <t>no control group; maar regressie analyses &amp; correlatie tusesn symptoms severity &amp; task performance... [veterans excluded bij history of head trauma, CNS disease, neuroleptic medication, alcohol substance abuse, psychotic or bipolar disorder (met SCID), history adhd, learning disability | wel depressie checklist in sample (en geen exclusie daarvoor)]: PCL-C sig voorspeller prospective memory performance (na controle voor leeftijd, retrospective memory (CVLT-II): (model: r2=.17; beta -.43, p&lt;=0.01) --- partial correlations: sig. prospective memory en avoidance (C) p=&lt;.01, Hyperarousal (D) p=&lt;.05, (reexperiencing p=.06)</t>
  </si>
  <si>
    <t>correlatie en regressi ipv control group… exclude?</t>
  </si>
  <si>
    <t>Combat Controles (vietnam)</t>
  </si>
  <si>
    <t>modified stroop task: 5 cards: control (XXXX), neurtral, ptsd, positive, ocd; name colour of the presented word</t>
  </si>
  <si>
    <t>time to complete a cards (in sec) - time to complete control card (s)   [ colour naming errors were rare en niet verschillend over groepen, daarom niet verder besproken]</t>
  </si>
  <si>
    <t>interference -- WM? Attention? Relection of sematic/episodic memory? [stroop task]</t>
  </si>
  <si>
    <t>geen memory, maar attention (bias) or WM? [stroop interference]</t>
  </si>
  <si>
    <t>geen memory, wel attention</t>
  </si>
  <si>
    <t>p.399: Patients, however, exhibited significantly greater interference for PTSD words than did control subjects, F(I, 55) = 27.65, p &lt; .01. -- Highlighted 27 Jul 2017</t>
  </si>
  <si>
    <t>PTSD diagnosis DSM-III-R</t>
  </si>
  <si>
    <t>Combat Controles (vietnam) - no ptsd using CAPS</t>
  </si>
  <si>
    <t>PTSD diagnosis DSM-III-R; ook mississippi scale for Combat-ralated postraumatic stress disorder en combat exposure scale afgenomen bij deelnemers</t>
  </si>
  <si>
    <t xml:space="preserve">task: vertel wanner je "cue word" hebt exhibited or displayed, zo snel maar specifiek mogelijk: [cue words (10 positive &amp; 10 negative cue words) - The experimental words were friendly (positive [P]), lazy (negative [N]), loyal (P), distrustful (N), happy (P), hostile (N), open-minded (P), selfish (N), honest (P), ashamed (N), intelligent (P), guilty (N), self-disciplined (P), cowardly (N), helpful (P), jealous (N), kind (P), rude(N), humorous (P), and cruel (N). ] 60s te tijd om te antwoorden {eerst 4 practice words: persistent, cautious, proud, thrifty.} </t>
  </si>
  <si>
    <r>
      <rPr>
        <b/>
        <sz val="12"/>
        <color rgb="FF000000"/>
        <rFont val="Calibri"/>
        <family val="2"/>
      </rPr>
      <t>latency:</t>
    </r>
    <r>
      <rPr>
        <sz val="12"/>
        <color rgb="FF000000"/>
        <rFont val="Calibri"/>
        <family val="2"/>
      </rPr>
      <t xml:space="preserve"> time to specific memory, bij general memory timer later lopen en aansporen om het specifiek te maken, als dat niet lukt binnen 60s --&gt; next word |specific memory was defined as a discrete episode, lasting no longer than a single day, that happened to the S | </t>
    </r>
    <r>
      <rPr>
        <b/>
        <sz val="12"/>
        <color rgb="FF000000"/>
        <rFont val="Calibri"/>
        <family val="2"/>
      </rPr>
      <t>specificity:</t>
    </r>
    <r>
      <rPr>
        <sz val="12"/>
        <color rgb="FF000000"/>
        <rFont val="Calibri"/>
        <family val="2"/>
      </rPr>
      <t xml:space="preserve"> classify first retrieved memory in terms of specificity (% specific memories)</t>
    </r>
  </si>
  <si>
    <t>PTSD_%firstMemorySpecific_total</t>
  </si>
  <si>
    <t>Control_%firstMemorySpecific_total</t>
  </si>
  <si>
    <t>Control_%firstMemorySpecific_NegativeCue</t>
  </si>
  <si>
    <t>PTSD_%firstMemorySpecific_NegativeCue</t>
  </si>
  <si>
    <t>PTSD_%firstMemorySpecific_PositiveCue</t>
  </si>
  <si>
    <t>Control_%firstMemorySpecific_PositiveCue</t>
  </si>
  <si>
    <t>PTSD zelfde % specific retrieval for negative &amp; positive</t>
  </si>
  <si>
    <t>control more specific memories for positive cues</t>
  </si>
  <si>
    <t>t(12)=3,61; p&lt;0.004</t>
  </si>
  <si>
    <t>ptsd group less specific then control to positive cues; maar geen verschil voor negative cues</t>
  </si>
  <si>
    <t>ptsd vs control (positive): t(30)=2,62; p&lt;0.01; ptsd vs control (negative): t(30)=1,26, p&lt;0.22</t>
  </si>
  <si>
    <t>PTSD less specifcic then controls</t>
  </si>
  <si>
    <t>F(1,30)=4,43, p&lt;0.04</t>
  </si>
  <si>
    <t>autobiografical memory (Retrieval) - verbal</t>
  </si>
  <si>
    <t>(niet gerapporteerd, niet af te lezen)</t>
  </si>
  <si>
    <t>PTSD_latencyTime(s)_meanNegativeTrials</t>
  </si>
  <si>
    <t>PTSD_latencyTime(s)_meanPositiveTrials</t>
  </si>
  <si>
    <t>Control_latencyTime(s)_meanNegativeTrials</t>
  </si>
  <si>
    <t>Control_latencyTime(s)_meanPositiveTrials</t>
  </si>
  <si>
    <t>sig. Age differnce between groups ptsd jonger (t(30)=2,94;p=0.006); means overgenomen uit tekst, SD berekend door grafiek aflezen for specificity data; latency data all uit grafiek afgelezen</t>
  </si>
  <si>
    <t>main effect group: F(1,30)=1,16, p&lt;0.29; no main effect cuetype (F(1,30)=1,29,p&lt;0.26); Group*Cue interaction (F(1,30)=6,74, p&lt;0.01)</t>
  </si>
  <si>
    <t xml:space="preserve">controls faster in retrieving postivice then negative </t>
  </si>
  <si>
    <t>t(12)=6,92, p&lt;0.001</t>
  </si>
  <si>
    <t>controls faster then ptsd (main effect); no effect cue type, wel interaction tussen group &amp; cue. Control marginaly faster in retreiving positive, then ptsd were (t(30)=2, p&lt;0.06); no diff between ptsd &amp; control in negative memories (t(30)=0.03, p&lt;0.98)</t>
  </si>
  <si>
    <t>ptsd no difference in latency to retrieve negative of positive memory</t>
  </si>
  <si>
    <t>t(18)=1,21; p=0.24</t>
  </si>
  <si>
    <t>2 (later ook nog een subanalyse waarbij ze de ptsd groep opgesplits hebben in regalia (n=7; medals, buttons, etc.) en non-regalia (n=19-7) --&gt; data nu niet in lijst opgenomen, maar hieruit blijkt dat de regalia group minder specifieke memories had en er langer over deed om een memory te retrieven..)</t>
  </si>
  <si>
    <t>autobiografisch geheugen, voeg regalia vs non-regalia subgroep analyse data nog in!</t>
  </si>
  <si>
    <t>0 (wel biotelemetry emitters implanted)</t>
  </si>
  <si>
    <t>exposed vs non exposed to shock (wel cue &amp; context exposure)</t>
  </si>
  <si>
    <t>28 days after shocks --&gt; exposure to cue reminder for 5min in home cage (=fluorescently green rabbit toy that was present in shocking cage)</t>
  </si>
  <si>
    <r>
      <t xml:space="preserve">3 experimenten (1 anxiety meten via social avoidance); </t>
    </r>
    <r>
      <rPr>
        <b/>
        <sz val="12"/>
        <color rgb="FF000000"/>
        <rFont val="Calibri"/>
        <family val="2"/>
      </rPr>
      <t>2 effect reminder cue meten (n=8 per group</t>
    </r>
    <r>
      <rPr>
        <sz val="12"/>
        <color rgb="FF000000"/>
        <rFont val="Calibri"/>
        <family val="2"/>
      </rPr>
      <t>); 3 checken of effect reminder cue specifiek voor die cue is). Alle animals maar in 1 experiment gebruikt.</t>
    </r>
  </si>
  <si>
    <t>2 (net iets andere taak ook)</t>
  </si>
  <si>
    <t>shocks in early hours of the dark (active) period (11-13h); [animals on reversed light cycle of 12h, lights off at 10h]</t>
  </si>
  <si>
    <t>single footshock (0,8 or 3 mA): 2 shock trains of 1s were administred per minute for 5 min (dus ieder subject received 10 shocks); iedere shock train was 1s lang en consisted of 0.01s shocks, met 0.02s long breaks. - during shocks fluorescently green rabbit toy in the shocking cage (=cue reminder) [reminder test 28 dagen later]</t>
  </si>
  <si>
    <t>exposure to shock context, but no shock (0mA) voor 5min</t>
  </si>
  <si>
    <t>PTSD_Reglia_%Specific_Negative</t>
  </si>
  <si>
    <t>PTSD_NonReglia_%Specific_Negative</t>
  </si>
  <si>
    <t>PTSD_NonReglia_%Specific_Positive</t>
  </si>
  <si>
    <t>PTSD_Reglia_%Specific_Positive</t>
  </si>
  <si>
    <t>PTSD_Regalia_Latency(s)_Negative</t>
  </si>
  <si>
    <t>PTSD_NonRegalia_Latency(s)_Negative</t>
  </si>
  <si>
    <t>PTSD_Regalia_Latency(s)_Positive</t>
  </si>
  <si>
    <t>PTSD_NonRegalia_Latency(s)_Positive</t>
  </si>
  <si>
    <t>F(1,17)=5,95, p&lt;0.03</t>
  </si>
  <si>
    <t>Regalia took longer to retrieve a specific memory (both negative &amp; positive) then non-regalia; [ non-regalia trager dan control (f(1,18)=13,10, p&lt;0.002) --&gt; control sneller bij positive cues (t(12)=6,92, p&lt;0.001), no diff voor regalia PTSD (t(6)=0.50, p=0.63)</t>
  </si>
  <si>
    <t>F(1,17)=6,34, p&lt;0,02</t>
  </si>
  <si>
    <t>regalia minder specifieke memoeries dan non-regalia ptsd; (geen verschil in pos, neg --&gt; (p&lt;0.05)); control more specific dan regalia (F(1,18)=15,36, p&lt;0.001), maar geen verschil met non-regalia (F(1,23)&lt;1, ns)</t>
  </si>
  <si>
    <t>PTSD less specific memorys then control (for positive, maar geen verscihl for negative cues) &amp; langzamer dan control (control vooral sneller in positive cues); effect sterkste voor ptsd met regalia</t>
  </si>
  <si>
    <t>single footshock (3 mA): 2 shock trains of 1s were administred per minute for 5 min (dus ieder subject received 10 shocks); iedere shock train was 1s lang en consisted of 0.01s shocks, met 0.02s long breaks. - during shocks fluorescently green rabbit toy in the shocking cage (=cue reminder) [reminder test 28 dagen later (in combi met unfamiliar red rubber ball) - diameter beide 10cm]</t>
  </si>
  <si>
    <t>1 (footshock, maar 10x &amp; longterm follow up, 28day)</t>
  </si>
  <si>
    <t>28 days after shocks --&gt; exposure to cue reminder for 5min in home cage (=fluorescently green rabbit toy that was present in shocking cage) OR an unfamiliar red rubber ball in home cage. Beide objects diameter 10cm</t>
  </si>
  <si>
    <t>behaviour during cue exposure recorded: exploration, self care, manipulating the object [ sniffing, biting, rolling], freezing, burying (cover object in sawdust, 10cm object onder 3cm bedding in 4/5 min in most cases)</t>
  </si>
  <si>
    <t>1? (ook social avoidance data, not yet extracted)</t>
  </si>
  <si>
    <t>3 (0mA, 0,8mA, 3mA)</t>
  </si>
  <si>
    <t>2 (0mA, 3mA)</t>
  </si>
  <si>
    <t>PTSD_0.8mA_%timeObjectManipulation</t>
  </si>
  <si>
    <t>PTSD_3mA_%timeObjectManipulation</t>
  </si>
  <si>
    <t>PTSD_0.8mA_%timeObjectBurying</t>
  </si>
  <si>
    <t>PTSD_3mA_%timeObjectBurying</t>
  </si>
  <si>
    <t>Control_0.0mA_%timeObjectManipulation</t>
  </si>
  <si>
    <t>Control_0.0mA_%timeObjectBurying</t>
  </si>
  <si>
    <t xml:space="preserve">ptsd_3mA minder object manipulation then 0.8mA &amp; control </t>
  </si>
  <si>
    <t>H(2,n=24)=41,88, p=0.0001</t>
  </si>
  <si>
    <t>H(2,n=24)=13,42, p=0.012</t>
  </si>
  <si>
    <t>Control more object manipulation, only ptsd burying object (3mA sterkst) &amp; minder manipulation</t>
  </si>
  <si>
    <t>shocked rats spend more time burying object (strongest in 3mA group, sig. In 0.8 &amp; 3mA group)</t>
  </si>
  <si>
    <t>PTSD_3mA_ShockAssociated_ObjectManipulation</t>
  </si>
  <si>
    <t>PTSD_3mA_Unfamiliar_ObjectManipulation</t>
  </si>
  <si>
    <t>Control_ShockAssociated_ObjectManipulation</t>
  </si>
  <si>
    <t>Control_Unfamiliar_ObjectManipulation</t>
  </si>
  <si>
    <t>PTSD_3mA_ShockAssociated_ObjectBurying</t>
  </si>
  <si>
    <t>PTSD_3mA_Unfamiliar_ObjectBurying</t>
  </si>
  <si>
    <t>Control_ShockAssociated_ObjectBurying</t>
  </si>
  <si>
    <t>Control_Unfamiliar_ObjectBurying</t>
  </si>
  <si>
    <t>kleur codering voor control shock &amp; unfamiliar in graph komt niet overeen met grafiek… nu geinterpreteerd en in database opgenomen op basis van volgorde</t>
  </si>
  <si>
    <t>shocked animals sig different (minder object manipulation, meer object burying (voor beide type objecten) dan control</t>
  </si>
  <si>
    <t>Object manipulation: F(shock exposure(1,24))=70,69; p&lt;0.0001 ||| Object Burying: F(shock exposure (1,24)=56,21; p&lt;0.0001) [No invloed type object &amp; no interaction: Manipulation (F(object(1,24)=0.3, p&lt;0.6); (F(interaction(1,24)=1,35; p&lt;0.3); Burying: (F(object(1,24)=0,62, p&lt;0.5); (F(interactoin(1,24)=0,47; p&lt;0.5)]</t>
  </si>
  <si>
    <t>rats show general response, not specific (geen aanwijzingen voor herinnering aan 'trauma object' --&gt; echter wel general minder manipulatie van objecten en meer burying van objecten (both familiar (=traumaobject) &amp; unfamiliar)</t>
  </si>
  <si>
    <t>2 (+1 active servise member)</t>
  </si>
  <si>
    <t>gekeken naar symptom validity &amp; correlatie tussen morel emotional numbing test (for ptsd) en word memory test in neurological evaluations --&gt; geen ptsd specifc sample &amp; control group comparison [ 32 van de 37 memory complains; 8 daarvan ptsd complains; total sample = n=37]</t>
  </si>
  <si>
    <t>MENT symptom validity test voor PTSD; WMT symptom validity test voor memory</t>
  </si>
  <si>
    <t>boven 50 op PTSD checklist-Military version (PCL-M)</t>
  </si>
  <si>
    <t xml:space="preserve">Veterans </t>
  </si>
  <si>
    <t>Deployment of geen specifieke uitzending of vredesmissie</t>
  </si>
  <si>
    <t>Combat Controles; score onder 50 op PCL-M &amp; geen antidepressant gebruik (want serotonergic invloed)</t>
  </si>
  <si>
    <t>2 (ptsd &amp; control)</t>
  </si>
  <si>
    <t>F(1,65)=5,75, p=0.019</t>
  </si>
  <si>
    <t>PTSD_totalPoints</t>
  </si>
  <si>
    <t>Control_totalPoints</t>
  </si>
  <si>
    <t>reward &amp; punishment (associative?) learning</t>
  </si>
  <si>
    <t xml:space="preserve">Probabilistic classification task (20min): 4 stimuli per participant (S1,S2,S3,S4), participants has to classify them in category A or B (S1&amp;S3 horen bij A in 80%vd trials en tot B in 20% vd trials; S2 &amp; S4 horen tot B in 80% van de trials en 20% vd trials bij A); S1 &amp;S2 reward (dus bij goed gain van 25points, bij fout geen feedback) en S3 en S4 punishment (dus bij fout aftrek van 25 punten, bij goed geen feedback); totaal 160 trials, in blocks van 10 trials (8 common strategie 2 uncommon); 80 punishment en 80 reward trials; start totaal 500 punten; </t>
  </si>
  <si>
    <t xml:space="preserve">totaal aantal punten; optimale categorisatie gebruikt? (= common strategie, onafhankelijk van outcome trial), per categorie (reward &amp; punishment); solver (=optimale strategie in 65% of meer vd reward of punishment trials [is sig better then change]) vs non-solver; </t>
  </si>
  <si>
    <t>PTSD_%OptimalPerformance_RewardTrials</t>
  </si>
  <si>
    <t>Control_%OptimalPerformance_RewardTrials</t>
  </si>
  <si>
    <t>PTSD_%OptimalPerformance_PunishmentTrials</t>
  </si>
  <si>
    <t>Control_%OptimalPerformance_PunishmentTrials</t>
  </si>
  <si>
    <t>PTSS group sig better then control, on reward trials</t>
  </si>
  <si>
    <t>(F(1,65)=6,43, p=0.014</t>
  </si>
  <si>
    <t>no diff between control &amp; ptsd on punishment trials</t>
  </si>
  <si>
    <t>general (&amp; punishment &amp;reward samen in in 1 analyse:  sample better on punishment trials( F(1,65)=8,07, p=0.006), main effect ptsd (F(1,65)=6,52, p=0.013), interaction ptsd*trialtype (F(1,65)=3,66, p=0.060)</t>
  </si>
  <si>
    <t>in general participant perform better on punishment then on reward trials ; main effect ptsd &amp; interaction trial type - ptsd bijna sig</t>
  </si>
  <si>
    <t>ns [ &gt;p0.1]</t>
  </si>
  <si>
    <t xml:space="preserve">PTSD overall better then control group (better associative learning?); </t>
  </si>
  <si>
    <t>better associative learning in ptsd then in control?; specifiek on reward trials, geen verschil tussen controle en ptsd on punishment trials [ general participants beter on punishment then reward trails]</t>
  </si>
  <si>
    <t>ook computer model data in paper (log likelihood --&gt; 'lear variabele berekenen en voorspellen' … data model niet included..)</t>
  </si>
  <si>
    <t>Impact of Event Scale (IES), score groter gelijk aan 35 (=grote kans op ptsd)</t>
  </si>
  <si>
    <t>ICU patients (medical, surgical &amp; trauma)</t>
  </si>
  <si>
    <t>memories van admission &amp; stay ICU zijn gemeten met een vragenlijst; PTSD symptoms ook gemeten met vragenlijst --&gt; dus geen cognitive BEHAVIOUR! --&gt; exclude?</t>
  </si>
  <si>
    <t>longidudinale study: 1 jaar na ICU followup, classificaties in recovering, resilience, persisten symptoms en delayed symptoms</t>
  </si>
  <si>
    <t>zelfde vragenlijsten als andere artikel Myhren (2010) --&gt; dus ook geen cognitive behaviour test, maar een ICU memory vragenlijst (herinneringen over verblijf en opname op ICU), Impact of event scale als maat voor PTSD (IES); ook geen directe comparisson met PTSD symptom level</t>
  </si>
  <si>
    <r>
      <t xml:space="preserve">3 experimenten (1 anxiety meten via social avoidance); 2 effect reminder cue meten (n=8 per group); </t>
    </r>
    <r>
      <rPr>
        <b/>
        <sz val="12"/>
        <color theme="0" tint="-0.499984740745262"/>
        <rFont val="Calibri"/>
        <family val="2"/>
      </rPr>
      <t>3 checken of effect reminder cue specifiek voor die cue is)</t>
    </r>
    <r>
      <rPr>
        <sz val="12"/>
        <color theme="0" tint="-0.499984740745262"/>
        <rFont val="Calibri"/>
        <family val="2"/>
      </rPr>
      <t>. Alle animals maar in 1 experiment gebruikt.</t>
    </r>
  </si>
  <si>
    <t>3 (ICU patients &amp; relatives)</t>
  </si>
  <si>
    <t>3 (ICU patients)</t>
  </si>
  <si>
    <t>mtbi alleen geen effect op cognitive performance, in combi met as1 problemen wel (comorbide met as1 problemen ook)..</t>
  </si>
  <si>
    <t>Control vergeleken met MTBI, As1, MTBI+AS1 groupen.. In as 1 zit PTSD &amp; andere problematiek bij elkaar (depressie, alcohol afhankelijkheid, paniek stoornis, dysthyme stoornis, GAD, aanpassinsstoornis, OCD, etc) --&gt; er is dus geen specifieke data van alleen ptsd group of invloed van ptsd op cognitive performance. Brede neuropsychologische testbatterij afgenomen (intellectual ability, wm, verbal fluency, visual-spatial funciton ,exectutive function, visual &amp; verbal memory), daarna een overal cognitive perfromance score berekend maar data losse testen per group wel beschikbaar!</t>
  </si>
  <si>
    <t>SCID om andere stoornissen uit te sluiten; CAPS om ptsd vast te stellen</t>
  </si>
  <si>
    <t>Combat Controles (vietnam) [mean caps: 6.4 (sd=7,2)]</t>
  </si>
  <si>
    <t>Vietnam Deployment [ mean caps was 64,7 (sd=11,7)]</t>
  </si>
  <si>
    <t>PTSD_CVLT_ListA_Trial1+#correct</t>
  </si>
  <si>
    <t>PTSD_CVLT_ListA_Trial5+#correct</t>
  </si>
  <si>
    <t>PTSD_CVLT_TotalRecall</t>
  </si>
  <si>
    <t>PTSD_CVLT_ListB_InterferenceList</t>
  </si>
  <si>
    <t>learning/Immediate memory ((non verbal)</t>
  </si>
  <si>
    <t>learning/Immediate memory ((verbal)</t>
  </si>
  <si>
    <t>Verbal Memory: California Verbal-learning Test (CVLT)</t>
  </si>
  <si>
    <t>Visual memory: Wechsler Memory Scale-III (WMS-III) &amp; Benton Visual From Discrimination (BVFD)</t>
  </si>
  <si>
    <t xml:space="preserve">CVLT List A Trial 1 # correct ; CVLT List A Trial 5 # correct ; CVLT total recall ; CVLT List B interference list </t>
  </si>
  <si>
    <t>WMS-III: Faces I ; WMS-III: Family pictures I ; BVFD: Form G—memory</t>
  </si>
  <si>
    <t>delayed recall and recognition (verbal)</t>
  </si>
  <si>
    <t>delayed recall and recognition (visual)</t>
  </si>
  <si>
    <t xml:space="preserve">Visual memory: Wechsler Memory Scale-III (WMS-III) </t>
  </si>
  <si>
    <t>CVLT short delay free recall ; CVLT long delay free recall ; CVLT intrusions; CVLT discriminability</t>
  </si>
  <si>
    <t>WMS-III: Faces II  ; WMS-III: Family pictures II</t>
  </si>
  <si>
    <t>PTSD_WMS-III_FamilyPictures_I</t>
  </si>
  <si>
    <t>PTSD_WMS-III_Faces_I</t>
  </si>
  <si>
    <t>PTSD_BVFD_FormG-Memory</t>
  </si>
  <si>
    <t>Control_CVLT_TotalRecall</t>
  </si>
  <si>
    <t>Control_BVFD_FormG-Memory</t>
  </si>
  <si>
    <t>Control_CVLT_ListB_InterferenceList</t>
  </si>
  <si>
    <t>Control_CVLT_ListA_Trial5+#correct</t>
  </si>
  <si>
    <t>Control_WMS-III_FamilyPictures_I</t>
  </si>
  <si>
    <t>Control_CVLT_ListA_Trial1+#correct</t>
  </si>
  <si>
    <t>Control_WMS-III_Faces_I</t>
  </si>
  <si>
    <t>PTSD_CVLT_ShortDelayFreeRecall</t>
  </si>
  <si>
    <t>PTSD_CVLT_LongDelayFreeRecall</t>
  </si>
  <si>
    <t>PTSD_CVLT_Intrusions</t>
  </si>
  <si>
    <t>PTSD_CVLT_Discriminability</t>
  </si>
  <si>
    <t>PTSD_WMS-III_Faces_II</t>
  </si>
  <si>
    <t>PTSD_WMS-III_FamilyPictures_II</t>
  </si>
  <si>
    <t>Control_CVLT_LongDelayFreeRecall</t>
  </si>
  <si>
    <t>Control_WMS-III_FamilyPictures_II</t>
  </si>
  <si>
    <t>Control_CVLT_Intrusions</t>
  </si>
  <si>
    <t>Control_CVLT_Discriminability</t>
  </si>
  <si>
    <t>Control_CVLT_ShortDelayFreeRecall</t>
  </si>
  <si>
    <t>Control_WMS-III_Faces_II</t>
  </si>
  <si>
    <t>data uit table, dus niet hoeven aflezen</t>
  </si>
  <si>
    <t>t(2,45)=-1,2; ns; d=-0,34</t>
  </si>
  <si>
    <t>t(2,45)=1,4; ns; d=0.44</t>
  </si>
  <si>
    <t>t(2,45)&lt;1; NS; d=0</t>
  </si>
  <si>
    <t>t(2,45)&lt;1; NS; d=-0.03</t>
  </si>
  <si>
    <t>t(2,45)&lt;1; NS; d=-0.1</t>
  </si>
  <si>
    <t>t(2,45)&lt;1; NS; d=-0.08</t>
  </si>
  <si>
    <t>t(2,45)&lt;1; NS; d=0.03</t>
  </si>
  <si>
    <t>t(2,45)&lt;1; NS; d=0,15</t>
  </si>
  <si>
    <t>t(2,45)&lt;1; NS; d=0,21</t>
  </si>
  <si>
    <t>t(2,45)&lt;1; NS; d=-0.04</t>
  </si>
  <si>
    <t>t(2,45)&lt;1; NS; d=-0.16</t>
  </si>
  <si>
    <t>t(2,45)&lt;1; NS; d=0,23</t>
  </si>
  <si>
    <t>t(2,45)&lt;1; NS; d=-0.05</t>
  </si>
  <si>
    <t>geen verschil in verbal learning (NS &amp; meeste effect sizes onder 0.3)</t>
  </si>
  <si>
    <t>geen verschil in verbal memory (NS &amp; meeste effect sizes onder 0.3)</t>
  </si>
  <si>
    <t>geen verschil in non-verbal learning (NS &amp; meeste effect sizes onder 0.3)</t>
  </si>
  <si>
    <t>geen verschil in non-verbal memory (NS &amp; meeste effect sizes onder 0.3)</t>
  </si>
  <si>
    <t>1 [data not yet extracted]</t>
  </si>
  <si>
    <t>NB! de PTSD group zijn veteranen waarbij eerder is vastgesteld dat ze een verlaagde consentratie hippocampal neuronal marker N-acetyl aspartate (NAA) hebben, maar een normaal hippocampal volume (vergeleken met combat controls); echter geen correlatie tussen NAA en cog. performance gevonden</t>
  </si>
  <si>
    <t>CAPS score (continue)</t>
  </si>
  <si>
    <t>sample onderverdeelt in mtbi en non-mtbi group… ook ptsd measure afgenomen (Caps) in mtbi group meer mensen met ptsd (niet sig.. p=.054).. Echter geen relatie tussen ptsd en performance on autobiografical memory for blast event (=de cog. Memory task in deze studie) bestudeerd.. ook geen non-ptsd controle group.... exclude?</t>
  </si>
  <si>
    <t>Single-Prolonged Stress (SPS) [Rats were restrained 2h + 20min forced swim  + [15min rest] + ether anesthesia (until loss of consciousness (2-3min))</t>
  </si>
  <si>
    <t>[not reported]</t>
  </si>
  <si>
    <t>no sps, no exercise (wel 2 weken exposure aan exercise ruimte, zodat vergelijking met exercise only en sps+exercise groupen mogelijk zijn)</t>
  </si>
  <si>
    <t>2 (4 in total paper; invloed van 14day exersice tussen sps en behavioral experiments onderzocht)</t>
  </si>
  <si>
    <t>? [12h light, 12h dark cycle; lights on at 0600h]</t>
  </si>
  <si>
    <t>An error was counted when the rat entered more than halfway into an arm other than the goal arm or if the rat entered more than half of the goal arm but failed to approach the platform. Number of errors ranged from 1 to 7, as the rat can only swim into a total of 7 arms within 1 min. [learning; short &amp; long-term24h memory test]</t>
  </si>
  <si>
    <t>spatial learning &amp; memory (short 30min &amp; long 24h)</t>
  </si>
  <si>
    <t>Radial Arm Water Maze (RAWM) 14days after SRS: The RAWM consisted of a black circular pool filled with water at 25 °C containing six swim paths in a dimly lit room. Each rat was ran- domly assigned a goal arm which contains a hidden black platform near the end of the arm. The rats were randomly released at an arm different from the goal arm, allowed to swim and locate the platform which is submerged 1 cm under water. The rats were allowed 1 min for each learning trial or memory test | If the rat failed to locate the platform within 1 min, it was manually guided to the platform and scored with 7 errors. Upon reaching the platform, the rat was allowed 15 second rest before the next trial began. | Each rat was subjected to a set of six learning trials (trials # 1–6) followed by a 5 min rest period and then another set of six learning trials (trials # 7–12). | The short-term memory test was conducted 30 min after the end of 12th trial. This was followed by the long-term memory test which was given 24 h later.</t>
  </si>
  <si>
    <t>PTSD_SPS_Short30min_#errors</t>
  </si>
  <si>
    <t>Control_SPS_Short30min_#errors</t>
  </si>
  <si>
    <t>PTSD_SPS_Long24h_#errors</t>
  </si>
  <si>
    <t>Control_SPS_long24h_#errors</t>
  </si>
  <si>
    <t>ptsd more errors --&gt; less short term spatial memory</t>
  </si>
  <si>
    <t>ptsd more errors then control = less long term spatial memory</t>
  </si>
  <si>
    <t>ptsd less long en short term spatial memory</t>
  </si>
  <si>
    <t>ptsd slechter spatial memory short en long term, meer dan 14day na trauma</t>
  </si>
  <si>
    <t>ook angst en depressie maten afgenomen</t>
  </si>
  <si>
    <t>alleen singled housed data geincludeerd (ook paired = social support) beschikbaar (no effect on memory)</t>
  </si>
  <si>
    <t>? [12h light/dark cycle]</t>
  </si>
  <si>
    <t>Sprague-Dawley rats (=control of intruder; hierbij zijn de taken gedaan) [Male long-evans rats = resident agressors]</t>
  </si>
  <si>
    <t>1 (witness niet besproken)</t>
  </si>
  <si>
    <t>1 (ook witness model)</t>
  </si>
  <si>
    <t>single en paired housing groups --&gt; om effect van social support te bekijken. Niet de vraag in dit reveiw, dus alleen single housed data gebruikt (beide groupen voor SD samen gehoused, in single housing daarna appart, in group weer terug bij elkaar na SD)</t>
  </si>
  <si>
    <t>non exposed to SD, wel to setting zonder resident. SD-CON in nieuwe kooi en TW-CON in de ruimte er om heen voor 30min gedurende 7dagen</t>
  </si>
  <si>
    <t>2 (4 in total paper. SD, SD control, TW &amp; TW-control</t>
  </si>
  <si>
    <t>Radial Arm Water Maze (RAWM) - Day19&amp;20 = 5-6 dagen na tauma: The rats were subjected to the first set of six learning trials (trials # 1–6) followed by a 5 min rest period and then a second set of six learning trials (trials # 7–12). ShortTM was assessed by repeating the six trials a third time 30 min after the end of 12th trial. LongTM was assessed by returning the rats to their home cages and then repeating the six trials a fourth time 24 h after the end of the 12th trial.</t>
  </si>
  <si>
    <t>SD groups [7day's social defeat stress (large Long evans male = resident; smaller sprague-dawley male = intruder) | na defeat, perforated plexiglas tussen resident en intruder for 10min (wel visual, auditory, olfactory interaction, geen injury) --&gt; gemodificeerd in Trauma Witness Model (TWM): trauma witnessing (TW) rat (cage mate intruder) in enclosure surrounding the cage (3 sessies van defeat met 5min interval) [ook 7 dagen]}</t>
  </si>
  <si>
    <t>TW groups [7day's social defeat stress (large Long evans male = resident; smaller sprague-dawley male = intruder) | na defeat, perforated plexiglas tussen resident en intruder for 10min (wel visual, auditory, olfactory interaction, geen injury) --&gt; gemodificeerd in Trauma Witness Model (TWM): trauma witnessing (TW) rat (cage mate intruder) in enclosure surrounding the cage (3 sessies van defeat met 5min interval) [ook 7 dagen]]</t>
  </si>
  <si>
    <t>2 (wel samen in SD-TW model, hier data SD rat's)</t>
  </si>
  <si>
    <t>2 (wel samen in SD-TW model, hier data TW rat's)</t>
  </si>
  <si>
    <t># of errors on short &amp; long term memory</t>
  </si>
  <si>
    <t>PTSD_SD_Short30min_#errors</t>
  </si>
  <si>
    <t>PTSD_TW_Short30min_#errors</t>
  </si>
  <si>
    <t>Control_SD_Short30min_#errors</t>
  </si>
  <si>
    <t>Control_TW_Short30min_#errors</t>
  </si>
  <si>
    <t>PTSD_SD_Long24h_#errors</t>
  </si>
  <si>
    <t>PTSD_TW_Long24h_#errors</t>
  </si>
  <si>
    <t>Control_SD_Long24h_#errors</t>
  </si>
  <si>
    <t>Control_TW_Long24h_#errors</t>
  </si>
  <si>
    <t>ptsd tw more errors then control tw in long term memory</t>
  </si>
  <si>
    <t>ptsd sd more errors then control sd in longterm memory</t>
  </si>
  <si>
    <t>Overal statistics (SD &amp; TW groups samen (zowel single als pair housed, per memory type): Short term memory: Animal group effect:   F=0,33, p=0,80 (NS),    Housing effect:  F=0,84, p=0,36 (NS)   Interaction:  NS  | long term memory: Animal group effect: F=7,79, p&lt;0.001       Housing effect: F=0,15, p=0.70 (NS)    Interaction: NS</t>
  </si>
  <si>
    <t>only effect of stressors on long term memory</t>
  </si>
  <si>
    <t>no diff between stressed en control</t>
  </si>
  <si>
    <t>no dif in short term memory, SD more errors on long term memory (24h)</t>
  </si>
  <si>
    <t>no dif in short term memory, TW more errors on long term memory (24h)</t>
  </si>
  <si>
    <t>9-week old (at start experiment)</t>
  </si>
  <si>
    <t>OF1 Mice</t>
  </si>
  <si>
    <t>1? (staat niet beschreven, maar rat is een predator voor muis(volgens autheurs), en pss staat er wel in)</t>
  </si>
  <si>
    <t>? 12:12 light/dark cyle (light on at 7:00 a.m.)</t>
  </si>
  <si>
    <t>14-15 day after threat (2h after context reexposure als dat aanwezig was): Object recognition task (ORT): p.69: During a first session, mice were allowed to become familiar with the experimental environment for 7 min and the time spent in activity was measured. Twenty-four hours later, mice were again placed in the enclosure in the presence of two identical objects until they reached 15 s of object exploration (acquisition session).  -- Highlighted 02 Aug 2017 | After a 60-min interval, mice were placed again in the enclosure with a previously presented familiar object and a new one for 5 min (retrieval session) = short term memory test</t>
  </si>
  <si>
    <t>object recognition memory (?) - episodic wordt gezegd in philbert et al (2015)</t>
  </si>
  <si>
    <t>object recognition memory - episodic wordt gezegd in philbert et al (2015)</t>
  </si>
  <si>
    <t>4 (control(only ORT); context control (exposure to MDTB apparaat zonder rat); MDTB (rat); MDTB + reexposure</t>
  </si>
  <si>
    <t>mouse defense test battery (exposure to Male long-evans rats): [The test consists of six different phases: 1) Pre-test: Mice were placed into the apparatus for a 3-min familiarization period, in which line crossings and escape attempts were recorded. 2) Rat avoidance test: After this period, a handheld rat was introduced at the opposite end of the apparatus and brought up to the subject. If the mouse fled, avoidance distance was recorded. 3) Chase-flight test: The handheld rat was brought up to the subject. Chase was initiated only when the subject was at a standstill and completed when the subject had traveled a distance of 15 m. During the chase, the number of stops (pause in movement) was recorded. 4) Straight alley: By the closing of two doors (60 cm from each other), the runway was then converted to a straight alley in which the subject was constrained. The rat was introduced in one end of the straight alley. For 30 s, the number of approaches and withdrawals (subject had to move more than 20 cm forward from the closed door, then return to it) was recorded. 5) Forced contact: The experimenter brought the rat up to contact the subject in the straight alley. For each such contact, upright postures and bites by the subjects were noted. 6) Post-test: Immediately after the forced contact test, the rat was removed and the door opened. Line crossings and escape attempts including wall rears, wall climbs, and jump escapes were recorded during a 3-min session. ] + 2 weeks later reexposure to runway (=threat context) zonder rat (=threat) - 3min</t>
  </si>
  <si>
    <t>2 control groups: not exposed to appartaat or rat &amp; exposed to appartaat maar non to rat</t>
  </si>
  <si>
    <t>exposed to rat vs non-exposed to rat</t>
  </si>
  <si>
    <t>7-8 per group (2x control group)</t>
  </si>
  <si>
    <t>7-8 per group (2 maar stressed group)</t>
  </si>
  <si>
    <t>4*(7,5) = 30 ong</t>
  </si>
  <si>
    <t xml:space="preserve">short - episodic memory (ORT) </t>
  </si>
  <si>
    <t>PTSD_ContextReexposure_Ratio(New/New+Familiar)</t>
  </si>
  <si>
    <t>PTSD_NoContextReexposure_Ratio(New/New+Familiar)</t>
  </si>
  <si>
    <t>Control_ContextExposure_Ratio(New/New+Familiar)</t>
  </si>
  <si>
    <t>Control_NoContextExposure_Ratio(New/New+Familiar)</t>
  </si>
  <si>
    <t>ptsd reexposure mice sig more exploration in s on new object compared to familiar</t>
  </si>
  <si>
    <t>PTSD_ContextREexposure_ObjectExploration(s)_New</t>
  </si>
  <si>
    <t>PTSD_ContextREexposure_ObjectExploration(s)_Familiar</t>
  </si>
  <si>
    <r>
      <t>exploration of an object was defined as pointing the nose to the object at a distance of less than 2 cm and/or touching it with the nose. | p.69: e following parameters were analyzed: (a) locomotor activity during habituation session; (b) the time to reach 15 s of exploration of the 2 identical objects in the acquisition session</t>
    </r>
    <r>
      <rPr>
        <b/>
        <sz val="12"/>
        <color rgb="FF000000"/>
        <rFont val="Calibri"/>
        <family val="2"/>
      </rPr>
      <t>; (c) the time of exploration of each object during retrieval session (=5min); (d) the total time of exploration (sum of both objects exploration times) and (e) the ratio of the time exploring the new object of the total time of exploratio</t>
    </r>
    <r>
      <rPr>
        <sz val="12"/>
        <color rgb="FF000000"/>
        <rFont val="Calibri"/>
        <family val="2"/>
      </rPr>
      <t>n -- Highlighted 02 Aug 2017</t>
    </r>
  </si>
  <si>
    <t>PTSD_NoContextREexposure_ObjectExploration(s)_Familiar</t>
  </si>
  <si>
    <t>PTSD_NoContextREexposure_ObjectExploration(s)_New</t>
  </si>
  <si>
    <t>Control_ContextExposure_ObjectExploration(s)_Familiar</t>
  </si>
  <si>
    <t>Control_ContextExposure_ObjectExploration(s)_New</t>
  </si>
  <si>
    <t>Control_NoContextExposure_ObjectExploration(s)_Familiar</t>
  </si>
  <si>
    <t>Control_NoContextExposure_ObjectExploration(s)_New</t>
  </si>
  <si>
    <t xml:space="preserve">no difference between exploration of new &amp; familiar in ptsd nonreexposed </t>
  </si>
  <si>
    <t>more time on new object then on familiar object</t>
  </si>
  <si>
    <t>ptsd+reexposure scoort boven kans level (=sig more time on new object), ptsd zonder reexposure is niet anders dan kanslevel (= no sig diff from 0.5)</t>
  </si>
  <si>
    <t>beide control groupen beter dan kanslevel (=more time on new object)</t>
  </si>
  <si>
    <t>F(1,25)=18,210, p = 0.0002</t>
  </si>
  <si>
    <t>F(1,25)=0,162, p=0,6903 NS</t>
  </si>
  <si>
    <t>F(1,25)= 20,478, p=0.0001</t>
  </si>
  <si>
    <t>ControlNoExposure: t=3,165, p=0.0249 (diff van ratio 0.5) | controlExposure: t=5,351 p=0,0011 (diff van ratio 0.5)</t>
  </si>
  <si>
    <t>ptsd+reexposure: t=3,901; p=0.0059 (dif van ratio 0.5), ptsd-reexposure NS</t>
  </si>
  <si>
    <t>F(1,25)=14,812; p=0.0007</t>
  </si>
  <si>
    <t>PTSD zonder reexposure onderscheiden new &amp; familiar objects niet; alle andere groupen (control, control+exposure to context; ptsd+reexposure) wel</t>
  </si>
  <si>
    <t>2 control groups &amp; 2 ptsd groups (met en zonder context (re)exposure, geen verschil tussen controle groupen, wel tussen ptsd groupen: ptsd met reexposure presteerd zoals controles)</t>
  </si>
  <si>
    <t>1 (p.416: Control animals received vehicle administration, i.e. saline with methylcellulose (0.6%) and Tween 80 (0.1%). -- Highlighted 05 Aug 2017_</t>
  </si>
  <si>
    <t>2 footshocks (2s, 0.5mA - 6s apart) + 2weken later reexposure to shock context</t>
  </si>
  <si>
    <t>exposed to shock context, but no shock deleverd</t>
  </si>
  <si>
    <t>? [12:12 light/dark cycle, lights on at 7am]; not reported for shock</t>
  </si>
  <si>
    <t>control group saline injected; 4 experimenten.. Alleen exp3 = gedrag (rest HPA measures/interventies)</t>
  </si>
  <si>
    <t>object recogntion (day 14/15 after shock): injections 1h before session 2 (acquisition) | ORT: 7min habituatie, 24h later acquisition, 60min later, retrieval session (5min)</t>
  </si>
  <si>
    <r>
      <t>Exploration of an object was de</t>
    </r>
    <r>
      <rPr>
        <sz val="8"/>
        <color theme="1"/>
        <rFont val="AdvTT5235d5a9+fb"/>
      </rPr>
      <t>fi</t>
    </r>
    <r>
      <rPr>
        <sz val="8"/>
        <color theme="1"/>
        <rFont val="AdvTT5235d5a9"/>
      </rPr>
      <t>ned as pointing the nose to the object at a distance of less than 2 cm and/or touching it with the nose. | p.417:  following parameters were analyzed: (a) time to reach 15 s of exploration of the 2 identical objects in the acquisition session; (b) time of exploration of each object during retrieval session; (c) total time of exploration (sum of both object exploration times) and (d) the ratio of the time exploring the new object of the total time of exploration -- Highlighted 05 Aug 2017</t>
    </r>
  </si>
  <si>
    <t>PTSD_ObjectExpoloration(s)_Familiar</t>
  </si>
  <si>
    <t>PTSD_ObjectExpoloration(s)_New</t>
  </si>
  <si>
    <t>Control_ObjectExpoloration(s)_Familiar</t>
  </si>
  <si>
    <t>Control_ObjectExpoloration(s)_New</t>
  </si>
  <si>
    <t>ptsd group no diff between new &amp; familiar object</t>
  </si>
  <si>
    <t>control more time on new objected, compared to familiar</t>
  </si>
  <si>
    <t>PTSD_Ratio(new/new+familiar)</t>
  </si>
  <si>
    <t>Control_Ratio(new/new+familiar)</t>
  </si>
  <si>
    <t>control group sig anders dan kanslevel (= more time on novel object); ptsd group geen verschil in ratio met kans level (= geen verschil in object exploratie van kanslevel (0.5)</t>
  </si>
  <si>
    <t>10 tot 13 per group</t>
  </si>
  <si>
    <t>ong 23 [= ((10+13)/2)*2]</t>
  </si>
  <si>
    <t>1? [ wel footshock, maar long-term measures, reexposure.. Echter wel 'lage sterkte' &amp;maar 2 shockss…]</t>
  </si>
  <si>
    <t>matig ptsd model? Footshocks (maar 2 van 0.5mA) - wel gedragsdata 2 weken later</t>
  </si>
  <si>
    <t>goed ptsd model?</t>
  </si>
  <si>
    <t>2 (control+vehicle &amp; stressed+vehicle)</t>
  </si>
  <si>
    <t>control: t=5,212; p=0,0002</t>
  </si>
  <si>
    <t>F(1,85)=30,387; p&lt;0.0001</t>
  </si>
  <si>
    <t>F(1,85)=0,383; p=0.5376 [NS]</t>
  </si>
  <si>
    <t>episodic memory (ORT) (short after acquisition, long after stress)</t>
  </si>
  <si>
    <t>stressed mice (ptsd) no memory for object (zelfde tijd exploration of new &amp; familiar object &amp; discriminatieratio niet anders dan kans level)</t>
  </si>
  <si>
    <t>3 (emergency department)</t>
  </si>
  <si>
    <t>geen ptsd group, maar pts dseverity score in bijde groupen (MTBI &amp; trauma control) meegenomen in GLM model (tot) 3 months na emergency department</t>
  </si>
  <si>
    <t>no control group.. Alle subjects ptsd (gekeken naar dissociative symptomen in die groep)</t>
  </si>
  <si>
    <t>no control group? | wel benoemd ptsd model, beschreven in borghans, maar ook 'short term (1day followup)? - [exp1 same animals]</t>
  </si>
  <si>
    <t>no control group | wel benoemd ptsd model, beschreven in borghans, maar ook 'short term (1day followup)? - [exp2 same animals]</t>
  </si>
  <si>
    <t>2 groupen: ptsd met dissociative diagnose &amp; ptsd zonder dissociative diagnose</t>
  </si>
  <si>
    <t>(T1: 51,2 [range: 38-60]; T2: 53,97 [range: 41-63])</t>
  </si>
  <si>
    <t>[T1: 5,5; T2: 5,6]</t>
  </si>
  <si>
    <t>(T1: 52,09 [range: 39-60]; T2: 54,96 [range: 42-62])</t>
  </si>
  <si>
    <t>[T1:5,6; T2: 5,7]</t>
  </si>
  <si>
    <t>longitudinaal, 2 meetpunten per subject</t>
  </si>
  <si>
    <t>verbal Memory (short &amp; long term [=20min])</t>
  </si>
  <si>
    <t>visual Memory (short &amp; long term)</t>
  </si>
  <si>
    <t>Wechsler Memory Scale-Third Edition (WMS-III): subsetes Faces I, Faces II, Family Pictures I and Family Pictures II</t>
  </si>
  <si>
    <t>faces: herken je het gezicht? (recognition) ; familiy pictures: recall de scene (recall)</t>
  </si>
  <si>
    <t>PTSD_TimePoint1_CVLT_Totaal</t>
  </si>
  <si>
    <t>Control_TimePoint1_CVLT_Totaal</t>
  </si>
  <si>
    <t>PTSD_TimePoint2_CVLT_Totaal</t>
  </si>
  <si>
    <t>Control_TimePoint2_CVLT_Totaal</t>
  </si>
  <si>
    <t>PTSD_TimePoint1_CVLT_Retention[(long delay-short delay)/short delay]</t>
  </si>
  <si>
    <t>Control_TimePoint1_CVLT_Retention[(long delay-short delay)/short delay]</t>
  </si>
  <si>
    <t>PTSD_TimePoint2_CVLT_Retention[(long delay-short delay)/short delay]</t>
  </si>
  <si>
    <t>Control_TimePoint2_CVLT_Retention[(long delay-short delay)/short delay]</t>
  </si>
  <si>
    <t>no diff between control &amp; ptsd on time point 1 in total cvlt score</t>
  </si>
  <si>
    <t>t=0,632; NS</t>
  </si>
  <si>
    <t>total score (= total score op trials 1-5?, niet helemaal duidelijk uit text) &amp; Retention score is percent change score uit [('short-delay free recall' - ' long-delay recall score') / short-delay score]</t>
  </si>
  <si>
    <t>geen verschil tussen ptsd &amp; controles op time point 2 (total cvlt score)</t>
  </si>
  <si>
    <t>t=0,844; NS</t>
  </si>
  <si>
    <t>zowel op t1 als t2 geen verschil tussen control en ptsd op verbal learning</t>
  </si>
  <si>
    <t>beide NS</t>
  </si>
  <si>
    <t>geen verschil op t2 in retentie score</t>
  </si>
  <si>
    <t>t=-.432; NS</t>
  </si>
  <si>
    <t xml:space="preserve">geen verschil op retentie scores tussen ptsd en control op t1 en t2 </t>
  </si>
  <si>
    <t>PTSD_WMS-III_Faces_I_Timepoint1</t>
  </si>
  <si>
    <t>Control_WMS-III_Faces_I_Timepoint1</t>
  </si>
  <si>
    <t>PTSD_WMS-III_Faces_I_Timepoint2</t>
  </si>
  <si>
    <t>Control_WMS-III_Faces_I_Timepoint2</t>
  </si>
  <si>
    <t>PTSD_WMS-III_Faces_II_Timepoint1</t>
  </si>
  <si>
    <t>Control_WMS-III_Faces_II_Timepoint1</t>
  </si>
  <si>
    <t>PTSD_WMS-III_Faces_II_Timepoint2</t>
  </si>
  <si>
    <t>Control_WMS-III_Faces_II_Timepoint2</t>
  </si>
  <si>
    <t>PTSD_WMS-III_FamilyPictures_I_Timepoint1</t>
  </si>
  <si>
    <t>Control_WMS-III_FamilyPictures_I_Timepoint1</t>
  </si>
  <si>
    <t>PTSD_WMS-III_FamilyPictures_I_Timepoint2</t>
  </si>
  <si>
    <t>Control_WMS-III_FamilyPictures_I_Timepoint2</t>
  </si>
  <si>
    <t>PTSD_WMS-III_FamilyPictures_II_Timepoint2</t>
  </si>
  <si>
    <t>Control_WMS-III_FamilyPictures_II_Timepoint2</t>
  </si>
  <si>
    <t>PTSD_WMS-III_FamilyPictures_II_Timepoint1</t>
  </si>
  <si>
    <t>Control_WMS-III_FamilyPictures_II_Timepoint1</t>
  </si>
  <si>
    <t xml:space="preserve">geen verschil tussen ptsd en control </t>
  </si>
  <si>
    <t>t=1,31; NS</t>
  </si>
  <si>
    <t xml:space="preserve">geen verschil tussen ptsd &amp; controles </t>
  </si>
  <si>
    <t>t=0,591; NS</t>
  </si>
  <si>
    <t>geen verschil tussen ptsd &amp; controles op faces 1 (op t1 &amp; t2)</t>
  </si>
  <si>
    <t>geen verschil</t>
  </si>
  <si>
    <t>t=0,377; NS</t>
  </si>
  <si>
    <t>geen verschil in retention between control en ptsd</t>
  </si>
  <si>
    <t>t=1,88; NS</t>
  </si>
  <si>
    <t>control beter then ptsd</t>
  </si>
  <si>
    <t>t=2,94; p=.01</t>
  </si>
  <si>
    <t>no effect on timepoint 1, wel on timepoint2</t>
  </si>
  <si>
    <t>t=-1,04; NS</t>
  </si>
  <si>
    <t>t=-0,817; NS</t>
  </si>
  <si>
    <t>geen verschil op t1 en t2</t>
  </si>
  <si>
    <t>t=-1,18; NS</t>
  </si>
  <si>
    <t>t=-0.94; NS</t>
  </si>
  <si>
    <t>Geen verschil tussen de ptsd+ en ptsd_ group op T1 &amp;&amp; op T2 verschil op faces II (=delayed facial recognition) ptsd+ group slechter. Mixed-effects linear regression model reveal greater decline in ptsd+ group then in PTSD- group (sig effect time (coefficient: 2.59, SE 1.04; z=2,49; p=0,013) &amp; time*group interaction (coefficient=-4,98; SE=1,41; z==-3,54; p=.000))</t>
  </si>
  <si>
    <t>Geen verschil tussen de ptsd+ en ptsd_ group op T1; no diff on verbal memory op T2</t>
  </si>
  <si>
    <t>longitudinal study (2 meetpunten per deelnemer, over een periode van 2-5 jaar) - zo te zien geen deelnemer geswitched van group tussen meetpunt 1 &amp; 2; The major findings of this study are as follows. First, partici- pants with PTSD showed a significant decline in measures of delayed visual recall and recognition during the 2–5 year in- terval of the study. Second, decline in delayed facial recognition was significantly greater for veterans with PTSD compared to veterans without PTSD. Third, veterans with PTSD did not demonstrate any improvement in PTSD symptom severity over time, and change in PTSD symptomatology was not associated with change in neurocognitive performance. Fourth, there was no effect of age on memory decline, suggesting that longitudinal decline in the PTSD+ group was not attrib- utable to advancing age.</t>
  </si>
  <si>
    <t>4 groups, (ptsd of niet en alchol gebruik of niet.. Alleen groupen zonder alchol grbuik opgenomen)</t>
  </si>
  <si>
    <t>M(84%) &amp; F(16%)</t>
  </si>
  <si>
    <t>2 (4 in total paper ook alcohol abuse)</t>
  </si>
  <si>
    <t>California Verbal-learning Test (CVLT) - Trial 1 (=initial acquisition), Total Trial 1-5 (measure of verbal learning),  long-delay free recall score (retention over 20min) &amp;&amp; Logical Memory I &amp; II subsetes of WMS-III (logical memory I = immediately retell story after hearing it; logical memory II = retell story 30min na hearing it) --&gt; Percent retention score = hoe veel onthouden is na 30min relatief to immideate recall [lage scores op I &amp; II betekenen weaknes in learning or memory for orally presented narratives, low scores on percent retention suggest difficulties with retaining auditory narratives after a delay</t>
  </si>
  <si>
    <t>verbal learning &amp; memory (immediate en delayed) (woorden &amp; stories)</t>
  </si>
  <si>
    <t>visual memory (immediate en delayed) faces en familie pictures</t>
  </si>
  <si>
    <t>Visual Immediate Index and Visual Delayed Index scores of the WMS–II; die bestaan uit de Faces and Family Pictures subtests, immediate and delayed recall. (faces is een recognition teste, family pictures is een test of recall. Versie II is de 30min delay versie van beide taken)</t>
  </si>
  <si>
    <t>CVLT trial 1-5; CVLT trial 1: CVLT long-delay free recall; WMS-III Logical Memory I &amp; II &amp; % Retention</t>
  </si>
  <si>
    <t>PTSD_CVLT_Trial1-5</t>
  </si>
  <si>
    <t>Control_CVLT_Trial1-5</t>
  </si>
  <si>
    <t>PTSD_CVLT_Trial1</t>
  </si>
  <si>
    <t>Control_CVLT_Trial1</t>
  </si>
  <si>
    <t>PTSD_CVLT_Long-Delay_Free_Recall</t>
  </si>
  <si>
    <t>Control_CVLT_Long-Delay_Free_Recall</t>
  </si>
  <si>
    <t>PTSD_WMS-III_Logical_Memory_I</t>
  </si>
  <si>
    <t>Control_WMS-III_Logical_Memory_I</t>
  </si>
  <si>
    <t>PTSD_WMS-III_Logical_Memory_II</t>
  </si>
  <si>
    <t>Control_WMS-III_Logical_Memory_II</t>
  </si>
  <si>
    <t>PTSD_WMS-III_Logical_Memory_%Retention</t>
  </si>
  <si>
    <t>Control_WMS-III_Logical_Memory_%Retention</t>
  </si>
  <si>
    <t>Deployment (wel combi van military &amp; non-military trauma's in beide groupen [ptsd group: 57% vietnam combat; 14% Gulf war combat; 21% military-related trauma; 8% non-military trauma; 0%no-trauma &amp;&amp; non-ptsd group: 10% vietnam combat; 0% gulf war combat; 16% military-related trauma; 33% non-miliatry trauma; 42% no-trauma)</t>
  </si>
  <si>
    <t>PTSD group slechter learning then control</t>
  </si>
  <si>
    <t xml:space="preserve">Main effect ptsd (bonferroni corrected alpha in model is 0.019): F(3,121)=7,863, p=0.006 </t>
  </si>
  <si>
    <t>ptsd slechter in acquisitie verbal materiaal dan control</t>
  </si>
  <si>
    <t>F(3,121)=12,91, p=0.000</t>
  </si>
  <si>
    <t>PTSD slechter in initial acquisitie &amp; verbal learning</t>
  </si>
  <si>
    <t>both &lt;0.019 (=bonferonni corrected sig level)</t>
  </si>
  <si>
    <t>geen verschil in recall vebal</t>
  </si>
  <si>
    <t>F(3,121)=0,710; p=.401 (NS)</t>
  </si>
  <si>
    <t>geen verschil in verbal recall</t>
  </si>
  <si>
    <t>F(3,112)=0,416 {kloppen de vrijheidsgraden? De sample size is hetzelfde voor deze maat &amp; soort analyse lijkt ook zelfde}; p=.520 (NS)</t>
  </si>
  <si>
    <t>F(3,112) {zie vorige opmerking over vrijheidsgraden}=1,397; p.240 (NS)</t>
  </si>
  <si>
    <t>data overgenomen uit tabel (dus niet afgelezen) | comorbide mood en anxiety disorders not excluded (OCD, panic, GAD, MDD, social); psychose &amp; bipolar wel; in PTSD group: 43% MDD; 30% anxiety dirorder, 32% past drug abuse &amp; non-ptsd group: 6%MDD; 3% anxiety disorder, 6% past drug abuse or dependance --&gt; alle comorbidity bij ptsd+ group sig. meer (p&lt;0.05) | issue met vrijheids graden bij data WMS-II Verbal? typos?</t>
  </si>
  <si>
    <t>data overgenomen uit tabel (dus niet afgelezen) | comorbide mood en anxiety disorders not excluded (OCD, panic, GAD, MDD, social); psychose &amp; bipolar wel; in PTSD group: 43% MDD; 30% anxiety dirorder, 32% past drug abuse &amp; non-ptsd group: 6%MDD; 3% anxiety disorder, 6% past drug abuse or dependance --&gt; alle comorbidity bij ptsd+ group sig. meer (p&lt;0.05)</t>
  </si>
  <si>
    <t>F(3,112)=4,954, p=0,028 (NS, want bonferroni corrected apha = 0,19)</t>
  </si>
  <si>
    <t>no diff tussen ptsd &amp; control for recall &amp; %retention (tov acquisitie)</t>
  </si>
  <si>
    <t>PTSD slechter dan controle op initial aquisitie en verbal (woordjes) learning; geen verschil tussen ptsd &amp; control for recall &amp; %retention (van woordjes &amp; verhalen)</t>
  </si>
  <si>
    <t>visual immediate index &amp; visual delayed index (30min later)</t>
  </si>
  <si>
    <t>PTSD_WMS-III_Visual_Immediate_Index</t>
  </si>
  <si>
    <t>Control_WMS-III_Visual_Immediate_Index</t>
  </si>
  <si>
    <t>PTSD_WMS-III_Visual_Delayed_Index</t>
  </si>
  <si>
    <t>Control_WMS-III_Visual_Delayed_Index</t>
  </si>
  <si>
    <t>geen verschil tussen ptsd &amp; control for immediate visual recall</t>
  </si>
  <si>
    <t>F(3,121)=0,005; p=.946 (NS)</t>
  </si>
  <si>
    <t>geen verschil tussen ptsd &amp; control</t>
  </si>
  <si>
    <t>F(3,121)=1,031; p=.312 (NS)</t>
  </si>
  <si>
    <t>geen verschil in visual memory (immediate of delayed)</t>
  </si>
  <si>
    <t>geen verschil tussen PTSD &amp; control op visual memory (zowel immediate als delayed)</t>
  </si>
  <si>
    <t>Bosnia army veterans</t>
  </si>
  <si>
    <t>DSM IV classificatie, ptsd evaluation based on MISSISSIPPI SCALE (alle deelnemers score van 110)</t>
  </si>
  <si>
    <t>artikel in engels | exclusie van deelnemers als ptsd chronisch is, head injury, surgical treatment, neurologische of psychotische aandoening, alcohol or drug abuse in het verleden</t>
  </si>
  <si>
    <t>Rivermead Behavioral Memory Test (for everyday memory) - 10 subsets [remembering of 1)names; 2) the hiding places of certain things, 3) a meeting, 4) recognize pictures, 5) remembering a story (immediate &amp; prolonged) , 6) a short direction of movement (immediate &amp; delayed), 7) a message, 8) orrientation, 8) date, 10) recognizing faces] --&gt; deze test makkelijk voor mensen zonder memory problemen, maar erg sensitief voor memory problemen.</t>
  </si>
  <si>
    <t>Total score over 10 subsets is in mean &amp; SD per group gegeven.. Daarnaast izijn frequentie verdelingen per subtest gegeven (hoeveel deelnemers van iedere groep scoren 0,1, of 2 punten per subtest.. En het zelfde voor bin's totaal scores); nu alleen mean en sd overal score opgenomen omdat in preregistratie dat vermeld is.</t>
  </si>
  <si>
    <t>not reported (mogelijk man, want bosnian army veterans?)</t>
  </si>
  <si>
    <t>not reported per group, or total mean. Maar range voor hele sample = 30-50</t>
  </si>
  <si>
    <t>PTSD_ArithmeticMeanRBMT</t>
  </si>
  <si>
    <t>Control_ArithmeticMeanRBMT</t>
  </si>
  <si>
    <t>ptsd group slechter dan controls op everyday memory</t>
  </si>
  <si>
    <t>t=10,056; p&lt;0.001</t>
  </si>
  <si>
    <t>ptsd group slechter dan controls op everyday memory; verdelingen van scores in subtests ook sig dif/. Aanwijzingen voor problemenmet memory consolidatie in ptsd</t>
  </si>
  <si>
    <t>(mean niet range van alle deelnemers wel, niet per group) leeftijd &amp; gender vn de deelnemer niet gerapporteerd |kort artikel...summiere statistiek | Total score over 10 subsets is in mean &amp; SD per group gegeven.. Daarnaast izijn frequentie verdelingen per subtest gegeven (hoeveel deelnemers van iedere groep scoren 0,1, of 2 punten per subtest.. En het zelfde voor bin's totaal scores); nu alleen mean en sd overal score opgenomen omdat in preregistratie dat vermeld is.</t>
  </si>
  <si>
    <t>nog meer data over subschalen/subvragen van RBMT, maar daarvan geen mean gegeven per group maar frequentie deelnemers per score</t>
  </si>
  <si>
    <t>exclusie criteria: p.726: excluded participants with histories of severe psychiatric illness (e.g., psychotic disorders), neurological disease, head injuries with a loss of consciousness of greater than 30 min or post-traumatic amnesia of greater than 24 hr, attention deficit/hyperactivity disorder, learning disorders, or had verbal IQ estimates of &lt;70 based on the Wechsler Test of Adult Reading (WTAR; Wechsler, 2001 -- Highlighted 30 Aug 2017; Benzodiazepine use exclused. substance use disorders mogen wel blijven (om een representatief ptsd veteranen sample t e krijgen) - echter wel een tox screen op dag van testen en bij intoxicatie een nieuwe afspraak</t>
  </si>
  <si>
    <t>M (n=34 [=85%]) &amp; F</t>
  </si>
  <si>
    <t>M (n=35 [=89,5%]) &amp; F</t>
  </si>
  <si>
    <t>CAPS &amp; SCID-IV voor comorbid disorders</t>
  </si>
  <si>
    <t>ook de California Verbal Learning Test-Second Edition Trials 1–5 (CVLT-II; Delis, Kramer, Kaplan, &amp; Ober, 2000), en Rey-O Complex Figure Test Delayed Recall (Meyers &amp; Meyers, 1995)], afgenomen.. Maar alleen correlaties met Prospetive Memory scores gerapporteerd.. niet de ruwe scores [daarom data not included]</t>
  </si>
  <si>
    <t>p=.023; cohen's d=-0,60</t>
  </si>
  <si>
    <t>PTSD_MIST_Event-basedTrials</t>
  </si>
  <si>
    <t>PTSD_MIST_SummaryScore</t>
  </si>
  <si>
    <t>Control_MIST_SummaryScore</t>
  </si>
  <si>
    <t>Control_MIST_Event-basedTrials</t>
  </si>
  <si>
    <t>PTSD_MIST_Timed-basedTrials</t>
  </si>
  <si>
    <t>Control_MIST_Timed-basedTrials</t>
  </si>
  <si>
    <t>geen verschil tussen controle &amp; ptsd group</t>
  </si>
  <si>
    <t>p=.202; d=-0.41</t>
  </si>
  <si>
    <t>control better dan ptsd</t>
  </si>
  <si>
    <t>p=.016; p=-0.58</t>
  </si>
  <si>
    <t>PTSD_MIST_MultipleChoice_RecognitionTrial</t>
  </si>
  <si>
    <t>Control_MIST_MultipleChoice_RecognitionTrial</t>
  </si>
  <si>
    <t>p=.759; d=-0,12</t>
  </si>
  <si>
    <t>proprietary version of the Memory for Intentions Test: 8 prospective memory(PM) tasks over 30 min that are balanced by type of cue (i.e., time-based vs. event-based), mode of response (i.e., physical vs. verbal), and delay (i.e., 2 min vs. 15 min). -- Highlighted 30 Aug 2017. ondertussen moesten deelnemers een search word puzzel maken. (0-2 punten per trial, waarvan 1 punt voor antwoorden 1 punt voor het juiste moment op de juiste cue.) - Iedere trial contributes to three of the MIST's six subscales (range = 0-8), summed to create summary score (0-48). [Daarnaast ook een 8-item, three-choice recognition trial at the end of each PM task --- data op andere regel]</t>
  </si>
  <si>
    <t>recognition trial van the Memory for Intentions Test: een 8-item, three-choice recognition trial at the end of each PM task (ter evaluatie van reterospective memeory functioning (de recognition items vragen participant on specifice taken die tijdens de test gedaan zijn)</t>
  </si>
  <si>
    <t>Geen verschil tussen PTSD &amp; Control op retrospective memory</t>
  </si>
  <si>
    <t>Retrospective memory (onthouden dat je iets gedaan hebt)</t>
  </si>
  <si>
    <t>Prospective Memory (onthouden dat je iets moet doen)</t>
  </si>
  <si>
    <t>Summary score, Time-based trials &amp; Event-based trials (mediaan, IQR, Mean &amp; SD) &amp; [als secundair separate error type totals for the timebased and event-based scales (range 0-4)] p.726: addition, we generated separate error type totals for the time-based and event-based scales (range, 0–4). Consistent with prior studies (Woods et al., 2008), errors were coded as PM failure (i.e., no response omission errors), loss of time (i.e., executing an intention ≥15% target time), task substitution (e.g., responding verbally instead of with an action or vice versa), or loss of content (i.e., awareness that a response is required but failure to recall the content) errors. -- Highlighted 31 Aug 2017</t>
  </si>
  <si>
    <t>PTSD_MIST_PMfailureErrors</t>
  </si>
  <si>
    <t>PTSD_MIST_TaskSubstitutionErrors</t>
  </si>
  <si>
    <t>PTSD_MIST_LossOfContentErrors</t>
  </si>
  <si>
    <t>PTSD_MIST_LossOfTimeErrors</t>
  </si>
  <si>
    <t>Control_MIST_PMfailureErrors</t>
  </si>
  <si>
    <t>Control_MIST_TaskSubstitutionErrors</t>
  </si>
  <si>
    <t>Control_MIST_LossOfContentErrors</t>
  </si>
  <si>
    <t>Control_MIST_LossOfTimeErrors</t>
  </si>
  <si>
    <t>p=.011; d=0,63</t>
  </si>
  <si>
    <t>ptsd meer fouten dan controls</t>
  </si>
  <si>
    <t>p=.203;d=0,35</t>
  </si>
  <si>
    <t>p=,780; d=0,12</t>
  </si>
  <si>
    <t>p=0.,333; d=0,22</t>
  </si>
  <si>
    <t>total score?</t>
  </si>
  <si>
    <t>PTSD group worse on MIST sum score, time-based trials (bv. Doe over 15 min dat ). Maar niet op event-based trials- (=als ik je dit geef, moet jij dat doen). PTSD group ook meer time-based PM failure errors (i.e. Omissions) dan controles. Time-based -&gt; hogere cog. load dan event-based trials [Theoretical models of PM have proposed that time-based PM is more heavily dependent on self-generated monitoring and retrieval processes associated with cognitive control (McDaniel &amp; Einstein, 2000), which is associated with the integrity of prefrontal circuitry and associated executive functions (Einstein, McDaniel, Richardson, Guynn, &amp; Cunfer, 1995) implicated in PTSD (Aupperle, Melrose, et al., 2012).] &amp; [ event-based PM typically relies on externally prompted, less effortful, and more automatic retrieval (Einstein et al., 1995). In the context of these models, it may be that individuals with PTSD have greater difficulty accurately completing future intentions when tasks require greater internally guided allocation of cognitive resources.]</t>
  </si>
  <si>
    <t>total sample: 55,1 [niet per subgroup gerapporteerd]</t>
  </si>
  <si>
    <t>total sample SD=2,9 [niet per subgroup gerapporteerd]</t>
  </si>
  <si>
    <t>niet echt een ptsd group en non-ptsd group. Group gesplitst op verbaal memory scores boven en onder mediaan (waarin ptsd in vergelijkbare mate voorkomt). In discussie staan ineens getallen voor ptsd &amp; non-ptsd, verder onduidelijk hoe groot die groepen zijn etc.; ptsd = life-time history of ptsd (niet perse nu) | van 416 subjects, 169 twin paris,(waarvan 61% monozygotic) en 78 singletons</t>
  </si>
  <si>
    <t>SCID for DSM IV (check for life-time ptsd en depression)</t>
  </si>
  <si>
    <t>verbal &amp; visual Selective Reminding Test (SRT) [Verbal: read 12 unrelated words, immediately recall as many wors as possible, dan erop gewezen welke vergeten waren, en dan nogmaals gevraagt alle 12 te recallen. In totaal 12 recall trials (of stoppen na 2 opeenvolgende cases of perfect recall). Total recall = total number of words recalled on all 12 trials [representing a sum of long-term &amp; short-term atorage and learning of words [ook consistent long-term recall &amp; delayed recall measuress.. maar deze niet in analyse door hoge correlatie mt TR)  | Visual SRT lijkt op verbal SRT, maar dan met 12 plaatjes die ieder 3s getoond worden, daarna natekenen, (opnieuw laten zien welke vergeten zijn , tot perfect recall of 12 trials)</t>
  </si>
  <si>
    <t>Verbal &amp; Visual memory &amp; learning</t>
  </si>
  <si>
    <t>2 (niet echt groupen gemaakt)</t>
  </si>
  <si>
    <t>total recall</t>
  </si>
  <si>
    <t>LifetimePTSD_VerbalSRT</t>
  </si>
  <si>
    <t>Control_VerbalSRT</t>
  </si>
  <si>
    <t xml:space="preserve">Geen verschil tussen life time ptsd &amp; control on verbal &amp; visual learning &amp; memory </t>
  </si>
  <si>
    <t>Verbal: p=0,20;  Visual p=0.99 (mean data notshown)</t>
  </si>
  <si>
    <t>no sig difference on verbal or visual (mean data visual not shown, only p-value)</t>
  </si>
  <si>
    <t>Weinig gerapporteerd (SD's, group kenmerken, etc ), ptsd group veel kleiner dan control group; geen duidelijk contrast in analyses tussen deze</t>
  </si>
  <si>
    <t>Deployment (Operation Iraqi Freedom (OIF) &amp; Operation Enduring Freedom (OEF)</t>
  </si>
  <si>
    <r>
      <t xml:space="preserve">lifetime, niet current ptsd | quality matig | no ptsd-control contrast; wel met of zonder ptsd subjects in pared en unpard twins etc..  / en in een multivar model bekeken of ptsd een co var is in de relatie tussen HRV &amp; cognitive performance (bleek niet het geval. Ook gekeken naar interactie tussen depressie en ptsd als die gevonden was dan stratified analyses [524 subjects, daarvan 54 hadden een lifetime history of ptsd (24%) ; in disscussie staat wel: </t>
    </r>
    <r>
      <rPr>
        <b/>
        <sz val="12"/>
        <color rgb="FF000000"/>
        <rFont val="Calibri"/>
        <family val="2"/>
      </rPr>
      <t>p.482: In our sample, those with lifetime PTSD scored lower on the verbal SRT (105 vs. 111, p=0.20), although this was not statistically significant; no difference was found with visual SRT, p=0.99. -- Highlighted 01 Sep 2017 [verder deze groupen niet beschreven in bv age etc... opnemen in tabel? (ook geen sd gegeven etc...) p.480: Additionally, no associations were found in the entire sample between HRV and visual SRT, and no interaction with depression or PTSD was found (table 3). -- Highlighted 04 Sep 2017</t>
    </r>
  </si>
  <si>
    <t>self-reported MTBI; ptsd group = current ptsd current ptsd; [p.888: Exclusion criteria for the entire sample were as follows: psychosis, Attention Deficit Hyperactivity Disorder or Attention Deficit Disorder (ADHD/ADD) diagnosed in childhood, significant neurologic history (other than mTBI in the mTBI-o and mTBI+PTSD groups) such as stroke, epilepsy, or brain tumor, post-deployment TBI (mild or worse), no combat exposure, &lt;93% correct on the Letter Memory Test (Inman et al., 1998), &lt;90% correct on the Digit Memory Test (Guilmette, Hart, &amp; Giuliano, 1993), !6 total score on the Miller Forensic Assessment of Symptoms Test (M-FAST; Miller, 2000), or &gt;8 errors on the Morel Emotional Numbing Test (Morel, 1998). -- Highlighted 04 Sep 2017] p.888: urther exclusion criteria for the PTSD-o and CC groups was a history of pre-deployment TBI (mild or worse) &lt;10 years prior to participatio -- Highlighted 04 Sep 2017 [ andere psychische klachten &amp; substance abuse mogen wel - want 2/3 v ptsd patienten heeft een andere diagnose, Brady 1997 &amp; kessler, 1995</t>
  </si>
  <si>
    <t>CAPS op DSM-IV; 'lenient' scoring rule (frequency rating &gt;1 &amp; intensity rating &gt;2) &amp; PCL-C (selfreport, 17 items = de ptsd sympomen van de dsm, "hoeveel last heb je hiervan in de afgelopen maand? Schaal 1-5)</t>
  </si>
  <si>
    <t>Brief Visuospatial Memory Test-Revised (BVMT-R)</t>
  </si>
  <si>
    <t>M (89,47%) &amp; F</t>
  </si>
  <si>
    <t>M (90,48%) &amp; F</t>
  </si>
  <si>
    <t>California Verbal Learning Teste (CVLT-II)</t>
  </si>
  <si>
    <t>2 [4 in total paper (ook mtbi groups)]</t>
  </si>
  <si>
    <t>Delayed Recall</t>
  </si>
  <si>
    <t>Trials 1-5; Short delay free recall (SDFR); long delay free recall (LDFR)</t>
  </si>
  <si>
    <t>PTSD_BVMT-R_DelayRec</t>
  </si>
  <si>
    <t>Control_BVMT-R_DelayRec</t>
  </si>
  <si>
    <t>PTSD_CVLT2_Trial1-5</t>
  </si>
  <si>
    <t>Control_CVLT2_Trial1-5</t>
  </si>
  <si>
    <t>PTSD_CVLT2_SDFR</t>
  </si>
  <si>
    <t>Control_CVLT2_SDFR</t>
  </si>
  <si>
    <t>PTSD_CVLT2_LDFR</t>
  </si>
  <si>
    <t>Control_CVLT2_LDFR</t>
  </si>
  <si>
    <t xml:space="preserve">geen verschil </t>
  </si>
  <si>
    <t>Geen verschil in visiospatial learning</t>
  </si>
  <si>
    <t>NB Omnibus test (dus ook met mTBI groups)! Kruskal-Wallis non-parametric test: K(Df=3)=25,15; p=.000; cliff's delta non-parametric effect size: -0,56 [interpretatie delta: 0,11 is small effect - 0,28 is medium effect - 0,43 large effect]</t>
  </si>
  <si>
    <t>NB Omnibus test (dus ook met mTBI groups)! Kruskal-Wallis non-parametric test: K(Df=3)=4,45; p=0.217(NS); cliff's delta non-parametric effect size: -0,11</t>
  </si>
  <si>
    <t>omnibus test laat verschil zien tussen groupen, maar contrast pstd vs. combate control is niet sig. Different --&gt; dus geen verschil in verbal learning tussen deze groupen</t>
  </si>
  <si>
    <t>control beter dan ptsd in short term verbal memory</t>
  </si>
  <si>
    <t>control better then ptsd on longterm memory</t>
  </si>
  <si>
    <t>NB Omnibus test (dus ook met mTBI groups)! Ombinus Kruskal-Wallis K(df=3)=14,95; p=0,002; cliff's delta effect size=-0.39 (medium effect) --&gt; Mann-Whitney U follow-up contrasts PTSD-CC p&lt;0.01 | [interpretatie delta: 0,11 is small effect - 0,28 is medium effect - 0,43 large effect]</t>
  </si>
  <si>
    <t>NB Omnibus test (dus ook met mTBI groups)! K(df=3)=14,14; p=0,003; cliff's delta = -0.41 (=medium/large effect); Mann-Whitney U contrast ptsd-cc p&lt;0.01 | [interpretatie delta: 0,11 is small effect - 0,28 is medium effect - 0,43 large effect]</t>
  </si>
  <si>
    <t>PTSD slechter in short &amp; long term verbal memory, geen verschil in verbal learning; vergeleken met combat control</t>
  </si>
  <si>
    <t>visuospatial memory (delayed)</t>
  </si>
  <si>
    <t>Verbal Memory (learning, short &amp; long delay)</t>
  </si>
  <si>
    <t>SCID DSM-IV for current MDD &amp; current PTSD</t>
  </si>
  <si>
    <t>geen only ptsd group (maar combi van psychopathologieen, namelijk MDD(14,1%), PTSD (31,5%) &amp; mTBI (32,1%)), wel een HC group --&gt; dus geen cog. Data voor ptsd only presented</t>
  </si>
  <si>
    <t>geen verschil tussen ACT scores van individuals with en without ptsd diagnose (means not reported, t=-1,85,NS,d=0,30); is act echt cognitief? ACT = auditory Consonant Trigram's - measure immediate memory in absence of rehearsal (ACT, 3 medeklinkers soms gevolgd by number (alleen in in 0s trials). deelnemer moet dan terugtellen by threes van het gegeven nummer en een interval van 0,9,18,36s verbal de driemedeklinkers rapporteren | in totaal 20trials --&gt; sum score voor ieder einterval, higher score = better performance</t>
  </si>
  <si>
    <t>activity phase  = dark (tussen 9:30 &amp; 17:30); animals on inverse 12:12 light-dark schedual (lights on at 20:00h)</t>
  </si>
  <si>
    <t>1? [data not extracted]</t>
  </si>
  <si>
    <t>no footshock, verder zelfde procedure</t>
  </si>
  <si>
    <t>avoidance (day1) - of deze data ook  als memory te interpreteren??</t>
  </si>
  <si>
    <t>Groupen met Shocksterkte op individual pain threshold not included (mean=0,27 voor B6JO1a; mean=0,32 voor B6N) omdat dit geen trauma is</t>
  </si>
  <si>
    <t>Footshock in shock chamber (198s in ruimte, dan 2s scrambled electric footshock via metal grid 1.5mA, nog 60s in shock chamber, dan naar home cage) on day1 ( =exp2)</t>
  </si>
  <si>
    <t>on day14 &amp; day20 Conditioned contextual Fear: reexposure to shock chamber (=CS+) for 3min zonder tone of shock, dan terug naar home cage; sensitised fear (placed in neutral test chamber, na 3min a neutral tone (=CSn, 80dB, 9kHz) was presented for 3min, nog 60s in test chamber, dan naar home cage) [NB shock on day 1, dus 14 en 14+6 dagen na shock]</t>
  </si>
  <si>
    <t>on day2 &amp; day6 Conditioned contextual Fear: reexposure to shock chamber (=CS+) for 3min zonder tone of shock, dan terug naar home cage; sensitised fear (placed in neutral test chamber, na 3min a neutral tone (=CSn, 80dB, 9kHz) was presented for 3min, nog 60s in test chamber, dan naar home cage) [NB shock on day 1, dus 1 en 1+5 dagen na shock]</t>
  </si>
  <si>
    <t>on day28 &amp; day34 Conditioned contextual Fear: reexposure to shock chamber (=CS+) for 3min zonder tone of shock, dan terug naar home cage; sensitised fear (placed in neutral test chamber, na 3min a neutral tone (=CSn, 80dB, 9kHz) was presented for 3min, nog 60s in test chamber, dan naar home cage) [NB shock on day 1, dus 28 en 28+6 dagen na shock]</t>
  </si>
  <si>
    <t>1? (wel maar 1 shock, maar 6followup contextual fear test) wel Pain threshold level shock excluded</t>
  </si>
  <si>
    <t>1 (wel maar 1 shock, maar 20 dagen followup contextual fear test) wel Pain threshold level shock excluded</t>
  </si>
  <si>
    <t>1 (wel maar 1 shock, maar 34 dagen followup contextual fear test) wel Pain threshold level shock excluded</t>
  </si>
  <si>
    <t>BL/6N 1 day incubatie na shock | 4 experimenten; doel is valide animal model ptsd te maken, belangrijkste maten associative fear memory ("trauma related cues") en sensitised (non-associative) fear memory (="Hyper arousal"): 1) (sterkte:)doel exp1 kijken of shock sterkte van invloed is op associatie &amp; non-assosciatief fear (dose dependent) - 1day &amp; 6day na shock| 2) (Tijd) invloed van fear incubatie op ptsd like symptomen (naast associative &amp; non-associative fear testen ook social withdrawal, anxiety en depressive behaviour) - day1, day 14, day 28 after shock (control group: zelfde procedure als 28 dagen group, maar no shock)| 3) 4 week na shock incubatie (=28day) fear sensitisatie (to tone in novel context) en 2day later social interaction, 4dagen later modified holeboard 6 dagen later weer social interactoin test</t>
  </si>
  <si>
    <t>BL/6N 14 day incubatie na shock | 4 experimenten; doel is valide animal model ptsd te maken, belangrijkste maten associative fear memory ("trauma related cues") en sensitised (non-associative) fear memory (="Hyper arousal"): 1) (sterkte:)doel exp1 kijken of shock sterkte van invloed is op associatie &amp; non-assosciatief fear (dose dependent) - 1day &amp; 6day na shock| 2) (Tijd) invloed van fear incubatie op ptsd like symptomen (naast associative &amp; non-associative fear testen ook social withdrawal, anxiety en depressive behaviour) - day1, day 14, day 28 after shock (control group: zelfde procedure als 28 dagen group, maar no shock)| 3) 4 week na shock incubatie (=28day) fear sensitisatie (to tone in novel context) en 2day later social interaction, 4dagen later modified holeboard 6 dagen later weer social interactoin test</t>
  </si>
  <si>
    <t>BL/6N 28 day incubatie na shock | 4 experimenten; doel is valide animal model ptsd te maken, belangrijkste maten associative fear memory ("trauma related cues") en sensitised (non-associative) fear memory (="Hyper arousal"): 1) (sterkte:)doel exp1 kijken of shock sterkte van invloed is op associatie &amp; non-assosciatief fear (dose dependent) - 1day &amp; 6day na shock| 2) (Tijd) invloed van fear incubatie op ptsd like symptomen (naast associative &amp; non-associative fear testen ook social withdrawal, anxiety en depressive behaviour) - day1, day 14, day 28 after shock (control group: zelfde procedure als 28 dagen group, maar no shock)| 3) 4 week na shock incubatie (=28day) fear sensitisatie (to tone in novel context) en 2day later social interaction, 4dagen later modified holeboard 6 dagen later weer social interactoin test</t>
  </si>
  <si>
    <t>BL/6JO1a 1 day incubatie na shock | 4 experimenten; doel is valide animal model ptsd te maken, belangrijkste maten associative fear memory ("trauma related cues") en sensitised (non-associative) fear memory (="Hyper arousal"): 1) (sterkte:)doel exp1 kijken of shock sterkte van invloed is op associatie &amp; non-assosciatief fear (dose dependent) - 1day &amp; 6day na shock| 2) (Tijd) invloed van fear incubatie op ptsd like symptomen (naast associative &amp; non-associative fear testen ook social withdrawal, anxiety en depressive behaviour) - day1, day 14, day 28 after shock (control group: zelfde procedure als 28 dagen group, maar no shock)| 3) 4 week na shock incubatie (=28day) fear sensitisatie (to tone in novel context) en 2day later social interaction, 4dagen later modified holeboard 6 dagen later weer social interactoin test</t>
  </si>
  <si>
    <t>BL/6JO1a 14 day incubatie na shock | 4 experimenten; doel is valide animal model ptsd te maken, belangrijkste maten associative fear memory ("trauma related cues") en sensitised (non-associative) fear memory (="Hyper arousal"): 1) (sterkte:)doel exp1 kijken of shock sterkte van invloed is op associatie &amp; non-assosciatief fear (dose dependent) - 1day &amp; 6day na shock| 2) (Tijd) invloed van fear incubatie op ptsd like symptomen (naast associative &amp; non-associative fear testen ook social withdrawal, anxiety en depressive behaviour) - day1, day 14, day 28 after shock (control group: zelfde procedure als 28 dagen group, maar no shock)| 3) 4 week na shock incubatie (=28day) fear sensitisatie (to tone in novel context) en 2day later social interaction, 4dagen later modified holeboard 6 dagen later weer social interactoin test</t>
  </si>
  <si>
    <t>BL/6JO1a 28 day incubatie na shock | 4 experimenten; doel is valide animal model ptsd te maken, belangrijkste maten associative fear memory ("trauma related cues") en sensitised (non-associative) fear memory (="Hyper arousal"): 1) (sterkte:)doel exp1 kijken of shock sterkte van invloed is op associatie &amp; non-assosciatief fear (dose dependent) - 1day &amp; 6day na shock| 2) (Tijd) invloed van fear incubatie op ptsd like symptomen (naast associative &amp; non-associative fear testen ook social withdrawal, anxiety en depressive behaviour) - day1, day 14, day 28 after shock (control group: zelfde procedure als 28 dagen group, maar no shock)| 3) 4 week na shock incubatie (=28day) fear sensitisatie (to tone in novel context) en 2day later social interaction, 4dagen later modified holeboard 6 dagen later weer social interactoin test</t>
  </si>
  <si>
    <t>% Freezing (immobility except for respiration movements)</t>
  </si>
  <si>
    <t>1 (vergeleken met 28day control</t>
  </si>
  <si>
    <t>vergeleken met 28day control group, data reported in 28day  row</t>
  </si>
  <si>
    <t>B6N mice</t>
  </si>
  <si>
    <t>B6JO1a mice</t>
  </si>
  <si>
    <t>Contextual (fear) memory [&amp; fear sensitisatie]</t>
  </si>
  <si>
    <t>PTSD_1dayIncubation_%FreezinCS+_1e(=day2)</t>
  </si>
  <si>
    <t>PTSD_1dayIncubation_%FreezinCSn_1e(=day2)</t>
  </si>
  <si>
    <t>PTSD_1dayIncubation_%FreezinCS+_2e(=day6)</t>
  </si>
  <si>
    <t>PTSD_1dayIncubation_%FreezinCSn_2e(=day6)</t>
  </si>
  <si>
    <t>PTSD_14dayIncubation_%FreezinCSn_1e(=day14)</t>
  </si>
  <si>
    <t>PTSD_14dayIncubation_%FreezinCS+_1e(=day14)</t>
  </si>
  <si>
    <t>PTSD_14dayIncubation_%FreezinCS+_2e(=day14+6=20)</t>
  </si>
  <si>
    <t>PTSD_14dayIncubation_%FreezinCSn_2e(=day14+6=20)</t>
  </si>
  <si>
    <t>PTSD_28dayIncubation_%FreezinCS+_1e(=day28)</t>
  </si>
  <si>
    <t>PTSD_28dayIncubation_%FreezinCSn_1e(=day28)</t>
  </si>
  <si>
    <t>PTSD_28dayIncubation_%FreezinCSn_2e(=day28+6=34)</t>
  </si>
  <si>
    <t>PTSD_28dayIncubation_%FreezinCS+_2e(=day28+6=34)</t>
  </si>
  <si>
    <t>Control_28dayIncubation_%FreezinCS+_1e(=day28)</t>
  </si>
  <si>
    <t>Control_28dayIncubation_%FreezinCSn_1e(=day28)</t>
  </si>
  <si>
    <t>Control_28dayIncubation_%FreezinCS+_2e(=day28+6=34)</t>
  </si>
  <si>
    <t>Control_28dayIncubation_%FreezinCSn_2e(=day28+6=34)</t>
  </si>
  <si>
    <t>7(voor CS+test) &amp; 8 (voor CSn test) [? Hoe kan dit, een dier kwijt geraakt, het zou dezelfde group moeten zijn… niet terug te vinden in tekst of typo?]</t>
  </si>
  <si>
    <t>7 of 8</t>
  </si>
  <si>
    <t>niet cs+ &amp; cSn vergeleken</t>
  </si>
  <si>
    <t>geen directe CS+ - CSn vergelijking</t>
  </si>
  <si>
    <t>CS+ [3(inc)*2(exposure)ANOVA: F(incubatie(3,39)=36,37; p&lt;0.001 &amp; F(exposure(1,39)=61,51; p&lt;0.001 &amp;F(I*E(3,39)=14,56; p&lt;0.001 -- posthoc incubatie tijd 1st control&lt;(day1,day14,day28 groups) &amp; 2ndcontrol&lt;(day1,day14,day28 groups) ] | CSn [4(inc)*2(exposure)ANOVA: F(incubatei(3,40) = 16,55; p&lt;0.001 &amp; F(exposure(1,40)=0,71; p=0,406 &amp; F(I*E(3,40)=0,34; p=0,798 -- posthoc incubatie controle &lt; 14d &amp; 28day &amp; 1d &lt; 28d] BL/6N</t>
  </si>
  <si>
    <t>zie erder</t>
  </si>
  <si>
    <t>CS+ [3(inc)*2(exposure)ANOVA: F(incubatie(3,38)=20,70; p&lt;0.001 &amp; F(exposure(1,38)=41,35; p&lt;0.001 &amp;F(I*E(3,38)=41,35; p&lt;0.001 -- posthoc incubatie tijd 1st control&lt;(day1&lt; day14 en control&lt;day28 group) &amp; 2ndcontrol&lt;(day1,day14,day28 groups) ] | CSn [4(inc)*2(exposure)ANOVA: F(incubatei(3,39) = 8,94; p&lt;0.001 &amp; F(exposure(1,39)=13,17; p=0.001 &amp; F(I*E(3,39)=1,07; p=0,373 -- posthoc incubatie controle &lt; 1d/14/18day groups] BL/6JOIa</t>
  </si>
  <si>
    <t>BL/6N: main effect incubatie tijd, main effect exposure  &amp; interactie op CS+ (=assosiatief memory)&amp; main effect incubatie tijd op CSn (non-assosiatief)</t>
  </si>
  <si>
    <t>BL/6JOIa: main effect incubatie tijd, main effect exposure  &amp; interactie op CS+ (=assosiatief memory)&amp; main effect incubatie tijd, main effect exposure op CSn (non-assosiatief)</t>
  </si>
  <si>
    <t>BL/6N: day14 &amp; day14+6 exposure meer contextual freezing to CS+ dan controls  (geen verschil met andere incubatie tijden) &amp; ook meer freezing op CSn dan control (geen verschil met day28 of day1?)  (dus  sensitisatie)</t>
  </si>
  <si>
    <t xml:space="preserve">BL/6N: day28 &amp; day28+6 exposure meer contextual freezing to CS+ dan controls  (geen verschil met andere incubatie tijden) &amp; ook meer freezing op CSn   dan control &amp; dan day 28 incubatie mice (geen vrschil met 14day incubatie) (dus  sensitisatie) </t>
  </si>
  <si>
    <t>BL/6JOIa: day1 meer contextual freezing to CS+ then controls (minder freezing dan 14d incubatie , geen verschil met day28?). Day6 more freezing to CS+ dan control, geen verschil met day14/28) &amp; more freezing to neutral tone (CSn) then controls (dag niet gespecificeerd, wrsl in incubatie var meegenomen?)</t>
  </si>
  <si>
    <t>BL/6N: day1 &amp; day6 exposure meer contextual freezing to CS+ dan controls geen verschil met andere incubatie tijden &amp; geen effect van trauma op CSn freezing (dus geen sensitisatie)</t>
  </si>
  <si>
    <t>BL/6JOIa: day14  exposure meer contextual freezing to CS+ dan control  &amp; day 1 animals (geen verschil met day28) - day 14+6 (more contextual freezing dan control, geen verschil met day1/day28) &amp; ook meer freezing op CSn  dan control (geen verschil met day1/28 exposure) (dus  sensitisatie)</t>
  </si>
  <si>
    <t>BL/6JOIa: day28 &amp; day28+6 exposure meer contextual freezing to CS+ dan controls (geen verschil met andere groups op beide dagen?) &amp; ook meer freezing op CSn  (dus fear sensitisatie) dan controls (geen verschil met andere groups</t>
  </si>
  <si>
    <t>wat te doen met dit artikel? | no direct control group. Data vergeleken met 28 day group (geen verschil met day28)... En tijd na shok 6days? - Groupen met Shocksterkte op individual pain threshold not included (mean=0,27 voor B6JO1a; mean=0,32 voor B6N) omdat dit geen trauma is</t>
  </si>
  <si>
    <t>wat te doen met dit artikel? | no direct control group. Data vergeleken met 28 day group (geen verschil met day28).. En tijd na shok 6days? - Groupen met Shocksterkte op individual pain threshold not included (mean=0,27 voor B6JO1a; mean=0,32 voor B6N) omdat dit geen trauma is</t>
  </si>
  <si>
    <t>uitgebreidt artikel, alle data (M,SD,statistics in supplement tabel weergegeven, naast grafieken in tekst) --&gt; data uit supp. Tabel1 overgenomen! (dus niet uit grafieken) [wel gecheckt of ze overeenkomen, dat is het geval] | nu alleen data exp 2 opgenomen. [in exp 1 geen controle group, in exp 3 geen CS+ reminder exposure in exp 4 geen non-stressed group.. wel een langere tijd tussen stressor &amp; contextual fear test]</t>
  </si>
  <si>
    <t>uitgebreidt artikel, alle data (M,SD,statistics in supplement tabel weergegeven, naast grafieken in tekst) --&gt; data uit supp. Tabel1 overgenomen! (dus niet uit grafieken) [wel gecheckt of ze overeenkomen, dat is het geval] - nu alleen data exp 2 opgenomen. [in exp 1 geen controle group, in exp 3 geen CS+ reminder exposure in exp 4 geen non-stressed group.. wel een langere tijd tussen stressor &amp; contextual fear test]</t>
  </si>
  <si>
    <t>uitgebreidt artikel, alle data (M,SD,statistics in supplement tabel weergegeven, naast grafieken in tekst) --&gt; data uit supp. Tabel1 overgenomen! (dus niet uit grafieken) [wel gecheckt of ze overeenkomen, dat is het geval] nu alleen data exp 2 opgenomen. [in exp 1 geen controle group, in exp 3 geen CS+ reminder exposure in exp 4 geen non-stressed group.. wel een langere tijd tussen stressor &amp; contextual fear test]</t>
  </si>
  <si>
    <t>eclusion criteria were psychotherapy or pharmacotherapy treatment due to PTSD, central nervous system disease, alcohol and drug addiction, acute psychosis, subnormal intelligence, as well as impaired visuoperceptive and visuoconstructional abilities.</t>
  </si>
  <si>
    <t>Croatian war (1991-1995)</t>
  </si>
  <si>
    <t>PTSD according to 10th international classification of diseases (IC10) volgens Mississippi scale for combat related ptsd (M-PTSD), CAPS, MMPI2</t>
  </si>
  <si>
    <t>healthy unexposed controles (recruted via newspaper) - matched for age, sex, education</t>
  </si>
  <si>
    <t>Rey-Osterreith Complex Figure (ROCF) (copy(=constructional ability), immediate (draw wat they remember) &amp; delayed recal (=na 30min)) - score 0-2 voor iedere tekening (voor locatie van elements &amp; accurately drawn elements) [test duurt 45 min, incl 30min wacht tijd] &amp; Benton Visual Retention Test (BVRT)(tussen immediate &amp; delayed recall ROCF) (10 designs,met one or more figures, na het zien van de figuur moet subject het meteen tekenen van herinnering) - fouten worden geteld. dus hogere scores = slechter visual perception, memory and constructional abilities [test duurt 5min]</t>
  </si>
  <si>
    <t>ROCFT copy is ook gebruikt om mensen met visuoperceptive and visuoconstructional impairment te excluderen. (cutoff 32, max score 36, onder 32 impairment)  [5vd25ptsd &amp; 2vd23 control excluded hierom] wel gerapporteerd, met immediate &amp; delayed scores | BVRT # errors</t>
  </si>
  <si>
    <t>PTSD_ROCFT_Copy</t>
  </si>
  <si>
    <t>Control_ROCFT_Copy</t>
  </si>
  <si>
    <t>PTSD_ROCFT_ImmediateRecall</t>
  </si>
  <si>
    <t>Control_ROCFT_ImmediateRecall</t>
  </si>
  <si>
    <t>PTSD_ROCFT_Delayed(30min)Recall</t>
  </si>
  <si>
    <t>Control_ROCFT_Delayed(30min)Recall</t>
  </si>
  <si>
    <t>PTSD_BVRT_#Errors</t>
  </si>
  <si>
    <t>Control_BVRT_#Errors</t>
  </si>
  <si>
    <t>ptsd group more errors then control [gem. 4 fouten meer dan controls &amp; 3-4 fouten meer dan verwacht op basis van leeftijd]</t>
  </si>
  <si>
    <t>[ptsd-control] t=4,82, p&lt;0.001</t>
  </si>
  <si>
    <t>t=1,19; p=0,278 (NS)</t>
  </si>
  <si>
    <t>t=5,99; p&lt;0.001</t>
  </si>
  <si>
    <t>t=5,67; p&lt;0.001</t>
  </si>
  <si>
    <t>ROCFT: control &amp; ptsd scoren lager op immediate recall dan op copy (t=13,57;p&lt;0.001) | subjects met PTSD maken 2x zoveel fouten als controls | Geen sig verschil tussen immediate &amp; delayed recall in de twee groupen (dus binnengroup) [PTSD:(t=1,22; p=0,239) Control:(t=1,19;p=0,248)]</t>
  </si>
  <si>
    <t>PTSD slechter dan control op visual memory (RCFT immediate &amp; delayed) &amp; BVRT [echter geen verschil tussen immediate of delayed recal! (binnen beide groupen)]</t>
  </si>
  <si>
    <t>t-testen (independed en dependend sample) verder geen issues</t>
  </si>
  <si>
    <t>12-h light, 12h dark cycle (lights on at 06:00h)</t>
  </si>
  <si>
    <t>SPS [2h restraint, 20min forced swim, 15min rest, 1-2min ether anesthesia] - daarna 7d undisturbed in homecage</t>
  </si>
  <si>
    <t>unexposed controls (undisturbed during sps prosedure)</t>
  </si>
  <si>
    <t>2 (4 in total experiment, ook grape powder treatment)</t>
  </si>
  <si>
    <t>Radial Arm Water Maze (RAWM): black circular pool, 6 swim paths in dimly lit room, hidden black platform at and of randomly assigned goal arm. Rat randomly released at an other arm. 1min per learning trial or memory test (als platform na 1min niet gevonden, rat naar platform begeleidt met hand &amp; 7errors (=max) geteld). na iedere trial 15s rest. 6 learning trials (1-6), dan 5min rest, dan weer 6 learning trials (7-12) ; 30min daarna short-term memory test; long term memory test 24h later | (voor memory test zijn anxiety tests gedaan, nml. light/dark &amp; openfield &amp; elevated plusmaze) | 1 week na sps</t>
  </si>
  <si>
    <t>learning (12trials), short (30min) &amp; long term memory (24h) -- error on RAWM: als meer dan voor de helft de verkeerde arm in, of meer dan helft de goede arm in - maar niet platform gevonden [aantal errors per trial 1-7]</t>
  </si>
  <si>
    <t>visuospatial learning &amp; memory</t>
  </si>
  <si>
    <t>ptsd slechter short term memory then controls</t>
  </si>
  <si>
    <t>PTSD_LongTermMemory(24h)_1weekafterSPS_RAWM_#errors</t>
  </si>
  <si>
    <t>Control_LongTermMemory(24h)_1weekafterSPS_RAWM_#errors</t>
  </si>
  <si>
    <t>PTSD_ShortTermMemory(30min)_1weekafterSPS_RAWM_#errors</t>
  </si>
  <si>
    <t>Control_ShortTermMemory(30min)_1weekafterSPS_RAWM_#errors</t>
  </si>
  <si>
    <t>ptsd slechter dan control op long term memory</t>
  </si>
  <si>
    <t>leren &amp; memory 1 week na trauma onderzocht | data afgelezen</t>
  </si>
  <si>
    <t>alleen p waarden gerapporteerd , geen andere statistics | leeftijd dieren niet vermeld</t>
  </si>
  <si>
    <t>ptsd slechtere short &amp; long term visuospatial memory then controls (1week after trauma)</t>
  </si>
  <si>
    <t xml:space="preserve">participanten met mTBI met memory klachten die verwezen zijn voor neuropsychologisch onderzoek --&gt; dus geen hc of PTSD groups; wel PCL-M afgenomen | raw means score voor hele group gerapporteerd en daarna gekeken of PCL-M score een voorspeller van memory performance is.. bleek het geval. Voor total learning: (b=.2555, t(97)=1,5,p=.14), verbal learning (b=.258, t(97)=1,53,p=,13); </t>
  </si>
  <si>
    <t>no ptsd group, no control group</t>
  </si>
  <si>
    <t>Veterans (Deployment Iraq &amp; Afghanistan)</t>
  </si>
  <si>
    <t xml:space="preserve">Combat &amp; non-combat: Sexual trauma alone or in combination with combat trauma was the most common trauma type (n = 46); participants reported sexual trauma only (n = 17), combat trauma only (n = 10), or combat and sexual trauma (n = 29). Of those reporting sexual trauma, 14 reported both childhood and adult trauma, and 32 reported adult-only trauma. Other traumas included transportation accidents (n = 47), the death of someone close (n = 28), physical assault (n = 45), natural disaster (n = 30), serious accident or injury (n = 19), weapon assault (n = 24), and fire/explosion (n = 26). </t>
  </si>
  <si>
    <t>p.103: exclusions from this group included lifetime or current bipolar or psychotic disorder (n = 1), selfreported learning disability (n = 6), scored below 45 on Trial 1 of the Test of Memory and Malingering (Hilsabeck, Gordon, Hietpas-Wilson, &amp; Zartman, 2011; Tombaugh, 1997; n = 1) or neurologic diagnoses (n = 0), except for mild traumatic brain injury (mTBI; n = 32). -- Highlighted 06 Sep 2017</t>
  </si>
  <si>
    <t>healhty controls mixed (non-veterans n=36) &amp; OEF OIF veterans n=17), dus ook exposed controls: [p.104: Trauma breakdown for the control group included combat (n = 10), transportation accidents (n = 34), the death of someone close (n = 17), physical assault (n = 12), natural disaster (n = 17), serious accident or injury (n = 7), weapon assault (n = 6), and fire/explosion (n = 7). -- Highlighted 06 Sep 2017]</t>
  </si>
  <si>
    <t>CAPS (boven 50) ; ptsd group enrolled in psychotherapy study; SCID for DSM-IV voor comorbidity  &amp; PCL-M or PCL-C (afhankelijk van of index trauma civilian or military was)</t>
  </si>
  <si>
    <t>California Verbal Learning Test (CVLT-II): A composite mea- sure from a previous PTSD study (Gilbertson et al., 2006) was calculated by averaging the derived z scores from the test man- ual for each of the following: List A Total Recall, List B Recall, Short-Delay Free and Cued Recall, Long-Delay Free and Cued Recall, Across-Trial Recall Consistency, Percent Recency Re- call, Semantic Clustering, Recognition Hits, and percent change in recall between Short-Delay Free Recall and Trial 5 Recall (α = .85). The published contrast z score comparing Long- Delay Free Recall and Trial 5 Recall was used to measure retention.</t>
  </si>
  <si>
    <t>Verbal learning &amp; verbal memory z-score</t>
  </si>
  <si>
    <t>PTSD_CVLT2_VerbalLearning_Z-score</t>
  </si>
  <si>
    <t>Control_CVLT2_VerbalLearning_Z-score</t>
  </si>
  <si>
    <t>control better then ptsd in verbal learning</t>
  </si>
  <si>
    <t>PTSD_CVLT2_VerbalRetention_Z-score</t>
  </si>
  <si>
    <t>Control_CVLT2_VerbalRetention_Z-score</t>
  </si>
  <si>
    <t>ptsd group lager iq, daarom supplemental analyses gedaan op 42 matched pairs (tussen de control group &amp; ptsd group) qua IQ, age, &amp; opleidingsjaren, deze data niet opgenomen in review database (want deel overlappende deelnemers) zou wel kunnen... echter zelfde resultaten als voor hele sample qua verbal learning &amp; memory | ook gekeken naar verschillen in ptsd group met en zonder self-reported mTBI --&gt; geen effect op demographics, psychologische variableen (behalve CAPS hoger in mTBI group)</t>
  </si>
  <si>
    <t>wil je IQ match subgroup data?</t>
  </si>
  <si>
    <t>0 (zou wel kunnen als je data IQ matched groups wil =subgroup total sample)</t>
  </si>
  <si>
    <t>PTSD slechter in verbal learning dan control, geen verschil in verbal retention</t>
  </si>
  <si>
    <t>F(1,107)=14,74, p&lt;0.01; d=0,73</t>
  </si>
  <si>
    <t>p=.852 (NS); d=0,04 (F value niet gerapporteerd)</t>
  </si>
  <si>
    <t>undisturbed rats</t>
  </si>
  <si>
    <t>2 (4 in total experiment, ook EE)</t>
  </si>
  <si>
    <t>1 (10footshock, en andere FC &amp; Memory test alter)</t>
  </si>
  <si>
    <t>IFS (inescapable footshock procedure) - 10 shocks 1mA in dark compartment (6s duration, over periode van 15min)  dan 60s herstel &amp; terug naar home cage [standard housing with 5-6 rats]</t>
  </si>
  <si>
    <t>2 (verschillende cohorten, verschillende taken)</t>
  </si>
  <si>
    <t>12:12 light-dark cycle: behavioral tests at daytime (2PM-4PM) --&gt; dus in light fase?</t>
  </si>
  <si>
    <t>CFC (D45 after trauma) [day1: 3min hab, CS (30s tone, 3000Hz and 75dB) laatste 2s tegelijk met US (footshock 0,75mA, 2s); 30s undisturbed, then back to home cage. ] [day2; contextual test 5min in conditioning chamber zonder tone / shock] [day3: novel context 3min hab &amp; 3min CS]</t>
  </si>
  <si>
    <t>Moris water maze (van day 35 tot day 40 after trauma): black circular pool 2m diameter. Cue-training: 4 trials per day, for 5days 1)rat in water ieder trial met snuit naar andere side-wall 2) 60s om platform te vinden (als het niet lukt, begeleidt naar platvorm), 3) 20s rest op platform (escape latency recorded). Na laatste cue training, day6 platform uit pool, rat 60s om platform te vinden (time in target quadrant recorded)</t>
  </si>
  <si>
    <t>Training: escape latency (spatial learning); Test: Time in right quadrant (spatial memory)</t>
  </si>
  <si>
    <t>data uit grafiek afgelezen</t>
  </si>
  <si>
    <t>Contextual Fear Conditioning (&amp;cue in novel context test)</t>
  </si>
  <si>
    <t>% Freezing time to cue (in novel context) en shock context</t>
  </si>
  <si>
    <t>PTSD_FC_D45naTrauma_CueNovelContext_%Freezing</t>
  </si>
  <si>
    <t>Control_FC_D45naTrauma_CueNovelContext_%Freezing</t>
  </si>
  <si>
    <t>PTSD_FC_D45naTrauma_TraumaContext_%Freezing</t>
  </si>
  <si>
    <t>Control_FC_D45naTrauma_TraumaContext_%Freezing</t>
  </si>
  <si>
    <t>PTSD_MWM_D35naTrauma=LearningDay1_LatencyToEscape(s)</t>
  </si>
  <si>
    <t>Control_MWM_D35naTrauma=LearningDay1_LatencyToEscape(s)</t>
  </si>
  <si>
    <t>PTSD_MWM_D36naTrauma=LearningDay2_LatencyToEscape(s)</t>
  </si>
  <si>
    <t>Control_MWM_D36naTrauma=LearningDay2_LatencyToEscape(s)</t>
  </si>
  <si>
    <t>PTSD_MWM_D37naTrauma=LearningDay3_LatencyToEscape(s)</t>
  </si>
  <si>
    <t>Control_MWM_D37naTrauma=LearningDay3_LatencyToEscape(s)</t>
  </si>
  <si>
    <t>PTSD_MWM_D38naTrauma=LearningDay4_LatencyToEscape(s)</t>
  </si>
  <si>
    <t>Control_MWM_D38naTrauma=LearningDay4_LatencyToEscape(s)</t>
  </si>
  <si>
    <t>PTSD_MWM_D39naTrauma=LearningDay5_LatencyToEscape(s)</t>
  </si>
  <si>
    <t>Control_MWM_D39naTrauma=LearningDay5_LatencyToEscape(s)</t>
  </si>
  <si>
    <t>PTSD_MWM_D40naTrauma=Testday_TimeInTargetQuadrant(s)</t>
  </si>
  <si>
    <t>Control_MWM_D40naTrauma=Testday_TimeInTargetQuadrant(s)</t>
  </si>
  <si>
    <t>ptsd group more freezing to context then controls (die de context nog nooit gezien hebben)</t>
  </si>
  <si>
    <t>geen verschil tussen ptsd &amp; control in freezing to cue, in novel context</t>
  </si>
  <si>
    <t>F(3,44)=11,280, p&lt;0.001</t>
  </si>
  <si>
    <t>p&gt;0.05 NS</t>
  </si>
  <si>
    <t>ptsd rats enhanced contextual fear learning, geen verschil op CS in novel context</t>
  </si>
  <si>
    <t>sem's not reported for learning data, wel voor memory</t>
  </si>
  <si>
    <t>geen verschil op training day1</t>
  </si>
  <si>
    <t>geen verschil optraining day2</t>
  </si>
  <si>
    <t>geen verschil op training day3</t>
  </si>
  <si>
    <t>ptsd doen er langer over om platform te vinden dan control</t>
  </si>
  <si>
    <t>p=0,024</t>
  </si>
  <si>
    <t>p=0.,016</t>
  </si>
  <si>
    <t>ptsd impared spatial leren (verschil op laatste 2 dagen v 5daagse training zichtbaar) en slechter spatial memory (1day na laatste leer trial)</t>
  </si>
  <si>
    <t>ptsd minder tijd in target quadrant dan control</t>
  </si>
  <si>
    <t>F(3,44)=8,840, p=0,004</t>
  </si>
  <si>
    <t>(in total experiment 128), 4 groupen, per group 32, verdeelt over verschillende cohoren voor verscillende taken / analyes (12+12+4+4) [ vraag paradigma: is dit niet eerder een voorbeeld van de gezonde situatie IPV een pathologische respons?]</t>
  </si>
  <si>
    <t>no control groups, only PTSD patients (9 hydrocorison; 10 placebo) -&gt; net na opschrijven 2 meest traumatische gebeurtenissen {veteranen}</t>
  </si>
  <si>
    <t>No PTSD group, wel ptsd gemeten..maar meer een covar | Maar gecorrelerd en data allen uitgesplitst in: (prisoners of war (POW), POW classified in &gt;35%(n=60) en &lt;35%(n=113) weight loss  &amp; non-prisoner of war veterans (n=50)</t>
  </si>
  <si>
    <t>no PTSD group; maar onderverdeling in 22 Prisoners of War (POW) &amp; 22 combat veterans | wel logical memory subtest of Wechsler Memory Scale afgenomen (&amp;MMPI, STAI, BDI &amp; een aanpassingsproblemen checklist)</t>
  </si>
  <si>
    <t>according to DSM-IV, using CAPS</t>
  </si>
  <si>
    <t>PTSD group: 11 current, 5 past ptsd | control: never ptsd || participants were excluded if they had psychosis, current substance dependence, an active medical or neurological illness, a history of bypass surgery, or significant head trauma</t>
  </si>
  <si>
    <t>Combat Controles - never ptsd</t>
  </si>
  <si>
    <t>dependent variables: immediate attention (number of words recalled following trial 1), performance on learning trials 1 through 5 (total learning), after a short delay (short-term retention; short-delay free recall [SDFR]) and after a longer delay (delayed recall, long delay free recall [LDFR]), as well as short-delay and long-delay Cued Recall (SDCR, LDCR), and a recognition test, which yields the number of correctly identified target words (recognition hits) | Additional variables included proactive interference (difficulty in subsequent learning as the result of initial learning), retroactive interference (difficulty recalling previously learned information as the result of newly learned information), retention (LDFR– SDFR; short-term retention compared to long-term retention), and response bias (on the basis of the recognition hits).</t>
  </si>
  <si>
    <t>kort en bepert</t>
  </si>
  <si>
    <t>wel geschikte studie (qua design, maar er is geen data per group gerapporeerd (M,SD voor ptsd+ of controls), alleen correlatie tussen CAPS &amp; CVLT performance berekend. Bevindingen: in hele sample geen correlatie, PTSD+, but not PTSD−, group, severity of lifetime (worst episode), but not current, PTSD symptoms were negatively correlated with several components of CVLT learning (List A Trial 5: r = −0.509, n = 17, P = 0.037; SDFR: r = −0.519, n=17,P=0.012;SDCR:r=−0.594,n=17,P=0.012;LDFR:r=−0.706, n = 17, P = 0.002; and LDCR: r = −0.752, n = 17, P = 0.001). -- Highlighted 07 Sep 2017 [ trekken de conclusie dat het een risk en geen effect symptomen is (door dat er geen correlatie met current ptsd symtpoms gevonden wordt, maar met lifetime ]</t>
  </si>
  <si>
    <t>VERBAL FLUENCY 1? [data not yet extracted]</t>
  </si>
  <si>
    <t>1? [data not yet extracted] - al zo je dit ook executive functioning kunnen nomen</t>
  </si>
  <si>
    <t>1? [data not yet extracted] - of inhibition?</t>
  </si>
  <si>
    <t>geen ptsd vs non-ptad group; maar een mtbi - control group; wel ptsd gemeten en correlatie tussen ptsd scores en verbal learning/memory scores berekend voor alle deelnemers (geen correlaties gevonden, ook geen sig relaties tussen verbal learning/memory voor group(=mtbi or control)</t>
  </si>
  <si>
    <t>(PTSD) Veterans met ptsd, (TC) zonder ptsd, (HC) never deployed or civilians</t>
  </si>
  <si>
    <t>trauma controls (TC) &amp; healthy controls (HC)</t>
  </si>
  <si>
    <t>Deployment (typically to afghanistan, bosnia, lebanon) period 4-6months [During deployment they were exposed to war zone stressors as such as enemy fire, armed combat, and seeing seriously injured fellow soldiers and civilians]</t>
  </si>
  <si>
    <t>CAPS score over 50 (ptsd group) (maar geen andere stoornis met SCID), TC moeten aan criterium A1 voldoen (maar CAPS score onder 18 &amp; geen andere stoornis met SCID) - HC screened voor A1 en excluded als ze iets meegemaakt hadden</t>
  </si>
  <si>
    <t>All participants were medically healthy male and were free from psychotropic medication and alcohol or drugs dependence in the past six months. | p.1362: control subjects were without a history of psychiatric disorders, and without sleep complaints. While obstructive sleep apnea syndrome (OSAS) and periodic limb movement disorder (PLMD) are accompanied by frequent arousals and awakenings during sleep, all participants who screened positive for OSAS and PLMD with one night of polysomnography (PSG), were excluded from the study. -- Highlighted 07 Sep 2017</t>
  </si>
  <si>
    <t>0 (wel 2 nights achter elkaar continous blood sampling: memory test 3h voor slaap 2de nacht leren &amp; (surprise) memory test next morning</t>
  </si>
  <si>
    <t>15 Word task (15WT) [3h before sleep on second evening: 15 neutral words repeated 3 times, na iedere presentatie immediate free recall | next morning 30/45min na awakening free delayed recall test (participants unaware of the delayed recall task)</t>
  </si>
  <si>
    <t>3 (2 control groups)</t>
  </si>
  <si>
    <t>15 (TC) [n=17 bij demografics (dus ook age), en n=15 voor word task] &amp; 15 (HC)</t>
  </si>
  <si>
    <t>TC: 37,2 | HC: 34,5</t>
  </si>
  <si>
    <t>TC: 6,1 | HC: 8,2</t>
  </si>
  <si>
    <t>Immediate (na 3de presentatie) &amp; delayed free recall</t>
  </si>
  <si>
    <t>PTSD_15WT_Third_Immediate_Recall</t>
  </si>
  <si>
    <t>PTSD_15WT_PostSleepDelayedRecall</t>
  </si>
  <si>
    <t>Control_TC_15WT_Third_Immediate_Recall</t>
  </si>
  <si>
    <t>Control_TC_15WT_PostSleepDelayedRecall</t>
  </si>
  <si>
    <t>Control_HC_15WT_Third_Immediate_Recall</t>
  </si>
  <si>
    <t>Control_HC_15WT_PostSleepDelayedRecall</t>
  </si>
  <si>
    <t>data afgelezen uit tabel: NB nacht tussen leren &amp; memory continous blood sampling in alle subjects</t>
  </si>
  <si>
    <t>Geen verschil tussen PTSD, TC &amp; HC on immediate recall</t>
  </si>
  <si>
    <t>(in tabel: ANOVA; p=0,62; in tekst p=0,162)</t>
  </si>
  <si>
    <t>NB: in de TC verschillende sample sizes! --&gt; N=17 bij demografics (incl age) en n=15 bij word task | Inconsistenties in statistische gegevens?</t>
  </si>
  <si>
    <t>overal P=0,031; posthoc (bonferonni corrected) PTSD&lt;HC: p=0,029 | TC vs HC (p=1,00) or PTSD (p=0,129)</t>
  </si>
  <si>
    <t>Groeps verschil on delayed recall: HC beter dan PTSD; geen verschil tussen TC en HC of PTSD || Repeated measures ANOVA over time (IR &amp; DR): main effect time (p&lt;0.001) &amp; main effect group (p=0,04 --&gt; bonferroni corrected: PTSD&lt;HC; p=0,047)), geen interactie (p=0,191) (dus in alle groupen DR slechter dan IR; en PTSD altijd slechter performance dan HC; de afname leek sterker in ptsd maar dat was niet sig.)</t>
  </si>
  <si>
    <t>Geen verschil tusen PTSD, TC &amp; HC in immediate verbal recall; PTSD wel slechter dan HC in delayed (overnight) recall [echter geen verschil tussen TC-HC en TC-PTSD] | Verder repeated measures: in alle groupen DelayedRecall slechter dan ImmediateRecall; en PTSD altijd slechter performance dan HC; Geen sig interactie</t>
  </si>
  <si>
    <t>M (78,9%) &amp; F</t>
  </si>
  <si>
    <t>M (70,9%) &amp; F</t>
  </si>
  <si>
    <t>Deployment (Persian Gulf War - Operation desert Storm)</t>
  </si>
  <si>
    <t>Veterans (Gulf War)</t>
  </si>
  <si>
    <t>SCID (DSM-III-R) voor ptsd en comorbid stoornissen</t>
  </si>
  <si>
    <t>Combat controls (no mental disorder volgens SCID)</t>
  </si>
  <si>
    <t>Rey Auditory Verbal-Learning Test (AVLT): 5 learning trials list A, interference trial of new list (B), short delay recall of list A en long-delay recall 30 min later, &amp; yes-no recognition test (direct na delay memory) met targets(A), list (B) woorden, en niet eerder geziene woorden (nonstudied distractor)</t>
  </si>
  <si>
    <t>p.128: To replicate previous research, variables of primary interest for the AVLT pertained to proficiency of List A recall and included the sum of correctly recalled words List A, Trials 1—5; total correct List A, short-delay recall; and total correct List A, long-delay recall. In addition, qualitative indexes included proactive interference and retroactive interference ratios, expressed as the follow ing: L ist B recall/Trial 5, List A recall and short-delay. List A recall/Trial 5, L ist A recall, respectively; a savings ratio, expressed as long-delay recall/short-delay recall; intrusions and perseverations, List A, Trials 1-5 and delayed-recall conditions; and long-delay recognition hits and m isses.  -- Highlighted 07 Sep 2017</t>
  </si>
  <si>
    <t>Continuous Visual Memory Test (CVMT): continous recognition memory during initial learning &amp; multiple-choice recognition after 30min delay &amp; perceptual matching task consisting of multiple choice selection of the target item from a seven-item array</t>
  </si>
  <si>
    <t>p.128: Variables of primary interest for the CVMT included total correct during the learning phase and total correct after the 30-min delay. Qualitative measures included false positives during the learning phase. The perceptual matching task was administered to exclude the possibility of influence of primary perceptual deficits on m em ory perform ance. -- Highlighted 07 Sep 2017</t>
  </si>
  <si>
    <t xml:space="preserve">PTSD_AVLT_Total recall, Trials 1-5 </t>
  </si>
  <si>
    <t>PTSD_AVLT_Short-delay recall</t>
  </si>
  <si>
    <t>PTSD_AVLT_Long-delay recall</t>
  </si>
  <si>
    <t>PTSD_AVLT_Savings ratio</t>
  </si>
  <si>
    <t>PTSD_AVLT_Proactive interference ratio</t>
  </si>
  <si>
    <t xml:space="preserve">PTSD_AVLT_Retroactive interference ratio </t>
  </si>
  <si>
    <t>PTSD_AVLT_Perseverations, all recall trials</t>
  </si>
  <si>
    <t>PTSD_AVLT_Intrusions, all recall trials</t>
  </si>
  <si>
    <t>PTSD_AVLT_Recognition, hits</t>
  </si>
  <si>
    <t>PTSD_AVLT_Recognition, false positives</t>
  </si>
  <si>
    <t xml:space="preserve">Control_AVLT_Total recall, Trials 1-5 </t>
  </si>
  <si>
    <t>Control_AVLT_Short-delay recall</t>
  </si>
  <si>
    <t>Control_AVLT_Long-delay recall</t>
  </si>
  <si>
    <t>Control_AVLT_Savings ratio</t>
  </si>
  <si>
    <t>Control_AVLT_Proactive interference ratio</t>
  </si>
  <si>
    <t xml:space="preserve">Control_AVLT_Retroactive interference ratio </t>
  </si>
  <si>
    <t>Control_AVLT_Perseverations, all recall trials</t>
  </si>
  <si>
    <t>Control_AVLT_Intrusions, all recall trials</t>
  </si>
  <si>
    <t>Control_AVLT_Recognition, hits</t>
  </si>
  <si>
    <t>Control_AVLT_Recognition, false positives</t>
  </si>
  <si>
    <t>F(1,41)=5,38; p=0,25</t>
  </si>
  <si>
    <t>control better then ptsd in short delay recall</t>
  </si>
  <si>
    <t>F(1,41)=9,06; p=0,004</t>
  </si>
  <si>
    <t>control better then ptsd in long delay verbal recall</t>
  </si>
  <si>
    <t>F(1,41)=4,97; p=,031</t>
  </si>
  <si>
    <t>F(1,41)=0,01, p=0,892</t>
  </si>
  <si>
    <t>F(1,41)=0,08; p=0,777</t>
  </si>
  <si>
    <t>F(1,41)=5,54; p=0,024</t>
  </si>
  <si>
    <t>F(1,41)=0,00; p=0,953</t>
  </si>
  <si>
    <t>ptsd meer intrusions then control</t>
  </si>
  <si>
    <t>F(1,41)=5,28; p=0,27</t>
  </si>
  <si>
    <t>geen verscihl in recognition hits</t>
  </si>
  <si>
    <t>F(1,41)=0,36; p=0,554</t>
  </si>
  <si>
    <t>ptsd more false positives in recogntion then control</t>
  </si>
  <si>
    <t>F(1,41)=4,89; p=0,033</t>
  </si>
  <si>
    <t>PTSD_CVMT_TotalCorrect_LearningPhase</t>
  </si>
  <si>
    <t>Control_CVMT_TotalCorrect_LearningPhase</t>
  </si>
  <si>
    <t>PTSD_CVMT_TotalCorrect_Delay</t>
  </si>
  <si>
    <t>Control_CVMT_TotalCorrect_Delay</t>
  </si>
  <si>
    <t>PTSD_CVMT_TotalCorrect_FalsePositive_LearningPhase</t>
  </si>
  <si>
    <t>Control_CVMT_TotalCorrect_FalsePositive_LearningPhase</t>
  </si>
  <si>
    <t>F(1,41)=9,41;p=.004</t>
  </si>
  <si>
    <t>F(1,41)=4,43; p=.041</t>
  </si>
  <si>
    <t>ptsd more false positives tijdens learning phase then control</t>
  </si>
  <si>
    <t>F(1,41)=5.08; p=.030</t>
  </si>
  <si>
    <t>control beter dan ptsd in visual learning</t>
  </si>
  <si>
    <t>control beter delay visual memory then ptsd</t>
  </si>
  <si>
    <t>control beter in visual learning &amp; memory</t>
  </si>
  <si>
    <t>PTSD slechter in verbal learning &amp; free recall (short &amp; delay),  [ptsd slechter memory quality: ptsd more intrusions; en more false positives bij recogntion] &amp;&amp;--&gt; retroactive interferences ratio hoger in controls</t>
  </si>
  <si>
    <t>PTSD slechter in visual learning &amp; memory.. Mogelijk door meer false positives tijdens learning (=slechter quality van memory)</t>
  </si>
  <si>
    <t>in PTSD group ook comorbidity (n=13 [MDD, systhymia, panic disorder, social phobia, OCD, somatoform disorder]) in control group no psychopathology</t>
  </si>
  <si>
    <t>SCID for DSM-IV for comorbidity &amp; PTSD</t>
  </si>
  <si>
    <t>controls no dsm disorder (current of lifetime ptsd) | Of the 26 PTSD-diagnosed participants, 14 met criteria for a current comorbid mental disorder, including major depression (n   10), dysthymia (n   3), generalized anxiety disorder (n   2), and specific phobia (n   1).  &amp;&amp;  16 veterans in the PTSD group were taking psychotropic medications, including antidepressants (n   12), nonantihistamine anxiolytics (n   10), and sleep medication (n   7).</t>
  </si>
  <si>
    <t>Continuous Visual Memory Test (CVMT)</t>
  </si>
  <si>
    <t>auditory-verbal learning and memory (initial &amp; delayed)</t>
  </si>
  <si>
    <t>visuospatial learning &amp; memory (initial &amp; delayed)</t>
  </si>
  <si>
    <t xml:space="preserve">Variables of interest for the AVLT pertained to proficiency of List A recall and included the sum of correctly recalled words from List A, Trials 1–5 (learning); retroactive interference ratio, calculated as List A recall/Trial 5 (memory); and a memory savings ratio, expressed as long-delay recall/short-delay recall (memory). </t>
  </si>
  <si>
    <t>Variables of interest for the CVMT were total correct in acquisition phase (learning) and total correct in delayed recall (memory).</t>
  </si>
  <si>
    <t>Control_AVLT_Total correct trials 1–5 [=leren]</t>
  </si>
  <si>
    <t>PTSD_TotalCorrect_Delay</t>
  </si>
  <si>
    <t>Control_TotalCorrect_Delay</t>
  </si>
  <si>
    <t>control (psychopahtology free) better learning then ptsd group</t>
  </si>
  <si>
    <t>F(1,45) = 7,48; p=.01</t>
  </si>
  <si>
    <t>PTSD_AVLT_RetroactiveInterferenceRatio_(=memory)</t>
  </si>
  <si>
    <t>Control_AVLT_RetroactiveInterferenceRatio_(=memory)</t>
  </si>
  <si>
    <t>PTSD_AVLT_SavingsRatio_(=memory)</t>
  </si>
  <si>
    <t>Control_AVLT_SavingsRatio_(=memory)</t>
  </si>
  <si>
    <t xml:space="preserve">no difference </t>
  </si>
  <si>
    <t>F(1,45) = 0,45; p=.51 NS</t>
  </si>
  <si>
    <t>no difference</t>
  </si>
  <si>
    <t xml:space="preserve">PTSD slechter in verbal learning, no diff in memory  </t>
  </si>
  <si>
    <t>f(1,45) = 0,02; p=.90 NS</t>
  </si>
  <si>
    <t>F(1,45)=0,03; p=.88 NS</t>
  </si>
  <si>
    <t>F(1,45) = 0,00; p=.97 NS</t>
  </si>
  <si>
    <t>Geen verschil in visiospatial learning en memory tussen ptsd &amp; control</t>
  </si>
  <si>
    <t>[12h light/dark cycle (lights on at 07.30))</t>
  </si>
  <si>
    <t xml:space="preserve">SPS [2h restrained; 20 forced swim; 15min rest; exposure to room saturated in CO2 till loss of consciousness (ong. 45-50s) + Olfactory (piece of cotton wool soaked in lemon oil (100ul) - during restrained) &amp; auditory (pink noise 20Hz to 20kHz bandwidth; 80dB - present throughout SPS) cues </t>
  </si>
  <si>
    <t>handled for 1.5min in colony room on SPS day</t>
  </si>
  <si>
    <t>Memory for trauma related cues (odor discrimination &amp; freezing to tone)</t>
  </si>
  <si>
    <t>Avoidance of trauma-associated Odor (D36 na SPS): Y-Maze with filter paper soaked in 100ul of either peppermint oil (new oder) or lemon oil (trauma-associated odor for SPS rats &amp; new odor for CTRL rats) placed under the grids of two different arms; 3e arm free of specifc odor [location of ams changed during the 2 days] - 5min free exploration time| &amp; | Reactivity to trauma-associated tone (D43 na SPS): 10min in box, freezing recored 70s before first tone; 2 seires of 20s tone separated by a two-minute interval: 1 session New tone (75dB, 500Hz, 2e session trauma tone (80dB pink noise); each tone delivered 3 times met variable time interval (45-80s)</t>
  </si>
  <si>
    <t>Odor: time spend (S) in each section of Y-Maze [entry=80% of rat's full body enterd the open or closed arm; exit=70% outside of the area - time in trauma-associated &amp; new odor area's is index of avoidance | Tone: % freezing behaviour during tone, post-tone</t>
  </si>
  <si>
    <t>PTSD(SPSgroup)_TimeSpent(s)_NewOdorArm</t>
  </si>
  <si>
    <t>Control(group)_TimeSpent(s)_NewOdorArm</t>
  </si>
  <si>
    <t>PTSD(SPSgroup)_TimeSpent(s)_TraumaOdorArm</t>
  </si>
  <si>
    <t>sps less time in trauma odor arm then control</t>
  </si>
  <si>
    <t>Control(group)_TimeSpent(s)_TraumaOdorArm [=nieuw oder for this group]</t>
  </si>
  <si>
    <t>geen verschil tussen sps&amp; control in tijd in new odor arm</t>
  </si>
  <si>
    <t>SPS group meer tijd in new oder arm dan in trauma odor arm, geen verschil tussen deze armen voor control group</t>
  </si>
  <si>
    <t>PTSD_%Freezing_NoTone</t>
  </si>
  <si>
    <t>Control_%Freezing_NoTone</t>
  </si>
  <si>
    <t>PTSD_%Freezing_NewTone</t>
  </si>
  <si>
    <t>Control_%Freezing_NewTone</t>
  </si>
  <si>
    <t>PTSD_%Freezing_TraumaTone</t>
  </si>
  <si>
    <t>Control_%Freezing_TraumaTone</t>
  </si>
  <si>
    <t>geen verschil tussen control en ptsd bij afwezigheid tone</t>
  </si>
  <si>
    <t>geen verschil tussen sps &amp; control bij freezing to new tone (niet sig, sps lijkt wel hoger)</t>
  </si>
  <si>
    <t>geen verschil sps-control zonder tone en op new tone)</t>
  </si>
  <si>
    <t>beide ns</t>
  </si>
  <si>
    <t xml:space="preserve">SPS rats avoid trauma odor &amp; freeze more to trauma tone, verder geen verschillen tussen de groupen (dus ze onthouden, maar generalizeren niet) </t>
  </si>
  <si>
    <t>SPS-Resilient n=10 &amp; SPS-Susceptible n=6</t>
  </si>
  <si>
    <t xml:space="preserve">resiliten VS sussectible SPS [2h restrained; 20 forced swim; 15min rest; exposure to room saturated in CO2 till loss of consciousness (ong. 45-50s) + Olfactory (piece of cotton wool soaked in lemon oil (100ul) - during restrained) &amp; auditory (pink noise 20Hz to 20kHz bandwidth; 80dB - present throughout SPS) cues </t>
  </si>
  <si>
    <t>3 (SPS-R &amp; SPS-S &amp; Control)</t>
  </si>
  <si>
    <t>2 (SPS &amp; Control)</t>
  </si>
  <si>
    <t>PTSD-R(SPS-Resilient)_TimeSpent(s)_NewOdor</t>
  </si>
  <si>
    <t>PTSD-S(SPS-Suseptible)_TimeSpent(s)_NewOdor</t>
  </si>
  <si>
    <t>Control_TimeSpent(s)_NewOdor</t>
  </si>
  <si>
    <t>1,2 [zelfde taken zelfde dieren, anders gegeroepeerd; NB control groups wel het zelfde]</t>
  </si>
  <si>
    <t>trauma exposed = ptsd group; data uit grafiek afgelezen</t>
  </si>
  <si>
    <t>trauma exposed onderverdeelt in susseptible en resilient group; data uit grafiek afgelezen</t>
  </si>
  <si>
    <t>Control_TimeSpent(s)_TraumaOdor</t>
  </si>
  <si>
    <t>PTSD-R(SPS-Resilient)_TimeSpent(s)_TraumaOdor</t>
  </si>
  <si>
    <t>PTSD-S(SPS-Suseptible)_TimeSpent(s)_TraumaOdor</t>
  </si>
  <si>
    <t>zie txt</t>
  </si>
  <si>
    <t>PTSD-R(SPS-Resilient)_%Freezing_NoTone</t>
  </si>
  <si>
    <t>PTSD-S(SPS-Suseptible)_%Freezing_NoTone</t>
  </si>
  <si>
    <t>PTSD-R(SPS-Resilient)_%Freezing_NewTone</t>
  </si>
  <si>
    <t>PTSD-S(SPS-Suseptible)_%Freezing_NewTone</t>
  </si>
  <si>
    <t>PTSD-R(SPS-Resilient)_%Freezing_TraumaTone</t>
  </si>
  <si>
    <t>PTSD-S(SPS-Suseptible)_%Freezing_TraumaTone</t>
  </si>
  <si>
    <t>geen verschil in freezing tussen control, sps-s en sps-r bij no tone</t>
  </si>
  <si>
    <t>SPS-S More freezing to trauma tone then SPS-R &amp; Control; geen verschil tussen control en SPS-R</t>
  </si>
  <si>
    <t>nb animals gestes in 2 cohort, daarna groepen samengevoegd</t>
  </si>
  <si>
    <t>[ (F(1, 28) = 6.26, p = .017) ]</t>
  </si>
  <si>
    <t>SPS:  (F(1, 14) = 9.96, p = .007)</t>
  </si>
  <si>
    <t>sps vs control: (F(1, 29) = 5.92, p &lt; .02) [grafiek: .025&gt;p&gt;.01  ] | sps- no vs new tone:  (F(1, 15) = 12.08, p = .003) &amp;  sps - no vs trauma tone: (F(1, 15) = 9.85, p = .007).</t>
  </si>
  <si>
    <t>sps rat more freezing to trauma tone then controls | SPS: verschil tussen no &amp; new en tussen no &amp; trauma tone</t>
  </si>
  <si>
    <t>exposed [onderverdeelt in Resilient &amp; Susceptible, based on basal level of anxiety (EPM) en reactivty to novelty (locomotor in Circular corridor) --&gt; rangt per behavioral triant &amp; median split &amp; non-exposed - p.169: Rats were considered to develop PTSD-like symptom when their performance (on avoidance of trauma-associated odor, reactivity to trauma -realated tone, response to acoustic startle &amp; EPM postest) differed more than one standard deviation from the mean level of the CTRL group, in 3 indices with more than a half standard deviation in the EPM post-stress test -- bij 3/4 'symptomen' --&gt; suseptible group</t>
  </si>
  <si>
    <t xml:space="preserve">CTRL vs SPS-S:  (F(1, 19) = 5.15, p = .033 ) &amp; SPS-R vs SPS-S: F(1, 13) = 5.26, p = .037 | CONTROL-SPS-R: (New odor arm: F(1, 22) = 1.01, ns;) </t>
  </si>
  <si>
    <t>SPS-S less time in new odor arm then SPS-R &amp; control ; geen verschil tussen Control en SPS-R</t>
  </si>
  <si>
    <t>Geen verschil tussen Control &amp; SPS-R (F(1,22)=2,22, NS) &amp; SPS-S less time then control in trauma odor arm (F(1,19)=6,98, p=.015) &amp; Geen verschil tussen SPS-S en SPS-R</t>
  </si>
  <si>
    <t>SPS-S more freezing to new tone then control &amp; SPS-R; geen verschil tussen control en SPS-R -- while susceptible rats differed both from the resilient and from the CTRL rats, during trauma-associated tone  and , and during the new tone (F(1, 13) = 8.06, p = .013 and F(1, 19) = 5.67, p = .027),</t>
  </si>
  <si>
    <t>SPS-S SPS-R (F(1, 13 = 5.59, p = .03) &amp; Control SPS-S (F(1, 19) = 5.67, p = .027)| p.169:  resilient rats never differed from CTRL (Fs &lt; 1)</t>
  </si>
  <si>
    <t>control-SPS-S F(1, 19) = 5.67, p = .027) &amp; SPS-S-SPSR (F(1, 13) = 8.06, p = .013) |(SPS-R -Control, Fs&lt;1, NS) |  suggesting some generalization processes</t>
  </si>
  <si>
    <t xml:space="preserve">Resilient trauma exposed rats onthouden trauma ODOR cue, suseptible rats niet..; SPS-S rats freeze more to new &amp; trauma tone then control EN SPS-R..(--&gt; suggest some generalization) | SPS-R maken geen onderscheidt (geen memory hiervoor of geen angst?) </t>
  </si>
  <si>
    <t>geen PTSD group, maar MTBI groups.. Wel PTSD gemeten associatie analyses met neuropychological outcomes bekeken in mTBI groups. | marginaal verschil in ptsd scores voor de verschillende TBI groups (no-TBI; TBI met LOC; TBI zonder LOC)</t>
  </si>
  <si>
    <t>light (laatset 6h light cyle; on 12-h light/dark cycle)</t>
  </si>
  <si>
    <t>day 9 (na spatial training &amp; test) --&gt; Underwater Trauma (in morris water maze waar ook training &amp; test is) - 1min forced swim &amp; 30s under water [location trauma restricted to part of the water maze opposite to quadrant 1, to exclude possible avdersive conditioning to avoid that quadrant]</t>
  </si>
  <si>
    <t>day 9 (na spatial training &amp; test) --&gt; 1min swim in watermaze</t>
  </si>
  <si>
    <t>Water Maze (training: 2 blocks of 3 trials per day; for 8 days, test: followed by 1-min quadrant analysis test (no escape platform, at the end of eight day) [d9 trauma + 20min daarna second quadrant analysis test]</t>
  </si>
  <si>
    <t>spatial learning &amp; memory (leren &amp; test voor trauma en na trauma, in trauma omgeving)</t>
  </si>
  <si>
    <t>PTSD_Pretrauma_D8_%of total distance in quadrant1</t>
  </si>
  <si>
    <t>Control_Pretrauma_D8_%of total distance in quadrant1</t>
  </si>
  <si>
    <t>Control_Posttrauma_D9_%of total distance in quadrant1</t>
  </si>
  <si>
    <t>PTSD_Posttrauma_D9_%of total distance in quadrant1</t>
  </si>
  <si>
    <t>[niet aangeven of het SEM of STD is, meestal SEM bij animal work, daarom daar neer gezet]</t>
  </si>
  <si>
    <t>zie txt.</t>
  </si>
  <si>
    <t>beide groupen sig. different van change level: [Fig. 1A; quadrant 1, t-test for difference from chance: control, t(4)  = 8.16, p = 0.0012; trauma, t(9) = 6.72, p = 0.0001] &amp; geen verschil tussen de groepen ( [t-test for quadrant 1: t(13) = 1.28, p = 0.2227, NS].)</t>
  </si>
  <si>
    <t>Distance in quadrant (% of total distance) - distance voor alle quadranten (1-4) gegeven, echter alleen data qudrant 1 overgenomen = platform quadrant (want die data vergeleken met de gerapporteerde statistics)</t>
  </si>
  <si>
    <r>
      <t>control group showed a significant bias towards the quadrant in which the platform had previously been located [Fig. 1B, quadrant 1, t-test for difference from chance: t(4) = 6.52, p  = 0.0029] | contrast, the trauma group showed no such bias [quadrant 1, t-test for difference from chance: t(9)  =1.42, p  =0.1892, NS |</t>
    </r>
    <r>
      <rPr>
        <b/>
        <u/>
        <sz val="12"/>
        <color rgb="FF000000"/>
        <rFont val="Calibri"/>
        <family val="2"/>
      </rPr>
      <t>EFFECT UT: there was a significant difference between the control and the trauma groups [Fig. 1B; t-test for quadrant 1: t(13)  =4.2, p  =0.001].</t>
    </r>
  </si>
  <si>
    <t>pre trauma geen verschil, post trauma geen spatial memory meer (presetatie op kanslevel)..</t>
  </si>
  <si>
    <t>pre trauma geen verschil, post trauma geen spatial memory meer (presetatie op kanslevel) in trauma group.. Dus trauma impaires retrieval van previous formed memory</t>
  </si>
  <si>
    <t>Control_DifferencePre&amp;PostTest_DistanceQuadrant1(within-groupComparison)</t>
  </si>
  <si>
    <t>PTSD_DifferencePre&amp;PostTest_DistanceQuadrant1(within-groupComparison)</t>
  </si>
  <si>
    <t>Niet gerapporteerd of het SEM of SD is…</t>
  </si>
  <si>
    <t>In ptsd group, reduction of distance in correct quadrant na trauma (paired t-test (t(9)=6,24; p=0,002), in control geen verschil (t(4)=0.09 NS) | Sig verschil in verschil tussen controle &amp; trauma group</t>
  </si>
  <si>
    <t>Verschil verschil controle - trauma: t(13) = 3,97; p=0.0016</t>
  </si>
  <si>
    <t>data uit grafiek afgelezen; ook LTP in hippocampus gemeten na second spatial test phase</t>
  </si>
  <si>
    <t>CAPS (en SCID dsm-IV voor comorbidity) [ook combat exposure scale, life event checklist en mississippi scale for combat-related ptsd, BDI en SMAST]</t>
  </si>
  <si>
    <t>Combat Controles [ never met PTSD criteria as result fo militayr or civilian trauma ]</t>
  </si>
  <si>
    <t>Deployment (Vietnam or Persian Gulf war) (naar military trauma, some partiticipants ook civilian trauma)</t>
  </si>
  <si>
    <t>[niet reported, maar vermoedelijk man (vietnam vets)]</t>
  </si>
  <si>
    <t>gender sample niet reported; NB, leeftijd (mean &amp; st) per group (PTSD- &amp; PTSD+) in artikel uitgesplits naar wel of geen alcohol abuse in verleden.. Latere memory gegevens niet meer uitgeplits naar ETOH- of ETOH+ per groupen (PTSD- &amp; PTSD+).. Daarom sample sizes opgetelt &amp; leeftijd gemiddelde van (MEan &amp; STD) berekend door beide sub groepen (ETOH- &amp; ETHO+) samen te voegen</t>
  </si>
  <si>
    <t>NB 75% PTD+ group ook MDD; baseline memory performance &amp; memory performance na TSST</t>
  </si>
  <si>
    <t>2 (met uitsplitsing ETOH 4, echter memory data van 2 groupen)</t>
  </si>
  <si>
    <t>Verbal memory after stress</t>
  </si>
  <si>
    <t>Visual memory after stress</t>
  </si>
  <si>
    <t>Logical Memory (LM) Subtest of the Wechsler Memory Scale -III (alleen baseline) &amp; Hopkins Verbal Learning Test (HVLT) (baseline &amp; na tsst (die staat op andere regel)</t>
  </si>
  <si>
    <t>Hopkins Verbal Learning Test (HVLT) (baselinedie (staat op andere regel) &amp; na tsst</t>
  </si>
  <si>
    <t>Visual declarative memory (copy &amp; recall)</t>
  </si>
  <si>
    <t>verbal declarative memory (immediate en delayed) [baseline = no stress]</t>
  </si>
  <si>
    <t>Rey Visual Design Learning Test (RVDLT) (baseline (die op andere regel) &amp; na TSST )</t>
  </si>
  <si>
    <t>Rey-Osterrieth Complex Figure Test (ROCFT) (only baseline) &amp; Rey Visual Design Learning Test (RVDLT) (baseline &amp; na TSST (die op andere regel))</t>
  </si>
  <si>
    <t>LM Total Learning, LM delayed Recall; HVLT Total Learning, HVLT Retention</t>
  </si>
  <si>
    <t>HVLT Change (trial 2 - trial 1) = pre-/post-stress change scores</t>
  </si>
  <si>
    <t>RVDLT change (trial 2 - trial 1) = pre-/post-stress change scores</t>
  </si>
  <si>
    <t>ROCFT copy, ROCFT recall; RVDLT Total learning, RVDLT retention</t>
  </si>
  <si>
    <t>PTSD_LM_TotalLearning</t>
  </si>
  <si>
    <t>Control_LM_TotalLearning</t>
  </si>
  <si>
    <t>PTSD_LM_DelayedRecall</t>
  </si>
  <si>
    <t>Control_LM_DelayedRecall</t>
  </si>
  <si>
    <t>PTSD_HVLT_TotalLearning</t>
  </si>
  <si>
    <t>Control_HVLT_TotalLearning</t>
  </si>
  <si>
    <t>PTSD_HVLT_Retention</t>
  </si>
  <si>
    <t>Control_HVLT_Retention</t>
  </si>
  <si>
    <t>PTSD_RVDLT_TotalLearning</t>
  </si>
  <si>
    <t>Control_ROCFT_Recall</t>
  </si>
  <si>
    <t>PTSD_ROCFT_Recall</t>
  </si>
  <si>
    <t>Control_RVDLT_TotalLearning</t>
  </si>
  <si>
    <t>PTSD_RVDLT_Retention</t>
  </si>
  <si>
    <t>Control_RVDLT_Retention</t>
  </si>
  <si>
    <t>PTSD_HVLT_Pre-PostStressChangeScore</t>
  </si>
  <si>
    <t>Control_HVLT_Pre-PostStressChangeScore</t>
  </si>
  <si>
    <t>PTSD_RVDLT_Pre-PostStressChangeScore</t>
  </si>
  <si>
    <t>Control_RVDLT_Pre-PostStressChangeScore</t>
  </si>
  <si>
    <t>F(1,89)=4,27; p&lt;.05; partial n2=0,046</t>
  </si>
  <si>
    <t>ptsd mildly reduced LM perfomance relative to those without PTSD; geen sig effect van recall trial</t>
  </si>
  <si>
    <t>F(1,89)=5,89; p&lt;.05, partial n2=0.062</t>
  </si>
  <si>
    <t>Main effect PTSD: F(1,89) =6,9; p&lt;.01; partial n2= 0,072; ook main effect trial (copy vs recall: F(1,90)=12,2; p&lt;.001)</t>
  </si>
  <si>
    <t>modest effect of ptsd on HVLT total learning</t>
  </si>
  <si>
    <t>wilk's lambda = 0,974, F(2,88)=1,16, NS</t>
  </si>
  <si>
    <t>PTSD*ETOH*session interaction --&gt; subanalyes: ETOH*Sessie interactie alleen in PTSD+ group</t>
  </si>
  <si>
    <t>HVLT percent retention exhibited a significant interaction of PTSD, ETOH, and Session, Wilks’ Lambda = 0.900, F(2, 88) = 4.89, p &lt; .01, partial η2 = 0.10. This two-way interaction was significant only in PTSD+ participants, Wilks’ Lambda = 0.842, F(2, 43) = 4.89, p &lt; .01, partial η2 = 0.158, among whom HVLT percent retention diverged on the third (post-TSST2) trial as a function of ETOH.  -----&gt; DUS geen verschil op baseline!</t>
  </si>
  <si>
    <t>PTSD slechter in visual memory (copy &amp; delayed recall (want geen interactie effect met trial)) [ROCFT]</t>
  </si>
  <si>
    <t>PTSD mildly reduced verbal memory performance (geen interactie met trial, dus op immediate &amp; delayed); geen baseline verschil in HVLT..</t>
  </si>
  <si>
    <t>no difference RVDLT</t>
  </si>
  <si>
    <t>no effect session = geen sig. Change ----&gt; wel verschil tussen post TSST1 &amp; post TSST2 in PTSD+, ETHO+ participants (HVLT retention drops at post-TSST2 [mean data not shown…for total ptsd group (maar uitgesplitst naar ETOH- &amp; ETOH+)</t>
  </si>
  <si>
    <t xml:space="preserve">no effect session = geen sig. Change </t>
  </si>
  <si>
    <t>geen effect stress op visual memory</t>
  </si>
  <si>
    <t>geen effect stress op verbal memory (alleen in ptsd+, ETOH+ group drop in retention na 2de TSST)…. (dus in effect in interactie met alcohol abuse)</t>
  </si>
  <si>
    <t>NB PTSD Group = chronic ptsd! Control group no ptsd (current en past) or other axis1 (current)</t>
  </si>
  <si>
    <t>CAPS; SCID for comorbidity</t>
  </si>
  <si>
    <t>Logical Memory (LM) Subtest of Wechsler Memory Scale-III</t>
  </si>
  <si>
    <t>PTSD_%Savings at delay(retention)</t>
  </si>
  <si>
    <t>Control_%Savings at delay(retention)</t>
  </si>
  <si>
    <t>Verbal memory ( immediate &amp; delayed recall)</t>
  </si>
  <si>
    <t>ptsd minder % saving( = minder verbal retention) then control</t>
  </si>
  <si>
    <t>(immediate, delayed recall) only percent savings at delay reported (in m &amp; SD) (% information retained from immediate to delayed recall) --&gt; putatively hippocampal-dependent retention | NB means adjusted for vocabulary measures!! (=verbal IQ; vocubualry values: PTSD+: M=10,3, SD=3,5; PTSD-: M=10,7, SD=3,0)</t>
  </si>
  <si>
    <t>ptsd geen effect op verbal learning, wel op % retention</t>
  </si>
  <si>
    <t>F=5,0; df=1,31; p=0,03  [nb geen verschil in inital learning (immediate recall: F=1,35; df=1, 32; NS --&gt; M &amp; SD hiervan not shown)</t>
  </si>
  <si>
    <t>NB only van % saving (=verschil delayed en immediate recall);  M &amp; SD per group reported.. Niet van immediate &amp; delayed recall zelf</t>
  </si>
  <si>
    <t>Combat Controles &amp; non-combat veterans</t>
  </si>
  <si>
    <t>Deployment [total sample: WWII (n=25); korean War (n=7); vietnam war (n=21); 2 in meerdere &amp;The distribution of war veterans in the PTSD group is 14 WWII, 3 Korean War, and 13 Vietnam Veterans]</t>
  </si>
  <si>
    <t xml:space="preserve">CAPS &amp; SCID-IV </t>
  </si>
  <si>
    <t>3 (ptsd &amp; trauma en non-trauma control)</t>
  </si>
  <si>
    <t>California Verbal Learning Test (CVLT) - CVLT, a list of 16 words (List A) is presented five times in succession, and subjects are instructed to recall as many of the words as possible after each presentation of the word list. After the five test trials of List A, a new list of words (List B) is read to the subjects, after which they are instructed to recall as many wordas possible from List B. Subjects are then asked to recall List A again (short delay free recall; SDFR) and, after a 20 minute interval, are asked to recall List A (long delay free recall; LDFR). Cued recall is also collected after the short and long delay free recall conditions and recognition memory is examined after the long-delay cued recall.</t>
  </si>
  <si>
    <t>dependent variables were the number of words recalled following Trial 1, performance on learning Trials 1 through 5 (total learning), after a short delay (short term retention) and after a longer delay (delayed recall), as well as short-delay and long-delay cued recall and a recognition test which yields the number of ‘hits’ (i.e., correctly identified target words). In addition subjects were evaluated for differences in proactive interference (List B minus List A Trial 1; difficulty in subsequent learning as a result of initial learning), retroactive interference (SDFR-List A Trial 5; difficulty recalling previously learned information as a result of newly learned information), retention (LDFR-SDFR; short term retention compared to long term retention) and response bias.</t>
  </si>
  <si>
    <t>combat: 67,6; non-combat: 65,1</t>
  </si>
  <si>
    <t>combat: 12,1; non-combat: 9,6</t>
  </si>
  <si>
    <t>PTSD_FreeRecall_Trial 1(Initial learning/attention) </t>
  </si>
  <si>
    <t>PTSD_FreeRecall_Trial 1–5(Total learning)</t>
  </si>
  <si>
    <t>CombatControl_FreeRecall_Trial 1(Initial learning/attention) </t>
  </si>
  <si>
    <t>NONCombatControl_FreeRecall_Trial 1(Initial learning/attention) </t>
  </si>
  <si>
    <t>CombatControl_FreeRecall_Trial 1–5(Total learning)</t>
  </si>
  <si>
    <t>NONCombatControl_FreeRecall_Trial 1–5(Total learning)</t>
  </si>
  <si>
    <t>PTSD_FreeRecall_List B</t>
  </si>
  <si>
    <t>CombatControl_FreeRecall_List B</t>
  </si>
  <si>
    <t>NONCombatControl_FreeRecall_List B</t>
  </si>
  <si>
    <t>PTSD_FreeRecall_ShortDelay(SDFR)</t>
  </si>
  <si>
    <t>CombatControl_FreeRecall_ShortDelay(SDFR)</t>
  </si>
  <si>
    <t>NONCombatControl_FreeRecall_ShortDelay(SDFR)</t>
  </si>
  <si>
    <t>PTSD_FreeRecall_LongDelay(LDFR)</t>
  </si>
  <si>
    <t>CombatControl_FreeRecall_LongDelay(LDFR)</t>
  </si>
  <si>
    <t>NONCombatControl_FreeRecall_LongDelay(LDFR)</t>
  </si>
  <si>
    <t>PTSD_CuedRecall_ShortDelay(SDCR)</t>
  </si>
  <si>
    <t>CombatControl_CuedRecall_ShortDelay(SDCR)</t>
  </si>
  <si>
    <t>NONCombatControl_CuedRecall_ShortDelay(SDCR)</t>
  </si>
  <si>
    <t>PTSD_CuedRecall_LongDelay(SDLR)</t>
  </si>
  <si>
    <t>CombatControl_CuedRecall_LongDelay(SDLR)</t>
  </si>
  <si>
    <t>NONCombatControl_CuedRecall_LongDelay(SDLR)</t>
  </si>
  <si>
    <t>PTSD_ContrastMeasures_ProactiveInterference</t>
  </si>
  <si>
    <t>CombatControl_ContrastMeasures_ProactiveInterference</t>
  </si>
  <si>
    <t>NONCombatControl_ContrastMeasures_ProactiveInterference</t>
  </si>
  <si>
    <t>Outcome25_VarName</t>
  </si>
  <si>
    <t>Outcome25_M</t>
  </si>
  <si>
    <t>Outcome25_SD</t>
  </si>
  <si>
    <t>Outcome25_SEM</t>
  </si>
  <si>
    <t>Outcome26_VarName</t>
  </si>
  <si>
    <t>Outcome26_M</t>
  </si>
  <si>
    <t>Outcome26_SD</t>
  </si>
  <si>
    <t>Outcome26_SEM</t>
  </si>
  <si>
    <t>Diff_outcome25-26Statistic</t>
  </si>
  <si>
    <t>Outcome27_VarName</t>
  </si>
  <si>
    <t>Outcome27_M</t>
  </si>
  <si>
    <t>Outcome27_SD</t>
  </si>
  <si>
    <t>Outcome27_SEM</t>
  </si>
  <si>
    <t>Outcome28_VarName</t>
  </si>
  <si>
    <t>Outcome28_M</t>
  </si>
  <si>
    <t>Outcome28_SD</t>
  </si>
  <si>
    <t>Outcome28_SEM</t>
  </si>
  <si>
    <t>Diff_outcome27-28Statistic</t>
  </si>
  <si>
    <t>Outcome29_VarName</t>
  </si>
  <si>
    <t>Outcome29_M</t>
  </si>
  <si>
    <t>Outcome29_SD</t>
  </si>
  <si>
    <t>Outcome29_SEM</t>
  </si>
  <si>
    <t>Outcome30_VarName</t>
  </si>
  <si>
    <t>Outcome30_M</t>
  </si>
  <si>
    <t>Outcome30_SD</t>
  </si>
  <si>
    <t>Outcome30_SEM</t>
  </si>
  <si>
    <t>Diff_outcome27-28SUM</t>
  </si>
  <si>
    <t>Diff_outcome25-26Sum</t>
  </si>
  <si>
    <t>Diff_outcome29-30Statistic2</t>
  </si>
  <si>
    <t>Diff_outcome29-30SUM</t>
  </si>
  <si>
    <t>PTSD_ContrastMeasures_RecognitionHits</t>
  </si>
  <si>
    <t>CombatControl_ContrastMeasures_RecognitionHits</t>
  </si>
  <si>
    <t>NONCombatControl_ContrastMeasures_RecognitionHits</t>
  </si>
  <si>
    <t>Outcome31_VarName</t>
  </si>
  <si>
    <t>Outcome31_M</t>
  </si>
  <si>
    <t>Outcome31_SD</t>
  </si>
  <si>
    <t>Outcome31_SEM</t>
  </si>
  <si>
    <t>Outcome32_VarName</t>
  </si>
  <si>
    <t>Outcome32_M</t>
  </si>
  <si>
    <t>Outcome32_SD</t>
  </si>
  <si>
    <t>Outcome32_SEM</t>
  </si>
  <si>
    <t>Diff_outcome31-32SUM</t>
  </si>
  <si>
    <t>Diff_outcome31-32Statistic</t>
  </si>
  <si>
    <t>PTSD_ContrastMeasures_ResponseBias</t>
  </si>
  <si>
    <t>CombatControl_ContrastMeasures_ResponseBias</t>
  </si>
  <si>
    <t>Outcome33_VarName</t>
  </si>
  <si>
    <t>Outcome33_M</t>
  </si>
  <si>
    <t>Outcome33_SD</t>
  </si>
  <si>
    <t>Outcome33_SEM</t>
  </si>
  <si>
    <t>Outcome34_VarName</t>
  </si>
  <si>
    <t>Outcome34_M</t>
  </si>
  <si>
    <t>Outcome34_SD</t>
  </si>
  <si>
    <t>Outcome34_SEM</t>
  </si>
  <si>
    <t>Diff_outcome33-34SUM</t>
  </si>
  <si>
    <t>Diff_outcome33-34Statistic</t>
  </si>
  <si>
    <t>NONCombatControl_ContrastMeasures_ResponseBias</t>
  </si>
  <si>
    <t>Outcome35_VarName</t>
  </si>
  <si>
    <t>Outcome35_M</t>
  </si>
  <si>
    <t>Outcome35_SD</t>
  </si>
  <si>
    <t>Outcome35_SEM</t>
  </si>
  <si>
    <t>Outcome36_VarName</t>
  </si>
  <si>
    <t>Outcome36_M</t>
  </si>
  <si>
    <t>Outcome36_SD</t>
  </si>
  <si>
    <t>Outcome36_SEM</t>
  </si>
  <si>
    <t>Diff_outcome35-36SUM</t>
  </si>
  <si>
    <t>Diff_outcome35-36Statistic</t>
  </si>
  <si>
    <t>PTSD_ContrastMeasures_RetroactiveInterference</t>
  </si>
  <si>
    <t>CombatControl_ContrastMeasures_RetroactiveInterference</t>
  </si>
  <si>
    <t>NONCombatControl_ContrastMeasures_RetroactiveInterference</t>
  </si>
  <si>
    <t>PTSD_ContrastMeasures_Retention(LDFR-SDFR)</t>
  </si>
  <si>
    <t>CombatControl_ContrastMeasures_Retention(LDFR-SDFR)</t>
  </si>
  <si>
    <t>NONCombatControl_ContrastMeasures_Retention(LDFR-SDFR)</t>
  </si>
  <si>
    <t>NB 40% meet criteria for substance abuse/dependence.. Verdeling daarvan gelijk in de groepen</t>
  </si>
  <si>
    <t>65=30+20+15 [in tekst staat 66…]</t>
  </si>
  <si>
    <t xml:space="preserve">no diff on trial 1 between groups </t>
  </si>
  <si>
    <t>F=0,13; df=2,62; p=0,88</t>
  </si>
  <si>
    <t>geen aandacht effect, wel een total learning effect</t>
  </si>
  <si>
    <t>Verbal learning &amp; memory [+ aandacht; initial learning maat]</t>
  </si>
  <si>
    <t>group difference in total learning (overall effect)| PTSD+ vs Non-Exposed group (p=0,003)</t>
  </si>
  <si>
    <t>F=6,15; df=2,62; p=0.004 (overall effect; main effet group)</t>
  </si>
  <si>
    <t>F=5,38; df=2,62; p=0,007 (main effect group)</t>
  </si>
  <si>
    <t>group verschil short delay free recall (overall effect) | PTSD+ vs Non-exposed control (p&lt;0.0005)</t>
  </si>
  <si>
    <t>F=8,56; df=2,62;p=0.001 (main effect group)</t>
  </si>
  <si>
    <t>F=9,59; df=2,62; p&lt;0.0005 (main effect group)</t>
  </si>
  <si>
    <t>F=4,92; df=2,62; p=0.01 (main effect group)</t>
  </si>
  <si>
    <t>F=8,13; df=2,62; p&lt;0.0005 (main effect group)</t>
  </si>
  <si>
    <t>groepsverschil long delay cued recall (overall effect) | PTSD+ vs Non-exposed control (p=0.002); PTSD+ vs PTSD- (p=0,01)</t>
  </si>
  <si>
    <t>groep verschil short delay cued recall (overall effect) | PTSD+ vs Non-exposed control (p=0.03); PTSD+ vs PTSD- (p=0.05)</t>
  </si>
  <si>
    <t>groep verschil long delay free recall (overall effect) | PTSD+ vs Non-exposed control (p&lt;0.0005); PTSD- vs Non-exposed (p=0,05)</t>
  </si>
  <si>
    <t>group verschil list B (overall effect) | PTSD+ vs Non-exposed control (p=0.008); PTSD- vs Non-exposed (p=0,03)</t>
  </si>
  <si>
    <t>The three groups differed on proactive interference (i.e., List B trial 1 minus List A trial 1) (F=6.27, df=2,62, p=0.003) with the PTSD+ group (p=0.006) and the PTSDgroup (p=0.008) showing greater interference than the non-exposed group</t>
  </si>
  <si>
    <t>the groups did not differ significantly on retroactive interference (i.e., SDFR-List A trial 5) or retention (LDFR-SDFR)</t>
  </si>
  <si>
    <t>groups differt on recognition hits (F=4.39, df=2,62, p=0.02) with the PTSD+ group having fewer hits than the non-exposed group (p=0.02),</t>
  </si>
  <si>
    <t>(F=4.39, df=2,62, p=0.02) - main effect group</t>
  </si>
  <si>
    <t>no dif? - niet specifiek statistics voor genoemd</t>
  </si>
  <si>
    <t>0 (zou wel kunnen als je data van groupen zonder substance abuse pp wil (echter resultaten vergelijkbaar, samples veel kleiner) =subgroup total sample)</t>
  </si>
  <si>
    <t>geen aandacht effect | [sig group effect op overall CVLT performance (Phillai's F=3.04; df=14,114; p=0,001)] | PTSD+ en non-exposed verschillen sig van elkaar op learning, SDFR, SDCR, LDFR, LDCR, &amp; list B | PTSD+ en trauma exposed verschillen alleen van elkaar op cued recall (SDCR &amp; LDCR) | Trauma exposed &amp; non-exposed control verschillen van elkaar op list B &amp; LDFR --&gt; dus grootste verschillen tussen PTSD &amp; Non-exposed ctrl | Contrast maten: verschil in proactive interference (PTSD+ en PTSD- group meer interference then non-exposed control) &amp; recognition hits (PTSD+ group fewer hits then non-exposed control)</t>
  </si>
  <si>
    <t>ook allerlei analyes gedaan met verschillende co-vars.. Data daarvan niet included; ook nog een analyes op leeftijd gedaan;;; leeftijd is inverse gecorreleerd met CVLT performance, deze relatie verschilde niet tussen groupen --&gt; = no interaction with trauma exposure OR ptsd</t>
  </si>
  <si>
    <t>1 ( op 2 verschillende dagen 1-2 weken apart; either placebo of cortisol intraveneus injected; 75 min postinjection memory tests)</t>
  </si>
  <si>
    <t>Deployment &amp; civiel [war-zone exposure ptsd group: none (n=3); WWII /Korea (n=3); Vietnam (n=7) | Trauma exposure control group: none (n=12); WWII/Korea (n=3); Vietnam (n=2); ]</t>
  </si>
  <si>
    <t>Combat Controles &amp; non-combat control door elkaar in 1 group (zie omschrijving trauma)</t>
  </si>
  <si>
    <t>PTSD_LM_DelayedRecall_PlaceboDay</t>
  </si>
  <si>
    <t>Control_LM_DelayedRecall_PlaceboDay</t>
  </si>
  <si>
    <t>PTSD_LM_ImmediateRecall_PlaceboDay</t>
  </si>
  <si>
    <t>Control_LM_ImmediateRecall_PlaceboDay</t>
  </si>
  <si>
    <t>SEM ipv SD reported</t>
  </si>
  <si>
    <t>NB. Alleen data van placebodag in beide groupen opgenomen in database; ook data na cortisol administration beschikbaar; effect cortisol administration on episodic memory [cortisol improved performance in beide groupen, geen interactie met PTSD]</t>
  </si>
  <si>
    <t>F(1,28 )= 6,56; p=0.016</t>
  </si>
  <si>
    <t>Control_Retention(%SavingAtDelay)_PlaceboDay</t>
  </si>
  <si>
    <t>PTSD_Retention(%SavingAtDelay)_PlaceboDay</t>
  </si>
  <si>
    <t>PTSD group slechter in retention (indexed by percent saving of immediately acquired information following delay)</t>
  </si>
  <si>
    <t>Immediate &amp; delayed paragraph recall (LM) &amp; percent saving of immediately acquired information following delay)</t>
  </si>
  <si>
    <t>Main effect subtest: F(1,28)=35,07; p&lt;0.0001; interaction Subtest*Group: F(1,28)=6,56; p=0,016</t>
  </si>
  <si>
    <t>participants in both groups worse performance in delayed recall condition, dit effect was het sterkste in PTSD group</t>
  </si>
  <si>
    <t>control &amp; ptsd slechter performance in delayed verbal memory, compared to immediate recall; dit effect het sterkste in ptsd group; ptsd group slechter in retention (% saved van immediate, naar delayed recall)</t>
  </si>
  <si>
    <t>episodic memory (Verbal learning &amp; Memory)</t>
  </si>
  <si>
    <t>non-exposed? --&gt; via newspapers &amp; VA employees (allleen civilians of  ook veteranen?)</t>
  </si>
  <si>
    <t>structured psychiatric assessment by physician</t>
  </si>
  <si>
    <t>California Verbal Learning Test (CVLT) - The California Verbal Learning Test is a multitrial serial learning test. A list of 16 words (list A) is presented five times in succession, and subjects are instructed to recall as many of the words as possible, in any order, after each presentation of the word list. After the five test trials of list A, a second list of words (list B), unrelated to the first list, is read to the subjects, who are instructed to recall as many words as possible from list B. The subjects are then asked to recall list A again (short delay) and, after a 20-mmute interval, are asked again to recall list A (long delay). The nesultant dependent variables are trial 1 performance (initial attentionand immediate memory), trial S performance (cumulative learning),list B performance (active interference from previous learning), words recalled following the short delay subtracted from list A trial 1 performance (retroactive interference), and long-delay recall (retention of information).</t>
  </si>
  <si>
    <t>immediate memory; cummulative learning; active interference; retroactive interferences &amp; retention</t>
  </si>
  <si>
    <t>PTSD_CVLT_Trial5(CumulativeLearning)_ListA</t>
  </si>
  <si>
    <t>PTSD_CVLT_Trial1(InitialLearning)_ListA</t>
  </si>
  <si>
    <t>Control_CVLT_Trial1(InitialLearning)_ListA</t>
  </si>
  <si>
    <t>Control_CVLT_Trial5(CumulativeLearning)_ListA</t>
  </si>
  <si>
    <t>PTSD_CVLT_AquisitionOfLearning(Trial1-Trial5)</t>
  </si>
  <si>
    <t>Control_CVLT_AquisitionOfLearning(Trial1-Trial5)</t>
  </si>
  <si>
    <t>geen verschil in aquisition of learning</t>
  </si>
  <si>
    <t>t=0,65; df=30,NS)</t>
  </si>
  <si>
    <t>PTSD_CVLT_ListB</t>
  </si>
  <si>
    <t>Control_CVLT_ListB</t>
  </si>
  <si>
    <t>t=0,6; df=30; NS</t>
  </si>
  <si>
    <t>geen verschil in inital learning tussen ptsd &amp; control</t>
  </si>
  <si>
    <t>t=0,73; df=30, n.s.</t>
  </si>
  <si>
    <t>geen verschil tussen ptsd &amp; control in learning</t>
  </si>
  <si>
    <t>t=1,05; df=30, NS</t>
  </si>
  <si>
    <t>geen verschil in inital learning of cumulatief learning tussen ptsd &amp; control</t>
  </si>
  <si>
    <t>PTSD_CVLT_RetroactiveInterference(=decline in performance from learning trial 5 to short-delay free recall)</t>
  </si>
  <si>
    <t>Control_CVLT_RetroactiveInterference(=decline in performance from learning trial 5 to short-delay free recall)</t>
  </si>
  <si>
    <t>ptsd 2 worden minder na short delay, geen verschil in control</t>
  </si>
  <si>
    <t>t=2,9; df=30; p=0.006</t>
  </si>
  <si>
    <t>PTSD_CVLT_LongDelayFreeRecall(LDFR)</t>
  </si>
  <si>
    <t>Control_CVLT_LongDelayFreeRecall(LDFR)</t>
  </si>
  <si>
    <t>ptsd remember minder dan control (cijfers geven volgens mij het verschil aan tov inital learning?)</t>
  </si>
  <si>
    <t>t-2,11; df=30; p=0,04</t>
  </si>
  <si>
    <t>Geen verschil in initial learning; wel in retroactive interference (short term delay) en longterm delay memory (dan ptsd slechter)</t>
  </si>
  <si>
    <t>Geen verschil in initial &amp; cumulative learning; wel in retroactive interference (short term delay) en longterm delay memory (dan ptsd slechter)</t>
  </si>
  <si>
    <t>geen comorbidity in ptsd group; geen (current of past) stoornissen in control; data overgenomen; gemengde control group (trauma exposed en non-trauma exposed?)</t>
  </si>
  <si>
    <t>full tekst niet ontvang &amp; downloadbaar</t>
  </si>
  <si>
    <t>geen controle group; geen behaviroual/cog. Taak.. Maar trauma video &amp; serotonine/dopamine metabolites meten in CSF</t>
  </si>
  <si>
    <t># Voor checken van 'overige artikelen' [ zitten hier nog FC en Memory bij? ]</t>
  </si>
  <si>
    <t>Checked op FC of Memory? (1=checked)</t>
  </si>
  <si>
    <t>Punishment learning --&gt; 1 ander artikel waarin je wel punishment learning hebt meegenomen [die is als memory aangemerkt]</t>
  </si>
  <si>
    <t>geen ptsd group, maar calstabin 2 KO mice (als ptsd model); wel contextual freezing &amp; MWM</t>
  </si>
  <si>
    <t>mtbi+ en mtbi- group</t>
  </si>
  <si>
    <t>1? [data not yet extracted</t>
  </si>
  <si>
    <t>geen  control group?</t>
  </si>
  <si>
    <t>no ptsd group, no control group; wel digit learning</t>
  </si>
  <si>
    <t>executive control (go-nogo task)</t>
  </si>
  <si>
    <t xml:space="preserve"> associative learning</t>
  </si>
  <si>
    <t>digit learning</t>
  </si>
  <si>
    <t>attention bias? (emotional Stroop)</t>
  </si>
  <si>
    <t>Onderwerp, tijdens checken overig.</t>
  </si>
  <si>
    <t>EEG P3 op targets &amp; distractors (trauma &amp; trauma unrelated)</t>
  </si>
  <si>
    <t>muscarinic receptor subtypes; PPS, Elevated plus maze freezing na situational reminder… [meet angst?]</t>
  </si>
  <si>
    <t>MEG; response to treatening &amp; non-treating info; tactile processing</t>
  </si>
  <si>
    <t>no cognitive task; maar senosrisch</t>
  </si>
  <si>
    <t>somatosensorisch</t>
  </si>
  <si>
    <t>sensimotor gating processes; PPI</t>
  </si>
  <si>
    <t>1 [data not yet extracted</t>
  </si>
  <si>
    <t>1 [data not yet extracted] - onderdeel executief functioning?</t>
  </si>
  <si>
    <t>trial making: visual scanning &amp; tracking; attention, motor function, attention / consentration</t>
  </si>
  <si>
    <t>avoidance [ espace-avoidence conditioning ] --&gt; fear leren // leren?</t>
  </si>
  <si>
    <t>avoidance; zelfde taak als heirboven,.. Is het een vorm van leren? (leren te leverpressen om shock te voorkomen)</t>
  </si>
  <si>
    <t>immagery - not cognitive</t>
  </si>
  <si>
    <t>not cognitive, maar imagery</t>
  </si>
  <si>
    <t>scritp-driven imagery --&gt; no cog. Task</t>
  </si>
  <si>
    <t>scritp-driven imagery --&gt; no cog. Task; focus op emotions</t>
  </si>
  <si>
    <t>reward learning?; Chronic social defeat stress (CSDS) --&gt; niet echt ptsd model?</t>
  </si>
  <si>
    <t>geen ptsd model..</t>
  </si>
  <si>
    <t>approach avoidance task; automatic responses to negative affective stiumulie (attentional facilitation or disengagement and avoidacne action tendencies); dit is meer reward processing dan reward learning</t>
  </si>
  <si>
    <t>1 [data not extracted --&gt; reward processing)</t>
  </si>
  <si>
    <t>contextualfreezing na trauma reminder cue (memory?)</t>
  </si>
  <si>
    <t>avoidance van open arms… dus meer aan axiety maat</t>
  </si>
  <si>
    <t>freezing response to trauma reminder</t>
  </si>
  <si>
    <t>elt affective control &amp; attention; go/no-go &amp; test of variabl attention</t>
  </si>
  <si>
    <t>ELS vs ELS- groups.. Geen ptsd group, wel PTSD gemeten in ELS group</t>
  </si>
  <si>
    <t>VTA &amp; anxiety, touch, pain (Footshock en dan situational reminders (% time in shock compartment gemeten --&gt; = memory?..)</t>
  </si>
  <si>
    <t>attention (go no go) - comorbid mTBI &amp; PTSD</t>
  </si>
  <si>
    <t>attention &amp; WM</t>
  </si>
  <si>
    <t>not cognitive, maar reward processing</t>
  </si>
  <si>
    <t>reward processing (beautiful facial images) / gevoelig voor beloning</t>
  </si>
  <si>
    <t>fear conditioning na SPS</t>
  </si>
  <si>
    <t xml:space="preserve">affective processing ; ability to comprehend and discriminate the affective aspects of language and communication </t>
  </si>
  <si>
    <t>Chronic unpredictable stress (CUS) en FC + extinction; set-shifting</t>
  </si>
  <si>
    <t>Working memory; EEG; schizophrenia ptsd en control</t>
  </si>
  <si>
    <t>foot shock &amp; freezing to truama cue &amp; morriz water maze learning</t>
  </si>
  <si>
    <t>cognitive flexibility; executive functioning; reversal learning &amp; strategy set-shifting; Cognitive flexibility involves the updating and modifying of previously learned behavioral response strategies and is critical for successful adaptation to a changing environment [11,12]. --&gt; In deze taak leren van regel (lever press for food pelet), dan SPS en dan regel omgedraagid (pre oposite lever for food)</t>
  </si>
  <si>
    <t>effect v therapie studie &amp; digit span v wais</t>
  </si>
  <si>
    <t>working memory; effect v imagery rescripting &amp; reprocessing na failed Prolonged exposure in ptsd… --&gt; dus een therapie studie</t>
  </si>
  <si>
    <t>1 [data not extracted]</t>
  </si>
  <si>
    <t>the ability to copy figures;  (=perception) (= ook cog. System volgens rdoc)</t>
  </si>
  <si>
    <t>Visospatial perception (copy)</t>
  </si>
  <si>
    <t>working memory; oddball aditory tones</t>
  </si>
  <si>
    <t>1? [ data not extracted]</t>
  </si>
  <si>
    <t xml:space="preserve">verbal &amp; non-verbal learning &amp; memory ; WM; attention; </t>
  </si>
  <si>
    <t>short term memory ; memory en WM &amp; processing speed/attention?</t>
  </si>
  <si>
    <t>reward function/ more reward processing --&gt; dus richting perception?</t>
  </si>
  <si>
    <t>learning &amp; Memory</t>
  </si>
  <si>
    <t>freezing to trauma cue</t>
  </si>
  <si>
    <t>els; nu adolessent sample; onderverdeeld in els vs non-els; intellectual estimation; executive functioning (planning/problem solving; set shifting/cog. Flexibility; response inhibition/interference control; WM/simple attention ) &amp; language</t>
  </si>
  <si>
    <t>no ptsd group? / wel gecontroleerd voor ptsd in ELS group</t>
  </si>
  <si>
    <t>cognitive appraisal (perceived threat and coping ability) met vragenlijst… en psychophysiology</t>
  </si>
  <si>
    <t>only ptsd group?; no behavioral task. Maar quesionaires en psychophysiology na startle stimuli</t>
  </si>
  <si>
    <t>1 (maar niet behavioral; threat perseption Questionaire)</t>
  </si>
  <si>
    <t>attentional allocation door novelty: 3-tone oddball task &amp; novelty oddball task</t>
  </si>
  <si>
    <t xml:space="preserve">active avoidance/escape (avoidance responses); trauma (footshock) ook in shuttel box.. Daarin daarna test… </t>
  </si>
  <si>
    <t>Delayed-Matching-To-Sample Test (DMS): het is een soort novel object taak voor mensen</t>
  </si>
  <si>
    <t>geen controle group (PTSD met of zonder stress)</t>
  </si>
  <si>
    <t>contextual freezing during trauma cue</t>
  </si>
  <si>
    <t>anxiety response EPM &amp; OFT</t>
  </si>
  <si>
    <t>not cognitive maar anxiety</t>
  </si>
  <si>
    <t>memory, decision making</t>
  </si>
  <si>
    <t>1? Decisionmaking</t>
  </si>
  <si>
    <t>TBI group &amp; non-tbi group… geen PTSD VS PTSD control group; wel een ptsd check list (TBI --&gt; 60% ptsd; no tbi; 29 % ptsd)</t>
  </si>
  <si>
    <t>attention(stroop), memory, recognition bias?</t>
  </si>
  <si>
    <t>1? Respons bias?</t>
  </si>
  <si>
    <t>metacognition (= represenaties van zelf vormen..) en emoties herkennne Dus niet cognitief</t>
  </si>
  <si>
    <t>metacognition (=considerations of discrete thoughts and feelings to the synthesis of discrete perceptions into an integrated represenation of self and other) &amp; emotion recognition test (emotie processing?)</t>
  </si>
  <si>
    <t>processing of social signals of threat (anger, anxiety); emotional face-matching task (face matching &amp; shape matching)</t>
  </si>
  <si>
    <t>emotie detection?</t>
  </si>
  <si>
    <t>freezing to trauma cue; EPM &amp; ASR</t>
  </si>
  <si>
    <t>1 [data not yet extracted] - onderdeel executief functioning? [cognitive control]</t>
  </si>
  <si>
    <t>working memory; attention; cognitive control</t>
  </si>
  <si>
    <t>MEG; working Memory</t>
  </si>
  <si>
    <t>1? [data not yet extracted] - cognitive control</t>
  </si>
  <si>
    <t>working memory &amp; emotion processing; cognitive control</t>
  </si>
  <si>
    <t>emotional distractions during WM</t>
  </si>
  <si>
    <t>1 [cog. Control]</t>
  </si>
  <si>
    <t>1? [data not extracted] - emotioneel &amp; executive</t>
  </si>
  <si>
    <t>picture rating (trauma related &amp; neutral) - emotion processing executive functioning; mogelij meer perceptie van emotie &amp; executive stimuli ?</t>
  </si>
  <si>
    <t>? [vermijding]</t>
  </si>
  <si>
    <t>Vermijding (niet van aangeleerde angst, maar meer generiek.. karakter?) - Task: choos avatar to represent them in task - dan 2 senarios, met 20 keuze mmoenten, deelnemer moet opties kiezen (wat te doen, uit 3, waarvan neutral optie, vermijdende en niet-vermijdende optie)</t>
  </si>
  <si>
    <t>not cognitive? (avoidance behavor in avatar taak gemeten (feestje met onbekende bv)</t>
  </si>
  <si>
    <t>mtbi &amp; non-mtbi group;; geen ptsd vs no-ptsd grousp</t>
  </si>
  <si>
    <t>reaction time; processing speed, visual attention, working memory, mathematical processing</t>
  </si>
  <si>
    <t>1 [attention Control]</t>
  </si>
  <si>
    <t>1? [data not yet extracted] - visual search</t>
  </si>
  <si>
    <t>attention, attention control, visual search (misschien ook emotion processign?)</t>
  </si>
  <si>
    <t>attention for emotional stimuli</t>
  </si>
  <si>
    <t>colour - shape set shifting task; mental flexibility; executive control (executive functioning) Attention?</t>
  </si>
  <si>
    <t>passive avoidance training; shock in one chamber, daarna testen for chamber avoidance.. Maar dat zou je ook als memory kunnen zien?</t>
  </si>
  <si>
    <t>behavioral inflexibility: set-shifting. Ook leren van reward bij visual cue, dan wel op altijd op dezelfde nosepoke. Dan de set-shifting: oposit of previous geleerd.; je zou cue aanleer data kunnen gebruiken (voor leren) … maar taak verder is geen memory...</t>
  </si>
  <si>
    <t>0/1?</t>
  </si>
  <si>
    <t>[full tekst requested on research gate] --&gt; ontvangen &amp; 6okt2017 aan papers map toegevoegd.</t>
  </si>
  <si>
    <t>gaat over TBI &amp; het is een soort van review/essay over neuropsychologisch onderzoek in TBI… dus geen experimental report = exclude</t>
  </si>
  <si>
    <t>executive control; essay</t>
  </si>
  <si>
    <t>situational reminders, contextual freezing (artikel al gemarkeerd! En er is een andere Qiu in database.. Mogelijk data bij verkeerde ref getikt? Check!)</t>
  </si>
  <si>
    <t>1 [data not yet extracted] (artikel al gemarkeerd! En er is een andere Qiu in database.. Mogelijk data bij verkeerde ref getikt? Check!)</t>
  </si>
  <si>
    <t>1 (artikel al gemarkeerd! En er is een andere Qiu in database.. Mogelijk data bij verkeerde ref getikt? Check!) - maar in qiu in papers map… vreemd..</t>
  </si>
  <si>
    <t>event related potential studie.. (EEG) - arrow version of the flanker task (selective attention &amp; response inhibition volgens podell,2010)</t>
  </si>
  <si>
    <t>1 [response inhibition]</t>
  </si>
  <si>
    <t>fear conditionign &amp; extinction; OFT; novelty supressed feeding; elevated plus maze</t>
  </si>
  <si>
    <t>geeen trauma model; maar een fear conditioning + extinction model [ FC 6* 0.8mA), ook een recal stuk (day3 of day18 na FC)? Check beter --&gt; mogelijk dus wel include?</t>
  </si>
  <si>
    <t>trauma-potentiated startle response (= psychophysiological), during virtual trauma-relevant sequences  [stimuli tijdens startle experiment: trauma related sequences from virtual iraq/afghanistan environment used to treat ptsd] &amp; startle probes (white noise); verder interview, quesionnaires &amp; saliva | startle trauma - startle blue square = trauma potientation</t>
  </si>
  <si>
    <t>1? - trauma perception? (startle)</t>
  </si>
  <si>
    <t>meet startle tijdens trauma stimuli; geen cog pairing v startle met neg. (maar in relatie tot treatment outcome / during treatment)</t>
  </si>
  <si>
    <t>NB. Stond in papers als Moralik et al.. Nu gewijzigd!; measures of anxiety, coping, anxiety &amp; HPA ractivity: validation ptsd model in animal</t>
  </si>
  <si>
    <t>anxiety, no cognition</t>
  </si>
  <si>
    <t>decision-making task (risk &amp; ambiguity); &amp; reward</t>
  </si>
  <si>
    <t>impulse control; go/no-go task (emotional stimuli); ook trial making test (executive functions); verbal fluency, color word interference; verbal IQ</t>
  </si>
  <si>
    <t>1 (risk assesment)</t>
  </si>
  <si>
    <t>avoidacne &amp; risk assessment; extinction training; freezing to cat odor; exposure to cat odor &amp; SR?</t>
  </si>
  <si>
    <t>1 cognitive interference; cog. Flexibility</t>
  </si>
  <si>
    <t>TBI &amp; auditory difficulties; hearing test &amp; signal to noise; (auditory) working memory - digit span test; wechsler adult intelligence scale - 3red; attention &amp; cog. Interference (stroop); cog. Flexibility</t>
  </si>
  <si>
    <t>avoidance / escape task - schuttle box; avoidacne &amp; escape.. Kan ook 'learning / memory zijn'?</t>
  </si>
  <si>
    <t>stroop; trail making (= executive functioning involving cognitive set shifting)</t>
  </si>
  <si>
    <t>1 [data not yet extracted] - executive functioning involving cognitive set shifting</t>
  </si>
  <si>
    <t>case report' (n=3)</t>
  </si>
  <si>
    <t>psychophysiology to traumatic imagery voor en na treatment (traumatic script) | n=3</t>
  </si>
  <si>
    <t>working memory (N-back task)</t>
  </si>
  <si>
    <t>multi-source interference task; cognitive interference</t>
  </si>
  <si>
    <t>stop task; inhibitory control task requiring inhibition of initiated motor responses; EEG</t>
  </si>
  <si>
    <t>eeg; Reading the Mind in the Eyes Test (RMET), a validated test of empathy requiring emotional appraisal of facial features.</t>
  </si>
  <si>
    <t>1? - auditory perception</t>
  </si>
  <si>
    <t>auditory &amp; visual go/no-go; attention, [bij neuropsychologische testbatterij staat: wel learning &amp;memory, maar daar gaat het verde rin het exp. Niet over.. Data niet weergegeven, nog besproken in paper; executive functions &amp; premorbid verbal IQ?]</t>
  </si>
  <si>
    <t>attention; learning&amp;memory; executive funcitoning; language; visuospatioal functioning; motor functioning; intellectual functioning voc</t>
  </si>
  <si>
    <t>learning &amp; Memory; spatial abilites &amp; executive functioning; intellegince</t>
  </si>
  <si>
    <t>1 visuospatial abilities?</t>
  </si>
  <si>
    <t>1? [data not yet extracted] - processing speed</t>
  </si>
  <si>
    <t>1? Reading test</t>
  </si>
  <si>
    <t>go/no-go sustained attention (continuous performance test II, lezen zinnen, understand &amp; learn --&gt; ook txt memory onderzocht); premorbid verbal intelligence ; processing speed;</t>
  </si>
  <si>
    <t>flanker task (selective attenion &amp; response inhibition) --&gt; error monitoring system &amp; error related negativity [ptsd intact error monitoring]</t>
  </si>
  <si>
    <t>go/ no-go --&gt; cognitive control; inhibitory control impulsivity</t>
  </si>
  <si>
    <t>environmental enrichment; locomotor activity &amp; elevated plus maze &amp; openfield test; avoidance/escape shuttle box (leren? Of situational reminder?)</t>
  </si>
  <si>
    <t>working memory; multichannel functional near infrared spectroscopy (fNIRS); digit forward &amp; backward task) --&gt; encoding; maintenance, retrieval van WORKING MEMORY</t>
  </si>
  <si>
    <t>avoidance (light-dark box &amp; Openfield with trauma reminder), arousal (acoustic startle &amp; prepulse inhibition), | wel of niet ELS &amp; wel of niet Predator exposure later in live groups)</t>
  </si>
  <si>
    <t>1? [data not yet extracted] --&gt; avoidance of trauma related cue? Time near trauma cue… memory? FC?</t>
  </si>
  <si>
    <t>MMPI; rorschach</t>
  </si>
  <si>
    <t>not cognitive</t>
  </si>
  <si>
    <t>inhibition task: stop-signal anticipation task (SSAT); response inhibition  --&gt; moving bar stoppen (go trial) of response inhiberen als bar zelf stopt (stop signal).. De contextual cues zijn de kleur van de bar's (die laten de kans zien dat een trial een stop trial is) [subjects typicaly slow down their responses, as they anticipate that the bar will stop. slowing = contextual cue processing</t>
  </si>
  <si>
    <t>1? - contextual cue processing (in response inhibition)</t>
  </si>
  <si>
    <t>inhibition task: stop-signal anticipation task (SSAT) - reactive &amp; proactive inhibition</t>
  </si>
  <si>
    <t>avoidance; shuttlebox (shock in dark compartment; ); FC met situational reminders [cue (odor) &amp; context (room)] EPM; social interaction</t>
  </si>
  <si>
    <t>escape/avoidance task in shuttle box)</t>
  </si>
  <si>
    <t>open field; EPM; pre-pulse inhibition (bij startle), sensimotor gating, is dus perception / anxiety</t>
  </si>
  <si>
    <t>not cognitive, maar anxiety &amp; perception(sensimotor gating)</t>
  </si>
  <si>
    <t>1? (sensimotor gating)</t>
  </si>
  <si>
    <t>anxiety response EPM &amp; OFT; ook black-light box (ook maat voor anxiety, time in light)l ptsd model (shocks &amp; reexposure to shock chamber)</t>
  </si>
  <si>
    <t>only anxiety?</t>
  </si>
  <si>
    <t>script-driven imagery; physiological reactivty (SC &amp; HR) during short trauma imagery task (voor elke patient eigen trauma script gemaakt van info therapeut); bij veteranen die prolonged exposure therapy krijgen (3meet punten tijdens thearpy)</t>
  </si>
  <si>
    <t>not cognitve, fysiologie meten bij luisteren naar eigen trauma script</t>
  </si>
  <si>
    <t>1? (trauma imagery, &amp; fysiology)</t>
  </si>
  <si>
    <t>1 [thought control]</t>
  </si>
  <si>
    <t>attentional interference (visual search task); thought control,</t>
  </si>
  <si>
    <t>1 [information processing bias?]</t>
  </si>
  <si>
    <t xml:space="preserve"> Word Memory Test (WMT) = test for valid performance &amp; andere cog maten: leren&amp;memory; intellgence, attention, executive functioning; WM</t>
  </si>
  <si>
    <t>biased information processing; attentional biases; emotional stroop</t>
  </si>
  <si>
    <t>working memory --&gt; Digit Span Forward and Backward (Wechsler, 1997); Color–Word Interference Test (a Stroop-type task; Delis et al., 2001); and Letter/Number Sequencing from the Trail Making Test (Delis et al., 2001).</t>
  </si>
  <si>
    <t>tbi patients, wel PTSC gemeten (geen PTSD vs control groups) (score PCL control: 33; TBI all PCL score 53)</t>
  </si>
  <si>
    <t>1? (stimuli, &amp; fysiology)</t>
  </si>
  <si>
    <t>eeg; HR; emotion regulation, neutral &amp; aversive photographs [IAPS &amp; military pictures]</t>
  </si>
  <si>
    <t>emotion regulation, not cognitive (neg. Stimuli kijken) IAPS</t>
  </si>
  <si>
    <t>1? (emotion regulation)</t>
  </si>
  <si>
    <t>data nog extracten [ 29.9.17 ] - Nog bekijken voor Memory of FC? (0= niet relevant voor Memory of FC; 1 = nog checken; 2 = full tekst al gelezen, data extracted)</t>
  </si>
  <si>
    <t>executive clock drawings; executive functioning; memory imparement screening (niet echt een taak?)</t>
  </si>
  <si>
    <t>memory, cognitive abilities (intelligence?), information processing; languge executive functions, WM</t>
  </si>
  <si>
    <t>1 (visuoconstruction)</t>
  </si>
  <si>
    <t>EPM &amp; Acoustic startle response; freezing to trauma cue [contextual freezing]</t>
  </si>
  <si>
    <t>Reference_First Author</t>
  </si>
  <si>
    <t>Reference_Authors</t>
  </si>
  <si>
    <t>Reference_Publication Year</t>
  </si>
  <si>
    <t xml:space="preserve">Reference_PMID </t>
  </si>
  <si>
    <t>Screening_PDF gedownload + in mendeley</t>
  </si>
  <si>
    <t>Screening_Antwoorden overleg overeenstemming 7.11.16</t>
  </si>
  <si>
    <t>Screening_Vragen Milou n.a.v. results EG</t>
  </si>
  <si>
    <t>Screening_AbstractScreening_EG (1=include; 0 = exclude)</t>
  </si>
  <si>
    <t>Screening_Notes_EG</t>
  </si>
  <si>
    <t>Screening_AbstractScreening_MS (1=include; 0 = exclude)</t>
  </si>
  <si>
    <t>Screening_Human (1) of Animal (2)</t>
  </si>
  <si>
    <t>Screening_Cognitive Measure</t>
  </si>
  <si>
    <t xml:space="preserve">Screening_RDoC (sub)construct </t>
  </si>
  <si>
    <t>Screening_Subjects_background (bv military/civilian/animalstrain/etc) words</t>
  </si>
  <si>
    <t>Screening_military population(1)</t>
  </si>
  <si>
    <t>Screening_PTSD Model?</t>
  </si>
  <si>
    <t>Screening_Gender</t>
  </si>
  <si>
    <t>Screening_Dark/light</t>
  </si>
  <si>
    <t>Screening_Task?</t>
  </si>
  <si>
    <t>Screening_Brain measures?</t>
  </si>
  <si>
    <t>Screening_Fysiological measures?</t>
  </si>
  <si>
    <t>Screening_Psychological measures?</t>
  </si>
  <si>
    <t>Screening_Intervention?</t>
  </si>
  <si>
    <t>Screening_Notes_abstract screening</t>
  </si>
  <si>
    <t>Data_Subjects_background (1= active duty military; 2 = veteran; 3 = civilian 4=rat; 5=mice)</t>
  </si>
  <si>
    <t>Data_Subjects_n</t>
  </si>
  <si>
    <t>Data_Subjects_n_ptsd</t>
  </si>
  <si>
    <t>Data_Subjects_n_control</t>
  </si>
  <si>
    <t>Data_Subjects_gender_ptsd (M = male; F = female; - = not reported)</t>
  </si>
  <si>
    <t>Data_Subjects_gender_control (M = male; F = female; - = not reported)</t>
  </si>
  <si>
    <t>Data_Subjects_m_Age_ptsd (- = not reported)</t>
  </si>
  <si>
    <t>Data_Subjects_sd_Age_ptsd (- = not reported)</t>
  </si>
  <si>
    <t>Data_Subjects_m_Age_control (- = not reported)</t>
  </si>
  <si>
    <t>Data_Subjects_sd_Age_control (- = not reported)</t>
  </si>
  <si>
    <t>Data_Subjects_trauma-type_OR_PTSD-model</t>
  </si>
  <si>
    <t>Data_Subjects_Controle Group</t>
  </si>
  <si>
    <t>Data_Subjects_Strain_or_Population</t>
  </si>
  <si>
    <t>Data_Subjects_ptsd-measure</t>
  </si>
  <si>
    <t>Data_Method_study-design</t>
  </si>
  <si>
    <t>Data_Method_Experimental Groups (n)</t>
  </si>
  <si>
    <t>Data_Method_Task</t>
  </si>
  <si>
    <t>Data_Method_animal light dark testing?</t>
  </si>
  <si>
    <t>Data_Method_Measure</t>
  </si>
  <si>
    <t>Data_Outcome1_VarName</t>
  </si>
  <si>
    <t>Data_Outcome1_M</t>
  </si>
  <si>
    <t>Data_Outcome1_SD</t>
  </si>
  <si>
    <t>Data_Outcome1_SEM</t>
  </si>
  <si>
    <t>Data_Outcome2_VarName</t>
  </si>
  <si>
    <t>Data_Outcome2_M</t>
  </si>
  <si>
    <t>Data_Outcome2_SD</t>
  </si>
  <si>
    <t>Data_Outcome2_SEM</t>
  </si>
  <si>
    <t>Data_Diff_outcome1&amp;2_SUM</t>
  </si>
  <si>
    <t>Data_Diff_outcome1&amp;2_Statistic</t>
  </si>
  <si>
    <t>Data_Outcome3_VarName</t>
  </si>
  <si>
    <t>Data_Outcome3_M</t>
  </si>
  <si>
    <t>Data_Outcome3_SD</t>
  </si>
  <si>
    <t>Data_Outcome3_SEM</t>
  </si>
  <si>
    <t>Data_Outcome4_VarName</t>
  </si>
  <si>
    <t>Data_Outcome4_M</t>
  </si>
  <si>
    <t>Data_Outcome4_SD</t>
  </si>
  <si>
    <t>Data_Outcome4_SEM</t>
  </si>
  <si>
    <t>Data_Diff_outcome3&amp;4_SUM</t>
  </si>
  <si>
    <t>Data_Diff_Outcome 3&amp;4_Statistic</t>
  </si>
  <si>
    <t>Data_Diff_Outcome1&amp;2+3&amp;4_SUM</t>
  </si>
  <si>
    <t>Data_Diff_Outcome1&amp;2+3&amp;4_Statistic</t>
  </si>
  <si>
    <t>Data_Outcome5_VarName</t>
  </si>
  <si>
    <t>Data_Outcome5_M</t>
  </si>
  <si>
    <t>Data_Outcome5_SD</t>
  </si>
  <si>
    <t>Data_Outcome5_SEM</t>
  </si>
  <si>
    <t>Data_Outcome6_VarName</t>
  </si>
  <si>
    <t>Data_Outcome6_M</t>
  </si>
  <si>
    <t>Data_Outcome6_SD</t>
  </si>
  <si>
    <t>Data_Outcome6_SEM</t>
  </si>
  <si>
    <t>Data_Diff_Outcome5-6_SUM</t>
  </si>
  <si>
    <t>Data_Diff_Outcome5-6_Statistic</t>
  </si>
  <si>
    <t>Data_Outcome7_VarName</t>
  </si>
  <si>
    <t>Data_Outcome7_M</t>
  </si>
  <si>
    <t>Data_Outcome7_SD</t>
  </si>
  <si>
    <t>Data_Outcome7_SEM</t>
  </si>
  <si>
    <t>Data_Outcome8_VarName</t>
  </si>
  <si>
    <t>Data_Outcome8_M</t>
  </si>
  <si>
    <t>Data_Outcome8_SD</t>
  </si>
  <si>
    <t>Data_Outcome8_SEM</t>
  </si>
  <si>
    <t>Data_Diff_Outcome7-8_SUM</t>
  </si>
  <si>
    <t>Data_Diff_Outcome7-8_Statistic</t>
  </si>
  <si>
    <t>Data_Diff_Outcome5&amp;6+7&amp;8_SUM</t>
  </si>
  <si>
    <t>Data_Diff_Outcome5&amp;6+7&amp;8_Statistic</t>
  </si>
  <si>
    <t>Data_Outcome9_VarName</t>
  </si>
  <si>
    <t>Data_Outcome9_M</t>
  </si>
  <si>
    <t>Data_Outcome9_SD</t>
  </si>
  <si>
    <t>Data_Outcome9_SEM</t>
  </si>
  <si>
    <t>Data_Outcome10_VarName</t>
  </si>
  <si>
    <t>Data_Outcome10_M</t>
  </si>
  <si>
    <t>Data_Outcome10_SD</t>
  </si>
  <si>
    <t>Data_Outcome10_SEM</t>
  </si>
  <si>
    <t>Data_Diff_Outcome 8-10 SUM</t>
  </si>
  <si>
    <t>Data_Diff_Outcome 9-10 Statistic</t>
  </si>
  <si>
    <t>Data_Outcome11_VarName</t>
  </si>
  <si>
    <t>Data_Outcome11_M</t>
  </si>
  <si>
    <t>Data_Outcome11_SD</t>
  </si>
  <si>
    <t>Data_Outcome11_SEM</t>
  </si>
  <si>
    <t>Data_Outcome12_VarName</t>
  </si>
  <si>
    <t>Data_Outcome12_M</t>
  </si>
  <si>
    <t>Data_Outcome12_SD</t>
  </si>
  <si>
    <t>Data_Outcome12_SEM</t>
  </si>
  <si>
    <t>Data_Diff_Outcome11-12 SUM</t>
  </si>
  <si>
    <t>Data_Diff_Outcome11-12 Statistic</t>
  </si>
  <si>
    <t>Data_Diff_General SUM</t>
  </si>
  <si>
    <t>Data_Outcome13_VarName</t>
  </si>
  <si>
    <t>Data_Outcome13_M</t>
  </si>
  <si>
    <t>Data_Outcome13_SD</t>
  </si>
  <si>
    <t>Data_Outcome13_SEM</t>
  </si>
  <si>
    <t>Data_Outcome14_VarName</t>
  </si>
  <si>
    <t>Data_Outcome14_M</t>
  </si>
  <si>
    <t>Data_Outcome14_SD</t>
  </si>
  <si>
    <t>Data_Outcome14_SEM</t>
  </si>
  <si>
    <t>Data_Diff_Outcome13-14 SUM</t>
  </si>
  <si>
    <t>Data_Diff_Outcome13-14 Statistic</t>
  </si>
  <si>
    <t>Data_Outcome15_VarName</t>
  </si>
  <si>
    <t>Data_Outcome15_M</t>
  </si>
  <si>
    <t>Data_Outcome15_SD</t>
  </si>
  <si>
    <t>Data_Outcome15_SEM</t>
  </si>
  <si>
    <t>Data_Outcome16_VarName</t>
  </si>
  <si>
    <t>Data_Outcome16_M</t>
  </si>
  <si>
    <t>Data_Outcome16_SD</t>
  </si>
  <si>
    <t>Data_Outcome16_SEM</t>
  </si>
  <si>
    <t>Data_Diff_Outcome15-16SUM</t>
  </si>
  <si>
    <t>Data_Diff_Outcome15-16 Statistic</t>
  </si>
  <si>
    <t>Data_Outcome17_VarName</t>
  </si>
  <si>
    <t>Data_Outcome17_M</t>
  </si>
  <si>
    <t>Data_Outcome17_SD</t>
  </si>
  <si>
    <t>Data_Outcome17_SEM</t>
  </si>
  <si>
    <t>Data_Outcome18_VarName</t>
  </si>
  <si>
    <t>Data_Outcome18_M</t>
  </si>
  <si>
    <t>Data_Outcome18_SD</t>
  </si>
  <si>
    <t>Data_Outcome18_SEM</t>
  </si>
  <si>
    <t>Data_Diff_outcome17-18SUM</t>
  </si>
  <si>
    <t>Data_Diff_outcome17-18Statistic</t>
  </si>
  <si>
    <t>Data_Outcome19_VarName</t>
  </si>
  <si>
    <t>Data_Outcome19_M</t>
  </si>
  <si>
    <t>Data_Outcome19_SD</t>
  </si>
  <si>
    <t>Data_Outcome19_SEM</t>
  </si>
  <si>
    <t>Data_Outcome20_VarName</t>
  </si>
  <si>
    <t>Data_Outcome20_M</t>
  </si>
  <si>
    <t>Data_Outcome20_SD</t>
  </si>
  <si>
    <t>Data_Outcome20_SEM</t>
  </si>
  <si>
    <t>Data_Diff_outcome19-20SUM</t>
  </si>
  <si>
    <t>Data_Diff_outcome19-20Statistics</t>
  </si>
  <si>
    <t>Data_Outcome21_VarName</t>
  </si>
  <si>
    <t>Data_Outcome21_M</t>
  </si>
  <si>
    <t>Data_Outcome21_SD</t>
  </si>
  <si>
    <t>Data_Outcome21_SEM</t>
  </si>
  <si>
    <t>Data_Outcome22_VarName</t>
  </si>
  <si>
    <t>Data_Outcome22_M</t>
  </si>
  <si>
    <t>Data_Outcome22_SD</t>
  </si>
  <si>
    <t>Data_Outcome22_SEM</t>
  </si>
  <si>
    <t>Data_Diff_outcome21-22SUM</t>
  </si>
  <si>
    <t>Data_Diff_outcome21-22Statistic</t>
  </si>
  <si>
    <t>Data_Outcome23_VarName</t>
  </si>
  <si>
    <t>Data_Outcome23_M</t>
  </si>
  <si>
    <t>Data_Outcome23_SD</t>
  </si>
  <si>
    <t>Data_Outcome23_SEM</t>
  </si>
  <si>
    <t>Data_Outcome24_VarName</t>
  </si>
  <si>
    <t>Data_Outcome24_M</t>
  </si>
  <si>
    <t>Data_Outcome24_SD</t>
  </si>
  <si>
    <t>Data_Outcome24_SEM</t>
  </si>
  <si>
    <t>Data_Diff_outcome23-24SUM</t>
  </si>
  <si>
    <t>Data_Diff_outcome23-24Statistic</t>
  </si>
  <si>
    <t>Data_Outcome25_VarName</t>
  </si>
  <si>
    <t>Data_Outcome25_M</t>
  </si>
  <si>
    <t>Data_Outcome25_SD</t>
  </si>
  <si>
    <t>Data_Outcome25_SEM</t>
  </si>
  <si>
    <t>Data_Outcome26_VarName</t>
  </si>
  <si>
    <t>Data_Outcome26_M</t>
  </si>
  <si>
    <t>Data_Outcome26_SD</t>
  </si>
  <si>
    <t>Data_Outcome26_SEM</t>
  </si>
  <si>
    <t>Data_Diff_outcome25-26Sum</t>
  </si>
  <si>
    <t>Data_Diff_outcome25-26Statistic</t>
  </si>
  <si>
    <t>Data_Outcome27_VarName</t>
  </si>
  <si>
    <t>Data_Outcome27_M</t>
  </si>
  <si>
    <t>Data_Outcome27_SD</t>
  </si>
  <si>
    <t>Data_Outcome27_SEM</t>
  </si>
  <si>
    <t>Data_Outcome28_VarName</t>
  </si>
  <si>
    <t>Data_Outcome28_M</t>
  </si>
  <si>
    <t>Data_Outcome28_SD</t>
  </si>
  <si>
    <t>Data_Outcome28_SEM</t>
  </si>
  <si>
    <t>Data_Diff_outcome27-28SUM</t>
  </si>
  <si>
    <t>Data_Diff_outcome27-28Statistic</t>
  </si>
  <si>
    <t>Data_Outcome29_VarName</t>
  </si>
  <si>
    <t>Data_Outcome29_M</t>
  </si>
  <si>
    <t>Data_Outcome29_SD</t>
  </si>
  <si>
    <t>Data_Outcome29_SEM</t>
  </si>
  <si>
    <t>Data_Outcome30_VarName</t>
  </si>
  <si>
    <t>Data_Outcome30_M</t>
  </si>
  <si>
    <t>Data_Outcome30_SD</t>
  </si>
  <si>
    <t>Data_Outcome30_SEM</t>
  </si>
  <si>
    <t>Data_Diff_outcome29-30SUM</t>
  </si>
  <si>
    <t>Data_Diff_outcome29-30Statistic2</t>
  </si>
  <si>
    <t>Data_Outcome31_VarName</t>
  </si>
  <si>
    <t>Data_Outcome31_M</t>
  </si>
  <si>
    <t>Data_Outcome31_SD</t>
  </si>
  <si>
    <t>Data_Outcome31_SEM</t>
  </si>
  <si>
    <t>Data_Outcome32_VarName</t>
  </si>
  <si>
    <t>Data_Outcome32_M</t>
  </si>
  <si>
    <t>Data_Outcome32_SD</t>
  </si>
  <si>
    <t>Data_Outcome32_SEM</t>
  </si>
  <si>
    <t>Data_Diff_outcome31-32SUM</t>
  </si>
  <si>
    <t>Data_Diff_outcome31-32Statistic</t>
  </si>
  <si>
    <t>Data_Outcome33_VarName</t>
  </si>
  <si>
    <t>Data_Outcome33_M</t>
  </si>
  <si>
    <t>Data_Outcome33_SD</t>
  </si>
  <si>
    <t>Data_Outcome33_SEM</t>
  </si>
  <si>
    <t>Data_Outcome34_VarName</t>
  </si>
  <si>
    <t>Data_Outcome34_M</t>
  </si>
  <si>
    <t>Data_Outcome34_SD</t>
  </si>
  <si>
    <t>Data_Outcome34_SEM</t>
  </si>
  <si>
    <t>Data_Diff_outcome33-34SUM</t>
  </si>
  <si>
    <t>Data_Diff_outcome33-34Statistic</t>
  </si>
  <si>
    <t>Data_Outcome35_VarName</t>
  </si>
  <si>
    <t>Data_Outcome35_M</t>
  </si>
  <si>
    <t>Data_Outcome35_SD</t>
  </si>
  <si>
    <t>Data_Outcome35_SEM</t>
  </si>
  <si>
    <t>Data_Outcome36_VarName</t>
  </si>
  <si>
    <t>Data_Outcome36_M</t>
  </si>
  <si>
    <t>Data_Outcome36_SD</t>
  </si>
  <si>
    <t>Data_Outcome36_SEM</t>
  </si>
  <si>
    <t>Data_Diff_outcome35-36SUM</t>
  </si>
  <si>
    <t>Data_Diff_outcome35-36Statistic</t>
  </si>
  <si>
    <t>MetaData_Domain_MEMORY</t>
  </si>
  <si>
    <t>MetaData_PTSD Model in Borghans etal.2015? (1=ja; - = na)</t>
  </si>
  <si>
    <t>MetaData_Good model according to Flandreau etal. 2017? (1=ja; - = na)</t>
  </si>
  <si>
    <t>MetaData_Domain_Anxiety</t>
  </si>
  <si>
    <t>MetaData_Domain_Somatosensorisch</t>
  </si>
  <si>
    <t>MetaData_Domain_FEAR</t>
  </si>
  <si>
    <t>MetaData_Domain_AVOIDANCE</t>
  </si>
  <si>
    <t>MetaData_Domain_ATTENTION</t>
  </si>
  <si>
    <t>MetaData_Domain_INHIBITION/CONTROL</t>
  </si>
  <si>
    <t>MetaData_Domain_Problem Solving</t>
  </si>
  <si>
    <t>MetaData_Domain_Executive function</t>
  </si>
  <si>
    <t>MetaData_Domain_Cognitive BIAS</t>
  </si>
  <si>
    <t>MetaData_Domain_WM</t>
  </si>
  <si>
    <t>MetaData_Domain_REWARD</t>
  </si>
  <si>
    <t>MetaData_Domain_General intellectual abilities</t>
  </si>
  <si>
    <t>MetaData_Domain_Language</t>
  </si>
  <si>
    <t>MetaData_Domain_PERCEPTION</t>
  </si>
  <si>
    <t>MetaData_Domein (FINAL)</t>
  </si>
  <si>
    <t>MetaData_Onderwerp, tijdens checken overig.</t>
  </si>
  <si>
    <t>MetaData_Checked op FC of Memory? (1=checked)</t>
  </si>
  <si>
    <t>MetaData_data nog extracten [ 29.9.17 ] - Nog bekijken voor Memory of FC? (0= niet relevant voor Memory of FC; 1 = nog checken; 2 = full tekst al gelezen, data extracted)</t>
  </si>
  <si>
    <t>MetaData_FINAL incl/excl_comment</t>
  </si>
  <si>
    <t>MetaData_QUALITY NOTES</t>
  </si>
  <si>
    <t>MetaData_NOTES MS during data extraction</t>
  </si>
  <si>
    <t>MetaData_Data study dubbel in tabel? (0=nee; 1=ja, same subjects different task, 2=ja,different animals/humans, 'same' task)</t>
  </si>
  <si>
    <t>MetaData_Data from vehicl injected group?</t>
  </si>
  <si>
    <t>MetaData_KeyFinding</t>
  </si>
  <si>
    <t>MetaData_FINALinclORexcl</t>
  </si>
  <si>
    <t>MetaData_# (nummers voor unieke artikelen op volgorde v screening. Begonnen bij FC papers)</t>
  </si>
  <si>
    <t>MetaData_Memory # voor unieke artikelen op volgorde v screening (memory papers)</t>
  </si>
  <si>
    <t>MetaData_# Voor checken van 'overige artikelen' [ zitten hier nog FC en Memory bij? ]</t>
  </si>
  <si>
    <t>Reference_full</t>
  </si>
  <si>
    <t>MetaData_DomeinSHORT</t>
  </si>
  <si>
    <t>CFC_M</t>
  </si>
  <si>
    <t>FC_L</t>
  </si>
  <si>
    <t>FC_E</t>
  </si>
  <si>
    <t>CFC_L</t>
  </si>
  <si>
    <t>CFC_L&amp;M</t>
  </si>
  <si>
    <t>FC_L&amp;M</t>
  </si>
  <si>
    <t>FC_M</t>
  </si>
  <si>
    <t>Contextual Fear conditioning memory</t>
  </si>
  <si>
    <t>CFC_E</t>
  </si>
  <si>
    <t>FC_M &amp; CFC_M</t>
  </si>
  <si>
    <t>FC_L&amp;E</t>
  </si>
  <si>
    <t>Avoidance_L</t>
  </si>
  <si>
    <t>Avoidance_M</t>
  </si>
  <si>
    <t>Avoidance_E</t>
  </si>
  <si>
    <t>Verbal_M</t>
  </si>
  <si>
    <t>Verbal_L</t>
  </si>
  <si>
    <t>Verbal_L&amp;M</t>
  </si>
  <si>
    <t>Visual_M</t>
  </si>
  <si>
    <t>Spatial_M</t>
  </si>
  <si>
    <t>associative verbal learning &amp; memory</t>
  </si>
  <si>
    <t>Visual+Verbal_M</t>
  </si>
  <si>
    <t>Visual(Sensorisch_Animal?)_M</t>
  </si>
  <si>
    <t>Spatial_L&amp;M</t>
  </si>
  <si>
    <t>Short cognitive performance test (SKT) - bevat 9 subtests pictures (named &amp; recognized); digit numbers (noemen, oplopend plaatsten en terugplaatsen; target symbool hardop zoeken; &amp; cog. Regidity</t>
  </si>
  <si>
    <t>Visual+Verbal+Spatial_M</t>
  </si>
  <si>
    <t>Reward_L</t>
  </si>
  <si>
    <t>Visual_L&amp;M</t>
  </si>
  <si>
    <t>Prospective_M</t>
  </si>
  <si>
    <t>Retrospective_M</t>
  </si>
  <si>
    <t>Visual+Verbal_L&amp;M</t>
  </si>
  <si>
    <t>Visual+Spatial_M</t>
  </si>
  <si>
    <t>Visual+Spatial_L&amp;M</t>
  </si>
  <si>
    <t>+</t>
  </si>
  <si>
    <t>L(-)M(o)</t>
  </si>
  <si>
    <t>Reward(+);Punishment(0)</t>
  </si>
  <si>
    <t>L(-)&amp;M(0)</t>
  </si>
  <si>
    <t>time(-);Event(0)</t>
  </si>
  <si>
    <t>L(0);M(-)</t>
  </si>
  <si>
    <t>Immediate(0);Delayed(-)</t>
  </si>
  <si>
    <t>PreTrauma(0);PostTrauma(-)</t>
  </si>
  <si>
    <t>MetaData_KeyFindingSHORT(+PTSDmore;-PTSDminder;0NoDiff)</t>
  </si>
  <si>
    <t>L(0);E(-)</t>
  </si>
  <si>
    <t>Data_Method_MeasureSHORT</t>
  </si>
  <si>
    <t>EMG</t>
  </si>
  <si>
    <t>LatencyTime(s)</t>
  </si>
  <si>
    <t>FreezingTime</t>
  </si>
  <si>
    <t>SuppresionRatio</t>
  </si>
  <si>
    <t>BPM</t>
  </si>
  <si>
    <t>SpecificityScore</t>
  </si>
  <si>
    <t>WAIS Vocabulary</t>
  </si>
  <si>
    <t>WMS-III-LMSS; WMS-III-VPASS; WMS-III-Auditory Memory index</t>
  </si>
  <si>
    <t>ExporationTime(s)</t>
  </si>
  <si>
    <t>Data_Subjects_background (0=humanmixed(Civiel&amp;Military); 1=ActiveDutyMilitary; 2=Veteran; 3=Civilian; 4=Rat; 5=Mice)</t>
  </si>
  <si>
    <t>geen  control group; maar in veteranen sample PTSD gemeten &amp; correlatie met associatie-reward learning task  (43,3% scored boven cut-off)</t>
  </si>
  <si>
    <t xml:space="preserve"> associative learning / cog flexibility</t>
  </si>
  <si>
    <t>1 [data not yet extracted] - cog. Flexibility</t>
  </si>
  <si>
    <t>Predator scent stress (PSS) - 10min exposure dirty cat litter 2day in use bay same cat + [situational reminder 1 week na onset stress]</t>
  </si>
  <si>
    <t>Exposed to unused litter (ook 10min)</t>
  </si>
  <si>
    <t>Exposed vs non-exposed</t>
  </si>
  <si>
    <t>Situational reminder (freezing tounused cat litter - trauma memory) [1week na trauma]</t>
  </si>
  <si>
    <t>dark (test at 10am; rats at 12h light/dark cycle)</t>
  </si>
  <si>
    <t>trauma memory (SR)</t>
  </si>
  <si>
    <t>Trauma_M</t>
  </si>
  <si>
    <t>ook EPM data</t>
  </si>
  <si>
    <t>freezing in EPM (5min na Situational reminder of unused cat litter (10min) 1 week after PSS onset)</t>
  </si>
  <si>
    <t xml:space="preserve">freezing in EPM gemeten, 5min na situational reminder (dus niet TIJDENS.. Dus angst ipv memory? Nml freezing in afwezigheid trauma cue) </t>
  </si>
  <si>
    <t>M(4)+F(4)</t>
  </si>
  <si>
    <t>[p.2: A leverpress after the shock had begun was classified as an “escape” (even if it occurred during the intermittent periods between shocks), while a response that occurred during the initial 60 seconds of the WS before the shock came on was classified an “avoidance”. -- Highlighted 24 Oct 2017]</t>
  </si>
  <si>
    <t>leverpress avoidance, erin of erui? Ik denk eruit.. (nu eruit gehaald) want het meet meer of de rat de shock vervelend vind (en wil ontsnappen), of dat de rat geleerd heeft dat de shock te voorkomen is door iets te doen.. dat is iets anders al context of cue waarin shock was vermijden.. | in discussie staat ook 'We have argued that the leverpress avoidance response is dependent on dopamine systems (Brennan et al 2003; Brennan 2004).' dat suggereert ook meer een motivatie om pijn te vermijden.. dan leren van pijn</t>
  </si>
  <si>
    <t>zelfde paradigma als hierboven.. Noemen het wel escape/avoidance conditioning</t>
  </si>
  <si>
    <t>escape avoidance learning</t>
  </si>
  <si>
    <t>chronisch ptsd model eruit &amp; conditioned place preferance = reward; noemen het stress-induced foodreward model</t>
  </si>
  <si>
    <t>trauma-cue exposure</t>
  </si>
  <si>
    <t>1 (micro infusion with ACSF)</t>
  </si>
  <si>
    <t>2 (more in paper, oxitocine infused groups)</t>
  </si>
  <si>
    <t>Predator scent stress (PSS) for 10min  en 7 day later trauma cue[+ 1h daarna vehicle (artificial cerebrospinal fluid (ACSF), micro infuction] [The predator scent stress paradigm consists of placing the test animals on well-soiled cat litter (in use by the cat for 2 days, sifted for stools) for 10 min in a closed environment (i.e. inescapable exposure)] - [p.3: trauma cue consisted of placing the animals on fresh, unused cat litter for 10 min. -- Highlighted 24 Oct 2017]</t>
  </si>
  <si>
    <t>Predator scent stress (PSS) for 10min [+ 1h daarna vehicle (artificial cerebrospinal fluid (ACSF), micro infuction] &amp; 7day later SR; [The predator scent stress paradigm consists of placing the test animals on well-soiled cat litter (in use by the cat for 2 days, sifted for stools) for 10 min in a closed environment (i.e. inescapable exposure)] - p.3: trauma cue consisted of placing the animals on fresh, unused cat litter for 10 min. -- Highlighted 24 Oct 2017</t>
  </si>
  <si>
    <t>exposed to fresh, unused litter for 10 min, [+ 1 h daarna vehicle (artificial cerebrospinal fluid (ACSF), micro infuction] &amp; 7day later trauma cue p.3: trauma cue consisted of placing the animals on fresh, unused cat litter for 10 min. -- Highlighted 24 Oct 2017</t>
  </si>
  <si>
    <t>exposed to fresh unused litter for 10 min, en 7day later trauma cue [+ 1 h daarna  vehicle (artificial cerebrospinal fluid (ACSF), micro infuction] p.3: trauma cue consisted of placing the animals on fresh, unused cat litter for 10 min. -- Highlighted 24 Oct 2017</t>
  </si>
  <si>
    <t>8day na PSS, exposure to trauma cue p.3: trauma cue consisted of placing the animals on fresh, unused cat litter for 10 min. -- Highlighted 24 Oct 2017</t>
  </si>
  <si>
    <t>7 day na PSS, exposure to trauma cue &amp; veh injection;7 day daarna nog exposure to trauma cue (daarin freezing measured 10min) - p.3: trauma cue consisted of placing the animals on fresh, unused cat litter for 10 min. -- Highlighted 24 Oct 2017</t>
  </si>
  <si>
    <t>% freezing to trauma cue (15 day  after PSS); in 10min test</t>
  </si>
  <si>
    <t>% freezing to trauma cue (8day  after PSS); in 10 min test</t>
  </si>
  <si>
    <t>PTSD_Day8afterPSS_%FreezingToTraumaCue</t>
  </si>
  <si>
    <t>Control_Day8afterPSS_%FreezingToTraumaCue</t>
  </si>
  <si>
    <t>PTSD_Day15afterPSS_%FreezingToTraumaCue</t>
  </si>
  <si>
    <t>Control_Day15afterPSS_%FreezingToTraumaCue</t>
  </si>
  <si>
    <t>PSS group higher freezing then control rats</t>
  </si>
  <si>
    <t>F(1,36)=9,8; p&lt;0.0001 (nb over al groups); post hoc unexposed VEH - exposed VEH: P&lt;0.005</t>
  </si>
  <si>
    <t>f(1,33)=50,2; p&lt;0.0001 (nb over al groups)post hoc unexposed VEH - exposed VEH: P&lt;0.0001</t>
  </si>
  <si>
    <t>15day na PSS measures</t>
  </si>
  <si>
    <t>8day na PSS measures</t>
  </si>
  <si>
    <t>effect Sleep deprivation ook bekeken, heft PSS effect op Interessant! (ook controle groups)</t>
  </si>
  <si>
    <t>Trauma memory (SR) (contextual! association via memory related process)</t>
  </si>
  <si>
    <t>cTrauma_M</t>
  </si>
  <si>
    <t>exposed to unused liter for same time</t>
  </si>
  <si>
    <t>Predator scent stress (PSS) + trauma cue day8 na PSS [PSS: 10min on well-soiled cat litter (in used by cat for 2 days)</t>
  </si>
  <si>
    <t>2 (in paper ook 2 sleep deprived groups)</t>
  </si>
  <si>
    <t>8day na PSS exposure to trauma cue [situational reminder consisted of placing the animals on fresh, unused cat litter for 10 min (ie, identical to sham exposure), which acts to mimic the context of the initial exposure experience.]</t>
  </si>
  <si>
    <t>pss group more freezing then control group</t>
  </si>
  <si>
    <t>pss group more freezing to trauma cue then control</t>
  </si>
  <si>
    <t>inescapable footshock in shuttelbox 2mA, 10 s (in dark compartment) (noemen auteurs zelf niet, maar bespreken wel de 2 comparimenten) + 3 situational reminder (chamber reexposure) day3,5,7) SR: rat in light compartment met door naar dark component open</t>
  </si>
  <si>
    <t>exposed to shock context, (dark chamber) but no shock deleverd + 3 situational reminder (chamber reexposure) day3,5,7) SR: rat in light compartment met door naar dark component open</t>
  </si>
  <si>
    <t>freezing to situational reminders (light compartment met door open naar dark comparmetn = shock chamber) op day 3, 5, 7 post IFS</t>
  </si>
  <si>
    <t>% Time spent in shock compartment</t>
  </si>
  <si>
    <t>% Time in shock compartment</t>
  </si>
  <si>
    <t>Trauma memory (SR) (contextual! )</t>
  </si>
  <si>
    <t>2 (sham &amp; shock)</t>
  </si>
  <si>
    <t>cTrauma_M / avoidance</t>
  </si>
  <si>
    <t>Trauma memory (SR) (contextual! ) gemeten als  avoidance shock kamer</t>
  </si>
  <si>
    <t>PTSD_%TimeInShockChamber_Day3</t>
  </si>
  <si>
    <t>Control_%TimeInShockChamber_Day3</t>
  </si>
  <si>
    <t>PTSD_%TimeInShockChamber_Day5</t>
  </si>
  <si>
    <t>Control_%TimeInShockChamber_Day5</t>
  </si>
  <si>
    <t>PTSD_%TimeInShockChamber_Day7</t>
  </si>
  <si>
    <t>Control_%TimeInShockChamber_Day7</t>
  </si>
  <si>
    <t>shocked animals (PTSD) less in shock compartment then controls</t>
  </si>
  <si>
    <t>geen verschil tussen SR d3, d5, d7</t>
  </si>
  <si>
    <t>These results demonstrated that animals that received the foot shock showed high avoidance of the trauma chamber up to 7 days after being shocked (high avoidance = minder time in shock chamber) op day 3, 5 en 7 (geen verschil tussen tijdspunten)</t>
  </si>
  <si>
    <t>avoidance shock chamber na inescapable footshock d3,5,7 post trauma</t>
  </si>
  <si>
    <t>ook pijn en angst maten</t>
  </si>
  <si>
    <t>SPS [2h restraint, 20min forced swim, 15min rest, ether anesthesia (&lt;5min)] daarna 7day rest (undisturbed)</t>
  </si>
  <si>
    <t>not exposed ( in home cage zonder food/water voor duur SPS peers)</t>
  </si>
  <si>
    <t>Time-dependent sensitization (TDS) --&gt; is eignelijk SRS, 1 week tussen initeel stres en restress --&gt;  papers harvey, 2003 bekeken waar naar verwezen wordt. Blijkt: "Rats were placed in a perspex restrainer for 2 h with the tail-gate adjusted to keep the rat well contained without impairing circulation to the limbs. Immediately thereafter, the rats were individually placed in 18 cm of ambient water (258C) in a perspex swim tank and allowed to swim for 20 min. Following this, each rat was then immediately exposed to 0.8 ml of 4% halothane vapours in a 5-l sealed plastic container until loss of consciousness, and then removed. -- The rats were then placed in a Tempadair drier before being returned to their cages. The animals were left undisturbed for 7 days. Seven days after the initial stressor, the rats were exposed to a ‘restress’ session, consisting of a 20-min swim in 18 cm of ambient water (25 8C) in a perspex swim tank."</t>
  </si>
  <si>
    <t>FC na SPS: NB in methods deel FC beschreven die niet allemaal terug komen in results? | alleen contextual conditioned fear data opgenomen; sensitizatie niet ('angst')</t>
  </si>
  <si>
    <t>contextual Fear (NON TRAUMA)</t>
  </si>
  <si>
    <t>FC (extinction trial &amp; retention test); chamber A (Modified shuttelbox) &amp; B (zelfde als A, maar andere vloer) | day7 na SPS: explore chamber A 120s then 10* CS-US pairing [CS tone, 80db, 4kHz, 30s (ITI:1-4min); US footshock (0,6mA, 5s, co-terminated with tone)] | 24h later extinction trials in chamber B (30 tones (ITI: 1-2min)) | Retention tests at day7, 14, 28 with 5 trials (ITI 1-2min) daarin een contextual conditionged fear (chamber A 3min explore, dan 0.8mA, 4s footshock -- 24h later reexposure to chamber A) &amp; sensitized fear gemeten (chamber B; 3min explore, dan 3min  neutral tone (80dB, 9kHz)</t>
  </si>
  <si>
    <t>PTSD_Contextual Freezing(s)_SPS-1week</t>
  </si>
  <si>
    <t>time Freezing (s); measured in retention test on day 7+24h, day 14+24h or day 28+24h post SPS</t>
  </si>
  <si>
    <t>PTSD_Contextual Freezing(s)_SPS-2week</t>
  </si>
  <si>
    <t>PTSD_Contextual Freezing(s)_SPS-4week</t>
  </si>
  <si>
    <t>Control_Contextual Freezing(s)</t>
  </si>
  <si>
    <t>1 control group voor alle 3 de tijdstippen na sps (zelfde ptsd dieren 3x gemeten lijkt erop.. niet zo helder beschreven.)...| het fc beetje onduidelijk beschreven.. Krijgen ratten nieuwe shock voor contextual testing? Hoe verhoudt dat zich tot extinction en retention… alleen contextual freezing data en freezing in new chamber reported… dus dat nu overgenomen.. | supplementary materials gechecked.. alleen figuur met kleuringen --&gt; dus nu maar alleen gedrags data overgenomen (ook verschil tussen aantal dieren in methods &amp; in graph vermeld.. vermoedelijk door deel voor kleuringen? vaag... | grafiek aangehouden.(fig4A&amp;B)</t>
  </si>
  <si>
    <t>ook OF &amp; EPM | &amp; fear sensitizatie data</t>
  </si>
  <si>
    <t>SPS group more contextual freezing 1 en 2 weeks na SPS (vrgl met control), na 4week geen verschil tussen control &amp; sps</t>
  </si>
  <si>
    <t>SPS-1week &amp; SPS-2week VS control: both p&lt;0.01</t>
  </si>
  <si>
    <t>[+ (week 1 &amp;2) 0 (week4)]</t>
  </si>
  <si>
    <t>10 [NB 3x getest)</t>
  </si>
  <si>
    <t>10 [NB 1 maal getest]</t>
  </si>
  <si>
    <t>chronisch ptsd model eruit (timeline: FC - CUS (=18day's) - Fear extinction - coping &amp; cog. Flexibility measured after 24h)</t>
  </si>
  <si>
    <t>4-6 months</t>
  </si>
  <si>
    <t>12h/12h light-dark cycle; All experiments were performed between 8: 00 a.m. and 6: 00 p.m</t>
  </si>
  <si>
    <t>20 inescapable footshocks (6x in 3 days; 2x per dag, &gt;4h interval tusesn shocks); 30min in stress box, 20 IFS's (8mA, 3s, interval 7.5s-15s)</t>
  </si>
  <si>
    <t>trauma memory! (trauma context freezing)</t>
  </si>
  <si>
    <t>Trauma(1)orNon-trauma(2)Measures</t>
  </si>
  <si>
    <t>exsposed to stresbox(context), no shock</t>
  </si>
  <si>
    <t>Contextual freezing measurement (3min re-exposure to stress box without shock (between 9am &amp; 12 am in 1e week after stress)</t>
  </si>
  <si>
    <t>% Freezing = freezing periods/total periods x 100</t>
  </si>
  <si>
    <t>PTSD_1weekAfterIFS_ContextualFreezing%</t>
  </si>
  <si>
    <t>Control_1weekAfterIFS_ContextualFreezing%</t>
  </si>
  <si>
    <t>ptsd rats more contextual freezing then control 1 week after trauma</t>
  </si>
  <si>
    <t>t(16)=16,278; p=0.0001</t>
  </si>
  <si>
    <t>PTSD more freezing to trauma context na 1 week</t>
  </si>
  <si>
    <t>PTSD_MWM_EscapeLatency(learning)_Day1</t>
  </si>
  <si>
    <t>Control_MWM_EscapeLatency(learning)_Day1</t>
  </si>
  <si>
    <t>PTSD_MWM_EscapeLatency(learning)_Day2</t>
  </si>
  <si>
    <t>Control_MWM_EscapeLatency(learning)_Day2</t>
  </si>
  <si>
    <t>PTSD_MWM_EscapeLatency(learning)_Day3</t>
  </si>
  <si>
    <t>Control_MWM_EscapeLatency(learning)_Day3</t>
  </si>
  <si>
    <t>PTSD_MWM_EscapeLatency(learning)_Day4</t>
  </si>
  <si>
    <t>Control_MWM_EscapeLatency(learning)_Day4</t>
  </si>
  <si>
    <t>PTSD_MWM_EscapeLatency(learning)_Day5</t>
  </si>
  <si>
    <t>Control_MWM_EscapeLatency(learning)_Day5</t>
  </si>
  <si>
    <t>Morris Water Maze (20-23 gr) 3 extra-maze cue's on wall, ook 1 week after stress - learning data</t>
  </si>
  <si>
    <t>Morris Water Maze (20-23 gr) 3 extra-maze cue's on wall, ook 1 week after stress - memory data</t>
  </si>
  <si>
    <t xml:space="preserve"> na learning trials probe test (aantal keer door target quadrant as index for spatial memory (in 120s) | het lijkt erop dat er iedere dag 4 learning trials zijn &amp; 1 probe (memory) test is</t>
  </si>
  <si>
    <t xml:space="preserve">escape latencies to find platform gem in 60s van 4 trials </t>
  </si>
  <si>
    <t>crossings right quarant</t>
  </si>
  <si>
    <t>Spatial_L</t>
  </si>
  <si>
    <t>Spatial learning</t>
  </si>
  <si>
    <t>lastig om uit te vinden of er voor iedere behavioral test dezelfde of andere animals gebruikt zijn | total aantal dieren en vermelde groepen terug gerekend --&gt; ieder gedragsexperiment heeft zn eigen sham &amp; stress group dieren DUS aparte animals voor freezing &amp; spatial (maar voor learning en memory bij spatial wel zelfe dieren)</t>
  </si>
  <si>
    <t>PTSD_MWM_TimesOfCrossingPlatform(Memory)_Day1</t>
  </si>
  <si>
    <t>no diference</t>
  </si>
  <si>
    <t>Day 1 (t (16)=0.197, p=0.846)</t>
  </si>
  <si>
    <t xml:space="preserve">day 5 (t (16)=1.453, p=0.186) </t>
  </si>
  <si>
    <t>day 3 (t (16)=1.449, p=0.167)</t>
  </si>
  <si>
    <t>(Day 2: t (16)=2.891, p=0.011</t>
  </si>
  <si>
    <t>stress group langer latency to escape = slechter spatial learning</t>
  </si>
  <si>
    <t>day 4: t (16)=4.280, p=0.003)</t>
  </si>
  <si>
    <t>Control_MWM_TimesOfCrossingPlatform(Memory)_Day1</t>
  </si>
  <si>
    <t>PTSD_MWM_TimesOfCrossingPlatform(Memory)_Day2</t>
  </si>
  <si>
    <t>Control_MWM_TimesOfCrossingPlatform(Memory)_Day2</t>
  </si>
  <si>
    <t>PTSD_MWM_TimesOfCrossingPlatform(Memory)_Day3</t>
  </si>
  <si>
    <t>Control_MWM_TimesOfCrossingPlatform(Memory)_Day3</t>
  </si>
  <si>
    <t>PTSD_MWM_TimesOfCrossingPlatform(Memory)_Day4</t>
  </si>
  <si>
    <t>Control_MWM_TimesOfCrossingPlatform(Memory)_Day4</t>
  </si>
  <si>
    <t>PTSD_MWM_TimesOfCrossingPlatform(Memory)_Day5</t>
  </si>
  <si>
    <t>Control_MWM_TimesOfCrossingPlatform(Memory)_Day5</t>
  </si>
  <si>
    <t>on day 2 en day 4 stress group slechter leren, op day 1,3 5, geen verschil.. Leren langzamer? | Overall anova: [F (1, 16)=15.654, p=0.001,] main effec time &amp; stress</t>
  </si>
  <si>
    <t xml:space="preserve"> Day 1 (t (16)=1.757, p=0.098)</t>
  </si>
  <si>
    <t xml:space="preserve">and 2 (t (16)=1.917, p=0.073) </t>
  </si>
  <si>
    <t>Day 3 (t (16)=2.894, p=0.015)</t>
  </si>
  <si>
    <t>day 4 (t (16)=3.912, p=0.001)</t>
  </si>
  <si>
    <t>day 5 (t (16)=5.747, p=0)</t>
  </si>
  <si>
    <t>ptsd rats lower number of crossings</t>
  </si>
  <si>
    <t xml:space="preserve">stress animals lower average number of crossings then control on day 3,4,5 (dus slechter spatial memory) of controls leren eerder | Overal anova:  [F (1, 16)=19.457, p&lt;0.0001] </t>
  </si>
  <si>
    <t>Prisoners of war (POW) - WWIII or Korean War</t>
  </si>
  <si>
    <t>CAPS-2 + SCID</t>
  </si>
  <si>
    <t>Logical Memory (LM) Subtest of Wechsler Memory Scale-R</t>
  </si>
  <si>
    <t>Warrington Recognition Memory Test (Faces)</t>
  </si>
  <si>
    <t>Rey Auditory Verbal Learning Test (RAVLT)</t>
  </si>
  <si>
    <t>Trials1 &amp; trial 1-5</t>
  </si>
  <si>
    <t>Verbal Learning</t>
  </si>
  <si>
    <t>Visual Memory (faces)</t>
  </si>
  <si>
    <t>2 (POW)</t>
  </si>
  <si>
    <t>in methods "total of 25 pp", dan "10 met ptsd" en 10 zonder ptsd in tekst..", vervolgens in tabel 3 groupen: ptsd+comorb (n=7) &amp; PTSD+ (n=7) &amp; PTSD- (n=11) --&gt; aantallen in tabel aangehouden</t>
  </si>
  <si>
    <t>7(zonder comorbidity)+7</t>
  </si>
  <si>
    <t>Prisoners of war</t>
  </si>
  <si>
    <t>POW no psychiatric disorder or PTSD</t>
  </si>
  <si>
    <t>3 (ptsd met en zonder comorbidity)</t>
  </si>
  <si>
    <t>LMR Logical Memory Recall score from WMS-III; LMT Logical Memory Thematic score from WMS-III</t>
  </si>
  <si>
    <t>WRMT</t>
  </si>
  <si>
    <t>PTSD(no comorbidity)_LMR</t>
  </si>
  <si>
    <t>PTSD(comorbidity)_LMR</t>
  </si>
  <si>
    <t>Control_LMR</t>
  </si>
  <si>
    <t>PTSD(no comorbidity)_LMT</t>
  </si>
  <si>
    <t>PTSD(comorbidity)_LMT</t>
  </si>
  <si>
    <t>Control_LMT</t>
  </si>
  <si>
    <t>PTSD(no comorbidity)_WRMT</t>
  </si>
  <si>
    <t>PTSD(comorbidity)_WRMT</t>
  </si>
  <si>
    <t>Control_WRMT</t>
  </si>
  <si>
    <t>PTSD(no comorbidity)_RAVLT_Trial1</t>
  </si>
  <si>
    <t>PTSD(comorbidity)_RAVLT_Trial1</t>
  </si>
  <si>
    <t>Control_RAVLT_Trial1</t>
  </si>
  <si>
    <t>Control_RAVLT_Trial1-5</t>
  </si>
  <si>
    <t>PTSD(no comorbidity)_RAVLT_Trial1-5</t>
  </si>
  <si>
    <t>PTSD(comorbidity)_RAVLT_Trial1-5</t>
  </si>
  <si>
    <t>geen verschil tussen de  3 groepen op Trial1</t>
  </si>
  <si>
    <t>geen verschil tussen de  3 groepen op Trial1-5</t>
  </si>
  <si>
    <t>control better then PTSD met comorbidity, geen verschil met PTSD only group</t>
  </si>
  <si>
    <t>control vs PTSDcomorbid: p=0.07</t>
  </si>
  <si>
    <t>Control better then ptsd met comorbidity, NB geen verschil tussen control &amp; ptsd only</t>
  </si>
  <si>
    <t>geen verschil tussen ptsd (met of zonder comobidity_ en HC</t>
  </si>
  <si>
    <t xml:space="preserve">deelnemers te oud? [afgesproken van 15-65 genomen]; verder voldoet paper wel aan eisen </t>
  </si>
  <si>
    <t>IFS + context re-exposure sessinos for 8days + 6day alter (= 3 week na IFS) weer re-exposure | ook Stress of Sudden silence test (SOS), data not-included want non-context associated anxiety</t>
  </si>
  <si>
    <t>inescapable footshock [The rat was placed in the light compartment of a light/dark box that consisted of a brightly (230 lux) lit (white) compartment (23 x19 x35 cm) and a dark (black) compartment (29 x23 x35 cm) with stainless steel rods, connected by a sliding door. Once the animal entered the dark compartment the door was closed and 10 shocks (1 mA) of 6 s duration, randomly divided over a 15-min period were given.]</t>
  </si>
  <si>
    <t>trauma memory extinctie</t>
  </si>
  <si>
    <t>trauma memory</t>
  </si>
  <si>
    <t>2 (IFS + control; met context-reexposure)</t>
  </si>
  <si>
    <t>2 (IFS + control; zonder context-reexposure)</t>
  </si>
  <si>
    <t>Context re-exposure na 3 weken</t>
  </si>
  <si>
    <t>Context re-exposure training; 1 week na IFS 15 min in shock compartment, daarna for 5 min per dag (gedurende 8 dagen) in shock compartment | ook reexposure na 3 weken (dus 6 dagen na last re-exposure session)</t>
  </si>
  <si>
    <t>Trauma_M / cFear_M</t>
  </si>
  <si>
    <t>extinctie van Trauma_M / cFear_M</t>
  </si>
  <si>
    <t>not reported, 12h light/dark cycle [ lights off from 18:00 - 06:00]</t>
  </si>
  <si>
    <t xml:space="preserve">latency to enter dthe dark (=shock) comparment) | bij extinctie training: Animals that did not enter the dark compartment were placed there by the experimenter and their latency times were set to 300 s. Once the animal was in the shock compartment, the sliding door was closed. After 5 min in the dark the animal was transferred back to his home cage. | na 3 week post shock (6day na last extinctions session) annimal in lit compartmetn &amp; latency time bepalen
</t>
  </si>
  <si>
    <t>latency to enter dthe dark (=shock) comparment)  | =na 3 week post shock (6day na last extinctions session) annimal in lit compartmetn &amp; latency time bepalen</t>
  </si>
  <si>
    <t>PTSD_LatencyToDark(s)_PreIFS</t>
  </si>
  <si>
    <t>Control_LatencyToDark(s)_PreIFS</t>
  </si>
  <si>
    <t>PTSD_LatencyToDark(s)_#previousReExposures0</t>
  </si>
  <si>
    <t>Control_LatencyToDark(s)_#previousReExposures0</t>
  </si>
  <si>
    <t>PTSD_LatencyToDark(s)_#previousReExposures1</t>
  </si>
  <si>
    <t>Control_LatencyToDark(s)_#previousReExposures1</t>
  </si>
  <si>
    <t>PTSD_LatencyToDark(s)_#previousReExposures2</t>
  </si>
  <si>
    <t>Control_LatencyToDark(s)_#previousReExposures2</t>
  </si>
  <si>
    <t>PTSD_LatencyToDark(s)_#previousReExposures3</t>
  </si>
  <si>
    <t>Control_LatencyToDark(s)_#previousReExposures3</t>
  </si>
  <si>
    <t>PTSD_LatencyToDark(s)_#previousReExposures4</t>
  </si>
  <si>
    <t>Control_LatencyToDark(s)_#previousReExposures4</t>
  </si>
  <si>
    <t>PTSD_LatencyToDark(s)_#previousReExposures5</t>
  </si>
  <si>
    <t>Control_LatencyToDark(s)_#previousReExposures5</t>
  </si>
  <si>
    <t>PTSD_LatencyToDark(s)_#previousReExposures6</t>
  </si>
  <si>
    <t>Control_LatencyToDark(s)_#previousReExposures6</t>
  </si>
  <si>
    <t>PTSD_LatencyToDark(s)_#previousReExposures7</t>
  </si>
  <si>
    <t>Control_LatencyToDark(s)_#previousReExposures7</t>
  </si>
  <si>
    <t>PTSD_LatencyToDark(s)_#previousReExposures8</t>
  </si>
  <si>
    <t>Control_LatencyToDark(s)_#previousReExposures8</t>
  </si>
  <si>
    <t>PTSD_After8dayRe-Exposure(=extinction)_LatencyToDark(s)_3WeekAfterIFS</t>
  </si>
  <si>
    <t>Control_After8dayRe-Exposure(=extinction)_LatencyToDark(s)_3WeekAfterIFS</t>
  </si>
  <si>
    <t>PTSD_LatencyToDark(s)_3WeekAfterIFS</t>
  </si>
  <si>
    <t>trauma (context) memory (fear); NB control heeft geen trauma gehad (dus ook geen memory daaraan, daarom normaal dat PTSD group meer heeft dan control)</t>
  </si>
  <si>
    <t>trauma (context) memory _ Extinctie | trauma (context) memory (fear); NB control heeft geen trauma gehad (dus ook geen memory daaraan, daarom normaal dat PTSD group meer heeft dan control)</t>
  </si>
  <si>
    <t>ptsd rats longer latency then control</t>
  </si>
  <si>
    <t>[+ of 0]</t>
  </si>
  <si>
    <t xml:space="preserve">H(1)=16.936, p &lt; 0.01
</t>
  </si>
  <si>
    <t>After two days of re-exposure (RE) the latency time of the IFS animals was back to control values (H(1) = 1.843, p &gt; 0.05) and stayed at this level for the rest of the RE procedure (day 8: H(1) = 5.953, p &gt; 0.05).</t>
  </si>
  <si>
    <t>IFS animals showed a significantly longer latency to enter the dark compartment than the control animals (U = 15.000, p &lt; 0.05), while IFS animals that were re-exposed did not differ from controls. -- Highlighted 26 Oct 2017</t>
  </si>
  <si>
    <t>(U = 15.000, p &lt; 0.05),</t>
  </si>
  <si>
    <t>trauma rats remember shock context 3 weeks after shock (longer latency)</t>
  </si>
  <si>
    <t>Voor trauma geen verschil in latency (dus in angst for light); na IFS bij eerste en 2de re-exposure IFS group hogere latency to enter dark, rest van exposure trials (=7) geen verschil meer tussen groepen | 3 week na trauma &amp; extinctie geen verschil meer tussen control &amp; IFS rats</t>
  </si>
  <si>
    <t>attention en WM; sternberg task voor cog. Control en wm</t>
  </si>
  <si>
    <t>Stress re-stress paradigm: 1) Stress:( 2h restrained - foreced swim 20min (24 graden) - diethyl ether exposure (general anesthetic). |  &lt; 7day undisturbed&gt; | 2) Re-stress: D-8: forced swim (20min)</t>
  </si>
  <si>
    <t>1 (SPS wel)</t>
  </si>
  <si>
    <t xml:space="preserve">Escape latencies to find platform </t>
  </si>
  <si>
    <t>Morris Water Maze (MWM): 4 acuisition trials per day for 6 days | Rats were randomly placed into the middle of a quadrant (excluding the one containing the platform) with their noses facing the wall. If they could not find the hidden platform (2 cm below the water surface) in 60s, the experimenters would gently assist the rats onto the platform and stay there for 10 s. Escape latency was recorded by a video-tracking system</t>
  </si>
  <si>
    <t>Morris Water Maze (MWM): Probe Test 24h na laatste acquisition trial (platform removed, rats swim freely)</t>
  </si>
  <si>
    <t>Time spent in target or opposite quadrant (s)</t>
  </si>
  <si>
    <t>Time(s)</t>
  </si>
  <si>
    <t>ook EPM &amp; OF</t>
  </si>
  <si>
    <t>2 (4 in paper, ook pre-084 injected)</t>
  </si>
  <si>
    <t>not reported [12:12h light/dark cycle</t>
  </si>
  <si>
    <t>PTSD_TimeSpentinTargetQuadrant_VEH</t>
  </si>
  <si>
    <t>Control_TimeSpentinTargetQuadrant_VEH</t>
  </si>
  <si>
    <t>unexposed vehicle group</t>
  </si>
  <si>
    <t>niet helemaal duidelijk hoeveel tijd tussen SPS restress en behavioral tests</t>
  </si>
  <si>
    <t>control more time in right quadrant tov stressed</t>
  </si>
  <si>
    <t>PTSD_EscapeLatency(s)_Day1</t>
  </si>
  <si>
    <t>Control_EscapeLatency(s)_Day1</t>
  </si>
  <si>
    <t>PTSD_EscapeLatency(s)_Day2</t>
  </si>
  <si>
    <t>Control_EscapeLatency(s)_Day2</t>
  </si>
  <si>
    <t>PTSD_EscapeLatency(s)_Day3</t>
  </si>
  <si>
    <t>Control_EscapeLatency(s)_Day3</t>
  </si>
  <si>
    <t>PTSD_EscapeLatency(s)_Day4</t>
  </si>
  <si>
    <t>Control_EscapeLatency(s)_Day4</t>
  </si>
  <si>
    <t>PTSD_EscapeLatency(s)_Day5</t>
  </si>
  <si>
    <t>Control_EscapeLatency(s)_Day5</t>
  </si>
  <si>
    <t>stress group langer latency to escape = slechter (trager?) spatial learning</t>
  </si>
  <si>
    <t>RSPS group increased escape latency (= slechter learning)</t>
  </si>
  <si>
    <t>RSPS impared spatial memory</t>
  </si>
  <si>
    <t>1 (ip saline)</t>
  </si>
  <si>
    <t>freezing to trauma cue, %</t>
  </si>
  <si>
    <t>Trauma cue (unsoiled cat- litter) day 31 after PSS</t>
  </si>
  <si>
    <t>2 (8 in paper, verschillende ketemine consentraties voor ptsd en control group)</t>
  </si>
  <si>
    <t>PTSD+VEH_TraumaCue_day31_%Freezing</t>
  </si>
  <si>
    <t>Control+VEH_TraumeCue_day31_%Freezing</t>
  </si>
  <si>
    <t>Trauma memory (SR) cue</t>
  </si>
  <si>
    <t>PSS more freezing then control</t>
  </si>
  <si>
    <t>pss more freezing then control</t>
  </si>
  <si>
    <t>p&lt;0.02 | total anova mail effect of PSS (f(1,99)=145,5, p&lt;0.0001)</t>
  </si>
  <si>
    <t>Total n=107; over 8 experimental groups..  Aantal dieren per group niet gerapporteerd. Dus maar gedeelt door totaal..</t>
  </si>
  <si>
    <t>active avoidance | inescapable footshock in 1 kamer vd shuttlebox, daarna een escape /avoidance task in die shuttlebox (dus opneiwu fear learning in een eerdere traumatische ocntext.. Maar dan gedrag aanleren (als de lamp aangaat, moet je iets doen (weg gegaan) --&gt;</t>
  </si>
  <si>
    <t>Predator scent stress (PSS) - 10min exposure dirty cat litter 2day in use bay same cat + [situational reminder]</t>
  </si>
  <si>
    <t>Situational reminder (unsoiled cat- litter) day 8 after PSS; noemen het contextual freezing</t>
  </si>
  <si>
    <t>PTSD+VEH_SR_day8_%Freezing</t>
  </si>
  <si>
    <t>Control+VEH_SR_day8_%Freezing</t>
  </si>
  <si>
    <t>ptsd more freezing then controls</t>
  </si>
  <si>
    <t>Overall p.386:  PSS exposure [F(1,35)   103.2, p   .0001], a treatment effect [F (1,35)   98.4, p   .0001] and an exposure–treatment interaction effect [F (1,35)   91.6, p   .0001; Figure 5]. -- Highlighted 30 Oct 2017 | posthoc: exposed more then control p&lt;.0001</t>
  </si>
  <si>
    <t>Recognition memory for woorden in modified stroop test. MemorY?</t>
  </si>
  <si>
    <t>1? Respons bias? [ zelfde als attention &amp; interference)</t>
  </si>
  <si>
    <t>2 ( 3 in paper: current PTSD, andere as1 (=psychiatric comparrison group), no as1) | As1 control group niet opgenomen</t>
  </si>
  <si>
    <t>Verbal Memory (NB na emotional stroop learning…)</t>
  </si>
  <si>
    <t>PTSD module SCID (DSM-III-R) &amp; Mississippi Scale score  107 of hoger</t>
  </si>
  <si>
    <t>ook SCL SCR &amp; HR gemeten (baseline &amp; tijdens stroop) | ptsd group, andere as1 issues group en no-as1 problemen groep ; NB in PTSD group wel  comorbidity| recognition memory voor woorden in modified stroop test… (includeren of excluderen?).. Verschillen in soort threat (military specifiek of niet), test de hypothese of interferences is trauma-related of generiek for treat</t>
  </si>
  <si>
    <t>M? (niet  beschreven, maar Vietnam Veterans)</t>
  </si>
  <si>
    <t>Recognition memory test for words in modified stroop task (waarin 2 levels aanwezig zijn: nml threat-level (high vs. Low) en content (military vs education) | confidence ratings + 'old' vs ' new' responses on 14-point likert scale ('very certane old' to 'very certane new') | Memory operator characteristic (MOC) curves berekend per deelnemer (reflecting Hit rate tov false alarm rate for each word type)</t>
  </si>
  <si>
    <t>Signal detection analysis; probability of area under the MOC curve (P(A) used as nonparametric measure of memory sensistivity (Hartwick, 1979) (perfect discrimination = 1); P(A) approcimate d-prime, standard parametric method used to assess memory discrimination (when old en new are distributed normal) | [ook memory bias gemeten (nonparametric B) door te kijken bij welke confidence value subject equally disposed to 'old' &amp; 'new" repsonses. response bias scores range from 0 - 14 (low score indicate lax criterion en bigh scores indicate strict criterion).. data nu niet opgenomen</t>
  </si>
  <si>
    <t>SignalDetection_P(A)</t>
  </si>
  <si>
    <t>PTSD_P(A)=proportiehit_High-Threat_MilitaryContent</t>
  </si>
  <si>
    <t>PTSD_P(A)=proportiehit_Low-Threat_MilitaryContent</t>
  </si>
  <si>
    <t>PTSD_P(A)=proportiehit_High-Threat_EducationContent</t>
  </si>
  <si>
    <t>PTSD_P(A)=proportiehit_Low-Threat_EducationContent</t>
  </si>
  <si>
    <t>Control_P(A)=proportiehit_Low-Threat_EducationContent</t>
  </si>
  <si>
    <t>Control_P(A)=proportiehit_High-Threat_EducationContent</t>
  </si>
  <si>
    <t>Control_P(A)=proportiehit_Low-Threat_MilitaryContent</t>
  </si>
  <si>
    <t>Control_P(A)=proportiehit_High-Threat_MilitaryContent</t>
  </si>
  <si>
    <t>Recognition memory sensitivity, or P(A). The repeated measures ANOVA showed a main effect of content (F(1,48) = 28.43, p = .0001) and threat (F(1,48) = 7.60, p = .008). There were no significant interaction contrasts. (geen groep effect dus) As can be seen by the P(A) values shown in Table 5, all subjects, regardless of word-type, demonstrated extremely accurate recognition memory.</t>
  </si>
  <si>
    <t>geen verschil tussen hc &amp; ptsd; all subjects, regardless of word-type, demonstrated extremely accurate recognition memory. (taak te makkelijk als memory maat?); threat beter onthouden dan neutral en military content beter dan educational content</t>
  </si>
  <si>
    <t>memory van stroop stimuli.. Te simple als memory task?</t>
  </si>
  <si>
    <t>longterm measure (d31) of trauma memory</t>
  </si>
  <si>
    <t>Trauma memory (SR) (noemen het contextual freezing)</t>
  </si>
  <si>
    <t>freezing to trauma cue, %;; auteurs noemen het contextual freezing</t>
  </si>
  <si>
    <t>unsoiled cat litter exposure 10min</t>
  </si>
  <si>
    <t>2 (meer in paper)</t>
  </si>
  <si>
    <t>fig 5 data | injecties 7day na PSS (dit geldt dus ook voor de vehicle injections) Losse dieren verder zelfde measures</t>
  </si>
  <si>
    <t>fig2 data | injecties direct na PSS  (dit geldt dus ook voor de vehicle injections) Losse dieren verder zelfde measures</t>
  </si>
  <si>
    <t>PTSD+VEH(directnaPSS)_Day31SR_%Freezing</t>
  </si>
  <si>
    <t>PTSD+VEH(7daynaPSS)_Day31SR_%Freezing</t>
  </si>
  <si>
    <t>Control+VEH(directnaPSS)_Day31SR_%Freezing</t>
  </si>
  <si>
    <t>Control+VEH(7daynaPSS)_Day31SR_%Freezing</t>
  </si>
  <si>
    <t>ptsd more freezing to trauma cue then control (NB die hadden geen trauma bij die cue…)</t>
  </si>
  <si>
    <t>p&lt;0.0001 | Overal: (NB incl injected groups) p.291: The trauma-reminder elicited significant immobility to differing degrees among the groups (F(1,55) = 44.3 p &lt; 0.0001) -- Highlighted 31 Oct 2017</t>
  </si>
  <si>
    <t>p&lt;0.0001 | Overal: (NB incl injected groups) Two-way ANOVA revealed a significant effect for treatment (F(1,88)=9.92, p&lt;0.0025) and for PSS (F(1,88) = 446.5, P &lt; 0.0001), and a significant interaction between treatment and PSS-exposure ( F(1,88) = 18.9, p&lt;0.0001) (Fig. 2).</t>
  </si>
  <si>
    <t>ptsd reminber trauma cue (= more freezing)</t>
  </si>
  <si>
    <t>Word Memory Test (WMT) = test for valid performance &amp; andere cog maten: leren&amp;memory; intellgence, attention, executive functioning; WM</t>
  </si>
  <si>
    <t>110-120 days</t>
  </si>
  <si>
    <t xml:space="preserve">The NS rat remained in its wheel-turn cage for the duration of the shock session, but the tail electrodes were not connected to the shock source. </t>
  </si>
  <si>
    <t>light? [p.2: daylight conditions maintained between 6 AM and 6 PM -- Highlighted 31 Oct 2017]</t>
  </si>
  <si>
    <t>Passive avoidance training (3 steps): a base trial, a shock trial, and three test trials | p.3: base trial, all rats were individually placed in the light chamber of the PA test chamber.  -- Highlighted 2 Nov 2017 | p.3: As soon as the rat entered the dark chamber, the door was closed. The duration that the door remained open served as the response latency score.  -- Highlighted 2 Nov 2017 | p.3: The shock trial was identical to the base trial except that entry into the dark chamber resulted in a 2 sec 0.4 mA grid shock. -- Highlighted 2 Nov 2017 | p.3: est trials were identical to the base trial. If the rat failed to enter the dark chamber within 5 rain, the trial was terminated and the rat was returned to its home cage -- Highlighted 6 Oct 2017</t>
  </si>
  <si>
    <t>passive avoidance ( = memory), als FC na tailshock</t>
  </si>
  <si>
    <t>Escapable (rat kan wiel draaien om shock duration te beeindigen) en inescapable tailshock groups. Escapable data niet meegenomen, want gaan 'trauma' model | passive avoidance training en tail shock (beide in andere context) | ES in included in review (want geen trauma model, maar escapable trauma) (dus meer een taak opzich?) [Condities: * WKY - PA - TailShock [ retroactive group n=18] | * WKY - TailShock - PA [proactive group n=18] | * Wistar - PA - TailShock [ retroactive group n=18] |* Wistar - TailShock - PA [proactive group n=18] ]</t>
  </si>
  <si>
    <t>latency score to enter dark compartment (mean)</t>
  </si>
  <si>
    <t>PTSD(IS)_BaseTrial</t>
  </si>
  <si>
    <t>Control(NS)_BaseTrial</t>
  </si>
  <si>
    <t>PTSD(IS)_ShockTrial</t>
  </si>
  <si>
    <t>Control(NS)_ShockTrial</t>
  </si>
  <si>
    <t>PTSD(IS)_TestTrial1</t>
  </si>
  <si>
    <t>Control(NS)_TestTrial1</t>
  </si>
  <si>
    <t>PTSD(IS)_TestTrial2</t>
  </si>
  <si>
    <t>Control(NS)_TestTrial2</t>
  </si>
  <si>
    <t>PTSD(IS)_TestTrial3</t>
  </si>
  <si>
    <t>Control(NS)_TestTrial3</t>
  </si>
  <si>
    <t>WKY rats</t>
  </si>
  <si>
    <t>Tail-shock stress (1.0mA for shocks 1-35; 1.3mA for shocks 36-55) - V1 1min schedule [ Inescapable conditie ] - After base trial, before shock trial</t>
  </si>
  <si>
    <t>Tail-shock stress (1.0mA for shocks 1-35; 1.3mA for shocks 36-55) - V1 1min schedule [ Inescapable conditie ] - After base trial, after shock trial, before test trial 1</t>
  </si>
  <si>
    <t>SD/SEM not reported</t>
  </si>
  <si>
    <t>p.3: main effect of Strain, F(1,60) = 26.69, p &lt; 0.01, with WKY rats showing significantly longer PA response scores than Wistar rats. -- Highlighted 3 Nov 2017 | p.3: Rats exposed to the tail shock prior to PA training demonstrated superior PA retention scores compared to rats exposed to the retroactive sequence, and this was disclosed by the significant main effect of Shock Sequence, F(1.60) = 4.04, p &lt; 0.05. -- Highlighted 3 Nov 2017 | p.3: The tail shock controllability treatment produced different PA retention scores, F(2,60) = 4.48, p &lt; 0.02. The post hoc test indicated that this significant effect was due to the longer response latency scores for the IS rats than rats exposed to either the ES or the NS treatments, Tukey HSD test, p &lt; 0.05.  -- Highlighted 3 Nov 2017 | p.3: Post hoc tests disclosed that WKY rats exposed to the IS and ES treatments had significantly higher PA scores than the Wistar rats -- Highlighted 3 Nov 2017</t>
  </si>
  <si>
    <t>ptsd (IS) rats have longer latency to enter then controls (NS) = better memory for training shock then IS shocked animals</t>
  </si>
  <si>
    <t>fear conditionign &amp; extinction; OFT; novelty supressed feeding; elevated plus maze &amp; context reexposure (day18)</t>
  </si>
  <si>
    <t>interessant stuk! echter geen control group? (alle dieren shocked in FC set-up) Of zijn strong extinciton dieren 'healthy controls' vrgl met combated exposed humans...? nu excluded want ze hebben al extincite gehad = interventie.? (wel longterm followup)-- &gt; geeen trauma model? ; maar een fear conditioning + extinction model [ FC 6* 0.8mA), ook een recal stuk (day3 of day18 na FC).. In heel Methods &amp; results staat geen ptsd (wel in intro &amp; discussie) Wel longterm follow up (nml 18 day) | geen controle group (no shock), maar weak en strong extinction responders… wel interessant --&gt; animals die weak extinctenten (bleven ook hoge extinction houden op day3 &amp; d18</t>
  </si>
  <si>
    <r>
      <t xml:space="preserve">interessant stuk! echter geen control group? (alle dieren shocked in FC set-up) </t>
    </r>
    <r>
      <rPr>
        <b/>
        <sz val="12"/>
        <color rgb="FF000000"/>
        <rFont val="Calibri"/>
        <family val="2"/>
      </rPr>
      <t xml:space="preserve">Of zijn strong extinciton dieren 'healthy controls' vrgl met combated exposed humans...? </t>
    </r>
  </si>
  <si>
    <t>reverse light-dark circle (lights on 7 p.m.) --&gt; dus vermoedelijk dark?</t>
  </si>
  <si>
    <t>Identical clean blocks were used as no odor control blocks. -- 10min box exploration waarin cube is</t>
  </si>
  <si>
    <t>3 ( PTSD zonder extinction &amp; PTSD met extinction; control)</t>
  </si>
  <si>
    <t>day 9: exposure to Situational reminder = clean wookend block [extinction ptsd group heeft 3 days extinction training gehad met cue]</t>
  </si>
  <si>
    <t xml:space="preserve">Freezing time (s): total immobility time (=fear) </t>
  </si>
  <si>
    <t>object (block) contact duration &amp; far location (=avoidance measures)</t>
  </si>
  <si>
    <t>1 (same task, different measure)</t>
  </si>
  <si>
    <t>total sample 30 --&gt; 5 groups--&gt; n=6 per group</t>
  </si>
  <si>
    <t>6 (+Ext) &amp; 6 (NoExt)</t>
  </si>
  <si>
    <t>M&amp;F (equal --&gt; 3/3 per group)</t>
  </si>
  <si>
    <t>trauma memory (SR) fear</t>
  </si>
  <si>
    <t>trauma memory (SR) avoidance measures</t>
  </si>
  <si>
    <t>all 'ptsd' (pooled data) more freezing tijdens trauma --&gt; trauma 'werkt'</t>
  </si>
  <si>
    <t>all 'ptsd' (pooled data) more contect tijdens trauma = vermijden block niet</t>
  </si>
  <si>
    <t>all 'ptsd' (pooled data) minder in far lockation van block tijdens trauma = vermijden block niet</t>
  </si>
  <si>
    <t>geen verschil (met ptsd or control)</t>
  </si>
  <si>
    <t>control minder in far location then ptsd  no extinction &amp; ptsd extinction</t>
  </si>
  <si>
    <t>geen verschil tussen ptsd ext en ptsd no ext; ptsd ext more in far location then control</t>
  </si>
  <si>
    <t>p&lt;0.05 &amp; NS</t>
  </si>
  <si>
    <t>ptsd (ext &amp; non ext) avoid trauma cue (= memory) op day9 (trauma was day 5); geen effect extinction</t>
  </si>
  <si>
    <t>PSS { Wooden blocks covered with cotton fabric were used to serve as predator odor stress stimulus. Blocks were left in the bed of street cats for 2 days prior to testing and rubbed against the fur around the cats neck prior to the experiment.  } - 10min box exploration waarin cube is | er is een ptsd group met extinction &amp; een ptsd group zonder extinction training</t>
  </si>
  <si>
    <t xml:space="preserve">2 PTSD groups (met extinction  &amp; (zonder extinction | ook activity &amp; risk assessment behaviours to SR measures (data niet extracted nu) | all groups injected </t>
  </si>
  <si>
    <t>PTSDpooled_NoExtinction&amp;Extinction_Day5(trauma day)_FreezingTime(s)</t>
  </si>
  <si>
    <t>PTSDpooled_NoExtinction&amp;Extinction_Day5(trauma day)_ContactDuration(s)</t>
  </si>
  <si>
    <t>Control_NoExtinction&amp;Extinction_Day5(trauma day)_FreezingTime(s)</t>
  </si>
  <si>
    <t>Control_NoExtinction&amp;Extinction_Day5(trauma day)_ContactDuration(s)</t>
  </si>
  <si>
    <t>PTSD_NoExtinction_Day9(test day)_FreezingTime(s)</t>
  </si>
  <si>
    <t>PTSD_NoExtinction_Day9(test day)_ContactDuration(s)</t>
  </si>
  <si>
    <t>Control_NoExtinction_Day9(test day)_FreezingTime(s)</t>
  </si>
  <si>
    <t>Control_NoExtinction_Day9(test day)_ContactDuration(s)</t>
  </si>
  <si>
    <t>PTSD_Extinction_Day9(test day)_FreezingTime(s)</t>
  </si>
  <si>
    <t>PTSD_Extinction_Day9(test day)_ContactDuration(s)</t>
  </si>
  <si>
    <t>PTSDpooled_NoExtinction&amp;Extinction_Day5(trauma day)_FarLocation(s)</t>
  </si>
  <si>
    <t>Control_NoExtinction_Day5(trauma day)_FarLocation(s)</t>
  </si>
  <si>
    <t>PTSD_NoExtinction_Day9(test day)</t>
  </si>
  <si>
    <t>Control_NoExtinction_Day9(test day)</t>
  </si>
  <si>
    <t>PTSD_Extinction_Day9(test day)_FarLocation(s)</t>
  </si>
  <si>
    <t>geen verschil, control lijkt meer freezing dan ptsd grousp te hebben, maar NS [p.230: The freezing times of all experimental groups did not produce statistical significant change (F = 1.6100, df = 4; p = 0.5809; Fig. 1e). -- Highlighted 3 Nov 2017]</t>
  </si>
  <si>
    <t>contextual fear - measured met freezing</t>
  </si>
  <si>
    <t>contextual fear - measured met avoidance</t>
  </si>
  <si>
    <t>inescapable footshock - 30min session (60 inescapable electric foot shocks for 15s at 0.8mA) in shuttelbox met gate closed &amp; no warning signal</t>
  </si>
  <si>
    <t>light? (12h light/dark cycle)</t>
  </si>
  <si>
    <t>7 weeks (=adult)</t>
  </si>
  <si>
    <t>0 (er is wel een VEH control group in exp,, data not included)</t>
  </si>
  <si>
    <t>2 (more in paper ook een IS+VEH group)</t>
  </si>
  <si>
    <t>PTSD(IS)_EscapeAvoidanceTask_#AvoidanceResponses</t>
  </si>
  <si>
    <t>Control(Sham-IS)_EscapeAvoidanceTask_#AvoidanceResponses</t>
  </si>
  <si>
    <t>Control(Sham-IS)_EscapeAvoidanceTask_#EscapeResponses</t>
  </si>
  <si>
    <t>PTSD(IS)_EscapeAvoidanceTask_#EscapeResponses</t>
  </si>
  <si>
    <t>PTSD(IS)_EscapeAvoidanceTask_#Error</t>
  </si>
  <si>
    <t>Control(Sham-IS)_EscapeAvoidanceTask_#Error</t>
  </si>
  <si>
    <t>PTSD(IS)_EscapeAvoidanceTask_#UnnecessaryCross</t>
  </si>
  <si>
    <t>IS group more avoidance events compard to rats in sham-is</t>
  </si>
  <si>
    <t>overal: p.38: F = 8:8; df = 4/92, P &lt; 0,005; posthoc p&lt;0.001</t>
  </si>
  <si>
    <t>rats in IS group minder escape events then sham-IS</t>
  </si>
  <si>
    <t>PTSD(IS)_EscapeAvoidanceTask_#CrossesInAdaptation</t>
  </si>
  <si>
    <t>Control(Sham-IS)_EscapeAvoidanceTask_#CrossesInAdaptation</t>
  </si>
  <si>
    <t>escape/avoidance task - 2 week after IS in zelfde shuttle box (80 escapable foot-shocks for 15s at 0.8mA; gate open en warning signal 5s before shock) [NB dus even sterke shock als tijdens trauma EN in zelfde context (shuttelbox..)] Prior to task 5min adaptation period waarin numer of movings through the gate was counted as cross in adaptation (cross in dapt) [maat voor herinneren?</t>
  </si>
  <si>
    <t>IS minder cross in adaptation (ze herinneren de trauma context en vermijden m? (afhankelijk van de locatie waarmee de trial start.. Echter niet terug kunnen vinden)</t>
  </si>
  <si>
    <t>overall: F =15:9; df = 4/92, P &lt; 0,001; posthoc p&lt;0.001</t>
  </si>
  <si>
    <t>Control(Sham-IS)_EscapeAvoidanceTask_#UnnecessaryCross</t>
  </si>
  <si>
    <t>Overall: p.38: (F = 7,1; df = 4/92, P &lt; 0:001).  Geen post-hoc statistics</t>
  </si>
  <si>
    <t>no sig diff</t>
  </si>
  <si>
    <t>overall: (F = 11,3; df = 4/92, P &lt; 0:001); geen posthoc statistics</t>
  </si>
  <si>
    <t>control treatment sham-IS (zelfde 30 session met 0mA shocks = no shock)</t>
  </si>
  <si>
    <r>
      <t>During a 5-min adaptation period prior to the task, the number of movings through the gate was counted as cross in adaptation (</t>
    </r>
    <r>
      <rPr>
        <b/>
        <sz val="12"/>
        <color rgb="FF000000"/>
        <rFont val="Calibri"/>
        <family val="2"/>
      </rPr>
      <t>cross in adapt</t>
    </r>
    <r>
      <rPr>
        <sz val="12"/>
        <color rgb="FF000000"/>
        <rFont val="Calibri"/>
        <family val="2"/>
      </rPr>
      <t>)</t>
    </r>
  </si>
  <si>
    <t>Trauma memory (aantal crosses in shuttlebox waar eerder trauma was, voor dat nieuwe (=escape avoidance) taak begin)</t>
  </si>
  <si>
    <t>1 (zelfde taak, zelfde dieren, andere uitkomstmaten van de taak)</t>
  </si>
  <si>
    <t>ptsd animals minder crossings tussen ruimtes (vermijden previous shock context? = dus ze onthouden het)</t>
  </si>
  <si>
    <t>rats in IS group more unnecessary crosses then control rats</t>
  </si>
  <si>
    <t>PTSD more avoidance (leren sneller?) en meer unnecessary crosses (generalizeren?), minder escape (mogelijk door meer avoidance?) (geen verschil in error)</t>
  </si>
  <si>
    <t>escape avoidance learning / non-trauma learning  in trauma context | Fear generalizatie (namelijk NA IFS, nieuwe info leren (licht voorspelt shock), maar zelfde shock sterkte in zelfde shuttle box…)</t>
  </si>
  <si>
    <t>computer taak: verlies zo min mogelijk geld. Reward systems involved (daardoor exclude?) dat is punishment</t>
  </si>
  <si>
    <t>1 of 0?</t>
  </si>
  <si>
    <t>toch exclude? Want reward? 6.10.2017</t>
  </si>
  <si>
    <t>no healthy control group; alleen ptsd or ptsd+MTBI</t>
  </si>
  <si>
    <t>no PTSD group | no blast exposed - noTBI; blast exposed-noTBI and MTBI group [uiteindelijke in een sub analyse wel adjusted for ptsd.., verder geen ptsd group]</t>
  </si>
  <si>
    <t>lees taak (zin lezen, als gelezen volgend scherm (tijd die het kost om te lezen = RT) [ pp moeten info i zin begrijpen &amp; leren ]; daarna test statements | in key words staat ook attention &amp; processins speed, reading comprehension (niet learning en memory oid) | geen leren en geheugen, want presentatie en direct erna test.. dus korte termijn text begrijpen</t>
  </si>
  <si>
    <r>
      <t xml:space="preserve">Moving to the other chamber while the signal light on was counted as </t>
    </r>
    <r>
      <rPr>
        <b/>
        <u/>
        <sz val="12"/>
        <color theme="0" tint="-0.499984740745262"/>
        <rFont val="Calibri"/>
        <family val="2"/>
      </rPr>
      <t>avoidance,</t>
    </r>
    <r>
      <rPr>
        <sz val="12"/>
        <color theme="0" tint="-0.499984740745262"/>
        <rFont val="Calibri"/>
        <family val="2"/>
      </rPr>
      <t xml:space="preserve"> and moving to the other chamber upon receiving foot-shock was counted as </t>
    </r>
    <r>
      <rPr>
        <b/>
        <u/>
        <sz val="12"/>
        <color theme="0" tint="-0.499984740745262"/>
        <rFont val="Calibri"/>
        <family val="2"/>
      </rPr>
      <t>escape.</t>
    </r>
    <r>
      <rPr>
        <u/>
        <sz val="12"/>
        <color theme="0" tint="-0.499984740745262"/>
        <rFont val="Calibri"/>
        <family val="2"/>
      </rPr>
      <t xml:space="preserve"> p.38: error; not moving to the other chamber and receiving the entire 15-s foot-shock | </t>
    </r>
    <r>
      <rPr>
        <b/>
        <u/>
        <sz val="12"/>
        <color theme="0" tint="-0.499984740745262"/>
        <rFont val="Calibri"/>
        <family val="2"/>
      </rPr>
      <t>unnecessary cross;</t>
    </r>
    <r>
      <rPr>
        <u/>
        <sz val="12"/>
        <color theme="0" tint="-0.499984740745262"/>
        <rFont val="Calibri"/>
        <family val="2"/>
      </rPr>
      <t xml:space="preserve"> moving through the gate after cessation of foot-shock prior to next signal light </t>
    </r>
    <r>
      <rPr>
        <sz val="12"/>
        <color theme="0" tint="-0.499984740745262"/>
        <rFont val="Calibri"/>
        <family val="2"/>
      </rPr>
      <t>; During a 5-min adaptation period prior to the task, the number of movings through the gate was counted as cross in adaptation (</t>
    </r>
    <r>
      <rPr>
        <b/>
        <sz val="12"/>
        <color theme="0" tint="-0.499984740745262"/>
        <rFont val="Calibri"/>
        <family val="2"/>
      </rPr>
      <t>cross in adapt</t>
    </r>
    <r>
      <rPr>
        <sz val="12"/>
        <color theme="0" tint="-0.499984740745262"/>
        <rFont val="Calibri"/>
        <family val="2"/>
      </rPr>
      <t>)| p.38: rat moved to the other chamber, the foot-shock and signal light were terminated immediately.</t>
    </r>
  </si>
  <si>
    <t>inescapable footshock (60x IS (0.8mA, 15s duration); iti 7,5-22,5s random (mean 15s); in shuttle box - deur dicht</t>
  </si>
  <si>
    <t>2 (3 in paper want EE group)</t>
  </si>
  <si>
    <t>escape/avoidance task</t>
  </si>
  <si>
    <t xml:space="preserve"> escape/avoidance task - 2 week after IS in zelfde shuttle box (80 escapable foot-shocks for 15s at 0.8mA; gate open en warning signal 5s before shock) [NB dus even sterke shock als tijdens trauma EN in zelfde context (shuttelbox..)] Prior to task 5min habituation period waarin numer of movings through the gate was counted as cross in adaptation (cross in dapt) [maat voor herinneren IS) | Each trial was divided into three segments: a conditioned phase of 5 s, an unconditioned phase with a maximum length of 15 s, and a random ITI of 1577.5 s | The CS and US were terminated immediately after the rat moved to the next compartment</t>
  </si>
  <si>
    <t>p.121: If the rat moved to the next compartment during CS presentation without US presentation, avoidance was recorded -- Highlighted 6 Nov 2017 | If the animal failed to respond, both CS and US were terminated at the end of the 15 s trial. Movements through the gate after the foot-shock were terminated, and prior to initiation of the next light signal (CS), were recorded as crossings during the ITI (Fig. 3E).</t>
  </si>
  <si>
    <t>zelfde taak als in swamura et al 2004</t>
  </si>
  <si>
    <t>zelfde taak als in Takahashi et al 2014</t>
  </si>
  <si>
    <t>PTSD(IS)_EscapeAvoidanceTask_#CrossesDuringAdaptation</t>
  </si>
  <si>
    <t>Control_EscapeAvoidanceTask_#CrossesDuringAdaptation</t>
  </si>
  <si>
    <t>Control(IS)_EscapeAvoidanceTask_#AvoidanceResponses</t>
  </si>
  <si>
    <t>PTSD(IS)_EscapeAvoidanceTask_#CrossDuringITI</t>
  </si>
  <si>
    <t>Control(IS)_EscapeAvoidanceTask_#CrossDuringITI</t>
  </si>
  <si>
    <r>
      <t>During a 5-min adaptation period prior to the task, p.121: the number of crossings during habituation was recorded as cross during adaptation, [a</t>
    </r>
    <r>
      <rPr>
        <u/>
        <sz val="12"/>
        <color rgb="FF000000"/>
        <rFont val="Calibri"/>
        <family val="2"/>
      </rPr>
      <t>nd the number of photocell interruptions in the compartments was also recorded as move during adaptation --&gt; not extracted nu] -- Highlighted 6 Nov 2017</t>
    </r>
  </si>
  <si>
    <t>ptsd minder cross in adaptation (ze herinneren de trauma context en vermijden m? (afhankelijk van de locatie waarmee de trial start.. Echter niet terug kunnen vinden)</t>
  </si>
  <si>
    <t>IS more avoidance (leren sneller?)</t>
  </si>
  <si>
    <t>IS more crossings during ITI (teken van generalizatie?)</t>
  </si>
  <si>
    <t>IS more avoidance (ze herinneren) en more crossings during ITI (teken v generalizatie?)</t>
  </si>
  <si>
    <t>transient, forebrain-specific,  CRH overexpression during early-life (pre-puberty, CRHOEdev) in double-mutant mice (Camk2a-rtta2×tetO-Crh) [ echter ook control group, wel duouble-mutant maar mutatie niet tot expressie gebracht met voer]</t>
  </si>
  <si>
    <t>8 week old (adult)</t>
  </si>
  <si>
    <t>light (light on at 6h; experiments tussen 8-17h)</t>
  </si>
  <si>
    <t>? [not reported]</t>
  </si>
  <si>
    <t>1 (0.5mA shock is meer FC ipv trauma.. 2mA wel 'trauma)</t>
  </si>
  <si>
    <t>single inescapable footshock (day0; 0.5mA or 2mA or 0mA (control) in shuttlebox (dark chamber) met lavender odor cue present, for 10s); followed by 3 situational reminders  [p.244: All rats (no-shock and shock) were subsequently exposed to situational reminders on days 3, 10 and 17. [SR =  1 min in the light compartment of the shuttle box in the presence of the olfactory cue under the grid floor. The door was closed to prevent access to the dark compartment in order to avoid possible consequent extinction]</t>
  </si>
  <si>
    <t>p.244: Rats of the no-shock control group underwent the same procedure but without receiving any foot-shock in the dark part of the shuttle box. -- Highlighted 7 Nov 2017 + [p.244: All rats (no-shock and shock) were subsequently exposed to situational reminders on days 3, 10 and 17] [SR =  1 min in the light compartment of the shuttle box in the presence of the olfactory cue under the grid floor. The door was closed to prevent access to the dark compartment in order to avoid possible consequent extinction]</t>
  </si>
  <si>
    <t>avoidance trauma cue? (in nieuwe context)</t>
  </si>
  <si>
    <t>3 (NS, 0.5 &amp; 2mA shock)</t>
  </si>
  <si>
    <t>2 (male)</t>
  </si>
  <si>
    <t>2 (female)</t>
  </si>
  <si>
    <t>PTSD(0.5mA)_TimeInDark(s)</t>
  </si>
  <si>
    <t>Time in dark comparment (in seconds)</t>
  </si>
  <si>
    <t>PTSD(2mA)_TimeInDark(s)</t>
  </si>
  <si>
    <t>Control(NS)_TimeInDark(s)</t>
  </si>
  <si>
    <t>Male |2 ptsd group 0.5mA &amp; 2mA) | avoidance is time in  dark compartment van dark-light box (waarin wel olfactory cues van trauma zijn, maar andere box)| we tested 1) avoidance behavior in the DL-box, 2) anxiety- like behavior in the elevated plus maze (EPM), 3) social interaction be- havior (indicative of “emotional numbing”), 4) freezing behavior upon sudden silence (indicative of stress sensitization and non-associative fear), 5) plasma corticosterone at baseline and following restraint- stress (indicative of HPA axis dysfunction), and 6) heart rate and body temperature responses during novelty stress and fear conditions in telemetrized rats (indicative of physiological hyper-reactivity and sensitization).</t>
  </si>
  <si>
    <t>female | 2 ptsd group 0.5mA &amp; 2mA) | avoidance is time in  dark compartment van dark-light box (waarin wel olfactory cues van trauma zijn, maar andere box)| we tested 1) avoidance behavior in the DL-box, 2) anxiety- like behavior in the elevated plus maze (EPM), 3) social interaction be- havior (indicative of “emotional numbing”), 4) freezing behavior upon sudden silence (indicative of stress sensitization and non-associative fear), 5) plasma corticosterone at baseline and following restraint- stress (indicative of HPA axis dysfunction), and 6) heart rate and body temperature responses during novelty stress and fear conditions in telemetrized rats (indicative of physiological hyper-reactivity and sensitization).</t>
  </si>
  <si>
    <t>NS-0.5mA (p&lt;0.001); NS-2mA (p&lt;0.05)</t>
  </si>
  <si>
    <t>NS-0.5mA (p&lt;0.001); NS-2mA (p&lt;0.001)</t>
  </si>
  <si>
    <t>0.5mA minder time in dark dan NS; 2mA minder time in dark dan NS [NB female vs Male: female in 2mA groep minder time in dark then male ]</t>
  </si>
  <si>
    <t xml:space="preserve">long term effect (&gt;18day) -- Dark-light box met trauma odor (p.244: In order to increase the contextual cues related to the shock context, in the dark compartment we placed the same olfactory cue that had been present during the foot-shock exposure as well as during the situational reminders -- Highlighted 10 Oct 2017) | Dus donkerte &amp; geur in donker comparment zijn trauma cues.. </t>
  </si>
  <si>
    <t>nb 2 ptsd group (0.5mA &amp; 2mA)</t>
  </si>
  <si>
    <t>shocked rats minder time in dark, then controls [dark is normale voorkeur, dus rats remember trauma cue] {dus meer avoidance &amp; meer memory}</t>
  </si>
  <si>
    <t>7 week old</t>
  </si>
  <si>
    <t>light? [ 12-h light/dark  cycle; The behavioral procedures were performed during the daytime from 10:00 AM to 4:00 PM.]</t>
  </si>
  <si>
    <t>2 (IS en sham IS; in paper ook nog variatie in wel niet chronic variable stress backgroupd… data nu excluded)</t>
  </si>
  <si>
    <t>in paper ook nog variatie in wel niet chronic variable stress backgroupd… die data nu excluded) | data wistar no CVS 2x getoond in fig2 en fig 3.. Only fig3 included</t>
  </si>
  <si>
    <t>p.688: During a 30-min IS or sham IS session, a total of 60 ISs at 0.8 mA for 15 s each or sham shocks at 0 mA were administered. There was no warning light signal either before or during each shock, and the gate remained closed during the treatment. -- Highlighted 7 Nov 2017</t>
  </si>
  <si>
    <t>30 min in shuttle box (no shock) - deur dicht</t>
  </si>
  <si>
    <t xml:space="preserve">avoidance/escape test in shuttle box - the gate was always kept open during the avoidance/escape task session that was performed 2 weeks after the initial IS or sham IS treatment. |warning signal light was provided 5 s prior to each IS. (footshock = 0.8mA, max 15s) | Additionally, a warning signal light was provided 5 s prior to each IS. During a 5-min adaptation period before the task, the number of movements through the gate was counted as a cross in adaptation (cross in adapt), and movement within the chamber was counted as locomotion in adaptation (locomotion in adapt). Movement to the other chamber while the light signal was on was counted as avoidance, and movement to the other chamber on receiving the IS was counted as escape. The IS and light signal were terminated immediately after the rat moved to the other chamber. If the rat did not move to the other chamber, the behavior was counted as an error, and the rat received IS lasting 15s Movement through the gate after the cessation of the foot shock and prior to the next light signal was counted as an unnecessary cross. </t>
  </si>
  <si>
    <t>1 &amp; 2 (per 2 regels zelfde dieren, andere uitkomstmaten)</t>
  </si>
  <si>
    <t>2 &amp; 2 (per 2 regels zelfde dieren, andere uitkomstmaten)</t>
  </si>
  <si>
    <t>3 &amp; 2 (per 2 regels zelfde dieren, andere uitkomstmaten)</t>
  </si>
  <si>
    <t>4 &amp; 2 (per 2 regels zelfde dieren, andere uitkomstmaten)</t>
  </si>
  <si>
    <t>5 &amp; 2 (per 2 regels zelfde dieren, andere uitkomstmaten)</t>
  </si>
  <si>
    <t>6 &amp; 2 (per 2 regels zelfde dieren, andere uitkomstmaten)</t>
  </si>
  <si>
    <t>Fischer 344</t>
  </si>
  <si>
    <t xml:space="preserve">5-min adaptation period before the task, the number of movements through the gate was counted as a cross in adaptation (cross in adapt), [ and movement within the chamber was counted as locomotion in adaptation (locomotion in adapt) - (NOT extracted nu) ]
</t>
  </si>
  <si>
    <t>CrossInAdapt</t>
  </si>
  <si>
    <t xml:space="preserve">p.688: Movement to the other chamber while the light signal was on was counted as avoidance, and movement to the other chamber on receiving the IS was counted as escape. -- |
If the rat did not move to the other chamber, the behavior was counted as an error, and the rat received IS | Movement through the gate after the cessation of the foot shock and prior to the next light signal was counted as an unnecessary cross. </t>
  </si>
  <si>
    <t>Avoidance_Escape_Error_UnnecessaryCross</t>
  </si>
  <si>
    <t>Avoidance_CrossITI</t>
  </si>
  <si>
    <t>0 (niet af te lezen)</t>
  </si>
  <si>
    <t>IS more unnecessary cross, then control</t>
  </si>
  <si>
    <t xml:space="preserve"> (P&lt;0.05).</t>
  </si>
  <si>
    <t>IS more error's then control</t>
  </si>
  <si>
    <t>IS minder escape then control</t>
  </si>
  <si>
    <t>IS more avoidance then control</t>
  </si>
  <si>
    <t>IS Wistar minder cross in adapt (vermijden previous shock context? = dus ze onthouden het)</t>
  </si>
  <si>
    <t>IS Fischer minder cross in adapt (vermijden previous shock context? = dus ze onthouden het)</t>
  </si>
  <si>
    <t>IS Lewis minder cross in adapt (vermijden previous shock context? = dus ze onthouden het)</t>
  </si>
  <si>
    <t>geen verschil escape</t>
  </si>
  <si>
    <t>Fisher PTSD more avoidance (leren sneller?) en meer unnecessary crosses (generalizeren?), minder escape , more error (helploosheid?)</t>
  </si>
  <si>
    <t>Wistar PTSD more avoidance (leren sneller?) en meer unnecessary crosses (generalizeren?),escape (geen verschil) , more error (helploosheid?)</t>
  </si>
  <si>
    <t>California Verbal Learning Test-II (CVLT-II; Delis, Kramer, Kaplan, &amp; Ober, 2000)</t>
  </si>
  <si>
    <t>meer data in paper: p.134: All veterans received a standardized battery of commonly administered neuropsychological measures including: California Verbal Learning Test-II (CVLT-II; Delis, Kramer, Kaplan, &amp; Ober, 2000); select subtests from the Wechsler Adult Intelligence Scale-IV (WAIS-IV; Wechsler, 2008); Paced Auditory Serial Addition Task (PASAT; Diehr, Heaton, Miller, &amp; Grant, 1998); Trail Making Test A &amp; B (Trails; Reitan &amp; Wolfson, 1985); Stroop Color and Word Test (Golden &amp; Freshwater, 2002); Wisconsin Card Sorting Test (WCST; Heaton, Chelune, Talley, Kay, &amp; Curtiss; -- Highlighted 10 Oct 2017</t>
  </si>
  <si>
    <t>[data nog toevoegen] - executive fucntioning</t>
  </si>
  <si>
    <t>M: 29+63 &amp; F: 1+5</t>
  </si>
  <si>
    <t>M: 34 &amp; F: 2</t>
  </si>
  <si>
    <t>Deployment &amp; Civilian?</t>
  </si>
  <si>
    <t>Veterans (OEF/OIF/OND)</t>
  </si>
  <si>
    <t>PCL-C (om voor civilian &amp; military trauma's te checken) score groter of gelijk aan 50</t>
  </si>
  <si>
    <t>2( 3 in paper, ptsd-passPerformance validity en ptsd-failedPerformance validity --&gt; PTSD groups samengevoegd)</t>
  </si>
  <si>
    <t>Trials 1-5; Long Delay Free; Recognition Hits</t>
  </si>
  <si>
    <t>Control_CVLT-II_Total(Trial1-5)</t>
  </si>
  <si>
    <t>PTSD(PassValidPerformance&amp;FailedValidPerformance)_CVLT-II_Total(Trial1-5)</t>
  </si>
  <si>
    <t>PTSD(PassValidPerformance&amp;FailedValidPerformance)_CVLT-II_LongDelayFree</t>
  </si>
  <si>
    <t>Control_CVLT-II_LongDelayFree</t>
  </si>
  <si>
    <t>PTSD(PassValidPerformance&amp;FailedValidPerformance)_CVLT-II_RecognitionHits</t>
  </si>
  <si>
    <t>Control_CVLT-II_RecognitionHits</t>
  </si>
  <si>
    <t>NB statistiek gedaan voor contr vs ptsd-pass en control vs ptsd-fail (die data zou je nog uit tabel 2 kunnen halen) | Opvallend geen sig verschillen tussen control &amp; PTSD_valid, wel tussen control en PTSD_fail</t>
  </si>
  <si>
    <t>? NB statistiek gedaan voor contr vs ptsd-pass en control vs ptsd-fail (die data zou je nog uit tabel 2 kunnen halen) | Opvallend geen sig verschillen tussen control &amp; PTSD_valid, wel tussen control en PTSD_fail | ptsd samen lijkt minder dan control.. maar heb stats niet...</t>
  </si>
  <si>
    <t>[ -? ]</t>
  </si>
  <si>
    <t>deelnemers verwezen voor mogelijk tbi.. (ook controls dus --&gt; geen healthy groep?) - echter wel verschil in ptsd symptomen en geen verschil in aantal mtbi tussen group (control, ptsd-pass en ptsd-fail); ptsd verdeelt in performance valide &amp; performance onvalide [ samengevoegd tot 1 ptsd group, vanuit de rationale, in de overige papers is het onderscheidt ook niet gemaakt.. en deelnemers zijn er niet specifiek op uitgezocht, dus geen reden om aan te nemen dat het samenvoegen van de groepen tot een afwijkend ptsd sample leidt ] geen statistics for ptsd (Pass+fail) vs control... excluderen daarom?</t>
  </si>
  <si>
    <t>all subjects combat-related mTBI met comorbid ptsd --&gt; dus geen healthy control group = exclude</t>
  </si>
  <si>
    <t>M (n=34) &amp; F</t>
  </si>
  <si>
    <t>M (n=36) &amp; F</t>
  </si>
  <si>
    <t>California Verbal Learning Test-II; Total Recall &amp; Delayed Free Recall</t>
  </si>
  <si>
    <t>Total Recall &amp; Delayed Free Recall</t>
  </si>
  <si>
    <t>Rey-O Complex Figure Test Delayed Recall</t>
  </si>
  <si>
    <t>Delayed recall</t>
  </si>
  <si>
    <t>PTSD_CVLT-2_TotalRecall</t>
  </si>
  <si>
    <t>Control_CVLT-2_TotalRecall</t>
  </si>
  <si>
    <t>PTSD_CVLT-2_DelayedFreeRecall</t>
  </si>
  <si>
    <t>Control_CVLT-2_DelayedFreeRecall</t>
  </si>
  <si>
    <t>PTSD_ROCF_DelayedRecall</t>
  </si>
  <si>
    <t>Control_ROCF_DelayedRecall</t>
  </si>
  <si>
    <t>Geen verschil tussen ptsd en trauma control</t>
  </si>
  <si>
    <t>both NS</t>
  </si>
  <si>
    <t>geen verschil in verbal memory</t>
  </si>
  <si>
    <t>Geen verschil tussen trauma control en ptsd on visual memory</t>
  </si>
  <si>
    <t>Geen verschil tussen trauma control en ptsd on verbal memory</t>
  </si>
  <si>
    <t>Verbal memory</t>
  </si>
  <si>
    <t>Predator scent stress (PSS) Well soiled cat litter 10 min (in use by cat for 2 day, sifted for stools)</t>
  </si>
  <si>
    <t>exposed to fresch unused litter ook 10min</t>
  </si>
  <si>
    <t>cumulative Freezing time in %</t>
  </si>
  <si>
    <t>trauma memory (SR) cue (unused cat litter)</t>
  </si>
  <si>
    <t>2 (more in paper, different consentraties pregabalin)</t>
  </si>
  <si>
    <t>2 (different design) - veh injections vanaf 1h na PSS voor 4 days</t>
  </si>
  <si>
    <t>study 2 data</t>
  </si>
  <si>
    <t>study 3 data</t>
  </si>
  <si>
    <t>2 (different design) - veh injections vanaf 7day na PSS voor 4 days</t>
  </si>
  <si>
    <t>The trauma-reminder elicited significant immobility to differing degrees in response to PSS-exposure among the groups (F(1,88) = 5.5, p&lt;0.0001) (Fig. 7). Bonferroni test revealed that exposed rats displayed significantly more immobility than unexposed controls (p&lt;0.0001).</t>
  </si>
  <si>
    <t>The trauma-reminder elicited significant immobility to differing degrees in response to PSS-exposure among the groups (F(1,74) = 157.4, p b 0.0001). Bonferroni revealed that exposed rats displayed significantly more immobility than unexposed controls (p&lt;0.0001) fig11</t>
  </si>
  <si>
    <t>fig7 exposed rats displayed significantly more immobility than unexposed controls</t>
  </si>
  <si>
    <t>fig 11 exposed rats displayed significantly more immobility than unexposed controls</t>
  </si>
  <si>
    <t>PTSD(PSS)_%Freezing_SR_Day31</t>
  </si>
  <si>
    <t>Control_%Freezing_SR_Day31</t>
  </si>
  <si>
    <t>avoidance(day7) Trauma_M</t>
  </si>
  <si>
    <t>avoidance (day14) Trauma_M</t>
  </si>
  <si>
    <t>avoidance (day21) Trauma_M</t>
  </si>
  <si>
    <t>avoidance (day 28) Trauma_M</t>
  </si>
  <si>
    <t>avoidance (day1) - trauma memory (voor ptsd group) voor control wel bekent object maar nooit geassocieerd met trauma)</t>
  </si>
  <si>
    <t>1 [verschillende dieren voor trauma of novel object test; hoe analyseren we dit? En welke categorie (memory? FC? Trauma memory?)</t>
  </si>
  <si>
    <t>Trauma Contextual memory [&amp; fear sensitisatie]</t>
  </si>
  <si>
    <t>1 [deze control group gebruikt voor andere experimenten]</t>
  </si>
  <si>
    <t>1 [d28 controle groep voor meerdere experimenten] Hoe wil je deze analyses doem?</t>
  </si>
  <si>
    <t>? [12h light dark cycle]</t>
  </si>
  <si>
    <t>Free and Easy Wanderer Plus (FEWP) is a traditional Chinese medicine previously shown to be effective in PTSD treatmen</t>
  </si>
  <si>
    <t>0 (er is een groep met drug in drink water, maar controls alleen tap water)</t>
  </si>
  <si>
    <t>SPS [2h restraint, 20min forced swim, 15 min recuperation, ether anesthesia till loss of consciousness]</t>
  </si>
  <si>
    <t>the rats of control group remained in a room adjacent to the SPS rats for the duration of the SPS procedure and were handled twice for several minutes</t>
  </si>
  <si>
    <t>Contextual Fear conditioning (na sps)</t>
  </si>
  <si>
    <t>duration of freezing behaviour during 5min context re-exposre</t>
  </si>
  <si>
    <t>day 12 &amp; 13 contextual fear conditioning test [ shock grid floor, 180s in chamber prior to US (=continuouse footshock, 0.8mA, 4s), dan terug naar home cage - na 24h reexposure to shock context ] - nb dus niet sps context, maar nieuwe context voor fc taak) SPS was op day1</t>
  </si>
  <si>
    <t>PTSD(SPS)_CFC_%Freezing_1dayNaConditioning&amp;13dayNaSPS</t>
  </si>
  <si>
    <t>Control_CFC_%Freezing_1dayNaConditioning</t>
  </si>
  <si>
    <t>ptsd freeze more bij fear context reexposre then control (die ook gefearconditioned zijn)</t>
  </si>
  <si>
    <t>ptsd more contextual freezing dan control (die ook fc gehad hebben)</t>
  </si>
  <si>
    <t>CFC na sps</t>
  </si>
  <si>
    <t>No Healthy Control | no ptsd group, no control group; wel digit learning</t>
  </si>
  <si>
    <t>No Healthy Control |geen controle group (PTSD met of zonder stress)</t>
  </si>
  <si>
    <t>No Healthy Control | geen  control group; maar in veteranen sample PTSD gemeten &amp; correlatie met associatie-reward learning task  (43,3% scored boven cut-off)</t>
  </si>
  <si>
    <t>No Healthy Control | no healthy control group; alleen ptsd or ptsd+MTBI</t>
  </si>
  <si>
    <t>No Healthy Control | no control group….</t>
  </si>
  <si>
    <t>No Healthy Control | geen controle group; geen behaviroual/cog. Taak.. Maar trauma video &amp; serotonine/dopamine metabolites meten in CSF</t>
  </si>
  <si>
    <t>No MemoryFC | gekeken naar symptom validity &amp; correlatie tussen morel emotional numbing test (for ptsd) en word memory test in neurological evaluations --&gt; geen ptsd specifc sample &amp; control group comparison [ 32 van de 37 memory complains; 8 daarvan ptsd complains; total sample = n=37]</t>
  </si>
  <si>
    <t>No MemoryFC |no cognitive task; maar senosrisch</t>
  </si>
  <si>
    <t>No MemoryFC |not cognitive, maar imagery</t>
  </si>
  <si>
    <t>No MemoryFC |scritp-driven imagery --&gt; no cog. Task; focus op emotions</t>
  </si>
  <si>
    <t>No MemoryFC |not cognitive maar anxiety</t>
  </si>
  <si>
    <t>No MemoryFC |anxiety, no cognition</t>
  </si>
  <si>
    <t>No MemoryFC |not cognitive, maar nightmares &amp; sleep</t>
  </si>
  <si>
    <t>No ExperimentalStudy | gaat over TBI &amp; het is een soort van review/essay over neuropsychologisch onderzoek in TBI… dus geen experimental report = exclude</t>
  </si>
  <si>
    <t>No ExperimentalStudy |only study protocol</t>
  </si>
  <si>
    <t>No ExperimentalStudy | REVIEW</t>
  </si>
  <si>
    <t>No PTSD Group/Model | ELS vs ELS- groups.. Geen ptsd group, wel PTSD gemeten in ELS group</t>
  </si>
  <si>
    <t>No PTSD Group/Model | geen ptsd group, maar calstabin 2 KO mice (als ptsd model); wel contextual freezing &amp; MWM</t>
  </si>
  <si>
    <t>No PTSD Group/Model | TBI group &amp; non-tbi group… geen PTSD VS PTSD control group; wel een ptsd check list (TBI --&gt; 60% ptsd; no tbi; 29 % ptsd)</t>
  </si>
  <si>
    <t>No PTSD Group/Model | no blast exposed - noTBI; blast exposed-noTBI and MTBI group [uiteindelijke in een sub analyse wel adjusted for ptsd.., verder geen ptsd group]</t>
  </si>
  <si>
    <t>No PTSD Group/Model | Only ELS, No PTSD</t>
  </si>
  <si>
    <t>No PTSD Group/Model | no PTSD model, only avoidance training &amp; individual differences daarin [ ze zeggen dat die verschillen wel mogelijk informatief zijn voor het risico op ptsd van een individu, maar testen dat niet]</t>
  </si>
  <si>
    <t>No PTSD Group/Model | no ptsd only group, en geen directe vergelijking tussen ptsd &amp; neuropsychologische performance</t>
  </si>
  <si>
    <t xml:space="preserve">No PTSD Group/Model | [ptsd geen onafhankelijke var] ---&gt; geen ptsd group vs controle (1sample --&gt; effect alcohol  on cognition) no data reported for ptsd patients vs controls </t>
  </si>
  <si>
    <t xml:space="preserve">No PTSD Group/Model | [ptsd geen onafhankelijke var] ---&gt; geen ptsd group vs controle (1sample --&gt; effect alcohol biomarkers on cognition) no data reported for ptsd patients vs controls </t>
  </si>
  <si>
    <t>No PTSD Group/Model | prenatal stress als 'trauma' en dan FC &amp; extinction</t>
  </si>
  <si>
    <t>No PTSD Group/Model | no ptsd group, no control group</t>
  </si>
  <si>
    <t xml:space="preserve"> maternal separation als trauma (ook control group) daarna FC op day90 (test 1h na acq &amp; 24h later) in helft van iedere groep; andere helft morris water maze | excluded want ook control group niet longterm test na FC(maar 1dag)</t>
  </si>
  <si>
    <t>No PTSD Group/Model | No PTSD group, wel ptsd gemeten..maar meer een covar | Maar gecorrelerd en data allen uitgesplitst in: (prisoners of war (POW), POW classified in &gt;35%(n=60) en &lt;35%(n=113) weight loss  &amp; non-prisoner of war veterans (n=50)</t>
  </si>
  <si>
    <t>No PTSD Group/Model | no PTSD group; maar onderverdeling in 22 Prisoners of War (POW) &amp; 22 combat veterans | wel logical memory subtest of Wechsler Memory Scale afgenomen (&amp;MMPI, STAI, BDI &amp; een aanpassingsproblemen checklist)</t>
  </si>
  <si>
    <t>No PTSD Group/Model | geen ptsd vs non-ptad group; maar een mtbi - control group; wel ptsd gemeten en correlatie tussen ptsd scores en verbal learning/memory scores berekend voor alle deelnemers (geen correlaties gevonden, ook geen sig relaties tussen verbal learning/memory voor group(=mtbi or control)</t>
  </si>
  <si>
    <t>No PTSD Group/Model | geen PTSD group, maar MTBI groups.. Wel PTSD gemeten associatie analyses met neuropychological outcomes bekeken in mTBI groups. | marginaal verschil in ptsd scores voor de verschillende TBI groups (no-TBI; TBI met LOC; TBI zonder LOC)</t>
  </si>
  <si>
    <t>No MemoryFC | set shifting &amp; reward.. Dus geen memory</t>
  </si>
  <si>
    <t>No MemoryFC | no cognitive task, no ptsd model --&gt; Fear potentiated startle (zonder leren &amp; alcohol induced conditioned place preference</t>
  </si>
  <si>
    <t>No MemoryFC | computer taak: verlies zo min mogelijk geld. Reward systems involved (daardoor exclude) dat is punishment</t>
  </si>
  <si>
    <t>No MemoryFC | attention en WM; sternberg task voor cog. Control en wm</t>
  </si>
  <si>
    <t>No MemoryFC | chronisch ptsd model eruit &amp; conditioned place preferance = reward; noemen het stress-induced foodreward model</t>
  </si>
  <si>
    <t>No Healthy Control |all subjects combat-related mTBI met comorbid ptsd --&gt; dus geen healthy control group = exclude</t>
  </si>
  <si>
    <t>No Healthy Control |no control groups, only PTSD patients (9 hydrocorison; 10 placebo) -&gt; net na opschrijven 2 meest traumatische gebeurtenissen {veteranen}</t>
  </si>
  <si>
    <t>No Behavior | no behavioral data reported. restingstate Fmri study, dus meer informatie processing</t>
  </si>
  <si>
    <t>No Behavior | zelfde vragenlijsten als andere artikel Myhren (2010) --&gt; dus ook geen cognitive behaviour test, maar een ICU memory vragenlijst (herinneringen over verblijf en opname op ICU), Impact of event scale als maat voor PTSD (IES); ook geen directe comparisson met PTSD symptom level</t>
  </si>
  <si>
    <t>No Behavior |  memories van admission &amp; stay ICU zijn gemeten met een vragenlijst; PTSD symptoms ook gemeten met vragenlijst --&gt; dus geen cognitive BEHAVIOUR! --&gt; exclude?</t>
  </si>
  <si>
    <t>no ptsd model &amp; review</t>
  </si>
  <si>
    <t>MOD, REV</t>
  </si>
  <si>
    <t>9.11.2017 research gate gekeken, &amp; download check.. Zonder succes.. Nog een keer bericht gestuurd.</t>
  </si>
  <si>
    <t>No MemoryFC | meer depressie model? - excluderen? - Escape behavior voornamelijk (niet cog. ) ook een FC taak in exp9 maar data not reported… | Inescapable tail shock, dan escape testing in shuttle boxes  BELANGRIJK IS NIET IN SHUTTLE BOX --&gt; dus geen trauma memory oid, maar meer 'depressie' (of juist wil om te ontsnappen) | later ook nog een footshock in exp9, maar dat alleen om 'stress' te introduceren, uitkomst maat is ook in dit experiment 'escape behavior'</t>
  </si>
  <si>
    <t>E&amp;M</t>
  </si>
  <si>
    <t>To do? 081117 (0=checked and no; E&amp;M = vraag Elbert &amp; Marian)</t>
  </si>
  <si>
    <t>shock sterkte?</t>
  </si>
  <si>
    <t>No PTSD Group/Model |  groupen op basis v cog. Performance ipv PTSD diagnose.. Bruikbaar? --&gt; geen experimenteel design?</t>
  </si>
  <si>
    <t>No PTSD Group/Model | MTBI ipv PTSD (no PTSD group, wel mean PTSD scores v controles &amp; MTBI patients)</t>
  </si>
  <si>
    <t>data vragen?</t>
  </si>
  <si>
    <t>Chronic PTSD | chronisch ptsd model eruit (timeline: FC - CUS (=18day's) - Fear extinction - coping &amp; cog. Flexibility measured after 24h)</t>
  </si>
  <si>
    <t>0 - chronic</t>
  </si>
  <si>
    <t>No PTSD Group/Model | no ptsd group? / wel gecontroleerd voor ptsd in ELS group</t>
  </si>
  <si>
    <t>0 - els</t>
  </si>
  <si>
    <t>No Healthy Control | alle deelnemers moeten ptsd hebben (caps boven 40) | no control group | niet direct gekeken naar effect ptsd op cognitie / relatie ertussen</t>
  </si>
  <si>
    <t>No Healthy Control &amp; No Behavior|only ptsd group?; no behavioral task. Maar quesionaires en psychophysiology na startle stimuli</t>
  </si>
  <si>
    <t>No Healthy Control | alle deelnemers ptsd ; NO control group</t>
  </si>
  <si>
    <t>No MemoryFC | metacognition (= represenaties van zelf vormen..) en emoties herkennne Dus niet cognitief</t>
  </si>
  <si>
    <t>No MemoryFC | WMT is een malingering/ sympotom validitiy test ipv een memory test? [ dan geen cognitieve maat…] / in paper alleen % pass/fail/caution gerapporteerd.. Geen ruwe scores / memory subsets</t>
  </si>
  <si>
    <t>No PTSD Group/Model | mtbi &amp; non-mtbi group;; geen ptsd vs no-ptsd grousp</t>
  </si>
  <si>
    <t>0 - tbi</t>
  </si>
  <si>
    <t>No PTSD Group/Model | Control vergeleken met MTBI, As1, MTBI+AS1 groupen.. In as 1 zit PTSD &amp; andere problematiek bij elkaar (depressie, alcohol afhankelijkheid, paniek stoornis, dysthyme stoornis, GAD, aanpassinsstoornis, OCD, etc) --&gt; er is dus geen specifieke data van alleen ptsd group of invloed van ptsd op cognitive performance. Brede neuropsychologische testbatterij afgenomen (intellectual ability, wm, verbal fluency, visual-spatial funciton ,exectutive function, visual &amp; verbal memory), daarna een overal cognitive perfromance score berekend maar data losse testen per group wel beschikbaar!</t>
  </si>
  <si>
    <t>No PTSD Group/Model | sample onderverdeelt in mtbi en non-mtbi group… ook ptsd measure afgenomen (Caps) in mtbi group meer mensen met ptsd (niet sig.. p=.054).. Echter geen relatie tussen ptsd en performance on autobiografical memory for blast event (=de cog. Memory task in deze studie) bestudeerd.. ook geen non-ptsd controle group.... exclude?</t>
  </si>
  <si>
    <t>No MemoryFC | emotie detection? Info processing</t>
  </si>
  <si>
    <t>No PTSD Group/Model | geen ptsd group, maar pts severity score in bijde groupen (MTBI &amp; trauma control) meegenomen in GLM model (tot) 3 months na emergency department</t>
  </si>
  <si>
    <t>No ExperimentalStudy | 'case report' (n=3)</t>
  </si>
  <si>
    <t>No PTSD Group/Model | geen only ptsd group (maar combi van psychopathologieen, namelijk MDD(14,1%), PTSD (31,5%) &amp; mTBI (32,1%)), wel een HC group --&gt; dus geen cog. Data voor ptsd only presented</t>
  </si>
  <si>
    <t>E&amp;M is dit de equivalent van SR in rodent?</t>
  </si>
  <si>
    <t>No PTSD Group/Model | tbi patients, wel PTSC gemeten (geen PTSD vs control groups) (score PCL control: 33; TBI all PCL score 53)</t>
  </si>
  <si>
    <t>No MemoryFC | toch exclude? Want reward? 6.10.2017</t>
  </si>
  <si>
    <t>0 - reward</t>
  </si>
  <si>
    <t>No Healthy Control | wel relevante studie, maar gekeken naar symptomen van ptsd ipv verschil controle &amp; patienten group [ bevinding is correlatie tussen reexperiencing sympotomen &amp; mate van memory generalizatie ]</t>
  </si>
  <si>
    <t>0 - chronic &amp; reward</t>
  </si>
  <si>
    <t>0 - tbi &amp; chronic</t>
  </si>
  <si>
    <t>No Healthy Control |no control group.. Alle subjects ptsd (gekeken naar dissociative symptomen in die groep) Chronic ptsd</t>
  </si>
  <si>
    <t>ook mtbi groups, maar hier alleen data PTSD only overgenomen</t>
  </si>
  <si>
    <t>wil je IQ match subgroup data? (hoeft denk ik niet)</t>
  </si>
  <si>
    <t>cfc na sps; alleen data niet ELS groups included</t>
  </si>
  <si>
    <t>ook rewarding omgeving in CFC..</t>
  </si>
  <si>
    <t>escape/avoidance task; in paper ook een chronic stress variant die data nu niet included</t>
  </si>
  <si>
    <t>Chronic PTSD | echter wel lange trauma? (day1-21) Wat daarmee te doen? / noemen het zelf ook ptsd model</t>
  </si>
  <si>
    <t>Chronic PTSD | 'trauma'  niet te chronisch? 31 days (2 events (cat), ondertussen social instability)</t>
  </si>
  <si>
    <t>Chronic PTSD | 'trauma'  niet te chronisch? 31 days (2 events (cat), ondertussen social instability) &amp; OOK geen data gerapporteerd van deze taak.</t>
  </si>
  <si>
    <t xml:space="preserve">Chronic PTSD | Exclude? Chronic stressor --&gt; Model depression &amp; PTSD. </t>
  </si>
  <si>
    <t>Chronic PTSD | 11 day of chronic social defeat stress, vervolgens interactie/avoidance van muis (aggressor) gemeten en ook een novel object recognition test gedaan. ; [model wel in ptsd model reviews.. Maar auteurs spreken zelf niet over ptsd model in de study]</t>
  </si>
  <si>
    <t>Chronic PTSD &amp; No MemoryFC | emotion regulation, not cognitive (neg. Stimuli kijken) IAPS &amp; Chronic ptsd</t>
  </si>
  <si>
    <t>No Healthy Control | deelnemers verwezen voor mogelijk tbi.. (ook controls dus --&gt; geen healthy groep?) - echter wel verschil in ptsd symptomen en geen verschil in aantal mtbi tussen group (control, ptsd-pass en ptsd-fail); ptsd verdeelt in performance valide &amp; performance onvalide [ samengevoegd tot 1 ptsd group, vanuit de rationale, in de overige papers is het onderscheidt ook niet gemaakt.. en deelnemers zijn er niet specifiek op uitgezocht, dus geen reden om aan te nemen dat het samenvoegen van de groepen tot een afwijkend ptsd sample leidt ] geen statistics for ptsd (Pass+fail) vs control... excluderen daarom?</t>
  </si>
  <si>
    <t>No Healthy Control |no control group</t>
  </si>
  <si>
    <t>No Healthy Control | no ptsd model, FC study? / NO CONTROL GROUP!</t>
  </si>
  <si>
    <t>No Healthy Control | no ptsd model, FC study?/ NO CONTROL GROUP!</t>
  </si>
  <si>
    <t>No MemoryFC | not cognitive, maar anxiety &amp; perception(sensimotor gating) - perception</t>
  </si>
  <si>
    <t>shocks in shuttelbox</t>
  </si>
  <si>
    <t>No MemoryFC | only anxiety? Inescapable footschock in shuttelbox.. En situational reminders… daarna oid black - ligth box  test.. Die heft wel wat van shuttlebox weg, maar is niet hetzelfde.. DUS niet reactie op SR gemeten of zelfde context gemeten (DUS geen fear memory gemeten) | geen data over reactie (bv freezing) tijden SR's..</t>
  </si>
  <si>
    <t>Data_Method_TaskSHORT</t>
  </si>
  <si>
    <t>RAVLT</t>
  </si>
  <si>
    <t>WMS</t>
  </si>
  <si>
    <t>Shuttlebox</t>
  </si>
  <si>
    <t>SR</t>
  </si>
  <si>
    <t>SKT</t>
  </si>
  <si>
    <t>attention not memory or FC</t>
  </si>
  <si>
    <t>CVLT</t>
  </si>
  <si>
    <t>RBMT</t>
  </si>
  <si>
    <t>WCST</t>
  </si>
  <si>
    <t>mtbi+ en mtbi- group; executive functioning</t>
  </si>
  <si>
    <t>PSS</t>
  </si>
  <si>
    <t>CUS (21day)</t>
  </si>
  <si>
    <t>SD (10day) Chronic?</t>
  </si>
  <si>
    <t>Footshock (1mA, 2s; op day12) &amp; unpredictiable predator odor exposure(s) (during day 1 - 21, op random momenten during light/dark cycle)</t>
  </si>
  <si>
    <t>conditionering (met footshock) op day12 tijdens unpredictable PSS, vervolgens fear memory test op day21 (= aanhet einde van PSS)_ to tone en context</t>
  </si>
  <si>
    <t>SR? (IFS was tijdens trauma)</t>
  </si>
  <si>
    <t>CFC (re-exposure to context 1 week after sps) dit is de context waarin eerder footshocks waren PRE SPS --&gt; noem je dit trauma memory of fear memory…?</t>
  </si>
  <si>
    <t>FS (eenmalig) + PSS (21day) - chronic?</t>
  </si>
  <si>
    <t>SD (7day) - chronic?</t>
  </si>
  <si>
    <t>FS (6day) - chronic?</t>
  </si>
  <si>
    <t>SI (3-4weeks) - chronic?</t>
  </si>
  <si>
    <t>SPS + Restress(D8)</t>
  </si>
  <si>
    <t>SPS + Restress(D8, D14, D20, D26, D30 )  - Chronic?</t>
  </si>
  <si>
    <t>Stress re-stress paradigm: 1) Stress (SPS):(start at 8:00 on D-2 of experiment): 2h restrained - foreced swim 20min (diameter 18cm, 18cm depth water, 25 graden) - halothane exposure (general anesthetic). |  &lt;undisturbed&gt; | 2) Re-stress: D-8: forced swim (20min).. [Re-stress repeated on D-14, D-20, D-26, D-32] --&gt; re-stress een manier om stress sensitizatie te meten..</t>
  </si>
  <si>
    <t>SPS + Restress(D8, 14, 20, 26, 32)</t>
  </si>
  <si>
    <t>FS (tail)</t>
  </si>
  <si>
    <t>PSS + unstable housing (31 days)</t>
  </si>
  <si>
    <t>RBMT_NonVerbal</t>
  </si>
  <si>
    <t>RBMT_Verbal</t>
  </si>
  <si>
    <t>ROCF</t>
  </si>
  <si>
    <t>RBANS</t>
  </si>
  <si>
    <t>WAIS</t>
  </si>
  <si>
    <t>WAIS Vocabulary subset (verbal comprehansion) [ ook in paper &amp; WAIS Digit Span subset (WM) ]</t>
  </si>
  <si>
    <t>WAIS_Vocabulary</t>
  </si>
  <si>
    <t>California Verbal Learning Test (CVLT-II)</t>
  </si>
  <si>
    <t>BVMT</t>
  </si>
  <si>
    <t>CVMT</t>
  </si>
  <si>
    <t>WAIS_DS</t>
  </si>
  <si>
    <t>Hopkins Verbal Learning Test (HVLT) (baseline die (staat op andere regel) &amp; na tsst</t>
  </si>
  <si>
    <t>HVLT</t>
  </si>
  <si>
    <t>HVLT (na TSST)</t>
  </si>
  <si>
    <t>ROCF &amp; RVDLT</t>
  </si>
  <si>
    <t>RVDLT (na TSST)</t>
  </si>
  <si>
    <t>OFT</t>
  </si>
  <si>
    <t>Light/DarkBox (SR)</t>
  </si>
  <si>
    <t>anxiety in novel context… (Contextual fear Generalization of angst?)</t>
  </si>
  <si>
    <t>Y-maze</t>
  </si>
  <si>
    <t>SR (in Y maze)</t>
  </si>
  <si>
    <t>RAWM</t>
  </si>
  <si>
    <t>Trauma memory (SR) cue - (trauma object recognition?)</t>
  </si>
  <si>
    <t>Trauma en neutral object recognition memory - episodic wordt gezegd in philbert et al (2015)?</t>
  </si>
  <si>
    <t>trauma memory gemeten als avoidance trauma cue? (in nieuwe context)</t>
  </si>
  <si>
    <t>Surgery + PTSD(history)</t>
  </si>
  <si>
    <t>Assault</t>
  </si>
  <si>
    <t>WarRelated</t>
  </si>
  <si>
    <t>Deployment + Assault</t>
  </si>
  <si>
    <t>MetaData_FINALinclORexcl (0= checked&amp;excluded; 1 = included(MemoryFC); 2 = other_Domein)</t>
  </si>
  <si>
    <t>15WORD</t>
  </si>
  <si>
    <t>CPT</t>
  </si>
  <si>
    <t>trauma &amp; neutral surprise memory (Meer emotional dan trauma waarschijnlijk.. Want wel aversief, maar niet hun trauma..)</t>
  </si>
  <si>
    <t>Visual_M (emotional)</t>
  </si>
  <si>
    <t>Fear Acquisition context</t>
  </si>
  <si>
    <t>Fear Extinction context</t>
  </si>
  <si>
    <t>Fear Extinction recall (contextual)</t>
  </si>
  <si>
    <t>nu geclassificeerd dat trauma onafhankelijk (echter aanleren fear maar 30min na SPS)</t>
  </si>
  <si>
    <t>Trauma memory (SR) (contextual! ) - measured by trauma context avoidance</t>
  </si>
  <si>
    <t>exposure to situational reminders (for 5min, on day5, 10 and 17) - reexposure to shock context (alle dieren exposed aan alle maten)</t>
  </si>
  <si>
    <t>ja alle gerapporteerde data in deze rij van dezelfde dieren</t>
  </si>
  <si>
    <t>CFC (shock context reexposure, 1,3 en 5 weeks after FC) - zelfde context als 'trauma'</t>
  </si>
  <si>
    <t>Trauma memory context  (ook extincitie trauma memory door multiple exposure</t>
  </si>
  <si>
    <t>ja</t>
  </si>
  <si>
    <t>Contextual fear memory (niet trauma related)</t>
  </si>
  <si>
    <t>PTSD increased contextual fear memory</t>
  </si>
  <si>
    <t>Cue</t>
  </si>
  <si>
    <t>FC met air puff &amp; startle sounds.. 2 symolen in taak (CS+ en CS-) (75% contingency pairing) - acq fase</t>
  </si>
  <si>
    <t>FC met air puff &amp; startle sounds.. 2 symolen in taak (CS+ en CS-) (75% contingency pairing) - ext fase (5min na einde acq fase) = nooit een airpuff presented</t>
  </si>
  <si>
    <t>angst</t>
  </si>
  <si>
    <t>Context</t>
  </si>
  <si>
    <t>CFC (28day later) re-exposure to shocking cage for 5min</t>
  </si>
  <si>
    <t>in de arena met unworn cat collar</t>
  </si>
  <si>
    <t>CFC (re-exposure) 14 day na exposre session.. Reexposure met unworn collar</t>
  </si>
  <si>
    <t>CFC (re-exposure) 1  day na exposre session.. Reexposure met unworn collar</t>
  </si>
  <si>
    <t>CFC (re-exposure) 7 day na exposre session.. Reexposure met unworn collar</t>
  </si>
  <si>
    <t>trauma memory (her exposure to trauma cue_ 1 day na trauma</t>
  </si>
  <si>
    <t>trauma memory (her exposure to trauma cue_ 7day na trauma</t>
  </si>
  <si>
    <t>trauma memory (her exposure to trauma cue_ 14 dagen na truama</t>
  </si>
  <si>
    <t>memory 1 dag na trauma (te kort?)</t>
  </si>
  <si>
    <t>Cue (in context)</t>
  </si>
  <si>
    <t>2 (different animals!)</t>
  </si>
  <si>
    <t>RepeatedMeasures?(1=ja;0=nee)</t>
  </si>
  <si>
    <t>3 day isolation prior to habituation (start op day1, tot einde behavioral testing) - Day2: cat odor exposure model (collar), 20 min met cat collar dat is 30dagen gedragen</t>
  </si>
  <si>
    <t>social housing (met 3 rats samen) + multiple footshock exposure model (5x 2s 0.8mA)</t>
  </si>
  <si>
    <t>3 day isolation prior to habituation (start op day1, tot einde behavioral testing) + Day2: multiple footshock exposure model (5x 2s 0.8mA)</t>
  </si>
  <si>
    <t>non exposed (zelfde procedure, maar geen shock)</t>
  </si>
  <si>
    <t xml:space="preserve">CFC (re-exposure) re-exposed to shock apparat (dus trauma context)_ day1 </t>
  </si>
  <si>
    <t>Trauma memory (SR) (contextual! ) day1 na trauma</t>
  </si>
  <si>
    <t>Trauma memory (SR) (contextual! ) day 7 na trauma</t>
  </si>
  <si>
    <t>Trauma memory (SR) (contextual! ) day 14 na trauma</t>
  </si>
  <si>
    <t>CFC (re-exposure) re-exposed to shock apparat (dus trauma context)_ day7</t>
  </si>
  <si>
    <t>CFC (re-exposure) re-exposed to shock apparat (dus trauma context)_ day14</t>
  </si>
  <si>
    <t>social housing? - day1 na trauma memory meten… ,te kort?</t>
  </si>
  <si>
    <t xml:space="preserve">social housing? </t>
  </si>
  <si>
    <t>PTSD 2week persistend avoidance of shock compartment ( op day2 NS, op day13 p&lt;0.001)</t>
  </si>
  <si>
    <t>CFC (re-exposure) (to context waar trauma footshock was)_day1</t>
  </si>
  <si>
    <t>CFC (re-exposure) (to context waar trauma footshock was)_day7</t>
  </si>
  <si>
    <t>CFC (re-exposure) (to context waar trauma footshock was)_day14</t>
  </si>
  <si>
    <t>CFC (re-exposure) (to context waar trauma footshock was)_day21</t>
  </si>
  <si>
    <t>CFC (re-exposure) (to context waar trauma footshock was)_day56</t>
  </si>
  <si>
    <t>Trauma memory (SR) (contextual! ) 1day na trauma</t>
  </si>
  <si>
    <t>Trauma memory (SR) (contextual! ) 7 day na trauma</t>
  </si>
  <si>
    <t>Trauma memory (SR) (contextual! )14day na trauma</t>
  </si>
  <si>
    <t>Trauma memory (SR) (contextual! )21 day na trauma</t>
  </si>
  <si>
    <t>Trauma memory (SR) (contextual! )56 day na trauma</t>
  </si>
  <si>
    <t>per data regel een ander cohort animals!</t>
  </si>
  <si>
    <t>per data regel een ander cohort animals! - trauma memory (her exposure to trauma cue_ 1 day na trauma; crossing data niet extracted (want locomotion maat)</t>
  </si>
  <si>
    <t>per data regel een ander cohort animals!' trauma memory (her exposure to trauma cue_ 7day na trauma; crossing data niet extracted (want locomotion maat)</t>
  </si>
  <si>
    <t>per data regel een ander cohort animals! trauma memory (her exposure to trauma cue_ 14 dagen na trauma crossing data niet extracted (want locomotion maat)</t>
  </si>
  <si>
    <t>social housing?  - wrsl niets mee doen, want komt weinig voor?</t>
  </si>
  <si>
    <t>Autobiographical</t>
  </si>
  <si>
    <t>alle participanten hebben schizophrenia or schizoaffetive disorder (DUS OOK CONTROLE?); WAIS afgenomen als cognitive measure</t>
  </si>
  <si>
    <t>between &amp; Within subjects</t>
  </si>
  <si>
    <t>non-shock, verder zelfde procedure.. Dus ook chamber exposure</t>
  </si>
  <si>
    <t>CFC (re-exposure to shock chamber day 28), for 3min</t>
  </si>
  <si>
    <t>2 x [CS+ (90dB tone 30 (die samen eindigt met footshocks (2s, 0.5mA))  + reminder</t>
  </si>
  <si>
    <t>"trauma" memory.. Maar eigenlijk meer FC study</t>
  </si>
  <si>
    <t>12h light/dark cycle</t>
  </si>
  <si>
    <t xml:space="preserve">15 foot-shocks (1 mA, 1s, 240-480s interval) in context A </t>
  </si>
  <si>
    <t>1day na trauma shock (1mA, 1s) in new context B (192s) - 3day na shock in context B (512s): (re-exposure to context_B)</t>
  </si>
  <si>
    <t>Contextual (fear) memory/generalization (leren nieuwe fc wel in new context, echter wel maar 1 day na trauma..) --&gt; kijken naar stress enhanced fear leanring in deze study)</t>
  </si>
  <si>
    <t>zelfde procedure, maar 0mA shocks (wel shock bij FC hierna)</t>
  </si>
  <si>
    <t>15 foot-shocks (1 mA, 1s, 240-480s interval) in context A</t>
  </si>
  <si>
    <t>0 (0% sevoflurane exposure.. Dus eigenlijk geen veh?</t>
  </si>
  <si>
    <t>Control_%freezing_singlefootshock_day2_FClearning</t>
  </si>
  <si>
    <t>PTSD_%freezing_singlefootshock_day2_FClearning</t>
  </si>
  <si>
    <t>PTSD_%freezing_singlefootshock_context_day3_FCmemory</t>
  </si>
  <si>
    <t>Control_%freezing_singlefootshock_context_day3_FCmemory</t>
  </si>
  <si>
    <t>3 experiments: 0% sevoflurane (=general anesthetic) during, after 'trauma' = 15 shocks [exp1]; (80 in total experiment) 20 vehicle rats, waarvan 10 exposed &amp; 10 non shocked</t>
  </si>
  <si>
    <t>3 experiments: 0% sevoflurane  (=general anesthetic) during, after 'trauma' = 15 shocks [ exp2]; (80 in total experiment) 20 vehicle rats, waarvan 10 exposed &amp; 10 non shocked</t>
  </si>
  <si>
    <t>3 experiments: )% sevoflurane (=general anesthetic) during, after 'trauma' = 15 shocks [exp3]; (152 in total experiment) 20 vehicle rats, waarvan 10 exposed &amp; 10 non shocked</t>
  </si>
  <si>
    <t xml:space="preserve">Contextual freezing measurement (freezing to situational reminder/cue exposure --&gt; fresh unused cat litter for 10min), day31 after FC </t>
  </si>
  <si>
    <t>0 (Contextual fear Generalization of angst?)</t>
  </si>
  <si>
    <t>0 (wel nog een angsts maat, maar maar 1 geheugen maat)</t>
  </si>
  <si>
    <t>escape avoidance learning / non-trauma learning (nieuw cue)  in trauma context | Fear generalizatie (namelijk NA IFS, nieuwe info leren (licht voorspelt shock), maar zelfde shock sterkte in zelfde shuttle box…)</t>
  </si>
  <si>
    <t>trauma memory gemeten als avoidance trauma cues ((donkerte &amp; geur)) in nieuwe context</t>
  </si>
  <si>
    <t>FC (0.7mA footshock, 2s) (week after SPS)  - in light dark box</t>
  </si>
  <si>
    <t>FC (0.7mA footshock, 2s) (week after sps) + extinction (1 trial per day 24h after conditioning and for 3 days(day1-3)   - in light dark box</t>
  </si>
  <si>
    <t>FC (0.7mA footshock, 2s) (week after sps) + extinction (1 trial per day 24h after conditioning and for 3 days(day1-3)  - in light dark box</t>
  </si>
  <si>
    <t>Cue &amp; Context</t>
  </si>
  <si>
    <t>object (cue?)</t>
  </si>
  <si>
    <t>1 day followup</t>
  </si>
  <si>
    <t>spatial memory.. Als trauma stress restres..met daarin ook forced swim… (dus trauma ook water.. En MWM ook water..)</t>
  </si>
  <si>
    <t>Contextual fear Generalization - of meer angst maat?</t>
  </si>
  <si>
    <t>wel SR</t>
  </si>
  <si>
    <t>leren deel - Auditory Fear Conditioning with predator odor cloth (na footshocks in shock box) --&gt; dus nieuwe taak | direct na footshocks. | p.409: clean cloth for 25 s followed by administration 10 successive auditory clicks (2 ms, 70 db; 1 s apart)| p.409: Midway through the train of 10 clicks, the clean cloth was replaced with the cat odor cloth for 30 s. | at the end of the trail t cloth was replaced by clean cloth and another auditory trial started; in totaal 5 trials. UC = predator cloth; CS is clics. --&gt; de 5 dagen erna: extinctie in the runway with hide box (p.410: After 2 min, 2 CS auditory clicks were administered every 2 min for a total of ten times. -- Highlighted 24 Jan 2017)</t>
  </si>
  <si>
    <t>extinction deel - Auditory Fear Conditioning with predator odor cloth (na footshocks in shock box) --&gt; dus nieuwe taak | direct na footshocks. | p.409: clean cloth for 25 s followed by administration 10 successive auditory clicks (2 ms, 70 db; 1 s apart)| p.409: Midway through the train of 10 clicks, the clean cloth was replaced with the cat odor cloth for 30 s. | at the end of the trail t cloth was replaced by clean cloth and another auditory trial started; in totaal 5 trials. UC = predator cloth; CS is clics. --&gt; de 5 dagen erna: extinctie in the runway with hide box (p.410: After 2 min, 2 CS auditory clicks were administered every 2 min for a total of ten times. -- Highlighted 24 Jan 2017)</t>
  </si>
  <si>
    <t>cFC (shock: 1.5mA, 5msec duration) - fear potentiated startle experiment</t>
  </si>
  <si>
    <t>FC - Fear to the explicit cue (i.e., imminent threat) was operationally defined as the potentiation of startle magnitude from the safe to the threat condition during the first and second fear-potentiated startle tests.</t>
  </si>
  <si>
    <t>checken of data op de beste manier in tabel staat..</t>
  </si>
  <si>
    <t>1 (sps group 3x getest)</t>
  </si>
  <si>
    <t>spatial Memory &amp; learning pre trauma leren, dan trauma in water maze, vervolgens test in zelfde context</t>
  </si>
  <si>
    <t>Trauma_M of spatial leren?</t>
  </si>
  <si>
    <t>No Healthy Control | alle patienten hebben de diagnose schizophrenia, dus ook controles… exclude</t>
  </si>
  <si>
    <t>No MemoryFC | not cognitive, maar reward processing</t>
  </si>
  <si>
    <t>No MemoryFC |cognitive bias ipv memory &amp; learning?</t>
  </si>
  <si>
    <t>No PTSD Group/Model | excluderen? healthy, tbi &amp; tbi+ptsd group…. No ptsd alone group…</t>
  </si>
  <si>
    <t xml:space="preserve">No MemoryFC | freezing in EPM gemeten, 5min na situational reminder (dus niet TIJDENS.. Dus angst ipv memory? Nml freezing in afwezigheid trauma cue) </t>
  </si>
  <si>
    <t>shock sterkte? --&gt; verschillende cohorten --? Op apparte regels zetten</t>
  </si>
  <si>
    <t>2 [shocks/10min extinction; shockes/72h extinction]</t>
  </si>
  <si>
    <t>regufees - organized violence during the war and the ethnic persecutions in former yugoslavia</t>
  </si>
  <si>
    <t>Age &amp; Chronic PTSD | chronic PTSD patients!</t>
  </si>
  <si>
    <t>Age |</t>
  </si>
  <si>
    <t>Age |WM</t>
  </si>
  <si>
    <t>Age |executive function [data nog toevoegen]</t>
  </si>
  <si>
    <t>Age | [data nog toevoegen] - executive fucntioning</t>
  </si>
  <si>
    <t xml:space="preserve">Age |deelnemers te oud? [afgesproken van 15-65 genomen]; verder voldoet paper wel aan eisen </t>
  </si>
  <si>
    <t xml:space="preserve">Age |NB. overal analyse op effect trauma of cog. Verandering (=memory + executive functioning)… alleen separate analyses op baseline data! Echter wel m &amp; sd gerapporteerd, dus wel bruikbaar? | history ptsd?ook actueel of alleen lifetime? </t>
  </si>
  <si>
    <t>[not separated reported for subset] - in general sample age rond 60 dus ok voor inclusie</t>
  </si>
  <si>
    <t>Age | Geen orginieel research artikel? | wat te doen met age? / SD niet gerapporteerd; data al eerder gerapporteerd --&gt; geen originele studie .. Check of de betreffende papers in de lijst zitten</t>
  </si>
  <si>
    <t>* [weight 300 and 350 g --&gt; ong 56 dagen]</t>
  </si>
  <si>
    <t xml:space="preserve"> (weight ook niet gerapporteerd)</t>
  </si>
  <si>
    <t>*(weight 200-250g --&gt; ong. 84days gewicht)</t>
  </si>
  <si>
    <t>* ( ong 300g --&gt; 84+ dagen)</t>
  </si>
  <si>
    <t>* 225-250g --&gt; 56 days</t>
  </si>
  <si>
    <t>p.2608: Each experiment followed the basic paradigm: 3 days of startle acclimation/matching, 1 day of classical fear conditioning, and after a 96-h gap, a fear-potentiated startle test session -- Highlighted 15 Feb 2017 | p.2608:  Following a 5-min acclimation period, five pairings of 3 s of the light CS co-terminating with a 500 ms, 0.6 mA foot shock occurred -- Highlighted 16 Feb 2017</t>
  </si>
  <si>
    <t>p.2608:  Following a 5-min acclimation period, five pairings of 3 s of the light CS co-terminating with a 500 ms, 0.6 mA foot shock occurred -- Highlighted 16 Feb 2017</t>
  </si>
  <si>
    <t xml:space="preserve">(in verschillende experimenten) CUE after a 96-h rest (na fc), the rats were tested for fear-potentiated startle. The testing consisted of 5min of acclimation followed by 70 startle trials with 15 s intervals. The first 10 trials that consisted of 95 dB noise bursts were not used in any analyses. The next 60 trials consisted of 95, 105, or 115 dB noise bursts, with half presented either in the dark or co-terminating with the 3s light CS. &amp; CONTEXT: After 96h, rats were given saline or oxytocin, and 30 min later, instead of testing cue-specific light CS fear-potentiated startle, con- textual fear was examined by presenting only Noise trials. </t>
  </si>
  <si>
    <t>* [weightt 300 and 350 g --&gt; ong 56 dagen]</t>
  </si>
  <si>
    <t>* (weight 225-250g _&gt; strain staat er niet bij, maar lijkt wel rond 84 dagen in andere straings (Wistar &amp; SD wat zwaarder))</t>
  </si>
  <si>
    <t>* (weight 20-22g --&gt; strain staat er niet bij.. Maar ong 84 days op basis van andere strains)</t>
  </si>
  <si>
    <t>* (weight ong 300g --&gt; ong 56 days)</t>
  </si>
  <si>
    <t>* (weight 250-350g --&gt; 56 days)</t>
  </si>
  <si>
    <t>* (weight 225-250g --&gt; strain niet in overzicht maar ong. 56-84 days op basis van andere strains dus ok voor inclussie)</t>
  </si>
  <si>
    <t>* (weight 12±2 g -&gt; soort staat er niet bij, maar zou ong. Kunnen klopen (ong 42 days op basis van andere strains)..)</t>
  </si>
  <si>
    <t>* (weight 175-200g --&gt; lijkt jonger dan 42 days te zijn en ouder dan 21 days..)</t>
  </si>
  <si>
    <t>* (SD weight 225-250g --&gt; ong 42 days (hierbij taken gedaan) ; LE 400-500g (not reported.. Maar reteired breeders))</t>
  </si>
  <si>
    <t>* (weight 250-300g --&gt; strain niet in overzicht, maar op basis van andere strains ong 56 of 84 days dus ok voor inclusion)</t>
  </si>
  <si>
    <t>* (weight 200-250g --&gt; ong 42 days)</t>
  </si>
  <si>
    <t>"young adult rat" (weight 250-300g --&gt; ong 56days)</t>
  </si>
  <si>
    <t>* (weight 300-400g --&gt; ong 56 of 84 days)</t>
  </si>
  <si>
    <t>* ( weigth 250-275g --&gt; ong 56 days)</t>
  </si>
  <si>
    <t>* weight 175-200g --&gt; ong 42 days</t>
  </si>
  <si>
    <t>geen id van age (ook weight niet gerapporteerd…)</t>
  </si>
  <si>
    <t>adult *(weight 250-300g)</t>
  </si>
  <si>
    <t>0 - els &amp; zeer specifiek rat strain</t>
  </si>
  <si>
    <t xml:space="preserve">No PTSD Group/Model |transient, forebrain-specific,  CRH overexpression during early-life (pre-puberty, CRHOEdev) in double-mutant mice (Camk2a-rtta2×tetO-Crh) [ echter ook control group, wel duouble-mutant maar mutatie niet tot expressie gebracht met voer] </t>
  </si>
  <si>
    <t>Age | te jong (besloten 6weeks - 1jaar aan te houden) --&gt; in dit paper ook 9week dieren.. Die wel included in andere data regel</t>
  </si>
  <si>
    <t>* (weight 175-200g --&gt; lijkt jonger dan 42 days te zijn en ouder dan 21 days.. | aan begin experiment, daarna 7day acclimatiseren (dan SPS))</t>
  </si>
  <si>
    <t>E&amp;M te jong?</t>
  </si>
  <si>
    <t>data vragen? [current &amp; past ptsd patients)</t>
  </si>
  <si>
    <r>
      <t xml:space="preserve">No PTSD Group/Model | gaat overal over de relatie tussen HRV en memory | lifetime gecontroleerd, niet (alleen) current ptsd | quality matig | no ptsd-control contrast; wel met of zonder ptsd subjects in pared en unpard twins etc..  / en in een multivar model bekeken of ptsd een co var is in de relatie tussen HRV &amp; cognitive performance (bleek niet het geval. Ook gekeken naar interactie tussen depressie en ptsd als die gevonden was dan stratified analyses [524 subjects, daarvan 54 hadden een lifetime history of ptsd (24%) ; in disscussie staat wel: </t>
    </r>
    <r>
      <rPr>
        <b/>
        <sz val="12"/>
        <color rgb="FF000000"/>
        <rFont val="Calibri"/>
        <family val="2"/>
      </rPr>
      <t>p.482: In our sample, those with lifetime PTSD scored lower on the verbal SRT (105 vs. 111, p=0.20), although this was not statistically significant; no difference was found with visual SRT, p=0.99. -- Highlighted 01 Sep 2017 [verder deze groupen niet beschreven in bv age etc... opnemen in tabel? (ook geen sd gegeven etc...) p.480: Additionally, no associations were found in the entire sample between HRV and visual SRT, and no interaction with depression or PTSD was found (table 3). -- Highlighted 04 Sep 2017</t>
    </r>
  </si>
  <si>
    <t>data vragen? [waarschijnlijk niet relevant]</t>
  </si>
  <si>
    <t>data CVLT &amp; ROCF vragen?</t>
  </si>
  <si>
    <t>speciale groep?</t>
  </si>
  <si>
    <t>Data_Subjects_Controltype</t>
  </si>
  <si>
    <t>TraumaExp</t>
  </si>
  <si>
    <t>UnExp</t>
  </si>
  <si>
    <t>ShamExp</t>
  </si>
  <si>
    <t>TraumaExp &amp; UnExp</t>
  </si>
  <si>
    <t>ShamExp &amp; UnExp</t>
  </si>
  <si>
    <t>Handeld</t>
  </si>
  <si>
    <t>no sps, niet veel over verteld (vermoedelijk niets bijzonders mee gedaan, WEL vehicle injected)</t>
  </si>
  <si>
    <t>healhty controls mixed (non-veterans n=36) &amp; OEF OIF veterans n=17), dus ook exposed controls: [p.104: Trauma breakdown for the control group included combat (n = 10), transportation accidents (n = 34), the death of someone close (n = 17), physical assault (n = 12), natural disaster (n = 17), serious accident or injury (n = 7), weapon assault (n = 6), and fire/explosion (n = 7). -- Highlighted 06 Sep 2017] (dus veel trauma in control group ook, weet echter niet zeker of ALLE control deelnemers een trauma hebben mee gemaakt (waarschijnlijk wel)</t>
  </si>
  <si>
    <t>non exposed [control unstressed animal] (ook in methods paper staat het niet specifieker genoteerd) (en geen veh)</t>
  </si>
  <si>
    <t>no footshock [p.41: Control animals were placed in the same chamber for 10 min in the absence of electric foot shocks. -- Highlighted 15 Mar 2017]</t>
  </si>
  <si>
    <t>no SPS (2 groupen 1 met footshock, 1 zonder footshock) p.238: Sham: rats did not receive aversive stress at the beginning of experiment; -- Highlighted 22 Mar 2017 ; (3) sham treatment (not subjected to SPS&amp;S) followed by vehicle administration (“Sham + Veh” group) --&gt; VEH is drink water | Those in the no-shock condition were treated identically, but without receiving a shock.</t>
  </si>
  <si>
    <t>ShamExp (1 group wel shock in FC taak, andere niet)</t>
  </si>
  <si>
    <t>no exposure (naive) - To control for experiential procedure differences, all tests were performed at the same time of day. Furthermore, control animals were transferred from the vivarium to an adjacent room for the same period of time as were test subjects.</t>
  </si>
  <si>
    <t>non-exposed? --&gt; via newspapers &amp; VA employees (allleen civilians of  ook veteranen?) | gezocht om te matchen op sex, age, race, year of education</t>
  </si>
  <si>
    <t xml:space="preserve">0.0mA footshock; no sps | Control animals underwent the same procedure but were not subjected to electric foot shocks. </t>
  </si>
  <si>
    <t>0.0mA footshock [Control rats in the 0.0 mA group were placed in the shock box for 22 min and not shocked]</t>
  </si>
  <si>
    <t>no footshock - Control animals were exposed to the shock box but not to footshocks</t>
  </si>
  <si>
    <t>no footshock - The no shock group was subjected to the same treatment, but no shock was delivered. | [control voor MS: Non-separated group—Pups were left undisturbed with the dam until weaning.]</t>
  </si>
  <si>
    <t>no exposure to spss (undisterbed?) staat verder niets specifiek bij…</t>
  </si>
  <si>
    <t>unexposed, er staat niets specifiek vermeld behalve: [The stress session was performed on D-2 except for animals in CON group. The re-stress sessions were given to all the animals except for the CON group animals]</t>
  </si>
  <si>
    <t>group housed (unexposed genoemd.. Omdat dat 'normaal' is)</t>
  </si>
  <si>
    <t>no SPS | Control animals were handled in a similar fashion as the SPS-exposed animals except they did not receive the restraint, swim, and ether stressors. Control animals were singly housed for the 9-day recording period. EEG/EMG recordings in control animals were continuously assessed for sleep states and veri ed to not change over the course of the 9-day experiment (Fig. 2a–d).</t>
  </si>
  <si>
    <t>day 9 (na spatial training &amp; test) --&gt; 1min swim in watermaze | Control rats were given 1 min to swim and then are put in a resting cage. | [At the end of the train- ing, one group (the trauma) was held underwater for 30 s, and a second group was given 1 min to swim (the control). A third group of naive animals was also included to dissoci- ate the effects of the trauma and possible effects of the train- ing itself.]</t>
  </si>
  <si>
    <t>no SPS | For the controls, rats were left undisturbed in their home cage.</t>
  </si>
  <si>
    <t xml:space="preserve">no sps | the animals were randomly assigned to the sham-treated (controls not receiving SPS) group or SPS group.  | (a) Sham treatment; sham-treated rats (Sham) were undisturbed from day 16 to day 22 and were subjected to the contextual fear paradigm (CF) on days 22–23. </t>
  </si>
  <si>
    <t>Those in the non-shock condition (sham and control groups) were placed in shock chamber without receiving a shock. - Wil je daar nog iets mee?</t>
  </si>
  <si>
    <t>0 [wel overiectomiezed.. Er is een ander exp in papers waar injecties gegeven worden met b-estradiol &amp; veh]</t>
  </si>
  <si>
    <t>alleen data control group die wel shock gehad heeft, opgenomen | niet heel specifiek beschreven, geen sps wel ovariectomized. (sham dus) | SPS group: Ovariectomized rats of this group were conducted in the procedures described in Sections 2.3 and 2.4. Shock group: Ovariectomized rats of this group received a shock that was conducted in the procedure described in Section 2.4 (Fig. 1 A). Animals in control (Ovariectomized rats) and Sham groups (Only submitted to surgery without removal of the ova- ries), neither were exposed to the SPS procedure nor received an electrical shock (They were placed in the shock chamber, with- out receiving electrical shock).</t>
  </si>
  <si>
    <t>no SPS (Sham) [Sham rats were left alone without handling in their cages. During SPS treatment, Sham rats were moved and placed in an identical cage where SPS was conducted.]</t>
  </si>
  <si>
    <t>no footshock | p.3: Control animals went through the same procedure without the shocks. -- Highlighted 24 Mar 2017</t>
  </si>
  <si>
    <t>rape victims</t>
  </si>
  <si>
    <t xml:space="preserve">? [12-h dark/light cycle with food and water ad libitum were used for all experiments.]
</t>
  </si>
  <si>
    <t>? (the animals were group-housed (3 per cage) and maintained on a 12-h light/ dark cycle with food and water freely available. )</t>
  </si>
  <si>
    <t>? (p.351: 12-h light/dark cycle, -- Highlighted 24 Jan 2017)</t>
  </si>
  <si>
    <t>? (p.2: 12-h light/dark cycle -- Highlighted 7 Feb 2017)</t>
  </si>
  <si>
    <t>Post</t>
  </si>
  <si>
    <t>MetaData_MemoryValence(1=trauma; 2=non_trauma_neutral; 3=non_trauma_emotional; 4=non-trauma_fearfull)</t>
  </si>
  <si>
    <t>MetaData_Timing_TaakVoor(Pre)ofNa(Post)Trauma?</t>
  </si>
  <si>
    <t>MetaData_CueContext?</t>
  </si>
  <si>
    <t>Trauma_E</t>
  </si>
  <si>
    <t>Trauma_M / Trauma_E</t>
  </si>
  <si>
    <t>Pre &amp; Post</t>
  </si>
  <si>
    <t>Pre</t>
  </si>
  <si>
    <t>shock (2x 4s, 1 mA, 30 interval) 1 day after SPS (in kamer A) for sps rats, [others in chamber A without shock] &amp; TEST conditioned fear response 1, 2 or 3 weeks later in chamber A [ er wordt ook een Sensitized fear response gemeten in een nieuwe kamer (chamber B) met een neutrale tone.. zou je generalizatie kunnen oemen? Data staat ook in deze regel..</t>
  </si>
  <si>
    <t>retention of contextual &amp; Cue fear memory [Acquisitie/conditioning PRE trauma! Memory measures na trauma]</t>
  </si>
  <si>
    <t>CFC (re-exposure to trauma context 24h later)</t>
  </si>
  <si>
    <t>Differential contextual odour test (en COC) in neutral area [ DCOC or COC training , then 1 test in neutral area (day 11), then stress or sham, then new test in neutral area on day 20 --&gt; NB ieder dier dus 2x getest in neutral context |test odor is altijd cinamon, dus niets te maken met pss trauma</t>
  </si>
  <si>
    <t>Differential contextual odour test in neutral area (No ODOUR) on day 11 (DCOC) [DCOC training: (safe / rewarding omgeving --&gt; day 1-10: odour + suger water )&amp;&amp; (aversive omgeving: day 5-10: Odour + 10s, 0.8mA + footschock + 10s tone (80dB)) --- DCOC testing: alleen odour in neutral new area, 6min exp. --&gt; measure freezing // COC: control procesdure, alles zelfde als DCOC, behalve geen odour in safe environment |test odor is altijd cinamon, dus niets te maken met pss trauma</t>
  </si>
  <si>
    <t>Differential contextual odour test in neutral area (With ODOUR) (DCOC) on day 11 -------&gt; [DCOC training: (safe / rewarding omgeving --&gt; day 1-10: odour + suger water )&amp;&amp; (aversive omgeving: day 5-10: Odour + 10s, 0.8mA + footschock + 10s tone (80dB)) --- DCOC testing: alleen odour in neutral new area, 6min exp. --&gt; measure freezing // COC: control procesdure, alles zelfde als DCOC, behalve geen odour in safe environment |test odor is altijd cinamon, dus niets te maken met pss trauma</t>
  </si>
  <si>
    <t>4 (wel vergelijking met Trauma context)</t>
  </si>
  <si>
    <t>angst generalizatie to similar context (als trauma context)</t>
  </si>
  <si>
    <t>No MemoryFC |no cog task? [same animals] --&gt; generalizatie van angst in black with box (lijkt om trauma context, maar niet hetzelfde) | Black &amp; white box test (lijkt op shock omgeving, maar niet hetzelfde. Door autheurs gebruikt om te meten in hoeverre trauma context informatie gegeneralizeerd word) - 14day after trauma</t>
  </si>
  <si>
    <t>Visual recognition via avoidance (day 28) ? Novel object exploratie</t>
  </si>
  <si>
    <t>Visual recognition via avoidance (day14) ? Novel object exploratie</t>
  </si>
  <si>
    <t>Visual recognition via avoidance (day21) ? Novel object exploratie</t>
  </si>
  <si>
    <t>Visual recognition via avoidance(day1) ? Novel object exploratie</t>
  </si>
  <si>
    <t>Visual recognition via avoidance(day7) ? Novel object exploratie</t>
  </si>
  <si>
    <t>Data_Method_TimeTask-Trauma</t>
  </si>
  <si>
    <t>28 day</t>
  </si>
  <si>
    <t>7 day</t>
  </si>
  <si>
    <t>14 day</t>
  </si>
  <si>
    <t>21 day</t>
  </si>
  <si>
    <t>56 day</t>
  </si>
  <si>
    <t>1 day</t>
  </si>
  <si>
    <t>31 day</t>
  </si>
  <si>
    <t>8 day</t>
  </si>
  <si>
    <t>3, 5, 7 day</t>
  </si>
  <si>
    <t>9 day</t>
  </si>
  <si>
    <t>36 day</t>
  </si>
  <si>
    <t>&gt; 18 day</t>
  </si>
  <si>
    <t>2, 6 day</t>
  </si>
  <si>
    <t>14, 20 day</t>
  </si>
  <si>
    <t>28, 34 day</t>
  </si>
  <si>
    <t>32 day</t>
  </si>
  <si>
    <t>7 day?</t>
  </si>
  <si>
    <t>6 day</t>
  </si>
  <si>
    <t>15 day</t>
  </si>
  <si>
    <t>13 day</t>
  </si>
  <si>
    <t>35-40 day</t>
  </si>
  <si>
    <t>(-8 tot 0 )[training-trauma-test(20min na trauma)]</t>
  </si>
  <si>
    <t>7-10 day</t>
  </si>
  <si>
    <t>7-8 day</t>
  </si>
  <si>
    <t>16-17 day</t>
  </si>
  <si>
    <t>1 day (extinction 1-5 day)</t>
  </si>
  <si>
    <t>45 day</t>
  </si>
  <si>
    <t>13- 14 day</t>
  </si>
  <si>
    <t>Minder dan 3 |</t>
  </si>
  <si>
    <t>MetaData_Learning/MemoryPhase</t>
  </si>
  <si>
    <t>E</t>
  </si>
  <si>
    <t>L</t>
  </si>
  <si>
    <t>L&amp;M</t>
  </si>
  <si>
    <t>MetaData_Domein&amp;PhaseSHORT</t>
  </si>
  <si>
    <t>Trauma</t>
  </si>
  <si>
    <t>Spatial</t>
  </si>
  <si>
    <t>Fear</t>
  </si>
  <si>
    <t>Verbal</t>
  </si>
  <si>
    <t>Visual</t>
  </si>
  <si>
    <t>MetaData_DomeinShort</t>
  </si>
  <si>
    <t>Visual &amp; Spatial</t>
  </si>
  <si>
    <t>Visual &amp; Verbal</t>
  </si>
  <si>
    <t>Visual &amp; Verbal &amp; Spatial</t>
  </si>
  <si>
    <t xml:space="preserve"> average time sinds trauma: 6.2 years (SD=5,3, range 1-20)</t>
  </si>
  <si>
    <t>Chronic PTSD | FC na SI; 3-4 week social isolation --&gt; chronisch</t>
  </si>
  <si>
    <t>Chronic PTSD | alleen singled housed data geincludeerd (ook paired = social support) beschikbaar (no effect on memory)</t>
  </si>
  <si>
    <t>wel restress, nu niet geinterpreteerd als chronisch..</t>
  </si>
  <si>
    <t>same animals; NB PRE trauma (SPS) conditioning!!; [NB: {5 dagen FC training}{dan sps}{daarna cog. Testen} --&gt; Nu niet als chronisch ptsd model geinterpreteerd, omdat FC als onderdeel van contextual fear conditioning test gezien is ipv als trauma.. (Ook SPS wel na FC's, maar niet in zelfde omgeving of opzelfde moment, en timing heb je bij andere papers ook als belangrijk argument gezien om dingen wel of niet samen te binden)</t>
  </si>
  <si>
    <t>0 (andere dataregel excluded)</t>
  </si>
  <si>
    <t>Chronic PTSD | trauma van 3 dagen.. Te chronisch?</t>
  </si>
  <si>
    <t>FS (5day_onderdeel CFCtaak) + SPS (eenmalig)</t>
  </si>
  <si>
    <t>SPS [2h restraint, 20min forced swim, ether anesthesia] + (onderdeel taak: Shock! [Footshock (30min  after SPS procedure (1mA, 4s) in trauma group)])</t>
  </si>
  <si>
    <t>SPS + (onderdeel taak FS)</t>
  </si>
  <si>
    <t>CLVT</t>
  </si>
  <si>
    <t>trauma Contextual (fear) memory</t>
  </si>
  <si>
    <t>contextual trauma memory; Avoidance van trauma omgeving in shuttelbox</t>
  </si>
  <si>
    <t>sudden silence in OFT (=general angst)</t>
  </si>
  <si>
    <t>FS (3day)</t>
  </si>
  <si>
    <t>Data_Subjects_PTSDtypeSHORT2</t>
  </si>
  <si>
    <t>20 inescapable footshocks (6x in 3 days; 2x per dag, &gt;4h interval tusesn shocks); 30min in stress box, 20 IFS's (8mA, 3s, interval 7.5s-15s) | p.501: For traumatic stress, rats were con ned to an enclosed box (stress box) for 30 min and given 20 inescapable electrical shocks (intensity: 8 mA, duration: 3 s) with a random shock interval ranging from 7.5 to 15 s (Figure 1). The sham-stressed rats were kept in the stress box without delivering the shock. -- Highlighted 25 Oct 2017</t>
  </si>
  <si>
    <t>Data_Subjects_FS_Amperage(mA)</t>
  </si>
  <si>
    <t>Data_Subjects_FS_#Shocks</t>
  </si>
  <si>
    <t>20 * 6</t>
  </si>
  <si>
    <t xml:space="preserve"> footshock (3 mA): 2 shock trains of 1s were administred per minute for 5 min (dus ieder subject received 10 shocks); iedere shock train was 1s lang en consisted of 0.01s shocks, met 0.02s long breaks. - during shocks fluorescently green rabbit toy in the shocking cage (=cue reminder) [reminder test 28 dagen later (in combi met unfamiliar red rubber ball) - diameter beide 10cm]</t>
  </si>
  <si>
    <t>0,5 or 2</t>
  </si>
  <si>
    <t>* 5 (part task)</t>
  </si>
  <si>
    <t>* 1 (part task)</t>
  </si>
  <si>
    <t>12* 20</t>
  </si>
  <si>
    <t>(1.0mA for shocks 1-35; 1.3mA for shocks 36-55)</t>
  </si>
  <si>
    <t>0,4 or 0,8</t>
  </si>
  <si>
    <t>single footshock (2s 0.7mA) in conditioning chamber (inderdaad maar 1, checked 23.11.17)</t>
  </si>
  <si>
    <t>SD ( of PSS?)</t>
  </si>
  <si>
    <t>FS shock sterkte? 1mA (day 1: 3x - day2: 3x)</t>
  </si>
  <si>
    <t>2 (over 2 dagen)</t>
  </si>
  <si>
    <t>Chronic PTSD | (want 2 dagen paradigma) no ptsd model, maar FC &amp; slice preparation direct after FC (DAY1-2)- extinction (day 4-6) - renewal (DAY7);; autheurs hebben het zelf over een FC study</t>
  </si>
  <si>
    <t>0 - chronic excluded want 2 dagen shock sterkte? 1mA (day 1: 3x - day2: 3x)</t>
  </si>
  <si>
    <t>No MemoryFC | (te korte termijn 'memory'  meer WG of attention begrijpend lezen &amp; enige paper over begrijpend lezen ) lees taak (zin lezen, als gelezen volgend scherm (tijd die het kost om te lezen = RT) [ pp moeten info i zin begrijpen &amp; leren ]; daarna test statements | in key words staat ook attention &amp; processins speed, reading comprehension (niet learning en memory oid) | geen leren en geheugen, want presentatie en direct erna test.. dus korte termijn text begrijpen</t>
  </si>
  <si>
    <t>2, 15, 31 &amp; 61 day</t>
  </si>
  <si>
    <t>4 day (96 h)</t>
  </si>
  <si>
    <t>56 day (8 weeks)</t>
  </si>
  <si>
    <t>3 day (72h)</t>
  </si>
  <si>
    <t>7 day (1 week )</t>
  </si>
  <si>
    <t>(1h &amp;) 1 day</t>
  </si>
  <si>
    <t>10 sessions FC (= 10x 0.5s, 0.5mA footshocks) | p.881: In our procedure, we gave each rat 100 30-sec tone presentations co-terminating with a .5-sec, .5-mA footshock over 10 days.  -- Highlighted 23 Nov 2017</t>
  </si>
  <si>
    <t>FS (10day)</t>
  </si>
  <si>
    <t>FC (15 shocks, 17day followup); noemen het een 'ptsd strain' [shock  0.8, maar 15 shocks en autheurs praten over methods &amp; results over ptsd]</t>
  </si>
  <si>
    <t>NB Data regels gekopieerd &amp; 0.4mA ptsd group eruit gehaald --&gt; in deze regel geen 0.4  &amp; zelfde dieren; ook nog habituatie exp dat laat zien dat CS presentatie during extinction nodig is voor verhoogde freezing levels (zonder geen sensitizatie)</t>
  </si>
  <si>
    <t>10 footshocks (0.8mA, 1s)</t>
  </si>
  <si>
    <t>PTSD group (0.8mA) showed more freezing during extinction training (all 5 days) compared to control (0.0mA) [F2,21=5.07; p&lt;0.05); in all groups freezing decreased from day 1 compared to all subsequent days (p&lt;0.001)</t>
  </si>
  <si>
    <t>nb 1 ptsd group ( 2mA) [autheurs spreken over ptsd in methods/Results] --&gt; in deze data regel staat 0.5mA er niet meer bij, besloten die te excluderen, dus dit is de nieuwe regel  met daarin alleen 0,8mA ptsd group.</t>
  </si>
  <si>
    <t>Male | 2mA) | avoidance is time in  dark compartment van dark-light box (waarin wel olfactory cues van trauma zijn, maar andere box)| we tested 1) avoidance behavior in the DL-box, 2) anxiety- like behavior in the elevated plus maze (EPM), 3) social interaction be- havior (indicative of “emotional numbing”), 4) freezing behavior upon sudden silence (indicative of stress sensitization and non-associative fear), 5) plasma corticosterone at baseline and following restraint- stress (indicative of HPA axis dysfunction), and 6) heart rate and body temperature responses during novelty stress and fear conditions in telemetrized rats (indicative of physiological hyper-reactivity and sensitization).</t>
  </si>
  <si>
    <t>female |  2mA) | avoidance is time in  dark compartment van dark-light box (waarin wel olfactory cues van trauma zijn, maar andere box)| we tested 1) avoidance behavior in the DL-box, 2) anxiety- like behavior in the elevated plus maze (EPM), 3) social interaction be- havior (indicative of “emotional numbing”), 4) freezing behavior upon sudden silence (indicative of stress sensitization and non-associative fear), 5) plasma corticosterone at baseline and following restraint- stress (indicative of HPA axis dysfunction), and 6) heart rate and body temperature responses during novelty stress and fear conditions in telemetrized rats (indicative of physiological hyper-reactivity and sensitization).</t>
  </si>
  <si>
    <t>single inescapable footshock (day0;  2mA or 0mA (control) in shuttlebox (dark chamber) met lavender odor cue present, for 10s); followed by 3 situational reminders  [p.244: All rats (no-shock and shock) were subsequently exposed to situational reminders on days 3, 10 and 17. [SR =  1 min in the light compartment of the shuttle box in the presence of the olfactory cue under the grid floor. The door was closed to prevent access to the dark compartment in order to avoid possible consequent extinction]</t>
  </si>
  <si>
    <t>1 (0.5mA shock is meer FC ipv trauma (daarom excluded).. 2mA wel 'trauma)</t>
  </si>
  <si>
    <t>2 ( 3 in paper NS, 0.5 &amp; 2mA shock - 0.5mA excluded)</t>
  </si>
  <si>
    <t>2mA minder time in dark dan NS [NB female vs Male: female in 2mA groep minder time in dark then male ]</t>
  </si>
  <si>
    <t xml:space="preserve"> NS-2mA (p&lt;0.05)</t>
  </si>
  <si>
    <t xml:space="preserve"> NS-2mA (p&lt;0.001)</t>
  </si>
  <si>
    <t>0 - NB data zonder 0.5mA group included = andere data regel met 1 gemarkeert</t>
  </si>
  <si>
    <t>No PTSD model (FS &lt;0.8mA) | FC study (zwakke shock sterkte?), no PTSD model? Autheurs suggest MasKO als ptsd model aan einde discussie…. Wat te doen met deze studie? Geen 'trauma' manipulatie maar alleen genetische background.. All animal's shocked  --&gt; knockout mice &amp; autheurs praten niet over ptsd in methods / results --&gt; daarom excluded</t>
  </si>
  <si>
    <t>No PTSD model (FS &lt;0.8mA) | no ptsd model, only classical fear conditioning (no 'trauma'); focus op fear leren, ivm trauma consequenties (volgens flandreau dan meer FC model) &amp; [autheurs spreken over ptsd in intro &amp; discussie.. Niet in methods/Results]</t>
  </si>
  <si>
    <t>No Healthy Control &amp; Chronic PTSD &amp; No PTSD model (FS &lt;0.8mA) |no control? - FC (maar longterm followup 61days) &amp; [autheurs spreken over ptsd in intro &amp; discussie.. Niet in methods/Results]</t>
  </si>
  <si>
    <t>No PTSD model (FS &lt;0.8mA) | goed ptsd model? [autheurs spreken over ptsd in intro &amp; discussie.. Niet in methods/Results]</t>
  </si>
  <si>
    <t>No PTSD model (FS &lt;0.8mA) | , only classical fear conditioning (no 'trauma') [2x 0.5mA shock.. 2h &amp; 24H na conditioning fear memory test] &amp; [autheurs spreken over ptsd in intro &amp; discussie.. Niet in methods/Results]</t>
  </si>
  <si>
    <t>Age &amp; No PTSD model (FS &lt;0.8mA) | els (min 42 day's (nml 6weeks)</t>
  </si>
  <si>
    <t>No PTSD model (FS &lt;0.8mA) | [autheurs spreken over ptsd in intro &amp; discussie.. Niet in methods/Results.. Verder spreken ze over CS * US pairing -&gt; als fc geinterpreteerd &amp; ook taken / measures 1h en 24h na FC.. to short term?  ] no ptsd model, FC study (zwakke schok &amp; short term followup) + no non trauma group</t>
  </si>
  <si>
    <t>No Healthy Control &amp; No PTSD model (FS &lt;0.8mA) | hoofdreden voor exclusie, FC study ipv  ptsd model [nu excluded want relatief direct effect gemeten (3dagen na FC, extinctie gemeten)&amp; 'zwakke schok' [Niet echt controle group.. Wat te doen met deze studie?] ---&gt; meer een fear conditioning study… &amp; [autheurs spreken over ptsd in intro &amp; discussie.. Niet in methods/Results --&gt; daarom excluded]</t>
  </si>
  <si>
    <t>No PTSD model (FS &lt;0.8mA) | wel Fs, maar longterm followup; spreken zelf over PTSD model [autheurs praten over methods &amp; results over ptsd ( 0.7mA shock)] --&gt; shock sterkte onder 0.8mA</t>
  </si>
  <si>
    <t>No PTSD model (FS &lt;0.8mA) | nb 2 ptsd group (0.5mA &amp; 2mA) [autheurs spreken over ptsd in methods/Results] --&gt; in deze data regel staat 0.5 group er nog bij (besloten die te excluderen, dus een nieuwe regel gemaakt) met daarin alleen 0,8mA ptsd group)</t>
  </si>
  <si>
    <t>No PTSD model (FS &lt;0.8mA) | NB Data regels gekopieerd &amp; 0.4mA ptsd group eruit gehaald --&gt; in deze regel staat 0.4  nog.  &amp; zelfde dieren</t>
  </si>
  <si>
    <t>No PTSD model (FS &lt;0.8mA) | NB Data regels gekopieerd &amp; 0.4mA ptsd group eruit gehaald --&gt; in deze regel staat 0.4  nog.  &amp; zelfde dieren; ook nog habituatie exp dat laat zien dat CS presentatie during extinction nodig is voor verhoogde freezing levels (zonder geen sensitizatie)</t>
  </si>
  <si>
    <t>1 [FC, 3day followup.. Longterm genoeg?JA]</t>
  </si>
  <si>
    <t>1 Footshock in new context (0.75mA, 1s) [ 1 day after last extinction training] (exp1)</t>
  </si>
  <si>
    <t>1 day or 21 days after SEFL test: exposure to original trauma context (exp1)</t>
  </si>
  <si>
    <t>extinction [5xexposure to trauma context, no shock] 10min na trauma of 72h na trauma (exp1)</t>
  </si>
  <si>
    <t>1 Footshock in new context (0.75mA, 1s) [ 1 day after last extinction training [dus zelfde dag als renewal test]] (exp2)</t>
  </si>
  <si>
    <t>1 day after extinction training : exposure to original trauma context (exp2)</t>
  </si>
  <si>
    <t>extinction [5xexposure to trauma context, no shock] 10min or 72h na trauma (exp2)</t>
  </si>
  <si>
    <t>15 footshock [1mA, 1s] shocks in trauma context [no cue] [p.631: The unshocked group and one of the shocked groups received no extinction training. -- Highlighted 2 Feb 2017]</t>
  </si>
  <si>
    <t>15 footshock [1mA, 1s] shocks in trauma context [no cue]]</t>
  </si>
  <si>
    <t xml:space="preserve">15 footshock [1mA, 1s] shocks in trauma context [no cue] </t>
  </si>
  <si>
    <t>[ moeilijk te vinden hoe lang timing is tussen trauma en taak.. (extinctie tijd 10min (1day) of (72h), niet duidelijk wat het voor control dieren is) ]</t>
  </si>
  <si>
    <t>1, 21 day? [ moeilijk te vinden hoe lang timing is tussen trauma en taak.. (extinctie tijd 10min (1day) of (72h), niet duidelijk wat het voor control dieren is) ]</t>
  </si>
  <si>
    <t>3 day [ moeilijk te vinden hoe lang timing is tussen trauma en taak.. (extinctie tijd 10min (1day) of (72h), niet duidelijk wat het voor control dieren is) ]</t>
  </si>
  <si>
    <t>? [ moeilijk te vinden hoe lang timing is tussen trauma en taak.. (extinctie tijd 10min (1day) of (72h), niet duidelijk wat het voor control dieren is) ]</t>
  </si>
  <si>
    <t xml:space="preserve"> [ moeilijk te vinden hoe lang timing is tussen trauma en taak.. (extinctie tijd 10min (1day) of (72h), niet duidelijk wat het voor control dieren is) ]</t>
  </si>
  <si>
    <t>7 day (fc 30 min na SPS) CFC test 1 day na fc</t>
  </si>
  <si>
    <t>7 day (fc 30 min na SPS) CFC test 14 day na fc</t>
  </si>
  <si>
    <t>7 day(fc 30 min na SPS) CFC test 7 day na fc</t>
  </si>
  <si>
    <t>ShuttelBox (zelfde als trauma plek) - Avoidance [p.2303: posttraining avoidance was evaluated 1 and 12 days later. -- Highlighted 24 Nov 2017]</t>
  </si>
  <si>
    <t xml:space="preserve">CFC in new context (classical fear conditioning: 3x, 1s, 0.4mA, 70s interval footshocks) &amp; vervolgens reexposure in deze context </t>
  </si>
  <si>
    <t>No difference CS+ &amp; CS- [PTSD patients]; CS+ &gt; CS- [controle];</t>
  </si>
  <si>
    <t>ptsd p&lt;.09, ns; control:  p&lt;.001</t>
  </si>
  <si>
    <t>PTSD group (vs controle) higher level of conditioned fear during (Mid extinction 2 &amp;) late extinction; PTSD group higher level of conditioned fear across extinction session (vs controle)</t>
  </si>
  <si>
    <t>Analysis_Nested (0 no; 1 yes)</t>
  </si>
  <si>
    <t>Analysis_Paper #</t>
  </si>
  <si>
    <t>DATA CONTROL GROUP not reported..</t>
  </si>
  <si>
    <t>p.2305: Post hoc Scheffé tests indicated that the 1.5-mA group differed from each of the two other groups (0.0 and 0.4 mA) only during the last retention session (day 13: both p &lt; 0.0001); -- Highlighted 05 Jan 2017; NB PTSD group alleen na 2 weken nog avoidance van shock compartment p&lt;0.0001</t>
  </si>
  <si>
    <t>Future_Verbal_M</t>
  </si>
  <si>
    <t>Future memory simulation</t>
  </si>
  <si>
    <t>Autobiografical Memory (specificity - generalization)</t>
  </si>
  <si>
    <t xml:space="preserve">Autobiografical Memory (specificity - generalization) [ future simulation] </t>
  </si>
  <si>
    <t>memory simulation (deel van overgeneralized autobiografical memory test in PTSD)</t>
  </si>
  <si>
    <t>hier zijn 2 controle groupen</t>
  </si>
  <si>
    <t>vs combat control</t>
  </si>
  <si>
    <t>vs non-combat control</t>
  </si>
  <si>
    <t>NON-Combat controls</t>
  </si>
  <si>
    <t>NON-Combat controls (2 groups)</t>
  </si>
  <si>
    <r>
      <t>F(1,45) =</t>
    </r>
    <r>
      <rPr>
        <sz val="8"/>
        <color theme="1"/>
        <rFont val="AdvMPi"/>
      </rPr>
      <t xml:space="preserve"> </t>
    </r>
    <r>
      <rPr>
        <sz val="8"/>
        <color theme="1"/>
        <rFont val="AdvJansonT"/>
      </rPr>
      <t>2.39; p=.129  || NS</t>
    </r>
  </si>
  <si>
    <r>
      <t>2way anova, met stress &amp; NI  significant effect of stress [F(1, 43) = 45.852, p &lt; 0.0001] --</t>
    </r>
    <r>
      <rPr>
        <b/>
        <sz val="12"/>
        <color theme="1"/>
        <rFont val="Calibri"/>
        <family val="2"/>
      </rPr>
      <t xml:space="preserve"> followup Post hoc analysis revealed that the enhanced contextual freezing time in the Sham + SPS group was significantly greater than that in the Sham group (p = 0.02) </t>
    </r>
  </si>
  <si>
    <r>
      <t xml:space="preserve">t </t>
    </r>
    <r>
      <rPr>
        <sz val="8"/>
        <color theme="1"/>
        <rFont val="Times"/>
        <family val="1"/>
      </rPr>
      <t xml:space="preserve">= –10.22, </t>
    </r>
    <r>
      <rPr>
        <i/>
        <sz val="8"/>
        <color theme="1"/>
        <rFont val="Times"/>
        <family val="1"/>
      </rPr>
      <t xml:space="preserve">P </t>
    </r>
    <r>
      <rPr>
        <sz val="8"/>
        <color theme="1"/>
        <rFont val="Times"/>
        <family val="1"/>
      </rPr>
      <t xml:space="preserve">&lt; 0.001  n2=0.86 </t>
    </r>
  </si>
  <si>
    <r>
      <t>F</t>
    </r>
    <r>
      <rPr>
        <sz val="7"/>
        <color theme="1"/>
        <rFont val="DwsdgnAdvTT3713a231"/>
      </rPr>
      <t>3,44</t>
    </r>
    <r>
      <rPr>
        <sz val="10"/>
        <color theme="1"/>
        <rFont val="DwsdgnAdvTT3713a231"/>
      </rPr>
      <t xml:space="preserve">= 59.259, </t>
    </r>
    <r>
      <rPr>
        <sz val="10"/>
        <color theme="1"/>
        <rFont val="PdcswxAdvTT50a2f13e.I"/>
      </rPr>
      <t>P</t>
    </r>
    <r>
      <rPr>
        <sz val="10"/>
        <color theme="1"/>
        <rFont val="DwsdgnAdvTT3713a231"/>
      </rPr>
      <t xml:space="preserve">=0.000 </t>
    </r>
  </si>
  <si>
    <t>WMS III Logical Memory subscale scores</t>
  </si>
  <si>
    <t>WMS III Verbal Paired Associate subscale scores</t>
  </si>
  <si>
    <t>En de op LMSS en VPAS gebaseerde Auditory Memory Index</t>
  </si>
  <si>
    <t>verbal memory [ en WM, data nog included) (more general word knowledge)</t>
  </si>
  <si>
    <t>Verbal_M (knowledge)</t>
  </si>
  <si>
    <t>PTSD group increase % freezing (SEFL) ; no diff in control condition between day 2 &amp; day3 freezing; sig. Increase in freezing in pstd group on day3 (tov day2)</t>
  </si>
  <si>
    <t>sham-COC more freezing then DCOC day7 after training ; COC - PSS more freezing then DCOC-PSS in neutral context 7days after trainine &amp; stressor	p&lt;0.04</t>
  </si>
  <si>
    <t xml:space="preserve">ook rewarding omgeving in CFC.. </t>
  </si>
  <si>
    <t>1 (control group meerdere keren gebruikt, ptsd group wel verschillend)</t>
  </si>
  <si>
    <t>Predator scent stress (PSS) [ voor DCOC training]</t>
  </si>
  <si>
    <t>Underwater trauma (UWT) 1min swim, 30s under water [ voor DCOC training]</t>
  </si>
  <si>
    <t>Restraint stress (RST) 1h ) [ voor DCOC training]</t>
  </si>
  <si>
    <t>UWT</t>
  </si>
  <si>
    <t>EPS</t>
  </si>
  <si>
    <t>Elevated platform stress (EP) [ voor DCOC training]</t>
  </si>
  <si>
    <t>eleveated plus stress, geen trauma [lastig artikel, lang over gedaan om te begrijpen welke experimenten met elke groepen gedaan waren en hoe dit te interpreteren]</t>
  </si>
  <si>
    <t>contextual (fear) learning &amp; memory_ test 7day after training</t>
  </si>
  <si>
    <t>NO MemoryFC | vs combat control  --&gt; meer general word knowledge (is dat memory)</t>
  </si>
  <si>
    <t>NO MemoryFC |vs non-combat control  --&gt; meer general word knowledge (is dat memory</t>
  </si>
  <si>
    <t>NO PTSD | er is een current ptsd en history of ptsd group; data gekopieerd en 'history ptsd' excluded (want dat zijn geen ptsd patienten</t>
  </si>
  <si>
    <t>3 (current ptsd &amp; history ptsd &amp; control) - history group excluded</t>
  </si>
  <si>
    <t>TotalCorrect,LD Free</t>
  </si>
  <si>
    <t>TotalCorrect,LD Cued</t>
  </si>
  <si>
    <t>TotalCorrect,LD Recog</t>
  </si>
  <si>
    <t>TotalCorrect, Trial1-5</t>
  </si>
  <si>
    <t>Verbal Memory - immediate</t>
  </si>
  <si>
    <t>Verbal Memory - delayed</t>
  </si>
  <si>
    <t>Verbal Memory delayed recall</t>
  </si>
  <si>
    <t>Verbal Memory recognition</t>
  </si>
  <si>
    <t>er is een current ptsd en history of ptsd group; data gekopieerd en 'history ptsd' is in deze regels excluded (want dat zijn geen ptsd patienten</t>
  </si>
  <si>
    <t>DelayedMemoryRecall</t>
  </si>
  <si>
    <t>no ELS dieren</t>
  </si>
  <si>
    <t>ELS dieren</t>
  </si>
  <si>
    <t>ELS | sample size slecht gerapporteerd</t>
  </si>
  <si>
    <t>60 days</t>
  </si>
  <si>
    <t>7, day</t>
  </si>
  <si>
    <t>14, day</t>
  </si>
  <si>
    <t>NO PTSD | alle participanten blast exposure &amp; psdt symptomen en cognitive sympomen gemeten… factor analyse op postconcussion questionnaire.. Gevonden factoren gelinkt aan sympotomen en cognitiieve maten etc. PCL (ptsd) scores .52 r2 correlatie met emotionele factor op &amp; .31 r2 with cognitive factor --&gt; echter er is dus NIET gekeken naar verband tussen PCL (ptsd) symptomen en prestatie op cognitieve taken | wel aangegeven hoeveel pp boven en onder ptsd cut-off score scoren | CVLT gemaakt</t>
  </si>
  <si>
    <t>Analysis_Comparison # (BINNEN experiment)</t>
  </si>
  <si>
    <t>Analysis_Experiment # (BINNEN PAPER)</t>
  </si>
  <si>
    <t>Let OP in dit paper zijn 3 experimenten gedaan (3 verschillende groepen dieren, die allemaal op acq, memory en extinctie zijn getest!)</t>
  </si>
  <si>
    <t>Control more % novel arm entries then ptsd [Control group more novel entries then known enteries. PTSD group more known entries then novel entries --&gt; control  recognize better]</t>
  </si>
  <si>
    <t>PTSD more % known arm entries then control [Control group more novel entries then known enteries. PTSD group more known entries then novel entries --&gt; control  recognize better]</t>
  </si>
  <si>
    <t xml:space="preserve">Total correct trials 1–5 </t>
  </si>
  <si>
    <t xml:space="preserve"> Immediate recall</t>
  </si>
  <si>
    <t xml:space="preserve"> Immediate cued recall</t>
  </si>
  <si>
    <t xml:space="preserve"> Delayed recall </t>
  </si>
  <si>
    <t xml:space="preserve"> Delayed cued recall </t>
  </si>
  <si>
    <t xml:space="preserve"> Hits recognition</t>
  </si>
  <si>
    <t>Visuall_M</t>
  </si>
  <si>
    <t xml:space="preserve">delayed recall Memory </t>
  </si>
  <si>
    <t>Rey-Osterreith Complex Figure  delayed recall</t>
  </si>
  <si>
    <t>Wechsler Memory Scale-Revised (WMS-R; Wechsler, 1987b)recall</t>
  </si>
  <si>
    <t xml:space="preserve">Delayed Recall Index ( van WMS-R) </t>
  </si>
  <si>
    <t>delayed recall score op ROCF</t>
  </si>
  <si>
    <t>Visual+Verbal_M --&gt; general memory.. Exclude?</t>
  </si>
  <si>
    <t>general (Visual &amp; Verbal)</t>
  </si>
  <si>
    <t>Visual Memory ( van WMS-R)</t>
  </si>
  <si>
    <t>Immediate recall score op ROCF</t>
  </si>
  <si>
    <t xml:space="preserve"> Rey-Osterreith Complex Figure  immediate recall</t>
  </si>
  <si>
    <t>3 controle groupen 1 ptsd group (daarom n gedeeld</t>
  </si>
  <si>
    <t>UnexposedTwin_vanPTSDtwin_TotalErrors on Cube&amp;PaperTest</t>
  </si>
  <si>
    <t>UnexposedTwin_vanNon-PTSDtwin_TotalErrors on Cube&amp;PaperTest</t>
  </si>
  <si>
    <t>ExposedTwin_vanNon-PTSDtwin_TotalErrors on Cube&amp;PaperTest</t>
  </si>
  <si>
    <t>Spatial_M (initiele exploratie)_</t>
  </si>
  <si>
    <t>Spatial (baseline exploratie)</t>
  </si>
  <si>
    <t>M (baseline exploratie</t>
  </si>
  <si>
    <t>In deze regel staat de baseline data van de memory task; NB wel trauma NA memory task</t>
  </si>
  <si>
    <t>M (losse exploratie)</t>
  </si>
  <si>
    <t>1&amp; 2 (3 different samples, meerdere maten per sample) + groupen samen geanalyseerd in anova's…</t>
  </si>
  <si>
    <t>Fear Extinction(CS-)</t>
  </si>
  <si>
    <t>Fear Extinction (CS+)</t>
  </si>
  <si>
    <t>No difference CS+ &amp; CS- [PTSD patients F(1,22) = 1,2; ns]; CS+ &gt; CS- [controle; F(1,22) = 7.0,p=0.01] | Higher CS- rep. Then ITI resp in PTSD patients, not in controles [ptsd: F(1,22)=2.9, p =.10; non-ptsd: F91,22) = 0.01]</t>
  </si>
  <si>
    <t>Healthy civilians</t>
  </si>
  <si>
    <t>combat control</t>
  </si>
  <si>
    <t>civilian control</t>
  </si>
  <si>
    <t>Cue (+)</t>
  </si>
  <si>
    <t>Cue (-)</t>
  </si>
  <si>
    <t>PTSD_baseline 1 (Session1- non- experimental threat context, is baseline in de sessie waar mensen sowieso geen shock krijgen)_StartleMag(uV)</t>
  </si>
  <si>
    <t>Control_Civilian_baseline 1 (Session1- non- experimental threat context)_StartleMag(uV)</t>
  </si>
  <si>
    <t>Control_Combat_baseline 1 (Session1- non- experimental threat context)_StartleMag(uV)</t>
  </si>
  <si>
    <t>PTSD_baseline 2 (Session2- experimental threat context)_StartleMag(uV)</t>
  </si>
  <si>
    <t>Control_Civilian_baseline 2 (Session2- experimental threat context, baseline in de sessie waar mensen shocken gaan krijgen)_StartleMag(uV)</t>
  </si>
  <si>
    <t>Control_Combat_baseline 2 (Session2- experimental threat context)_StartleMag(uV)</t>
  </si>
  <si>
    <t>PTSD_after shock electrode on (Session2)_Startle_Mag_uV</t>
  </si>
  <si>
    <t>Control_Civilian_after shock electrode on (Session2)_Startle_Mag_uV</t>
  </si>
  <si>
    <t>Control_Combat_after shock electrode on (Session2)_Startle_Mag_uV</t>
  </si>
  <si>
    <t>M (baseline &amp; losse maten voor context index)</t>
  </si>
  <si>
    <t>PTSD_ContextIndex2(sessie2_baseline2-sessie2_shockelectrodeson)_uV</t>
  </si>
  <si>
    <t>PTSD_ContextIndex1(sessie1_baseline1-sessie2_baseline2)_uV</t>
  </si>
  <si>
    <t>Control_Civilian_ContextIndex1(sessie1_baseline1-sessie2_baseline2)_uV</t>
  </si>
  <si>
    <t>Control_Combat_ContextIndex1(sessie1_baseline1-sessie2_baseline2)_uV</t>
  </si>
  <si>
    <r>
      <t>in PTSD veterans, compared to non-PTSD veterans [</t>
    </r>
    <r>
      <rPr>
        <i/>
        <sz val="10"/>
        <color theme="0" tint="-0.499984740745262"/>
        <rFont val="Calibri (Body)_x0000_"/>
      </rPr>
      <t>F</t>
    </r>
    <r>
      <rPr>
        <sz val="10"/>
        <color theme="0" tint="-0.499984740745262"/>
        <rFont val="Calibri (Body)_x0000_"/>
      </rPr>
      <t xml:space="preserve">(1,62) 5.6, </t>
    </r>
    <r>
      <rPr>
        <i/>
        <sz val="10"/>
        <color theme="0" tint="-0.499984740745262"/>
        <rFont val="Calibri (Body)_x0000_"/>
      </rPr>
      <t xml:space="preserve">p </t>
    </r>
    <r>
      <rPr>
        <sz val="10"/>
        <color theme="0" tint="-0.499984740745262"/>
        <rFont val="Calibri (Body)_x0000_"/>
      </rPr>
      <t>.02] and civilians [</t>
    </r>
    <r>
      <rPr>
        <i/>
        <sz val="10"/>
        <color theme="0" tint="-0.499984740745262"/>
        <rFont val="Calibri (Body)_x0000_"/>
      </rPr>
      <t>F</t>
    </r>
    <r>
      <rPr>
        <sz val="10"/>
        <color theme="0" tint="-0.499984740745262"/>
        <rFont val="Calibri (Body)_x0000_"/>
      </rPr>
      <t xml:space="preserve">(1,62) 3.5, </t>
    </r>
    <r>
      <rPr>
        <i/>
        <sz val="10"/>
        <color theme="0" tint="-0.499984740745262"/>
        <rFont val="Calibri (Body)_x0000_"/>
      </rPr>
      <t xml:space="preserve">p </t>
    </r>
    <r>
      <rPr>
        <sz val="10"/>
        <color theme="0" tint="-0.499984740745262"/>
        <rFont val="Calibri (Body)_x0000_"/>
      </rPr>
      <t xml:space="preserve">.06] </t>
    </r>
  </si>
  <si>
    <t>cFC (shock: 1.5mA, 5msec duration) - fear potentiated startle experiment [ p.1030: Contextual fear was defined as the fear elicited by the ambient threat of session 2. It was examined by comparing the change in startle magnitude 1) from session 1 to session 2 (initial baseline startle testing/no ambient threat vs. second baseline startle testing/with ambient threat); and 2) in session 2, from the second baseline startle testing (no shock electrodes) to the first startle testing with shock electrodes on (safe–threat signals off)]</t>
  </si>
  <si>
    <t>cFC (shock: 1.5mA, 5msec duration) - fear potentiated startle experiment  [ p.1030: Contextual fear was defined as the fear elicited by the ambient threat of session 2. It was examined by comparing the change in startle magnitude 1) from session 1 to session 2 (initial baseline startle testing/no ambient threat vs. second baseline startle testing/with ambient threat); and 2) in session 2, from the second baseline startle testing (no shock electrodes) to the first startle testing with shock electrodes on (safe–threat signals off)]</t>
  </si>
  <si>
    <t>Trial1-5</t>
  </si>
  <si>
    <t>ListB</t>
  </si>
  <si>
    <t>LD Free</t>
  </si>
  <si>
    <t>LD Recog</t>
  </si>
  <si>
    <t>Memory index nog berekenen!</t>
  </si>
  <si>
    <t>Context processing</t>
  </si>
  <si>
    <t>No MemoryFC | geen memory, maar context processing? | NB ook IQ data beschikbaar</t>
  </si>
  <si>
    <t>NB in deze regel staat data die ook gebruikt is voor de discriminatie memory index (alleen die is opgenomen in dataset voor analyses) NB wel trauma NA memory task</t>
  </si>
  <si>
    <t>2 (3 different samples, meerdere maten per sample) + groupen samen geanalyseerd in anova's…</t>
  </si>
  <si>
    <t>1 (is al compared to time in all arms) dus toch niet?</t>
  </si>
  <si>
    <t>CS+</t>
  </si>
  <si>
    <t>CS-</t>
  </si>
  <si>
    <t>nu eruit gehaald</t>
  </si>
  <si>
    <t>no ptsd model (maar 1 dag follow up) ../. wel benoemd ptsd model, beschreven in borghans, maar ook 'short term (1day followup)? [sample sizes niet precies vermeld]</t>
  </si>
  <si>
    <t>dprime?</t>
  </si>
  <si>
    <t>Emotional (Visual)</t>
  </si>
  <si>
    <t>hier staat 1dag data| FC (maar longterm followup 28days)</t>
  </si>
  <si>
    <t>Situational Reminders (shock context reexposure day2</t>
  </si>
  <si>
    <t>Situational Reminders (shock context reexposure day4</t>
  </si>
  <si>
    <t>Situational Reminders (shock context reexposure day6)</t>
  </si>
  <si>
    <t>2day</t>
  </si>
  <si>
    <t>4day</t>
  </si>
  <si>
    <t>6day</t>
  </si>
  <si>
    <t>2 day follow up.. (grens bij 3 dagen gelegd..) no cog task? [same animals]</t>
  </si>
  <si>
    <t>L ("baseline, day1")</t>
  </si>
  <si>
    <t>data eerste dag (geen leren nog.. Meer baseline) wel restress, nu niet geinterpreteerd als chronisch..</t>
  </si>
  <si>
    <t>Benton Visual Retention Test (relate episodic memory)</t>
  </si>
  <si>
    <t>Thurstone Memory Test  (visual recognition)</t>
  </si>
  <si>
    <t xml:space="preserve">Benton (score range 0-10) </t>
  </si>
  <si>
    <t xml:space="preserve"> Thurstone (score range 0-28)</t>
  </si>
  <si>
    <t>Visual &amp; Verbal (total score, visual en verbal staan ook appart op regels..)</t>
  </si>
  <si>
    <t xml:space="preserve">[Hidden belonging; </t>
  </si>
  <si>
    <t xml:space="preserve"> picture recognition;</t>
  </si>
  <si>
    <t xml:space="preserve"> face recognition</t>
  </si>
  <si>
    <t>new route (immediate</t>
  </si>
  <si>
    <t>new route delayed</t>
  </si>
  <si>
    <t xml:space="preserve"> orientation</t>
  </si>
  <si>
    <t>totaalscores, maar subscores staan ook los in de database</t>
  </si>
  <si>
    <t xml:space="preserve">[Name; </t>
  </si>
  <si>
    <t xml:space="preserve"> appointment;</t>
  </si>
  <si>
    <t xml:space="preserve">newspaper article (immediate </t>
  </si>
  <si>
    <t xml:space="preserve"> newspaper article delayed</t>
  </si>
  <si>
    <t xml:space="preserve">message; </t>
  </si>
  <si>
    <t xml:space="preserve"> date]</t>
  </si>
  <si>
    <t>trauma memory (non - reexposed)</t>
  </si>
  <si>
    <t>E(baseline voor trauma)</t>
  </si>
  <si>
    <t>Eerste rexeposure (= memory) trauma memory extinctie (reexposed)</t>
  </si>
  <si>
    <t>(is extinctie wel memory?...) trauma memory extinctie (reexposed)</t>
  </si>
  <si>
    <t>"memory na extinctie training.." trauma memory extinctie (reexposed)</t>
  </si>
  <si>
    <t>8day</t>
  </si>
  <si>
    <t>9day</t>
  </si>
  <si>
    <t>10day</t>
  </si>
  <si>
    <t>11day</t>
  </si>
  <si>
    <t>12day</t>
  </si>
  <si>
    <t>13day</t>
  </si>
  <si>
    <t>14day</t>
  </si>
  <si>
    <t>15day</t>
  </si>
  <si>
    <t>Control_LatencyToDark(s)_3WeekAfterIFS</t>
  </si>
  <si>
    <t>for PTSD no diff between novel &amp; known entries on day2 (NS); control more time in novel arm (p&lt;0.05); Control animal more time on novel arm, ptsd not</t>
  </si>
  <si>
    <t>PTSD_%entriesNOVEL_Day2 (= directly after trauma)</t>
  </si>
  <si>
    <t>PTSD_%entriesKNOWN_Day2  (= directly after trauma)</t>
  </si>
  <si>
    <t>Control_%entriesKNOWN_Day2  (= directly after trauma)</t>
  </si>
  <si>
    <t>Control_%entriesNOVEL_Day2  (= directly after trauma)</t>
  </si>
  <si>
    <t>y maze dirct after trauma (excluded, want geen 3day delay) wel restress, nu niet geinterpreteerd als chronisch..</t>
  </si>
  <si>
    <t>[=2-2 day]</t>
  </si>
  <si>
    <t>[=8-2 day]</t>
  </si>
  <si>
    <t>[=14-2 day]</t>
  </si>
  <si>
    <t>[=20-2 day]</t>
  </si>
  <si>
    <t>[=26-2 day]</t>
  </si>
  <si>
    <t>[=32-2 day]</t>
  </si>
  <si>
    <t>Emotional (Verbal)</t>
  </si>
  <si>
    <t>evacuees better then cleenupworkers; no diff between evacuees &amp; veterans; no diff between evacuees en cleanupARS; no diff between Veterans &amp; cleanupARS [Evacuee-cleenup: p&lt;.001; vet-cleanup p&lt;.01; rest ns]</t>
  </si>
  <si>
    <t>control group sig better then cleanup ars; cleanup; evacuees [all p&lt;.001]</t>
  </si>
  <si>
    <t>4 verschillende PTSD groupen 1 controle! (daarom conrole gedeeld door 4)</t>
  </si>
  <si>
    <t>Chernobyl radiation exposure (cleanup workers, met ARS)</t>
  </si>
  <si>
    <t>Chernobyl radiation exposure (cleanup workers, zonder ARS)</t>
  </si>
  <si>
    <t>Chernobyl radiation exposure (evacuees)</t>
  </si>
  <si>
    <t>Chernoyl cleanup</t>
  </si>
  <si>
    <t>Chernoyl  evacuees</t>
  </si>
  <si>
    <t>Disaster</t>
  </si>
  <si>
    <t>Deployment (Afghanistan verterans)</t>
  </si>
  <si>
    <t>auditory verbal memorization (RAVLT A1-5)</t>
  </si>
  <si>
    <t>proactive verbal interference (RAVLTB)</t>
  </si>
  <si>
    <t>retroactive interference (RAVLT A5-A6)</t>
  </si>
  <si>
    <t>short-term verbal memory (RAVLT A6)</t>
  </si>
  <si>
    <t>Rey Auditory Verbal-Learning Test (RAVLT) - [A1-5]</t>
  </si>
  <si>
    <t>Rey Auditory Verbal-Learning Test (RAVLT) - B</t>
  </si>
  <si>
    <t>Rey Auditory Verbal-Learning Test (RAVLT) - A6</t>
  </si>
  <si>
    <t>Rey Auditory Verbal-Learning Test (RAVLT) - A5A6</t>
  </si>
  <si>
    <t xml:space="preserve"> F (n=6+7+6+6  --&gt; in different stages oestrous cycle)</t>
  </si>
  <si>
    <t>F (n=7+7+6+8  --&gt; in different stages oestrous cycle)</t>
  </si>
  <si>
    <t xml:space="preserve">M (20) </t>
  </si>
  <si>
    <t>No Control group | correlatie en regressi ipv control group… exclude?</t>
  </si>
  <si>
    <t>reduced fear during extinction (Control_DelayCond_AcqFin9)</t>
  </si>
  <si>
    <t>ext iets lager (not sig) (Control_DelayCond_Ext)</t>
  </si>
  <si>
    <t>trend reduced fear during extinction (PTSD, Trace)</t>
  </si>
  <si>
    <t>reduced fear during trace extinction (PTSD)</t>
  </si>
  <si>
    <t>PTSD_DelayCond_AcqFinal9_%ConResp</t>
  </si>
  <si>
    <t>PTSD_TraceCond_AcqFinal9_%ConResp</t>
  </si>
  <si>
    <t>Control_DelayCond_AcqFinal9_%ConResp</t>
  </si>
  <si>
    <t>Control_TraceCond_AcqFinal9_%ConResp</t>
  </si>
  <si>
    <t>PTSD_DelayCond_Ext9trials_%ConResp</t>
  </si>
  <si>
    <t>PTSD_TraceCond_Ext9trials_%ConResp</t>
  </si>
  <si>
    <t>Control_DelayCond_Ext9trials_%ConResp</t>
  </si>
  <si>
    <t>Control_TraceCond_Ext9trials_%ConResp</t>
  </si>
  <si>
    <t>Startle response (EMG) (last 9 Acq trials mean)</t>
  </si>
  <si>
    <t>Startle response (EMG) (mean 9 ext trials)</t>
  </si>
  <si>
    <t>delayed Auditory Fear Conditioning (85decibels) with airpuff as US (100 ms corneal airpuff delivered to the right eye that averaged 3 pounds of pressure per square inch.) - 90 conditioning trails &amp; direct erna (onafgebroken) 18 extinction trials</t>
  </si>
  <si>
    <t>trace Auditory Fear Conditioning (85decibels) with airpuff as US (100 ms corneal airpuff delivered to the right eye that averaged 3 pounds of pressure per square inch.) - 90 conditioning trails &amp; direct erna (onafgebroken) 18 extinction trials</t>
  </si>
  <si>
    <t>PTSD zelfde % specific retrieval for negative &amp; positive (NS) $ control more specific memories for positive cues (t(12)=3,61; p&lt;0.004)</t>
  </si>
  <si>
    <t>controls faster then ptsd (main effect); no effect cue type, wel interaction tussen group &amp; cue. Control marginaly faster in retreiving positive, then ptsd were (t(30)=2, p&lt;0.06); no diff between ptsd &amp; control in negative memories (t(30)=0.03, p&lt;0.98) [ptsd no difference in latency to retrieve negative of positive memory (t(18)=1,21; p=0.24)]</t>
  </si>
  <si>
    <t>autobiografisch geheugen [bij outcome 3 en verder staan data van regalia vs non-regalia deelnemers.. Voor nu buiten beschouwing laten (immers geen vergelijking met de controle groep)</t>
  </si>
  <si>
    <t>totaal score van subscores op andere rijen.. Niet dubbel in tabel? |autobiografisch geheugen [bij outcome 3 en verder staan data van regalia vs non-regalia deelnemers.. Voor nu buiten beschouwing laten (immers geen vergelijking met de controle groep)</t>
  </si>
  <si>
    <t>overall PTSD group higher startle in threat &amp; safe then control [(F = 4.62; df = 1,17; p &lt; .04)]</t>
  </si>
  <si>
    <t>FC (blue &amp; red light (one CS+ other CS-) [US 1.5mA, 5msec] - CS +</t>
  </si>
  <si>
    <t>FC (blue &amp; red light (one CS+ other CS-) [US 1.5mA, 5msec] CS-</t>
  </si>
  <si>
    <t xml:space="preserve"> footshock (0,8mA): 2 shock trains of 1s were administred per minute for 5 min (dus ieder subject received 10 shocks); iedere shock train was 1s lang en consisted of 0.01s shocks, met 0.02s long breaks. - during shocks fluorescently green rabbit toy in the shocking cage (=cue reminder) [reminder test 28 dagen later]</t>
  </si>
  <si>
    <t xml:space="preserve"> footshock ( 3 mA): 2 shock trains of 1s were administred per minute for 5 min (dus ieder subject received 10 shocks); iedere shock train was 1s lang en consisted of 0.01s shocks, met 0.02s long breaks. - during shocks fluorescently green rabbit toy in the shocking cage (=cue reminder) [reminder test 28 dagen later]</t>
  </si>
  <si>
    <t>object manipulation | behaviour during cue exposure recorded: exploration, self care, manipulating the object [ sniffing, biting, rolling], freezing, burying (cover object in sawdust, 10cm object onder 3cm bedding in 4/5 min in most cases)</t>
  </si>
  <si>
    <t>object Manipulation | behaviour during cue exposure recorded: exploration, self care, manipulating the object [ sniffing, biting, rolling], freezing, burying (cover object in sawdust, 10cm object onder 3cm bedding in 4/5 min in most cases)</t>
  </si>
  <si>
    <t>Object burying | behaviour during cue exposure recorded: exploration, self care, manipulating the object [ sniffing, biting, rolling], freezing, burying (cover object in sawdust, 10cm object onder 3cm bedding in 4/5 min in most cases)</t>
  </si>
  <si>
    <t>(control, zo laag niet afleesbaar in graf daarom op 0 gezet)</t>
  </si>
  <si>
    <t>1 &amp; 2 (net iets andere taak ook)</t>
  </si>
  <si>
    <t>1 ptsd groep, vergeleken met 3 controle groupen (14 pairs (exp vietnam - unexp twins)) --&gt; unexposed twin van ptsd patient, exposted twin non ptsd en unexposed twin van nonptsd</t>
  </si>
  <si>
    <t>unexposed twins (van ptsd group)</t>
  </si>
  <si>
    <t>unexposed</t>
  </si>
  <si>
    <t>UnExp (genetic link)</t>
  </si>
  <si>
    <t>Leeftijd van twin paren: 58,1 (ExP+/UxP+) 59,1 (Exp-/UxP-)</t>
  </si>
  <si>
    <t>Cue (in context) +</t>
  </si>
  <si>
    <t>Cue (in context) -</t>
  </si>
  <si>
    <t>1week</t>
  </si>
  <si>
    <t>2week</t>
  </si>
  <si>
    <t>3week</t>
  </si>
  <si>
    <t>NO MemoryFC |not cognitive? (avoidance behavor in avatar taak gemeten (feestje met onbekende bv)</t>
  </si>
  <si>
    <t>no difference ptsd &amp; control op day 7 [ NB niet af te lezen op grafiek (zo laag) daarom 0</t>
  </si>
  <si>
    <t>No MemoryFC | everpress avoidance, erin of erui? Ik denk eruit.. (nu eruit gehaald) want het meet meer of de rat de shock vervelend vind (en wil ontsnappen), of dat de rat geleerd heeft dat de shock te voorkomen is door iets te doen.. dat is iets anders al context of cue waarin shock was vermijden.. | in discussie staat ook 'We have argued that the leverpress avoidance response is dependent on dopamine systems (Brennan et al 2003; Brennan 2004).' dat suggereert ook meer een motivatie om pijn te vermijden.. dan leren van pijn</t>
  </si>
  <si>
    <t>No MemoryFC |zelfde paradigma als hierboven.. Noemen het wel escape/avoidance conditioning</t>
  </si>
  <si>
    <t>Recognition memory for woorden in modified stroop test. MemorY? Nu geincludeerd na modified stroop (waar de memory items vandaan komen) nog een gewone stroop ertussen.. En daarna memorie test)</t>
  </si>
  <si>
    <t xml:space="preserve">CVLT long delay free recall </t>
  </si>
  <si>
    <t>CVLT short delay free recall</t>
  </si>
  <si>
    <t xml:space="preserve"> CVLT intrusions;</t>
  </si>
  <si>
    <t xml:space="preserve">CVLT List A Trial 1 # correct </t>
  </si>
  <si>
    <t xml:space="preserve">CVLT List B interference list </t>
  </si>
  <si>
    <t>Visual memory: Wechsler Memory Scale-III (WMS-III)</t>
  </si>
  <si>
    <t>Visual memory: Benton Visual From Discrimination (BVFD)</t>
  </si>
  <si>
    <t xml:space="preserve">WMS-III: Faces I </t>
  </si>
  <si>
    <t xml:space="preserve"> WMS-III: Family pictures I</t>
  </si>
  <si>
    <t xml:space="preserve"> BVFD: Form G—memory</t>
  </si>
  <si>
    <t>M (baseline)</t>
  </si>
  <si>
    <t>baseline…. Exclude? passive avoidance ( = memory), als FC na tailshock</t>
  </si>
  <si>
    <t>L (shock trial "trauma")</t>
  </si>
  <si>
    <t xml:space="preserve"> op basis van gewicht (bij binnenkomst!) lijken dieren jonger dan 42 days, echter  gewicht geen nauwkeurige maat (&amp; start experiment pas na 7day) Included gehouden.</t>
  </si>
  <si>
    <t>losse maat.. Ratio staat er ook in</t>
  </si>
  <si>
    <t>ratio</t>
  </si>
  <si>
    <r>
      <t>exploration of an object was defined as pointing the nose to the object at a distance of less than 2 cm and/or touching it with the nose. | p.69: e following parameters were analyzed: (a) locomotor activity during habituation session; (b) the time to reach 15 s of exploration of the 2 identical objects in the acquisition session</t>
    </r>
    <r>
      <rPr>
        <b/>
        <sz val="12"/>
        <color rgb="FF00B0F0"/>
        <rFont val="Calibri"/>
        <family val="2"/>
        <scheme val="minor"/>
      </rPr>
      <t>; (c) the time of exploration of each object during retrieval session (=5min); (d) the total time of exploration (sum of both objects exploration times) and (e) the ratio of the time exploring the new object of the total time of exploratio</t>
    </r>
    <r>
      <rPr>
        <sz val="12"/>
        <color rgb="FF00B0F0"/>
        <rFont val="Calibri"/>
        <family val="2"/>
        <scheme val="minor"/>
      </rPr>
      <t>n -- Highlighted 02 Aug 2017</t>
    </r>
  </si>
  <si>
    <t>14-15 day after threat: Object recognition task (ORT): p.69: During a first session, mice were allowed to become familiar with the experimental environment for 7 min and the time spent in activity was measured. Twenty-four hours later, mice were again placed in the enclosure in the presence of two identical objects until they reached 15 s of object exploration (acquisition session).  -- Highlighted 02 Aug 2017 | After a 60-min interval, mice were placed again in the enclosure with a previously presented familiar object and a new one for 5 min (retrieval session) = short term memory test</t>
  </si>
  <si>
    <t>14-15 day after threat (2h after context reexposure): Object recognition task (ORT): p.69: During a first session, mice were allowed to become familiar with the experimental environment for 7 min and the time spent in activity was measured. Twenty-four hours later, mice were again placed in the enclosure in the presence of two identical objects until they reached 15 s of object exploration (acquisition session).  -- Highlighted 02 Aug 2017 | After a 60-min interval, mice were placed again in the enclosure with a previously presented familiar object and a new one for 5 min (retrieval session) = short term memory test</t>
  </si>
  <si>
    <t>14-15 day after threat (2h after ): Object recognition task (ORT): p.69: During a first session, mice were allowed to become familiar with the experimental environment for 7 min and the time spent in activity was measured. Twenty-four hours later, mice were again placed in the enclosure in the presence of two identical objects until they reached 15 s of object exploration (acquisition session).  -- Highlighted 02 Aug 2017 | After a 60-min interval, mice were placed again in the enclosure with a previously presented familiar object and a new one for 5 min (retrieval session) = short term memory test</t>
  </si>
  <si>
    <t xml:space="preserve">only in trauma context group slechte memory, control &amp; out-context group gelijk, &amp; beter dan incontext 3 weeks na trauma; out context trauma dieren vergelijkbaar als control,. Trauma in context </t>
  </si>
  <si>
    <t xml:space="preserve">only trauma in context impaired memory 1h after trauma (out context trauma en control niet); out context trauma dieren vergelijkbaar als control,. Trauma in context </t>
  </si>
  <si>
    <t xml:space="preserve">Underwater Trauma (in morris water maze waar training en test is [in CONTEXT] - 1min forced swim &amp; 30s under water </t>
  </si>
  <si>
    <t xml:space="preserve">Underwater Trauma ( in andere maze [out context]) - 1min forced swim &amp; 30s under water </t>
  </si>
  <si>
    <t>3 week na (1h (learning(1-5day)-trauma-(1h)-test))</t>
  </si>
  <si>
    <t>1 day - 1h (learning(1-5day)-trauma-(1h)-test)</t>
  </si>
  <si>
    <t>1 dag na trauma test... (te short term - 3week test wel included) 2 ptsd groups, 1 control group (daarom n control /2)[ eerst taak leren, dan trauma, dan test] - alle dieren leerde de taak pre trauma aan. Aan leer data niet in tabel opgenomen (want geen verschil &amp; nog geen verschil in trauma vs control)</t>
  </si>
  <si>
    <t>Control rats better memory 3weeks post trauma (more % time in right quadrant (1) then ptsd) - control rats better memory then trauma rats; up to 3 weeks post trauma (both 1h &amp; 3weeks p&lt;0.01)</t>
  </si>
  <si>
    <t>1 dag na trauma test... (te short term - 3week test wel included) [ eerst taak leren, dan trauma, dan test] - alle dieren leerde de taak pre trauma aan. Aan leer data niet in tabel opgenomen (want geen verschil &amp; nog geen verschil in trauma vs control)</t>
  </si>
  <si>
    <t>1 day - 1h (learning(1-8day)-trauma-(1h)-test) &amp; 21 day</t>
  </si>
  <si>
    <t>21 day 1h (learning(1-8day)-trauma-(1h)-test) &amp; 21 day</t>
  </si>
  <si>
    <t>No PTSD |subthreshold ptsd - autheurs spreken daar zelf ook over</t>
  </si>
  <si>
    <t>51,2 [range: 38-60]</t>
  </si>
  <si>
    <t>53,97 [range: 41-63])</t>
  </si>
  <si>
    <t>52,09 [range: 39-60]</t>
  </si>
  <si>
    <t>54,96 [range: 42-62])</t>
  </si>
  <si>
    <t>Retention score is percent change score uit [('short-delay free recall' - ' long-delay recall score') / short-delay score]</t>
  </si>
  <si>
    <t>total score (= total score op trials 1-5?, niet helemaal duidelijk uit text)</t>
  </si>
  <si>
    <t xml:space="preserve">Main effect ptsd (bonferroni corrected alpha in model is 0.019): F(3,121)=7,863, p=0.006 ; </t>
  </si>
  <si>
    <t>PTSD group slechter learning then control; PTSD slechter in initial acquisitie &amp; verbal learning (both &lt;0.019 (=bonferonni corrected sig level))</t>
  </si>
  <si>
    <t>ptsd slechter in acquisitie verbal materiaal dan control; PTSD slechter in initial acquisitie &amp; verbal learning (both &lt;0.019 (=bonferonni corrected sig level))</t>
  </si>
  <si>
    <t xml:space="preserve">California Verbal-learning Test (CVLT) - Trial 1 (=initial acquisition), Total Trial 1-5 (measure of verbal learning),  long-delay free recall score (retention over 20min) </t>
  </si>
  <si>
    <t>Logical Memory I &amp; II subsetes of WMS-III (logical memory I = immediately retell story after hearing it; logical memory II = retell story 30min na hearing it) --&gt; Percent retention score = hoe veel onthouden is na 30min relatief to immideate recall [lage scores op I &amp; II betekenen weaknes in learning or memory for orally presented narratives, low scores on percent retention suggest difficulties with retaining auditory narratives after a delay</t>
  </si>
  <si>
    <t xml:space="preserve">day 9: exposure to Situational reminder = clean wookend block </t>
  </si>
  <si>
    <t>day 9: exposure to Situational reminder = clean wookend block</t>
  </si>
  <si>
    <t>PTSD_NoExtinction_Day9(test day)_FarLocation(s)</t>
  </si>
  <si>
    <t>Control_NoExtinction_Day9(test day)_FarLocation(s)</t>
  </si>
  <si>
    <t>object contact</t>
  </si>
  <si>
    <t>far location</t>
  </si>
  <si>
    <t>OmpoolFactor_zodatHogereScoresISBeterePerformance</t>
  </si>
  <si>
    <t>anxiety locomotion?</t>
  </si>
  <si>
    <t>No MemoryFC | maar parameter die anxiety locomotion weergeeft (zie bourin,2003 voor beschrijving)</t>
  </si>
  <si>
    <t>Control_Contextual Freezing(s)_[24h na fc]</t>
  </si>
  <si>
    <t>1 week</t>
  </si>
  <si>
    <t>PTSD(shock)_Single_housed_SR1_# entries to shock side</t>
  </si>
  <si>
    <t>PTSD(shock)_Single_housed_SR2_# entries to shock side</t>
  </si>
  <si>
    <t>PTSD(shock)_Single_housed_SR3_# entries to shock side</t>
  </si>
  <si>
    <t>Control(sham)_Single_housed_SR1_# entries to shock side</t>
  </si>
  <si>
    <t>Control(sham)_Single_housed_SR2_# entries to shock side</t>
  </si>
  <si>
    <t>Control(sham)_Single_housed_SR3_# entries to shock side</t>
  </si>
  <si>
    <t>reactie voor shock (lantency dat dier wachtte om ruimte in te gaan waar het een shock gaat krijgen)… (geen memory..) exclude? passive avoidance ( = memory), als FC na tailshock</t>
  </si>
  <si>
    <t>latency score to enter dark compartment</t>
  </si>
  <si>
    <t>PTSD(IS)_BaseTrial_LatencyTime(s)</t>
  </si>
  <si>
    <t>PTSD(IS)_ShockTrial_LatencyTime(s)</t>
  </si>
  <si>
    <t>PTSD(IS)_TestTrial1_LatencyTime(s)</t>
  </si>
  <si>
    <t>PTSD(IS)_TestTrial2_LatencyTime(s)</t>
  </si>
  <si>
    <t>PTSD(IS)_TestTrial3_LatencyTime(s)</t>
  </si>
  <si>
    <t xml:space="preserve">escape/avoidance task </t>
  </si>
  <si>
    <t>is het aantal crossings wel een goede maat voor memory (of eerder voor locomotion in axiety?..)</t>
  </si>
  <si>
    <r>
      <t xml:space="preserve">Moving to the other chamber while the signal light on was counted as </t>
    </r>
    <r>
      <rPr>
        <b/>
        <u/>
        <sz val="12"/>
        <color rgb="FF00B0F0"/>
        <rFont val="Calibri (Body)_x0000_"/>
      </rPr>
      <t>avoidance,</t>
    </r>
    <r>
      <rPr>
        <sz val="12"/>
        <color rgb="FF00B0F0"/>
        <rFont val="Calibri (Body)_x0000_"/>
      </rPr>
      <t xml:space="preserve"> and moving to the other chamber upon receiving foot-shock was counted as </t>
    </r>
    <r>
      <rPr>
        <b/>
        <u/>
        <sz val="12"/>
        <color rgb="FF00B0F0"/>
        <rFont val="Calibri (Body)_x0000_"/>
      </rPr>
      <t>escape.</t>
    </r>
    <r>
      <rPr>
        <u/>
        <sz val="12"/>
        <color rgb="FF00B0F0"/>
        <rFont val="Calibri (Body)_x0000_"/>
      </rPr>
      <t xml:space="preserve"> p.38: error; not moving to the other chamber and receiving the entire 15-s foot-shock | </t>
    </r>
    <r>
      <rPr>
        <b/>
        <u/>
        <sz val="12"/>
        <color rgb="FF00B0F0"/>
        <rFont val="Calibri (Body)_x0000_"/>
      </rPr>
      <t>unnecessary cross;</t>
    </r>
    <r>
      <rPr>
        <u/>
        <sz val="12"/>
        <color rgb="FF00B0F0"/>
        <rFont val="Calibri (Body)_x0000_"/>
      </rPr>
      <t xml:space="preserve"> moving through the gate after cessation of foot-shock prior to next signal light </t>
    </r>
    <r>
      <rPr>
        <sz val="12"/>
        <color rgb="FF00B0F0"/>
        <rFont val="Calibri (Body)_x0000_"/>
      </rPr>
      <t>; During a 5-min adaptation period prior to the task, the number of movings through the gate was counted as cross in adaptation (</t>
    </r>
    <r>
      <rPr>
        <b/>
        <sz val="12"/>
        <color rgb="FF00B0F0"/>
        <rFont val="Calibri (Body)_x0000_"/>
      </rPr>
      <t>cross in adapt</t>
    </r>
    <r>
      <rPr>
        <sz val="12"/>
        <color rgb="FF00B0F0"/>
        <rFont val="Calibri (Body)_x0000_"/>
      </rPr>
      <t>)| p.38: rat moved to the other chamber, the foot-shock and signal light were terminated immediately.</t>
    </r>
  </si>
  <si>
    <t>Escape</t>
  </si>
  <si>
    <t>BL/6N: main effect incubatie tijd, main effect exposure  &amp; interactie op CS+ (=assosiatief memory)&amp; main effect incubatie tijd op CSn (non-assosiatief) [CS+ [3(inc)*2(exposure)ANOVA: F(incubatie(3,39)=36,37; p&lt;0.001 &amp; F(exposure(1,39)=61,51; p&lt;0.001 &amp;F(I*E(3,39)=14,56; p&lt;0.001 -- posthoc incubatie tijd 1st control&lt;(day1,day14,day28 groups) &amp; 2ndcontrol&lt;(day1,day14,day28 groups) ] | CSn [4(inc)*2(exposure)ANOVA: F(incubatei(3,40) = 16,55; p&lt;0.001 &amp; F(exposure(1,40)=0,71; p=0,406 &amp; F(I*E(3,40)=0,34; p=0,798 -- posthoc incubatie controle &lt; 14d &amp; 28day &amp; 1d &lt; 28d] BL/6N]</t>
  </si>
  <si>
    <t>niet cs+ &amp; cSn vergeleken | BL/6N: main effect incubatie tijd, main effect exposure  &amp; interactie op CS+ (=assosiatief memory)&amp; main effect incubatie tijd op CSn (non-assosiatief) [CS+ [3(inc)*2(exposure)ANOVA: F(incubatie(3,39)=36,37; p&lt;0.001 &amp; F(exposure(1,39)=61,51; p&lt;0.001 &amp;F(I*E(3,39)=14,56; p&lt;0.001 -- posthoc incubatie tijd 1st control&lt;(day1,day14,day28 groups) &amp; 2ndcontrol&lt;(day1,day14,day28 groups) ] | CSn [4(inc)*2(exposure)ANOVA: F(incubatei(3,40) = 16,55; p&lt;0.001 &amp; F(exposure(1,40)=0,71; p=0,406 &amp; F(I*E(3,40)=0,34; p=0,798 -- posthoc incubatie controle &lt; 14d &amp; 28day &amp; 1d &lt; 28d] BL/6N]</t>
  </si>
  <si>
    <t>geen directe CS+ - CSn vergelijking" BL/6N: main effect incubatie tijd, main effect exposure  &amp; interactie op CS+ (=assosiatief memory)&amp; main effect incubatie tijd op CSn (non-assosiatief) [CS+ [3(inc)*2(exposure)ANOVA: F(incubatie(3,39)=36,37; p&lt;0.001 &amp; F(exposure(1,39)=61,51; p&lt;0.001 &amp;F(I*E(3,39)=14,56; p&lt;0.001 -- posthoc incubatie tijd 1st control&lt;(day1,day14,day28 groups) &amp; 2ndcontrol&lt;(day1,day14,day28 groups) ] | CSn [4(inc)*2(exposure)ANOVA: F(incubatei(3,40) = 16,55; p&lt;0.001 &amp; F(exposure(1,40)=0,71; p=0,406 &amp; F(I*E(3,40)=0,34; p=0,798 -- posthoc incubatie controle &lt; 14d &amp; 28day &amp; 1d &lt; 28d] BL/6N]</t>
  </si>
  <si>
    <t>BL/6JOIa: main effect incubatie tijd, main effect exposure  &amp; interactie op CS+ (=assosiatief memory)&amp; main effect incubatie tijd, main effect exposure op CSn (non-assosiatief) [CS+ [3(inc)*2(exposure)ANOVA: F(incubatie(3,38)=20,70; p&lt;0.001 &amp; F(exposure(1,38)=41,35; p&lt;0.001 &amp;F(I*E(3,38)=41,35; p&lt;0.001 -- posthoc incubatie tijd 1st control&lt;(day1&lt; day14 en control&lt;day28 group) &amp; 2ndcontrol&lt;(day1,day14,day28 groups) ] | CSn [4(inc)*2(exposure)ANOVA: F(incubatei(3,39) = 8,94; p&lt;0.001 &amp; F(exposure(1,39)=13,17; p=0.001 &amp; F(I*E(3,39)=1,07; p=0,373 -- posthoc incubatie controle &lt; 1d/14/18day groups] BL/6JOIa]</t>
  </si>
  <si>
    <t>niet cs+ &amp; cSn vergeleken |  BL/6JOIa: main effect incubatie tijd, main effect exposure  &amp; interactie op CS+ (=assosiatief memory)&amp; main effect incubatie tijd, main effect exposure op CSn (non-assosiatief) [CS+ [3(inc)*2(exposure)ANOVA: F(incubatie(3,38)=20,70; p&lt;0.001 &amp; F(exposure(1,38)=41,35; p&lt;0.001 &amp;F(I*E(3,38)=41,35; p&lt;0.001 -- posthoc incubatie tijd 1st control&lt;(day1&lt; day14 en control&lt;day28 group) &amp; 2ndcontrol&lt;(day1,day14,day28 groups) ] | CSn [4(inc)*2(exposure)ANOVA: F(incubatei(3,39) = 8,94; p&lt;0.001 &amp; F(exposure(1,39)=13,17; p=0.001 &amp; F(I*E(3,39)=1,07; p=0,373 -- posthoc incubatie controle &lt; 1d/14/18day groups] BL/6JOIa]</t>
  </si>
  <si>
    <t>geen directe CS+ - CSn vergelijking | BL/6JOIa: main effect incubatie tijd, main effect exposure  &amp; interactie op CS+ (=assosiatief memory)&amp; main effect incubatie tijd, main effect exposure op CSn (non-assosiatief) [CS+ [3(inc)*2(exposure)ANOVA: F(incubatie(3,38)=20,70; p&lt;0.001 &amp; F(exposure(1,38)=41,35; p&lt;0.001 &amp;F(I*E(3,38)=41,35; p&lt;0.001 -- posthoc incubatie tijd 1st control&lt;(day1&lt; day14 en control&lt;day28 group) &amp; 2ndcontrol&lt;(day1,day14,day28 groups) ] | CSn [4(inc)*2(exposure)ANOVA: F(incubatei(3,39) = 8,94; p&lt;0.001 &amp; F(exposure(1,39)=13,17; p=0.001 &amp; F(I*E(3,39)=1,07; p=0,373 -- posthoc incubatie controle &lt; 1d/14/18day groups] BL/6JOIa]</t>
  </si>
  <si>
    <t>niet cs+ &amp; cSn vergeleken | BL/6JOIa: main effect incubatie tijd, main effect exposure  &amp; interactie op CS+ (=assosiatief memory)&amp; main effect incubatie tijd, main effect exposure op CSn (non-assosiatief) [CS+ [3(inc)*2(exposure)ANOVA: F(incubatie(3,38)=20,70; p&lt;0.001 &amp; F(exposure(1,38)=41,35; p&lt;0.001 &amp;F(I*E(3,38)=41,35; p&lt;0.001 -- posthoc incubatie tijd 1st control&lt;(day1&lt; day14 en control&lt;day28 group) &amp; 2ndcontrol&lt;(day1,day14,day28 groups) ] | CSn [4(inc)*2(exposure)ANOVA: F(incubatei(3,39) = 8,94; p&lt;0.001 &amp; F(exposure(1,39)=13,17; p=0.001 &amp; F(I*E(3,39)=1,07; p=0,373 -- posthoc incubatie controle &lt; 1d/14/18day groups] BL/6JOIa]</t>
  </si>
  <si>
    <t>geen directe CS+ - CSn vergelijking | BL/6N: main effect incubatie tijd, main effect exposure  &amp; interactie op CS+ (=assosiatief memory)&amp; main effect incubatie tijd op CSn (non-assosiatief) [CS+ [3(inc)*2(exposure)ANOVA: F(incubatie(3,39)=36,37; p&lt;0.001 &amp; F(exposure(1,39)=61,51; p&lt;0.001 &amp;F(I*E(3,39)=14,56; p&lt;0.001 -- posthoc incubatie tijd 1st control&lt;(day1,day14,day28 groups) &amp; 2ndcontrol&lt;(day1,day14,day28 groups) ] | CSn [4(inc)*2(exposure)ANOVA: F(incubatei(3,40) = 16,55; p&lt;0.001 &amp; F(exposure(1,40)=0,71; p=0,406 &amp; F(I*E(3,40)=0,34; p=0,798 -- posthoc incubatie controle &lt; 14d &amp; 28day &amp; 1d &lt; 28d] BL/6N]</t>
  </si>
  <si>
    <t>No MemoryFC | Hier staat reactie op neutral tone in new context (= angst) wat te doen met dit artikel? | no direct control group. Data vergeleken met 28 day group (geen verschil met day28).. En tijd na shok 6days? - Groupen met Shocksterkte op individual pain threshold not included (mean=0,27 voor B6JO1a; mean=0,32 voor B6N) omdat dit geen trauma is</t>
  </si>
  <si>
    <t>No MemoryFC | Hier staat reactie op neutral tone in new context (= angst) wat te doen met dit artikel? | no direct control group. Data vergeleken met 28 day group (geen verschil met day28)... En tijd na shok 6days? - Groupen met Shocksterkte op individual pain threshold not included (mean=0,27 voor B6JO1a; mean=0,32 voor B6N) omdat dit geen trauma is</t>
  </si>
  <si>
    <t>No MemoryFC | Hier staat reactie op neutral tone in new context (= angst) Groupen met Shocksterkte op individual pain threshold not included (mean=0,27 voor B6JO1a; mean=0,32 voor B6N) omdat dit geen trauma is</t>
  </si>
  <si>
    <t>1 day na trauma (shock) gemeten (te short term) wat te doen met dit artikel? | no direct control group. Data vergeleken met 28 day group (geen verschil met day28)... En tijd na shok 6days? - Groupen met Shocksterkte op individual pain threshold not included (mean=0,27 voor B6JO1a; mean=0,32 voor B6N) omdat dit geen trauma is</t>
  </si>
  <si>
    <t>1 day na trauma (shock) gemeten (te short term) wat te doen met dit artikel? | no direct control group. Data vergeleken met 28 day group (geen verschil met day28).. En tijd na shok 6days? - Groupen met Shocksterkte op individual pain threshold not included (mean=0,27 voor B6JO1a; mean=0,32 voor B6N) omdat dit geen trauma is</t>
  </si>
  <si>
    <t>20 day</t>
  </si>
  <si>
    <t>34 day</t>
  </si>
  <si>
    <t>24 day</t>
  </si>
  <si>
    <t>control better then ptsd | ROCFT: control &amp; ptsd scoren lager op immediate recall dan op copy (t=13,57;p&lt;0.001) | subjects met PTSD maken 2x zoveel fouten als controls | Geen sig verschil tussen immediate &amp; delayed recall in de twee groupen (dus binnengroup) [PTSD:(t=1,22; p=0,239) Control:(t=1,19;p=0,248)] [ROCFT: control &amp; ptsd scoren lager op immediate recall dan op copy (t=13,57;p&lt;0.001) | subjects met PTSD maken 2x zoveel fouten als controls | Geen sig verschil tussen immediate &amp; delayed recall in de twee groupen (dus binnengroup) [PTSD:(t=1,22; p=0,239) Control:(t=1,19;p=0,248)]]</t>
  </si>
  <si>
    <t>Benton Visual Retention Test (BVRT)(tussen immediate &amp; delayed recall ROCF) (10 designs,met one or more figures, na het zien van de figuur moet subject het meteen tekenen van herinnering) - fouten worden geteld. dus hogere scores = slechter visual perception, memory and constructional abilities [test duurt 5min]</t>
  </si>
  <si>
    <t>hier staat ROCF copy data (gaat over visual perception &amp; abilities (niet memory)</t>
  </si>
  <si>
    <t>Spatial M</t>
  </si>
  <si>
    <t>1 (zou wel kunnen als je data IQ matched groups wil =subgroup total sample)</t>
  </si>
  <si>
    <t>1&amp; 2 (verschillende cohorten, verschillende taken, meerdere maten per cohort)</t>
  </si>
  <si>
    <t>PTSD_FC_D45naTrauma_ShockContext_%Freezing</t>
  </si>
  <si>
    <t>2 day na trauma (te short term)</t>
  </si>
  <si>
    <t>PTSD-R(SPS-Resilient)["combatcontrol"]_TimeSpent(s)_NewOdor</t>
  </si>
  <si>
    <t>PTSD-R(SPS-Resilient)["combatcontrol"]_TimeSpent(s)_TraumaOdor</t>
  </si>
  <si>
    <t>PTSD-R(SPS-Resilient)["combatcontrol"]_%Freezing_NoTone</t>
  </si>
  <si>
    <t>PTSD-R(SPS-Resilient)["combatcontrol"]_%Freezing_NewTone</t>
  </si>
  <si>
    <t>PTSD-R(SPS-Resilient)["combatcontrol"]_%Freezing_TraumaTone</t>
  </si>
  <si>
    <t>SPS exposed - resilient</t>
  </si>
  <si>
    <t>no tone presetn en geen trauma context (dus geen learning or memory op deze regel, andere regels wel) | trauma exposed onderverdeelt in susseptible en resilient group; data uit grafiek afgelezen</t>
  </si>
  <si>
    <t>geen verschil tussen control en ptsd bij afwezigheid tone; SPS group meer tijd in new oder arm dan in trauma odor arm, geen verschil tussen deze armen voor control group [SPS:  (F(1, 14) = 9.96, p = .007)]</t>
  </si>
  <si>
    <t>no tone presetn en geen trauma context (dus geen learning or memory op deze regel, andere regels wel) | trauma exposed = ptsd group; data uit grafiek afgelezen</t>
  </si>
  <si>
    <t>allemaal L of M?</t>
  </si>
  <si>
    <t>in deze regel staat (escapes = weggaan als de shock bezig is.. Niet echt leren / memory… maar meer anhedonie achtig?  | escape/avoidance task</t>
  </si>
  <si>
    <t>in deze regel staat (escapes = weggaan als de shock bezig is.. Niet echt leren / memory… maar meer anhedonie achtig?  | escape/avoidance task; in paper ook een chronic stress variant die data nu niet included</t>
  </si>
  <si>
    <t>in deze regel staat (escapes = weggaan als de shock bezig is.. Niet echt leren / memory… maar meer anhedonie achtig? | escape/avoidance task; in paper ook een chronic stress variant die data nu niet included</t>
  </si>
  <si>
    <t>test 1 dag na trauma --&gt; te kort dag EXCLUDE FC after SPS</t>
  </si>
  <si>
    <t>Control(NoShock_intaak)_Freezing_Day14</t>
  </si>
  <si>
    <t>Control(Shock_intaak)_Freezing_Day14</t>
  </si>
  <si>
    <t>Control(Shock_intaak)_Freezing_Day7</t>
  </si>
  <si>
    <t>Control(NoShock_intaak)_Freezing_Day7</t>
  </si>
  <si>
    <t>different animals per day (1, 7 and 14) multiple measures per day</t>
  </si>
  <si>
    <t>beide groupen sig. different van change level: [Fig. 1A; quadrant 1, t-test for difference from chance: control, t(4)  = 8.16, p = 0.0012; trauma, t(9) = 6.72, p = 0.0001] &amp; geen verschil tussen de groepen ( [t-test for quadrant 1: t(13) = 1.28, p = 0.2227, NS].); pre trauma geen verschil, post trauma geen spatial memory meer (presetatie op kanslevel)..</t>
  </si>
  <si>
    <t>diff score op basis van bovense 2..</t>
  </si>
  <si>
    <t>RVDLT</t>
  </si>
  <si>
    <t>Total Recall</t>
  </si>
  <si>
    <t>Delayed Free Recall</t>
  </si>
  <si>
    <t>geen verschil tussen ptsd &amp; control in learning; geen verschil in inital learning of cumulatief learning tussen ptsd &amp; control</t>
  </si>
  <si>
    <t>geen verschil in inital learning tussen ptsd &amp; control; geen verschil in inital learning of cumulatief learning tussen ptsd &amp; control</t>
  </si>
  <si>
    <t>ptsd remember minder dan control (cijfers geven volgens mij het verschil aan tov inital learning?); Geen verschil in initial learning; wel in retroactive interference (short term delay) en longterm delay memory (dan ptsd slechter)</t>
  </si>
  <si>
    <t>No control group | Is dit wel een trauma, en niet meer een FC stydie? (1 shock, 1 mA)  - allen data protocol 3 included ( no control group; ook geen statistische vergelijking whitin subjects..), wat te doen met rpotocol 2?</t>
  </si>
  <si>
    <t>NB sample size ptsd 21 (op basis van HTQ) [op basis van psychiater: 20; echter 21 gebruikt voor analyses]</t>
  </si>
  <si>
    <t>data afgelezen uit tabel: NB nacht tussen leren &amp; memory continous blood sampling in alle subjects; NB sample size 15 (TC) [n=17 bij demografics (dus ook age), en n=15 voor word task] &amp; 15 (HC)</t>
  </si>
  <si>
    <t>data in tekst vermeld; NB sample size ptsd 17 (in batches van 6-8 exposed to sps)</t>
  </si>
  <si>
    <t>In ptsd group, reduction of distance in correct quadrant na trauma (paired t-test (t(9)=6,24; p=0,002), in control geen verschil (t(4)=0.09 NS) | Sig verschil in verschil tussen controle &amp; trauma group; pre trauma geen verschil, post trauma geen spatial memory meer (presetatie op kanslevel)..LET OP [niet aangeven of het SEM of STD is, meestal SEM bij animal work, daarom daar neer gezet]</t>
  </si>
  <si>
    <t>no diff in sampeling fase, dus geen verschil in initiele exploratie' | NB (niet gerapparoteerd of het STD of SEM is, waarschijnlijk SEM)</t>
  </si>
  <si>
    <t>no diff in sampeling fase, dus geen verschil in initiele exploratie| NB (niet gerapparoteerd of het STD of SEM is, waarschijnlijk SEM)</t>
  </si>
  <si>
    <r>
      <t xml:space="preserve">no diff in sampeling fase, dus geen verschil in initiele exploratie | NB </t>
    </r>
    <r>
      <rPr>
        <b/>
        <u/>
        <sz val="12"/>
        <color theme="1"/>
        <rFont val="Calibri"/>
        <family val="2"/>
      </rPr>
      <t xml:space="preserve"> </t>
    </r>
    <r>
      <rPr>
        <u/>
        <sz val="12"/>
        <color theme="1"/>
        <rFont val="Calibri"/>
        <family val="2"/>
      </rPr>
      <t>(niet gerapparoteerd of het STD of SEM is, waarschijnlijk SEM)</t>
    </r>
  </si>
  <si>
    <t>ptsd slechter dan control op total memory score | NB (niet expliciet genoemd dat het SD is, maar vermoedleijk wel..)</t>
  </si>
  <si>
    <t>[NB neg waarden kloppen, sd echter pos gemaakt (maakt immers niet uit qua betekenis wel voor analyses]</t>
  </si>
  <si>
    <t>IS more error's then control | NB control 0 omdat data zo laag is dat het niet af te lezen is]</t>
  </si>
  <si>
    <t>van Liempt</t>
  </si>
  <si>
    <t>van Rooij</t>
  </si>
  <si>
    <t>hier staan losse mate.. Alleen ratio meegenomen</t>
  </si>
  <si>
    <t>calulated ratio</t>
  </si>
  <si>
    <t>Comparison</t>
  </si>
  <si>
    <t>A</t>
  </si>
  <si>
    <t>C</t>
  </si>
  <si>
    <t>D</t>
  </si>
  <si>
    <t>ID_Experimental group</t>
  </si>
  <si>
    <t>ID_Control group</t>
  </si>
  <si>
    <t>meer angst maat| baseline measures, voor context index (die is opgenomen in apparte regel) .. NB 2 control groups (combat &amp; niet-combat); 1 ptsd group (dus die n /2)</t>
  </si>
  <si>
    <t>angst | not cognitve, fysiologie meten bij luisteren naar eigen trauma script</t>
  </si>
  <si>
    <t>rey copy (processing niet memory)</t>
  </si>
  <si>
    <t xml:space="preserve">trauma controls (TC) </t>
  </si>
  <si>
    <t xml:space="preserve"> healthy controls (HC)</t>
  </si>
  <si>
    <t>exp1 (vehicle dieren)</t>
  </si>
  <si>
    <t>exp2 (vehicle dieren)</t>
  </si>
  <si>
    <t>exp3 (vehicle dieren)</t>
  </si>
  <si>
    <t>exp1 (vehicle dieren n=20)</t>
  </si>
  <si>
    <t>no control group? | only extinction data trauma groep | wel benoemd ptsd model, beschreven in borghans, maar ook 'short term (1day followup)? - [exp1 same animals]</t>
  </si>
  <si>
    <t>no control group | only extinction data trauma groep | wel benoemd ptsd model, beschreven in borghans, maar ook 'short term (1day followup)? - [exp2 same animals]</t>
  </si>
  <si>
    <t xml:space="preserve">contextul fear generalizatie &amp; Exaggerated fear learning in PTSD group; </t>
  </si>
  <si>
    <t>alleen NO EXTINCTIE groepen opgenomen | wel benoemd ptsd model, beschreven in borghans, maar ook 'short term (1day followup)? - [exp2 same animals]</t>
  </si>
  <si>
    <t>alleen NO EXTINCTIE groepen opgenomen | wel benoemd ptsd model, beschreven in borghans, maar ook 'short term (1day followup)? - [exp1 same animals]</t>
  </si>
  <si>
    <t>no memory | baseline freezing (na trauma voor FC) alleen NO EXTINCTIE groepen opgenomen |  wel benoemd ptsd model, beschreven in borghans, maar ook 'short term (1day followup)? - [exp1 same animals]</t>
  </si>
  <si>
    <t>memory | alleen NO EXTINCTIE groepen opgenomen | wel benoemd ptsd model, beschreven in borghans, maar ook 'short term (1day followup)? - [exp1 same animals]</t>
  </si>
  <si>
    <t xml:space="preserve"> PTSD group more freezing in new context &amp; exaggerated contextual SEFL (direct)</t>
  </si>
  <si>
    <t>PTSD group more contextual fear renewal (op day 5 &amp; day25); ptsd group more fear renewal (in % freezing) then control op day5 en day25 na trauma</t>
  </si>
  <si>
    <t>PTSD group no baseline generalisation, but exaggerated SEFL (direct &amp;24hlater) compared to control; increased freezing in control &amp; PTSD group after shock in new context - no generalization of contextual fear on baseline, after shock in new context PTSD group stronger fear response then control..</t>
  </si>
  <si>
    <t>no memory | baseline freezing (na trauma voor FC) - alleen NO EXTINCTIE groepen opgenomen | wel benoemd ptsd model, beschreven in borghans, maar ook 'short term (1day followup)? - [exp2 same animals]</t>
  </si>
  <si>
    <r>
      <t xml:space="preserve">3 experimenten (1 anxiety meten via social avoidance); </t>
    </r>
    <r>
      <rPr>
        <b/>
        <sz val="12"/>
        <color rgb="FF00B050"/>
        <rFont val="Calibri (Body)"/>
      </rPr>
      <t>2 effect reminder cue meten (n=8 per group</t>
    </r>
    <r>
      <rPr>
        <sz val="12"/>
        <color rgb="FF00B050"/>
        <rFont val="Calibri (Body)"/>
      </rPr>
      <t>); 3 checken of effect reminder cue specifiek voor die cue is). Alle animals maar in 1 experiment gebruikt.</t>
    </r>
  </si>
  <si>
    <t>116+117</t>
  </si>
  <si>
    <t>pooled data van 2 experimentel egroupen, data staat per groep wel in table | (extinction en non extinction group (vergeleken met 1 controle group daarom n/2) - baseline data / data trauma dag (exclusion?) contextual fear - measured met avoidance</t>
  </si>
  <si>
    <t>(deel van exp group 126)</t>
  </si>
  <si>
    <t>BL6N mice</t>
  </si>
  <si>
    <t>BL6JO1a mice</t>
  </si>
  <si>
    <t>Alleen data exp2 opgenomen: Hierin zijn 4 groepen dieren. 1 controle, en 3 shock: De shock groepen zijn 2x blootgesteld aan een CS (met 6 dagen verschil) | Per groep zijn 2 maten afgenomen: namelijk freezing to CS+ op dag 1 en day 6) | followup van 1 dag excluded (want geen ptsd model)  no direct control group. Data vergeleken met 28 day group (geen verschil met day28).. En tijd na shok 6days? - Groupen met Shocksterkte op individual pain threshold not included (mean=0,27 voor B6JO1a; mean=0,32 voor B6N) omdat dit geen trauma is</t>
  </si>
  <si>
    <t xml:space="preserve">1 [d28 controle groep voor meerdere experimenten] </t>
  </si>
  <si>
    <t>risk factor | summary maat - NB wel trauma NA memory task</t>
  </si>
  <si>
    <t>risk factor |summary maat - NB wel trauma NA memory task</t>
  </si>
  <si>
    <t>risk factor |NB wel trauma NA memory task</t>
  </si>
  <si>
    <t>pre-trauma measure |  baseline VOOR trauma trauma memory extinctie (reexposed)</t>
  </si>
  <si>
    <t>nu erin gelaten, geinterpreteerd als fc maat (maar wel lastig)| (freezing direct na shock.. Ook meer angst?  alleen NO EXTINCTIE groepen opgenomen | wel benoemd ptsd model, beschreven in borghans, maar ook 'short term (1day followup)? - [exp2 same animals]</t>
  </si>
  <si>
    <t>nu erin gelaten, geinterpreteerd als fc maat (maar wel lastig)| (freezing direct na shock.. Ook meer angst? | alleen NO EXTINCTIE groepen opgenomen | wel benoemd ptsd model, beschreven in borghans, maar ook 'short term (1day followup)? - [exp1 same animals]</t>
  </si>
  <si>
    <t>1 [verschillende dieren voor trauma of novel object test; hoe analyseren we dit? En welke categorie (memory? FC? Trauma memory?) --&gt; novel object data geexcludeerd (is exploratie), trauma object als trauma memory geincludeerd…</t>
  </si>
  <si>
    <t>calculated ratio</t>
  </si>
  <si>
    <t>PTSD_%entriesNOVEL(tovKNOWN&amp;NOVEL)_Day8</t>
  </si>
  <si>
    <t>Control_%entriesNOVEL(tovKNOWN&amp;NOVEL)-_Day8</t>
  </si>
  <si>
    <t>PTSD_%entriesNOVEL(tovKNOWN&amp;NOVEL)_Day14</t>
  </si>
  <si>
    <t>PTSD_%entriesNOVEL(tovKNOWN&amp;NOVEL)_Day20</t>
  </si>
  <si>
    <t>PTSD_%entriesNOVEL(tovKNOWN&amp;NOVEL)_Day26</t>
  </si>
  <si>
    <t>Control_%entriesNOVEL(tovKNOWN&amp;NOVEL)-_Day14</t>
  </si>
  <si>
    <t>Control_%entriesNOVEL(tovKNOWN&amp;NOVEL)-_Day20</t>
  </si>
  <si>
    <t>Control_%entriesNOVEL(tovKNOWN&amp;NOVEL)-_Day26</t>
  </si>
  <si>
    <t>PTSD_%entriesNOVEL(tovKNOWN&amp;NOVEL)_Day32</t>
  </si>
  <si>
    <t>Control_%entriesNOVEL(tovKNOWN&amp;NOVEL)-_Day32</t>
  </si>
  <si>
    <t>Multiple Control groups? (HUMAN)</t>
  </si>
  <si>
    <t>(mixed in one group)</t>
  </si>
  <si>
    <t>B</t>
  </si>
  <si>
    <t xml:space="preserve">Combat Controles </t>
  </si>
  <si>
    <t>83,10% M; 16,9% F</t>
  </si>
  <si>
    <t>ControlID_14</t>
  </si>
  <si>
    <t>ControlID_6</t>
  </si>
  <si>
    <t>ControlID_31</t>
  </si>
  <si>
    <t>reaarranged control groeps for comparison B</t>
  </si>
  <si>
    <t xml:space="preserve">NB 2 control groups (combat &amp; niet-combat); 1 ptsd group </t>
  </si>
  <si>
    <t>(trauma groep vergekelen met controle die wel een shock krijgt in FC en controle die geen shock krijgt in FC… )  FC after SPS</t>
  </si>
  <si>
    <t>4 verschillende PTSD groupen 1 controle!</t>
  </si>
  <si>
    <t>2 ptsd groups in dit experiment (0.8 en 3) 1 controle group.</t>
  </si>
  <si>
    <t>(extinction en non extinction group (vergeleken met 1 controle group) - contextual fear - measured met avoidance</t>
  </si>
  <si>
    <r>
      <t xml:space="preserve">24h habituatie zonder objects - Allocentric object recognition tasks (AOR) = object location, rat differetn start position; -  sample phase: expolore 2 distinct! novel objects (5min) - 2min inter-phase interval [1 object replaced with identival copy of remaining object] - 5 min test phase (explore objects) </t>
    </r>
    <r>
      <rPr>
        <b/>
        <sz val="12"/>
        <color theme="1"/>
        <rFont val="Calibri"/>
        <family val="2"/>
      </rPr>
      <t>[ rat diffferent start position]! - "novel location of familiar object" | one trial per day, 4 days</t>
    </r>
  </si>
  <si>
    <r>
      <t xml:space="preserve">24h habituatie zonder objects - Allocentric object recognition tasks (AOR) = object location, rat differetn start position; -  sample phase: expolore 2 distinct! novel objects (5min) - 2min inter-phase interval [1 object replaced with identival copy of remaining object] - 5 min test phase (explore objects) </t>
    </r>
    <r>
      <rPr>
        <b/>
        <sz val="12"/>
        <color theme="1"/>
        <rFont val="Calibri (Body)_x0000_"/>
      </rPr>
      <t>[ rat diffferent start position]! - "novel location of familiar object" | one trial per day, 4 days</t>
    </r>
  </si>
  <si>
    <r>
      <t xml:space="preserve">24h habituatie zonder objects - Egocentric object recognition task (EOR) = object location; rat identical start position - sample phase: expolore 2 </t>
    </r>
    <r>
      <rPr>
        <b/>
        <sz val="12"/>
        <color theme="1"/>
        <rFont val="Calibri"/>
        <family val="2"/>
      </rPr>
      <t>distinct!</t>
    </r>
    <r>
      <rPr>
        <sz val="12"/>
        <color theme="1"/>
        <rFont val="Calibri"/>
        <family val="2"/>
      </rPr>
      <t xml:space="preserve"> novel objects (5min) - 2min inter-phase interval [1 object replaced with identival copy of remaining object] - 5 min test phase (explore objects)</t>
    </r>
    <r>
      <rPr>
        <b/>
        <sz val="12"/>
        <color theme="1"/>
        <rFont val="Calibri"/>
        <family val="2"/>
      </rPr>
      <t xml:space="preserve"> [ rat identical start position] - "novel location of familiar object" | one trial per day, 4 days</t>
    </r>
  </si>
  <si>
    <r>
      <t xml:space="preserve">24h habituatie zonder objects - Egocentric object recognition task (EOR) = object location; rat identical start position - sample phase: expolore 2 </t>
    </r>
    <r>
      <rPr>
        <b/>
        <sz val="12"/>
        <color theme="1"/>
        <rFont val="Calibri (Body)_x0000_"/>
      </rPr>
      <t>distinct!</t>
    </r>
    <r>
      <rPr>
        <sz val="12"/>
        <color theme="1"/>
        <rFont val="Calibri (Body)_x0000_"/>
      </rPr>
      <t xml:space="preserve"> novel objects (5min) - 2min inter-phase interval [1 object replaced with identival copy of remaining object] - 5 min test phase (explore objects)</t>
    </r>
    <r>
      <rPr>
        <b/>
        <sz val="12"/>
        <color theme="1"/>
        <rFont val="Calibri (Body)_x0000_"/>
      </rPr>
      <t xml:space="preserve"> [ rat identical start position] - "novel location of familiar object" | one trial per day, 4 days</t>
    </r>
  </si>
  <si>
    <r>
      <t xml:space="preserve">24h habituatie zonder objects - Novel object recognition task (NOR) = object identity - sample phase: expolore 2 </t>
    </r>
    <r>
      <rPr>
        <b/>
        <sz val="12"/>
        <color theme="1"/>
        <rFont val="Calibri"/>
        <family val="2"/>
      </rPr>
      <t>identical!</t>
    </r>
    <r>
      <rPr>
        <sz val="12"/>
        <color theme="1"/>
        <rFont val="Calibri"/>
        <family val="2"/>
      </rPr>
      <t xml:space="preserve"> novel objects (5min) - 2min inter-phase interval [1 object replaced with novel object] - 5 min test phase (explore objects)</t>
    </r>
  </si>
  <si>
    <r>
      <t xml:space="preserve">24h habituatie zonder objects - Novel object recognition task (NOR) = object identity - sample phase: expolore 2 </t>
    </r>
    <r>
      <rPr>
        <b/>
        <sz val="12"/>
        <color theme="1"/>
        <rFont val="Calibri (Body)_x0000_"/>
      </rPr>
      <t>identical!</t>
    </r>
    <r>
      <rPr>
        <sz val="12"/>
        <color theme="1"/>
        <rFont val="Calibri (Body)_x0000_"/>
      </rPr>
      <t xml:space="preserve"> novel objects (5min) - 2min inter-phase interval [1 object replaced with novel object] - 5 min test phase (explore objects)</t>
    </r>
  </si>
  <si>
    <r>
      <t>control group showed a significant bias towards the quadrant in which the platform had previously been located [Fig. 1B, quadrant 1, t-test for difference from chance: t(4) = 6.52, p  = 0.0029] | contrast, the trauma group showed no such bias [quadrant 1, t-test for difference from chance: t(9)  =1.42, p  =0.1892, NS |</t>
    </r>
    <r>
      <rPr>
        <b/>
        <u/>
        <sz val="12"/>
        <color theme="1"/>
        <rFont val="Calibri"/>
        <family val="2"/>
      </rPr>
      <t>EFFECT UT: there was a significant difference between the control and the trauma groups [Fig. 1B; t-test for quadrant 1: t(13)  =4.2, p  =0.001].</t>
    </r>
    <r>
      <rPr>
        <u/>
        <sz val="12"/>
        <color theme="1"/>
        <rFont val="Calibri"/>
        <family val="2"/>
      </rPr>
      <t>; pre trauma geen verschil, post trauma geen spatial memory meer (presetatie op kanslevel).. | LET OP [niet aangeven of het SEM of STD is, meestal SEM bij animal work, daarom daar neer gezet]</t>
    </r>
  </si>
  <si>
    <t>Learning data pre trauma (wel andere data uit artikel included)| [lastig artikel, lang over gedaan om te begrijpen welke experimenten met elke groepen gedaan waren en hoe dit te interpreteren]</t>
  </si>
  <si>
    <t>Learning data pre trauma (wel andere data uit artikel included) | [lastig artikel, lang over gedaan om te begrijpen welke experimenten met elke groepen gedaan waren en hoe dit te interpreteren]</t>
  </si>
  <si>
    <t>(Learning pre trauma) maar memory NA trauma gemeten | same animals; NB PRE trauma (SPS) conditioning!!; [NB: {5 dagen FC training}{dan sps}{daarna cog. Testen} --&gt; Nu niet als chronisch ptsd model geinterpreteerd, omdat FC als onderdeel van contextual fear conditioning test gezien is ipv als trauma.. (Ook SPS wel na FC's, maar niet in zelfde omgeving of opzelfde moment, en timing heb je bij andere papers ook als belangrijk argument gezien om dingen wel of niet samen te binden)</t>
  </si>
  <si>
    <t>(Learning pre trauma) maar memory na trauma gemeten |  same animals; NB PRE trauma (SPS) conditioning!!; [NB: {5 dagen FC training}{dan sps}{daarna cog. Testen} --&gt; Nu niet als chronisch ptsd model geinterpreteerd, omdat FC als onderdeel van contextual fear conditioning test gezien is ipv als trauma.. (Ook SPS wel na FC's, maar niet in zelfde omgeving of opzelfde moment, en timing heb je bij andere papers ook als belangrijk argument gezien om dingen wel of niet samen te binden)</t>
  </si>
  <si>
    <t>(Learning pre trauma) maar memory NA trauma gemeten | 2 ptsd groups, 1 control group (daarom n control /2)[ eerst taak leren, dan trauma, dan test] - alle dieren leerde de taak pre trauma aan. Aan leer data niet in tabel opgenomen (want geen verschil &amp; nog geen verschil in trauma vs control)</t>
  </si>
  <si>
    <t>(Learning pre trauma) maar memory NA trauma gemeten | [ eerst taak leren, dan trauma, dan test] - alle dieren leerde de taak pre trauma aan. Aan leer data niet in tabel opgenomen (want geen verschil &amp; nog geen verschil in trauma vs control)</t>
  </si>
  <si>
    <t>memory 1dag na trauma gemeten (leren pre trauma)</t>
  </si>
  <si>
    <t>verschil score Learning voor trauma en memory 1dag na trauma (te kort)</t>
  </si>
  <si>
    <t>hier staan baseline measures (hebben niets te maken met memory oid) voor trauma</t>
  </si>
  <si>
    <t xml:space="preserve">CVLT List A Trial 5 # correct </t>
  </si>
  <si>
    <t xml:space="preserve">CVLT total recall </t>
  </si>
  <si>
    <t xml:space="preserve"> Short delay free recall (SDFR)</t>
  </si>
  <si>
    <t xml:space="preserve"> long delay free recall (LDFR)</t>
  </si>
  <si>
    <t xml:space="preserve"> verbal memory z-score</t>
  </si>
  <si>
    <t>Verbal learning z-score</t>
  </si>
  <si>
    <t xml:space="preserve">CVLT trial 1-5; </t>
  </si>
  <si>
    <t xml:space="preserve"> CVLT trial 1</t>
  </si>
  <si>
    <t>Trials 1-5</t>
  </si>
  <si>
    <t xml:space="preserve"> active interference</t>
  </si>
  <si>
    <t xml:space="preserve"> retroactive interferences &amp; retention</t>
  </si>
  <si>
    <t>immediate memory</t>
  </si>
  <si>
    <t>cummulative learning</t>
  </si>
  <si>
    <t xml:space="preserve">immediate memory; cummulative learning; </t>
  </si>
  <si>
    <t>TotalCorrect,ListB (interverence?)</t>
  </si>
  <si>
    <t>Trial1</t>
  </si>
  <si>
    <t>Trial5</t>
  </si>
  <si>
    <t>LD Cued</t>
  </si>
  <si>
    <t>SD Free</t>
  </si>
  <si>
    <t>SD Cued</t>
  </si>
  <si>
    <t xml:space="preserve">CVLT long-delay free recall; </t>
  </si>
  <si>
    <t>LD/SD</t>
  </si>
  <si>
    <t>trial1-5</t>
  </si>
  <si>
    <t xml:space="preserve"> retention</t>
  </si>
  <si>
    <t>CVLT discriminability (memory targe recall vs intrusions recall )</t>
  </si>
  <si>
    <t>Trial1-5/ListB</t>
  </si>
  <si>
    <t>Trial5/SD Free</t>
  </si>
  <si>
    <t>DR</t>
  </si>
  <si>
    <t>BV</t>
  </si>
  <si>
    <t>RT</t>
  </si>
  <si>
    <t>FD</t>
  </si>
  <si>
    <t>%Retained</t>
  </si>
  <si>
    <t>verbal memory voor en na stress (in ptsd patienten)</t>
  </si>
  <si>
    <t>TimeQuadrant</t>
  </si>
  <si>
    <t>ExplorationRatio</t>
  </si>
  <si>
    <t>FP</t>
  </si>
  <si>
    <t>List A recall/Trial 5</t>
  </si>
  <si>
    <t>LD Recall</t>
  </si>
  <si>
    <t>TotalCorrect Learning</t>
  </si>
  <si>
    <t>TotalCorrect Delay</t>
  </si>
  <si>
    <t>TotalLearning</t>
  </si>
  <si>
    <t>#Correct Learning</t>
  </si>
  <si>
    <t>#Correct Recognition</t>
  </si>
  <si>
    <t>EscapeLatency</t>
  </si>
  <si>
    <t>Recognition FA</t>
  </si>
  <si>
    <t>Recognition Hit</t>
  </si>
  <si>
    <t>LD Recall / SD Recall</t>
  </si>
  <si>
    <t>ListB?/trial5</t>
  </si>
  <si>
    <t>RecallPerservations</t>
  </si>
  <si>
    <t>#Errors</t>
  </si>
  <si>
    <t>Recall</t>
  </si>
  <si>
    <t>pHit</t>
  </si>
  <si>
    <t>pFA</t>
  </si>
  <si>
    <t>StimuliRecognition</t>
  </si>
  <si>
    <t>DelayRecall</t>
  </si>
  <si>
    <t>ImmediateRecall</t>
  </si>
  <si>
    <t>TotalRetention</t>
  </si>
  <si>
    <t xml:space="preserve">pre post tsst change score in performance </t>
  </si>
  <si>
    <t>#AvoidanceResponse</t>
  </si>
  <si>
    <t>#UnnecessaryCross</t>
  </si>
  <si>
    <t>cue</t>
  </si>
  <si>
    <t>visual.spatial.verbal.memory.attention</t>
  </si>
  <si>
    <t>ObjectManipualtion</t>
  </si>
  <si>
    <t>ObjectBurying</t>
  </si>
  <si>
    <r>
      <t xml:space="preserve">3 experimenten (1 anxiety meten via social avoidance); 2 effect reminder cue meten (n=8 per group); </t>
    </r>
    <r>
      <rPr>
        <b/>
        <sz val="12"/>
        <color rgb="FFFF0000"/>
        <rFont val="Calibri (Body)"/>
      </rPr>
      <t>3 checken of effect reminder cue specifiek voor die cue is)</t>
    </r>
    <r>
      <rPr>
        <sz val="12"/>
        <color rgb="FFFF0000"/>
        <rFont val="Calibri (Body)"/>
      </rPr>
      <t>. Alle animals maar in 1 experiment gebruikt.</t>
    </r>
  </si>
  <si>
    <t>exploratie novel object (je zou ratio kunnen berekenen met exploratie truama object in andere regels)</t>
  </si>
  <si>
    <t>TMT</t>
  </si>
  <si>
    <t>General Memory</t>
  </si>
  <si>
    <t>WMS-III Logical Memory I &amp; II &amp; % Retention</t>
  </si>
  <si>
    <t>LM_%Retention</t>
  </si>
  <si>
    <t xml:space="preserve"> WMS-III Logical Memory % Retention</t>
  </si>
  <si>
    <t>WMS-III Logical Memory II</t>
  </si>
  <si>
    <t>Visual_Immediate</t>
  </si>
  <si>
    <t>Visual_Delayed</t>
  </si>
  <si>
    <t>Auditory</t>
  </si>
  <si>
    <t>VP</t>
  </si>
  <si>
    <t>AM</t>
  </si>
  <si>
    <t>LM_Delay</t>
  </si>
  <si>
    <t>LM_Immediate</t>
  </si>
  <si>
    <t>Recognition_immediate</t>
  </si>
  <si>
    <t>Recognition_delay(30min)</t>
  </si>
  <si>
    <t>Recall_immediate</t>
  </si>
  <si>
    <t>Recall_delay(20min)</t>
  </si>
  <si>
    <t>LM_TotalLearning</t>
  </si>
  <si>
    <t>DelayedRecalIndex</t>
  </si>
  <si>
    <t>FM Memory</t>
  </si>
  <si>
    <t>word-pairs</t>
  </si>
  <si>
    <t>recalled_items</t>
  </si>
  <si>
    <t>TimeKnown</t>
  </si>
  <si>
    <t>TimeNovel</t>
  </si>
  <si>
    <t>EntiresKnown</t>
  </si>
  <si>
    <t>EntriesNovel</t>
  </si>
  <si>
    <t>Startle response (EMG) (mean van 3 post-conditioning trials)</t>
  </si>
  <si>
    <t>ContextExposure_%Freezing</t>
  </si>
  <si>
    <t>%Freezing</t>
  </si>
  <si>
    <t>freezing in new context zonder cue… gewoon baseline angst, geen memory | [lastig artikel, lang over gedaan om te begrijpen welke experimenten met elke groepen gedaan waren en hoe dit te interpreteren]</t>
  </si>
  <si>
    <t>CueExposure_%Freezing</t>
  </si>
  <si>
    <t>1day</t>
  </si>
  <si>
    <t>1 day na FS (ook meer lange termijn followup, staat in andere regel)</t>
  </si>
  <si>
    <t>TraumaCtx_%Freezing</t>
  </si>
  <si>
    <t>TraumaCxt_LatencyTime(s)</t>
  </si>
  <si>
    <t>TraumaCtx_Entries</t>
  </si>
  <si>
    <t>TraumaCue_Avoidance(far location)</t>
  </si>
  <si>
    <t>TraumaCue_Freezing</t>
  </si>
  <si>
    <t>nb cs+ is hier de trauma context</t>
  </si>
  <si>
    <t>Odor</t>
  </si>
  <si>
    <t>avoiance of new oder (geen memory) (je zou nog discriminatie index kunnen berekenen) | trauma exposed onderverdeelt in susseptible en resilient group; data uit grafiek afgelezen/ suseptible (=ptsd) group vergeleken met trauma exposed resilient en unexposed controls</t>
  </si>
  <si>
    <t>avoiance of new oder (geen memory) (je zou nog discriminatie index kunnen berekenen) | trauma exposed onderverdeelt in susseptible en resilient group; data uit grafiek afgelezen</t>
  </si>
  <si>
    <t>avoiance of new tone (geen memory) (je zou nog discriminatie index kunnen berekenen) | trauma exposed onderverdeelt in susseptible en resilient group; data uit grafiek afgelezen</t>
  </si>
  <si>
    <t>odor</t>
  </si>
  <si>
    <t>tone</t>
  </si>
  <si>
    <t>avoiance of new tone (geen memory) (je zou nog discriminatie index kunnen berekenen) | trauma exposed = ptsd group; data uit grafiek afgelezen</t>
  </si>
  <si>
    <t>avoiance of new oder (geen memory) (je zou nog discriminatie index kunnen berekenen) | trauma exposed = ptsd group; data uit grafiek afgelezen</t>
  </si>
  <si>
    <t>TraumaCtx_Freezing</t>
  </si>
  <si>
    <t>TraumaCtx_TimePresent</t>
  </si>
  <si>
    <t>memory 1 dag na trauma</t>
  </si>
  <si>
    <t xml:space="preserve"> amount of time spent in each compartment </t>
  </si>
  <si>
    <t>TraumaCtx_TimePresent.Safe</t>
  </si>
  <si>
    <t>TraumaCtx_Avoidance_CrossInAdapt</t>
  </si>
  <si>
    <t>TraumaCue_ObjectManipualtion</t>
  </si>
  <si>
    <t>TraumaCue_ObjectBurying</t>
  </si>
  <si>
    <t>conditioned object avoidance test at 14 day post footshock(stress) - conditioned object in home cage</t>
  </si>
  <si>
    <t>conditioned object avoidance test at 21 day post footshock(stress) - conditioned object in home cage</t>
  </si>
  <si>
    <t>conditioned object avoidance test at 28 day post footshock(stress) - conditioned object in home cage</t>
  </si>
  <si>
    <t>conditioned object avoidance test at 7 day post footshock(stress) - conditioned object in home cage</t>
  </si>
  <si>
    <t>TraumaCue_ExplorationTime(s)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</si>
</sst>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7">
    <font>
      <sz val="12"/>
      <color theme="1"/>
      <name val="Calibri"/>
      <family val="2"/>
      <scheme val="minor"/>
    </font>
    <font>
      <b/>
      <sz val="12"/>
      <color theme="1"/>
      <name val="Calibri"/>
      <family val="2"/>
      <scheme val="minor"/>
    </font>
    <font>
      <i/>
      <sz val="12"/>
      <color rgb="FF7F7F7F"/>
      <name val="Calibri"/>
      <family val="2"/>
      <scheme val="minor"/>
    </font>
    <font>
      <sz val="12"/>
      <name val="Calibri"/>
      <family val="2"/>
      <scheme val="minor"/>
    </font>
    <font>
      <u/>
      <sz val="12"/>
      <color theme="10"/>
      <name val="Calibri"/>
      <family val="2"/>
      <scheme val="minor"/>
    </font>
    <font>
      <u/>
      <sz val="12"/>
      <color theme="11"/>
      <name val="Calibri"/>
      <family val="2"/>
      <scheme val="minor"/>
    </font>
    <font>
      <sz val="12"/>
      <color rgb="FFFF0000"/>
      <name val="Calibri"/>
      <family val="2"/>
      <scheme val="minor"/>
    </font>
    <font>
      <b/>
      <sz val="12"/>
      <color rgb="FFFF0000"/>
      <name val="Calibri"/>
      <family val="2"/>
      <scheme val="minor"/>
    </font>
    <font>
      <b/>
      <sz val="12"/>
      <color rgb="FF00B050"/>
      <name val="Calibri"/>
      <family val="2"/>
      <scheme val="minor"/>
    </font>
    <font>
      <sz val="12"/>
      <color rgb="FF00B050"/>
      <name val="Calibri"/>
      <family val="2"/>
      <scheme val="minor"/>
    </font>
    <font>
      <b/>
      <sz val="12"/>
      <color rgb="FF7030A0"/>
      <name val="Calibri"/>
      <family val="2"/>
      <scheme val="minor"/>
    </font>
    <font>
      <sz val="8"/>
      <name val="Calibri"/>
      <family val="2"/>
      <scheme val="minor"/>
    </font>
    <font>
      <b/>
      <u/>
      <sz val="12"/>
      <color theme="1"/>
      <name val="Calibri"/>
      <family val="2"/>
      <scheme val="minor"/>
    </font>
    <font>
      <b/>
      <sz val="12"/>
      <color theme="0"/>
      <name val="Calibri"/>
      <family val="2"/>
      <scheme val="minor"/>
    </font>
    <font>
      <sz val="12"/>
      <color rgb="FF000000"/>
      <name val="Calibri"/>
      <family val="2"/>
    </font>
    <font>
      <b/>
      <sz val="12"/>
      <color rgb="FF000000"/>
      <name val="Calibri"/>
      <family val="2"/>
    </font>
    <font>
      <b/>
      <sz val="12"/>
      <color theme="0"/>
      <name val="Calibri"/>
      <family val="2"/>
    </font>
    <font>
      <sz val="12"/>
      <color rgb="FFFF0000"/>
      <name val="Calibri"/>
      <family val="2"/>
    </font>
    <font>
      <sz val="12"/>
      <color theme="0" tint="-0.499984740745262"/>
      <name val="Calibri"/>
      <family val="2"/>
      <scheme val="minor"/>
    </font>
    <font>
      <b/>
      <sz val="12"/>
      <color theme="0" tint="-0.499984740745262"/>
      <name val="Calibri"/>
      <family val="2"/>
      <scheme val="minor"/>
    </font>
    <font>
      <sz val="12"/>
      <color theme="0" tint="-0.499984740745262"/>
      <name val="Calibri"/>
      <family val="2"/>
    </font>
    <font>
      <b/>
      <sz val="12"/>
      <color theme="0" tint="-0.499984740745262"/>
      <name val="Calibri"/>
      <family val="2"/>
    </font>
    <font>
      <u/>
      <sz val="12"/>
      <color theme="0"/>
      <name val="Calibri"/>
      <family val="2"/>
      <scheme val="minor"/>
    </font>
    <font>
      <u/>
      <sz val="12"/>
      <color rgb="FF000000"/>
      <name val="Calibri"/>
      <family val="2"/>
    </font>
    <font>
      <u/>
      <sz val="12"/>
      <color theme="0" tint="-0.499984740745262"/>
      <name val="Calibri"/>
      <family val="2"/>
    </font>
    <font>
      <u/>
      <sz val="12"/>
      <color theme="1"/>
      <name val="Calibri"/>
      <family val="2"/>
      <scheme val="minor"/>
    </font>
    <font>
      <u/>
      <sz val="12"/>
      <color theme="0" tint="-0.499984740745262"/>
      <name val="Calibri"/>
      <family val="2"/>
      <scheme val="minor"/>
    </font>
    <font>
      <sz val="10"/>
      <color theme="1"/>
      <name val="Calibri"/>
      <family val="2"/>
      <scheme val="minor"/>
    </font>
    <font>
      <i/>
      <sz val="10"/>
      <color theme="1"/>
      <name val="Calibri"/>
      <family val="2"/>
      <scheme val="minor"/>
    </font>
    <font>
      <sz val="10"/>
      <color rgb="FF111111"/>
      <name val="DwsdgnAdvTT3713a231"/>
    </font>
    <font>
      <sz val="7"/>
      <color rgb="FF111111"/>
      <name val="DwsdgnAdvTT3713a231"/>
    </font>
    <font>
      <sz val="10"/>
      <color rgb="FF111111"/>
      <name val="PdcswxAdvTT50a2f13e.I"/>
    </font>
    <font>
      <sz val="12"/>
      <color theme="1"/>
      <name val="Calibri"/>
      <family val="2"/>
    </font>
    <font>
      <b/>
      <sz val="12"/>
      <color theme="1"/>
      <name val="Calibri"/>
      <family val="2"/>
    </font>
    <font>
      <u/>
      <sz val="12"/>
      <color theme="1"/>
      <name val="Calibri"/>
      <family val="2"/>
    </font>
    <font>
      <sz val="12"/>
      <color rgb="FF000000"/>
      <name val="Calibri"/>
      <family val="2"/>
      <scheme val="minor"/>
    </font>
    <font>
      <b/>
      <sz val="12"/>
      <color rgb="FF000000"/>
      <name val="Calibri"/>
      <family val="2"/>
      <scheme val="minor"/>
    </font>
    <font>
      <b/>
      <sz val="12"/>
      <color rgb="FFFF0000"/>
      <name val="Calibri"/>
      <family val="2"/>
    </font>
    <font>
      <sz val="12"/>
      <color theme="2" tint="-0.499984740745262"/>
      <name val="Calibri"/>
      <family val="2"/>
      <scheme val="minor"/>
    </font>
    <font>
      <sz val="12"/>
      <color theme="2" tint="-0.499984740745262"/>
      <name val="Calibri"/>
      <family val="2"/>
    </font>
    <font>
      <b/>
      <sz val="12"/>
      <color theme="2" tint="-0.499984740745262"/>
      <name val="Calibri"/>
      <family val="2"/>
    </font>
    <font>
      <u/>
      <sz val="12"/>
      <color theme="2" tint="-0.499984740745262"/>
      <name val="Calibri"/>
      <family val="2"/>
    </font>
    <font>
      <u/>
      <sz val="12"/>
      <color rgb="FF000000"/>
      <name val="Calibri"/>
      <family val="2"/>
      <scheme val="minor"/>
    </font>
    <font>
      <sz val="12"/>
      <color theme="1"/>
      <name val="Helvetica"/>
      <family val="2"/>
    </font>
    <font>
      <b/>
      <u/>
      <sz val="12"/>
      <color rgb="FF000000"/>
      <name val="Calibri"/>
      <family val="2"/>
    </font>
    <font>
      <b/>
      <sz val="12"/>
      <color rgb="FF808080"/>
      <name val="Calibri"/>
      <family val="2"/>
      <scheme val="minor"/>
    </font>
    <font>
      <u/>
      <sz val="12"/>
      <color rgb="FFFF0000"/>
      <name val="Calibri"/>
      <family val="2"/>
    </font>
    <font>
      <b/>
      <sz val="12"/>
      <color theme="5" tint="-0.249977111117893"/>
      <name val="Calibri"/>
      <family val="2"/>
    </font>
    <font>
      <sz val="7"/>
      <color theme="1"/>
      <name val="AdvOT863180fb"/>
    </font>
    <font>
      <sz val="12"/>
      <color theme="0" tint="-0.34998626667073579"/>
      <name val="Calibri"/>
      <family val="2"/>
      <scheme val="minor"/>
    </font>
    <font>
      <b/>
      <sz val="12"/>
      <color theme="0" tint="-0.34998626667073579"/>
      <name val="Calibri"/>
      <family val="2"/>
    </font>
    <font>
      <sz val="9"/>
      <color theme="0" tint="-0.499984740745262"/>
      <name val="AdvP41153C"/>
    </font>
    <font>
      <sz val="8"/>
      <color theme="1"/>
      <name val="AdvJansonT"/>
    </font>
    <font>
      <sz val="8"/>
      <color theme="1"/>
      <name val="AdvMPi"/>
    </font>
    <font>
      <sz val="8"/>
      <color theme="0" tint="-0.499984740745262"/>
      <name val="AdvJansonT"/>
    </font>
    <font>
      <sz val="8"/>
      <color theme="0" tint="-0.499984740745262"/>
      <name val="AdvMPi"/>
    </font>
    <font>
      <b/>
      <u/>
      <sz val="12"/>
      <color theme="0" tint="-0.499984740745262"/>
      <name val="Calibri"/>
      <family val="2"/>
    </font>
    <font>
      <i/>
      <sz val="8"/>
      <color rgb="FF211E1E"/>
      <name val="Times"/>
      <family val="1"/>
    </font>
    <font>
      <sz val="8"/>
      <color rgb="FF211E1E"/>
      <name val="Times"/>
      <family val="1"/>
    </font>
    <font>
      <sz val="12"/>
      <color rgb="FF000000"/>
      <name val="Calibri"/>
      <family val="2"/>
    </font>
    <font>
      <sz val="12"/>
      <color rgb="FF808080"/>
      <name val="Calibri"/>
      <family val="2"/>
      <scheme val="minor"/>
    </font>
    <font>
      <sz val="8"/>
      <color theme="1"/>
      <name val="AdvTT5235d5a9"/>
    </font>
    <font>
      <sz val="8"/>
      <color theme="1"/>
      <name val="AdvTT5235d5a9+fb"/>
    </font>
    <font>
      <sz val="12"/>
      <color theme="0"/>
      <name val="Calibri"/>
      <family val="2"/>
      <scheme val="minor"/>
    </font>
    <font>
      <sz val="12"/>
      <name val="Calibri"/>
      <family val="2"/>
    </font>
    <font>
      <sz val="11"/>
      <color theme="1"/>
      <name val="Calibri"/>
      <family val="2"/>
      <scheme val="minor"/>
    </font>
    <font>
      <sz val="11"/>
      <color rgb="FF000000"/>
      <name val="Calibri"/>
      <family val="2"/>
      <scheme val="minor"/>
    </font>
    <font>
      <b/>
      <sz val="12"/>
      <color rgb="FFFFFFFF"/>
      <name val="Calibri"/>
      <family val="2"/>
      <scheme val="minor"/>
    </font>
    <font>
      <sz val="11"/>
      <color theme="0" tint="-0.499984740745262"/>
      <name val="Calibri"/>
      <family val="2"/>
      <scheme val="minor"/>
    </font>
    <font>
      <b/>
      <sz val="11"/>
      <color rgb="FF000000"/>
      <name val="Calibri"/>
      <family val="2"/>
      <scheme val="minor"/>
    </font>
    <font>
      <sz val="12"/>
      <color rgb="FF7030A0"/>
      <name val="Calibri"/>
      <family val="2"/>
    </font>
    <font>
      <sz val="12"/>
      <color rgb="FF7030A0"/>
      <name val="Calibri"/>
      <family val="2"/>
      <scheme val="minor"/>
    </font>
    <font>
      <b/>
      <sz val="12"/>
      <color rgb="FF7030A0"/>
      <name val="Calibri"/>
      <family val="2"/>
    </font>
    <font>
      <sz val="12"/>
      <color rgb="FF000000"/>
      <name val="Calibri"/>
      <family val="2"/>
    </font>
    <font>
      <sz val="12"/>
      <color theme="0" tint="-0.499984740745262"/>
      <name val="Calibri (Body)_x0000_"/>
    </font>
    <font>
      <b/>
      <sz val="12"/>
      <color theme="0" tint="-0.499984740745262"/>
      <name val="Calibri (Body)_x0000_"/>
    </font>
    <font>
      <u/>
      <sz val="12"/>
      <color theme="0" tint="-0.499984740745262"/>
      <name val="Calibri (Body)_x0000_"/>
    </font>
    <font>
      <u/>
      <sz val="12"/>
      <color theme="1"/>
      <name val="Calibri (Body)_x0000_"/>
    </font>
    <font>
      <sz val="12"/>
      <color theme="1"/>
      <name val="Calibri (Body)_x0000_"/>
    </font>
    <font>
      <i/>
      <sz val="8"/>
      <color theme="1"/>
      <name val="Times"/>
      <family val="1"/>
    </font>
    <font>
      <sz val="8"/>
      <color theme="1"/>
      <name val="Times"/>
      <family val="1"/>
    </font>
    <font>
      <sz val="10"/>
      <color theme="1"/>
      <name val="DwsdgnAdvTT3713a231"/>
    </font>
    <font>
      <sz val="7"/>
      <color theme="1"/>
      <name val="DwsdgnAdvTT3713a231"/>
    </font>
    <font>
      <sz val="10"/>
      <color theme="1"/>
      <name val="PdcswxAdvTT50a2f13e.I"/>
    </font>
    <font>
      <sz val="12"/>
      <color rgb="FFFF0000"/>
      <name val="Calibri (Body)_x0000_"/>
    </font>
    <font>
      <b/>
      <sz val="12"/>
      <color rgb="FFFF0000"/>
      <name val="Calibri (Body)_x0000_"/>
    </font>
    <font>
      <u/>
      <sz val="12"/>
      <color rgb="FFFF0000"/>
      <name val="Calibri (Body)_x0000_"/>
    </font>
    <font>
      <sz val="11"/>
      <color theme="1"/>
      <name val="AdvJansonT"/>
    </font>
    <font>
      <sz val="10"/>
      <color theme="0" tint="-0.499984740745262"/>
      <name val="Calibri (Body)_x0000_"/>
    </font>
    <font>
      <i/>
      <sz val="10"/>
      <color theme="0" tint="-0.499984740745262"/>
      <name val="Calibri (Body)_x0000_"/>
    </font>
    <font>
      <sz val="10"/>
      <color theme="0" tint="-0.499984740745262"/>
      <name val="Calibri"/>
      <family val="2"/>
      <scheme val="minor"/>
    </font>
    <font>
      <b/>
      <sz val="12"/>
      <color theme="1" tint="4.9989318521683403E-2"/>
      <name val="Calibri"/>
      <family val="2"/>
      <scheme val="minor"/>
    </font>
    <font>
      <sz val="12"/>
      <color rgb="FF00B0F0"/>
      <name val="Calibri"/>
      <family val="2"/>
      <scheme val="minor"/>
    </font>
    <font>
      <b/>
      <sz val="12"/>
      <color rgb="FF00B0F0"/>
      <name val="Calibri"/>
      <family val="2"/>
      <scheme val="minor"/>
    </font>
    <font>
      <u/>
      <sz val="12"/>
      <color rgb="FF00B0F0"/>
      <name val="Calibri"/>
      <family val="2"/>
      <scheme val="minor"/>
    </font>
    <font>
      <sz val="12"/>
      <color rgb="FF00B0F0"/>
      <name val="Calibri (Body)_x0000_"/>
    </font>
    <font>
      <b/>
      <sz val="12"/>
      <color rgb="FF00B0F0"/>
      <name val="Calibri (Body)_x0000_"/>
    </font>
    <font>
      <u/>
      <sz val="12"/>
      <color rgb="FF00B0F0"/>
      <name val="Calibri (Body)_x0000_"/>
    </font>
    <font>
      <b/>
      <u/>
      <sz val="12"/>
      <color rgb="FF00B0F0"/>
      <name val="Calibri (Body)_x0000_"/>
    </font>
    <font>
      <b/>
      <sz val="12"/>
      <color rgb="FF00B050"/>
      <name val="Calibri"/>
      <family val="2"/>
    </font>
    <font>
      <sz val="12"/>
      <color rgb="FF00B050"/>
      <name val="Calibri"/>
      <family val="2"/>
    </font>
    <font>
      <sz val="12"/>
      <color theme="5" tint="-0.249977111117893"/>
      <name val="Calibri"/>
      <family val="2"/>
    </font>
    <font>
      <b/>
      <sz val="12"/>
      <color rgb="FF00B0F0"/>
      <name val="Calibri"/>
      <family val="2"/>
    </font>
    <font>
      <sz val="12"/>
      <color rgb="FF00B0F0"/>
      <name val="Calibri"/>
      <family val="2"/>
    </font>
    <font>
      <b/>
      <u/>
      <sz val="12"/>
      <color theme="1"/>
      <name val="Calibri"/>
      <family val="2"/>
    </font>
    <font>
      <b/>
      <sz val="12"/>
      <color theme="1"/>
      <name val="Calibri (Body)_x0000_"/>
    </font>
    <font>
      <sz val="12"/>
      <color rgb="FF00B050"/>
      <name val="Calibri (Body)_x0000_"/>
    </font>
    <font>
      <b/>
      <sz val="12"/>
      <color rgb="FF00B050"/>
      <name val="Calibri (Body)_x0000_"/>
    </font>
    <font>
      <u/>
      <sz val="12"/>
      <color rgb="FF00B050"/>
      <name val="Calibri (Body)_x0000_"/>
    </font>
    <font>
      <u/>
      <sz val="12"/>
      <color rgb="FF00B050"/>
      <name val="Calibri"/>
      <family val="2"/>
    </font>
    <font>
      <sz val="12"/>
      <color rgb="FF00B050"/>
      <name val="Calibri (Body)"/>
    </font>
    <font>
      <b/>
      <sz val="12"/>
      <color rgb="FF00B050"/>
      <name val="Calibri (Body)"/>
    </font>
    <font>
      <b/>
      <u/>
      <sz val="12"/>
      <color rgb="FF00B050"/>
      <name val="Calibri (Body)"/>
    </font>
    <font>
      <u/>
      <sz val="12"/>
      <color rgb="FF00B050"/>
      <name val="Calibri (Body)"/>
    </font>
    <font>
      <sz val="12"/>
      <color rgb="FF00B0F0"/>
      <name val="Calibri (Body)"/>
    </font>
    <font>
      <b/>
      <sz val="12"/>
      <color rgb="FF00B0F0"/>
      <name val="Calibri (Body)"/>
    </font>
    <font>
      <u/>
      <sz val="12"/>
      <color rgb="FF00B0F0"/>
      <name val="Calibri (Body)"/>
    </font>
    <font>
      <sz val="12"/>
      <color theme="5" tint="-0.249977111117893"/>
      <name val="Calibri (Body)"/>
    </font>
    <font>
      <b/>
      <sz val="12"/>
      <color theme="5" tint="-0.249977111117893"/>
      <name val="Calibri (Body)"/>
    </font>
    <font>
      <u/>
      <sz val="12"/>
      <color theme="5" tint="-0.249977111117893"/>
      <name val="Calibri (Body)"/>
    </font>
    <font>
      <u/>
      <sz val="12"/>
      <color rgb="FF00B0F0"/>
      <name val="Calibri"/>
      <family val="2"/>
    </font>
    <font>
      <sz val="10"/>
      <color rgb="FF00B0F0"/>
      <name val="Calibri"/>
      <family val="2"/>
      <scheme val="minor"/>
    </font>
    <font>
      <sz val="12"/>
      <color rgb="FF000000"/>
      <name val="Calibri"/>
      <family val="2"/>
    </font>
    <font>
      <sz val="12"/>
      <color rgb="FFFF0000"/>
      <name val="Calibri (Body)"/>
    </font>
    <font>
      <b/>
      <sz val="12"/>
      <color rgb="FFFF0000"/>
      <name val="Calibri (Body)"/>
    </font>
    <font>
      <u/>
      <sz val="12"/>
      <color rgb="FFFF0000"/>
      <name val="Calibri (Body)"/>
    </font>
    <font>
      <sz val="12"/>
      <color theme="1"/>
      <name val="Calibri (Body)"/>
    </font>
  </fonts>
  <fills count="4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9"/>
        <bgColor indexed="64"/>
      </patternFill>
    </fill>
    <fill>
      <patternFill patternType="solid">
        <fgColor rgb="FF00B0F0"/>
        <bgColor indexed="64"/>
      </patternFill>
    </fill>
    <fill>
      <patternFill patternType="solid">
        <fgColor rgb="FFFF0000"/>
        <bgColor indexed="64"/>
      </patternFill>
    </fill>
    <fill>
      <patternFill patternType="solid">
        <fgColor theme="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bgColor theme="7"/>
      </patternFill>
    </fill>
    <fill>
      <patternFill patternType="solid">
        <fgColor theme="6"/>
        <bgColor theme="6"/>
      </patternFill>
    </fill>
    <fill>
      <patternFill patternType="solid">
        <fgColor theme="0" tint="-0.14999847407452621"/>
        <bgColor indexed="64"/>
      </patternFill>
    </fill>
    <fill>
      <patternFill patternType="solid">
        <fgColor theme="2"/>
        <bgColor indexed="64"/>
      </patternFill>
    </fill>
    <fill>
      <patternFill patternType="solid">
        <fgColor theme="9" tint="0.39997558519241921"/>
        <bgColor theme="6"/>
      </patternFill>
    </fill>
    <fill>
      <patternFill patternType="solid">
        <fgColor theme="9" tint="0.39997558519241921"/>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rgb="FF7030A0"/>
        <bgColor indexed="64"/>
      </patternFill>
    </fill>
    <fill>
      <patternFill patternType="solid">
        <fgColor rgb="FF92D050"/>
        <bgColor theme="7"/>
      </patternFill>
    </fill>
    <fill>
      <patternFill patternType="solid">
        <fgColor rgb="FFFFFF00"/>
        <bgColor theme="6"/>
      </patternFill>
    </fill>
    <fill>
      <patternFill patternType="solid">
        <fgColor rgb="FF92D050"/>
        <bgColor theme="6"/>
      </patternFill>
    </fill>
    <fill>
      <patternFill patternType="solid">
        <fgColor rgb="FF92D050"/>
        <bgColor rgb="FF000000"/>
      </patternFill>
    </fill>
    <fill>
      <patternFill patternType="solid">
        <fgColor theme="5" tint="-0.249977111117893"/>
        <bgColor theme="6"/>
      </patternFill>
    </fill>
    <fill>
      <patternFill patternType="solid">
        <fgColor theme="5" tint="-0.249977111117893"/>
        <bgColor indexed="64"/>
      </patternFill>
    </fill>
    <fill>
      <patternFill patternType="solid">
        <fgColor theme="5" tint="0.59999389629810485"/>
        <bgColor theme="6"/>
      </patternFill>
    </fill>
    <fill>
      <patternFill patternType="solid">
        <fgColor theme="5" tint="0.59999389629810485"/>
        <bgColor indexed="64"/>
      </patternFill>
    </fill>
    <fill>
      <patternFill patternType="solid">
        <fgColor theme="5" tint="0.39997558519241921"/>
        <bgColor theme="6"/>
      </patternFill>
    </fill>
    <fill>
      <patternFill patternType="solid">
        <fgColor theme="5" tint="0.39997558519241921"/>
        <bgColor indexed="64"/>
      </patternFill>
    </fill>
    <fill>
      <patternFill patternType="solid">
        <fgColor rgb="FFF8CBAD"/>
        <bgColor rgb="FF000000"/>
      </patternFill>
    </fill>
    <fill>
      <patternFill patternType="solid">
        <fgColor rgb="FF7030A0"/>
        <bgColor theme="6"/>
      </patternFill>
    </fill>
    <fill>
      <patternFill patternType="solid">
        <fgColor rgb="FFFFC000"/>
        <bgColor theme="6"/>
      </patternFill>
    </fill>
    <fill>
      <patternFill patternType="solid">
        <fgColor theme="4" tint="0.59999389629810485"/>
        <bgColor theme="7"/>
      </patternFill>
    </fill>
    <fill>
      <patternFill patternType="solid">
        <fgColor rgb="FF9BC2E6"/>
        <bgColor rgb="FF000000"/>
      </patternFill>
    </fill>
    <fill>
      <patternFill patternType="solid">
        <fgColor rgb="FFF4B084"/>
        <bgColor rgb="FF000000"/>
      </patternFill>
    </fill>
    <fill>
      <patternFill patternType="solid">
        <fgColor rgb="FFA5A5A5"/>
        <bgColor rgb="FFA5A5A5"/>
      </patternFill>
    </fill>
    <fill>
      <patternFill patternType="solid">
        <fgColor theme="5"/>
        <bgColor indexed="64"/>
      </patternFill>
    </fill>
    <fill>
      <patternFill patternType="solid">
        <fgColor theme="4" tint="0.39997558519241921"/>
        <bgColor theme="6"/>
      </patternFill>
    </fill>
    <fill>
      <patternFill patternType="solid">
        <fgColor theme="0" tint="-0.14999847407452621"/>
        <bgColor theme="6"/>
      </patternFill>
    </fill>
    <fill>
      <patternFill patternType="solid">
        <fgColor rgb="FFFF0000"/>
        <bgColor rgb="FF000000"/>
      </patternFill>
    </fill>
    <fill>
      <patternFill patternType="solid">
        <fgColor rgb="FFD9D9D9"/>
        <bgColor rgb="FF000000"/>
      </patternFill>
    </fill>
    <fill>
      <patternFill patternType="solid">
        <fgColor theme="0" tint="-0.34998626667073579"/>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1"/>
        <bgColor indexed="64"/>
      </patternFill>
    </fill>
    <fill>
      <patternFill patternType="solid">
        <fgColor theme="6" tint="0.39997558519241921"/>
        <bgColor indexed="64"/>
      </patternFill>
    </fill>
    <fill>
      <patternFill patternType="solid">
        <fgColor theme="7" tint="0.39997558519241921"/>
        <bgColor indexed="64"/>
      </patternFill>
    </fill>
  </fills>
  <borders count="44">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theme="6"/>
      </left>
      <right/>
      <top style="thin">
        <color theme="6"/>
      </top>
      <bottom/>
      <diagonal/>
    </border>
    <border>
      <left/>
      <right/>
      <top style="thin">
        <color theme="6"/>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thin">
        <color auto="1"/>
      </bottom>
      <diagonal/>
    </border>
    <border>
      <left style="thin">
        <color auto="1"/>
      </left>
      <right/>
      <top style="medium">
        <color auto="1"/>
      </top>
      <bottom style="medium">
        <color auto="1"/>
      </bottom>
      <diagonal/>
    </border>
    <border>
      <left/>
      <right/>
      <top style="thin">
        <color theme="7"/>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thin">
        <color theme="6"/>
      </right>
      <top style="thin">
        <color theme="6"/>
      </top>
      <bottom/>
      <diagonal/>
    </border>
    <border>
      <left style="thin">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right/>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rgb="FF000000"/>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bottom/>
      <diagonal/>
    </border>
    <border>
      <left/>
      <right style="thin">
        <color auto="1"/>
      </right>
      <top style="thin">
        <color theme="6"/>
      </top>
      <bottom/>
      <diagonal/>
    </border>
    <border>
      <left/>
      <right/>
      <top style="thin">
        <color rgb="FFA5A5A5"/>
      </top>
      <bottom/>
      <diagonal/>
    </border>
    <border>
      <left/>
      <right/>
      <top style="thin">
        <color auto="1"/>
      </top>
      <bottom style="thin">
        <color auto="1"/>
      </bottom>
      <diagonal/>
    </border>
    <border>
      <left/>
      <right/>
      <top style="thin">
        <color theme="1"/>
      </top>
      <bottom/>
      <diagonal/>
    </border>
  </borders>
  <cellStyleXfs count="484">
    <xf numFmtId="0" fontId="0"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860">
    <xf numFmtId="0" fontId="0" fillId="0" borderId="0" xfId="0"/>
    <xf numFmtId="0" fontId="1" fillId="0" borderId="0" xfId="0" applyFont="1"/>
    <xf numFmtId="0" fontId="0" fillId="2" borderId="0" xfId="0" applyFill="1"/>
    <xf numFmtId="0" fontId="0" fillId="0" borderId="0" xfId="0" applyFill="1"/>
    <xf numFmtId="0" fontId="0" fillId="3" borderId="0" xfId="0" applyFill="1"/>
    <xf numFmtId="0" fontId="0" fillId="4" borderId="0" xfId="0" applyFill="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0" fillId="5" borderId="0" xfId="0" applyFill="1"/>
    <xf numFmtId="0" fontId="0" fillId="0" borderId="7" xfId="0" applyFont="1" applyBorder="1"/>
    <xf numFmtId="0" fontId="1" fillId="0" borderId="9" xfId="0" applyFont="1" applyBorder="1" applyAlignment="1">
      <alignment horizontal="center"/>
    </xf>
    <xf numFmtId="0" fontId="0" fillId="0" borderId="10" xfId="0" applyBorder="1" applyAlignment="1">
      <alignment horizontal="center"/>
    </xf>
    <xf numFmtId="0" fontId="0" fillId="0" borderId="0" xfId="0" applyAlignment="1">
      <alignment horizontal="left"/>
    </xf>
    <xf numFmtId="0" fontId="0" fillId="5" borderId="0" xfId="0" applyFill="1" applyAlignment="1">
      <alignment horizontal="left"/>
    </xf>
    <xf numFmtId="0" fontId="0" fillId="0" borderId="0" xfId="0" applyBorder="1"/>
    <xf numFmtId="0" fontId="0" fillId="6" borderId="0" xfId="0" applyFont="1" applyFill="1"/>
    <xf numFmtId="0" fontId="0" fillId="6" borderId="0" xfId="0" applyFill="1"/>
    <xf numFmtId="0" fontId="0" fillId="6" borderId="12" xfId="0" applyFill="1" applyBorder="1"/>
    <xf numFmtId="0" fontId="0" fillId="2" borderId="12" xfId="0" applyFill="1" applyBorder="1"/>
    <xf numFmtId="0" fontId="0" fillId="3" borderId="13" xfId="0" applyFill="1" applyBorder="1"/>
    <xf numFmtId="0" fontId="1" fillId="0" borderId="11" xfId="0" applyFont="1" applyBorder="1"/>
    <xf numFmtId="0" fontId="0" fillId="5" borderId="12" xfId="0" applyFill="1" applyBorder="1"/>
    <xf numFmtId="0" fontId="0" fillId="0" borderId="0" xfId="0" applyFill="1" applyAlignment="1">
      <alignment horizontal="left"/>
    </xf>
    <xf numFmtId="0" fontId="0" fillId="0" borderId="0" xfId="0" quotePrefix="1"/>
    <xf numFmtId="0" fontId="3" fillId="6" borderId="0" xfId="0" applyFont="1" applyFill="1"/>
    <xf numFmtId="0" fontId="2" fillId="0" borderId="0" xfId="1"/>
    <xf numFmtId="0" fontId="2" fillId="0" borderId="8" xfId="1" applyBorder="1"/>
    <xf numFmtId="0" fontId="2" fillId="0" borderId="0" xfId="1" applyFill="1" applyBorder="1"/>
    <xf numFmtId="0" fontId="0" fillId="0" borderId="0" xfId="0" applyFont="1" applyBorder="1"/>
    <xf numFmtId="0" fontId="1" fillId="0" borderId="15" xfId="0" applyFont="1" applyBorder="1" applyAlignment="1">
      <alignment horizontal="center"/>
    </xf>
    <xf numFmtId="0" fontId="0" fillId="7" borderId="0" xfId="0" applyFill="1"/>
    <xf numFmtId="0" fontId="7" fillId="0" borderId="0" xfId="0" applyFont="1"/>
    <xf numFmtId="0" fontId="6" fillId="0" borderId="0" xfId="0" applyFont="1"/>
    <xf numFmtId="0" fontId="6" fillId="0" borderId="0" xfId="0" applyFont="1" applyBorder="1"/>
    <xf numFmtId="0" fontId="6" fillId="5" borderId="0" xfId="0" applyFont="1" applyFill="1"/>
    <xf numFmtId="0" fontId="6" fillId="4" borderId="0" xfId="0" applyFont="1" applyFill="1"/>
    <xf numFmtId="0" fontId="7" fillId="0" borderId="5" xfId="0" applyFont="1" applyBorder="1" applyAlignment="1">
      <alignment horizontal="center"/>
    </xf>
    <xf numFmtId="0" fontId="7" fillId="0" borderId="15" xfId="0" applyFont="1" applyBorder="1" applyAlignment="1">
      <alignment horizontal="center"/>
    </xf>
    <xf numFmtId="0" fontId="6" fillId="0" borderId="0" xfId="0" applyFont="1" applyFill="1"/>
    <xf numFmtId="0" fontId="8" fillId="0" borderId="0" xfId="0" applyFont="1"/>
    <xf numFmtId="0" fontId="9" fillId="0" borderId="0" xfId="0" applyFont="1"/>
    <xf numFmtId="0" fontId="9" fillId="2" borderId="0" xfId="0" applyFont="1" applyFill="1"/>
    <xf numFmtId="0" fontId="9" fillId="0" borderId="0" xfId="0" applyFont="1" applyBorder="1"/>
    <xf numFmtId="0" fontId="9" fillId="5" borderId="0" xfId="0" applyFont="1" applyFill="1"/>
    <xf numFmtId="0" fontId="9" fillId="4" borderId="0" xfId="0" applyFont="1" applyFill="1"/>
    <xf numFmtId="0" fontId="8" fillId="0" borderId="5" xfId="0" applyFont="1" applyBorder="1" applyAlignment="1">
      <alignment horizontal="center"/>
    </xf>
    <xf numFmtId="0" fontId="8" fillId="0" borderId="15" xfId="0" applyFont="1" applyBorder="1" applyAlignment="1">
      <alignment horizontal="center"/>
    </xf>
    <xf numFmtId="0" fontId="9" fillId="0" borderId="0" xfId="0" applyFont="1" applyFill="1"/>
    <xf numFmtId="0" fontId="0" fillId="8" borderId="0" xfId="0" applyFill="1"/>
    <xf numFmtId="0" fontId="0" fillId="8" borderId="0" xfId="0" applyFont="1" applyFill="1"/>
    <xf numFmtId="0" fontId="1" fillId="9" borderId="3" xfId="0" applyFont="1" applyFill="1" applyBorder="1" applyAlignment="1">
      <alignment horizontal="center"/>
    </xf>
    <xf numFmtId="0" fontId="1" fillId="8" borderId="3" xfId="0" applyFont="1" applyFill="1" applyBorder="1" applyAlignment="1">
      <alignment horizontal="center"/>
    </xf>
    <xf numFmtId="0" fontId="0" fillId="6" borderId="0" xfId="0" applyFill="1" applyBorder="1"/>
    <xf numFmtId="0" fontId="10" fillId="0" borderId="5" xfId="0" applyFont="1" applyBorder="1" applyAlignment="1">
      <alignment horizontal="center"/>
    </xf>
    <xf numFmtId="0" fontId="10" fillId="9" borderId="3" xfId="0" applyFont="1" applyFill="1" applyBorder="1" applyAlignment="1">
      <alignment horizontal="center"/>
    </xf>
    <xf numFmtId="0" fontId="10" fillId="0" borderId="0" xfId="0" applyFont="1"/>
    <xf numFmtId="0" fontId="10" fillId="0" borderId="0" xfId="0" applyFont="1" applyBorder="1"/>
    <xf numFmtId="0" fontId="10" fillId="0" borderId="0" xfId="0" applyFont="1" applyFill="1"/>
    <xf numFmtId="0" fontId="10" fillId="8" borderId="0" xfId="0" applyFont="1" applyFill="1"/>
    <xf numFmtId="0" fontId="0" fillId="0" borderId="0" xfId="0" applyFont="1" applyFill="1" applyBorder="1"/>
    <xf numFmtId="0" fontId="10" fillId="0" borderId="0" xfId="0" applyFont="1" applyFill="1" applyBorder="1"/>
    <xf numFmtId="0" fontId="9" fillId="8" borderId="0" xfId="0" applyFont="1" applyFill="1"/>
    <xf numFmtId="0" fontId="0" fillId="0" borderId="7" xfId="0" applyBorder="1"/>
    <xf numFmtId="0" fontId="0" fillId="0" borderId="8" xfId="0" applyBorder="1"/>
    <xf numFmtId="0" fontId="7" fillId="11" borderId="16" xfId="0" applyFont="1" applyFill="1" applyBorder="1"/>
    <xf numFmtId="0" fontId="1" fillId="10" borderId="18" xfId="0" applyFont="1" applyFill="1" applyBorder="1"/>
    <xf numFmtId="0" fontId="0" fillId="6" borderId="0" xfId="0" applyFill="1" applyAlignment="1">
      <alignment horizontal="left"/>
    </xf>
    <xf numFmtId="0" fontId="0" fillId="0" borderId="0" xfId="0" pivotButton="1"/>
    <xf numFmtId="0" fontId="0" fillId="0" borderId="0" xfId="0" applyNumberFormat="1"/>
    <xf numFmtId="0" fontId="0" fillId="2" borderId="0" xfId="0" applyFill="1" applyAlignment="1">
      <alignment horizontal="left"/>
    </xf>
    <xf numFmtId="0" fontId="12" fillId="0" borderId="0" xfId="0" applyFont="1"/>
    <xf numFmtId="0" fontId="0" fillId="0" borderId="8" xfId="0" applyFont="1" applyBorder="1"/>
    <xf numFmtId="0" fontId="9" fillId="0" borderId="8" xfId="0" applyFont="1" applyBorder="1"/>
    <xf numFmtId="0" fontId="6" fillId="0" borderId="8" xfId="0" applyFont="1" applyBorder="1"/>
    <xf numFmtId="0" fontId="0" fillId="6" borderId="8" xfId="0" applyFont="1" applyFill="1" applyBorder="1"/>
    <xf numFmtId="0" fontId="0" fillId="0" borderId="8" xfId="0" applyFont="1" applyBorder="1" applyAlignment="1">
      <alignment horizontal="left"/>
    </xf>
    <xf numFmtId="0" fontId="0" fillId="8" borderId="8" xfId="0" applyFont="1" applyFill="1" applyBorder="1"/>
    <xf numFmtId="0" fontId="0" fillId="2" borderId="8" xfId="0" applyFont="1" applyFill="1" applyBorder="1"/>
    <xf numFmtId="0" fontId="3" fillId="6" borderId="8" xfId="0" applyFont="1" applyFill="1" applyBorder="1"/>
    <xf numFmtId="0" fontId="9" fillId="2" borderId="8" xfId="0" applyFont="1" applyFill="1" applyBorder="1"/>
    <xf numFmtId="0" fontId="0" fillId="3" borderId="8" xfId="0" applyFont="1" applyFill="1" applyBorder="1"/>
    <xf numFmtId="0" fontId="0" fillId="0" borderId="21" xfId="0" applyFont="1" applyBorder="1"/>
    <xf numFmtId="0" fontId="13" fillId="12" borderId="7" xfId="0" applyFont="1" applyFill="1" applyBorder="1"/>
    <xf numFmtId="0" fontId="13" fillId="12" borderId="8" xfId="0" applyFont="1" applyFill="1" applyBorder="1"/>
    <xf numFmtId="0" fontId="8" fillId="12" borderId="8" xfId="0" applyFont="1" applyFill="1" applyBorder="1"/>
    <xf numFmtId="0" fontId="7" fillId="12" borderId="8" xfId="0" applyFont="1" applyFill="1" applyBorder="1"/>
    <xf numFmtId="0" fontId="13" fillId="12" borderId="21" xfId="0" applyFont="1" applyFill="1" applyBorder="1"/>
    <xf numFmtId="0" fontId="0" fillId="4" borderId="8" xfId="0" applyFont="1" applyFill="1" applyBorder="1"/>
    <xf numFmtId="0" fontId="0" fillId="4" borderId="21" xfId="0" applyFont="1" applyFill="1" applyBorder="1"/>
    <xf numFmtId="0" fontId="7" fillId="0" borderId="8" xfId="0" applyFont="1" applyBorder="1"/>
    <xf numFmtId="0" fontId="0" fillId="7" borderId="8" xfId="0" applyFont="1" applyFill="1" applyBorder="1"/>
    <xf numFmtId="0" fontId="0" fillId="4" borderId="7" xfId="0" applyFont="1" applyFill="1" applyBorder="1"/>
    <xf numFmtId="0" fontId="9" fillId="4" borderId="8" xfId="0" applyFont="1" applyFill="1" applyBorder="1"/>
    <xf numFmtId="0" fontId="6" fillId="4" borderId="8" xfId="0" applyFont="1" applyFill="1" applyBorder="1"/>
    <xf numFmtId="0" fontId="0" fillId="0" borderId="22" xfId="0" applyBorder="1"/>
    <xf numFmtId="0" fontId="13" fillId="13" borderId="22" xfId="0" applyFont="1" applyFill="1" applyBorder="1"/>
    <xf numFmtId="0" fontId="10" fillId="13" borderId="22" xfId="0" applyFont="1" applyFill="1" applyBorder="1"/>
    <xf numFmtId="0" fontId="8" fillId="13" borderId="22" xfId="0" applyFont="1" applyFill="1" applyBorder="1"/>
    <xf numFmtId="0" fontId="7" fillId="13" borderId="22" xfId="0" applyFont="1" applyFill="1" applyBorder="1"/>
    <xf numFmtId="0" fontId="1" fillId="0" borderId="22" xfId="0" applyFont="1" applyBorder="1"/>
    <xf numFmtId="0" fontId="1" fillId="13" borderId="22" xfId="0" applyFont="1" applyFill="1" applyBorder="1"/>
    <xf numFmtId="0" fontId="1" fillId="8" borderId="22" xfId="0" applyFont="1" applyFill="1" applyBorder="1"/>
    <xf numFmtId="0" fontId="0" fillId="0" borderId="8" xfId="0" applyFont="1" applyFill="1" applyBorder="1"/>
    <xf numFmtId="0" fontId="13" fillId="14" borderId="8" xfId="0" applyFont="1" applyFill="1" applyBorder="1"/>
    <xf numFmtId="0" fontId="0" fillId="10" borderId="17" xfId="0" applyFill="1" applyBorder="1"/>
    <xf numFmtId="0" fontId="0" fillId="10" borderId="18" xfId="0" applyFill="1" applyBorder="1"/>
    <xf numFmtId="0" fontId="0" fillId="10" borderId="23" xfId="0" applyFill="1" applyBorder="1"/>
    <xf numFmtId="0" fontId="13" fillId="12" borderId="0" xfId="0" applyFont="1" applyFill="1"/>
    <xf numFmtId="0" fontId="13" fillId="15" borderId="4" xfId="0" applyFont="1" applyFill="1" applyBorder="1"/>
    <xf numFmtId="0" fontId="13" fillId="15" borderId="24" xfId="0" applyFont="1" applyFill="1" applyBorder="1"/>
    <xf numFmtId="0" fontId="1" fillId="0" borderId="0" xfId="0" applyFont="1" applyAlignment="1">
      <alignment horizontal="center"/>
    </xf>
    <xf numFmtId="0" fontId="1" fillId="17" borderId="22" xfId="0" applyFont="1" applyFill="1" applyBorder="1" applyAlignment="1">
      <alignment horizontal="center"/>
    </xf>
    <xf numFmtId="0" fontId="0" fillId="10" borderId="27" xfId="0" applyFill="1" applyBorder="1"/>
    <xf numFmtId="0" fontId="13" fillId="20" borderId="0" xfId="0" applyFont="1" applyFill="1" applyBorder="1" applyAlignment="1">
      <alignment horizontal="center"/>
    </xf>
    <xf numFmtId="0" fontId="18" fillId="0" borderId="8" xfId="0" applyFont="1" applyBorder="1" applyAlignment="1">
      <alignment horizontal="left"/>
    </xf>
    <xf numFmtId="0" fontId="18" fillId="0" borderId="0" xfId="0" applyFont="1"/>
    <xf numFmtId="0" fontId="14" fillId="6" borderId="0" xfId="0" applyFont="1" applyFill="1" applyBorder="1" applyAlignment="1">
      <alignment horizontal="left"/>
    </xf>
    <xf numFmtId="0" fontId="14" fillId="0" borderId="0" xfId="0" applyFont="1" applyBorder="1" applyAlignment="1">
      <alignment horizontal="left"/>
    </xf>
    <xf numFmtId="0" fontId="20" fillId="0" borderId="0" xfId="0" applyFont="1" applyBorder="1" applyAlignment="1">
      <alignment horizontal="left"/>
    </xf>
    <xf numFmtId="0" fontId="0" fillId="18" borderId="28" xfId="0" applyFill="1" applyBorder="1" applyAlignment="1">
      <alignment horizontal="left"/>
    </xf>
    <xf numFmtId="0" fontId="0" fillId="9" borderId="22" xfId="0" applyFill="1" applyBorder="1" applyAlignment="1">
      <alignment horizontal="left"/>
    </xf>
    <xf numFmtId="0" fontId="0" fillId="19" borderId="29" xfId="0" applyFill="1" applyBorder="1" applyAlignment="1">
      <alignment horizontal="left"/>
    </xf>
    <xf numFmtId="0" fontId="9" fillId="0" borderId="8" xfId="0" applyFont="1" applyBorder="1" applyAlignment="1">
      <alignment horizontal="left"/>
    </xf>
    <xf numFmtId="0" fontId="6" fillId="0" borderId="8" xfId="0" applyFont="1" applyBorder="1" applyAlignment="1">
      <alignment horizontal="left"/>
    </xf>
    <xf numFmtId="0" fontId="0" fillId="0" borderId="8" xfId="0" applyFont="1" applyFill="1" applyBorder="1" applyAlignment="1">
      <alignment horizontal="left"/>
    </xf>
    <xf numFmtId="0" fontId="1" fillId="16" borderId="19" xfId="0" applyFont="1" applyFill="1" applyBorder="1" applyAlignment="1">
      <alignment horizontal="left"/>
    </xf>
    <xf numFmtId="0" fontId="1" fillId="16" borderId="25" xfId="0" applyFont="1" applyFill="1" applyBorder="1" applyAlignment="1">
      <alignment horizontal="left"/>
    </xf>
    <xf numFmtId="0" fontId="0" fillId="6" borderId="0" xfId="0" applyFill="1" applyBorder="1" applyAlignment="1">
      <alignment horizontal="left"/>
    </xf>
    <xf numFmtId="0" fontId="1" fillId="17" borderId="22" xfId="0" applyFont="1" applyFill="1" applyBorder="1" applyAlignment="1">
      <alignment horizontal="left"/>
    </xf>
    <xf numFmtId="0" fontId="13" fillId="20" borderId="0" xfId="0" applyFont="1" applyFill="1" applyBorder="1" applyAlignment="1">
      <alignment horizontal="left"/>
    </xf>
    <xf numFmtId="0" fontId="14" fillId="0" borderId="0" xfId="0" applyFont="1" applyFill="1" applyBorder="1" applyAlignment="1">
      <alignment horizontal="left"/>
    </xf>
    <xf numFmtId="0" fontId="14" fillId="8" borderId="0" xfId="0" applyFont="1" applyFill="1" applyBorder="1" applyAlignment="1">
      <alignment horizontal="left"/>
    </xf>
    <xf numFmtId="0" fontId="0" fillId="0" borderId="0" xfId="0" applyBorder="1" applyAlignment="1">
      <alignment horizontal="left"/>
    </xf>
    <xf numFmtId="0" fontId="15" fillId="0" borderId="0" xfId="0" applyFont="1" applyFill="1" applyAlignment="1">
      <alignment horizontal="left"/>
    </xf>
    <xf numFmtId="0" fontId="15" fillId="0" borderId="0" xfId="0" applyFont="1" applyFill="1" applyBorder="1" applyAlignment="1">
      <alignment horizontal="left"/>
    </xf>
    <xf numFmtId="0" fontId="18" fillId="18" borderId="28" xfId="0" applyFont="1" applyFill="1" applyBorder="1" applyAlignment="1">
      <alignment horizontal="left"/>
    </xf>
    <xf numFmtId="0" fontId="18" fillId="9" borderId="22" xfId="0" applyFont="1" applyFill="1" applyBorder="1" applyAlignment="1">
      <alignment horizontal="left"/>
    </xf>
    <xf numFmtId="0" fontId="18" fillId="19" borderId="29" xfId="0" applyFont="1" applyFill="1" applyBorder="1" applyAlignment="1">
      <alignment horizontal="left"/>
    </xf>
    <xf numFmtId="0" fontId="18" fillId="0" borderId="8" xfId="0" applyFont="1" applyFill="1" applyBorder="1" applyAlignment="1">
      <alignment horizontal="left"/>
    </xf>
    <xf numFmtId="0" fontId="19" fillId="16" borderId="19" xfId="0" applyFont="1" applyFill="1" applyBorder="1" applyAlignment="1">
      <alignment horizontal="left"/>
    </xf>
    <xf numFmtId="0" fontId="19" fillId="16" borderId="25" xfId="0" applyFont="1" applyFill="1" applyBorder="1" applyAlignment="1">
      <alignment horizontal="left"/>
    </xf>
    <xf numFmtId="0" fontId="18" fillId="0" borderId="0" xfId="0" applyFont="1" applyBorder="1" applyAlignment="1">
      <alignment horizontal="left"/>
    </xf>
    <xf numFmtId="0" fontId="18" fillId="0" borderId="0" xfId="0" applyFont="1" applyAlignment="1">
      <alignment horizontal="left"/>
    </xf>
    <xf numFmtId="0" fontId="19" fillId="17" borderId="22" xfId="0" applyFont="1" applyFill="1" applyBorder="1" applyAlignment="1">
      <alignment horizontal="left"/>
    </xf>
    <xf numFmtId="0" fontId="19" fillId="20" borderId="0" xfId="0" applyFont="1" applyFill="1" applyBorder="1" applyAlignment="1">
      <alignment horizontal="left"/>
    </xf>
    <xf numFmtId="0" fontId="19" fillId="0" borderId="0" xfId="0" applyFont="1" applyFill="1" applyAlignment="1">
      <alignment horizontal="left"/>
    </xf>
    <xf numFmtId="0" fontId="20" fillId="0" borderId="0" xfId="0" applyFont="1" applyFill="1" applyBorder="1" applyAlignment="1">
      <alignment horizontal="left"/>
    </xf>
    <xf numFmtId="0" fontId="21" fillId="0" borderId="0" xfId="0" applyFont="1" applyFill="1" applyBorder="1" applyAlignment="1">
      <alignment horizontal="left"/>
    </xf>
    <xf numFmtId="0" fontId="20" fillId="8" borderId="0" xfId="0" applyFont="1" applyFill="1" applyBorder="1" applyAlignment="1">
      <alignment horizontal="left"/>
    </xf>
    <xf numFmtId="0" fontId="0" fillId="6" borderId="8" xfId="0" applyFont="1" applyFill="1" applyBorder="1" applyAlignment="1">
      <alignment horizontal="left"/>
    </xf>
    <xf numFmtId="0" fontId="14" fillId="16" borderId="19" xfId="0" applyFont="1" applyFill="1" applyBorder="1" applyAlignment="1">
      <alignment horizontal="left"/>
    </xf>
    <xf numFmtId="0" fontId="14" fillId="16" borderId="25" xfId="0" applyFont="1" applyFill="1" applyBorder="1" applyAlignment="1">
      <alignment horizontal="left"/>
    </xf>
    <xf numFmtId="0" fontId="15" fillId="17" borderId="22" xfId="0" applyFont="1" applyFill="1" applyBorder="1" applyAlignment="1">
      <alignment horizontal="left"/>
    </xf>
    <xf numFmtId="0" fontId="16" fillId="20" borderId="0" xfId="0" applyFont="1" applyFill="1" applyBorder="1" applyAlignment="1">
      <alignment horizontal="left"/>
    </xf>
    <xf numFmtId="0" fontId="18" fillId="6" borderId="8" xfId="0" applyFont="1" applyFill="1" applyBorder="1" applyAlignment="1">
      <alignment horizontal="left"/>
    </xf>
    <xf numFmtId="0" fontId="20" fillId="16" borderId="19" xfId="0" applyFont="1" applyFill="1" applyBorder="1" applyAlignment="1">
      <alignment horizontal="left"/>
    </xf>
    <xf numFmtId="0" fontId="20" fillId="16" borderId="25" xfId="0" applyFont="1" applyFill="1" applyBorder="1" applyAlignment="1">
      <alignment horizontal="left"/>
    </xf>
    <xf numFmtId="0" fontId="21" fillId="17" borderId="22" xfId="0" applyFont="1" applyFill="1" applyBorder="1" applyAlignment="1">
      <alignment horizontal="left"/>
    </xf>
    <xf numFmtId="0" fontId="21" fillId="20" borderId="0" xfId="0" applyFont="1" applyFill="1" applyBorder="1" applyAlignment="1">
      <alignment horizontal="left"/>
    </xf>
    <xf numFmtId="0" fontId="17" fillId="0" borderId="0" xfId="0" applyFont="1" applyBorder="1" applyAlignment="1">
      <alignment horizontal="left"/>
    </xf>
    <xf numFmtId="0" fontId="0" fillId="2" borderId="8" xfId="0" applyFont="1" applyFill="1" applyBorder="1" applyAlignment="1">
      <alignment horizontal="left"/>
    </xf>
    <xf numFmtId="0" fontId="14" fillId="6" borderId="19" xfId="0" applyFont="1" applyFill="1" applyBorder="1" applyAlignment="1">
      <alignment horizontal="left"/>
    </xf>
    <xf numFmtId="0" fontId="14" fillId="6" borderId="25" xfId="0" applyFont="1" applyFill="1" applyBorder="1" applyAlignment="1">
      <alignment horizontal="left"/>
    </xf>
    <xf numFmtId="0" fontId="21" fillId="0" borderId="0" xfId="0" applyFont="1" applyFill="1" applyAlignment="1">
      <alignment horizontal="left"/>
    </xf>
    <xf numFmtId="0" fontId="14" fillId="0" borderId="0" xfId="0" applyFont="1" applyFill="1" applyAlignment="1">
      <alignment horizontal="left"/>
    </xf>
    <xf numFmtId="0" fontId="3" fillId="6" borderId="8" xfId="0" applyFont="1" applyFill="1" applyBorder="1" applyAlignment="1">
      <alignment horizontal="left"/>
    </xf>
    <xf numFmtId="0" fontId="9" fillId="2" borderId="8" xfId="0" applyFont="1" applyFill="1" applyBorder="1" applyAlignment="1">
      <alignment horizontal="left"/>
    </xf>
    <xf numFmtId="0" fontId="0" fillId="3" borderId="8" xfId="0" applyFont="1" applyFill="1" applyBorder="1" applyAlignment="1">
      <alignment horizontal="left"/>
    </xf>
    <xf numFmtId="0" fontId="7" fillId="0" borderId="8" xfId="0" applyFont="1" applyBorder="1" applyAlignment="1">
      <alignment horizontal="left"/>
    </xf>
    <xf numFmtId="0" fontId="0" fillId="4" borderId="8" xfId="0" applyFont="1" applyFill="1" applyBorder="1" applyAlignment="1">
      <alignment horizontal="left"/>
    </xf>
    <xf numFmtId="0" fontId="0" fillId="7" borderId="8" xfId="0" applyFont="1" applyFill="1" applyBorder="1" applyAlignment="1">
      <alignment horizontal="left"/>
    </xf>
    <xf numFmtId="0" fontId="0" fillId="8" borderId="8" xfId="0" applyFont="1" applyFill="1" applyBorder="1" applyAlignment="1">
      <alignment horizontal="left"/>
    </xf>
    <xf numFmtId="0" fontId="9" fillId="4" borderId="8" xfId="0" applyFont="1" applyFill="1" applyBorder="1" applyAlignment="1">
      <alignment horizontal="left"/>
    </xf>
    <xf numFmtId="0" fontId="6" fillId="4" borderId="8" xfId="0" applyFont="1" applyFill="1" applyBorder="1" applyAlignment="1">
      <alignment horizontal="left"/>
    </xf>
    <xf numFmtId="0" fontId="14" fillId="16" borderId="20" xfId="0" applyFont="1" applyFill="1" applyBorder="1" applyAlignment="1">
      <alignment horizontal="left"/>
    </xf>
    <xf numFmtId="0" fontId="14" fillId="16" borderId="26" xfId="0" applyFont="1" applyFill="1" applyBorder="1" applyAlignment="1">
      <alignment horizontal="left"/>
    </xf>
    <xf numFmtId="0" fontId="0" fillId="18" borderId="28" xfId="0" applyFont="1" applyFill="1" applyBorder="1" applyAlignment="1">
      <alignment horizontal="left"/>
    </xf>
    <xf numFmtId="0" fontId="0" fillId="9" borderId="22" xfId="0" applyFont="1" applyFill="1" applyBorder="1" applyAlignment="1">
      <alignment horizontal="left"/>
    </xf>
    <xf numFmtId="0" fontId="0" fillId="19" borderId="29" xfId="0" applyFont="1" applyFill="1" applyBorder="1" applyAlignment="1">
      <alignment horizontal="left"/>
    </xf>
    <xf numFmtId="0" fontId="21" fillId="20" borderId="0" xfId="0" applyFont="1" applyFill="1" applyAlignment="1">
      <alignment horizontal="left"/>
    </xf>
    <xf numFmtId="0" fontId="33" fillId="17" borderId="22" xfId="0" applyFont="1" applyFill="1" applyBorder="1" applyAlignment="1">
      <alignment horizontal="left"/>
    </xf>
    <xf numFmtId="0" fontId="33" fillId="20" borderId="0" xfId="0" applyFont="1" applyFill="1" applyBorder="1" applyAlignment="1">
      <alignment horizontal="left"/>
    </xf>
    <xf numFmtId="0" fontId="32" fillId="0" borderId="0" xfId="0" applyFont="1" applyFill="1" applyBorder="1" applyAlignment="1">
      <alignment horizontal="left"/>
    </xf>
    <xf numFmtId="0" fontId="32" fillId="8" borderId="0" xfId="0" applyFont="1" applyFill="1" applyBorder="1" applyAlignment="1">
      <alignment horizontal="left"/>
    </xf>
    <xf numFmtId="0" fontId="0" fillId="0" borderId="0" xfId="0" applyFont="1"/>
    <xf numFmtId="0" fontId="14" fillId="16" borderId="0" xfId="0" applyFont="1" applyFill="1" applyBorder="1" applyAlignment="1">
      <alignment horizontal="left"/>
    </xf>
    <xf numFmtId="0" fontId="14" fillId="0" borderId="8" xfId="0" applyFont="1" applyFill="1" applyBorder="1" applyAlignment="1">
      <alignment horizontal="left"/>
    </xf>
    <xf numFmtId="0" fontId="18" fillId="2" borderId="22" xfId="0" applyFont="1" applyFill="1" applyBorder="1" applyAlignment="1">
      <alignment horizontal="left"/>
    </xf>
    <xf numFmtId="0" fontId="20" fillId="2" borderId="22" xfId="0" applyFont="1" applyFill="1" applyBorder="1" applyAlignment="1">
      <alignment horizontal="left"/>
    </xf>
    <xf numFmtId="0" fontId="7" fillId="11" borderId="31" xfId="0" applyFont="1" applyFill="1" applyBorder="1"/>
    <xf numFmtId="0" fontId="19" fillId="22" borderId="32" xfId="0" applyFont="1" applyFill="1" applyBorder="1"/>
    <xf numFmtId="0" fontId="7" fillId="21" borderId="33" xfId="0" applyFont="1" applyFill="1" applyBorder="1"/>
    <xf numFmtId="0" fontId="0" fillId="6" borderId="34" xfId="0" applyFill="1" applyBorder="1" applyAlignment="1">
      <alignment horizontal="left"/>
    </xf>
    <xf numFmtId="0" fontId="0" fillId="6" borderId="35" xfId="0" applyFill="1" applyBorder="1" applyAlignment="1">
      <alignment horizontal="left"/>
    </xf>
    <xf numFmtId="0" fontId="0" fillId="0" borderId="34" xfId="0" applyBorder="1" applyAlignment="1">
      <alignment horizontal="left"/>
    </xf>
    <xf numFmtId="0" fontId="0" fillId="0" borderId="35" xfId="0" applyBorder="1" applyAlignment="1">
      <alignment horizontal="left"/>
    </xf>
    <xf numFmtId="0" fontId="18" fillId="0" borderId="34" xfId="0" applyFont="1" applyBorder="1" applyAlignment="1">
      <alignment horizontal="left"/>
    </xf>
    <xf numFmtId="0" fontId="18" fillId="0" borderId="35" xfId="0" applyFont="1" applyBorder="1" applyAlignment="1">
      <alignment horizontal="left"/>
    </xf>
    <xf numFmtId="0" fontId="14" fillId="0" borderId="34" xfId="0" applyFont="1" applyBorder="1" applyAlignment="1">
      <alignment horizontal="left"/>
    </xf>
    <xf numFmtId="0" fontId="14" fillId="0" borderId="35" xfId="0" applyFont="1" applyBorder="1" applyAlignment="1">
      <alignment horizontal="left"/>
    </xf>
    <xf numFmtId="0" fontId="20" fillId="0" borderId="34" xfId="0" applyFont="1" applyBorder="1" applyAlignment="1">
      <alignment horizontal="left"/>
    </xf>
    <xf numFmtId="0" fontId="20" fillId="0" borderId="35" xfId="0" applyFont="1" applyBorder="1" applyAlignment="1">
      <alignment horizontal="left"/>
    </xf>
    <xf numFmtId="0" fontId="14" fillId="6" borderId="34" xfId="0" applyFont="1" applyFill="1" applyBorder="1" applyAlignment="1">
      <alignment horizontal="left"/>
    </xf>
    <xf numFmtId="0" fontId="14" fillId="6" borderId="35" xfId="0" applyFont="1" applyFill="1" applyBorder="1" applyAlignment="1">
      <alignment horizontal="left"/>
    </xf>
    <xf numFmtId="0" fontId="14" fillId="0" borderId="36" xfId="0" applyFont="1" applyBorder="1" applyAlignment="1">
      <alignment horizontal="left"/>
    </xf>
    <xf numFmtId="0" fontId="20" fillId="2" borderId="37" xfId="0" applyFont="1" applyFill="1" applyBorder="1" applyAlignment="1">
      <alignment horizontal="left"/>
    </xf>
    <xf numFmtId="0" fontId="14" fillId="0" borderId="38" xfId="0" applyFont="1" applyBorder="1" applyAlignment="1">
      <alignment horizontal="left"/>
    </xf>
    <xf numFmtId="0" fontId="14" fillId="0" borderId="19" xfId="0" applyFont="1" applyFill="1" applyBorder="1" applyAlignment="1">
      <alignment horizontal="left"/>
    </xf>
    <xf numFmtId="0" fontId="14" fillId="0" borderId="25" xfId="0" applyFont="1" applyFill="1" applyBorder="1" applyAlignment="1">
      <alignment horizontal="left"/>
    </xf>
    <xf numFmtId="0" fontId="14" fillId="0" borderId="34" xfId="0" applyFont="1" applyFill="1" applyBorder="1" applyAlignment="1">
      <alignment horizontal="left"/>
    </xf>
    <xf numFmtId="0" fontId="20" fillId="0" borderId="22" xfId="0" applyFont="1" applyFill="1" applyBorder="1" applyAlignment="1">
      <alignment horizontal="left"/>
    </xf>
    <xf numFmtId="0" fontId="14" fillId="0" borderId="35" xfId="0" applyFont="1" applyFill="1" applyBorder="1" applyAlignment="1">
      <alignment horizontal="left"/>
    </xf>
    <xf numFmtId="0" fontId="20" fillId="0" borderId="19" xfId="0" applyFont="1" applyFill="1" applyBorder="1" applyAlignment="1">
      <alignment horizontal="left"/>
    </xf>
    <xf numFmtId="0" fontId="0" fillId="0" borderId="28" xfId="0" applyFill="1" applyBorder="1" applyAlignment="1">
      <alignment horizontal="left"/>
    </xf>
    <xf numFmtId="0" fontId="0" fillId="0" borderId="22" xfId="0" applyFill="1" applyBorder="1" applyAlignment="1">
      <alignment horizontal="left"/>
    </xf>
    <xf numFmtId="0" fontId="0" fillId="0" borderId="29" xfId="0" applyFill="1" applyBorder="1" applyAlignment="1">
      <alignment horizontal="left"/>
    </xf>
    <xf numFmtId="0" fontId="9" fillId="0" borderId="8" xfId="0" applyFont="1" applyFill="1" applyBorder="1" applyAlignment="1">
      <alignment horizontal="left"/>
    </xf>
    <xf numFmtId="0" fontId="6" fillId="0" borderId="8" xfId="0" applyFont="1" applyFill="1" applyBorder="1" applyAlignment="1">
      <alignment horizontal="left"/>
    </xf>
    <xf numFmtId="3" fontId="14" fillId="0" borderId="0" xfId="0" applyNumberFormat="1" applyFont="1" applyFill="1" applyBorder="1" applyAlignment="1">
      <alignment horizontal="left"/>
    </xf>
    <xf numFmtId="0" fontId="18" fillId="0" borderId="28" xfId="0" applyFont="1" applyFill="1" applyBorder="1" applyAlignment="1">
      <alignment horizontal="left"/>
    </xf>
    <xf numFmtId="0" fontId="18" fillId="0" borderId="22" xfId="0" applyFont="1" applyFill="1" applyBorder="1" applyAlignment="1">
      <alignment horizontal="left"/>
    </xf>
    <xf numFmtId="0" fontId="18" fillId="0" borderId="29" xfId="0" applyFont="1" applyFill="1" applyBorder="1" applyAlignment="1">
      <alignment horizontal="left"/>
    </xf>
    <xf numFmtId="0" fontId="20" fillId="0" borderId="34" xfId="0" applyFont="1" applyFill="1" applyBorder="1" applyAlignment="1">
      <alignment horizontal="left"/>
    </xf>
    <xf numFmtId="0" fontId="20" fillId="0" borderId="35" xfId="0" applyFont="1" applyFill="1" applyBorder="1" applyAlignment="1">
      <alignment horizontal="left"/>
    </xf>
    <xf numFmtId="0" fontId="20" fillId="0" borderId="0" xfId="0" applyFont="1" applyFill="1" applyAlignment="1">
      <alignment horizontal="left"/>
    </xf>
    <xf numFmtId="0" fontId="18" fillId="0" borderId="0" xfId="0" applyFont="1" applyFill="1"/>
    <xf numFmtId="0" fontId="32" fillId="8" borderId="19" xfId="0" applyFont="1" applyFill="1" applyBorder="1" applyAlignment="1">
      <alignment horizontal="left"/>
    </xf>
    <xf numFmtId="0" fontId="32" fillId="8" borderId="25" xfId="0" applyFont="1" applyFill="1" applyBorder="1" applyAlignment="1">
      <alignment horizontal="left"/>
    </xf>
    <xf numFmtId="0" fontId="37" fillId="20" borderId="0" xfId="0" applyFont="1" applyFill="1" applyBorder="1" applyAlignment="1">
      <alignment horizontal="left"/>
    </xf>
    <xf numFmtId="0" fontId="14" fillId="8" borderId="19" xfId="0" applyFont="1" applyFill="1" applyBorder="1" applyAlignment="1">
      <alignment horizontal="left"/>
    </xf>
    <xf numFmtId="0" fontId="14" fillId="8" borderId="25" xfId="0" applyFont="1" applyFill="1" applyBorder="1" applyAlignment="1">
      <alignment horizontal="left"/>
    </xf>
    <xf numFmtId="0" fontId="14" fillId="8" borderId="34" xfId="0" applyFont="1" applyFill="1" applyBorder="1" applyAlignment="1">
      <alignment horizontal="left"/>
    </xf>
    <xf numFmtId="0" fontId="20" fillId="8" borderId="22" xfId="0" applyFont="1" applyFill="1" applyBorder="1" applyAlignment="1">
      <alignment horizontal="left"/>
    </xf>
    <xf numFmtId="0" fontId="14" fillId="8" borderId="35" xfId="0" applyFont="1" applyFill="1" applyBorder="1" applyAlignment="1">
      <alignment horizontal="left"/>
    </xf>
    <xf numFmtId="0" fontId="14" fillId="8" borderId="0" xfId="0" applyFont="1" applyFill="1" applyAlignment="1">
      <alignment horizontal="left"/>
    </xf>
    <xf numFmtId="0" fontId="15" fillId="8" borderId="22" xfId="0" applyFont="1" applyFill="1" applyBorder="1" applyAlignment="1">
      <alignment horizontal="left"/>
    </xf>
    <xf numFmtId="0" fontId="32" fillId="8" borderId="34" xfId="0" applyFont="1" applyFill="1" applyBorder="1" applyAlignment="1">
      <alignment horizontal="left"/>
    </xf>
    <xf numFmtId="0" fontId="32" fillId="8" borderId="35" xfId="0" applyFont="1" applyFill="1" applyBorder="1" applyAlignment="1">
      <alignment horizontal="left"/>
    </xf>
    <xf numFmtId="0" fontId="20" fillId="8" borderId="34" xfId="0" applyFont="1" applyFill="1" applyBorder="1" applyAlignment="1">
      <alignment horizontal="left"/>
    </xf>
    <xf numFmtId="0" fontId="20" fillId="8" borderId="35" xfId="0" applyFont="1" applyFill="1" applyBorder="1" applyAlignment="1">
      <alignment horizontal="left"/>
    </xf>
    <xf numFmtId="0" fontId="21" fillId="8" borderId="22" xfId="0" applyFont="1" applyFill="1" applyBorder="1" applyAlignment="1">
      <alignment horizontal="left"/>
    </xf>
    <xf numFmtId="0" fontId="20" fillId="8" borderId="8" xfId="0" applyFont="1" applyFill="1" applyBorder="1" applyAlignment="1">
      <alignment horizontal="left"/>
    </xf>
    <xf numFmtId="0" fontId="14" fillId="8" borderId="8" xfId="0" applyFont="1" applyFill="1" applyBorder="1" applyAlignment="1">
      <alignment horizontal="left"/>
    </xf>
    <xf numFmtId="17" fontId="20" fillId="8" borderId="8" xfId="0" applyNumberFormat="1" applyFont="1" applyFill="1" applyBorder="1" applyAlignment="1">
      <alignment horizontal="left"/>
    </xf>
    <xf numFmtId="0" fontId="18" fillId="8" borderId="35" xfId="0" applyFont="1" applyFill="1" applyBorder="1" applyAlignment="1">
      <alignment horizontal="left"/>
    </xf>
    <xf numFmtId="0" fontId="0" fillId="17" borderId="0" xfId="0" applyFill="1"/>
    <xf numFmtId="0" fontId="25" fillId="17" borderId="0" xfId="0" applyFont="1" applyFill="1"/>
    <xf numFmtId="0" fontId="0" fillId="20" borderId="0" xfId="0" applyFill="1"/>
    <xf numFmtId="0" fontId="13" fillId="0" borderId="0" xfId="0" applyFont="1" applyFill="1"/>
    <xf numFmtId="0" fontId="18" fillId="0" borderId="0" xfId="0" applyFont="1" applyFill="1" applyAlignment="1">
      <alignment horizontal="left"/>
    </xf>
    <xf numFmtId="0" fontId="25" fillId="23" borderId="22" xfId="0" applyFont="1" applyFill="1" applyBorder="1"/>
    <xf numFmtId="0" fontId="25" fillId="3" borderId="22" xfId="0" applyFont="1" applyFill="1" applyBorder="1" applyAlignment="1">
      <alignment horizontal="left"/>
    </xf>
    <xf numFmtId="0" fontId="26" fillId="3" borderId="22" xfId="0" applyFont="1" applyFill="1" applyBorder="1" applyAlignment="1">
      <alignment horizontal="left"/>
    </xf>
    <xf numFmtId="0" fontId="24" fillId="3" borderId="0" xfId="0" applyFont="1" applyFill="1" applyBorder="1" applyAlignment="1">
      <alignment horizontal="left"/>
    </xf>
    <xf numFmtId="0" fontId="24" fillId="3" borderId="22" xfId="0" applyFont="1" applyFill="1" applyBorder="1" applyAlignment="1">
      <alignment horizontal="left"/>
    </xf>
    <xf numFmtId="0" fontId="23" fillId="3" borderId="22" xfId="0" applyFont="1" applyFill="1" applyBorder="1" applyAlignment="1">
      <alignment horizontal="left"/>
    </xf>
    <xf numFmtId="0" fontId="24" fillId="3" borderId="22" xfId="0" quotePrefix="1" applyFont="1" applyFill="1" applyBorder="1" applyAlignment="1">
      <alignment horizontal="left"/>
    </xf>
    <xf numFmtId="0" fontId="34" fillId="3" borderId="22" xfId="0" applyFont="1" applyFill="1" applyBorder="1" applyAlignment="1">
      <alignment horizontal="left"/>
    </xf>
    <xf numFmtId="0" fontId="26" fillId="24" borderId="22" xfId="0" applyFont="1" applyFill="1" applyBorder="1" applyAlignment="1">
      <alignment horizontal="left"/>
    </xf>
    <xf numFmtId="0" fontId="25" fillId="3" borderId="0" xfId="0" applyFont="1" applyFill="1"/>
    <xf numFmtId="0" fontId="1" fillId="0" borderId="0" xfId="0" applyFont="1" applyFill="1" applyAlignment="1">
      <alignment horizontal="left"/>
    </xf>
    <xf numFmtId="3" fontId="20" fillId="0" borderId="8" xfId="0" applyNumberFormat="1" applyFont="1" applyFill="1" applyBorder="1" applyAlignment="1">
      <alignment horizontal="left"/>
    </xf>
    <xf numFmtId="0" fontId="20" fillId="0" borderId="8" xfId="0" applyFont="1" applyFill="1" applyBorder="1" applyAlignment="1">
      <alignment horizontal="left"/>
    </xf>
    <xf numFmtId="0" fontId="33" fillId="0" borderId="0" xfId="0" applyFont="1" applyFill="1" applyBorder="1" applyAlignment="1">
      <alignment horizontal="left"/>
    </xf>
    <xf numFmtId="0" fontId="36" fillId="0" borderId="30" xfId="0" applyFont="1" applyFill="1" applyBorder="1" applyAlignment="1">
      <alignment horizontal="left"/>
    </xf>
    <xf numFmtId="0" fontId="19" fillId="0" borderId="30" xfId="0" applyFont="1" applyFill="1" applyBorder="1" applyAlignment="1">
      <alignment horizontal="left"/>
    </xf>
    <xf numFmtId="0" fontId="13" fillId="0" borderId="0" xfId="0" applyFont="1" applyFill="1" applyAlignment="1">
      <alignment horizontal="left"/>
    </xf>
    <xf numFmtId="0" fontId="32" fillId="0" borderId="8" xfId="0" applyFont="1" applyFill="1" applyBorder="1" applyAlignment="1">
      <alignment horizontal="left"/>
    </xf>
    <xf numFmtId="0" fontId="32" fillId="0" borderId="0" xfId="0" applyFont="1" applyFill="1" applyAlignment="1">
      <alignment horizontal="left"/>
    </xf>
    <xf numFmtId="0" fontId="25" fillId="0" borderId="0" xfId="0" applyFont="1" applyFill="1"/>
    <xf numFmtId="0" fontId="22" fillId="25" borderId="0" xfId="0" applyFont="1" applyFill="1"/>
    <xf numFmtId="0" fontId="13" fillId="25" borderId="0" xfId="0" applyFont="1" applyFill="1"/>
    <xf numFmtId="0" fontId="23" fillId="26" borderId="0" xfId="0" applyFont="1" applyFill="1" applyBorder="1" applyAlignment="1">
      <alignment horizontal="left"/>
    </xf>
    <xf numFmtId="0" fontId="14" fillId="26" borderId="0" xfId="0" applyFont="1" applyFill="1" applyBorder="1" applyAlignment="1">
      <alignment horizontal="left"/>
    </xf>
    <xf numFmtId="0" fontId="24" fillId="26" borderId="0" xfId="0" applyFont="1" applyFill="1" applyBorder="1" applyAlignment="1">
      <alignment horizontal="left"/>
    </xf>
    <xf numFmtId="0" fontId="20" fillId="26" borderId="0" xfId="0" applyFont="1" applyFill="1" applyBorder="1" applyAlignment="1">
      <alignment horizontal="left"/>
    </xf>
    <xf numFmtId="0" fontId="34" fillId="26" borderId="0" xfId="0" applyFont="1" applyFill="1" applyBorder="1" applyAlignment="1">
      <alignment horizontal="left"/>
    </xf>
    <xf numFmtId="0" fontId="32" fillId="26" borderId="0" xfId="0" applyFont="1" applyFill="1" applyBorder="1" applyAlignment="1">
      <alignment horizontal="left"/>
    </xf>
    <xf numFmtId="0" fontId="0" fillId="26" borderId="0" xfId="0" applyFill="1"/>
    <xf numFmtId="0" fontId="25" fillId="26" borderId="0" xfId="0" applyFont="1" applyFill="1"/>
    <xf numFmtId="0" fontId="24" fillId="26" borderId="22" xfId="0" applyFont="1" applyFill="1" applyBorder="1" applyAlignment="1">
      <alignment horizontal="left"/>
    </xf>
    <xf numFmtId="0" fontId="21" fillId="26" borderId="0" xfId="0" applyFont="1" applyFill="1" applyBorder="1" applyAlignment="1">
      <alignment horizontal="left"/>
    </xf>
    <xf numFmtId="0" fontId="22" fillId="27" borderId="22" xfId="0" applyFont="1" applyFill="1" applyBorder="1"/>
    <xf numFmtId="0" fontId="13" fillId="27" borderId="22" xfId="0" applyFont="1" applyFill="1" applyBorder="1"/>
    <xf numFmtId="0" fontId="23" fillId="28" borderId="22" xfId="0" applyFont="1" applyFill="1" applyBorder="1" applyAlignment="1">
      <alignment horizontal="left"/>
    </xf>
    <xf numFmtId="0" fontId="14" fillId="28" borderId="22" xfId="0" applyFont="1" applyFill="1" applyBorder="1" applyAlignment="1">
      <alignment horizontal="left"/>
    </xf>
    <xf numFmtId="0" fontId="24" fillId="28" borderId="22" xfId="0" applyFont="1" applyFill="1" applyBorder="1" applyAlignment="1">
      <alignment horizontal="left"/>
    </xf>
    <xf numFmtId="0" fontId="20" fillId="28" borderId="22" xfId="0" applyFont="1" applyFill="1" applyBorder="1" applyAlignment="1">
      <alignment horizontal="left"/>
    </xf>
    <xf numFmtId="0" fontId="21" fillId="28" borderId="22" xfId="0" applyFont="1" applyFill="1" applyBorder="1" applyAlignment="1">
      <alignment horizontal="left"/>
    </xf>
    <xf numFmtId="0" fontId="29" fillId="28" borderId="22" xfId="0" applyFont="1" applyFill="1" applyBorder="1"/>
    <xf numFmtId="0" fontId="34" fillId="28" borderId="22" xfId="0" applyFont="1" applyFill="1" applyBorder="1" applyAlignment="1">
      <alignment horizontal="left"/>
    </xf>
    <xf numFmtId="0" fontId="32" fillId="28" borderId="22" xfId="0" applyFont="1" applyFill="1" applyBorder="1" applyAlignment="1">
      <alignment horizontal="left"/>
    </xf>
    <xf numFmtId="0" fontId="0" fillId="28" borderId="22" xfId="0" applyFill="1" applyBorder="1"/>
    <xf numFmtId="0" fontId="25" fillId="28" borderId="22" xfId="0" applyFont="1" applyFill="1" applyBorder="1"/>
    <xf numFmtId="0" fontId="22" fillId="29" borderId="0" xfId="0" applyFont="1" applyFill="1"/>
    <xf numFmtId="0" fontId="13" fillId="29" borderId="0" xfId="0" applyFont="1" applyFill="1"/>
    <xf numFmtId="0" fontId="23" fillId="30" borderId="0" xfId="0" applyFont="1" applyFill="1" applyBorder="1" applyAlignment="1">
      <alignment horizontal="left"/>
    </xf>
    <xf numFmtId="0" fontId="14" fillId="30" borderId="0" xfId="0" applyFont="1" applyFill="1" applyBorder="1" applyAlignment="1">
      <alignment horizontal="left"/>
    </xf>
    <xf numFmtId="0" fontId="24" fillId="30" borderId="0" xfId="0" applyFont="1" applyFill="1" applyBorder="1" applyAlignment="1">
      <alignment horizontal="left"/>
    </xf>
    <xf numFmtId="0" fontId="20" fillId="30" borderId="0" xfId="0" applyFont="1" applyFill="1" applyBorder="1" applyAlignment="1">
      <alignment horizontal="left"/>
    </xf>
    <xf numFmtId="0" fontId="23" fillId="30" borderId="0" xfId="0" applyFont="1" applyFill="1" applyAlignment="1">
      <alignment horizontal="left"/>
    </xf>
    <xf numFmtId="0" fontId="34" fillId="30" borderId="0" xfId="0" applyFont="1" applyFill="1" applyBorder="1" applyAlignment="1">
      <alignment horizontal="left"/>
    </xf>
    <xf numFmtId="0" fontId="0" fillId="30" borderId="0" xfId="0" applyFill="1"/>
    <xf numFmtId="0" fontId="25" fillId="30" borderId="0" xfId="0" applyFont="1" applyFill="1"/>
    <xf numFmtId="0" fontId="15" fillId="26" borderId="0" xfId="0" applyFont="1" applyFill="1" applyBorder="1" applyAlignment="1">
      <alignment horizontal="left"/>
    </xf>
    <xf numFmtId="0" fontId="23" fillId="26" borderId="0" xfId="0" applyFont="1" applyFill="1" applyAlignment="1">
      <alignment horizontal="left"/>
    </xf>
    <xf numFmtId="0" fontId="33" fillId="26" borderId="0" xfId="0" applyFont="1" applyFill="1" applyBorder="1" applyAlignment="1">
      <alignment horizontal="left"/>
    </xf>
    <xf numFmtId="0" fontId="24" fillId="30" borderId="0" xfId="0" applyFont="1" applyFill="1" applyAlignment="1">
      <alignment horizontal="left"/>
    </xf>
    <xf numFmtId="0" fontId="14" fillId="30" borderId="0" xfId="0" applyFont="1" applyFill="1" applyAlignment="1">
      <alignment horizontal="left"/>
    </xf>
    <xf numFmtId="0" fontId="20" fillId="30" borderId="0" xfId="0" applyFont="1" applyFill="1" applyAlignment="1">
      <alignment horizontal="left"/>
    </xf>
    <xf numFmtId="0" fontId="29" fillId="30" borderId="0" xfId="0" applyFont="1" applyFill="1"/>
    <xf numFmtId="0" fontId="32" fillId="30" borderId="0" xfId="0" applyFont="1" applyFill="1" applyBorder="1" applyAlignment="1">
      <alignment horizontal="left"/>
    </xf>
    <xf numFmtId="0" fontId="1" fillId="30" borderId="0" xfId="0" applyFont="1" applyFill="1"/>
    <xf numFmtId="0" fontId="23" fillId="26" borderId="8" xfId="0" applyFont="1" applyFill="1" applyBorder="1" applyAlignment="1">
      <alignment horizontal="left"/>
    </xf>
    <xf numFmtId="0" fontId="14" fillId="26" borderId="8" xfId="0" applyFont="1" applyFill="1" applyBorder="1" applyAlignment="1">
      <alignment horizontal="left"/>
    </xf>
    <xf numFmtId="0" fontId="27" fillId="26" borderId="0" xfId="0" applyFont="1" applyFill="1" applyAlignment="1">
      <alignment horizontal="left"/>
    </xf>
    <xf numFmtId="0" fontId="35" fillId="8" borderId="30" xfId="0" applyFont="1" applyFill="1" applyBorder="1" applyAlignment="1">
      <alignment horizontal="left"/>
    </xf>
    <xf numFmtId="0" fontId="38" fillId="0" borderId="8" xfId="0" applyFont="1" applyBorder="1" applyAlignment="1">
      <alignment horizontal="left"/>
    </xf>
    <xf numFmtId="0" fontId="38" fillId="18" borderId="28" xfId="0" applyFont="1" applyFill="1" applyBorder="1" applyAlignment="1">
      <alignment horizontal="left"/>
    </xf>
    <xf numFmtId="0" fontId="38" fillId="9" borderId="22" xfId="0" applyFont="1" applyFill="1" applyBorder="1" applyAlignment="1">
      <alignment horizontal="left"/>
    </xf>
    <xf numFmtId="0" fontId="38" fillId="19" borderId="29" xfId="0" applyFont="1" applyFill="1" applyBorder="1" applyAlignment="1">
      <alignment horizontal="left"/>
    </xf>
    <xf numFmtId="0" fontId="38" fillId="0" borderId="8" xfId="0" applyFont="1" applyFill="1" applyBorder="1" applyAlignment="1">
      <alignment horizontal="left"/>
    </xf>
    <xf numFmtId="0" fontId="39" fillId="0" borderId="0" xfId="0" applyFont="1" applyFill="1" applyBorder="1" applyAlignment="1">
      <alignment horizontal="left"/>
    </xf>
    <xf numFmtId="0" fontId="39" fillId="0" borderId="22" xfId="0" applyFont="1" applyFill="1" applyBorder="1" applyAlignment="1">
      <alignment horizontal="left"/>
    </xf>
    <xf numFmtId="0" fontId="40" fillId="17" borderId="22" xfId="0" applyFont="1" applyFill="1" applyBorder="1" applyAlignment="1">
      <alignment horizontal="left"/>
    </xf>
    <xf numFmtId="0" fontId="40" fillId="20" borderId="0" xfId="0" applyFont="1" applyFill="1" applyBorder="1" applyAlignment="1">
      <alignment horizontal="left"/>
    </xf>
    <xf numFmtId="0" fontId="40" fillId="0" borderId="0" xfId="0" applyFont="1" applyFill="1" applyBorder="1" applyAlignment="1">
      <alignment horizontal="left"/>
    </xf>
    <xf numFmtId="0" fontId="41" fillId="28" borderId="22" xfId="0" applyFont="1" applyFill="1" applyBorder="1" applyAlignment="1">
      <alignment horizontal="left"/>
    </xf>
    <xf numFmtId="0" fontId="39" fillId="28" borderId="22" xfId="0" applyFont="1" applyFill="1" applyBorder="1" applyAlignment="1">
      <alignment horizontal="left"/>
    </xf>
    <xf numFmtId="0" fontId="41" fillId="26" borderId="0" xfId="0" applyFont="1" applyFill="1" applyBorder="1" applyAlignment="1">
      <alignment horizontal="left"/>
    </xf>
    <xf numFmtId="0" fontId="40" fillId="26" borderId="0" xfId="0" applyFont="1" applyFill="1" applyBorder="1" applyAlignment="1">
      <alignment horizontal="left"/>
    </xf>
    <xf numFmtId="0" fontId="41" fillId="30" borderId="0" xfId="0" applyFont="1" applyFill="1" applyBorder="1" applyAlignment="1">
      <alignment horizontal="left"/>
    </xf>
    <xf numFmtId="0" fontId="39" fillId="30" borderId="0" xfId="0" applyFont="1" applyFill="1" applyBorder="1" applyAlignment="1">
      <alignment horizontal="left"/>
    </xf>
    <xf numFmtId="0" fontId="39" fillId="26" borderId="0" xfId="0" applyFont="1" applyFill="1" applyBorder="1" applyAlignment="1">
      <alignment horizontal="left"/>
    </xf>
    <xf numFmtId="0" fontId="38" fillId="0" borderId="0" xfId="0" applyFont="1"/>
    <xf numFmtId="0" fontId="35" fillId="0" borderId="30" xfId="0" applyFont="1" applyBorder="1" applyAlignment="1">
      <alignment horizontal="left"/>
    </xf>
    <xf numFmtId="0" fontId="36" fillId="0" borderId="30" xfId="0" applyFont="1" applyBorder="1" applyAlignment="1">
      <alignment horizontal="left"/>
    </xf>
    <xf numFmtId="0" fontId="42" fillId="31" borderId="22" xfId="0" applyFont="1" applyFill="1" applyBorder="1" applyAlignment="1">
      <alignment horizontal="left"/>
    </xf>
    <xf numFmtId="0" fontId="14" fillId="0" borderId="39" xfId="0" applyFont="1" applyFill="1" applyBorder="1" applyAlignment="1">
      <alignment horizontal="left"/>
    </xf>
    <xf numFmtId="0" fontId="19" fillId="0" borderId="30" xfId="0" applyFont="1" applyBorder="1" applyAlignment="1">
      <alignment horizontal="left"/>
    </xf>
    <xf numFmtId="0" fontId="20" fillId="0" borderId="0" xfId="0" quotePrefix="1" applyFont="1" applyFill="1" applyBorder="1" applyAlignment="1">
      <alignment horizontal="left"/>
    </xf>
    <xf numFmtId="0" fontId="18" fillId="0" borderId="30" xfId="0" applyFont="1" applyBorder="1" applyAlignment="1">
      <alignment horizontal="left"/>
    </xf>
    <xf numFmtId="0" fontId="32" fillId="0" borderId="0" xfId="0" applyFont="1" applyBorder="1" applyAlignment="1">
      <alignment horizontal="left"/>
    </xf>
    <xf numFmtId="0" fontId="32" fillId="0" borderId="34" xfId="0" applyFont="1" applyFill="1" applyBorder="1" applyAlignment="1">
      <alignment horizontal="left"/>
    </xf>
    <xf numFmtId="0" fontId="32" fillId="2" borderId="22" xfId="0" applyFont="1" applyFill="1" applyBorder="1" applyAlignment="1">
      <alignment horizontal="left"/>
    </xf>
    <xf numFmtId="0" fontId="32" fillId="0" borderId="35" xfId="0" applyFont="1" applyBorder="1" applyAlignment="1">
      <alignment horizontal="left"/>
    </xf>
    <xf numFmtId="0" fontId="32" fillId="0" borderId="0" xfId="0" quotePrefix="1" applyFont="1" applyFill="1" applyBorder="1" applyAlignment="1">
      <alignment horizontal="left"/>
    </xf>
    <xf numFmtId="0" fontId="20" fillId="0" borderId="40" xfId="0" applyFont="1" applyFill="1" applyBorder="1" applyAlignment="1">
      <alignment horizontal="left"/>
    </xf>
    <xf numFmtId="0" fontId="32" fillId="16" borderId="19" xfId="0" applyFont="1" applyFill="1" applyBorder="1" applyAlignment="1">
      <alignment horizontal="left"/>
    </xf>
    <xf numFmtId="0" fontId="32" fillId="16" borderId="25" xfId="0" applyFont="1" applyFill="1" applyBorder="1" applyAlignment="1">
      <alignment horizontal="left"/>
    </xf>
    <xf numFmtId="0" fontId="24" fillId="16" borderId="22" xfId="0" applyFont="1" applyFill="1" applyBorder="1" applyAlignment="1">
      <alignment horizontal="left"/>
    </xf>
    <xf numFmtId="0" fontId="14" fillId="0" borderId="0" xfId="0" quotePrefix="1" applyFont="1" applyBorder="1" applyAlignment="1">
      <alignment horizontal="left"/>
    </xf>
    <xf numFmtId="16" fontId="14" fillId="0" borderId="0" xfId="0" applyNumberFormat="1" applyFont="1" applyBorder="1" applyAlignment="1">
      <alignment horizontal="left"/>
    </xf>
    <xf numFmtId="16" fontId="20" fillId="0" borderId="0" xfId="0" applyNumberFormat="1" applyFont="1" applyBorder="1" applyAlignment="1">
      <alignment horizontal="left"/>
    </xf>
    <xf numFmtId="0" fontId="20" fillId="0" borderId="0" xfId="0" quotePrefix="1" applyFont="1" applyBorder="1" applyAlignment="1">
      <alignment horizontal="left"/>
    </xf>
    <xf numFmtId="0" fontId="18" fillId="0" borderId="41" xfId="0" applyFont="1" applyBorder="1" applyAlignment="1">
      <alignment horizontal="left"/>
    </xf>
    <xf numFmtId="0" fontId="20" fillId="0" borderId="39" xfId="0" applyFont="1" applyFill="1" applyBorder="1" applyAlignment="1">
      <alignment horizontal="left"/>
    </xf>
    <xf numFmtId="0" fontId="13" fillId="32" borderId="8" xfId="0" applyFont="1" applyFill="1" applyBorder="1" applyAlignment="1">
      <alignment horizontal="center"/>
    </xf>
    <xf numFmtId="0" fontId="13" fillId="20" borderId="22" xfId="0" applyFont="1" applyFill="1" applyBorder="1" applyAlignment="1">
      <alignment horizontal="center"/>
    </xf>
    <xf numFmtId="0" fontId="16" fillId="20" borderId="0" xfId="0" applyFont="1" applyFill="1" applyBorder="1" applyAlignment="1">
      <alignment horizontal="center"/>
    </xf>
    <xf numFmtId="0" fontId="16" fillId="20" borderId="8" xfId="0" applyFont="1" applyFill="1" applyBorder="1" applyAlignment="1">
      <alignment horizontal="center"/>
    </xf>
    <xf numFmtId="0" fontId="13" fillId="20" borderId="0" xfId="0" applyFont="1" applyFill="1" applyAlignment="1">
      <alignment horizontal="center"/>
    </xf>
    <xf numFmtId="0" fontId="13" fillId="6" borderId="0" xfId="0" applyFont="1" applyFill="1" applyBorder="1" applyAlignment="1">
      <alignment horizontal="center"/>
    </xf>
    <xf numFmtId="0" fontId="0" fillId="6" borderId="28" xfId="0" applyFill="1" applyBorder="1" applyAlignment="1">
      <alignment horizontal="left"/>
    </xf>
    <xf numFmtId="0" fontId="0" fillId="6" borderId="22" xfId="0" applyFill="1" applyBorder="1" applyAlignment="1">
      <alignment horizontal="left"/>
    </xf>
    <xf numFmtId="0" fontId="0" fillId="6" borderId="29" xfId="0" applyFill="1" applyBorder="1" applyAlignment="1">
      <alignment horizontal="left"/>
    </xf>
    <xf numFmtId="0" fontId="9" fillId="6" borderId="8" xfId="0" applyFont="1" applyFill="1" applyBorder="1" applyAlignment="1">
      <alignment horizontal="left"/>
    </xf>
    <xf numFmtId="0" fontId="6" fillId="6" borderId="8" xfId="0" applyFont="1" applyFill="1" applyBorder="1" applyAlignment="1">
      <alignment horizontal="left"/>
    </xf>
    <xf numFmtId="0" fontId="20" fillId="6" borderId="22" xfId="0" applyFont="1" applyFill="1" applyBorder="1" applyAlignment="1">
      <alignment horizontal="left"/>
    </xf>
    <xf numFmtId="0" fontId="15" fillId="6" borderId="22" xfId="0" applyFont="1" applyFill="1" applyBorder="1" applyAlignment="1">
      <alignment horizontal="left"/>
    </xf>
    <xf numFmtId="0" fontId="16" fillId="6" borderId="0" xfId="0" applyFont="1" applyFill="1" applyBorder="1" applyAlignment="1">
      <alignment horizontal="left"/>
    </xf>
    <xf numFmtId="0" fontId="23" fillId="6" borderId="22" xfId="0" applyFont="1" applyFill="1" applyBorder="1" applyAlignment="1">
      <alignment horizontal="left"/>
    </xf>
    <xf numFmtId="0" fontId="15" fillId="6" borderId="0" xfId="0" applyFont="1" applyFill="1" applyBorder="1" applyAlignment="1">
      <alignment horizontal="left"/>
    </xf>
    <xf numFmtId="0" fontId="14" fillId="6" borderId="22" xfId="0" applyFont="1" applyFill="1" applyBorder="1" applyAlignment="1">
      <alignment horizontal="left"/>
    </xf>
    <xf numFmtId="0" fontId="14" fillId="6" borderId="39" xfId="0" applyFont="1" applyFill="1" applyBorder="1" applyAlignment="1">
      <alignment horizontal="left"/>
    </xf>
    <xf numFmtId="0" fontId="14" fillId="6" borderId="28" xfId="0" applyFont="1" applyFill="1" applyBorder="1" applyAlignment="1">
      <alignment horizontal="left"/>
    </xf>
    <xf numFmtId="0" fontId="23" fillId="6" borderId="0" xfId="0" applyFont="1" applyFill="1" applyBorder="1" applyAlignment="1">
      <alignment horizontal="left"/>
    </xf>
    <xf numFmtId="0" fontId="19" fillId="20" borderId="0" xfId="0" applyFont="1" applyFill="1" applyBorder="1" applyAlignment="1">
      <alignment horizontal="center"/>
    </xf>
    <xf numFmtId="0" fontId="14" fillId="8" borderId="39" xfId="0" applyFont="1" applyFill="1" applyBorder="1" applyAlignment="1">
      <alignment horizontal="left"/>
    </xf>
    <xf numFmtId="0" fontId="43" fillId="0" borderId="0" xfId="0" applyFont="1"/>
    <xf numFmtId="0" fontId="14" fillId="6" borderId="0" xfId="0" applyFont="1" applyFill="1" applyAlignment="1">
      <alignment horizontal="left"/>
    </xf>
    <xf numFmtId="0" fontId="44" fillId="6" borderId="42" xfId="0" applyFont="1" applyFill="1" applyBorder="1" applyAlignment="1">
      <alignment horizontal="left"/>
    </xf>
    <xf numFmtId="0" fontId="45" fillId="0" borderId="30" xfId="0" applyFont="1" applyBorder="1" applyAlignment="1">
      <alignment horizontal="left"/>
    </xf>
    <xf numFmtId="0" fontId="18" fillId="2" borderId="8" xfId="0" applyFont="1" applyFill="1" applyBorder="1" applyAlignment="1">
      <alignment horizontal="left"/>
    </xf>
    <xf numFmtId="0" fontId="20" fillId="28" borderId="28" xfId="0" applyFont="1" applyFill="1" applyBorder="1" applyAlignment="1">
      <alignment horizontal="left"/>
    </xf>
    <xf numFmtId="0" fontId="14" fillId="0" borderId="40" xfId="0" applyFont="1" applyFill="1" applyBorder="1" applyAlignment="1">
      <alignment horizontal="left"/>
    </xf>
    <xf numFmtId="0" fontId="7" fillId="20" borderId="0" xfId="0" applyFont="1" applyFill="1" applyBorder="1" applyAlignment="1">
      <alignment horizontal="center"/>
    </xf>
    <xf numFmtId="0" fontId="6" fillId="18" borderId="28" xfId="0" applyFont="1" applyFill="1" applyBorder="1" applyAlignment="1">
      <alignment horizontal="left"/>
    </xf>
    <xf numFmtId="0" fontId="6" fillId="9" borderId="22" xfId="0" applyFont="1" applyFill="1" applyBorder="1" applyAlignment="1">
      <alignment horizontal="left"/>
    </xf>
    <xf numFmtId="0" fontId="6" fillId="19" borderId="29" xfId="0" applyFont="1" applyFill="1" applyBorder="1" applyAlignment="1">
      <alignment horizontal="left"/>
    </xf>
    <xf numFmtId="0" fontId="17" fillId="16" borderId="19" xfId="0" applyFont="1" applyFill="1" applyBorder="1" applyAlignment="1">
      <alignment horizontal="left"/>
    </xf>
    <xf numFmtId="0" fontId="17" fillId="16" borderId="25" xfId="0" applyFont="1" applyFill="1" applyBorder="1" applyAlignment="1">
      <alignment horizontal="left"/>
    </xf>
    <xf numFmtId="0" fontId="17" fillId="0" borderId="34" xfId="0" applyFont="1" applyBorder="1" applyAlignment="1">
      <alignment horizontal="left"/>
    </xf>
    <xf numFmtId="0" fontId="17" fillId="2" borderId="22" xfId="0" applyFont="1" applyFill="1" applyBorder="1" applyAlignment="1">
      <alignment horizontal="left"/>
    </xf>
    <xf numFmtId="0" fontId="17" fillId="0" borderId="35" xfId="0" applyFont="1" applyBorder="1" applyAlignment="1">
      <alignment horizontal="left"/>
    </xf>
    <xf numFmtId="0" fontId="37" fillId="17" borderId="22" xfId="0" applyFont="1" applyFill="1" applyBorder="1" applyAlignment="1">
      <alignment horizontal="left"/>
    </xf>
    <xf numFmtId="0" fontId="17" fillId="0" borderId="0" xfId="0" applyFont="1" applyFill="1" applyBorder="1" applyAlignment="1">
      <alignment horizontal="left"/>
    </xf>
    <xf numFmtId="0" fontId="46" fillId="3" borderId="22" xfId="0" applyFont="1" applyFill="1" applyBorder="1" applyAlignment="1">
      <alignment horizontal="left"/>
    </xf>
    <xf numFmtId="0" fontId="37" fillId="0" borderId="0" xfId="0" applyFont="1" applyFill="1" applyBorder="1" applyAlignment="1">
      <alignment horizontal="left"/>
    </xf>
    <xf numFmtId="0" fontId="46" fillId="28" borderId="22" xfId="0" applyFont="1" applyFill="1" applyBorder="1" applyAlignment="1">
      <alignment horizontal="left"/>
    </xf>
    <xf numFmtId="0" fontId="17" fillId="28" borderId="22" xfId="0" applyFont="1" applyFill="1" applyBorder="1" applyAlignment="1">
      <alignment horizontal="left"/>
    </xf>
    <xf numFmtId="0" fontId="46" fillId="26" borderId="0" xfId="0" applyFont="1" applyFill="1" applyBorder="1" applyAlignment="1">
      <alignment horizontal="left"/>
    </xf>
    <xf numFmtId="0" fontId="37" fillId="26" borderId="0" xfId="0" applyFont="1" applyFill="1" applyBorder="1" applyAlignment="1">
      <alignment horizontal="left"/>
    </xf>
    <xf numFmtId="0" fontId="46" fillId="30" borderId="0" xfId="0" applyFont="1" applyFill="1" applyBorder="1" applyAlignment="1">
      <alignment horizontal="left"/>
    </xf>
    <xf numFmtId="0" fontId="17" fillId="30" borderId="0" xfId="0" applyFont="1" applyFill="1" applyBorder="1" applyAlignment="1">
      <alignment horizontal="left"/>
    </xf>
    <xf numFmtId="0" fontId="17" fillId="26" borderId="0" xfId="0" applyFont="1" applyFill="1" applyBorder="1" applyAlignment="1">
      <alignment horizontal="left"/>
    </xf>
    <xf numFmtId="0" fontId="35" fillId="31" borderId="29" xfId="0" applyFont="1" applyFill="1" applyBorder="1" applyAlignment="1">
      <alignment horizontal="left"/>
    </xf>
    <xf numFmtId="0" fontId="14" fillId="0" borderId="0" xfId="0" applyNumberFormat="1" applyFont="1" applyBorder="1" applyAlignment="1">
      <alignment horizontal="left"/>
    </xf>
    <xf numFmtId="0" fontId="14" fillId="8" borderId="25" xfId="0" quotePrefix="1" applyFont="1" applyFill="1" applyBorder="1" applyAlignment="1">
      <alignment horizontal="left"/>
    </xf>
    <xf numFmtId="0" fontId="6" fillId="2" borderId="8" xfId="0" applyFont="1" applyFill="1" applyBorder="1" applyAlignment="1">
      <alignment horizontal="left"/>
    </xf>
    <xf numFmtId="0" fontId="17" fillId="0" borderId="0" xfId="0" quotePrefix="1" applyFont="1" applyBorder="1" applyAlignment="1">
      <alignment horizontal="left"/>
    </xf>
    <xf numFmtId="0" fontId="17" fillId="0" borderId="0" xfId="0" applyFont="1" applyFill="1" applyAlignment="1">
      <alignment horizontal="left"/>
    </xf>
    <xf numFmtId="0" fontId="17" fillId="8" borderId="19" xfId="0" applyFont="1" applyFill="1" applyBorder="1" applyAlignment="1">
      <alignment horizontal="left"/>
    </xf>
    <xf numFmtId="0" fontId="14" fillId="0" borderId="8" xfId="0" applyFont="1" applyBorder="1" applyAlignment="1">
      <alignment horizontal="left"/>
    </xf>
    <xf numFmtId="0" fontId="13" fillId="20" borderId="8" xfId="0" applyFont="1" applyFill="1" applyBorder="1" applyAlignment="1">
      <alignment horizontal="center"/>
    </xf>
    <xf numFmtId="0" fontId="14" fillId="0" borderId="22" xfId="0" applyFont="1" applyBorder="1" applyAlignment="1">
      <alignment horizontal="left"/>
    </xf>
    <xf numFmtId="0" fontId="20" fillId="2" borderId="35" xfId="0" applyFont="1" applyFill="1" applyBorder="1" applyAlignment="1">
      <alignment horizontal="left"/>
    </xf>
    <xf numFmtId="0" fontId="17" fillId="0" borderId="22" xfId="0" applyFont="1" applyBorder="1" applyAlignment="1">
      <alignment horizontal="left"/>
    </xf>
    <xf numFmtId="17" fontId="20" fillId="8" borderId="0" xfId="0" applyNumberFormat="1" applyFont="1" applyFill="1" applyBorder="1" applyAlignment="1">
      <alignment horizontal="left"/>
    </xf>
    <xf numFmtId="0" fontId="35" fillId="8" borderId="0" xfId="0" applyFont="1" applyFill="1" applyBorder="1" applyAlignment="1">
      <alignment horizontal="left"/>
    </xf>
    <xf numFmtId="0" fontId="35" fillId="0" borderId="0" xfId="0" applyFont="1" applyBorder="1" applyAlignment="1">
      <alignment horizontal="left"/>
    </xf>
    <xf numFmtId="0" fontId="20" fillId="0" borderId="30" xfId="0" applyFont="1" applyFill="1" applyBorder="1" applyAlignment="1">
      <alignment horizontal="left"/>
    </xf>
    <xf numFmtId="0" fontId="14" fillId="0" borderId="30" xfId="0" applyFont="1" applyFill="1" applyBorder="1" applyAlignment="1">
      <alignment horizontal="left"/>
    </xf>
    <xf numFmtId="0" fontId="36" fillId="0" borderId="0" xfId="0" applyFont="1" applyBorder="1" applyAlignment="1">
      <alignment horizontal="left"/>
    </xf>
    <xf numFmtId="0" fontId="21" fillId="0" borderId="30" xfId="0" applyFont="1" applyFill="1" applyBorder="1" applyAlignment="1">
      <alignment horizontal="left"/>
    </xf>
    <xf numFmtId="0" fontId="19" fillId="0" borderId="0" xfId="0" applyFont="1" applyBorder="1" applyAlignment="1">
      <alignment horizontal="left"/>
    </xf>
    <xf numFmtId="0" fontId="15" fillId="0" borderId="30" xfId="0" applyFont="1" applyFill="1" applyBorder="1" applyAlignment="1">
      <alignment horizontal="left"/>
    </xf>
    <xf numFmtId="0" fontId="19" fillId="0" borderId="0" xfId="0" applyFont="1" applyFill="1" applyBorder="1" applyAlignment="1">
      <alignment horizontal="left"/>
    </xf>
    <xf numFmtId="0" fontId="36" fillId="0" borderId="0" xfId="0" applyFont="1" applyFill="1" applyBorder="1" applyAlignment="1">
      <alignment horizontal="left"/>
    </xf>
    <xf numFmtId="0" fontId="45" fillId="0" borderId="0" xfId="0" applyFont="1" applyBorder="1" applyAlignment="1">
      <alignment horizontal="left"/>
    </xf>
    <xf numFmtId="0" fontId="23" fillId="30" borderId="22" xfId="0" applyFont="1" applyFill="1" applyBorder="1" applyAlignment="1">
      <alignment horizontal="left"/>
    </xf>
    <xf numFmtId="0" fontId="23" fillId="28" borderId="0" xfId="0" applyFont="1" applyFill="1" applyBorder="1" applyAlignment="1">
      <alignment horizontal="left"/>
    </xf>
    <xf numFmtId="0" fontId="14" fillId="30" borderId="22" xfId="0" applyFont="1" applyFill="1" applyBorder="1" applyAlignment="1">
      <alignment horizontal="left"/>
    </xf>
    <xf numFmtId="0" fontId="14" fillId="28" borderId="0" xfId="0" applyFont="1" applyFill="1" applyBorder="1" applyAlignment="1">
      <alignment horizontal="left"/>
    </xf>
    <xf numFmtId="0" fontId="21" fillId="0" borderId="39" xfId="0" applyFont="1" applyFill="1" applyBorder="1" applyAlignment="1">
      <alignment horizontal="left"/>
    </xf>
    <xf numFmtId="0" fontId="15" fillId="0" borderId="39" xfId="0" applyFont="1" applyFill="1" applyBorder="1" applyAlignment="1">
      <alignment horizontal="left"/>
    </xf>
    <xf numFmtId="0" fontId="24" fillId="28" borderId="0" xfId="0" applyFont="1" applyFill="1" applyBorder="1" applyAlignment="1">
      <alignment horizontal="left"/>
    </xf>
    <xf numFmtId="0" fontId="14" fillId="28" borderId="28" xfId="0" applyFont="1" applyFill="1" applyBorder="1" applyAlignment="1">
      <alignment horizontal="left"/>
    </xf>
    <xf numFmtId="0" fontId="20" fillId="28" borderId="0" xfId="0" applyFont="1" applyFill="1" applyBorder="1" applyAlignment="1">
      <alignment horizontal="left"/>
    </xf>
    <xf numFmtId="0" fontId="42" fillId="31" borderId="0" xfId="0" applyFont="1" applyFill="1" applyBorder="1" applyAlignment="1">
      <alignment horizontal="left"/>
    </xf>
    <xf numFmtId="0" fontId="35" fillId="31" borderId="0" xfId="0" applyFont="1" applyFill="1" applyBorder="1" applyAlignment="1">
      <alignment horizontal="left"/>
    </xf>
    <xf numFmtId="0" fontId="14" fillId="30" borderId="29" xfId="0" applyFont="1" applyFill="1" applyBorder="1" applyAlignment="1">
      <alignment horizontal="left"/>
    </xf>
    <xf numFmtId="0" fontId="24" fillId="26" borderId="8" xfId="0" applyFont="1" applyFill="1" applyBorder="1" applyAlignment="1">
      <alignment horizontal="left"/>
    </xf>
    <xf numFmtId="0" fontId="14" fillId="26" borderId="22" xfId="0" applyFont="1" applyFill="1" applyBorder="1" applyAlignment="1">
      <alignment horizontal="left"/>
    </xf>
    <xf numFmtId="0" fontId="14" fillId="0" borderId="30" xfId="0" applyFont="1" applyBorder="1" applyAlignment="1">
      <alignment horizontal="left"/>
    </xf>
    <xf numFmtId="0" fontId="14" fillId="16" borderId="39" xfId="0" applyFont="1" applyFill="1" applyBorder="1" applyAlignment="1">
      <alignment horizontal="left"/>
    </xf>
    <xf numFmtId="3" fontId="20" fillId="0" borderId="0" xfId="0" applyNumberFormat="1" applyFont="1" applyFill="1" applyBorder="1" applyAlignment="1">
      <alignment horizontal="left"/>
    </xf>
    <xf numFmtId="0" fontId="14" fillId="0" borderId="41" xfId="0" applyFont="1" applyFill="1" applyBorder="1" applyAlignment="1">
      <alignment horizontal="left"/>
    </xf>
    <xf numFmtId="0" fontId="47" fillId="17" borderId="22" xfId="0" applyFont="1" applyFill="1" applyBorder="1" applyAlignment="1">
      <alignment horizontal="left"/>
    </xf>
    <xf numFmtId="0" fontId="48" fillId="0" borderId="0" xfId="0" applyFont="1"/>
    <xf numFmtId="0" fontId="23" fillId="3" borderId="0" xfId="0" applyFont="1" applyFill="1" applyBorder="1" applyAlignment="1">
      <alignment horizontal="left"/>
    </xf>
    <xf numFmtId="0" fontId="23" fillId="26" borderId="22" xfId="0" applyFont="1" applyFill="1" applyBorder="1" applyAlignment="1">
      <alignment horizontal="left"/>
    </xf>
    <xf numFmtId="0" fontId="50" fillId="0" borderId="0" xfId="0" applyFont="1" applyFill="1" applyBorder="1" applyAlignment="1">
      <alignment horizontal="left"/>
    </xf>
    <xf numFmtId="0" fontId="49" fillId="0" borderId="0" xfId="0" applyFont="1"/>
    <xf numFmtId="0" fontId="1" fillId="20" borderId="0" xfId="0" applyFont="1" applyFill="1" applyBorder="1" applyAlignment="1">
      <alignment horizontal="center"/>
    </xf>
    <xf numFmtId="0" fontId="32" fillId="0" borderId="34" xfId="0" applyFont="1" applyBorder="1" applyAlignment="1">
      <alignment horizontal="left"/>
    </xf>
    <xf numFmtId="0" fontId="32" fillId="0" borderId="0" xfId="0" quotePrefix="1" applyFont="1" applyBorder="1" applyAlignment="1">
      <alignment horizontal="left"/>
    </xf>
    <xf numFmtId="0" fontId="18" fillId="3" borderId="8" xfId="0" applyFont="1" applyFill="1" applyBorder="1" applyAlignment="1">
      <alignment horizontal="left"/>
    </xf>
    <xf numFmtId="0" fontId="51" fillId="0" borderId="0" xfId="0" applyFont="1"/>
    <xf numFmtId="0" fontId="15" fillId="0" borderId="22" xfId="0" applyFont="1" applyFill="1" applyBorder="1" applyAlignment="1">
      <alignment horizontal="left"/>
    </xf>
    <xf numFmtId="0" fontId="52" fillId="0" borderId="0" xfId="0" applyFont="1"/>
    <xf numFmtId="0" fontId="18" fillId="0" borderId="0" xfId="0" applyFont="1" applyFill="1" applyBorder="1" applyAlignment="1">
      <alignment horizontal="left"/>
    </xf>
    <xf numFmtId="0" fontId="0" fillId="0" borderId="0" xfId="0" applyFont="1" applyFill="1" applyBorder="1" applyAlignment="1">
      <alignment horizontal="left"/>
    </xf>
    <xf numFmtId="0" fontId="32" fillId="0" borderId="0" xfId="0" applyFont="1" applyFill="1" applyBorder="1" applyAlignment="1">
      <alignment horizontal="left" wrapText="1"/>
    </xf>
    <xf numFmtId="0" fontId="21" fillId="0" borderId="8" xfId="0" applyFont="1" applyFill="1" applyBorder="1" applyAlignment="1">
      <alignment horizontal="left"/>
    </xf>
    <xf numFmtId="0" fontId="14" fillId="30" borderId="8" xfId="0" applyFont="1" applyFill="1" applyBorder="1" applyAlignment="1">
      <alignment horizontal="left"/>
    </xf>
    <xf numFmtId="0" fontId="14" fillId="0" borderId="0" xfId="0" applyFont="1" applyBorder="1" applyAlignment="1">
      <alignment horizontal="left" wrapText="1"/>
    </xf>
    <xf numFmtId="0" fontId="44" fillId="3" borderId="22" xfId="0" applyFont="1" applyFill="1" applyBorder="1" applyAlignment="1">
      <alignment horizontal="left"/>
    </xf>
    <xf numFmtId="0" fontId="20" fillId="8" borderId="19" xfId="0" applyFont="1" applyFill="1" applyBorder="1" applyAlignment="1">
      <alignment horizontal="left"/>
    </xf>
    <xf numFmtId="0" fontId="20" fillId="8" borderId="25" xfId="0" applyFont="1" applyFill="1" applyBorder="1" applyAlignment="1">
      <alignment horizontal="left"/>
    </xf>
    <xf numFmtId="0" fontId="20" fillId="5" borderId="34" xfId="0" applyFont="1" applyFill="1" applyBorder="1" applyAlignment="1">
      <alignment horizontal="left"/>
    </xf>
    <xf numFmtId="0" fontId="20" fillId="2" borderId="0" xfId="0" applyFont="1" applyFill="1" applyBorder="1" applyAlignment="1">
      <alignment horizontal="left"/>
    </xf>
    <xf numFmtId="0" fontId="56" fillId="3" borderId="22" xfId="0" applyFont="1" applyFill="1" applyBorder="1" applyAlignment="1">
      <alignment horizontal="left"/>
    </xf>
    <xf numFmtId="0" fontId="20" fillId="0" borderId="0" xfId="0" applyFont="1" applyFill="1" applyBorder="1" applyAlignment="1">
      <alignment horizontal="left" wrapText="1"/>
    </xf>
    <xf numFmtId="0" fontId="14" fillId="0" borderId="22" xfId="0" applyFont="1" applyFill="1" applyBorder="1" applyAlignment="1">
      <alignment horizontal="left"/>
    </xf>
    <xf numFmtId="0" fontId="23" fillId="26" borderId="39" xfId="0" applyFont="1" applyFill="1" applyBorder="1" applyAlignment="1">
      <alignment horizontal="left"/>
    </xf>
    <xf numFmtId="0" fontId="14" fillId="0" borderId="0" xfId="0" applyNumberFormat="1" applyFont="1" applyFill="1" applyBorder="1" applyAlignment="1">
      <alignment horizontal="left"/>
    </xf>
    <xf numFmtId="0" fontId="13" fillId="33" borderId="0" xfId="0" applyFont="1" applyFill="1"/>
    <xf numFmtId="0" fontId="14" fillId="8" borderId="0" xfId="0" applyNumberFormat="1" applyFont="1" applyFill="1" applyBorder="1" applyAlignment="1">
      <alignment horizontal="left"/>
    </xf>
    <xf numFmtId="0" fontId="7" fillId="34" borderId="0" xfId="0" applyFont="1" applyFill="1" applyBorder="1"/>
    <xf numFmtId="0" fontId="14" fillId="19" borderId="0" xfId="0" applyFont="1" applyFill="1" applyBorder="1" applyAlignment="1">
      <alignment horizontal="left"/>
    </xf>
    <xf numFmtId="0" fontId="20" fillId="19" borderId="0" xfId="0" applyFont="1" applyFill="1" applyBorder="1" applyAlignment="1">
      <alignment horizontal="left"/>
    </xf>
    <xf numFmtId="0" fontId="17" fillId="19" borderId="0" xfId="0" applyFont="1" applyFill="1" applyBorder="1" applyAlignment="1">
      <alignment horizontal="left"/>
    </xf>
    <xf numFmtId="0" fontId="32" fillId="19" borderId="0" xfId="0" applyFont="1" applyFill="1" applyBorder="1" applyAlignment="1">
      <alignment horizontal="left"/>
    </xf>
    <xf numFmtId="0" fontId="18" fillId="19" borderId="0" xfId="0" applyFont="1" applyFill="1" applyBorder="1" applyAlignment="1">
      <alignment horizontal="left"/>
    </xf>
    <xf numFmtId="0" fontId="0" fillId="19" borderId="0" xfId="0" applyFill="1" applyBorder="1" applyAlignment="1">
      <alignment horizontal="left"/>
    </xf>
    <xf numFmtId="0" fontId="39" fillId="19" borderId="0" xfId="0" applyFont="1" applyFill="1" applyBorder="1" applyAlignment="1">
      <alignment horizontal="left"/>
    </xf>
    <xf numFmtId="0" fontId="36" fillId="35" borderId="22" xfId="0" applyFont="1" applyFill="1" applyBorder="1" applyAlignment="1">
      <alignment horizontal="left"/>
    </xf>
    <xf numFmtId="0" fontId="19" fillId="35" borderId="22" xfId="0" applyFont="1" applyFill="1" applyBorder="1" applyAlignment="1">
      <alignment horizontal="left"/>
    </xf>
    <xf numFmtId="0" fontId="1" fillId="0" borderId="0" xfId="0" applyFont="1" applyFill="1"/>
    <xf numFmtId="0" fontId="0" fillId="0" borderId="22" xfId="0" applyFill="1" applyBorder="1"/>
    <xf numFmtId="0" fontId="13" fillId="0" borderId="0" xfId="0" applyFont="1" applyFill="1" applyAlignment="1">
      <alignment horizontal="center"/>
    </xf>
    <xf numFmtId="0" fontId="1" fillId="0" borderId="0" xfId="0" applyFont="1" applyFill="1" applyAlignment="1">
      <alignment horizontal="center"/>
    </xf>
    <xf numFmtId="0" fontId="7" fillId="33" borderId="0" xfId="0" applyFont="1" applyFill="1"/>
    <xf numFmtId="0" fontId="14" fillId="0" borderId="34" xfId="0" quotePrefix="1" applyFont="1" applyBorder="1" applyAlignment="1">
      <alignment horizontal="left"/>
    </xf>
    <xf numFmtId="0" fontId="20" fillId="0" borderId="34" xfId="0" quotePrefix="1" applyFont="1" applyBorder="1" applyAlignment="1">
      <alignment horizontal="left"/>
    </xf>
    <xf numFmtId="0" fontId="20" fillId="0" borderId="8" xfId="0" applyFont="1" applyBorder="1" applyAlignment="1">
      <alignment horizontal="left"/>
    </xf>
    <xf numFmtId="0" fontId="60" fillId="31" borderId="22" xfId="0" applyFont="1" applyFill="1" applyBorder="1" applyAlignment="1">
      <alignment horizontal="left"/>
    </xf>
    <xf numFmtId="0" fontId="18" fillId="31" borderId="22" xfId="0" applyFont="1" applyFill="1" applyBorder="1" applyAlignment="1">
      <alignment horizontal="left"/>
    </xf>
    <xf numFmtId="0" fontId="61" fillId="0" borderId="0" xfId="0" applyFont="1"/>
    <xf numFmtId="0" fontId="63" fillId="20" borderId="0" xfId="0" applyFont="1" applyFill="1" applyBorder="1" applyAlignment="1">
      <alignment horizontal="center"/>
    </xf>
    <xf numFmtId="0" fontId="13" fillId="12" borderId="8" xfId="0" applyFont="1" applyFill="1" applyBorder="1" applyAlignment="1">
      <alignment horizontal="center"/>
    </xf>
    <xf numFmtId="0" fontId="0" fillId="0" borderId="0" xfId="0" applyFont="1" applyBorder="1" applyAlignment="1">
      <alignment horizontal="left"/>
    </xf>
    <xf numFmtId="0" fontId="64" fillId="6" borderId="19" xfId="0" applyFont="1" applyFill="1" applyBorder="1" applyAlignment="1">
      <alignment horizontal="left"/>
    </xf>
    <xf numFmtId="0" fontId="64" fillId="6" borderId="25" xfId="0" applyFont="1" applyFill="1" applyBorder="1" applyAlignment="1">
      <alignment horizontal="left"/>
    </xf>
    <xf numFmtId="0" fontId="32" fillId="6" borderId="0" xfId="0" applyFont="1" applyFill="1" applyBorder="1" applyAlignment="1">
      <alignment horizontal="left"/>
    </xf>
    <xf numFmtId="0" fontId="33" fillId="6" borderId="0" xfId="0" applyFont="1" applyFill="1" applyBorder="1" applyAlignment="1">
      <alignment horizontal="left"/>
    </xf>
    <xf numFmtId="0" fontId="33" fillId="6" borderId="22" xfId="0" applyFont="1" applyFill="1" applyBorder="1" applyAlignment="1">
      <alignment horizontal="left"/>
    </xf>
    <xf numFmtId="0" fontId="32" fillId="6" borderId="34" xfId="0" applyFont="1" applyFill="1" applyBorder="1" applyAlignment="1">
      <alignment horizontal="left"/>
    </xf>
    <xf numFmtId="0" fontId="32" fillId="6" borderId="22" xfId="0" applyFont="1" applyFill="1" applyBorder="1" applyAlignment="1">
      <alignment horizontal="left"/>
    </xf>
    <xf numFmtId="0" fontId="32" fillId="6" borderId="35" xfId="0" applyFont="1" applyFill="1" applyBorder="1" applyAlignment="1">
      <alignment horizontal="left"/>
    </xf>
    <xf numFmtId="0" fontId="34" fillId="6" borderId="22" xfId="0" applyFont="1" applyFill="1" applyBorder="1" applyAlignment="1">
      <alignment horizontal="left"/>
    </xf>
    <xf numFmtId="0" fontId="65" fillId="0" borderId="0" xfId="0" applyFont="1"/>
    <xf numFmtId="0" fontId="66" fillId="0" borderId="0" xfId="0" applyFont="1" applyFill="1" applyBorder="1" applyAlignment="1">
      <alignment horizontal="left"/>
    </xf>
    <xf numFmtId="0" fontId="44" fillId="6" borderId="22" xfId="0" applyFont="1" applyFill="1" applyBorder="1" applyAlignment="1">
      <alignment horizontal="left"/>
    </xf>
    <xf numFmtId="0" fontId="1" fillId="0" borderId="0" xfId="0" applyFont="1" applyFill="1" applyBorder="1" applyAlignment="1">
      <alignment horizontal="left"/>
    </xf>
    <xf numFmtId="0" fontId="0" fillId="0" borderId="0" xfId="0" applyFill="1" applyBorder="1"/>
    <xf numFmtId="0" fontId="25" fillId="0" borderId="0" xfId="0" applyFont="1" applyFill="1" applyBorder="1"/>
    <xf numFmtId="0" fontId="14" fillId="3" borderId="25" xfId="0" applyFont="1" applyFill="1" applyBorder="1" applyAlignment="1">
      <alignment horizontal="left"/>
    </xf>
    <xf numFmtId="0" fontId="20" fillId="3" borderId="25" xfId="0" applyFont="1" applyFill="1" applyBorder="1" applyAlignment="1">
      <alignment horizontal="left"/>
    </xf>
    <xf numFmtId="0" fontId="14" fillId="19" borderId="0" xfId="0" applyFont="1" applyFill="1" applyBorder="1" applyAlignment="1">
      <alignment horizontal="left" wrapText="1"/>
    </xf>
    <xf numFmtId="0" fontId="20" fillId="19" borderId="0" xfId="0" applyFont="1" applyFill="1" applyBorder="1" applyAlignment="1">
      <alignment horizontal="left" wrapText="1"/>
    </xf>
    <xf numFmtId="0" fontId="21" fillId="0" borderId="0" xfId="0" applyFont="1" applyBorder="1" applyAlignment="1">
      <alignment horizontal="left"/>
    </xf>
    <xf numFmtId="0" fontId="20" fillId="28" borderId="22" xfId="0" applyFont="1" applyFill="1" applyBorder="1" applyAlignment="1">
      <alignment horizontal="left" wrapText="1"/>
    </xf>
    <xf numFmtId="0" fontId="0" fillId="0" borderId="0" xfId="0" applyAlignment="1">
      <alignment vertical="center"/>
    </xf>
    <xf numFmtId="0" fontId="67" fillId="37" borderId="30" xfId="0" applyFont="1" applyFill="1" applyBorder="1"/>
    <xf numFmtId="0" fontId="13" fillId="12" borderId="30" xfId="0" applyFont="1" applyFill="1" applyBorder="1"/>
    <xf numFmtId="0" fontId="14" fillId="8" borderId="0" xfId="0" applyFont="1" applyFill="1" applyBorder="1" applyAlignment="1">
      <alignment wrapText="1"/>
    </xf>
    <xf numFmtId="10" fontId="14" fillId="0" borderId="0" xfId="0" applyNumberFormat="1" applyFont="1" applyFill="1" applyBorder="1" applyAlignment="1">
      <alignment horizontal="left"/>
    </xf>
    <xf numFmtId="0" fontId="1" fillId="6" borderId="19" xfId="0" applyFont="1" applyFill="1" applyBorder="1" applyAlignment="1">
      <alignment horizontal="left"/>
    </xf>
    <xf numFmtId="0" fontId="1" fillId="6" borderId="25" xfId="0" applyFont="1" applyFill="1" applyBorder="1" applyAlignment="1">
      <alignment horizontal="left"/>
    </xf>
    <xf numFmtId="0" fontId="14" fillId="0" borderId="25" xfId="0" applyFont="1" applyBorder="1" applyAlignment="1">
      <alignment horizontal="left"/>
    </xf>
    <xf numFmtId="0" fontId="0" fillId="6" borderId="0" xfId="0" applyFont="1" applyFill="1" applyBorder="1" applyAlignment="1">
      <alignment horizontal="left"/>
    </xf>
    <xf numFmtId="0" fontId="15" fillId="17" borderId="28" xfId="0" applyFont="1" applyFill="1" applyBorder="1" applyAlignment="1">
      <alignment horizontal="left"/>
    </xf>
    <xf numFmtId="0" fontId="32" fillId="6" borderId="30" xfId="0" applyFont="1" applyFill="1" applyBorder="1" applyAlignment="1">
      <alignment horizontal="left"/>
    </xf>
    <xf numFmtId="0" fontId="23" fillId="4" borderId="22" xfId="0" applyFont="1" applyFill="1" applyBorder="1" applyAlignment="1">
      <alignment horizontal="left"/>
    </xf>
    <xf numFmtId="0" fontId="23" fillId="3" borderId="42" xfId="0" applyFont="1" applyFill="1" applyBorder="1" applyAlignment="1">
      <alignment horizontal="left"/>
    </xf>
    <xf numFmtId="0" fontId="24" fillId="3" borderId="42" xfId="0" applyFont="1" applyFill="1" applyBorder="1" applyAlignment="1">
      <alignment horizontal="left"/>
    </xf>
    <xf numFmtId="0" fontId="21" fillId="0" borderId="22" xfId="0" applyFont="1" applyFill="1" applyBorder="1" applyAlignment="1">
      <alignment horizontal="left"/>
    </xf>
    <xf numFmtId="0" fontId="24" fillId="30" borderId="22" xfId="0" applyFont="1" applyFill="1" applyBorder="1" applyAlignment="1">
      <alignment horizontal="left"/>
    </xf>
    <xf numFmtId="0" fontId="35" fillId="36" borderId="22" xfId="0" applyFont="1" applyFill="1" applyBorder="1" applyAlignment="1">
      <alignment horizontal="left"/>
    </xf>
    <xf numFmtId="0" fontId="20" fillId="30" borderId="22" xfId="0" applyFont="1" applyFill="1" applyBorder="1" applyAlignment="1">
      <alignment horizontal="left"/>
    </xf>
    <xf numFmtId="0" fontId="57" fillId="8" borderId="22" xfId="0" applyFont="1" applyFill="1" applyBorder="1"/>
    <xf numFmtId="0" fontId="52" fillId="28" borderId="22" xfId="0" applyFont="1" applyFill="1" applyBorder="1"/>
    <xf numFmtId="0" fontId="54" fillId="28" borderId="22" xfId="0" applyFont="1" applyFill="1" applyBorder="1"/>
    <xf numFmtId="0" fontId="34" fillId="28" borderId="0" xfId="0" applyFont="1" applyFill="1" applyBorder="1" applyAlignment="1">
      <alignment horizontal="left"/>
    </xf>
    <xf numFmtId="0" fontId="35" fillId="36" borderId="0" xfId="0" applyFont="1" applyFill="1" applyBorder="1" applyAlignment="1">
      <alignment horizontal="left"/>
    </xf>
    <xf numFmtId="0" fontId="32" fillId="28" borderId="0" xfId="0" applyFont="1" applyFill="1" applyBorder="1" applyAlignment="1">
      <alignment horizontal="left"/>
    </xf>
    <xf numFmtId="0" fontId="60" fillId="31" borderId="0" xfId="0" applyFont="1" applyFill="1" applyBorder="1" applyAlignment="1">
      <alignment horizontal="left"/>
    </xf>
    <xf numFmtId="0" fontId="18" fillId="31" borderId="0" xfId="0" applyFont="1" applyFill="1" applyBorder="1" applyAlignment="1">
      <alignment horizontal="left"/>
    </xf>
    <xf numFmtId="0" fontId="14" fillId="0" borderId="43" xfId="0" applyFont="1" applyFill="1" applyBorder="1" applyAlignment="1">
      <alignment horizontal="left"/>
    </xf>
    <xf numFmtId="0" fontId="20" fillId="0" borderId="0" xfId="0" applyNumberFormat="1" applyFont="1" applyFill="1" applyBorder="1" applyAlignment="1">
      <alignment horizontal="left"/>
    </xf>
    <xf numFmtId="0" fontId="15" fillId="0" borderId="8" xfId="0" applyFont="1" applyFill="1" applyBorder="1" applyAlignment="1">
      <alignment horizontal="left"/>
    </xf>
    <xf numFmtId="0" fontId="15" fillId="0" borderId="43" xfId="0" applyFont="1" applyFill="1" applyBorder="1" applyAlignment="1">
      <alignment horizontal="left"/>
    </xf>
    <xf numFmtId="0" fontId="59" fillId="0" borderId="0" xfId="0" applyFont="1" applyFill="1" applyBorder="1" applyAlignment="1">
      <alignment horizontal="left"/>
    </xf>
    <xf numFmtId="0" fontId="15" fillId="26" borderId="22" xfId="0" applyFont="1" applyFill="1" applyBorder="1" applyAlignment="1">
      <alignment horizontal="left"/>
    </xf>
    <xf numFmtId="0" fontId="20" fillId="30" borderId="29" xfId="0" applyFont="1" applyFill="1" applyBorder="1" applyAlignment="1">
      <alignment horizontal="left"/>
    </xf>
    <xf numFmtId="0" fontId="13" fillId="12" borderId="0" xfId="0" applyFont="1" applyFill="1" applyBorder="1"/>
    <xf numFmtId="0" fontId="14" fillId="8" borderId="20" xfId="0" applyFont="1" applyFill="1" applyBorder="1" applyAlignment="1">
      <alignment horizontal="left"/>
    </xf>
    <xf numFmtId="0" fontId="14" fillId="8" borderId="26" xfId="0" quotePrefix="1" applyFont="1" applyFill="1" applyBorder="1" applyAlignment="1">
      <alignment horizontal="left"/>
    </xf>
    <xf numFmtId="0" fontId="0" fillId="0" borderId="29" xfId="0" applyBorder="1" applyAlignment="1">
      <alignment horizontal="left"/>
    </xf>
    <xf numFmtId="0" fontId="14" fillId="0" borderId="37" xfId="0" applyFont="1" applyBorder="1" applyAlignment="1">
      <alignment horizontal="left"/>
    </xf>
    <xf numFmtId="0" fontId="32" fillId="2" borderId="35" xfId="0" applyFont="1" applyFill="1" applyBorder="1" applyAlignment="1">
      <alignment horizontal="left"/>
    </xf>
    <xf numFmtId="0" fontId="23" fillId="28" borderId="30" xfId="0" applyFont="1" applyFill="1" applyBorder="1" applyAlignment="1">
      <alignment horizontal="left"/>
    </xf>
    <xf numFmtId="0" fontId="14" fillId="28" borderId="30" xfId="0" applyFont="1" applyFill="1" applyBorder="1" applyAlignment="1">
      <alignment horizontal="left"/>
    </xf>
    <xf numFmtId="0" fontId="33" fillId="0" borderId="39" xfId="0" applyFont="1" applyFill="1" applyBorder="1" applyAlignment="1">
      <alignment horizontal="left"/>
    </xf>
    <xf numFmtId="0" fontId="23" fillId="30" borderId="30" xfId="0" applyFont="1" applyFill="1" applyBorder="1" applyAlignment="1">
      <alignment horizontal="left"/>
    </xf>
    <xf numFmtId="0" fontId="14" fillId="30" borderId="30" xfId="0" applyFont="1" applyFill="1" applyBorder="1" applyAlignment="1">
      <alignment horizontal="left"/>
    </xf>
    <xf numFmtId="0" fontId="34" fillId="26" borderId="8" xfId="0" applyFont="1" applyFill="1" applyBorder="1" applyAlignment="1">
      <alignment horizontal="left"/>
    </xf>
    <xf numFmtId="0" fontId="0" fillId="38" borderId="0" xfId="0" applyFont="1" applyFill="1" applyBorder="1" applyAlignment="1">
      <alignment horizontal="left"/>
    </xf>
    <xf numFmtId="0" fontId="38" fillId="0" borderId="0" xfId="0" applyFont="1" applyBorder="1" applyAlignment="1">
      <alignment horizontal="left"/>
    </xf>
    <xf numFmtId="0" fontId="6" fillId="0" borderId="0" xfId="0" applyFont="1" applyBorder="1" applyAlignment="1">
      <alignment horizontal="left"/>
    </xf>
    <xf numFmtId="0" fontId="32" fillId="6" borderId="19" xfId="0" applyFont="1" applyFill="1" applyBorder="1" applyAlignment="1">
      <alignment horizontal="left"/>
    </xf>
    <xf numFmtId="0" fontId="32" fillId="6" borderId="25" xfId="0" applyFont="1" applyFill="1" applyBorder="1" applyAlignment="1">
      <alignment horizontal="left"/>
    </xf>
    <xf numFmtId="0" fontId="14" fillId="19" borderId="22" xfId="0" applyFont="1" applyFill="1" applyBorder="1" applyAlignment="1">
      <alignment horizontal="left"/>
    </xf>
    <xf numFmtId="0" fontId="14" fillId="16" borderId="25" xfId="0" quotePrefix="1" applyFont="1" applyFill="1" applyBorder="1" applyAlignment="1">
      <alignment horizontal="left"/>
    </xf>
    <xf numFmtId="0" fontId="14" fillId="16" borderId="22" xfId="0" applyFont="1" applyFill="1" applyBorder="1" applyAlignment="1">
      <alignment horizontal="left"/>
    </xf>
    <xf numFmtId="0" fontId="13" fillId="17" borderId="22" xfId="0" applyFont="1" applyFill="1" applyBorder="1" applyAlignment="1">
      <alignment horizontal="center"/>
    </xf>
    <xf numFmtId="0" fontId="0" fillId="0" borderId="25" xfId="0" applyFont="1" applyBorder="1" applyAlignment="1">
      <alignment horizontal="left"/>
    </xf>
    <xf numFmtId="0" fontId="13" fillId="11" borderId="16" xfId="0" applyFont="1" applyFill="1" applyBorder="1"/>
    <xf numFmtId="0" fontId="13" fillId="34" borderId="0" xfId="0" applyFont="1" applyFill="1" applyBorder="1"/>
    <xf numFmtId="0" fontId="22" fillId="23" borderId="22" xfId="0" applyFont="1" applyFill="1" applyBorder="1"/>
    <xf numFmtId="0" fontId="13" fillId="37" borderId="30" xfId="0" applyFont="1" applyFill="1" applyBorder="1"/>
    <xf numFmtId="0" fontId="63" fillId="0" borderId="0" xfId="0" applyFont="1"/>
    <xf numFmtId="0" fontId="20" fillId="17" borderId="22" xfId="0" applyFont="1" applyFill="1" applyBorder="1" applyAlignment="1">
      <alignment horizontal="left"/>
    </xf>
    <xf numFmtId="0" fontId="13" fillId="39" borderId="22" xfId="0" applyFont="1" applyFill="1" applyBorder="1"/>
    <xf numFmtId="0" fontId="0" fillId="17" borderId="22" xfId="0" applyFill="1" applyBorder="1" applyAlignment="1">
      <alignment horizontal="left"/>
    </xf>
    <xf numFmtId="0" fontId="13" fillId="20" borderId="22" xfId="0" applyFont="1" applyFill="1" applyBorder="1" applyAlignment="1">
      <alignment horizontal="left"/>
    </xf>
    <xf numFmtId="0" fontId="18" fillId="17" borderId="22" xfId="0" applyFont="1" applyFill="1" applyBorder="1" applyAlignment="1">
      <alignment horizontal="left"/>
    </xf>
    <xf numFmtId="0" fontId="19" fillId="20" borderId="22" xfId="0" applyFont="1" applyFill="1" applyBorder="1" applyAlignment="1">
      <alignment horizontal="left"/>
    </xf>
    <xf numFmtId="0" fontId="14" fillId="17" borderId="22" xfId="0" applyFont="1" applyFill="1" applyBorder="1" applyAlignment="1">
      <alignment horizontal="left"/>
    </xf>
    <xf numFmtId="0" fontId="16" fillId="20" borderId="22" xfId="0" applyFont="1" applyFill="1" applyBorder="1" applyAlignment="1">
      <alignment horizontal="left"/>
    </xf>
    <xf numFmtId="0" fontId="21" fillId="20" borderId="22" xfId="0" applyFont="1" applyFill="1" applyBorder="1" applyAlignment="1">
      <alignment horizontal="left"/>
    </xf>
    <xf numFmtId="0" fontId="37" fillId="20" borderId="22" xfId="0" applyFont="1" applyFill="1" applyBorder="1" applyAlignment="1">
      <alignment horizontal="left"/>
    </xf>
    <xf numFmtId="0" fontId="32" fillId="17" borderId="22" xfId="0" applyFont="1" applyFill="1" applyBorder="1" applyAlignment="1">
      <alignment horizontal="left"/>
    </xf>
    <xf numFmtId="0" fontId="16" fillId="6" borderId="22" xfId="0" applyFont="1" applyFill="1" applyBorder="1" applyAlignment="1">
      <alignment horizontal="left"/>
    </xf>
    <xf numFmtId="0" fontId="33" fillId="20" borderId="22" xfId="0" applyFont="1" applyFill="1" applyBorder="1" applyAlignment="1">
      <alignment horizontal="left"/>
    </xf>
    <xf numFmtId="0" fontId="39" fillId="17" borderId="22" xfId="0" applyFont="1" applyFill="1" applyBorder="1" applyAlignment="1">
      <alignment horizontal="left"/>
    </xf>
    <xf numFmtId="0" fontId="40" fillId="20" borderId="22" xfId="0" applyFont="1" applyFill="1" applyBorder="1" applyAlignment="1">
      <alignment horizontal="left"/>
    </xf>
    <xf numFmtId="0" fontId="17" fillId="17" borderId="22" xfId="0" applyFont="1" applyFill="1" applyBorder="1" applyAlignment="1">
      <alignment horizontal="left"/>
    </xf>
    <xf numFmtId="0" fontId="0" fillId="18" borderId="42" xfId="0" applyFill="1" applyBorder="1" applyAlignment="1">
      <alignment horizontal="left"/>
    </xf>
    <xf numFmtId="0" fontId="18" fillId="18" borderId="42" xfId="0" applyFont="1" applyFill="1" applyBorder="1" applyAlignment="1">
      <alignment horizontal="left"/>
    </xf>
    <xf numFmtId="0" fontId="18" fillId="0" borderId="42" xfId="0" applyFont="1" applyFill="1" applyBorder="1" applyAlignment="1">
      <alignment horizontal="left"/>
    </xf>
    <xf numFmtId="0" fontId="0" fillId="0" borderId="42" xfId="0" applyFill="1" applyBorder="1" applyAlignment="1">
      <alignment horizontal="left"/>
    </xf>
    <xf numFmtId="0" fontId="0" fillId="18" borderId="42" xfId="0" applyFont="1" applyFill="1" applyBorder="1" applyAlignment="1">
      <alignment horizontal="left"/>
    </xf>
    <xf numFmtId="0" fontId="38" fillId="18" borderId="42" xfId="0" applyFont="1" applyFill="1" applyBorder="1" applyAlignment="1">
      <alignment horizontal="left"/>
    </xf>
    <xf numFmtId="0" fontId="0" fillId="6" borderId="42" xfId="0" applyFill="1" applyBorder="1" applyAlignment="1">
      <alignment horizontal="left"/>
    </xf>
    <xf numFmtId="0" fontId="6" fillId="18" borderId="42" xfId="0" applyFont="1" applyFill="1" applyBorder="1" applyAlignment="1">
      <alignment horizontal="left"/>
    </xf>
    <xf numFmtId="0" fontId="13" fillId="12" borderId="22" xfId="0" applyFont="1" applyFill="1" applyBorder="1" applyAlignment="1">
      <alignment horizontal="center"/>
    </xf>
    <xf numFmtId="0" fontId="13" fillId="32" borderId="22" xfId="0" applyFont="1" applyFill="1" applyBorder="1" applyAlignment="1">
      <alignment horizontal="center"/>
    </xf>
    <xf numFmtId="0" fontId="16" fillId="20" borderId="22" xfId="0" applyFont="1" applyFill="1" applyBorder="1" applyAlignment="1">
      <alignment horizontal="center"/>
    </xf>
    <xf numFmtId="0" fontId="63" fillId="20" borderId="22" xfId="0" applyFont="1" applyFill="1" applyBorder="1" applyAlignment="1">
      <alignment horizontal="center"/>
    </xf>
    <xf numFmtId="0" fontId="19" fillId="20" borderId="22" xfId="0" applyFont="1" applyFill="1" applyBorder="1" applyAlignment="1">
      <alignment horizontal="center"/>
    </xf>
    <xf numFmtId="0" fontId="1" fillId="20" borderId="22" xfId="0" applyFont="1" applyFill="1" applyBorder="1" applyAlignment="1">
      <alignment horizontal="center"/>
    </xf>
    <xf numFmtId="0" fontId="13" fillId="6" borderId="22" xfId="0" applyFont="1" applyFill="1" applyBorder="1" applyAlignment="1">
      <alignment horizontal="center"/>
    </xf>
    <xf numFmtId="0" fontId="7" fillId="20" borderId="22" xfId="0" applyFont="1" applyFill="1" applyBorder="1" applyAlignment="1">
      <alignment horizontal="center"/>
    </xf>
    <xf numFmtId="0" fontId="34" fillId="3" borderId="0" xfId="0" applyFont="1" applyFill="1" applyBorder="1" applyAlignment="1">
      <alignment horizontal="left"/>
    </xf>
    <xf numFmtId="0" fontId="34" fillId="6" borderId="0" xfId="0" applyFont="1" applyFill="1" applyBorder="1" applyAlignment="1">
      <alignment horizontal="left"/>
    </xf>
    <xf numFmtId="0" fontId="56" fillId="3" borderId="0" xfId="0" applyFont="1" applyFill="1" applyBorder="1" applyAlignment="1">
      <alignment horizontal="left"/>
    </xf>
    <xf numFmtId="0" fontId="26" fillId="24" borderId="0" xfId="0" applyFont="1" applyFill="1" applyBorder="1" applyAlignment="1">
      <alignment horizontal="left"/>
    </xf>
    <xf numFmtId="0" fontId="44" fillId="3" borderId="0" xfId="0" applyFont="1" applyFill="1" applyBorder="1" applyAlignment="1">
      <alignment horizontal="left"/>
    </xf>
    <xf numFmtId="0" fontId="46" fillId="3" borderId="0" xfId="0" applyFont="1" applyFill="1" applyBorder="1" applyAlignment="1">
      <alignment horizontal="left"/>
    </xf>
    <xf numFmtId="0" fontId="25" fillId="3" borderId="0" xfId="0" applyFont="1" applyFill="1" applyBorder="1" applyAlignment="1">
      <alignment horizontal="left"/>
    </xf>
    <xf numFmtId="0" fontId="26" fillId="3" borderId="0" xfId="0" applyFont="1" applyFill="1" applyBorder="1" applyAlignment="1">
      <alignment horizontal="left"/>
    </xf>
    <xf numFmtId="0" fontId="23" fillId="4" borderId="0" xfId="0" applyFont="1" applyFill="1" applyBorder="1" applyAlignment="1">
      <alignment horizontal="left"/>
    </xf>
    <xf numFmtId="0" fontId="24" fillId="3" borderId="0" xfId="0" quotePrefix="1" applyFont="1" applyFill="1" applyBorder="1" applyAlignment="1">
      <alignment horizontal="left"/>
    </xf>
    <xf numFmtId="0" fontId="24" fillId="16" borderId="0" xfId="0" applyFont="1" applyFill="1" applyBorder="1" applyAlignment="1">
      <alignment horizontal="left"/>
    </xf>
    <xf numFmtId="0" fontId="44" fillId="6" borderId="0" xfId="0" applyFont="1" applyFill="1" applyBorder="1" applyAlignment="1">
      <alignment horizontal="left"/>
    </xf>
    <xf numFmtId="0" fontId="65" fillId="0" borderId="0" xfId="0" applyFont="1" applyBorder="1"/>
    <xf numFmtId="0" fontId="14" fillId="6" borderId="30" xfId="0" applyFont="1" applyFill="1" applyBorder="1" applyAlignment="1">
      <alignment horizontal="left"/>
    </xf>
    <xf numFmtId="0" fontId="33" fillId="0" borderId="30" xfId="0" applyFont="1" applyFill="1" applyBorder="1" applyAlignment="1">
      <alignment horizontal="left"/>
    </xf>
    <xf numFmtId="0" fontId="32" fillId="6" borderId="8" xfId="0" applyFont="1" applyFill="1" applyBorder="1" applyAlignment="1">
      <alignment horizontal="left"/>
    </xf>
    <xf numFmtId="0" fontId="0" fillId="0" borderId="0" xfId="0" applyFill="1" applyBorder="1" applyAlignment="1">
      <alignment horizontal="left"/>
    </xf>
    <xf numFmtId="0" fontId="32" fillId="0" borderId="30" xfId="0" applyFont="1" applyFill="1" applyBorder="1" applyAlignment="1">
      <alignment horizontal="left"/>
    </xf>
    <xf numFmtId="0" fontId="48" fillId="0" borderId="0" xfId="0" applyFont="1" applyBorder="1"/>
    <xf numFmtId="0" fontId="51" fillId="0" borderId="0" xfId="0" applyFont="1" applyBorder="1"/>
    <xf numFmtId="0" fontId="17" fillId="0" borderId="29" xfId="0" applyFont="1" applyBorder="1" applyAlignment="1">
      <alignment horizontal="left"/>
    </xf>
    <xf numFmtId="0" fontId="35" fillId="0" borderId="8" xfId="0" applyFont="1" applyBorder="1" applyAlignment="1">
      <alignment horizontal="left"/>
    </xf>
    <xf numFmtId="0" fontId="34" fillId="30" borderId="22" xfId="0" applyFont="1" applyFill="1" applyBorder="1" applyAlignment="1">
      <alignment horizontal="left"/>
    </xf>
    <xf numFmtId="0" fontId="32" fillId="30" borderId="29" xfId="0" applyFont="1" applyFill="1" applyBorder="1" applyAlignment="1">
      <alignment horizontal="left"/>
    </xf>
    <xf numFmtId="0" fontId="36" fillId="0" borderId="8" xfId="0" applyFont="1" applyBorder="1" applyAlignment="1">
      <alignment horizontal="left"/>
    </xf>
    <xf numFmtId="0" fontId="32" fillId="0" borderId="41" xfId="0" applyFont="1" applyFill="1" applyBorder="1" applyAlignment="1">
      <alignment horizontal="left"/>
    </xf>
    <xf numFmtId="0" fontId="1" fillId="22" borderId="32" xfId="0" applyFont="1" applyFill="1" applyBorder="1"/>
    <xf numFmtId="0" fontId="1" fillId="11" borderId="31" xfId="0" applyFont="1" applyFill="1" applyBorder="1"/>
    <xf numFmtId="0" fontId="1" fillId="21" borderId="33" xfId="0" applyFont="1" applyFill="1" applyBorder="1"/>
    <xf numFmtId="0" fontId="18" fillId="0" borderId="0" xfId="0" applyFont="1" applyBorder="1"/>
    <xf numFmtId="0" fontId="20" fillId="0" borderId="43" xfId="0" applyFont="1" applyFill="1" applyBorder="1" applyAlignment="1">
      <alignment horizontal="left"/>
    </xf>
    <xf numFmtId="0" fontId="21" fillId="0" borderId="43" xfId="0" applyFont="1" applyFill="1" applyBorder="1" applyAlignment="1">
      <alignment horizontal="left"/>
    </xf>
    <xf numFmtId="0" fontId="0" fillId="8" borderId="0" xfId="0" applyFont="1" applyFill="1" applyAlignment="1">
      <alignment horizontal="left" vertical="top"/>
    </xf>
    <xf numFmtId="0" fontId="18" fillId="38" borderId="0" xfId="0" applyFont="1" applyFill="1" applyBorder="1" applyAlignment="1">
      <alignment horizontal="left"/>
    </xf>
    <xf numFmtId="0" fontId="24" fillId="28" borderId="30" xfId="0" applyFont="1" applyFill="1" applyBorder="1" applyAlignment="1">
      <alignment horizontal="left"/>
    </xf>
    <xf numFmtId="0" fontId="20" fillId="28" borderId="30" xfId="0" applyFont="1" applyFill="1" applyBorder="1" applyAlignment="1">
      <alignment horizontal="left"/>
    </xf>
    <xf numFmtId="0" fontId="24" fillId="30" borderId="30" xfId="0" applyFont="1" applyFill="1" applyBorder="1" applyAlignment="1">
      <alignment horizontal="left"/>
    </xf>
    <xf numFmtId="0" fontId="20" fillId="30" borderId="30" xfId="0" applyFont="1" applyFill="1" applyBorder="1" applyAlignment="1">
      <alignment horizontal="left"/>
    </xf>
    <xf numFmtId="0" fontId="13" fillId="13" borderId="0" xfId="0" applyFont="1" applyFill="1" applyBorder="1" applyAlignment="1">
      <alignment horizontal="center"/>
    </xf>
    <xf numFmtId="0" fontId="21" fillId="13" borderId="0" xfId="0" applyFont="1" applyFill="1" applyBorder="1" applyAlignment="1">
      <alignment horizontal="left"/>
    </xf>
    <xf numFmtId="0" fontId="33" fillId="13" borderId="0" xfId="0" applyFont="1" applyFill="1" applyBorder="1" applyAlignment="1">
      <alignment horizontal="left"/>
    </xf>
    <xf numFmtId="0" fontId="1" fillId="13" borderId="0" xfId="0" applyFont="1" applyFill="1" applyBorder="1" applyAlignment="1">
      <alignment horizontal="left"/>
    </xf>
    <xf numFmtId="0" fontId="60" fillId="0" borderId="41" xfId="0" applyFont="1" applyBorder="1" applyAlignment="1">
      <alignment horizontal="left"/>
    </xf>
    <xf numFmtId="0" fontId="60" fillId="0" borderId="30" xfId="0" applyFont="1" applyBorder="1" applyAlignment="1">
      <alignment horizontal="left"/>
    </xf>
    <xf numFmtId="0" fontId="14" fillId="0" borderId="0" xfId="0" applyFont="1" applyFill="1" applyBorder="1" applyAlignment="1">
      <alignment horizontal="left" wrapText="1"/>
    </xf>
    <xf numFmtId="0" fontId="20" fillId="30" borderId="8" xfId="0" applyFont="1" applyFill="1" applyBorder="1" applyAlignment="1">
      <alignment horizontal="left"/>
    </xf>
    <xf numFmtId="16" fontId="32" fillId="0" borderId="0" xfId="0" applyNumberFormat="1" applyFont="1" applyBorder="1" applyAlignment="1">
      <alignment horizontal="left"/>
    </xf>
    <xf numFmtId="0" fontId="32" fillId="28" borderId="22" xfId="0" applyFont="1" applyFill="1" applyBorder="1" applyAlignment="1">
      <alignment horizontal="left" wrapText="1"/>
    </xf>
    <xf numFmtId="0" fontId="1" fillId="0" borderId="30" xfId="0" applyFont="1" applyBorder="1" applyAlignment="1">
      <alignment horizontal="left"/>
    </xf>
    <xf numFmtId="0" fontId="0" fillId="0" borderId="41" xfId="0" applyFont="1" applyBorder="1" applyAlignment="1">
      <alignment horizontal="left"/>
    </xf>
    <xf numFmtId="0" fontId="0" fillId="0" borderId="30" xfId="0" applyFont="1" applyBorder="1" applyAlignment="1">
      <alignment horizontal="left"/>
    </xf>
    <xf numFmtId="0" fontId="34" fillId="30" borderId="0" xfId="0" applyFont="1" applyFill="1" applyBorder="1" applyAlignment="1">
      <alignment horizontal="left" wrapText="1"/>
    </xf>
    <xf numFmtId="0" fontId="25" fillId="36" borderId="30" xfId="0" applyFont="1" applyFill="1" applyBorder="1" applyAlignment="1">
      <alignment horizontal="left" wrapText="1"/>
    </xf>
    <xf numFmtId="0" fontId="0" fillId="36" borderId="30" xfId="0" applyFont="1" applyFill="1" applyBorder="1" applyAlignment="1">
      <alignment horizontal="left"/>
    </xf>
    <xf numFmtId="0" fontId="20" fillId="16" borderId="22" xfId="0" applyFont="1" applyFill="1" applyBorder="1" applyAlignment="1">
      <alignment horizontal="left"/>
    </xf>
    <xf numFmtId="0" fontId="23" fillId="6" borderId="42" xfId="0" applyFont="1" applyFill="1" applyBorder="1" applyAlignment="1">
      <alignment horizontal="left"/>
    </xf>
    <xf numFmtId="0" fontId="32" fillId="0" borderId="8" xfId="0" applyFont="1" applyBorder="1" applyAlignment="1">
      <alignment horizontal="left"/>
    </xf>
    <xf numFmtId="0" fontId="20" fillId="0" borderId="34" xfId="0" applyFont="1" applyBorder="1" applyAlignment="1">
      <alignment horizontal="left" wrapText="1"/>
    </xf>
    <xf numFmtId="0" fontId="32" fillId="0" borderId="34" xfId="0" applyFont="1" applyBorder="1" applyAlignment="1">
      <alignment horizontal="left" wrapText="1"/>
    </xf>
    <xf numFmtId="0" fontId="23" fillId="28" borderId="22" xfId="0" quotePrefix="1" applyFont="1" applyFill="1" applyBorder="1" applyAlignment="1">
      <alignment horizontal="left"/>
    </xf>
    <xf numFmtId="0" fontId="14" fillId="0" borderId="8" xfId="0" applyNumberFormat="1" applyFont="1" applyFill="1" applyBorder="1" applyAlignment="1">
      <alignment horizontal="left"/>
    </xf>
    <xf numFmtId="0" fontId="14" fillId="28" borderId="22" xfId="0" applyFont="1" applyFill="1" applyBorder="1" applyAlignment="1">
      <alignment horizontal="left" wrapText="1"/>
    </xf>
    <xf numFmtId="0" fontId="14" fillId="30" borderId="0" xfId="0" applyFont="1" applyFill="1" applyBorder="1" applyAlignment="1">
      <alignment horizontal="left" wrapText="1"/>
    </xf>
    <xf numFmtId="0" fontId="14" fillId="6" borderId="8" xfId="0" applyFont="1" applyFill="1" applyBorder="1" applyAlignment="1">
      <alignment horizontal="left"/>
    </xf>
    <xf numFmtId="0" fontId="20" fillId="30" borderId="0" xfId="0" applyFont="1" applyFill="1" applyBorder="1" applyAlignment="1">
      <alignment horizontal="left" wrapText="1"/>
    </xf>
    <xf numFmtId="0" fontId="24" fillId="28" borderId="22" xfId="0" quotePrefix="1" applyFont="1" applyFill="1" applyBorder="1" applyAlignment="1">
      <alignment horizontal="left"/>
    </xf>
    <xf numFmtId="0" fontId="26" fillId="31" borderId="22" xfId="0" applyFont="1" applyFill="1" applyBorder="1" applyAlignment="1">
      <alignment horizontal="left"/>
    </xf>
    <xf numFmtId="0" fontId="18" fillId="31" borderId="29" xfId="0" applyFont="1" applyFill="1" applyBorder="1" applyAlignment="1">
      <alignment horizontal="left"/>
    </xf>
    <xf numFmtId="0" fontId="20" fillId="0" borderId="8" xfId="0" applyNumberFormat="1" applyFont="1" applyFill="1" applyBorder="1" applyAlignment="1">
      <alignment horizontal="left"/>
    </xf>
    <xf numFmtId="0" fontId="20" fillId="0" borderId="30" xfId="0" applyFont="1" applyBorder="1" applyAlignment="1">
      <alignment horizontal="left"/>
    </xf>
    <xf numFmtId="0" fontId="14" fillId="8" borderId="30" xfId="0" applyFont="1" applyFill="1" applyBorder="1" applyAlignment="1">
      <alignment horizontal="left"/>
    </xf>
    <xf numFmtId="0" fontId="14" fillId="8" borderId="22" xfId="0" applyFont="1" applyFill="1" applyBorder="1" applyAlignment="1">
      <alignment horizontal="left"/>
    </xf>
    <xf numFmtId="0" fontId="68" fillId="0" borderId="0" xfId="0" applyFont="1" applyBorder="1"/>
    <xf numFmtId="0" fontId="6" fillId="36" borderId="30" xfId="0" applyFont="1" applyFill="1" applyBorder="1" applyAlignment="1">
      <alignment horizontal="left"/>
    </xf>
    <xf numFmtId="0" fontId="18" fillId="36" borderId="30" xfId="0" applyFont="1" applyFill="1" applyBorder="1" applyAlignment="1">
      <alignment horizontal="left"/>
    </xf>
    <xf numFmtId="0" fontId="26" fillId="24" borderId="30" xfId="0" applyFont="1" applyFill="1" applyBorder="1" applyAlignment="1">
      <alignment horizontal="left"/>
    </xf>
    <xf numFmtId="0" fontId="26" fillId="36" borderId="30" xfId="0" applyFont="1" applyFill="1" applyBorder="1" applyAlignment="1">
      <alignment horizontal="left"/>
    </xf>
    <xf numFmtId="0" fontId="69" fillId="0" borderId="0" xfId="0" applyFont="1" applyFill="1" applyBorder="1" applyAlignment="1">
      <alignment horizontal="left"/>
    </xf>
    <xf numFmtId="0" fontId="24" fillId="28" borderId="22" xfId="0" applyFont="1" applyFill="1" applyBorder="1" applyAlignment="1">
      <alignment horizontal="left" wrapText="1"/>
    </xf>
    <xf numFmtId="0" fontId="18" fillId="36" borderId="22" xfId="0" applyFont="1" applyFill="1" applyBorder="1" applyAlignment="1">
      <alignment horizontal="left"/>
    </xf>
    <xf numFmtId="0" fontId="1" fillId="0" borderId="0" xfId="0" applyFont="1" applyBorder="1" applyAlignment="1">
      <alignment horizontal="left"/>
    </xf>
    <xf numFmtId="0" fontId="25" fillId="36" borderId="0" xfId="0" applyFont="1" applyFill="1" applyBorder="1" applyAlignment="1">
      <alignment horizontal="left" wrapText="1"/>
    </xf>
    <xf numFmtId="0" fontId="0" fillId="36" borderId="0" xfId="0" applyFont="1" applyFill="1" applyBorder="1" applyAlignment="1">
      <alignment horizontal="left"/>
    </xf>
    <xf numFmtId="0" fontId="1" fillId="40" borderId="0" xfId="0" applyFont="1" applyFill="1" applyBorder="1"/>
    <xf numFmtId="0" fontId="32" fillId="13" borderId="0" xfId="0" applyFont="1" applyFill="1" applyBorder="1" applyAlignment="1">
      <alignment horizontal="left"/>
    </xf>
    <xf numFmtId="0" fontId="14" fillId="19" borderId="0" xfId="0" applyFont="1" applyFill="1" applyAlignment="1">
      <alignment horizontal="left"/>
    </xf>
    <xf numFmtId="0" fontId="16" fillId="20" borderId="0" xfId="0" applyFont="1" applyFill="1" applyAlignment="1">
      <alignment horizontal="left"/>
    </xf>
    <xf numFmtId="0" fontId="23" fillId="3" borderId="0" xfId="0" applyFont="1" applyFill="1" applyAlignment="1">
      <alignment horizontal="left"/>
    </xf>
    <xf numFmtId="0" fontId="0" fillId="6" borderId="25" xfId="0" applyFont="1" applyFill="1" applyBorder="1" applyAlignment="1">
      <alignment horizontal="left"/>
    </xf>
    <xf numFmtId="0" fontId="15" fillId="6" borderId="30" xfId="0" applyFont="1" applyFill="1" applyBorder="1" applyAlignment="1">
      <alignment horizontal="left"/>
    </xf>
    <xf numFmtId="0" fontId="1" fillId="6" borderId="0" xfId="0" applyFont="1" applyFill="1" applyBorder="1" applyAlignment="1">
      <alignment horizontal="left"/>
    </xf>
    <xf numFmtId="0" fontId="18" fillId="6" borderId="22" xfId="0" applyFont="1" applyFill="1" applyBorder="1" applyAlignment="1">
      <alignment horizontal="left"/>
    </xf>
    <xf numFmtId="0" fontId="1" fillId="6" borderId="22" xfId="0" applyFont="1" applyFill="1" applyBorder="1" applyAlignment="1">
      <alignment horizontal="left"/>
    </xf>
    <xf numFmtId="0" fontId="13" fillId="6" borderId="22" xfId="0" applyFont="1" applyFill="1" applyBorder="1" applyAlignment="1">
      <alignment horizontal="left"/>
    </xf>
    <xf numFmtId="0" fontId="13" fillId="6" borderId="0" xfId="0" applyFont="1" applyFill="1" applyBorder="1" applyAlignment="1">
      <alignment horizontal="left"/>
    </xf>
    <xf numFmtId="0" fontId="25" fillId="6" borderId="0" xfId="0" applyFont="1" applyFill="1" applyBorder="1" applyAlignment="1">
      <alignment horizontal="left"/>
    </xf>
    <xf numFmtId="0" fontId="1" fillId="6" borderId="0" xfId="0" applyFont="1" applyFill="1" applyAlignment="1">
      <alignment horizontal="left"/>
    </xf>
    <xf numFmtId="0" fontId="0" fillId="0" borderId="0" xfId="0" applyFont="1" applyFill="1"/>
    <xf numFmtId="0" fontId="15" fillId="6" borderId="39" xfId="0" applyFont="1" applyFill="1" applyBorder="1" applyAlignment="1">
      <alignment horizontal="left"/>
    </xf>
    <xf numFmtId="0" fontId="15" fillId="6" borderId="8" xfId="0" applyFont="1" applyFill="1" applyBorder="1" applyAlignment="1">
      <alignment horizontal="left"/>
    </xf>
    <xf numFmtId="0" fontId="36" fillId="6" borderId="0" xfId="0" applyFont="1" applyFill="1" applyBorder="1" applyAlignment="1">
      <alignment horizontal="left"/>
    </xf>
    <xf numFmtId="0" fontId="35" fillId="6" borderId="0" xfId="0" applyFont="1" applyFill="1" applyBorder="1" applyAlignment="1">
      <alignment horizontal="left"/>
    </xf>
    <xf numFmtId="0" fontId="23" fillId="8" borderId="0" xfId="0" applyFont="1" applyFill="1" applyBorder="1" applyAlignment="1">
      <alignment horizontal="left"/>
    </xf>
    <xf numFmtId="0" fontId="0" fillId="6" borderId="14" xfId="0" applyFill="1" applyBorder="1"/>
    <xf numFmtId="0" fontId="20" fillId="6" borderId="35" xfId="0" applyFont="1" applyFill="1" applyBorder="1" applyAlignment="1">
      <alignment horizontal="left"/>
    </xf>
    <xf numFmtId="0" fontId="26" fillId="36" borderId="22" xfId="0" applyFont="1" applyFill="1" applyBorder="1" applyAlignment="1">
      <alignment horizontal="left"/>
    </xf>
    <xf numFmtId="0" fontId="47" fillId="6" borderId="22" xfId="0" applyFont="1" applyFill="1" applyBorder="1" applyAlignment="1">
      <alignment horizontal="left"/>
    </xf>
    <xf numFmtId="0" fontId="15" fillId="6" borderId="0" xfId="0" applyFont="1" applyFill="1" applyAlignment="1">
      <alignment horizontal="left"/>
    </xf>
    <xf numFmtId="0" fontId="14" fillId="6" borderId="0" xfId="0" applyNumberFormat="1" applyFont="1" applyFill="1" applyBorder="1" applyAlignment="1">
      <alignment horizontal="left"/>
    </xf>
    <xf numFmtId="0" fontId="14" fillId="6" borderId="25" xfId="0" quotePrefix="1" applyFont="1" applyFill="1" applyBorder="1" applyAlignment="1">
      <alignment horizontal="left"/>
    </xf>
    <xf numFmtId="0" fontId="32" fillId="6" borderId="0" xfId="0" quotePrefix="1" applyFont="1" applyFill="1" applyBorder="1" applyAlignment="1">
      <alignment horizontal="left"/>
    </xf>
    <xf numFmtId="0" fontId="66" fillId="6" borderId="0" xfId="0" applyFont="1" applyFill="1" applyBorder="1" applyAlignment="1">
      <alignment horizontal="left"/>
    </xf>
    <xf numFmtId="0" fontId="20" fillId="13" borderId="0" xfId="0" applyFont="1" applyFill="1" applyBorder="1" applyAlignment="1">
      <alignment horizontal="left"/>
    </xf>
    <xf numFmtId="0" fontId="20" fillId="6" borderId="0" xfId="0" quotePrefix="1" applyFont="1" applyFill="1" applyBorder="1" applyAlignment="1">
      <alignment horizontal="left"/>
    </xf>
    <xf numFmtId="0" fontId="20" fillId="6" borderId="0" xfId="0" applyFont="1" applyFill="1" applyBorder="1" applyAlignment="1">
      <alignment horizontal="left"/>
    </xf>
    <xf numFmtId="0" fontId="21" fillId="6" borderId="22" xfId="0" applyFont="1" applyFill="1" applyBorder="1" applyAlignment="1">
      <alignment horizontal="left"/>
    </xf>
    <xf numFmtId="0" fontId="21" fillId="6" borderId="0" xfId="0" applyFont="1" applyFill="1" applyBorder="1" applyAlignment="1">
      <alignment horizontal="left"/>
    </xf>
    <xf numFmtId="0" fontId="24" fillId="6" borderId="22" xfId="0" applyFont="1" applyFill="1" applyBorder="1" applyAlignment="1">
      <alignment horizontal="left"/>
    </xf>
    <xf numFmtId="0" fontId="24" fillId="6" borderId="0" xfId="0" applyFont="1" applyFill="1" applyBorder="1" applyAlignment="1">
      <alignment horizontal="left"/>
    </xf>
    <xf numFmtId="0" fontId="20" fillId="6" borderId="34" xfId="0" applyFont="1" applyFill="1" applyBorder="1" applyAlignment="1">
      <alignment horizontal="left"/>
    </xf>
    <xf numFmtId="0" fontId="24" fillId="6" borderId="22" xfId="0" quotePrefix="1" applyFont="1" applyFill="1" applyBorder="1" applyAlignment="1">
      <alignment horizontal="left"/>
    </xf>
    <xf numFmtId="0" fontId="24" fillId="6" borderId="0" xfId="0" quotePrefix="1" applyFont="1" applyFill="1" applyBorder="1" applyAlignment="1">
      <alignment horizontal="left"/>
    </xf>
    <xf numFmtId="0" fontId="20" fillId="6" borderId="8" xfId="0" applyFont="1" applyFill="1" applyBorder="1" applyAlignment="1">
      <alignment horizontal="left"/>
    </xf>
    <xf numFmtId="0" fontId="20" fillId="6" borderId="19" xfId="0" applyFont="1" applyFill="1" applyBorder="1" applyAlignment="1">
      <alignment horizontal="left"/>
    </xf>
    <xf numFmtId="0" fontId="20" fillId="6" borderId="25" xfId="0" applyFont="1" applyFill="1" applyBorder="1" applyAlignment="1">
      <alignment horizontal="left"/>
    </xf>
    <xf numFmtId="0" fontId="19" fillId="6" borderId="0" xfId="0" applyFont="1" applyFill="1" applyBorder="1" applyAlignment="1">
      <alignment horizontal="left"/>
    </xf>
    <xf numFmtId="0" fontId="26" fillId="41" borderId="0" xfId="0" applyFont="1" applyFill="1" applyBorder="1" applyAlignment="1">
      <alignment horizontal="left"/>
    </xf>
    <xf numFmtId="0" fontId="18" fillId="41" borderId="0" xfId="0" applyFont="1" applyFill="1" applyBorder="1" applyAlignment="1">
      <alignment horizontal="left"/>
    </xf>
    <xf numFmtId="0" fontId="69" fillId="6" borderId="0" xfId="0" applyFont="1" applyFill="1" applyBorder="1" applyAlignment="1">
      <alignment horizontal="left"/>
    </xf>
    <xf numFmtId="17" fontId="20" fillId="6" borderId="0" xfId="0" applyNumberFormat="1" applyFont="1" applyFill="1" applyBorder="1" applyAlignment="1">
      <alignment horizontal="left"/>
    </xf>
    <xf numFmtId="0" fontId="18" fillId="6" borderId="35" xfId="0" applyFont="1" applyFill="1" applyBorder="1" applyAlignment="1">
      <alignment horizontal="left"/>
    </xf>
    <xf numFmtId="0" fontId="26" fillId="41" borderId="22" xfId="0" applyFont="1" applyFill="1" applyBorder="1" applyAlignment="1">
      <alignment horizontal="left"/>
    </xf>
    <xf numFmtId="0" fontId="65" fillId="6" borderId="0" xfId="0" applyFont="1" applyFill="1"/>
    <xf numFmtId="0" fontId="70" fillId="0" borderId="0" xfId="0" applyFont="1" applyFill="1" applyBorder="1" applyAlignment="1">
      <alignment horizontal="left"/>
    </xf>
    <xf numFmtId="0" fontId="70" fillId="0" borderId="0" xfId="0" applyFont="1" applyBorder="1" applyAlignment="1">
      <alignment horizontal="left"/>
    </xf>
    <xf numFmtId="0" fontId="70" fillId="6" borderId="0" xfId="0" applyFont="1" applyFill="1" applyBorder="1" applyAlignment="1">
      <alignment horizontal="left"/>
    </xf>
    <xf numFmtId="0" fontId="71" fillId="0" borderId="0" xfId="0" applyFont="1" applyAlignment="1">
      <alignment horizontal="left"/>
    </xf>
    <xf numFmtId="0" fontId="70" fillId="0" borderId="0" xfId="0" applyFont="1" applyBorder="1" applyAlignment="1">
      <alignment horizontal="left" wrapText="1"/>
    </xf>
    <xf numFmtId="0" fontId="71" fillId="6" borderId="0" xfId="0" applyFont="1" applyFill="1" applyAlignment="1">
      <alignment horizontal="left"/>
    </xf>
    <xf numFmtId="0" fontId="70" fillId="6" borderId="0" xfId="0" applyFont="1" applyFill="1" applyAlignment="1">
      <alignment horizontal="left"/>
    </xf>
    <xf numFmtId="0" fontId="71" fillId="0" borderId="0" xfId="0" applyFont="1" applyFill="1" applyBorder="1" applyAlignment="1">
      <alignment horizontal="left"/>
    </xf>
    <xf numFmtId="0" fontId="71" fillId="0" borderId="0" xfId="0" applyFont="1" applyBorder="1" applyAlignment="1">
      <alignment horizontal="left"/>
    </xf>
    <xf numFmtId="0" fontId="70" fillId="0" borderId="0" xfId="0" applyFont="1" applyFill="1" applyAlignment="1">
      <alignment horizontal="left"/>
    </xf>
    <xf numFmtId="0" fontId="70" fillId="0" borderId="0" xfId="0" applyFont="1" applyFill="1" applyBorder="1" applyAlignment="1">
      <alignment horizontal="left" wrapText="1"/>
    </xf>
    <xf numFmtId="0" fontId="71" fillId="0" borderId="0" xfId="0" applyFont="1" applyFill="1"/>
    <xf numFmtId="0" fontId="33" fillId="13" borderId="22" xfId="0" applyFont="1" applyFill="1" applyBorder="1" applyAlignment="1">
      <alignment horizontal="left"/>
    </xf>
    <xf numFmtId="0" fontId="21" fillId="13" borderId="22" xfId="0" applyFont="1" applyFill="1" applyBorder="1" applyAlignment="1">
      <alignment horizontal="left"/>
    </xf>
    <xf numFmtId="0" fontId="21" fillId="20" borderId="22" xfId="0" applyFont="1" applyFill="1" applyBorder="1" applyAlignment="1">
      <alignment horizontal="center"/>
    </xf>
    <xf numFmtId="0" fontId="33" fillId="20" borderId="22" xfId="0" applyFont="1" applyFill="1" applyBorder="1" applyAlignment="1">
      <alignment horizontal="center"/>
    </xf>
    <xf numFmtId="0" fontId="36" fillId="42" borderId="22" xfId="0" applyFont="1" applyFill="1" applyBorder="1" applyAlignment="1">
      <alignment horizontal="left"/>
    </xf>
    <xf numFmtId="0" fontId="39" fillId="2" borderId="22" xfId="0" applyFont="1" applyFill="1" applyBorder="1" applyAlignment="1">
      <alignment horizontal="left"/>
    </xf>
    <xf numFmtId="0" fontId="0" fillId="13" borderId="0" xfId="0" applyFont="1" applyFill="1" applyBorder="1" applyAlignment="1">
      <alignment horizontal="left"/>
    </xf>
    <xf numFmtId="0" fontId="33" fillId="13" borderId="29" xfId="0" applyFont="1" applyFill="1" applyBorder="1" applyAlignment="1">
      <alignment horizontal="left"/>
    </xf>
    <xf numFmtId="0" fontId="29" fillId="30" borderId="0" xfId="0" applyFont="1" applyFill="1" applyBorder="1"/>
    <xf numFmtId="0" fontId="20" fillId="6" borderId="0" xfId="0" applyFont="1" applyFill="1" applyBorder="1" applyAlignment="1">
      <alignment horizontal="left" wrapText="1"/>
    </xf>
    <xf numFmtId="0" fontId="36" fillId="41" borderId="22" xfId="0" applyFont="1" applyFill="1" applyBorder="1" applyAlignment="1">
      <alignment horizontal="left"/>
    </xf>
    <xf numFmtId="0" fontId="56" fillId="6" borderId="22" xfId="0" applyFont="1" applyFill="1" applyBorder="1" applyAlignment="1">
      <alignment horizontal="left"/>
    </xf>
    <xf numFmtId="0" fontId="56" fillId="6" borderId="0" xfId="0" applyFont="1" applyFill="1" applyBorder="1" applyAlignment="1">
      <alignment horizontal="left"/>
    </xf>
    <xf numFmtId="0" fontId="20" fillId="6" borderId="0" xfId="0" applyFont="1" applyFill="1" applyAlignment="1">
      <alignment horizontal="left"/>
    </xf>
    <xf numFmtId="0" fontId="71" fillId="6" borderId="0" xfId="0" applyFont="1" applyFill="1" applyBorder="1" applyAlignment="1">
      <alignment horizontal="left"/>
    </xf>
    <xf numFmtId="0" fontId="10" fillId="12" borderId="0" xfId="0" applyFont="1" applyFill="1"/>
    <xf numFmtId="0" fontId="33" fillId="6" borderId="29" xfId="0" applyFont="1" applyFill="1" applyBorder="1" applyAlignment="1">
      <alignment horizontal="left"/>
    </xf>
    <xf numFmtId="0" fontId="20" fillId="6" borderId="30" xfId="0" applyFont="1" applyFill="1" applyBorder="1" applyAlignment="1">
      <alignment horizontal="left"/>
    </xf>
    <xf numFmtId="0" fontId="1" fillId="13" borderId="22" xfId="0" applyFont="1" applyFill="1" applyBorder="1" applyAlignment="1">
      <alignment horizontal="left"/>
    </xf>
    <xf numFmtId="0" fontId="7" fillId="0" borderId="0" xfId="0" applyFont="1" applyFill="1"/>
    <xf numFmtId="0" fontId="6" fillId="0" borderId="0" xfId="0" applyFont="1" applyFill="1" applyAlignment="1">
      <alignment horizontal="left"/>
    </xf>
    <xf numFmtId="0" fontId="17" fillId="6" borderId="0" xfId="0" applyFont="1" applyFill="1" applyBorder="1" applyAlignment="1">
      <alignment horizontal="left"/>
    </xf>
    <xf numFmtId="0" fontId="17" fillId="0" borderId="0" xfId="0" applyFont="1" applyFill="1" applyBorder="1" applyAlignment="1"/>
    <xf numFmtId="0" fontId="13" fillId="43" borderId="0" xfId="0" applyFont="1" applyFill="1" applyBorder="1" applyAlignment="1">
      <alignment horizontal="center"/>
    </xf>
    <xf numFmtId="0" fontId="16" fillId="43" borderId="0" xfId="0" applyFont="1" applyFill="1" applyBorder="1" applyAlignment="1">
      <alignment horizontal="left"/>
    </xf>
    <xf numFmtId="0" fontId="21" fillId="43" borderId="0" xfId="0" applyFont="1" applyFill="1" applyBorder="1" applyAlignment="1">
      <alignment horizontal="left"/>
    </xf>
    <xf numFmtId="0" fontId="33" fillId="43" borderId="0" xfId="0" applyFont="1" applyFill="1" applyBorder="1" applyAlignment="1">
      <alignment horizontal="left"/>
    </xf>
    <xf numFmtId="0" fontId="13" fillId="43" borderId="0" xfId="0" applyFont="1" applyFill="1" applyBorder="1" applyAlignment="1">
      <alignment horizontal="left"/>
    </xf>
    <xf numFmtId="0" fontId="19" fillId="43" borderId="0" xfId="0" applyFont="1" applyFill="1" applyBorder="1" applyAlignment="1">
      <alignment horizontal="left"/>
    </xf>
    <xf numFmtId="0" fontId="16" fillId="43" borderId="0" xfId="0" applyFont="1" applyFill="1" applyAlignment="1">
      <alignment horizontal="left"/>
    </xf>
    <xf numFmtId="0" fontId="10" fillId="44" borderId="0" xfId="0" applyFont="1" applyFill="1" applyBorder="1" applyAlignment="1">
      <alignment horizontal="center"/>
    </xf>
    <xf numFmtId="0" fontId="10" fillId="44" borderId="0" xfId="0" applyFont="1" applyFill="1" applyBorder="1" applyAlignment="1">
      <alignment horizontal="left"/>
    </xf>
    <xf numFmtId="0" fontId="72" fillId="44" borderId="0" xfId="0" applyFont="1" applyFill="1" applyBorder="1" applyAlignment="1">
      <alignment horizontal="left"/>
    </xf>
    <xf numFmtId="0" fontId="21" fillId="6" borderId="30" xfId="0" applyFont="1" applyFill="1" applyBorder="1" applyAlignment="1">
      <alignment horizontal="left"/>
    </xf>
    <xf numFmtId="0" fontId="72" fillId="6" borderId="0" xfId="0" applyFont="1" applyFill="1" applyBorder="1" applyAlignment="1">
      <alignment horizontal="left"/>
    </xf>
    <xf numFmtId="0" fontId="18" fillId="6" borderId="0" xfId="0" applyFont="1" applyFill="1" applyBorder="1" applyAlignment="1">
      <alignment horizontal="left"/>
    </xf>
    <xf numFmtId="16" fontId="20" fillId="6" borderId="0" xfId="0" applyNumberFormat="1" applyFont="1" applyFill="1" applyBorder="1" applyAlignment="1">
      <alignment horizontal="left"/>
    </xf>
    <xf numFmtId="16" fontId="14" fillId="6" borderId="0" xfId="0" applyNumberFormat="1" applyFont="1" applyFill="1" applyBorder="1" applyAlignment="1">
      <alignment horizontal="left"/>
    </xf>
    <xf numFmtId="16" fontId="33" fillId="6" borderId="22" xfId="0" applyNumberFormat="1" applyFont="1" applyFill="1" applyBorder="1" applyAlignment="1">
      <alignment horizontal="left"/>
    </xf>
    <xf numFmtId="0" fontId="23" fillId="6" borderId="8" xfId="0" applyFont="1" applyFill="1" applyBorder="1" applyAlignment="1">
      <alignment horizontal="left"/>
    </xf>
    <xf numFmtId="0" fontId="20" fillId="0" borderId="41" xfId="0" applyFont="1" applyFill="1" applyBorder="1" applyAlignment="1">
      <alignment horizontal="left"/>
    </xf>
    <xf numFmtId="0" fontId="39" fillId="6" borderId="0" xfId="0" applyFont="1" applyFill="1" applyBorder="1" applyAlignment="1">
      <alignment horizontal="left"/>
    </xf>
    <xf numFmtId="0" fontId="61" fillId="6" borderId="0" xfId="0" applyFont="1" applyFill="1" applyBorder="1"/>
    <xf numFmtId="0" fontId="61" fillId="6" borderId="0" xfId="0" applyFont="1" applyFill="1"/>
    <xf numFmtId="0" fontId="14" fillId="6" borderId="29" xfId="0" applyFont="1" applyFill="1" applyBorder="1" applyAlignment="1">
      <alignment horizontal="left"/>
    </xf>
    <xf numFmtId="0" fontId="36" fillId="42" borderId="29" xfId="0" applyFont="1" applyFill="1" applyBorder="1" applyAlignment="1">
      <alignment horizontal="left"/>
    </xf>
    <xf numFmtId="0" fontId="36" fillId="42" borderId="0" xfId="0" applyFont="1" applyFill="1" applyBorder="1" applyAlignment="1">
      <alignment horizontal="left"/>
    </xf>
    <xf numFmtId="0" fontId="33" fillId="44" borderId="0" xfId="0" applyFont="1" applyFill="1" applyBorder="1" applyAlignment="1">
      <alignment horizontal="left"/>
    </xf>
    <xf numFmtId="0" fontId="68" fillId="6" borderId="0" xfId="0" applyFont="1" applyFill="1" applyBorder="1"/>
    <xf numFmtId="0" fontId="14" fillId="6" borderId="41" xfId="0" applyFont="1" applyFill="1" applyBorder="1" applyAlignment="1">
      <alignment horizontal="left"/>
    </xf>
    <xf numFmtId="0" fontId="14" fillId="6" borderId="40" xfId="0" applyFont="1" applyFill="1" applyBorder="1" applyAlignment="1">
      <alignment horizontal="left"/>
    </xf>
    <xf numFmtId="0" fontId="36" fillId="41" borderId="0" xfId="0" applyFont="1" applyFill="1" applyBorder="1" applyAlignment="1">
      <alignment horizontal="left"/>
    </xf>
    <xf numFmtId="0" fontId="21" fillId="13" borderId="29" xfId="0" applyFont="1" applyFill="1" applyBorder="1" applyAlignment="1">
      <alignment horizontal="left"/>
    </xf>
    <xf numFmtId="0" fontId="14" fillId="0" borderId="30" xfId="0" applyFont="1" applyFill="1" applyBorder="1" applyAlignment="1">
      <alignment horizontal="left" wrapText="1"/>
    </xf>
    <xf numFmtId="0" fontId="21" fillId="6" borderId="39" xfId="0" applyFont="1" applyFill="1" applyBorder="1" applyAlignment="1">
      <alignment horizontal="left"/>
    </xf>
    <xf numFmtId="0" fontId="20" fillId="6" borderId="28" xfId="0" applyFont="1" applyFill="1" applyBorder="1" applyAlignment="1">
      <alignment horizontal="left"/>
    </xf>
    <xf numFmtId="0" fontId="32" fillId="30" borderId="22" xfId="0" applyFont="1" applyFill="1" applyBorder="1" applyAlignment="1">
      <alignment horizontal="left"/>
    </xf>
    <xf numFmtId="0" fontId="36" fillId="0" borderId="39" xfId="0" applyFont="1" applyBorder="1" applyAlignment="1">
      <alignment horizontal="left"/>
    </xf>
    <xf numFmtId="0" fontId="21" fillId="6" borderId="8" xfId="0" applyFont="1" applyFill="1" applyBorder="1" applyAlignment="1">
      <alignment horizontal="left"/>
    </xf>
    <xf numFmtId="0" fontId="20" fillId="26" borderId="22" xfId="0" applyFont="1" applyFill="1" applyBorder="1" applyAlignment="1">
      <alignment horizontal="left"/>
    </xf>
    <xf numFmtId="0" fontId="22" fillId="0" borderId="0" xfId="0" applyFont="1" applyFill="1" applyBorder="1"/>
    <xf numFmtId="0" fontId="26" fillId="0" borderId="0" xfId="0" applyFont="1" applyFill="1" applyBorder="1" applyAlignment="1">
      <alignment horizontal="left"/>
    </xf>
    <xf numFmtId="0" fontId="25" fillId="0" borderId="0" xfId="0" applyFont="1" applyFill="1" applyBorder="1" applyAlignment="1">
      <alignment horizontal="left"/>
    </xf>
    <xf numFmtId="0" fontId="23" fillId="0" borderId="0" xfId="0" applyFont="1" applyFill="1" applyBorder="1" applyAlignment="1">
      <alignment horizontal="left"/>
    </xf>
    <xf numFmtId="0" fontId="24" fillId="0" borderId="0" xfId="0" applyFont="1" applyFill="1" applyBorder="1" applyAlignment="1">
      <alignment horizontal="left"/>
    </xf>
    <xf numFmtId="0" fontId="34" fillId="0" borderId="0" xfId="0" applyFont="1" applyFill="1" applyBorder="1" applyAlignment="1">
      <alignment horizontal="left"/>
    </xf>
    <xf numFmtId="0" fontId="56" fillId="0" borderId="0" xfId="0" applyFont="1" applyFill="1" applyBorder="1" applyAlignment="1">
      <alignment horizontal="left"/>
    </xf>
    <xf numFmtId="0" fontId="44" fillId="0" borderId="0" xfId="0" applyFont="1" applyFill="1" applyBorder="1" applyAlignment="1">
      <alignment horizontal="left"/>
    </xf>
    <xf numFmtId="0" fontId="23" fillId="0" borderId="0" xfId="0" applyFont="1" applyFill="1" applyAlignment="1">
      <alignment horizontal="left"/>
    </xf>
    <xf numFmtId="0" fontId="17" fillId="6" borderId="34" xfId="0" applyFont="1" applyFill="1" applyBorder="1" applyAlignment="1">
      <alignment horizontal="left"/>
    </xf>
    <xf numFmtId="0" fontId="74" fillId="0" borderId="8" xfId="0" applyFont="1" applyBorder="1" applyAlignment="1">
      <alignment horizontal="left"/>
    </xf>
    <xf numFmtId="0" fontId="75" fillId="20" borderId="22" xfId="0" applyFont="1" applyFill="1" applyBorder="1" applyAlignment="1">
      <alignment horizontal="center"/>
    </xf>
    <xf numFmtId="0" fontId="74" fillId="18" borderId="42" xfId="0" applyFont="1" applyFill="1" applyBorder="1" applyAlignment="1">
      <alignment horizontal="left"/>
    </xf>
    <xf numFmtId="0" fontId="74" fillId="9" borderId="22" xfId="0" applyFont="1" applyFill="1" applyBorder="1" applyAlignment="1">
      <alignment horizontal="left"/>
    </xf>
    <xf numFmtId="0" fontId="74" fillId="19" borderId="29" xfId="0" applyFont="1" applyFill="1" applyBorder="1" applyAlignment="1">
      <alignment horizontal="left"/>
    </xf>
    <xf numFmtId="0" fontId="74" fillId="0" borderId="8" xfId="0" applyFont="1" applyFill="1" applyBorder="1" applyAlignment="1">
      <alignment horizontal="left"/>
    </xf>
    <xf numFmtId="0" fontId="74" fillId="0" borderId="0" xfId="0" applyFont="1" applyBorder="1" applyAlignment="1">
      <alignment horizontal="left"/>
    </xf>
    <xf numFmtId="0" fontId="74" fillId="38" borderId="0" xfId="0" applyFont="1" applyFill="1" applyBorder="1" applyAlignment="1">
      <alignment horizontal="left"/>
    </xf>
    <xf numFmtId="0" fontId="74" fillId="16" borderId="19" xfId="0" applyFont="1" applyFill="1" applyBorder="1" applyAlignment="1">
      <alignment horizontal="left"/>
    </xf>
    <xf numFmtId="0" fontId="74" fillId="16" borderId="25" xfId="0" applyFont="1" applyFill="1" applyBorder="1" applyAlignment="1">
      <alignment horizontal="left"/>
    </xf>
    <xf numFmtId="0" fontId="74" fillId="13" borderId="0" xfId="0" applyFont="1" applyFill="1" applyBorder="1" applyAlignment="1">
      <alignment horizontal="left"/>
    </xf>
    <xf numFmtId="0" fontId="74" fillId="19" borderId="0" xfId="0" applyFont="1" applyFill="1" applyBorder="1" applyAlignment="1">
      <alignment horizontal="left"/>
    </xf>
    <xf numFmtId="0" fontId="74" fillId="0" borderId="34" xfId="0" applyFont="1" applyBorder="1" applyAlignment="1">
      <alignment horizontal="left"/>
    </xf>
    <xf numFmtId="0" fontId="74" fillId="2" borderId="22" xfId="0" applyFont="1" applyFill="1" applyBorder="1" applyAlignment="1">
      <alignment horizontal="left"/>
    </xf>
    <xf numFmtId="0" fontId="74" fillId="0" borderId="35" xfId="0" applyFont="1" applyBorder="1" applyAlignment="1">
      <alignment horizontal="left"/>
    </xf>
    <xf numFmtId="0" fontId="74" fillId="17" borderId="22" xfId="0" applyFont="1" applyFill="1" applyBorder="1" applyAlignment="1">
      <alignment horizontal="left"/>
    </xf>
    <xf numFmtId="0" fontId="75" fillId="17" borderId="22" xfId="0" applyFont="1" applyFill="1" applyBorder="1" applyAlignment="1">
      <alignment horizontal="left"/>
    </xf>
    <xf numFmtId="0" fontId="75" fillId="20" borderId="22" xfId="0" applyFont="1" applyFill="1" applyBorder="1" applyAlignment="1">
      <alignment horizontal="left"/>
    </xf>
    <xf numFmtId="0" fontId="75" fillId="43" borderId="0" xfId="0" applyFont="1" applyFill="1" applyBorder="1" applyAlignment="1">
      <alignment horizontal="left"/>
    </xf>
    <xf numFmtId="0" fontId="75" fillId="13" borderId="22" xfId="0" applyFont="1" applyFill="1" applyBorder="1" applyAlignment="1">
      <alignment horizontal="left"/>
    </xf>
    <xf numFmtId="0" fontId="74" fillId="0" borderId="0" xfId="0" applyFont="1" applyFill="1" applyBorder="1" applyAlignment="1">
      <alignment horizontal="left"/>
    </xf>
    <xf numFmtId="0" fontId="76" fillId="3" borderId="22" xfId="0" applyFont="1" applyFill="1" applyBorder="1" applyAlignment="1">
      <alignment horizontal="left"/>
    </xf>
    <xf numFmtId="0" fontId="76" fillId="3" borderId="0" xfId="0" applyFont="1" applyFill="1" applyBorder="1" applyAlignment="1">
      <alignment horizontal="left"/>
    </xf>
    <xf numFmtId="0" fontId="76" fillId="0" borderId="0" xfId="0" applyFont="1" applyFill="1" applyBorder="1" applyAlignment="1">
      <alignment horizontal="left"/>
    </xf>
    <xf numFmtId="0" fontId="75" fillId="0" borderId="0" xfId="0" applyFont="1" applyFill="1" applyBorder="1" applyAlignment="1">
      <alignment horizontal="left"/>
    </xf>
    <xf numFmtId="0" fontId="76" fillId="28" borderId="22" xfId="0" applyFont="1" applyFill="1" applyBorder="1" applyAlignment="1">
      <alignment horizontal="left"/>
    </xf>
    <xf numFmtId="0" fontId="74" fillId="28" borderId="22" xfId="0" applyFont="1" applyFill="1" applyBorder="1" applyAlignment="1">
      <alignment horizontal="left"/>
    </xf>
    <xf numFmtId="0" fontId="74" fillId="30" borderId="0" xfId="0" applyFont="1" applyFill="1" applyBorder="1" applyAlignment="1">
      <alignment horizontal="left"/>
    </xf>
    <xf numFmtId="0" fontId="74" fillId="28" borderId="28" xfId="0" applyFont="1" applyFill="1" applyBorder="1" applyAlignment="1">
      <alignment horizontal="left"/>
    </xf>
    <xf numFmtId="0" fontId="34" fillId="26" borderId="39" xfId="0" applyFont="1" applyFill="1" applyBorder="1" applyAlignment="1">
      <alignment horizontal="left"/>
    </xf>
    <xf numFmtId="0" fontId="33" fillId="26" borderId="0" xfId="0" applyFont="1" applyFill="1" applyAlignment="1">
      <alignment horizontal="left"/>
    </xf>
    <xf numFmtId="0" fontId="77" fillId="26" borderId="0" xfId="0" applyFont="1" applyFill="1" applyBorder="1" applyAlignment="1">
      <alignment horizontal="left"/>
    </xf>
    <xf numFmtId="0" fontId="78" fillId="26" borderId="0" xfId="0" applyFont="1" applyFill="1" applyBorder="1" applyAlignment="1">
      <alignment horizontal="left"/>
    </xf>
    <xf numFmtId="0" fontId="34" fillId="6" borderId="39" xfId="0" applyFont="1" applyFill="1" applyBorder="1" applyAlignment="1">
      <alignment horizontal="left"/>
    </xf>
    <xf numFmtId="0" fontId="33" fillId="28" borderId="22" xfId="0" applyFont="1" applyFill="1" applyBorder="1" applyAlignment="1">
      <alignment horizontal="left"/>
    </xf>
    <xf numFmtId="0" fontId="34" fillId="28" borderId="30" xfId="0" applyFont="1" applyFill="1" applyBorder="1" applyAlignment="1">
      <alignment horizontal="left"/>
    </xf>
    <xf numFmtId="0" fontId="32" fillId="28" borderId="30" xfId="0" applyFont="1" applyFill="1" applyBorder="1" applyAlignment="1">
      <alignment horizontal="left"/>
    </xf>
    <xf numFmtId="0" fontId="79" fillId="8" borderId="22" xfId="0" applyFont="1" applyFill="1" applyBorder="1"/>
    <xf numFmtId="0" fontId="0" fillId="36" borderId="22" xfId="0" applyFont="1" applyFill="1" applyBorder="1" applyAlignment="1">
      <alignment horizontal="left"/>
    </xf>
    <xf numFmtId="0" fontId="25" fillId="31" borderId="22" xfId="0" applyFont="1" applyFill="1" applyBorder="1" applyAlignment="1">
      <alignment horizontal="left"/>
    </xf>
    <xf numFmtId="0" fontId="32" fillId="30" borderId="22" xfId="0" applyFont="1" applyFill="1" applyBorder="1" applyAlignment="1">
      <alignment horizontal="left" wrapText="1"/>
    </xf>
    <xf numFmtId="0" fontId="84" fillId="0" borderId="8" xfId="0" applyFont="1" applyBorder="1" applyAlignment="1">
      <alignment horizontal="left"/>
    </xf>
    <xf numFmtId="0" fontId="85" fillId="20" borderId="22" xfId="0" applyFont="1" applyFill="1" applyBorder="1" applyAlignment="1">
      <alignment horizontal="center"/>
    </xf>
    <xf numFmtId="0" fontId="84" fillId="18" borderId="42" xfId="0" applyFont="1" applyFill="1" applyBorder="1" applyAlignment="1">
      <alignment horizontal="left"/>
    </xf>
    <xf numFmtId="0" fontId="84" fillId="9" borderId="22" xfId="0" applyFont="1" applyFill="1" applyBorder="1" applyAlignment="1">
      <alignment horizontal="left"/>
    </xf>
    <xf numFmtId="0" fontId="84" fillId="19" borderId="29" xfId="0" applyFont="1" applyFill="1" applyBorder="1" applyAlignment="1">
      <alignment horizontal="left"/>
    </xf>
    <xf numFmtId="0" fontId="84" fillId="3" borderId="8" xfId="0" applyFont="1" applyFill="1" applyBorder="1" applyAlignment="1">
      <alignment horizontal="left"/>
    </xf>
    <xf numFmtId="0" fontId="84" fillId="0" borderId="8" xfId="0" applyFont="1" applyFill="1" applyBorder="1" applyAlignment="1">
      <alignment horizontal="left"/>
    </xf>
    <xf numFmtId="0" fontId="84" fillId="0" borderId="0" xfId="0" applyFont="1" applyBorder="1" applyAlignment="1">
      <alignment horizontal="left"/>
    </xf>
    <xf numFmtId="0" fontId="84" fillId="38" borderId="0" xfId="0" applyFont="1" applyFill="1" applyBorder="1" applyAlignment="1">
      <alignment horizontal="left"/>
    </xf>
    <xf numFmtId="0" fontId="84" fillId="16" borderId="19" xfId="0" applyFont="1" applyFill="1" applyBorder="1" applyAlignment="1">
      <alignment horizontal="left"/>
    </xf>
    <xf numFmtId="0" fontId="84" fillId="16" borderId="25" xfId="0" applyFont="1" applyFill="1" applyBorder="1" applyAlignment="1">
      <alignment horizontal="left"/>
    </xf>
    <xf numFmtId="0" fontId="84" fillId="13" borderId="0" xfId="0" applyFont="1" applyFill="1" applyBorder="1" applyAlignment="1">
      <alignment horizontal="left"/>
    </xf>
    <xf numFmtId="0" fontId="84" fillId="19" borderId="0" xfId="0" applyFont="1" applyFill="1" applyBorder="1" applyAlignment="1">
      <alignment horizontal="left"/>
    </xf>
    <xf numFmtId="0" fontId="84" fillId="0" borderId="34" xfId="0" applyFont="1" applyBorder="1" applyAlignment="1">
      <alignment horizontal="left"/>
    </xf>
    <xf numFmtId="0" fontId="84" fillId="2" borderId="22" xfId="0" applyFont="1" applyFill="1" applyBorder="1" applyAlignment="1">
      <alignment horizontal="left"/>
    </xf>
    <xf numFmtId="0" fontId="84" fillId="0" borderId="35" xfId="0" applyFont="1" applyBorder="1" applyAlignment="1">
      <alignment horizontal="left"/>
    </xf>
    <xf numFmtId="0" fontId="84" fillId="17" borderId="22" xfId="0" applyFont="1" applyFill="1" applyBorder="1" applyAlignment="1">
      <alignment horizontal="left"/>
    </xf>
    <xf numFmtId="0" fontId="85" fillId="17" borderId="22" xfId="0" applyFont="1" applyFill="1" applyBorder="1" applyAlignment="1">
      <alignment horizontal="left"/>
    </xf>
    <xf numFmtId="0" fontId="85" fillId="20" borderId="22" xfId="0" applyFont="1" applyFill="1" applyBorder="1" applyAlignment="1">
      <alignment horizontal="left"/>
    </xf>
    <xf numFmtId="0" fontId="85" fillId="20" borderId="0" xfId="0" applyFont="1" applyFill="1" applyBorder="1" applyAlignment="1">
      <alignment horizontal="left"/>
    </xf>
    <xf numFmtId="0" fontId="85" fillId="44" borderId="0" xfId="0" applyFont="1" applyFill="1" applyBorder="1" applyAlignment="1">
      <alignment horizontal="left"/>
    </xf>
    <xf numFmtId="0" fontId="85" fillId="43" borderId="0" xfId="0" applyFont="1" applyFill="1" applyBorder="1" applyAlignment="1">
      <alignment horizontal="left"/>
    </xf>
    <xf numFmtId="0" fontId="85" fillId="13" borderId="22" xfId="0" applyFont="1" applyFill="1" applyBorder="1" applyAlignment="1">
      <alignment horizontal="left"/>
    </xf>
    <xf numFmtId="0" fontId="84" fillId="0" borderId="0" xfId="0" applyFont="1" applyFill="1" applyBorder="1" applyAlignment="1">
      <alignment horizontal="left"/>
    </xf>
    <xf numFmtId="0" fontId="86" fillId="3" borderId="22" xfId="0" applyFont="1" applyFill="1" applyBorder="1" applyAlignment="1">
      <alignment horizontal="left"/>
    </xf>
    <xf numFmtId="0" fontId="86" fillId="3" borderId="0" xfId="0" applyFont="1" applyFill="1" applyBorder="1" applyAlignment="1">
      <alignment horizontal="left"/>
    </xf>
    <xf numFmtId="0" fontId="86" fillId="0" borderId="0" xfId="0" applyFont="1" applyFill="1" applyBorder="1" applyAlignment="1">
      <alignment horizontal="left"/>
    </xf>
    <xf numFmtId="0" fontId="85" fillId="0" borderId="0" xfId="0" applyFont="1" applyFill="1" applyBorder="1" applyAlignment="1">
      <alignment horizontal="left"/>
    </xf>
    <xf numFmtId="0" fontId="86" fillId="28" borderId="22" xfId="0" applyFont="1" applyFill="1" applyBorder="1" applyAlignment="1">
      <alignment horizontal="left"/>
    </xf>
    <xf numFmtId="0" fontId="84" fillId="28" borderId="22" xfId="0" applyFont="1" applyFill="1" applyBorder="1" applyAlignment="1">
      <alignment horizontal="left"/>
    </xf>
    <xf numFmtId="0" fontId="86" fillId="26" borderId="0" xfId="0" applyFont="1" applyFill="1" applyBorder="1" applyAlignment="1">
      <alignment horizontal="left"/>
    </xf>
    <xf numFmtId="0" fontId="84" fillId="30" borderId="0" xfId="0" applyFont="1" applyFill="1" applyBorder="1" applyAlignment="1">
      <alignment horizontal="left"/>
    </xf>
    <xf numFmtId="0" fontId="84" fillId="8" borderId="0" xfId="0" applyFont="1" applyFill="1" applyBorder="1" applyAlignment="1">
      <alignment horizontal="left"/>
    </xf>
    <xf numFmtId="0" fontId="20" fillId="17" borderId="19" xfId="0" applyFont="1" applyFill="1" applyBorder="1" applyAlignment="1">
      <alignment horizontal="left"/>
    </xf>
    <xf numFmtId="0" fontId="20" fillId="17" borderId="25" xfId="0" applyFont="1" applyFill="1" applyBorder="1" applyAlignment="1">
      <alignment horizontal="left"/>
    </xf>
    <xf numFmtId="0" fontId="32" fillId="17" borderId="0" xfId="0" applyFont="1" applyFill="1" applyBorder="1" applyAlignment="1">
      <alignment horizontal="left"/>
    </xf>
    <xf numFmtId="0" fontId="20" fillId="17" borderId="0" xfId="0" applyFont="1" applyFill="1" applyBorder="1" applyAlignment="1">
      <alignment horizontal="left"/>
    </xf>
    <xf numFmtId="0" fontId="20" fillId="17" borderId="34" xfId="0" applyFont="1" applyFill="1" applyBorder="1" applyAlignment="1">
      <alignment horizontal="left"/>
    </xf>
    <xf numFmtId="0" fontId="20" fillId="17" borderId="35" xfId="0" applyFont="1" applyFill="1" applyBorder="1" applyAlignment="1">
      <alignment horizontal="left"/>
    </xf>
    <xf numFmtId="0" fontId="70" fillId="17" borderId="0" xfId="0" applyFont="1" applyFill="1" applyBorder="1" applyAlignment="1">
      <alignment horizontal="left"/>
    </xf>
    <xf numFmtId="0" fontId="21" fillId="17" borderId="0" xfId="0" applyFont="1" applyFill="1" applyBorder="1" applyAlignment="1">
      <alignment horizontal="left"/>
    </xf>
    <xf numFmtId="0" fontId="33" fillId="17" borderId="0" xfId="0" applyFont="1" applyFill="1" applyBorder="1" applyAlignment="1">
      <alignment horizontal="left"/>
    </xf>
    <xf numFmtId="0" fontId="24" fillId="17" borderId="22" xfId="0" applyFont="1" applyFill="1" applyBorder="1" applyAlignment="1">
      <alignment horizontal="left"/>
    </xf>
    <xf numFmtId="0" fontId="24" fillId="17" borderId="0" xfId="0" applyFont="1" applyFill="1" applyBorder="1" applyAlignment="1">
      <alignment horizontal="left"/>
    </xf>
    <xf numFmtId="0" fontId="34" fillId="17" borderId="22" xfId="0" applyFont="1" applyFill="1" applyBorder="1" applyAlignment="1">
      <alignment horizontal="left"/>
    </xf>
    <xf numFmtId="0" fontId="19" fillId="17" borderId="0" xfId="0" applyFont="1" applyFill="1" applyBorder="1" applyAlignment="1">
      <alignment horizontal="left"/>
    </xf>
    <xf numFmtId="0" fontId="34" fillId="17" borderId="0" xfId="0" applyFont="1" applyFill="1" applyBorder="1" applyAlignment="1">
      <alignment horizontal="left"/>
    </xf>
    <xf numFmtId="0" fontId="14" fillId="17" borderId="0" xfId="0" applyFont="1" applyFill="1" applyBorder="1" applyAlignment="1">
      <alignment horizontal="left"/>
    </xf>
    <xf numFmtId="0" fontId="14" fillId="17" borderId="19" xfId="0" applyFont="1" applyFill="1" applyBorder="1" applyAlignment="1">
      <alignment horizontal="left"/>
    </xf>
    <xf numFmtId="0" fontId="14" fillId="17" borderId="25" xfId="0" applyFont="1" applyFill="1" applyBorder="1" applyAlignment="1">
      <alignment horizontal="left"/>
    </xf>
    <xf numFmtId="0" fontId="14" fillId="17" borderId="34" xfId="0" applyFont="1" applyFill="1" applyBorder="1" applyAlignment="1">
      <alignment horizontal="left"/>
    </xf>
    <xf numFmtId="0" fontId="14" fillId="17" borderId="35" xfId="0" applyFont="1" applyFill="1" applyBorder="1" applyAlignment="1">
      <alignment horizontal="left"/>
    </xf>
    <xf numFmtId="0" fontId="16" fillId="17" borderId="22" xfId="0" applyFont="1" applyFill="1" applyBorder="1" applyAlignment="1">
      <alignment horizontal="left"/>
    </xf>
    <xf numFmtId="0" fontId="16" fillId="17" borderId="0" xfId="0" applyFont="1" applyFill="1" applyBorder="1" applyAlignment="1">
      <alignment horizontal="left"/>
    </xf>
    <xf numFmtId="0" fontId="23" fillId="17" borderId="22" xfId="0" applyFont="1" applyFill="1" applyBorder="1" applyAlignment="1">
      <alignment horizontal="left"/>
    </xf>
    <xf numFmtId="0" fontId="23" fillId="17" borderId="0" xfId="0" applyFont="1" applyFill="1" applyBorder="1" applyAlignment="1">
      <alignment horizontal="left"/>
    </xf>
    <xf numFmtId="0" fontId="15" fillId="17" borderId="0" xfId="0" applyFont="1" applyFill="1" applyBorder="1" applyAlignment="1">
      <alignment horizontal="left"/>
    </xf>
    <xf numFmtId="0" fontId="18" fillId="17" borderId="0" xfId="0" applyFont="1" applyFill="1" applyBorder="1" applyAlignment="1">
      <alignment horizontal="left"/>
    </xf>
    <xf numFmtId="0" fontId="14" fillId="17" borderId="8" xfId="0" applyFont="1" applyFill="1" applyBorder="1" applyAlignment="1">
      <alignment horizontal="left"/>
    </xf>
    <xf numFmtId="0" fontId="15" fillId="17" borderId="30" xfId="0" applyFont="1" applyFill="1" applyBorder="1" applyAlignment="1">
      <alignment horizontal="left"/>
    </xf>
    <xf numFmtId="0" fontId="14" fillId="17" borderId="30" xfId="0" applyFont="1" applyFill="1" applyBorder="1" applyAlignment="1">
      <alignment horizontal="left"/>
    </xf>
    <xf numFmtId="0" fontId="14" fillId="17" borderId="28" xfId="0" applyFont="1" applyFill="1" applyBorder="1" applyAlignment="1">
      <alignment horizontal="left"/>
    </xf>
    <xf numFmtId="0" fontId="73" fillId="17" borderId="0" xfId="0" applyFont="1" applyFill="1" applyAlignment="1">
      <alignment horizontal="left"/>
    </xf>
    <xf numFmtId="0" fontId="73" fillId="17" borderId="8" xfId="0" applyFont="1" applyFill="1" applyBorder="1" applyAlignment="1">
      <alignment horizontal="left"/>
    </xf>
    <xf numFmtId="0" fontId="73" fillId="17" borderId="40" xfId="0" applyFont="1" applyFill="1" applyBorder="1" applyAlignment="1">
      <alignment horizontal="left"/>
    </xf>
    <xf numFmtId="0" fontId="15" fillId="17" borderId="39" xfId="0" applyFont="1" applyFill="1" applyBorder="1" applyAlignment="1">
      <alignment horizontal="left"/>
    </xf>
    <xf numFmtId="0" fontId="20" fillId="17" borderId="8" xfId="0" applyFont="1" applyFill="1" applyBorder="1" applyAlignment="1">
      <alignment horizontal="left"/>
    </xf>
    <xf numFmtId="0" fontId="21" fillId="17" borderId="8" xfId="0" applyFont="1" applyFill="1" applyBorder="1" applyAlignment="1">
      <alignment horizontal="left"/>
    </xf>
    <xf numFmtId="0" fontId="32" fillId="17" borderId="25" xfId="0" applyFont="1" applyFill="1" applyBorder="1" applyAlignment="1">
      <alignment horizontal="left"/>
    </xf>
    <xf numFmtId="0" fontId="32" fillId="17" borderId="35" xfId="0" applyFont="1" applyFill="1" applyBorder="1" applyAlignment="1">
      <alignment horizontal="left"/>
    </xf>
    <xf numFmtId="0" fontId="32" fillId="17" borderId="0" xfId="0" applyFont="1" applyFill="1" applyBorder="1" applyAlignment="1">
      <alignment horizontal="left" wrapText="1"/>
    </xf>
    <xf numFmtId="0" fontId="21" fillId="17" borderId="39" xfId="0" applyFont="1" applyFill="1" applyBorder="1" applyAlignment="1">
      <alignment horizontal="left"/>
    </xf>
    <xf numFmtId="0" fontId="56" fillId="17" borderId="22" xfId="0" applyFont="1" applyFill="1" applyBorder="1" applyAlignment="1">
      <alignment horizontal="left"/>
    </xf>
    <xf numFmtId="0" fontId="56" fillId="17" borderId="0" xfId="0" applyFont="1" applyFill="1" applyBorder="1" applyAlignment="1">
      <alignment horizontal="left"/>
    </xf>
    <xf numFmtId="0" fontId="15" fillId="17" borderId="0" xfId="0" applyFont="1" applyFill="1" applyAlignment="1">
      <alignment horizontal="left"/>
    </xf>
    <xf numFmtId="0" fontId="14" fillId="17" borderId="0" xfId="0" applyFont="1" applyFill="1" applyAlignment="1">
      <alignment horizontal="left"/>
    </xf>
    <xf numFmtId="0" fontId="14" fillId="17" borderId="40" xfId="0" applyFont="1" applyFill="1" applyBorder="1" applyAlignment="1">
      <alignment horizontal="left"/>
    </xf>
    <xf numFmtId="0" fontId="15" fillId="17" borderId="8" xfId="0" applyFont="1" applyFill="1" applyBorder="1" applyAlignment="1">
      <alignment horizontal="left"/>
    </xf>
    <xf numFmtId="0" fontId="33" fillId="17" borderId="29" xfId="0" applyFont="1" applyFill="1" applyBorder="1" applyAlignment="1">
      <alignment horizontal="left"/>
    </xf>
    <xf numFmtId="0" fontId="66" fillId="17" borderId="0" xfId="0" applyFont="1" applyFill="1" applyBorder="1" applyAlignment="1">
      <alignment horizontal="left"/>
    </xf>
    <xf numFmtId="0" fontId="33" fillId="6" borderId="0" xfId="0" applyFont="1" applyFill="1" applyAlignment="1">
      <alignment horizontal="left"/>
    </xf>
    <xf numFmtId="0" fontId="51" fillId="6" borderId="0" xfId="0" applyFont="1" applyFill="1" applyBorder="1"/>
    <xf numFmtId="0" fontId="86" fillId="30" borderId="22" xfId="0" applyFont="1" applyFill="1" applyBorder="1" applyAlignment="1">
      <alignment horizontal="left"/>
    </xf>
    <xf numFmtId="0" fontId="84" fillId="30" borderId="22" xfId="0" applyFont="1" applyFill="1" applyBorder="1" applyAlignment="1">
      <alignment horizontal="left"/>
    </xf>
    <xf numFmtId="0" fontId="84" fillId="0" borderId="0" xfId="0" applyFont="1" applyFill="1" applyAlignment="1">
      <alignment horizontal="left"/>
    </xf>
    <xf numFmtId="0" fontId="74" fillId="0" borderId="30" xfId="0" applyFont="1" applyBorder="1" applyAlignment="1">
      <alignment horizontal="left"/>
    </xf>
    <xf numFmtId="0" fontId="75" fillId="20" borderId="0" xfId="0" applyFont="1" applyFill="1" applyBorder="1" applyAlignment="1">
      <alignment horizontal="left"/>
    </xf>
    <xf numFmtId="0" fontId="78" fillId="13" borderId="0" xfId="0" applyFont="1" applyFill="1" applyBorder="1" applyAlignment="1">
      <alignment horizontal="left"/>
    </xf>
    <xf numFmtId="0" fontId="32" fillId="0" borderId="30" xfId="0" applyFont="1" applyBorder="1" applyAlignment="1">
      <alignment horizontal="left"/>
    </xf>
    <xf numFmtId="0" fontId="26" fillId="2" borderId="0" xfId="0" applyFont="1" applyFill="1" applyBorder="1" applyAlignment="1">
      <alignment horizontal="left"/>
    </xf>
    <xf numFmtId="0" fontId="25" fillId="2" borderId="0" xfId="0" applyFont="1" applyFill="1" applyBorder="1" applyAlignment="1">
      <alignment horizontal="left"/>
    </xf>
    <xf numFmtId="0" fontId="23" fillId="2" borderId="0" xfId="0" applyFont="1" applyFill="1" applyBorder="1" applyAlignment="1">
      <alignment horizontal="left"/>
    </xf>
    <xf numFmtId="0" fontId="24" fillId="2" borderId="0" xfId="0" applyFont="1" applyFill="1" applyBorder="1" applyAlignment="1">
      <alignment horizontal="left"/>
    </xf>
    <xf numFmtId="0" fontId="34" fillId="2" borderId="0" xfId="0" applyFont="1" applyFill="1" applyBorder="1" applyAlignment="1">
      <alignment horizontal="left"/>
    </xf>
    <xf numFmtId="0" fontId="76" fillId="2" borderId="0" xfId="0" applyFont="1" applyFill="1" applyBorder="1" applyAlignment="1">
      <alignment horizontal="left"/>
    </xf>
    <xf numFmtId="0" fontId="86" fillId="2" borderId="0" xfId="0" applyFont="1" applyFill="1" applyBorder="1" applyAlignment="1">
      <alignment horizontal="left"/>
    </xf>
    <xf numFmtId="0" fontId="56" fillId="2" borderId="0" xfId="0" applyFont="1" applyFill="1" applyBorder="1" applyAlignment="1">
      <alignment horizontal="left"/>
    </xf>
    <xf numFmtId="0" fontId="44" fillId="2" borderId="0" xfId="0" applyFont="1" applyFill="1" applyBorder="1" applyAlignment="1">
      <alignment horizontal="left"/>
    </xf>
    <xf numFmtId="0" fontId="23" fillId="2" borderId="0" xfId="0" applyFont="1" applyFill="1" applyAlignment="1">
      <alignment horizontal="left"/>
    </xf>
    <xf numFmtId="0" fontId="14" fillId="19" borderId="19" xfId="0" applyFont="1" applyFill="1" applyBorder="1" applyAlignment="1">
      <alignment horizontal="left"/>
    </xf>
    <xf numFmtId="0" fontId="14" fillId="19" borderId="25" xfId="0" applyFont="1" applyFill="1" applyBorder="1" applyAlignment="1">
      <alignment horizontal="left"/>
    </xf>
    <xf numFmtId="0" fontId="14" fillId="19" borderId="34" xfId="0" applyFont="1" applyFill="1" applyBorder="1" applyAlignment="1">
      <alignment horizontal="left"/>
    </xf>
    <xf numFmtId="0" fontId="20" fillId="19" borderId="22" xfId="0" applyFont="1" applyFill="1" applyBorder="1" applyAlignment="1">
      <alignment horizontal="left"/>
    </xf>
    <xf numFmtId="0" fontId="14" fillId="19" borderId="35" xfId="0" applyFont="1" applyFill="1" applyBorder="1" applyAlignment="1">
      <alignment horizontal="left"/>
    </xf>
    <xf numFmtId="0" fontId="14" fillId="19" borderId="8" xfId="0" applyFont="1" applyFill="1" applyBorder="1" applyAlignment="1">
      <alignment horizontal="left"/>
    </xf>
    <xf numFmtId="0" fontId="70" fillId="19" borderId="0" xfId="0" applyFont="1" applyFill="1" applyBorder="1" applyAlignment="1">
      <alignment horizontal="left"/>
    </xf>
    <xf numFmtId="0" fontId="15" fillId="19" borderId="22" xfId="0" applyFont="1" applyFill="1" applyBorder="1" applyAlignment="1">
      <alignment horizontal="left"/>
    </xf>
    <xf numFmtId="0" fontId="16" fillId="19" borderId="22" xfId="0" applyFont="1" applyFill="1" applyBorder="1" applyAlignment="1">
      <alignment horizontal="left"/>
    </xf>
    <xf numFmtId="0" fontId="16" fillId="19" borderId="0" xfId="0" applyFont="1" applyFill="1" applyBorder="1" applyAlignment="1">
      <alignment horizontal="left"/>
    </xf>
    <xf numFmtId="0" fontId="72" fillId="19" borderId="0" xfId="0" applyFont="1" applyFill="1" applyBorder="1" applyAlignment="1">
      <alignment horizontal="left"/>
    </xf>
    <xf numFmtId="0" fontId="33" fillId="19" borderId="0" xfId="0" applyFont="1" applyFill="1" applyBorder="1" applyAlignment="1">
      <alignment horizontal="left"/>
    </xf>
    <xf numFmtId="0" fontId="23" fillId="19" borderId="22" xfId="0" applyFont="1" applyFill="1" applyBorder="1" applyAlignment="1">
      <alignment horizontal="left"/>
    </xf>
    <xf numFmtId="0" fontId="23" fillId="19" borderId="0" xfId="0" applyFont="1" applyFill="1" applyBorder="1" applyAlignment="1">
      <alignment horizontal="left"/>
    </xf>
    <xf numFmtId="0" fontId="15" fillId="19" borderId="0" xfId="0" applyFont="1" applyFill="1" applyBorder="1" applyAlignment="1">
      <alignment horizontal="left"/>
    </xf>
    <xf numFmtId="0" fontId="34" fillId="19" borderId="22" xfId="0" applyFont="1" applyFill="1" applyBorder="1" applyAlignment="1">
      <alignment horizontal="left"/>
    </xf>
    <xf numFmtId="0" fontId="32" fillId="19" borderId="22" xfId="0" applyFont="1" applyFill="1" applyBorder="1" applyAlignment="1">
      <alignment horizontal="left"/>
    </xf>
    <xf numFmtId="0" fontId="34" fillId="19" borderId="39" xfId="0" applyFont="1" applyFill="1" applyBorder="1" applyAlignment="1">
      <alignment horizontal="left"/>
    </xf>
    <xf numFmtId="0" fontId="33" fillId="19" borderId="0" xfId="0" applyFont="1" applyFill="1" applyAlignment="1">
      <alignment horizontal="left"/>
    </xf>
    <xf numFmtId="0" fontId="14" fillId="19" borderId="30" xfId="0" applyFont="1" applyFill="1" applyBorder="1" applyAlignment="1">
      <alignment horizontal="left"/>
    </xf>
    <xf numFmtId="0" fontId="15" fillId="19" borderId="30" xfId="0" applyFont="1" applyFill="1" applyBorder="1" applyAlignment="1">
      <alignment horizontal="left"/>
    </xf>
    <xf numFmtId="0" fontId="14" fillId="19" borderId="40" xfId="0" applyFont="1" applyFill="1" applyBorder="1" applyAlignment="1">
      <alignment horizontal="left"/>
    </xf>
    <xf numFmtId="0" fontId="14" fillId="19" borderId="28" xfId="0" applyFont="1" applyFill="1" applyBorder="1" applyAlignment="1">
      <alignment horizontal="left"/>
    </xf>
    <xf numFmtId="0" fontId="76" fillId="30" borderId="22" xfId="0" applyFont="1" applyFill="1" applyBorder="1" applyAlignment="1">
      <alignment horizontal="left"/>
    </xf>
    <xf numFmtId="0" fontId="91" fillId="44" borderId="0" xfId="0" applyFont="1" applyFill="1" applyBorder="1" applyAlignment="1">
      <alignment horizontal="left"/>
    </xf>
    <xf numFmtId="16" fontId="84" fillId="0" borderId="0" xfId="0" applyNumberFormat="1" applyFont="1" applyBorder="1" applyAlignment="1">
      <alignment horizontal="left"/>
    </xf>
    <xf numFmtId="0" fontId="85" fillId="13" borderId="0" xfId="0" applyFont="1" applyFill="1" applyBorder="1" applyAlignment="1">
      <alignment horizontal="left"/>
    </xf>
    <xf numFmtId="0" fontId="84" fillId="0" borderId="0" xfId="0" applyFont="1" applyFill="1" applyBorder="1" applyAlignment="1">
      <alignment horizontal="left" wrapText="1"/>
    </xf>
    <xf numFmtId="0" fontId="84" fillId="28" borderId="22" xfId="0" applyFont="1" applyFill="1" applyBorder="1" applyAlignment="1">
      <alignment horizontal="left" wrapText="1"/>
    </xf>
    <xf numFmtId="0" fontId="85" fillId="0" borderId="0" xfId="0" applyFont="1" applyBorder="1" applyAlignment="1">
      <alignment horizontal="left"/>
    </xf>
    <xf numFmtId="0" fontId="86" fillId="28" borderId="0" xfId="0" applyFont="1" applyFill="1" applyBorder="1" applyAlignment="1">
      <alignment horizontal="left"/>
    </xf>
    <xf numFmtId="0" fontId="84" fillId="28" borderId="0" xfId="0" applyFont="1" applyFill="1" applyBorder="1" applyAlignment="1">
      <alignment horizontal="left"/>
    </xf>
    <xf numFmtId="0" fontId="86" fillId="30" borderId="0" xfId="0" applyFont="1" applyFill="1" applyBorder="1" applyAlignment="1">
      <alignment horizontal="left" wrapText="1"/>
    </xf>
    <xf numFmtId="0" fontId="86" fillId="3" borderId="42" xfId="0" applyFont="1" applyFill="1" applyBorder="1" applyAlignment="1">
      <alignment horizontal="left"/>
    </xf>
    <xf numFmtId="0" fontId="84" fillId="28" borderId="28" xfId="0" applyFont="1" applyFill="1" applyBorder="1" applyAlignment="1">
      <alignment horizontal="left"/>
    </xf>
    <xf numFmtId="0" fontId="86" fillId="30" borderId="0" xfId="0" applyFont="1" applyFill="1" applyAlignment="1">
      <alignment horizontal="left"/>
    </xf>
    <xf numFmtId="0" fontId="84" fillId="30" borderId="0" xfId="0" applyFont="1" applyFill="1" applyAlignment="1">
      <alignment horizontal="left"/>
    </xf>
    <xf numFmtId="0" fontId="23" fillId="6" borderId="0" xfId="0" applyFont="1" applyFill="1" applyAlignment="1">
      <alignment horizontal="left"/>
    </xf>
    <xf numFmtId="0" fontId="84" fillId="8" borderId="19" xfId="0" applyFont="1" applyFill="1" applyBorder="1" applyAlignment="1">
      <alignment horizontal="left"/>
    </xf>
    <xf numFmtId="0" fontId="84" fillId="8" borderId="25" xfId="0" applyFont="1" applyFill="1" applyBorder="1" applyAlignment="1">
      <alignment horizontal="left"/>
    </xf>
    <xf numFmtId="0" fontId="84" fillId="8" borderId="34" xfId="0" applyFont="1" applyFill="1" applyBorder="1" applyAlignment="1">
      <alignment horizontal="left"/>
    </xf>
    <xf numFmtId="0" fontId="84" fillId="8" borderId="22" xfId="0" applyFont="1" applyFill="1" applyBorder="1" applyAlignment="1">
      <alignment horizontal="left"/>
    </xf>
    <xf numFmtId="0" fontId="85" fillId="42" borderId="22" xfId="0" applyFont="1" applyFill="1" applyBorder="1" applyAlignment="1">
      <alignment horizontal="left"/>
    </xf>
    <xf numFmtId="0" fontId="84" fillId="0" borderId="34" xfId="0" quotePrefix="1" applyFont="1" applyBorder="1" applyAlignment="1">
      <alignment horizontal="left"/>
    </xf>
    <xf numFmtId="0" fontId="84" fillId="0" borderId="0" xfId="0" applyFont="1" applyFill="1"/>
    <xf numFmtId="0" fontId="84" fillId="6" borderId="8" xfId="0" applyFont="1" applyFill="1" applyBorder="1" applyAlignment="1">
      <alignment horizontal="left"/>
    </xf>
    <xf numFmtId="0" fontId="0" fillId="6" borderId="22" xfId="0" applyFont="1" applyFill="1" applyBorder="1" applyAlignment="1">
      <alignment horizontal="left"/>
    </xf>
    <xf numFmtId="0" fontId="0" fillId="6" borderId="35" xfId="0" applyFont="1" applyFill="1" applyBorder="1" applyAlignment="1">
      <alignment horizontal="left"/>
    </xf>
    <xf numFmtId="0" fontId="0" fillId="6" borderId="34" xfId="0" applyFont="1" applyFill="1" applyBorder="1" applyAlignment="1">
      <alignment horizontal="left"/>
    </xf>
    <xf numFmtId="0" fontId="84" fillId="0" borderId="34" xfId="0" applyFont="1" applyBorder="1" applyAlignment="1">
      <alignment horizontal="left" wrapText="1"/>
    </xf>
    <xf numFmtId="0" fontId="92" fillId="0" borderId="8" xfId="0" applyFont="1" applyBorder="1" applyAlignment="1">
      <alignment horizontal="left"/>
    </xf>
    <xf numFmtId="0" fontId="93" fillId="20" borderId="22" xfId="0" applyFont="1" applyFill="1" applyBorder="1" applyAlignment="1">
      <alignment horizontal="center"/>
    </xf>
    <xf numFmtId="0" fontId="92" fillId="18" borderId="42" xfId="0" applyFont="1" applyFill="1" applyBorder="1" applyAlignment="1">
      <alignment horizontal="left"/>
    </xf>
    <xf numFmtId="0" fontId="92" fillId="9" borderId="22" xfId="0" applyFont="1" applyFill="1" applyBorder="1" applyAlignment="1">
      <alignment horizontal="left"/>
    </xf>
    <xf numFmtId="0" fontId="92" fillId="19" borderId="29" xfId="0" applyFont="1" applyFill="1" applyBorder="1" applyAlignment="1">
      <alignment horizontal="left"/>
    </xf>
    <xf numFmtId="0" fontId="92" fillId="0" borderId="8" xfId="0" applyFont="1" applyFill="1" applyBorder="1" applyAlignment="1">
      <alignment horizontal="left"/>
    </xf>
    <xf numFmtId="0" fontId="92" fillId="0" borderId="0" xfId="0" applyFont="1" applyBorder="1" applyAlignment="1">
      <alignment horizontal="left"/>
    </xf>
    <xf numFmtId="0" fontId="92" fillId="38" borderId="0" xfId="0" applyFont="1" applyFill="1" applyBorder="1" applyAlignment="1">
      <alignment horizontal="left"/>
    </xf>
    <xf numFmtId="0" fontId="92" fillId="16" borderId="19" xfId="0" applyFont="1" applyFill="1" applyBorder="1" applyAlignment="1">
      <alignment horizontal="left"/>
    </xf>
    <xf numFmtId="0" fontId="92" fillId="16" borderId="25" xfId="0" applyFont="1" applyFill="1" applyBorder="1" applyAlignment="1">
      <alignment horizontal="left"/>
    </xf>
    <xf numFmtId="0" fontId="92" fillId="13" borderId="0" xfId="0" applyFont="1" applyFill="1" applyBorder="1" applyAlignment="1">
      <alignment horizontal="left"/>
    </xf>
    <xf numFmtId="0" fontId="92" fillId="19" borderId="0" xfId="0" applyFont="1" applyFill="1" applyBorder="1" applyAlignment="1">
      <alignment horizontal="left"/>
    </xf>
    <xf numFmtId="0" fontId="92" fillId="0" borderId="34" xfId="0" applyFont="1" applyFill="1" applyBorder="1" applyAlignment="1">
      <alignment horizontal="left"/>
    </xf>
    <xf numFmtId="0" fontId="92" fillId="0" borderId="35" xfId="0" applyFont="1" applyBorder="1" applyAlignment="1">
      <alignment horizontal="left"/>
    </xf>
    <xf numFmtId="0" fontId="92" fillId="0" borderId="0" xfId="0" applyFont="1" applyBorder="1" applyAlignment="1">
      <alignment horizontal="left" wrapText="1"/>
    </xf>
    <xf numFmtId="0" fontId="92" fillId="17" borderId="22" xfId="0" applyFont="1" applyFill="1" applyBorder="1" applyAlignment="1">
      <alignment horizontal="left"/>
    </xf>
    <xf numFmtId="0" fontId="93" fillId="17" borderId="22" xfId="0" applyFont="1" applyFill="1" applyBorder="1" applyAlignment="1">
      <alignment horizontal="left"/>
    </xf>
    <xf numFmtId="0" fontId="93" fillId="20" borderId="22" xfId="0" applyFont="1" applyFill="1" applyBorder="1" applyAlignment="1">
      <alignment horizontal="left"/>
    </xf>
    <xf numFmtId="0" fontId="93" fillId="20" borderId="0" xfId="0" applyFont="1" applyFill="1" applyBorder="1" applyAlignment="1">
      <alignment horizontal="left"/>
    </xf>
    <xf numFmtId="0" fontId="93" fillId="44" borderId="0" xfId="0" applyFont="1" applyFill="1" applyBorder="1" applyAlignment="1">
      <alignment horizontal="left"/>
    </xf>
    <xf numFmtId="0" fontId="93" fillId="43" borderId="0" xfId="0" applyFont="1" applyFill="1" applyBorder="1" applyAlignment="1">
      <alignment horizontal="left"/>
    </xf>
    <xf numFmtId="0" fontId="93" fillId="13" borderId="22" xfId="0" applyFont="1" applyFill="1" applyBorder="1" applyAlignment="1">
      <alignment horizontal="left"/>
    </xf>
    <xf numFmtId="0" fontId="92" fillId="0" borderId="0" xfId="0" applyFont="1" applyFill="1" applyBorder="1" applyAlignment="1">
      <alignment horizontal="left"/>
    </xf>
    <xf numFmtId="0" fontId="94" fillId="3" borderId="22" xfId="0" applyFont="1" applyFill="1" applyBorder="1" applyAlignment="1">
      <alignment horizontal="left"/>
    </xf>
    <xf numFmtId="0" fontId="94" fillId="3" borderId="0" xfId="0" applyFont="1" applyFill="1" applyBorder="1" applyAlignment="1">
      <alignment horizontal="left"/>
    </xf>
    <xf numFmtId="0" fontId="94" fillId="0" borderId="0" xfId="0" applyFont="1" applyFill="1" applyBorder="1" applyAlignment="1">
      <alignment horizontal="left"/>
    </xf>
    <xf numFmtId="0" fontId="94" fillId="2" borderId="0" xfId="0" applyFont="1" applyFill="1" applyBorder="1" applyAlignment="1">
      <alignment horizontal="left"/>
    </xf>
    <xf numFmtId="0" fontId="93" fillId="0" borderId="0" xfId="0" applyFont="1" applyFill="1" applyBorder="1" applyAlignment="1">
      <alignment horizontal="left"/>
    </xf>
    <xf numFmtId="0" fontId="94" fillId="30" borderId="0" xfId="0" applyFont="1" applyFill="1" applyBorder="1" applyAlignment="1">
      <alignment horizontal="left"/>
    </xf>
    <xf numFmtId="0" fontId="92" fillId="30" borderId="0" xfId="0" applyFont="1" applyFill="1" applyBorder="1" applyAlignment="1">
      <alignment horizontal="left"/>
    </xf>
    <xf numFmtId="0" fontId="94" fillId="28" borderId="22" xfId="0" applyFont="1" applyFill="1" applyBorder="1" applyAlignment="1">
      <alignment horizontal="left"/>
    </xf>
    <xf numFmtId="0" fontId="92" fillId="28" borderId="22" xfId="0" applyFont="1" applyFill="1" applyBorder="1" applyAlignment="1">
      <alignment horizontal="left"/>
    </xf>
    <xf numFmtId="0" fontId="92" fillId="0" borderId="0" xfId="0" applyFont="1" applyFill="1"/>
    <xf numFmtId="0" fontId="95" fillId="0" borderId="8" xfId="0" applyFont="1" applyBorder="1" applyAlignment="1">
      <alignment horizontal="left"/>
    </xf>
    <xf numFmtId="0" fontId="96" fillId="20" borderId="22" xfId="0" applyFont="1" applyFill="1" applyBorder="1" applyAlignment="1">
      <alignment horizontal="center"/>
    </xf>
    <xf numFmtId="0" fontId="95" fillId="18" borderId="42" xfId="0" applyFont="1" applyFill="1" applyBorder="1" applyAlignment="1">
      <alignment horizontal="left"/>
    </xf>
    <xf numFmtId="0" fontId="95" fillId="9" borderId="22" xfId="0" applyFont="1" applyFill="1" applyBorder="1" applyAlignment="1">
      <alignment horizontal="left"/>
    </xf>
    <xf numFmtId="0" fontId="95" fillId="19" borderId="29" xfId="0" applyFont="1" applyFill="1" applyBorder="1" applyAlignment="1">
      <alignment horizontal="left"/>
    </xf>
    <xf numFmtId="0" fontId="95" fillId="0" borderId="8" xfId="0" applyFont="1" applyFill="1" applyBorder="1" applyAlignment="1">
      <alignment horizontal="left"/>
    </xf>
    <xf numFmtId="0" fontId="95" fillId="0" borderId="0" xfId="0" applyFont="1" applyBorder="1" applyAlignment="1">
      <alignment horizontal="left"/>
    </xf>
    <xf numFmtId="0" fontId="95" fillId="38" borderId="0" xfId="0" applyFont="1" applyFill="1" applyBorder="1" applyAlignment="1">
      <alignment horizontal="left"/>
    </xf>
    <xf numFmtId="0" fontId="95" fillId="16" borderId="19" xfId="0" applyFont="1" applyFill="1" applyBorder="1" applyAlignment="1">
      <alignment horizontal="left"/>
    </xf>
    <xf numFmtId="0" fontId="95" fillId="16" borderId="25" xfId="0" applyFont="1" applyFill="1" applyBorder="1" applyAlignment="1">
      <alignment horizontal="left"/>
    </xf>
    <xf numFmtId="0" fontId="95" fillId="13" borderId="0" xfId="0" applyFont="1" applyFill="1" applyBorder="1" applyAlignment="1">
      <alignment horizontal="left"/>
    </xf>
    <xf numFmtId="0" fontId="95" fillId="19" borderId="0" xfId="0" applyFont="1" applyFill="1" applyBorder="1" applyAlignment="1">
      <alignment horizontal="left"/>
    </xf>
    <xf numFmtId="0" fontId="95" fillId="0" borderId="34" xfId="0" applyFont="1" applyBorder="1" applyAlignment="1">
      <alignment horizontal="left"/>
    </xf>
    <xf numFmtId="0" fontId="95" fillId="2" borderId="22" xfId="0" applyFont="1" applyFill="1" applyBorder="1" applyAlignment="1">
      <alignment horizontal="left"/>
    </xf>
    <xf numFmtId="0" fontId="95" fillId="0" borderId="35" xfId="0" applyFont="1" applyBorder="1" applyAlignment="1">
      <alignment horizontal="left"/>
    </xf>
    <xf numFmtId="0" fontId="95" fillId="17" borderId="22" xfId="0" applyFont="1" applyFill="1" applyBorder="1" applyAlignment="1">
      <alignment horizontal="left"/>
    </xf>
    <xf numFmtId="0" fontId="96" fillId="17" borderId="22" xfId="0" applyFont="1" applyFill="1" applyBorder="1" applyAlignment="1">
      <alignment horizontal="left"/>
    </xf>
    <xf numFmtId="0" fontId="96" fillId="20" borderId="22" xfId="0" applyFont="1" applyFill="1" applyBorder="1" applyAlignment="1">
      <alignment horizontal="left"/>
    </xf>
    <xf numFmtId="0" fontId="96" fillId="20" borderId="0" xfId="0" applyFont="1" applyFill="1" applyBorder="1" applyAlignment="1">
      <alignment horizontal="left"/>
    </xf>
    <xf numFmtId="0" fontId="96" fillId="44" borderId="0" xfId="0" applyFont="1" applyFill="1" applyBorder="1" applyAlignment="1">
      <alignment horizontal="left"/>
    </xf>
    <xf numFmtId="0" fontId="96" fillId="43" borderId="0" xfId="0" applyFont="1" applyFill="1" applyBorder="1" applyAlignment="1">
      <alignment horizontal="left"/>
    </xf>
    <xf numFmtId="0" fontId="95" fillId="0" borderId="0" xfId="0" applyFont="1" applyFill="1" applyBorder="1" applyAlignment="1">
      <alignment horizontal="left"/>
    </xf>
    <xf numFmtId="0" fontId="97" fillId="3" borderId="22" xfId="0" applyFont="1" applyFill="1" applyBorder="1" applyAlignment="1">
      <alignment horizontal="left"/>
    </xf>
    <xf numFmtId="0" fontId="97" fillId="3" borderId="0" xfId="0" applyFont="1" applyFill="1" applyBorder="1" applyAlignment="1">
      <alignment horizontal="left"/>
    </xf>
    <xf numFmtId="0" fontId="97" fillId="0" borderId="0" xfId="0" applyFont="1" applyFill="1" applyBorder="1" applyAlignment="1">
      <alignment horizontal="left"/>
    </xf>
    <xf numFmtId="0" fontId="97" fillId="2" borderId="0" xfId="0" applyFont="1" applyFill="1" applyBorder="1" applyAlignment="1">
      <alignment horizontal="left"/>
    </xf>
    <xf numFmtId="0" fontId="95" fillId="28" borderId="22" xfId="0" applyFont="1" applyFill="1" applyBorder="1" applyAlignment="1">
      <alignment horizontal="left"/>
    </xf>
    <xf numFmtId="0" fontId="97" fillId="28" borderId="22" xfId="0" applyFont="1" applyFill="1" applyBorder="1" applyAlignment="1">
      <alignment horizontal="left"/>
    </xf>
    <xf numFmtId="0" fontId="97" fillId="30" borderId="0" xfId="0" applyFont="1" applyFill="1" applyAlignment="1">
      <alignment horizontal="left"/>
    </xf>
    <xf numFmtId="0" fontId="95" fillId="30" borderId="0" xfId="0" applyFont="1" applyFill="1" applyAlignment="1">
      <alignment horizontal="left"/>
    </xf>
    <xf numFmtId="0" fontId="95" fillId="26" borderId="0" xfId="0" applyFont="1" applyFill="1" applyBorder="1" applyAlignment="1">
      <alignment horizontal="left"/>
    </xf>
    <xf numFmtId="0" fontId="95" fillId="0" borderId="0" xfId="0" applyFont="1" applyFill="1"/>
    <xf numFmtId="0" fontId="95" fillId="6" borderId="8" xfId="0" applyFont="1" applyFill="1" applyBorder="1" applyAlignment="1">
      <alignment horizontal="left"/>
    </xf>
    <xf numFmtId="0" fontId="96" fillId="13" borderId="0" xfId="0" applyFont="1" applyFill="1" applyBorder="1" applyAlignment="1">
      <alignment horizontal="left"/>
    </xf>
    <xf numFmtId="0" fontId="95" fillId="28" borderId="22" xfId="0" applyFont="1" applyFill="1" applyBorder="1" applyAlignment="1">
      <alignment horizontal="left" wrapText="1"/>
    </xf>
    <xf numFmtId="0" fontId="95" fillId="0" borderId="0" xfId="0" applyFont="1" applyAlignment="1">
      <alignment horizontal="left"/>
    </xf>
    <xf numFmtId="0" fontId="19" fillId="6" borderId="22" xfId="0" applyFont="1" applyFill="1" applyBorder="1" applyAlignment="1">
      <alignment horizontal="center"/>
    </xf>
    <xf numFmtId="0" fontId="18" fillId="6" borderId="42" xfId="0" applyFont="1" applyFill="1" applyBorder="1" applyAlignment="1">
      <alignment horizontal="left"/>
    </xf>
    <xf numFmtId="0" fontId="18" fillId="6" borderId="29" xfId="0" applyFont="1" applyFill="1" applyBorder="1" applyAlignment="1">
      <alignment horizontal="left"/>
    </xf>
    <xf numFmtId="0" fontId="1" fillId="6" borderId="22" xfId="0" applyFont="1" applyFill="1" applyBorder="1" applyAlignment="1">
      <alignment horizontal="center"/>
    </xf>
    <xf numFmtId="0" fontId="0" fillId="6" borderId="42" xfId="0" applyFont="1" applyFill="1" applyBorder="1" applyAlignment="1">
      <alignment horizontal="left"/>
    </xf>
    <xf numFmtId="0" fontId="0" fillId="6" borderId="29" xfId="0" applyFont="1" applyFill="1" applyBorder="1" applyAlignment="1">
      <alignment horizontal="left"/>
    </xf>
    <xf numFmtId="0" fontId="0" fillId="6" borderId="19" xfId="0" applyFont="1" applyFill="1" applyBorder="1" applyAlignment="1">
      <alignment horizontal="left"/>
    </xf>
    <xf numFmtId="0" fontId="25" fillId="6" borderId="22" xfId="0" applyFont="1" applyFill="1" applyBorder="1" applyAlignment="1">
      <alignment horizontal="left"/>
    </xf>
    <xf numFmtId="0" fontId="99" fillId="0" borderId="0" xfId="0" applyFont="1" applyFill="1" applyBorder="1" applyAlignment="1">
      <alignment horizontal="left"/>
    </xf>
    <xf numFmtId="0" fontId="100" fillId="0" borderId="0" xfId="0" applyFont="1" applyFill="1" applyBorder="1" applyAlignment="1">
      <alignment horizontal="left"/>
    </xf>
    <xf numFmtId="0" fontId="47" fillId="0" borderId="0" xfId="0" applyFont="1" applyFill="1" applyBorder="1" applyAlignment="1">
      <alignment horizontal="left"/>
    </xf>
    <xf numFmtId="0" fontId="101" fillId="0" borderId="0" xfId="0" applyFont="1" applyFill="1" applyBorder="1" applyAlignment="1">
      <alignment horizontal="left"/>
    </xf>
    <xf numFmtId="0" fontId="102" fillId="0" borderId="0" xfId="0" applyFont="1" applyFill="1" applyBorder="1" applyAlignment="1">
      <alignment horizontal="left"/>
    </xf>
    <xf numFmtId="0" fontId="103" fillId="0" borderId="0" xfId="0" applyFont="1" applyFill="1" applyBorder="1" applyAlignment="1">
      <alignment horizontal="left"/>
    </xf>
    <xf numFmtId="0" fontId="70" fillId="6" borderId="0" xfId="0" applyFont="1" applyFill="1" applyBorder="1" applyAlignment="1">
      <alignment horizontal="left" wrapText="1"/>
    </xf>
    <xf numFmtId="0" fontId="18" fillId="41" borderId="22" xfId="0" applyFont="1" applyFill="1" applyBorder="1" applyAlignment="1">
      <alignment horizontal="left"/>
    </xf>
    <xf numFmtId="0" fontId="15" fillId="17" borderId="43" xfId="0" applyFont="1" applyFill="1" applyBorder="1" applyAlignment="1">
      <alignment horizontal="left"/>
    </xf>
    <xf numFmtId="0" fontId="14" fillId="17" borderId="43" xfId="0" applyFont="1" applyFill="1" applyBorder="1" applyAlignment="1">
      <alignment horizontal="left"/>
    </xf>
    <xf numFmtId="0" fontId="87" fillId="0" borderId="0" xfId="0" applyFont="1" applyBorder="1" applyAlignment="1">
      <alignment horizontal="left"/>
    </xf>
    <xf numFmtId="0" fontId="34" fillId="26" borderId="22" xfId="0" applyFont="1" applyFill="1" applyBorder="1" applyAlignment="1">
      <alignment horizontal="left"/>
    </xf>
    <xf numFmtId="0" fontId="19" fillId="0" borderId="8" xfId="0" applyFont="1" applyBorder="1" applyAlignment="1">
      <alignment horizontal="left"/>
    </xf>
    <xf numFmtId="0" fontId="24" fillId="8" borderId="0" xfId="0" applyFont="1" applyFill="1" applyBorder="1" applyAlignment="1">
      <alignment horizontal="left"/>
    </xf>
    <xf numFmtId="0" fontId="32" fillId="28" borderId="28" xfId="0" applyFont="1" applyFill="1" applyBorder="1" applyAlignment="1">
      <alignment horizontal="left"/>
    </xf>
    <xf numFmtId="0" fontId="18" fillId="31" borderId="28" xfId="0" applyFont="1" applyFill="1" applyBorder="1" applyAlignment="1">
      <alignment horizontal="left"/>
    </xf>
    <xf numFmtId="0" fontId="20" fillId="6" borderId="25" xfId="0" quotePrefix="1" applyFont="1" applyFill="1" applyBorder="1" applyAlignment="1">
      <alignment horizontal="left"/>
    </xf>
    <xf numFmtId="0" fontId="0" fillId="6" borderId="25" xfId="0" applyFill="1" applyBorder="1" applyAlignment="1">
      <alignment horizontal="left"/>
    </xf>
    <xf numFmtId="0" fontId="20" fillId="17" borderId="30" xfId="0" applyFont="1" applyFill="1" applyBorder="1" applyAlignment="1">
      <alignment horizontal="left"/>
    </xf>
    <xf numFmtId="0" fontId="85" fillId="42" borderId="29" xfId="0" applyFont="1" applyFill="1" applyBorder="1" applyAlignment="1">
      <alignment horizontal="left"/>
    </xf>
    <xf numFmtId="0" fontId="32" fillId="6" borderId="40" xfId="0" applyFont="1" applyFill="1" applyBorder="1" applyAlignment="1">
      <alignment horizontal="left"/>
    </xf>
    <xf numFmtId="0" fontId="33" fillId="26" borderId="22" xfId="0" applyFont="1" applyFill="1" applyBorder="1" applyAlignment="1">
      <alignment horizontal="left"/>
    </xf>
    <xf numFmtId="0" fontId="35" fillId="31" borderId="22" xfId="0" applyFont="1" applyFill="1" applyBorder="1" applyAlignment="1">
      <alignment horizontal="left"/>
    </xf>
    <xf numFmtId="0" fontId="32" fillId="28" borderId="8" xfId="0" applyFont="1" applyFill="1" applyBorder="1" applyAlignment="1">
      <alignment horizontal="left"/>
    </xf>
    <xf numFmtId="0" fontId="33" fillId="19" borderId="22" xfId="0" applyFont="1" applyFill="1" applyBorder="1" applyAlignment="1">
      <alignment horizontal="left"/>
    </xf>
    <xf numFmtId="0" fontId="74" fillId="28" borderId="30" xfId="0" applyFont="1" applyFill="1" applyBorder="1" applyAlignment="1">
      <alignment horizontal="left"/>
    </xf>
    <xf numFmtId="0" fontId="81" fillId="28" borderId="0" xfId="0" applyFont="1" applyFill="1" applyBorder="1"/>
    <xf numFmtId="0" fontId="29" fillId="30" borderId="22" xfId="0" applyFont="1" applyFill="1" applyBorder="1"/>
    <xf numFmtId="0" fontId="32" fillId="28" borderId="0" xfId="0" applyFont="1" applyFill="1" applyBorder="1" applyAlignment="1">
      <alignment horizontal="left" wrapText="1"/>
    </xf>
    <xf numFmtId="0" fontId="32" fillId="6" borderId="0" xfId="0" applyFont="1" applyFill="1" applyBorder="1" applyAlignment="1">
      <alignment horizontal="left" wrapText="1"/>
    </xf>
    <xf numFmtId="0" fontId="20" fillId="17" borderId="39" xfId="0" applyFont="1" applyFill="1" applyBorder="1" applyAlignment="1">
      <alignment horizontal="left"/>
    </xf>
    <xf numFmtId="0" fontId="15" fillId="19" borderId="39" xfId="0" applyFont="1" applyFill="1" applyBorder="1" applyAlignment="1">
      <alignment horizontal="left"/>
    </xf>
    <xf numFmtId="0" fontId="1" fillId="6" borderId="39" xfId="0" applyFont="1" applyFill="1" applyBorder="1" applyAlignment="1">
      <alignment horizontal="left"/>
    </xf>
    <xf numFmtId="0" fontId="33" fillId="6" borderId="39" xfId="0" applyFont="1" applyFill="1" applyBorder="1" applyAlignment="1">
      <alignment horizontal="left"/>
    </xf>
    <xf numFmtId="0" fontId="20" fillId="6" borderId="40" xfId="0" applyFont="1" applyFill="1" applyBorder="1" applyAlignment="1">
      <alignment horizontal="left"/>
    </xf>
    <xf numFmtId="0" fontId="20" fillId="17" borderId="40" xfId="0" applyFont="1" applyFill="1" applyBorder="1" applyAlignment="1">
      <alignment horizontal="left"/>
    </xf>
    <xf numFmtId="0" fontId="18" fillId="41" borderId="28" xfId="0" applyFont="1" applyFill="1" applyBorder="1" applyAlignment="1">
      <alignment horizontal="left"/>
    </xf>
    <xf numFmtId="0" fontId="20" fillId="17" borderId="28" xfId="0" applyFont="1" applyFill="1" applyBorder="1" applyAlignment="1">
      <alignment horizontal="left"/>
    </xf>
    <xf numFmtId="0" fontId="23" fillId="28" borderId="28" xfId="0" applyFont="1" applyFill="1" applyBorder="1" applyAlignment="1">
      <alignment horizontal="left"/>
    </xf>
    <xf numFmtId="0" fontId="32" fillId="6" borderId="28" xfId="0" applyFont="1" applyFill="1" applyBorder="1" applyAlignment="1">
      <alignment horizontal="left"/>
    </xf>
    <xf numFmtId="0" fontId="35" fillId="36" borderId="28" xfId="0" applyFont="1" applyFill="1" applyBorder="1" applyAlignment="1">
      <alignment horizontal="left"/>
    </xf>
    <xf numFmtId="0" fontId="29" fillId="28" borderId="28" xfId="0" applyFont="1" applyFill="1" applyBorder="1"/>
    <xf numFmtId="0" fontId="14" fillId="17" borderId="29" xfId="0" applyFont="1" applyFill="1" applyBorder="1" applyAlignment="1">
      <alignment horizontal="left"/>
    </xf>
    <xf numFmtId="0" fontId="60" fillId="6" borderId="8" xfId="0" applyFont="1" applyFill="1" applyBorder="1" applyAlignment="1">
      <alignment horizontal="left"/>
    </xf>
    <xf numFmtId="0" fontId="23" fillId="28" borderId="8" xfId="0" applyFont="1" applyFill="1" applyBorder="1" applyAlignment="1">
      <alignment horizontal="left"/>
    </xf>
    <xf numFmtId="0" fontId="14" fillId="28" borderId="8" xfId="0" applyFont="1" applyFill="1" applyBorder="1" applyAlignment="1">
      <alignment horizontal="left"/>
    </xf>
    <xf numFmtId="0" fontId="32" fillId="26" borderId="8" xfId="0" applyFont="1" applyFill="1" applyBorder="1" applyAlignment="1">
      <alignment horizontal="left"/>
    </xf>
    <xf numFmtId="0" fontId="20" fillId="6" borderId="29" xfId="0" applyFont="1" applyFill="1" applyBorder="1" applyAlignment="1">
      <alignment horizontal="left"/>
    </xf>
    <xf numFmtId="0" fontId="20" fillId="0" borderId="40" xfId="0" applyFont="1" applyBorder="1" applyAlignment="1">
      <alignment horizontal="left"/>
    </xf>
    <xf numFmtId="0" fontId="14" fillId="0" borderId="40" xfId="0" applyFont="1" applyBorder="1" applyAlignment="1">
      <alignment horizontal="left"/>
    </xf>
    <xf numFmtId="0" fontId="32" fillId="0" borderId="40" xfId="0" applyFont="1" applyBorder="1" applyAlignment="1">
      <alignment horizontal="left"/>
    </xf>
    <xf numFmtId="0" fontId="21" fillId="0" borderId="8" xfId="0" applyFont="1" applyBorder="1" applyAlignment="1">
      <alignment horizontal="left"/>
    </xf>
    <xf numFmtId="0" fontId="15" fillId="0" borderId="30" xfId="0" applyFont="1" applyBorder="1" applyAlignment="1">
      <alignment horizontal="left"/>
    </xf>
    <xf numFmtId="0" fontId="15" fillId="0" borderId="8" xfId="0" applyFont="1" applyBorder="1" applyAlignment="1">
      <alignment horizontal="left"/>
    </xf>
    <xf numFmtId="0" fontId="21" fillId="0" borderId="30" xfId="0" applyFont="1" applyBorder="1" applyAlignment="1">
      <alignment horizontal="left"/>
    </xf>
    <xf numFmtId="0" fontId="33" fillId="0" borderId="30" xfId="0" applyFont="1" applyBorder="1" applyAlignment="1">
      <alignment horizontal="left"/>
    </xf>
    <xf numFmtId="0" fontId="14" fillId="0" borderId="41" xfId="0" applyFont="1" applyBorder="1" applyAlignment="1">
      <alignment horizontal="left"/>
    </xf>
    <xf numFmtId="0" fontId="74" fillId="0" borderId="40" xfId="0" applyFont="1" applyBorder="1" applyAlignment="1">
      <alignment horizontal="left"/>
    </xf>
    <xf numFmtId="3" fontId="14" fillId="0" borderId="8" xfId="0" applyNumberFormat="1" applyFont="1" applyBorder="1" applyAlignment="1">
      <alignment horizontal="left"/>
    </xf>
    <xf numFmtId="0" fontId="84" fillId="0" borderId="40" xfId="0" applyFont="1" applyBorder="1" applyAlignment="1">
      <alignment horizontal="left"/>
    </xf>
    <xf numFmtId="0" fontId="20" fillId="0" borderId="41" xfId="0" applyFont="1" applyBorder="1" applyAlignment="1">
      <alignment horizontal="left"/>
    </xf>
    <xf numFmtId="0" fontId="33" fillId="0" borderId="8" xfId="0" applyFont="1" applyBorder="1" applyAlignment="1">
      <alignment horizontal="left"/>
    </xf>
    <xf numFmtId="0" fontId="20" fillId="0" borderId="0" xfId="0" applyFont="1" applyAlignment="1">
      <alignment horizontal="left"/>
    </xf>
    <xf numFmtId="0" fontId="20" fillId="26" borderId="0" xfId="0" applyFont="1" applyFill="1" applyAlignment="1">
      <alignment horizontal="left"/>
    </xf>
    <xf numFmtId="0" fontId="21" fillId="0" borderId="0" xfId="0" applyFont="1" applyAlignment="1">
      <alignment horizontal="left"/>
    </xf>
    <xf numFmtId="0" fontId="24" fillId="26" borderId="0" xfId="0" applyFont="1" applyFill="1" applyAlignment="1">
      <alignment horizontal="left"/>
    </xf>
    <xf numFmtId="0" fontId="34" fillId="26" borderId="0" xfId="0" applyFont="1" applyFill="1" applyAlignment="1">
      <alignment horizontal="left"/>
    </xf>
    <xf numFmtId="0" fontId="14" fillId="0" borderId="0" xfId="0" applyFont="1" applyAlignment="1">
      <alignment horizontal="left"/>
    </xf>
    <xf numFmtId="0" fontId="14" fillId="26" borderId="0" xfId="0" applyFont="1" applyFill="1" applyAlignment="1">
      <alignment horizontal="left"/>
    </xf>
    <xf numFmtId="0" fontId="15" fillId="0" borderId="0" xfId="0" applyFont="1" applyAlignment="1">
      <alignment horizontal="left"/>
    </xf>
    <xf numFmtId="0" fontId="35" fillId="31" borderId="0" xfId="0" applyFont="1" applyFill="1" applyAlignment="1">
      <alignment horizontal="left"/>
    </xf>
    <xf numFmtId="0" fontId="42" fillId="31" borderId="0" xfId="0" applyFont="1" applyFill="1" applyAlignment="1">
      <alignment horizontal="left"/>
    </xf>
    <xf numFmtId="0" fontId="36" fillId="0" borderId="0" xfId="0" applyFont="1" applyAlignment="1">
      <alignment horizontal="left"/>
    </xf>
    <xf numFmtId="0" fontId="15" fillId="0" borderId="39" xfId="0" applyFont="1" applyBorder="1" applyAlignment="1">
      <alignment horizontal="left"/>
    </xf>
    <xf numFmtId="10" fontId="14" fillId="0" borderId="0" xfId="0" applyNumberFormat="1" applyFont="1" applyAlignment="1">
      <alignment horizontal="left"/>
    </xf>
    <xf numFmtId="0" fontId="35" fillId="0" borderId="0" xfId="0" applyFont="1" applyAlignment="1">
      <alignment horizontal="left"/>
    </xf>
    <xf numFmtId="0" fontId="21" fillId="0" borderId="39" xfId="0" applyFont="1" applyBorder="1" applyAlignment="1">
      <alignment horizontal="left"/>
    </xf>
    <xf numFmtId="0" fontId="14" fillId="0" borderId="39" xfId="0" applyFont="1" applyBorder="1" applyAlignment="1">
      <alignment horizontal="left"/>
    </xf>
    <xf numFmtId="0" fontId="21" fillId="6" borderId="0" xfId="0" applyFont="1" applyFill="1" applyAlignment="1">
      <alignment horizontal="left"/>
    </xf>
    <xf numFmtId="0" fontId="24" fillId="6" borderId="0" xfId="0" applyFont="1" applyFill="1" applyAlignment="1">
      <alignment horizontal="left"/>
    </xf>
    <xf numFmtId="0" fontId="34" fillId="6" borderId="0" xfId="0" applyFont="1" applyFill="1" applyAlignment="1">
      <alignment horizontal="left"/>
    </xf>
    <xf numFmtId="0" fontId="20" fillId="0" borderId="39" xfId="0" applyFont="1" applyBorder="1" applyAlignment="1">
      <alignment horizontal="left"/>
    </xf>
    <xf numFmtId="0" fontId="21" fillId="0" borderId="22" xfId="0" applyFont="1" applyBorder="1" applyAlignment="1">
      <alignment horizontal="left"/>
    </xf>
    <xf numFmtId="0" fontId="23" fillId="17" borderId="0" xfId="0" applyFont="1" applyFill="1" applyAlignment="1">
      <alignment horizontal="left"/>
    </xf>
    <xf numFmtId="0" fontId="33" fillId="17" borderId="0" xfId="0" applyFont="1" applyFill="1" applyAlignment="1">
      <alignment horizontal="left"/>
    </xf>
    <xf numFmtId="0" fontId="34" fillId="17" borderId="0" xfId="0" applyFont="1" applyFill="1" applyAlignment="1">
      <alignment horizontal="left"/>
    </xf>
    <xf numFmtId="0" fontId="17" fillId="0" borderId="0" xfId="0" applyFont="1" applyAlignment="1">
      <alignment horizontal="left"/>
    </xf>
    <xf numFmtId="0" fontId="32" fillId="0" borderId="0" xfId="0" applyFont="1" applyAlignment="1">
      <alignment horizontal="left"/>
    </xf>
    <xf numFmtId="0" fontId="32" fillId="30" borderId="0" xfId="0" applyFont="1" applyFill="1" applyAlignment="1">
      <alignment horizontal="left"/>
    </xf>
    <xf numFmtId="0" fontId="32" fillId="26" borderId="0" xfId="0" applyFont="1" applyFill="1" applyAlignment="1">
      <alignment horizontal="left"/>
    </xf>
    <xf numFmtId="0" fontId="33" fillId="0" borderId="0" xfId="0" applyFont="1" applyAlignment="1">
      <alignment horizontal="left"/>
    </xf>
    <xf numFmtId="0" fontId="34" fillId="30" borderId="0" xfId="0" applyFont="1" applyFill="1" applyAlignment="1">
      <alignment horizontal="left"/>
    </xf>
    <xf numFmtId="0" fontId="32" fillId="6" borderId="0" xfId="0" applyFont="1" applyFill="1" applyAlignment="1">
      <alignment horizontal="left"/>
    </xf>
    <xf numFmtId="0" fontId="33" fillId="0" borderId="39" xfId="0" applyFont="1" applyBorder="1" applyAlignment="1">
      <alignment horizontal="left"/>
    </xf>
    <xf numFmtId="0" fontId="95" fillId="26" borderId="0" xfId="0" applyFont="1" applyFill="1" applyAlignment="1">
      <alignment horizontal="left"/>
    </xf>
    <xf numFmtId="0" fontId="96" fillId="0" borderId="0" xfId="0" applyFont="1" applyAlignment="1">
      <alignment horizontal="left"/>
    </xf>
    <xf numFmtId="0" fontId="95" fillId="30" borderId="0" xfId="0" applyFont="1" applyFill="1" applyAlignment="1">
      <alignment horizontal="left" wrapText="1"/>
    </xf>
    <xf numFmtId="0" fontId="97" fillId="26" borderId="0" xfId="0" applyFont="1" applyFill="1" applyAlignment="1">
      <alignment horizontal="left"/>
    </xf>
    <xf numFmtId="0" fontId="96" fillId="26" borderId="0" xfId="0" applyFont="1" applyFill="1" applyAlignment="1">
      <alignment horizontal="left"/>
    </xf>
    <xf numFmtId="0" fontId="20" fillId="30" borderId="0" xfId="0" applyFont="1" applyFill="1" applyAlignment="1">
      <alignment horizontal="left" wrapText="1"/>
    </xf>
    <xf numFmtId="0" fontId="24" fillId="28" borderId="0" xfId="0" quotePrefix="1" applyFont="1" applyFill="1" applyAlignment="1">
      <alignment horizontal="left"/>
    </xf>
    <xf numFmtId="0" fontId="18" fillId="31" borderId="0" xfId="0" applyFont="1" applyFill="1" applyAlignment="1">
      <alignment horizontal="left"/>
    </xf>
    <xf numFmtId="0" fontId="26" fillId="31" borderId="0" xfId="0" applyFont="1" applyFill="1" applyAlignment="1">
      <alignment horizontal="left"/>
    </xf>
    <xf numFmtId="0" fontId="19" fillId="0" borderId="0" xfId="0" applyFont="1" applyAlignment="1">
      <alignment horizontal="left"/>
    </xf>
    <xf numFmtId="0" fontId="92" fillId="0" borderId="0" xfId="0" applyFont="1" applyAlignment="1">
      <alignment horizontal="left"/>
    </xf>
    <xf numFmtId="0" fontId="92" fillId="30" borderId="0" xfId="0" applyFont="1" applyFill="1" applyAlignment="1">
      <alignment horizontal="left"/>
    </xf>
    <xf numFmtId="0" fontId="92" fillId="26" borderId="0" xfId="0" applyFont="1" applyFill="1" applyAlignment="1">
      <alignment horizontal="left"/>
    </xf>
    <xf numFmtId="0" fontId="93" fillId="0" borderId="0" xfId="0" applyFont="1" applyAlignment="1">
      <alignment horizontal="left"/>
    </xf>
    <xf numFmtId="0" fontId="94" fillId="30" borderId="0" xfId="0" applyFont="1" applyFill="1" applyAlignment="1">
      <alignment horizontal="left"/>
    </xf>
    <xf numFmtId="0" fontId="94" fillId="26" borderId="0" xfId="0" applyFont="1" applyFill="1" applyAlignment="1">
      <alignment horizontal="left"/>
    </xf>
    <xf numFmtId="0" fontId="93" fillId="26" borderId="0" xfId="0" applyFont="1" applyFill="1" applyAlignment="1">
      <alignment horizontal="left"/>
    </xf>
    <xf numFmtId="0" fontId="20" fillId="28" borderId="0" xfId="0" applyFont="1" applyFill="1" applyAlignment="1">
      <alignment horizontal="left"/>
    </xf>
    <xf numFmtId="0" fontId="24" fillId="28" borderId="0" xfId="0" applyFont="1" applyFill="1" applyAlignment="1">
      <alignment horizontal="left"/>
    </xf>
    <xf numFmtId="0" fontId="32" fillId="28" borderId="0" xfId="0" applyFont="1" applyFill="1" applyAlignment="1">
      <alignment horizontal="left"/>
    </xf>
    <xf numFmtId="0" fontId="34" fillId="28" borderId="0" xfId="0" applyFont="1" applyFill="1" applyAlignment="1">
      <alignment horizontal="left"/>
    </xf>
    <xf numFmtId="0" fontId="32" fillId="0" borderId="39" xfId="0" applyFont="1" applyBorder="1" applyAlignment="1">
      <alignment horizontal="left"/>
    </xf>
    <xf numFmtId="0" fontId="84" fillId="0" borderId="0" xfId="0" applyFont="1" applyAlignment="1">
      <alignment horizontal="left"/>
    </xf>
    <xf numFmtId="0" fontId="84" fillId="26" borderId="0" xfId="0" applyFont="1" applyFill="1" applyAlignment="1">
      <alignment horizontal="left"/>
    </xf>
    <xf numFmtId="0" fontId="85" fillId="0" borderId="0" xfId="0" applyFont="1" applyAlignment="1">
      <alignment horizontal="left"/>
    </xf>
    <xf numFmtId="0" fontId="84" fillId="28" borderId="0" xfId="0" applyFont="1" applyFill="1" applyAlignment="1">
      <alignment horizontal="left"/>
    </xf>
    <xf numFmtId="0" fontId="86" fillId="28" borderId="0" xfId="0" applyFont="1" applyFill="1" applyAlignment="1">
      <alignment horizontal="left"/>
    </xf>
    <xf numFmtId="0" fontId="86" fillId="26" borderId="0" xfId="0" applyFont="1" applyFill="1" applyAlignment="1">
      <alignment horizontal="left"/>
    </xf>
    <xf numFmtId="0" fontId="85" fillId="26" borderId="0" xfId="0" applyFont="1" applyFill="1" applyAlignment="1">
      <alignment horizontal="left"/>
    </xf>
    <xf numFmtId="0" fontId="14" fillId="28" borderId="0" xfId="0" applyFont="1" applyFill="1" applyAlignment="1">
      <alignment horizontal="left"/>
    </xf>
    <xf numFmtId="0" fontId="23" fillId="28" borderId="0" xfId="0" applyFont="1" applyFill="1" applyAlignment="1">
      <alignment horizontal="left"/>
    </xf>
    <xf numFmtId="0" fontId="35" fillId="36" borderId="0" xfId="0" applyFont="1" applyFill="1" applyAlignment="1">
      <alignment horizontal="left"/>
    </xf>
    <xf numFmtId="0" fontId="86" fillId="30" borderId="0" xfId="0" applyFont="1" applyFill="1" applyAlignment="1">
      <alignment horizontal="left" wrapText="1"/>
    </xf>
    <xf numFmtId="0" fontId="85" fillId="0" borderId="39" xfId="0" applyFont="1" applyBorder="1" applyAlignment="1">
      <alignment horizontal="left"/>
    </xf>
    <xf numFmtId="0" fontId="1" fillId="0" borderId="0" xfId="0" applyFont="1" applyAlignment="1">
      <alignment horizontal="left"/>
    </xf>
    <xf numFmtId="0" fontId="34" fillId="30" borderId="0" xfId="0" applyFont="1" applyFill="1" applyAlignment="1">
      <alignment horizontal="left" wrapText="1"/>
    </xf>
    <xf numFmtId="0" fontId="74" fillId="0" borderId="0" xfId="0" applyFont="1" applyAlignment="1">
      <alignment horizontal="left"/>
    </xf>
    <xf numFmtId="0" fontId="74" fillId="30" borderId="0" xfId="0" applyFont="1" applyFill="1" applyAlignment="1">
      <alignment horizontal="left"/>
    </xf>
    <xf numFmtId="0" fontId="74" fillId="26" borderId="0" xfId="0" applyFont="1" applyFill="1" applyAlignment="1">
      <alignment horizontal="left"/>
    </xf>
    <xf numFmtId="0" fontId="75" fillId="0" borderId="0" xfId="0" applyFont="1" applyAlignment="1">
      <alignment horizontal="left"/>
    </xf>
    <xf numFmtId="0" fontId="76" fillId="26" borderId="0" xfId="0" applyFont="1" applyFill="1" applyAlignment="1">
      <alignment horizontal="left"/>
    </xf>
    <xf numFmtId="0" fontId="76" fillId="30" borderId="0" xfId="0" applyFont="1" applyFill="1" applyAlignment="1">
      <alignment horizontal="left"/>
    </xf>
    <xf numFmtId="0" fontId="75" fillId="26" borderId="0" xfId="0" applyFont="1" applyFill="1" applyAlignment="1">
      <alignment horizontal="left"/>
    </xf>
    <xf numFmtId="0" fontId="75" fillId="0" borderId="39" xfId="0" applyFont="1" applyBorder="1" applyAlignment="1">
      <alignment horizontal="left"/>
    </xf>
    <xf numFmtId="0" fontId="20" fillId="17" borderId="0" xfId="0" applyFont="1" applyFill="1" applyAlignment="1">
      <alignment horizontal="left"/>
    </xf>
    <xf numFmtId="0" fontId="21" fillId="17" borderId="0" xfId="0" applyFont="1" applyFill="1" applyAlignment="1">
      <alignment horizontal="left"/>
    </xf>
    <xf numFmtId="0" fontId="24" fillId="17" borderId="0" xfId="0" applyFont="1" applyFill="1" applyAlignment="1">
      <alignment horizontal="left"/>
    </xf>
    <xf numFmtId="0" fontId="19" fillId="17" borderId="0" xfId="0" applyFont="1" applyFill="1" applyAlignment="1">
      <alignment horizontal="left"/>
    </xf>
    <xf numFmtId="0" fontId="32" fillId="17" borderId="0" xfId="0" applyFont="1" applyFill="1" applyAlignment="1">
      <alignment horizontal="left"/>
    </xf>
    <xf numFmtId="0" fontId="45" fillId="6" borderId="0" xfId="0" applyFont="1" applyFill="1" applyAlignment="1">
      <alignment horizontal="left"/>
    </xf>
    <xf numFmtId="0" fontId="60" fillId="6" borderId="0" xfId="0" applyFont="1" applyFill="1" applyAlignment="1">
      <alignment horizontal="left"/>
    </xf>
    <xf numFmtId="0" fontId="18" fillId="17" borderId="0" xfId="0" applyFont="1" applyFill="1" applyAlignment="1">
      <alignment horizontal="left"/>
    </xf>
    <xf numFmtId="0" fontId="50" fillId="17" borderId="0" xfId="0" applyFont="1" applyFill="1" applyAlignment="1">
      <alignment horizontal="left"/>
    </xf>
    <xf numFmtId="0" fontId="18" fillId="6" borderId="0" xfId="0" applyFont="1" applyFill="1" applyAlignment="1">
      <alignment horizontal="left"/>
    </xf>
    <xf numFmtId="0" fontId="60" fillId="31" borderId="0" xfId="0" applyFont="1" applyFill="1" applyAlignment="1">
      <alignment horizontal="left"/>
    </xf>
    <xf numFmtId="0" fontId="78" fillId="26" borderId="0" xfId="0" applyFont="1" applyFill="1" applyAlignment="1">
      <alignment horizontal="left"/>
    </xf>
    <xf numFmtId="0" fontId="77" fillId="26" borderId="0" xfId="0" applyFont="1" applyFill="1" applyAlignment="1">
      <alignment horizontal="left"/>
    </xf>
    <xf numFmtId="0" fontId="18" fillId="6" borderId="0" xfId="0" applyFont="1" applyFill="1"/>
    <xf numFmtId="0" fontId="17" fillId="6" borderId="0" xfId="0" applyFont="1" applyFill="1" applyAlignment="1">
      <alignment horizontal="left"/>
    </xf>
    <xf numFmtId="3" fontId="14" fillId="0" borderId="0" xfId="0" applyNumberFormat="1" applyFont="1" applyAlignment="1">
      <alignment horizontal="left"/>
    </xf>
    <xf numFmtId="0" fontId="1" fillId="0" borderId="39" xfId="0" applyFont="1" applyBorder="1" applyAlignment="1">
      <alignment horizontal="left"/>
    </xf>
    <xf numFmtId="0" fontId="15" fillId="19" borderId="0" xfId="0" applyFont="1" applyFill="1" applyAlignment="1">
      <alignment horizontal="left"/>
    </xf>
    <xf numFmtId="0" fontId="23" fillId="19" borderId="0" xfId="0" applyFont="1" applyFill="1" applyAlignment="1">
      <alignment horizontal="left"/>
    </xf>
    <xf numFmtId="0" fontId="34" fillId="19" borderId="0" xfId="0" applyFont="1" applyFill="1" applyAlignment="1">
      <alignment horizontal="left"/>
    </xf>
    <xf numFmtId="0" fontId="39" fillId="0" borderId="0" xfId="0" applyFont="1" applyAlignment="1">
      <alignment horizontal="left"/>
    </xf>
    <xf numFmtId="0" fontId="39" fillId="30" borderId="0" xfId="0" applyFont="1" applyFill="1" applyAlignment="1">
      <alignment horizontal="left"/>
    </xf>
    <xf numFmtId="0" fontId="39" fillId="26" borderId="0" xfId="0" applyFont="1" applyFill="1" applyAlignment="1">
      <alignment horizontal="left"/>
    </xf>
    <xf numFmtId="0" fontId="40" fillId="0" borderId="0" xfId="0" applyFont="1" applyAlignment="1">
      <alignment horizontal="left"/>
    </xf>
    <xf numFmtId="0" fontId="41" fillId="26" borderId="0" xfId="0" applyFont="1" applyFill="1" applyAlignment="1">
      <alignment horizontal="left"/>
    </xf>
    <xf numFmtId="0" fontId="41" fillId="30" borderId="0" xfId="0" applyFont="1" applyFill="1" applyAlignment="1">
      <alignment horizontal="left"/>
    </xf>
    <xf numFmtId="0" fontId="0" fillId="6" borderId="8" xfId="0" applyFill="1" applyBorder="1" applyAlignment="1">
      <alignment horizontal="left"/>
    </xf>
    <xf numFmtId="0" fontId="25" fillId="6" borderId="0" xfId="0" applyFont="1" applyFill="1" applyAlignment="1">
      <alignment horizontal="left"/>
    </xf>
    <xf numFmtId="0" fontId="69" fillId="6" borderId="0" xfId="0" applyFont="1" applyFill="1" applyAlignment="1">
      <alignment horizontal="left"/>
    </xf>
    <xf numFmtId="0" fontId="35" fillId="6" borderId="0" xfId="0" applyFont="1" applyFill="1" applyAlignment="1">
      <alignment horizontal="left"/>
    </xf>
    <xf numFmtId="0" fontId="36" fillId="6" borderId="0" xfId="0" applyFont="1" applyFill="1" applyAlignment="1">
      <alignment horizontal="left"/>
    </xf>
    <xf numFmtId="0" fontId="68" fillId="6" borderId="0" xfId="0" applyFont="1" applyFill="1"/>
    <xf numFmtId="0" fontId="19" fillId="6" borderId="0" xfId="0" applyFont="1" applyFill="1" applyAlignment="1">
      <alignment horizontal="left"/>
    </xf>
    <xf numFmtId="0" fontId="95" fillId="0" borderId="0" xfId="0" applyFont="1"/>
    <xf numFmtId="0" fontId="13" fillId="0" borderId="0" xfId="0" applyFont="1"/>
    <xf numFmtId="0" fontId="13" fillId="0" borderId="0" xfId="0" applyFont="1" applyAlignment="1">
      <alignment horizontal="left"/>
    </xf>
    <xf numFmtId="0" fontId="15" fillId="0" borderId="0" xfId="0" applyFont="1" applyBorder="1" applyAlignment="1">
      <alignment horizontal="left"/>
    </xf>
    <xf numFmtId="0" fontId="74" fillId="0" borderId="39" xfId="0" applyFont="1" applyBorder="1" applyAlignment="1">
      <alignment horizontal="left"/>
    </xf>
    <xf numFmtId="0" fontId="33" fillId="0" borderId="0" xfId="0" applyFont="1" applyBorder="1" applyAlignment="1">
      <alignment horizontal="left"/>
    </xf>
    <xf numFmtId="0" fontId="34" fillId="0" borderId="39" xfId="0" applyFont="1" applyBorder="1" applyAlignment="1">
      <alignment horizontal="left"/>
    </xf>
    <xf numFmtId="0" fontId="93" fillId="0" borderId="0" xfId="0" applyFont="1" applyBorder="1" applyAlignment="1">
      <alignment horizontal="left"/>
    </xf>
    <xf numFmtId="0" fontId="75" fillId="0" borderId="0" xfId="0" applyFont="1" applyBorder="1" applyAlignment="1">
      <alignment horizontal="left"/>
    </xf>
    <xf numFmtId="0" fontId="40" fillId="0" borderId="0" xfId="0" applyFont="1" applyBorder="1" applyAlignment="1">
      <alignment horizontal="left"/>
    </xf>
    <xf numFmtId="0" fontId="39" fillId="0" borderId="0" xfId="0" applyFont="1" applyBorder="1" applyAlignment="1">
      <alignment horizontal="left"/>
    </xf>
    <xf numFmtId="0" fontId="15" fillId="0" borderId="22" xfId="0" applyFont="1" applyBorder="1" applyAlignment="1">
      <alignment horizontal="left"/>
    </xf>
    <xf numFmtId="0" fontId="0" fillId="6" borderId="40" xfId="0" applyFill="1" applyBorder="1" applyAlignment="1">
      <alignment horizontal="left"/>
    </xf>
    <xf numFmtId="0" fontId="17" fillId="0" borderId="8" xfId="0" applyFont="1" applyBorder="1" applyAlignment="1">
      <alignment horizontal="left"/>
    </xf>
    <xf numFmtId="0" fontId="32" fillId="0" borderId="41" xfId="0" applyFont="1" applyBorder="1" applyAlignment="1">
      <alignment horizontal="left"/>
    </xf>
    <xf numFmtId="0" fontId="26" fillId="45" borderId="0" xfId="0" applyFont="1" applyFill="1" applyBorder="1" applyAlignment="1">
      <alignment horizontal="left"/>
    </xf>
    <xf numFmtId="0" fontId="24" fillId="45" borderId="0" xfId="0" applyFont="1" applyFill="1" applyBorder="1" applyAlignment="1">
      <alignment horizontal="left"/>
    </xf>
    <xf numFmtId="0" fontId="23" fillId="45" borderId="0" xfId="0" applyFont="1" applyFill="1" applyBorder="1" applyAlignment="1">
      <alignment horizontal="left"/>
    </xf>
    <xf numFmtId="0" fontId="34" fillId="45" borderId="0" xfId="0" applyFont="1" applyFill="1" applyBorder="1" applyAlignment="1">
      <alignment horizontal="left"/>
    </xf>
    <xf numFmtId="0" fontId="22" fillId="46" borderId="0" xfId="0" applyFont="1" applyFill="1" applyBorder="1"/>
    <xf numFmtId="0" fontId="21" fillId="0" borderId="29" xfId="0" applyFont="1" applyFill="1" applyBorder="1" applyAlignment="1">
      <alignment horizontal="left"/>
    </xf>
    <xf numFmtId="0" fontId="25" fillId="18" borderId="22" xfId="0" applyFont="1" applyFill="1" applyBorder="1" applyAlignment="1">
      <alignment horizontal="left"/>
    </xf>
    <xf numFmtId="0" fontId="34" fillId="18" borderId="22" xfId="0" applyFont="1" applyFill="1" applyBorder="1" applyAlignment="1">
      <alignment horizontal="left"/>
    </xf>
    <xf numFmtId="0" fontId="77" fillId="18" borderId="22" xfId="0" applyFont="1" applyFill="1" applyBorder="1" applyAlignment="1">
      <alignment horizontal="left"/>
    </xf>
    <xf numFmtId="0" fontId="14" fillId="47" borderId="0" xfId="0" applyFont="1" applyFill="1" applyBorder="1" applyAlignment="1">
      <alignment horizontal="left"/>
    </xf>
    <xf numFmtId="0" fontId="0" fillId="6" borderId="0" xfId="0" applyFont="1" applyFill="1" applyAlignment="1">
      <alignment horizontal="left"/>
    </xf>
    <xf numFmtId="0" fontId="0" fillId="6" borderId="30" xfId="0" applyFont="1" applyFill="1" applyBorder="1" applyAlignment="1">
      <alignment horizontal="left"/>
    </xf>
    <xf numFmtId="0" fontId="63" fillId="0" borderId="0" xfId="0" applyFont="1" applyFill="1"/>
    <xf numFmtId="0" fontId="74" fillId="0" borderId="0" xfId="0" applyFont="1" applyFill="1"/>
    <xf numFmtId="0" fontId="38" fillId="0" borderId="0" xfId="0" applyFont="1" applyFill="1"/>
    <xf numFmtId="0" fontId="78" fillId="0" borderId="0" xfId="0" applyFont="1" applyFill="1"/>
    <xf numFmtId="0" fontId="78" fillId="6" borderId="8" xfId="0" applyFont="1" applyFill="1" applyBorder="1" applyAlignment="1">
      <alignment horizontal="left"/>
    </xf>
    <xf numFmtId="0" fontId="78" fillId="0" borderId="8" xfId="0" applyFont="1" applyFill="1" applyBorder="1" applyAlignment="1">
      <alignment horizontal="left"/>
    </xf>
    <xf numFmtId="0" fontId="78" fillId="0" borderId="0" xfId="0" applyFont="1" applyFill="1" applyBorder="1" applyAlignment="1">
      <alignment horizontal="left"/>
    </xf>
    <xf numFmtId="0" fontId="77" fillId="0" borderId="0" xfId="0" applyFont="1" applyFill="1" applyBorder="1" applyAlignment="1">
      <alignment horizontal="left"/>
    </xf>
    <xf numFmtId="0" fontId="105" fillId="0" borderId="30" xfId="0" applyFont="1" applyFill="1" applyBorder="1" applyAlignment="1">
      <alignment horizontal="left"/>
    </xf>
    <xf numFmtId="0" fontId="105" fillId="0" borderId="0" xfId="0" applyFont="1" applyFill="1" applyBorder="1" applyAlignment="1">
      <alignment horizontal="left"/>
    </xf>
    <xf numFmtId="0" fontId="105" fillId="0" borderId="22" xfId="0" applyFont="1" applyFill="1" applyBorder="1" applyAlignment="1">
      <alignment horizontal="center"/>
    </xf>
    <xf numFmtId="0" fontId="78" fillId="0" borderId="42" xfId="0" applyFont="1" applyFill="1" applyBorder="1" applyAlignment="1">
      <alignment horizontal="left"/>
    </xf>
    <xf numFmtId="0" fontId="78" fillId="0" borderId="22" xfId="0" applyFont="1" applyFill="1" applyBorder="1" applyAlignment="1">
      <alignment horizontal="left"/>
    </xf>
    <xf numFmtId="0" fontId="78" fillId="0" borderId="29" xfId="0" applyFont="1" applyFill="1" applyBorder="1" applyAlignment="1">
      <alignment horizontal="left"/>
    </xf>
    <xf numFmtId="0" fontId="78" fillId="0" borderId="19" xfId="0" applyFont="1" applyFill="1" applyBorder="1" applyAlignment="1">
      <alignment horizontal="left"/>
    </xf>
    <xf numFmtId="0" fontId="78" fillId="0" borderId="25" xfId="0" applyFont="1" applyFill="1" applyBorder="1" applyAlignment="1">
      <alignment horizontal="left"/>
    </xf>
    <xf numFmtId="0" fontId="78" fillId="0" borderId="34" xfId="0" applyFont="1" applyFill="1" applyBorder="1" applyAlignment="1">
      <alignment horizontal="left"/>
    </xf>
    <xf numFmtId="0" fontId="78" fillId="0" borderId="35" xfId="0" applyFont="1" applyFill="1" applyBorder="1" applyAlignment="1">
      <alignment horizontal="left"/>
    </xf>
    <xf numFmtId="0" fontId="105" fillId="0" borderId="22" xfId="0" applyFont="1" applyFill="1" applyBorder="1" applyAlignment="1">
      <alignment horizontal="left"/>
    </xf>
    <xf numFmtId="0" fontId="77" fillId="0" borderId="22" xfId="0" applyFont="1" applyFill="1" applyBorder="1" applyAlignment="1">
      <alignment horizontal="left"/>
    </xf>
    <xf numFmtId="0" fontId="34" fillId="0" borderId="22" xfId="0" applyFont="1" applyFill="1" applyBorder="1" applyAlignment="1">
      <alignment horizontal="left"/>
    </xf>
    <xf numFmtId="0" fontId="78" fillId="0" borderId="0" xfId="0" applyFont="1" applyFill="1" applyAlignment="1">
      <alignment horizontal="left"/>
    </xf>
    <xf numFmtId="0" fontId="77" fillId="0" borderId="0" xfId="0" applyFont="1" applyFill="1" applyAlignment="1">
      <alignment horizontal="left"/>
    </xf>
    <xf numFmtId="0" fontId="105" fillId="0" borderId="0" xfId="0" applyFont="1" applyFill="1" applyAlignment="1">
      <alignment horizontal="left"/>
    </xf>
    <xf numFmtId="0" fontId="105" fillId="6" borderId="22" xfId="0" applyFont="1" applyFill="1" applyBorder="1" applyAlignment="1">
      <alignment horizontal="center"/>
    </xf>
    <xf numFmtId="0" fontId="78" fillId="6" borderId="42" xfId="0" applyFont="1" applyFill="1" applyBorder="1" applyAlignment="1">
      <alignment horizontal="left"/>
    </xf>
    <xf numFmtId="0" fontId="78" fillId="6" borderId="22" xfId="0" applyFont="1" applyFill="1" applyBorder="1" applyAlignment="1">
      <alignment horizontal="left"/>
    </xf>
    <xf numFmtId="0" fontId="78" fillId="6" borderId="29" xfId="0" applyFont="1" applyFill="1" applyBorder="1" applyAlignment="1">
      <alignment horizontal="left"/>
    </xf>
    <xf numFmtId="0" fontId="78" fillId="6" borderId="0" xfId="0" applyFont="1" applyFill="1" applyBorder="1" applyAlignment="1">
      <alignment horizontal="left"/>
    </xf>
    <xf numFmtId="0" fontId="78" fillId="6" borderId="19" xfId="0" applyFont="1" applyFill="1" applyBorder="1" applyAlignment="1">
      <alignment horizontal="left"/>
    </xf>
    <xf numFmtId="0" fontId="78" fillId="6" borderId="25" xfId="0" applyFont="1" applyFill="1" applyBorder="1" applyAlignment="1">
      <alignment horizontal="left"/>
    </xf>
    <xf numFmtId="0" fontId="78" fillId="6" borderId="34" xfId="0" applyFont="1" applyFill="1" applyBorder="1" applyAlignment="1">
      <alignment horizontal="left"/>
    </xf>
    <xf numFmtId="0" fontId="78" fillId="6" borderId="35" xfId="0" applyFont="1" applyFill="1" applyBorder="1" applyAlignment="1">
      <alignment horizontal="left"/>
    </xf>
    <xf numFmtId="0" fontId="105" fillId="6" borderId="22" xfId="0" applyFont="1" applyFill="1" applyBorder="1" applyAlignment="1">
      <alignment horizontal="left"/>
    </xf>
    <xf numFmtId="0" fontId="105" fillId="6" borderId="0" xfId="0" applyFont="1" applyFill="1" applyBorder="1" applyAlignment="1">
      <alignment horizontal="left"/>
    </xf>
    <xf numFmtId="0" fontId="77" fillId="6" borderId="22" xfId="0" applyFont="1" applyFill="1" applyBorder="1" applyAlignment="1">
      <alignment horizontal="left"/>
    </xf>
    <xf numFmtId="0" fontId="77" fillId="6" borderId="0" xfId="0" applyFont="1" applyFill="1" applyBorder="1" applyAlignment="1">
      <alignment horizontal="left"/>
    </xf>
    <xf numFmtId="0" fontId="78" fillId="6" borderId="0" xfId="0" applyFont="1" applyFill="1" applyAlignment="1">
      <alignment horizontal="left"/>
    </xf>
    <xf numFmtId="0" fontId="32" fillId="6" borderId="39" xfId="0" applyFont="1" applyFill="1" applyBorder="1" applyAlignment="1">
      <alignment horizontal="left"/>
    </xf>
    <xf numFmtId="0" fontId="77" fillId="6" borderId="0" xfId="0" applyFont="1" applyFill="1" applyAlignment="1">
      <alignment horizontal="left"/>
    </xf>
    <xf numFmtId="0" fontId="105" fillId="6" borderId="0" xfId="0" applyFont="1" applyFill="1" applyAlignment="1">
      <alignment horizontal="left"/>
    </xf>
    <xf numFmtId="0" fontId="78" fillId="6" borderId="0" xfId="0" applyFont="1" applyFill="1"/>
    <xf numFmtId="0" fontId="105" fillId="6" borderId="29" xfId="0" applyFont="1" applyFill="1" applyBorder="1" applyAlignment="1">
      <alignment horizontal="left"/>
    </xf>
    <xf numFmtId="0" fontId="106" fillId="0" borderId="8" xfId="0" applyFont="1" applyFill="1" applyBorder="1" applyAlignment="1">
      <alignment horizontal="left"/>
    </xf>
    <xf numFmtId="0" fontId="107" fillId="0" borderId="22" xfId="0" applyFont="1" applyFill="1" applyBorder="1" applyAlignment="1">
      <alignment horizontal="center"/>
    </xf>
    <xf numFmtId="0" fontId="106" fillId="0" borderId="42" xfId="0" applyFont="1" applyFill="1" applyBorder="1" applyAlignment="1">
      <alignment horizontal="left"/>
    </xf>
    <xf numFmtId="0" fontId="106" fillId="0" borderId="22" xfId="0" applyFont="1" applyFill="1" applyBorder="1" applyAlignment="1">
      <alignment horizontal="left"/>
    </xf>
    <xf numFmtId="0" fontId="106" fillId="0" borderId="29" xfId="0" applyFont="1" applyFill="1" applyBorder="1" applyAlignment="1">
      <alignment horizontal="left"/>
    </xf>
    <xf numFmtId="0" fontId="106" fillId="0" borderId="0" xfId="0" applyFont="1" applyFill="1" applyBorder="1" applyAlignment="1">
      <alignment horizontal="left"/>
    </xf>
    <xf numFmtId="0" fontId="106" fillId="0" borderId="19" xfId="0" applyFont="1" applyFill="1" applyBorder="1" applyAlignment="1">
      <alignment horizontal="left"/>
    </xf>
    <xf numFmtId="0" fontId="106" fillId="0" borderId="25" xfId="0" applyFont="1" applyFill="1" applyBorder="1" applyAlignment="1">
      <alignment horizontal="left"/>
    </xf>
    <xf numFmtId="0" fontId="106" fillId="0" borderId="34" xfId="0" applyFont="1" applyFill="1" applyBorder="1" applyAlignment="1">
      <alignment horizontal="left"/>
    </xf>
    <xf numFmtId="0" fontId="106" fillId="0" borderId="35" xfId="0" applyFont="1" applyFill="1" applyBorder="1" applyAlignment="1">
      <alignment horizontal="left"/>
    </xf>
    <xf numFmtId="0" fontId="107" fillId="0" borderId="22" xfId="0" applyFont="1" applyFill="1" applyBorder="1" applyAlignment="1">
      <alignment horizontal="left"/>
    </xf>
    <xf numFmtId="0" fontId="107" fillId="0" borderId="0" xfId="0" applyFont="1" applyFill="1" applyBorder="1" applyAlignment="1">
      <alignment horizontal="left"/>
    </xf>
    <xf numFmtId="0" fontId="108" fillId="0" borderId="22" xfId="0" applyFont="1" applyFill="1" applyBorder="1" applyAlignment="1">
      <alignment horizontal="left"/>
    </xf>
    <xf numFmtId="0" fontId="108" fillId="0" borderId="0" xfId="0" applyFont="1" applyFill="1" applyBorder="1" applyAlignment="1">
      <alignment horizontal="left"/>
    </xf>
    <xf numFmtId="0" fontId="109" fillId="0" borderId="0" xfId="0" applyFont="1" applyFill="1" applyBorder="1" applyAlignment="1">
      <alignment horizontal="left"/>
    </xf>
    <xf numFmtId="0" fontId="109" fillId="0" borderId="22" xfId="0" applyFont="1" applyFill="1" applyBorder="1" applyAlignment="1">
      <alignment horizontal="left"/>
    </xf>
    <xf numFmtId="0" fontId="107" fillId="0" borderId="0" xfId="0" applyFont="1" applyFill="1" applyAlignment="1">
      <alignment horizontal="left"/>
    </xf>
    <xf numFmtId="0" fontId="106" fillId="0" borderId="0" xfId="0" applyFont="1" applyFill="1" applyAlignment="1">
      <alignment horizontal="left"/>
    </xf>
    <xf numFmtId="0" fontId="108" fillId="0" borderId="0" xfId="0" applyFont="1" applyFill="1" applyAlignment="1">
      <alignment horizontal="left"/>
    </xf>
    <xf numFmtId="0" fontId="106" fillId="0" borderId="0" xfId="0" applyFont="1" applyFill="1"/>
    <xf numFmtId="0" fontId="110" fillId="0" borderId="8" xfId="0" applyFont="1" applyBorder="1" applyAlignment="1">
      <alignment horizontal="left"/>
    </xf>
    <xf numFmtId="0" fontId="111" fillId="20" borderId="22" xfId="0" applyFont="1" applyFill="1" applyBorder="1" applyAlignment="1">
      <alignment horizontal="center"/>
    </xf>
    <xf numFmtId="0" fontId="110" fillId="18" borderId="42" xfId="0" applyFont="1" applyFill="1" applyBorder="1" applyAlignment="1">
      <alignment horizontal="left"/>
    </xf>
    <xf numFmtId="0" fontId="110" fillId="9" borderId="22" xfId="0" applyFont="1" applyFill="1" applyBorder="1" applyAlignment="1">
      <alignment horizontal="left"/>
    </xf>
    <xf numFmtId="0" fontId="110" fillId="19" borderId="29" xfId="0" applyFont="1" applyFill="1" applyBorder="1" applyAlignment="1">
      <alignment horizontal="left"/>
    </xf>
    <xf numFmtId="0" fontId="110" fillId="6" borderId="8" xfId="0" applyFont="1" applyFill="1" applyBorder="1" applyAlignment="1">
      <alignment horizontal="left"/>
    </xf>
    <xf numFmtId="0" fontId="110" fillId="0" borderId="8" xfId="0" applyFont="1" applyFill="1" applyBorder="1" applyAlignment="1">
      <alignment horizontal="left"/>
    </xf>
    <xf numFmtId="0" fontId="110" fillId="0" borderId="0" xfId="0" applyFont="1" applyBorder="1" applyAlignment="1">
      <alignment horizontal="left"/>
    </xf>
    <xf numFmtId="0" fontId="110" fillId="38" borderId="0" xfId="0" applyFont="1" applyFill="1" applyBorder="1" applyAlignment="1">
      <alignment horizontal="left"/>
    </xf>
    <xf numFmtId="0" fontId="110" fillId="16" borderId="19" xfId="0" applyFont="1" applyFill="1" applyBorder="1" applyAlignment="1">
      <alignment horizontal="left"/>
    </xf>
    <xf numFmtId="0" fontId="110" fillId="16" borderId="25" xfId="0" applyFont="1" applyFill="1" applyBorder="1" applyAlignment="1">
      <alignment horizontal="left"/>
    </xf>
    <xf numFmtId="0" fontId="110" fillId="13" borderId="0" xfId="0" applyFont="1" applyFill="1" applyBorder="1" applyAlignment="1">
      <alignment horizontal="left"/>
    </xf>
    <xf numFmtId="0" fontId="110" fillId="19" borderId="0" xfId="0" applyFont="1" applyFill="1" applyBorder="1" applyAlignment="1">
      <alignment horizontal="left"/>
    </xf>
    <xf numFmtId="0" fontId="110" fillId="0" borderId="34" xfId="0" applyFont="1" applyBorder="1" applyAlignment="1">
      <alignment horizontal="left"/>
    </xf>
    <xf numFmtId="0" fontId="110" fillId="2" borderId="22" xfId="0" applyFont="1" applyFill="1" applyBorder="1" applyAlignment="1">
      <alignment horizontal="left"/>
    </xf>
    <xf numFmtId="0" fontId="110" fillId="0" borderId="35" xfId="0" applyFont="1" applyBorder="1" applyAlignment="1">
      <alignment horizontal="left"/>
    </xf>
    <xf numFmtId="0" fontId="110" fillId="17" borderId="22" xfId="0" applyFont="1" applyFill="1" applyBorder="1" applyAlignment="1">
      <alignment horizontal="left"/>
    </xf>
    <xf numFmtId="0" fontId="111" fillId="17" borderId="22" xfId="0" applyFont="1" applyFill="1" applyBorder="1" applyAlignment="1">
      <alignment horizontal="left"/>
    </xf>
    <xf numFmtId="0" fontId="111" fillId="20" borderId="22" xfId="0" applyFont="1" applyFill="1" applyBorder="1" applyAlignment="1">
      <alignment horizontal="left"/>
    </xf>
    <xf numFmtId="0" fontId="111" fillId="20" borderId="0" xfId="0" applyFont="1" applyFill="1" applyBorder="1" applyAlignment="1">
      <alignment horizontal="left"/>
    </xf>
    <xf numFmtId="0" fontId="111" fillId="44" borderId="0" xfId="0" applyFont="1" applyFill="1" applyBorder="1" applyAlignment="1">
      <alignment horizontal="left"/>
    </xf>
    <xf numFmtId="0" fontId="111" fillId="43" borderId="0" xfId="0" applyFont="1" applyFill="1" applyBorder="1" applyAlignment="1">
      <alignment horizontal="left"/>
    </xf>
    <xf numFmtId="0" fontId="110" fillId="0" borderId="0" xfId="0" applyFont="1" applyFill="1" applyBorder="1" applyAlignment="1">
      <alignment horizontal="left"/>
    </xf>
    <xf numFmtId="0" fontId="112" fillId="3" borderId="22" xfId="0" applyFont="1" applyFill="1" applyBorder="1" applyAlignment="1">
      <alignment horizontal="left"/>
    </xf>
    <xf numFmtId="0" fontId="112" fillId="3" borderId="0" xfId="0" applyFont="1" applyFill="1" applyBorder="1" applyAlignment="1">
      <alignment horizontal="left"/>
    </xf>
    <xf numFmtId="0" fontId="112" fillId="0" borderId="0" xfId="0" applyFont="1" applyFill="1" applyBorder="1" applyAlignment="1">
      <alignment horizontal="left"/>
    </xf>
    <xf numFmtId="0" fontId="112" fillId="2" borderId="0" xfId="0" applyFont="1" applyFill="1" applyBorder="1" applyAlignment="1">
      <alignment horizontal="left"/>
    </xf>
    <xf numFmtId="0" fontId="113" fillId="45" borderId="0" xfId="0" applyFont="1" applyFill="1" applyBorder="1" applyAlignment="1">
      <alignment horizontal="left"/>
    </xf>
    <xf numFmtId="0" fontId="113" fillId="18" borderId="22" xfId="0" applyFont="1" applyFill="1" applyBorder="1" applyAlignment="1">
      <alignment horizontal="left"/>
    </xf>
    <xf numFmtId="0" fontId="111" fillId="0" borderId="0" xfId="0" applyFont="1" applyFill="1" applyBorder="1" applyAlignment="1">
      <alignment horizontal="left"/>
    </xf>
    <xf numFmtId="0" fontId="110" fillId="0" borderId="0" xfId="0" applyFont="1" applyFill="1" applyAlignment="1">
      <alignment horizontal="left"/>
    </xf>
    <xf numFmtId="0" fontId="113" fillId="28" borderId="22" xfId="0" applyFont="1" applyFill="1" applyBorder="1" applyAlignment="1">
      <alignment horizontal="left"/>
    </xf>
    <xf numFmtId="0" fontId="110" fillId="28" borderId="22" xfId="0" applyFont="1" applyFill="1" applyBorder="1" applyAlignment="1">
      <alignment horizontal="left"/>
    </xf>
    <xf numFmtId="0" fontId="111" fillId="0" borderId="0" xfId="0" applyFont="1" applyAlignment="1">
      <alignment horizontal="left"/>
    </xf>
    <xf numFmtId="0" fontId="110" fillId="0" borderId="0" xfId="0" applyFont="1" applyAlignment="1">
      <alignment horizontal="left"/>
    </xf>
    <xf numFmtId="0" fontId="113" fillId="26" borderId="0" xfId="0" applyFont="1" applyFill="1" applyAlignment="1">
      <alignment horizontal="left"/>
    </xf>
    <xf numFmtId="0" fontId="111" fillId="26" borderId="0" xfId="0" applyFont="1" applyFill="1" applyAlignment="1">
      <alignment horizontal="left"/>
    </xf>
    <xf numFmtId="0" fontId="113" fillId="30" borderId="0" xfId="0" applyFont="1" applyFill="1" applyAlignment="1">
      <alignment horizontal="left"/>
    </xf>
    <xf numFmtId="0" fontId="110" fillId="30" borderId="0" xfId="0" applyFont="1" applyFill="1" applyAlignment="1">
      <alignment horizontal="left"/>
    </xf>
    <xf numFmtId="0" fontId="110" fillId="26" borderId="0" xfId="0" applyFont="1" applyFill="1" applyAlignment="1">
      <alignment horizontal="left"/>
    </xf>
    <xf numFmtId="0" fontId="110" fillId="0" borderId="0" xfId="0" applyFont="1" applyFill="1"/>
    <xf numFmtId="0" fontId="111" fillId="13" borderId="0" xfId="0" applyFont="1" applyFill="1" applyBorder="1" applyAlignment="1">
      <alignment horizontal="left"/>
    </xf>
    <xf numFmtId="0" fontId="96" fillId="6" borderId="22" xfId="0" applyFont="1" applyFill="1" applyBorder="1" applyAlignment="1">
      <alignment horizontal="center"/>
    </xf>
    <xf numFmtId="0" fontId="95" fillId="6" borderId="42" xfId="0" applyFont="1" applyFill="1" applyBorder="1" applyAlignment="1">
      <alignment horizontal="left"/>
    </xf>
    <xf numFmtId="0" fontId="95" fillId="6" borderId="22" xfId="0" applyFont="1" applyFill="1" applyBorder="1" applyAlignment="1">
      <alignment horizontal="left"/>
    </xf>
    <xf numFmtId="0" fontId="95" fillId="6" borderId="29" xfId="0" applyFont="1" applyFill="1" applyBorder="1" applyAlignment="1">
      <alignment horizontal="left"/>
    </xf>
    <xf numFmtId="0" fontId="95" fillId="6" borderId="0" xfId="0" applyFont="1" applyFill="1" applyBorder="1" applyAlignment="1">
      <alignment horizontal="left"/>
    </xf>
    <xf numFmtId="0" fontId="95" fillId="6" borderId="19" xfId="0" applyFont="1" applyFill="1" applyBorder="1" applyAlignment="1">
      <alignment horizontal="left"/>
    </xf>
    <xf numFmtId="0" fontId="95" fillId="6" borderId="25" xfId="0" applyFont="1" applyFill="1" applyBorder="1" applyAlignment="1">
      <alignment horizontal="left"/>
    </xf>
    <xf numFmtId="0" fontId="95" fillId="6" borderId="34" xfId="0" applyFont="1" applyFill="1" applyBorder="1" applyAlignment="1">
      <alignment horizontal="left"/>
    </xf>
    <xf numFmtId="0" fontId="95" fillId="6" borderId="35" xfId="0" applyFont="1" applyFill="1" applyBorder="1" applyAlignment="1">
      <alignment horizontal="left"/>
    </xf>
    <xf numFmtId="0" fontId="97" fillId="6" borderId="22" xfId="0" applyFont="1" applyFill="1" applyBorder="1" applyAlignment="1">
      <alignment horizontal="left"/>
    </xf>
    <xf numFmtId="0" fontId="97" fillId="6" borderId="0" xfId="0" applyFont="1" applyFill="1" applyBorder="1" applyAlignment="1">
      <alignment horizontal="left"/>
    </xf>
    <xf numFmtId="0" fontId="96" fillId="6" borderId="0" xfId="0" applyFont="1" applyFill="1" applyBorder="1" applyAlignment="1">
      <alignment horizontal="left"/>
    </xf>
    <xf numFmtId="0" fontId="97" fillId="6" borderId="0" xfId="0" quotePrefix="1" applyFont="1" applyFill="1" applyBorder="1" applyAlignment="1">
      <alignment horizontal="left"/>
    </xf>
    <xf numFmtId="0" fontId="95" fillId="6" borderId="0" xfId="0" applyFont="1" applyFill="1" applyAlignment="1">
      <alignment horizontal="left"/>
    </xf>
    <xf numFmtId="0" fontId="97" fillId="6" borderId="0" xfId="0" applyFont="1" applyFill="1" applyAlignment="1">
      <alignment horizontal="left"/>
    </xf>
    <xf numFmtId="0" fontId="96" fillId="6" borderId="0" xfId="0" applyFont="1" applyFill="1" applyAlignment="1">
      <alignment horizontal="left"/>
    </xf>
    <xf numFmtId="0" fontId="97" fillId="41" borderId="0" xfId="0" applyFont="1" applyFill="1" applyAlignment="1">
      <alignment horizontal="left"/>
    </xf>
    <xf numFmtId="0" fontId="95" fillId="41" borderId="0" xfId="0" applyFont="1" applyFill="1" applyAlignment="1">
      <alignment horizontal="left"/>
    </xf>
    <xf numFmtId="0" fontId="97" fillId="6" borderId="0" xfId="0" quotePrefix="1" applyFont="1" applyFill="1" applyAlignment="1">
      <alignment horizontal="left"/>
    </xf>
    <xf numFmtId="0" fontId="97" fillId="6" borderId="22" xfId="0" quotePrefix="1" applyFont="1" applyFill="1" applyBorder="1" applyAlignment="1">
      <alignment horizontal="left"/>
    </xf>
    <xf numFmtId="0" fontId="110" fillId="0" borderId="0" xfId="0" applyFont="1" applyFill="1" applyBorder="1" applyAlignment="1">
      <alignment horizontal="left" wrapText="1"/>
    </xf>
    <xf numFmtId="0" fontId="113" fillId="3" borderId="22" xfId="0" applyFont="1" applyFill="1" applyBorder="1" applyAlignment="1">
      <alignment horizontal="left"/>
    </xf>
    <xf numFmtId="0" fontId="113" fillId="3" borderId="0" xfId="0" applyFont="1" applyFill="1" applyBorder="1" applyAlignment="1">
      <alignment horizontal="left"/>
    </xf>
    <xf numFmtId="0" fontId="113" fillId="0" borderId="0" xfId="0" applyFont="1" applyFill="1" applyBorder="1" applyAlignment="1">
      <alignment horizontal="left"/>
    </xf>
    <xf numFmtId="0" fontId="113" fillId="2" borderId="0" xfId="0" applyFont="1" applyFill="1" applyBorder="1" applyAlignment="1">
      <alignment horizontal="left"/>
    </xf>
    <xf numFmtId="0" fontId="110" fillId="36" borderId="22" xfId="0" applyFont="1" applyFill="1" applyBorder="1" applyAlignment="1">
      <alignment horizontal="left"/>
    </xf>
    <xf numFmtId="0" fontId="113" fillId="30" borderId="22" xfId="0" applyFont="1" applyFill="1" applyBorder="1" applyAlignment="1">
      <alignment horizontal="left"/>
    </xf>
    <xf numFmtId="0" fontId="110" fillId="30" borderId="22" xfId="0" applyFont="1" applyFill="1" applyBorder="1" applyAlignment="1">
      <alignment horizontal="left"/>
    </xf>
    <xf numFmtId="0" fontId="113" fillId="30" borderId="0" xfId="0" applyFont="1" applyFill="1" applyBorder="1" applyAlignment="1">
      <alignment horizontal="left"/>
    </xf>
    <xf numFmtId="0" fontId="110" fillId="30" borderId="0" xfId="0" applyFont="1" applyFill="1" applyBorder="1" applyAlignment="1">
      <alignment horizontal="left"/>
    </xf>
    <xf numFmtId="0" fontId="113" fillId="28" borderId="0" xfId="0" applyFont="1" applyFill="1" applyBorder="1" applyAlignment="1">
      <alignment horizontal="left"/>
    </xf>
    <xf numFmtId="0" fontId="110" fillId="36" borderId="0" xfId="0" applyFont="1" applyFill="1" applyBorder="1" applyAlignment="1">
      <alignment horizontal="left"/>
    </xf>
    <xf numFmtId="0" fontId="111" fillId="0" borderId="0" xfId="0" applyFont="1" applyBorder="1" applyAlignment="1">
      <alignment horizontal="left"/>
    </xf>
    <xf numFmtId="0" fontId="113" fillId="26" borderId="0" xfId="0" applyFont="1" applyFill="1" applyBorder="1" applyAlignment="1">
      <alignment horizontal="left"/>
    </xf>
    <xf numFmtId="0" fontId="110" fillId="0" borderId="34" xfId="0" applyFont="1" applyFill="1" applyBorder="1" applyAlignment="1">
      <alignment horizontal="left"/>
    </xf>
    <xf numFmtId="0" fontId="110" fillId="0" borderId="22" xfId="0" applyFont="1" applyFill="1" applyBorder="1" applyAlignment="1">
      <alignment horizontal="left"/>
    </xf>
    <xf numFmtId="0" fontId="110" fillId="0" borderId="35" xfId="0" applyFont="1" applyFill="1" applyBorder="1" applyAlignment="1">
      <alignment horizontal="left"/>
    </xf>
    <xf numFmtId="0" fontId="109" fillId="2" borderId="0" xfId="0" applyFont="1" applyFill="1" applyBorder="1" applyAlignment="1">
      <alignment horizontal="left"/>
    </xf>
    <xf numFmtId="0" fontId="109" fillId="45" borderId="0" xfId="0" applyFont="1" applyFill="1" applyBorder="1" applyAlignment="1">
      <alignment horizontal="left"/>
    </xf>
    <xf numFmtId="0" fontId="109" fillId="18" borderId="22" xfId="0" applyFont="1" applyFill="1" applyBorder="1" applyAlignment="1">
      <alignment horizontal="left"/>
    </xf>
    <xf numFmtId="0" fontId="114" fillId="0" borderId="8" xfId="0" applyFont="1" applyBorder="1" applyAlignment="1">
      <alignment horizontal="left"/>
    </xf>
    <xf numFmtId="0" fontId="115" fillId="20" borderId="22" xfId="0" applyFont="1" applyFill="1" applyBorder="1" applyAlignment="1">
      <alignment horizontal="center"/>
    </xf>
    <xf numFmtId="0" fontId="114" fillId="18" borderId="42" xfId="0" applyFont="1" applyFill="1" applyBorder="1" applyAlignment="1">
      <alignment horizontal="left"/>
    </xf>
    <xf numFmtId="0" fontId="114" fillId="9" borderId="22" xfId="0" applyFont="1" applyFill="1" applyBorder="1" applyAlignment="1">
      <alignment horizontal="left"/>
    </xf>
    <xf numFmtId="0" fontId="114" fillId="19" borderId="29" xfId="0" applyFont="1" applyFill="1" applyBorder="1" applyAlignment="1">
      <alignment horizontal="left"/>
    </xf>
    <xf numFmtId="0" fontId="114" fillId="0" borderId="8" xfId="0" applyFont="1" applyFill="1" applyBorder="1" applyAlignment="1">
      <alignment horizontal="left"/>
    </xf>
    <xf numFmtId="0" fontId="114" fillId="0" borderId="0" xfId="0" applyFont="1" applyBorder="1" applyAlignment="1">
      <alignment horizontal="left"/>
    </xf>
    <xf numFmtId="0" fontId="114" fillId="38" borderId="0" xfId="0" applyFont="1" applyFill="1" applyBorder="1" applyAlignment="1">
      <alignment horizontal="left"/>
    </xf>
    <xf numFmtId="0" fontId="114" fillId="8" borderId="19" xfId="0" applyFont="1" applyFill="1" applyBorder="1" applyAlignment="1">
      <alignment horizontal="left"/>
    </xf>
    <xf numFmtId="0" fontId="114" fillId="19" borderId="0" xfId="0" applyFont="1" applyFill="1" applyBorder="1" applyAlignment="1">
      <alignment horizontal="left"/>
    </xf>
    <xf numFmtId="0" fontId="114" fillId="0" borderId="34" xfId="0" applyFont="1" applyBorder="1" applyAlignment="1">
      <alignment horizontal="left"/>
    </xf>
    <xf numFmtId="0" fontId="114" fillId="2" borderId="22" xfId="0" applyFont="1" applyFill="1" applyBorder="1" applyAlignment="1">
      <alignment horizontal="left"/>
    </xf>
    <xf numFmtId="0" fontId="114" fillId="0" borderId="0" xfId="0" applyFont="1" applyFill="1" applyBorder="1" applyAlignment="1">
      <alignment horizontal="left"/>
    </xf>
    <xf numFmtId="0" fontId="116" fillId="3" borderId="22" xfId="0" applyFont="1" applyFill="1" applyBorder="1" applyAlignment="1">
      <alignment horizontal="left"/>
    </xf>
    <xf numFmtId="0" fontId="116" fillId="3" borderId="0" xfId="0" applyFont="1" applyFill="1" applyBorder="1" applyAlignment="1">
      <alignment horizontal="left"/>
    </xf>
    <xf numFmtId="0" fontId="116" fillId="0" borderId="0" xfId="0" applyFont="1" applyFill="1" applyBorder="1" applyAlignment="1">
      <alignment horizontal="left"/>
    </xf>
    <xf numFmtId="0" fontId="116" fillId="2" borderId="0" xfId="0" applyFont="1" applyFill="1" applyBorder="1" applyAlignment="1">
      <alignment horizontal="left"/>
    </xf>
    <xf numFmtId="0" fontId="116" fillId="45" borderId="0" xfId="0" applyFont="1" applyFill="1" applyBorder="1" applyAlignment="1">
      <alignment horizontal="left"/>
    </xf>
    <xf numFmtId="0" fontId="116" fillId="18" borderId="22" xfId="0" applyFont="1" applyFill="1" applyBorder="1" applyAlignment="1">
      <alignment horizontal="left"/>
    </xf>
    <xf numFmtId="0" fontId="115" fillId="0" borderId="0" xfId="0" applyFont="1" applyFill="1" applyBorder="1" applyAlignment="1">
      <alignment horizontal="left"/>
    </xf>
    <xf numFmtId="0" fontId="114" fillId="28" borderId="22" xfId="0" applyFont="1" applyFill="1" applyBorder="1" applyAlignment="1">
      <alignment horizontal="left"/>
    </xf>
    <xf numFmtId="0" fontId="115" fillId="0" borderId="0" xfId="0" applyFont="1" applyBorder="1" applyAlignment="1">
      <alignment horizontal="left"/>
    </xf>
    <xf numFmtId="0" fontId="114" fillId="0" borderId="0" xfId="0" applyFont="1" applyAlignment="1">
      <alignment horizontal="left"/>
    </xf>
    <xf numFmtId="0" fontId="115" fillId="0" borderId="0" xfId="0" applyFont="1" applyAlignment="1">
      <alignment horizontal="left"/>
    </xf>
    <xf numFmtId="0" fontId="116" fillId="28" borderId="22" xfId="0" applyFont="1" applyFill="1" applyBorder="1" applyAlignment="1">
      <alignment horizontal="left"/>
    </xf>
    <xf numFmtId="0" fontId="116" fillId="26" borderId="0" xfId="0" applyFont="1" applyFill="1" applyAlignment="1">
      <alignment horizontal="left"/>
    </xf>
    <xf numFmtId="0" fontId="116" fillId="30" borderId="0" xfId="0" applyFont="1" applyFill="1" applyAlignment="1">
      <alignment horizontal="left"/>
    </xf>
    <xf numFmtId="0" fontId="114" fillId="30" borderId="0" xfId="0" applyFont="1" applyFill="1" applyAlignment="1">
      <alignment horizontal="left"/>
    </xf>
    <xf numFmtId="0" fontId="114" fillId="26" borderId="0" xfId="0" applyFont="1" applyFill="1" applyAlignment="1">
      <alignment horizontal="left"/>
    </xf>
    <xf numFmtId="0" fontId="114" fillId="30" borderId="0" xfId="0" applyFont="1" applyFill="1" applyBorder="1" applyAlignment="1">
      <alignment horizontal="left"/>
    </xf>
    <xf numFmtId="0" fontId="114" fillId="0" borderId="0" xfId="0" applyFont="1" applyFill="1"/>
    <xf numFmtId="0" fontId="18" fillId="48" borderId="8" xfId="0" applyFont="1" applyFill="1" applyBorder="1" applyAlignment="1">
      <alignment horizontal="left"/>
    </xf>
    <xf numFmtId="0" fontId="19" fillId="48" borderId="22" xfId="0" applyFont="1" applyFill="1" applyBorder="1" applyAlignment="1">
      <alignment horizontal="center"/>
    </xf>
    <xf numFmtId="0" fontId="18" fillId="48" borderId="42" xfId="0" applyFont="1" applyFill="1" applyBorder="1" applyAlignment="1">
      <alignment horizontal="left"/>
    </xf>
    <xf numFmtId="0" fontId="18" fillId="48" borderId="22" xfId="0" applyFont="1" applyFill="1" applyBorder="1" applyAlignment="1">
      <alignment horizontal="left"/>
    </xf>
    <xf numFmtId="0" fontId="18" fillId="48" borderId="29" xfId="0" applyFont="1" applyFill="1" applyBorder="1" applyAlignment="1">
      <alignment horizontal="left"/>
    </xf>
    <xf numFmtId="0" fontId="18" fillId="48" borderId="0" xfId="0" applyFont="1" applyFill="1" applyBorder="1" applyAlignment="1">
      <alignment horizontal="left"/>
    </xf>
    <xf numFmtId="0" fontId="0" fillId="48" borderId="0" xfId="0" applyFont="1" applyFill="1" applyBorder="1" applyAlignment="1">
      <alignment horizontal="left"/>
    </xf>
    <xf numFmtId="0" fontId="32" fillId="48" borderId="19" xfId="0" applyFont="1" applyFill="1" applyBorder="1" applyAlignment="1">
      <alignment horizontal="left"/>
    </xf>
    <xf numFmtId="0" fontId="20" fillId="48" borderId="0" xfId="0" applyFont="1" applyFill="1" applyBorder="1" applyAlignment="1">
      <alignment horizontal="left"/>
    </xf>
    <xf numFmtId="0" fontId="20" fillId="48" borderId="34" xfId="0" applyFont="1" applyFill="1" applyBorder="1" applyAlignment="1">
      <alignment horizontal="left"/>
    </xf>
    <xf numFmtId="0" fontId="20" fillId="48" borderId="22" xfId="0" applyFont="1" applyFill="1" applyBorder="1" applyAlignment="1">
      <alignment horizontal="left"/>
    </xf>
    <xf numFmtId="0" fontId="114" fillId="48" borderId="8" xfId="0" applyFont="1" applyFill="1" applyBorder="1" applyAlignment="1">
      <alignment horizontal="left"/>
    </xf>
    <xf numFmtId="0" fontId="115" fillId="48" borderId="22" xfId="0" applyFont="1" applyFill="1" applyBorder="1" applyAlignment="1">
      <alignment horizontal="center"/>
    </xf>
    <xf numFmtId="0" fontId="114" fillId="48" borderId="42" xfId="0" applyFont="1" applyFill="1" applyBorder="1" applyAlignment="1">
      <alignment horizontal="left"/>
    </xf>
    <xf numFmtId="0" fontId="114" fillId="48" borderId="22" xfId="0" applyFont="1" applyFill="1" applyBorder="1" applyAlignment="1">
      <alignment horizontal="left"/>
    </xf>
    <xf numFmtId="0" fontId="114" fillId="48" borderId="29" xfId="0" applyFont="1" applyFill="1" applyBorder="1" applyAlignment="1">
      <alignment horizontal="left"/>
    </xf>
    <xf numFmtId="0" fontId="114" fillId="48" borderId="0" xfId="0" applyFont="1" applyFill="1" applyBorder="1" applyAlignment="1">
      <alignment horizontal="left"/>
    </xf>
    <xf numFmtId="0" fontId="114" fillId="48" borderId="19" xfId="0" applyFont="1" applyFill="1" applyBorder="1" applyAlignment="1">
      <alignment horizontal="left"/>
    </xf>
    <xf numFmtId="0" fontId="114" fillId="48" borderId="34" xfId="0" applyFont="1" applyFill="1" applyBorder="1" applyAlignment="1">
      <alignment horizontal="left"/>
    </xf>
    <xf numFmtId="0" fontId="34" fillId="48" borderId="22" xfId="0" applyFont="1" applyFill="1" applyBorder="1" applyAlignment="1">
      <alignment horizontal="left"/>
    </xf>
    <xf numFmtId="0" fontId="34" fillId="48" borderId="0" xfId="0" applyFont="1" applyFill="1" applyBorder="1" applyAlignment="1">
      <alignment horizontal="left"/>
    </xf>
    <xf numFmtId="0" fontId="24" fillId="48" borderId="0" xfId="0" applyFont="1" applyFill="1" applyBorder="1" applyAlignment="1">
      <alignment horizontal="left"/>
    </xf>
    <xf numFmtId="0" fontId="32" fillId="48" borderId="22" xfId="0" applyFont="1" applyFill="1" applyBorder="1" applyAlignment="1">
      <alignment horizontal="left"/>
    </xf>
    <xf numFmtId="0" fontId="14" fillId="48" borderId="0" xfId="0" applyFont="1" applyFill="1" applyAlignment="1">
      <alignment horizontal="left"/>
    </xf>
    <xf numFmtId="0" fontId="23" fillId="48" borderId="22" xfId="0" applyFont="1" applyFill="1" applyBorder="1" applyAlignment="1">
      <alignment horizontal="left"/>
    </xf>
    <xf numFmtId="0" fontId="34" fillId="48" borderId="0" xfId="0" applyFont="1" applyFill="1" applyAlignment="1">
      <alignment horizontal="left"/>
    </xf>
    <xf numFmtId="0" fontId="20" fillId="48" borderId="0" xfId="0" applyFont="1" applyFill="1" applyAlignment="1">
      <alignment horizontal="left"/>
    </xf>
    <xf numFmtId="0" fontId="24" fillId="48" borderId="0" xfId="0" applyFont="1" applyFill="1" applyAlignment="1">
      <alignment horizontal="left"/>
    </xf>
    <xf numFmtId="0" fontId="21" fillId="48" borderId="0" xfId="0" applyFont="1" applyFill="1" applyBorder="1" applyAlignment="1">
      <alignment horizontal="left"/>
    </xf>
    <xf numFmtId="0" fontId="21" fillId="48" borderId="0" xfId="0" applyFont="1" applyFill="1" applyAlignment="1">
      <alignment horizontal="left"/>
    </xf>
    <xf numFmtId="0" fontId="0" fillId="48" borderId="0" xfId="0" applyFill="1"/>
    <xf numFmtId="0" fontId="32" fillId="48" borderId="0" xfId="0" applyFont="1" applyFill="1" applyAlignment="1">
      <alignment horizontal="left"/>
    </xf>
    <xf numFmtId="0" fontId="33" fillId="48" borderId="0" xfId="0" applyFont="1" applyFill="1" applyAlignment="1">
      <alignment horizontal="left"/>
    </xf>
    <xf numFmtId="0" fontId="116" fillId="48" borderId="22" xfId="0" applyFont="1" applyFill="1" applyBorder="1" applyAlignment="1">
      <alignment horizontal="left"/>
    </xf>
    <xf numFmtId="0" fontId="116" fillId="48" borderId="0" xfId="0" applyFont="1" applyFill="1" applyBorder="1" applyAlignment="1">
      <alignment horizontal="left"/>
    </xf>
    <xf numFmtId="0" fontId="115" fillId="48" borderId="0" xfId="0" applyFont="1" applyFill="1" applyBorder="1" applyAlignment="1">
      <alignment horizontal="left"/>
    </xf>
    <xf numFmtId="0" fontId="114" fillId="48" borderId="0" xfId="0" applyFont="1" applyFill="1" applyAlignment="1">
      <alignment horizontal="left"/>
    </xf>
    <xf numFmtId="0" fontId="115" fillId="48" borderId="0" xfId="0" applyFont="1" applyFill="1" applyAlignment="1">
      <alignment horizontal="left"/>
    </xf>
    <xf numFmtId="0" fontId="116" fillId="48" borderId="0" xfId="0" applyFont="1" applyFill="1" applyAlignment="1">
      <alignment horizontal="left"/>
    </xf>
    <xf numFmtId="0" fontId="114" fillId="48" borderId="0" xfId="0" applyFont="1" applyFill="1"/>
    <xf numFmtId="0" fontId="117" fillId="48" borderId="8" xfId="0" applyFont="1" applyFill="1" applyBorder="1" applyAlignment="1">
      <alignment horizontal="left"/>
    </xf>
    <xf numFmtId="0" fontId="118" fillId="48" borderId="22" xfId="0" applyFont="1" applyFill="1" applyBorder="1" applyAlignment="1">
      <alignment horizontal="center"/>
    </xf>
    <xf numFmtId="0" fontId="117" fillId="48" borderId="42" xfId="0" applyFont="1" applyFill="1" applyBorder="1" applyAlignment="1">
      <alignment horizontal="left"/>
    </xf>
    <xf numFmtId="0" fontId="117" fillId="48" borderId="22" xfId="0" applyFont="1" applyFill="1" applyBorder="1" applyAlignment="1">
      <alignment horizontal="left"/>
    </xf>
    <xf numFmtId="0" fontId="117" fillId="48" borderId="29" xfId="0" applyFont="1" applyFill="1" applyBorder="1" applyAlignment="1">
      <alignment horizontal="left"/>
    </xf>
    <xf numFmtId="0" fontId="117" fillId="48" borderId="0" xfId="0" applyFont="1" applyFill="1" applyBorder="1" applyAlignment="1">
      <alignment horizontal="left"/>
    </xf>
    <xf numFmtId="0" fontId="117" fillId="48" borderId="19" xfId="0" applyFont="1" applyFill="1" applyBorder="1" applyAlignment="1">
      <alignment horizontal="left"/>
    </xf>
    <xf numFmtId="0" fontId="117" fillId="48" borderId="34" xfId="0" applyFont="1" applyFill="1" applyBorder="1" applyAlignment="1">
      <alignment horizontal="left"/>
    </xf>
    <xf numFmtId="0" fontId="119" fillId="48" borderId="22" xfId="0" applyFont="1" applyFill="1" applyBorder="1" applyAlignment="1">
      <alignment horizontal="left"/>
    </xf>
    <xf numFmtId="0" fontId="119" fillId="48" borderId="0" xfId="0" applyFont="1" applyFill="1" applyBorder="1" applyAlignment="1">
      <alignment horizontal="left"/>
    </xf>
    <xf numFmtId="0" fontId="118" fillId="48" borderId="0" xfId="0" applyFont="1" applyFill="1" applyBorder="1" applyAlignment="1">
      <alignment horizontal="left"/>
    </xf>
    <xf numFmtId="0" fontId="117" fillId="48" borderId="0" xfId="0" applyFont="1" applyFill="1" applyAlignment="1">
      <alignment horizontal="left"/>
    </xf>
    <xf numFmtId="0" fontId="119" fillId="48" borderId="0" xfId="0" applyFont="1" applyFill="1" applyAlignment="1">
      <alignment horizontal="left"/>
    </xf>
    <xf numFmtId="0" fontId="118" fillId="48" borderId="0" xfId="0" applyFont="1" applyFill="1" applyAlignment="1">
      <alignment horizontal="left"/>
    </xf>
    <xf numFmtId="0" fontId="117" fillId="48" borderId="0" xfId="0" applyFont="1" applyFill="1"/>
    <xf numFmtId="0" fontId="117" fillId="48" borderId="40" xfId="0" applyFont="1" applyFill="1" applyBorder="1" applyAlignment="1">
      <alignment horizontal="left"/>
    </xf>
    <xf numFmtId="0" fontId="117" fillId="48" borderId="28" xfId="0" applyFont="1" applyFill="1" applyBorder="1" applyAlignment="1">
      <alignment horizontal="left"/>
    </xf>
    <xf numFmtId="0" fontId="0" fillId="6" borderId="25" xfId="0" applyFont="1" applyFill="1" applyBorder="1" applyAlignment="1">
      <alignment horizontal="left" vertical="top"/>
    </xf>
    <xf numFmtId="0" fontId="63" fillId="6" borderId="22" xfId="0" applyFont="1" applyFill="1" applyBorder="1" applyAlignment="1">
      <alignment horizontal="center"/>
    </xf>
    <xf numFmtId="0" fontId="16" fillId="6" borderId="22" xfId="0" applyFont="1" applyFill="1" applyBorder="1" applyAlignment="1">
      <alignment horizontal="center"/>
    </xf>
    <xf numFmtId="0" fontId="17" fillId="6" borderId="0" xfId="0" applyFont="1" applyFill="1" applyBorder="1" applyAlignment="1"/>
    <xf numFmtId="0" fontId="26" fillId="6" borderId="0" xfId="0" applyFont="1" applyFill="1" applyBorder="1" applyAlignment="1">
      <alignment horizontal="left"/>
    </xf>
    <xf numFmtId="0" fontId="74" fillId="6" borderId="8" xfId="0" applyFont="1" applyFill="1" applyBorder="1" applyAlignment="1">
      <alignment horizontal="left"/>
    </xf>
    <xf numFmtId="0" fontId="75" fillId="6" borderId="22" xfId="0" applyFont="1" applyFill="1" applyBorder="1" applyAlignment="1">
      <alignment horizontal="center"/>
    </xf>
    <xf numFmtId="0" fontId="74" fillId="6" borderId="42" xfId="0" applyFont="1" applyFill="1" applyBorder="1" applyAlignment="1">
      <alignment horizontal="left"/>
    </xf>
    <xf numFmtId="0" fontId="74" fillId="6" borderId="22" xfId="0" applyFont="1" applyFill="1" applyBorder="1" applyAlignment="1">
      <alignment horizontal="left"/>
    </xf>
    <xf numFmtId="0" fontId="74" fillId="6" borderId="29" xfId="0" applyFont="1" applyFill="1" applyBorder="1" applyAlignment="1">
      <alignment horizontal="left"/>
    </xf>
    <xf numFmtId="0" fontId="74" fillId="6" borderId="0" xfId="0" applyFont="1" applyFill="1" applyBorder="1" applyAlignment="1">
      <alignment horizontal="left"/>
    </xf>
    <xf numFmtId="0" fontId="74" fillId="6" borderId="19" xfId="0" applyFont="1" applyFill="1" applyBorder="1" applyAlignment="1">
      <alignment horizontal="left"/>
    </xf>
    <xf numFmtId="0" fontId="74" fillId="6" borderId="25" xfId="0" applyFont="1" applyFill="1" applyBorder="1" applyAlignment="1">
      <alignment horizontal="left"/>
    </xf>
    <xf numFmtId="0" fontId="74" fillId="6" borderId="34" xfId="0" applyFont="1" applyFill="1" applyBorder="1" applyAlignment="1">
      <alignment horizontal="left"/>
    </xf>
    <xf numFmtId="0" fontId="74" fillId="6" borderId="35" xfId="0" applyFont="1" applyFill="1" applyBorder="1" applyAlignment="1">
      <alignment horizontal="left"/>
    </xf>
    <xf numFmtId="0" fontId="74" fillId="6" borderId="30" xfId="0" applyFont="1" applyFill="1" applyBorder="1" applyAlignment="1">
      <alignment horizontal="left"/>
    </xf>
    <xf numFmtId="0" fontId="75" fillId="6" borderId="22" xfId="0" applyFont="1" applyFill="1" applyBorder="1" applyAlignment="1">
      <alignment horizontal="left"/>
    </xf>
    <xf numFmtId="0" fontId="75" fillId="6" borderId="0" xfId="0" applyFont="1" applyFill="1" applyBorder="1" applyAlignment="1">
      <alignment horizontal="left"/>
    </xf>
    <xf numFmtId="0" fontId="76" fillId="6" borderId="22" xfId="0" applyFont="1" applyFill="1" applyBorder="1" applyAlignment="1">
      <alignment horizontal="left"/>
    </xf>
    <xf numFmtId="0" fontId="76" fillId="6" borderId="0" xfId="0" applyFont="1" applyFill="1" applyBorder="1" applyAlignment="1">
      <alignment horizontal="left"/>
    </xf>
    <xf numFmtId="0" fontId="88" fillId="6" borderId="0" xfId="0" applyFont="1" applyFill="1" applyBorder="1" applyAlignment="1">
      <alignment horizontal="left"/>
    </xf>
    <xf numFmtId="0" fontId="74" fillId="6" borderId="0" xfId="0" applyFont="1" applyFill="1" applyAlignment="1">
      <alignment horizontal="left"/>
    </xf>
    <xf numFmtId="0" fontId="75" fillId="6" borderId="0" xfId="0" applyFont="1" applyFill="1" applyAlignment="1">
      <alignment horizontal="left"/>
    </xf>
    <xf numFmtId="0" fontId="76" fillId="6" borderId="0" xfId="0" applyFont="1" applyFill="1" applyAlignment="1">
      <alignment horizontal="left"/>
    </xf>
    <xf numFmtId="0" fontId="88" fillId="6" borderId="0" xfId="0" applyFont="1" applyFill="1" applyAlignment="1">
      <alignment horizontal="left"/>
    </xf>
    <xf numFmtId="0" fontId="74" fillId="6" borderId="39" xfId="0" applyFont="1" applyFill="1" applyBorder="1" applyAlignment="1">
      <alignment horizontal="left"/>
    </xf>
    <xf numFmtId="0" fontId="75" fillId="6" borderId="8" xfId="0" applyFont="1" applyFill="1" applyBorder="1" applyAlignment="1">
      <alignment horizontal="left"/>
    </xf>
    <xf numFmtId="0" fontId="21" fillId="6" borderId="22" xfId="0" applyFont="1" applyFill="1" applyBorder="1" applyAlignment="1">
      <alignment horizontal="center"/>
    </xf>
    <xf numFmtId="0" fontId="20" fillId="6" borderId="39" xfId="0" applyFont="1" applyFill="1" applyBorder="1" applyAlignment="1">
      <alignment horizontal="left"/>
    </xf>
    <xf numFmtId="0" fontId="90" fillId="6" borderId="0" xfId="0" applyFont="1" applyFill="1" applyAlignment="1">
      <alignment horizontal="left"/>
    </xf>
    <xf numFmtId="0" fontId="14" fillId="6" borderId="30" xfId="0" applyFont="1" applyFill="1" applyBorder="1" applyAlignment="1">
      <alignment horizontal="left" wrapText="1"/>
    </xf>
    <xf numFmtId="0" fontId="95" fillId="6" borderId="34" xfId="0" applyFont="1" applyFill="1" applyBorder="1" applyAlignment="1">
      <alignment horizontal="left" wrapText="1"/>
    </xf>
    <xf numFmtId="0" fontId="96" fillId="6" borderId="22" xfId="0" applyFont="1" applyFill="1" applyBorder="1" applyAlignment="1">
      <alignment horizontal="left"/>
    </xf>
    <xf numFmtId="0" fontId="95" fillId="6" borderId="39" xfId="0" applyFont="1" applyFill="1" applyBorder="1" applyAlignment="1">
      <alignment horizontal="left"/>
    </xf>
    <xf numFmtId="0" fontId="95" fillId="6" borderId="40" xfId="0" applyFont="1" applyFill="1" applyBorder="1" applyAlignment="1">
      <alignment horizontal="left"/>
    </xf>
    <xf numFmtId="0" fontId="97" fillId="6" borderId="8" xfId="0" applyFont="1" applyFill="1" applyBorder="1" applyAlignment="1">
      <alignment horizontal="left"/>
    </xf>
    <xf numFmtId="0" fontId="14" fillId="6" borderId="0" xfId="0" applyFont="1" applyFill="1" applyBorder="1" applyAlignment="1">
      <alignment horizontal="left" wrapText="1"/>
    </xf>
    <xf numFmtId="3" fontId="14" fillId="6" borderId="0" xfId="0" applyNumberFormat="1" applyFont="1" applyFill="1" applyBorder="1" applyAlignment="1">
      <alignment horizontal="left"/>
    </xf>
    <xf numFmtId="0" fontId="38" fillId="6" borderId="8" xfId="0" applyFont="1" applyFill="1" applyBorder="1" applyAlignment="1">
      <alignment horizontal="left"/>
    </xf>
    <xf numFmtId="0" fontId="38" fillId="6" borderId="42" xfId="0" applyFont="1" applyFill="1" applyBorder="1" applyAlignment="1">
      <alignment horizontal="left"/>
    </xf>
    <xf numFmtId="0" fontId="38" fillId="6" borderId="22" xfId="0" applyFont="1" applyFill="1" applyBorder="1" applyAlignment="1">
      <alignment horizontal="left"/>
    </xf>
    <xf numFmtId="0" fontId="38" fillId="6" borderId="29" xfId="0" applyFont="1" applyFill="1" applyBorder="1" applyAlignment="1">
      <alignment horizontal="left"/>
    </xf>
    <xf numFmtId="0" fontId="38" fillId="6" borderId="0" xfId="0" applyFont="1" applyFill="1" applyBorder="1" applyAlignment="1">
      <alignment horizontal="left"/>
    </xf>
    <xf numFmtId="0" fontId="39" fillId="6" borderId="22" xfId="0" applyFont="1" applyFill="1" applyBorder="1" applyAlignment="1">
      <alignment horizontal="left"/>
    </xf>
    <xf numFmtId="0" fontId="40" fillId="6" borderId="22" xfId="0" applyFont="1" applyFill="1" applyBorder="1" applyAlignment="1">
      <alignment horizontal="left"/>
    </xf>
    <xf numFmtId="0" fontId="40" fillId="6" borderId="0" xfId="0" applyFont="1" applyFill="1" applyBorder="1" applyAlignment="1">
      <alignment horizontal="left"/>
    </xf>
    <xf numFmtId="0" fontId="41" fillId="6" borderId="22" xfId="0" applyFont="1" applyFill="1" applyBorder="1" applyAlignment="1">
      <alignment horizontal="left"/>
    </xf>
    <xf numFmtId="0" fontId="40" fillId="6" borderId="0" xfId="0" applyFont="1" applyFill="1" applyAlignment="1">
      <alignment horizontal="left"/>
    </xf>
    <xf numFmtId="0" fontId="39" fillId="6" borderId="0" xfId="0" applyFont="1" applyFill="1" applyAlignment="1">
      <alignment horizontal="left"/>
    </xf>
    <xf numFmtId="0" fontId="41" fillId="6" borderId="0" xfId="0" applyFont="1" applyFill="1" applyAlignment="1">
      <alignment horizontal="left"/>
    </xf>
    <xf numFmtId="0" fontId="43" fillId="6" borderId="0" xfId="0" applyFont="1" applyFill="1" applyBorder="1"/>
    <xf numFmtId="0" fontId="96" fillId="6" borderId="29" xfId="0" applyFont="1" applyFill="1" applyBorder="1" applyAlignment="1">
      <alignment horizontal="left"/>
    </xf>
    <xf numFmtId="0" fontId="20" fillId="6" borderId="22" xfId="0" applyFont="1" applyFill="1" applyBorder="1" applyAlignment="1">
      <alignment horizontal="left" wrapText="1"/>
    </xf>
    <xf numFmtId="0" fontId="20" fillId="6" borderId="28" xfId="0" applyFont="1" applyFill="1" applyBorder="1" applyAlignment="1">
      <alignment horizontal="left" wrapText="1"/>
    </xf>
    <xf numFmtId="0" fontId="20" fillId="6" borderId="0" xfId="0" applyFont="1" applyFill="1" applyAlignment="1">
      <alignment horizontal="left" wrapText="1"/>
    </xf>
    <xf numFmtId="0" fontId="104" fillId="6" borderId="22" xfId="0" applyFont="1" applyFill="1" applyBorder="1" applyAlignment="1">
      <alignment horizontal="left"/>
    </xf>
    <xf numFmtId="0" fontId="45" fillId="6" borderId="0" xfId="0" applyFont="1" applyFill="1" applyBorder="1" applyAlignment="1">
      <alignment horizontal="left"/>
    </xf>
    <xf numFmtId="0" fontId="114" fillId="0" borderId="35" xfId="0" applyFont="1" applyFill="1" applyBorder="1" applyAlignment="1">
      <alignment horizontal="left"/>
    </xf>
    <xf numFmtId="0" fontId="117" fillId="0" borderId="35" xfId="0" applyFont="1" applyFill="1" applyBorder="1" applyAlignment="1">
      <alignment horizontal="left"/>
    </xf>
    <xf numFmtId="0" fontId="117" fillId="0" borderId="0" xfId="0" applyFont="1" applyFill="1" applyBorder="1" applyAlignment="1">
      <alignment horizontal="left"/>
    </xf>
    <xf numFmtId="0" fontId="18" fillId="0" borderId="35" xfId="0" applyFont="1" applyFill="1" applyBorder="1" applyAlignment="1">
      <alignment horizontal="left"/>
    </xf>
    <xf numFmtId="0" fontId="71" fillId="0" borderId="0" xfId="0" applyFont="1" applyFill="1" applyAlignment="1">
      <alignment horizontal="left"/>
    </xf>
    <xf numFmtId="0" fontId="0" fillId="0" borderId="35" xfId="0" applyFill="1" applyBorder="1" applyAlignment="1">
      <alignment horizontal="left"/>
    </xf>
    <xf numFmtId="0" fontId="74" fillId="0" borderId="35" xfId="0" applyFont="1" applyFill="1" applyBorder="1" applyAlignment="1">
      <alignment horizontal="left"/>
    </xf>
    <xf numFmtId="0" fontId="32" fillId="0" borderId="35" xfId="0" applyFont="1" applyFill="1" applyBorder="1" applyAlignment="1">
      <alignment horizontal="left"/>
    </xf>
    <xf numFmtId="0" fontId="84" fillId="0" borderId="35" xfId="0" applyFont="1" applyFill="1" applyBorder="1" applyAlignment="1">
      <alignment horizontal="left"/>
    </xf>
    <xf numFmtId="0" fontId="18" fillId="0" borderId="30" xfId="0" applyFont="1" applyFill="1" applyBorder="1" applyAlignment="1">
      <alignment horizontal="left"/>
    </xf>
    <xf numFmtId="0" fontId="0" fillId="0" borderId="30" xfId="0" applyFill="1" applyBorder="1" applyAlignment="1">
      <alignment horizontal="left"/>
    </xf>
    <xf numFmtId="16" fontId="20" fillId="0" borderId="0" xfId="0" applyNumberFormat="1" applyFont="1" applyFill="1" applyBorder="1" applyAlignment="1">
      <alignment horizontal="left"/>
    </xf>
    <xf numFmtId="16" fontId="32" fillId="0" borderId="0" xfId="0" applyNumberFormat="1" applyFont="1" applyFill="1" applyBorder="1" applyAlignment="1">
      <alignment horizontal="left"/>
    </xf>
    <xf numFmtId="16" fontId="84" fillId="0" borderId="0" xfId="0" applyNumberFormat="1" applyFont="1" applyFill="1" applyBorder="1" applyAlignment="1">
      <alignment horizontal="left"/>
    </xf>
    <xf numFmtId="0" fontId="35" fillId="0" borderId="0" xfId="0" applyFont="1" applyFill="1" applyBorder="1" applyAlignment="1">
      <alignment horizontal="left"/>
    </xf>
    <xf numFmtId="0" fontId="14" fillId="0" borderId="0" xfId="0" quotePrefix="1" applyFont="1" applyFill="1" applyBorder="1" applyAlignment="1">
      <alignment horizontal="left"/>
    </xf>
    <xf numFmtId="0" fontId="72" fillId="0" borderId="0" xfId="0" applyFont="1" applyFill="1" applyBorder="1" applyAlignment="1">
      <alignment horizontal="left"/>
    </xf>
    <xf numFmtId="0" fontId="103" fillId="0" borderId="8" xfId="0" applyFont="1" applyFill="1" applyBorder="1" applyAlignment="1">
      <alignment horizontal="left"/>
    </xf>
    <xf numFmtId="0" fontId="118" fillId="0" borderId="0" xfId="0" applyFont="1" applyFill="1" applyBorder="1" applyAlignment="1">
      <alignment horizontal="left"/>
    </xf>
    <xf numFmtId="0" fontId="114" fillId="16" borderId="19" xfId="0" applyFont="1" applyFill="1" applyBorder="1" applyAlignment="1">
      <alignment horizontal="left"/>
    </xf>
    <xf numFmtId="0" fontId="114" fillId="16" borderId="25" xfId="0" applyFont="1" applyFill="1" applyBorder="1" applyAlignment="1">
      <alignment horizontal="left"/>
    </xf>
    <xf numFmtId="0" fontId="114" fillId="13" borderId="0" xfId="0" applyFont="1" applyFill="1" applyBorder="1" applyAlignment="1">
      <alignment horizontal="left"/>
    </xf>
    <xf numFmtId="0" fontId="114" fillId="17" borderId="22" xfId="0" applyFont="1" applyFill="1" applyBorder="1" applyAlignment="1">
      <alignment horizontal="left"/>
    </xf>
    <xf numFmtId="0" fontId="115" fillId="17" borderId="22" xfId="0" applyFont="1" applyFill="1" applyBorder="1" applyAlignment="1">
      <alignment horizontal="left"/>
    </xf>
    <xf numFmtId="0" fontId="115" fillId="20" borderId="22" xfId="0" applyFont="1" applyFill="1" applyBorder="1" applyAlignment="1">
      <alignment horizontal="left"/>
    </xf>
    <xf numFmtId="0" fontId="115" fillId="20" borderId="0" xfId="0" applyFont="1" applyFill="1" applyBorder="1" applyAlignment="1">
      <alignment horizontal="left"/>
    </xf>
    <xf numFmtId="0" fontId="115" fillId="44" borderId="0" xfId="0" applyFont="1" applyFill="1" applyBorder="1" applyAlignment="1">
      <alignment horizontal="left"/>
    </xf>
    <xf numFmtId="0" fontId="115" fillId="43" borderId="0" xfId="0" applyFont="1" applyFill="1" applyBorder="1" applyAlignment="1">
      <alignment horizontal="left"/>
    </xf>
    <xf numFmtId="0" fontId="115" fillId="13" borderId="22" xfId="0" applyFont="1" applyFill="1" applyBorder="1" applyAlignment="1">
      <alignment horizontal="left"/>
    </xf>
    <xf numFmtId="0" fontId="116" fillId="30" borderId="0" xfId="0" applyFont="1" applyFill="1" applyBorder="1" applyAlignment="1">
      <alignment horizontal="left"/>
    </xf>
    <xf numFmtId="0" fontId="115" fillId="0" borderId="39" xfId="0" applyFont="1" applyBorder="1" applyAlignment="1">
      <alignment horizontal="left"/>
    </xf>
    <xf numFmtId="0" fontId="115" fillId="26" borderId="0" xfId="0" applyFont="1" applyFill="1" applyAlignment="1">
      <alignment horizontal="left"/>
    </xf>
    <xf numFmtId="0" fontId="114" fillId="0" borderId="35" xfId="0" applyFont="1" applyBorder="1" applyAlignment="1">
      <alignment horizontal="left"/>
    </xf>
    <xf numFmtId="0" fontId="0" fillId="8" borderId="0" xfId="0" applyFont="1" applyFill="1" applyAlignment="1">
      <alignment horizontal="left"/>
    </xf>
    <xf numFmtId="0" fontId="78" fillId="8" borderId="0" xfId="0" applyFont="1" applyFill="1" applyBorder="1" applyAlignment="1">
      <alignment horizontal="left"/>
    </xf>
    <xf numFmtId="0" fontId="95" fillId="0" borderId="35" xfId="0" applyFont="1" applyFill="1" applyBorder="1" applyAlignment="1">
      <alignment horizontal="left"/>
    </xf>
    <xf numFmtId="0" fontId="95" fillId="8" borderId="0" xfId="0" applyFont="1" applyFill="1" applyBorder="1" applyAlignment="1">
      <alignment horizontal="left"/>
    </xf>
    <xf numFmtId="0" fontId="102" fillId="20" borderId="0" xfId="0" applyFont="1" applyFill="1" applyBorder="1" applyAlignment="1">
      <alignment horizontal="left"/>
    </xf>
    <xf numFmtId="0" fontId="102" fillId="44" borderId="0" xfId="0" applyFont="1" applyFill="1" applyBorder="1" applyAlignment="1">
      <alignment horizontal="left"/>
    </xf>
    <xf numFmtId="0" fontId="96" fillId="13" borderId="22" xfId="0" applyFont="1" applyFill="1" applyBorder="1" applyAlignment="1">
      <alignment horizontal="left"/>
    </xf>
    <xf numFmtId="0" fontId="94" fillId="45" borderId="0" xfId="0" applyFont="1" applyFill="1" applyBorder="1" applyAlignment="1">
      <alignment horizontal="left"/>
    </xf>
    <xf numFmtId="0" fontId="94" fillId="18" borderId="22" xfId="0" applyFont="1" applyFill="1" applyBorder="1" applyAlignment="1">
      <alignment horizontal="left"/>
    </xf>
    <xf numFmtId="0" fontId="96" fillId="0" borderId="0" xfId="0" applyFont="1" applyFill="1" applyBorder="1" applyAlignment="1">
      <alignment horizontal="left"/>
    </xf>
    <xf numFmtId="0" fontId="97" fillId="26" borderId="0" xfId="0" applyFont="1" applyFill="1" applyBorder="1" applyAlignment="1">
      <alignment horizontal="left"/>
    </xf>
    <xf numFmtId="0" fontId="95" fillId="0" borderId="39" xfId="0" applyFont="1" applyBorder="1" applyAlignment="1">
      <alignment horizontal="left"/>
    </xf>
    <xf numFmtId="0" fontId="95" fillId="0" borderId="40" xfId="0" applyFont="1" applyBorder="1" applyAlignment="1">
      <alignment horizontal="left"/>
    </xf>
    <xf numFmtId="0" fontId="95" fillId="28" borderId="28" xfId="0" applyFont="1" applyFill="1" applyBorder="1" applyAlignment="1">
      <alignment horizontal="left"/>
    </xf>
    <xf numFmtId="0" fontId="102" fillId="0" borderId="0" xfId="0" applyFont="1" applyAlignment="1">
      <alignment horizontal="left"/>
    </xf>
    <xf numFmtId="0" fontId="103" fillId="0" borderId="8" xfId="0" applyFont="1" applyBorder="1" applyAlignment="1">
      <alignment horizontal="left"/>
    </xf>
    <xf numFmtId="0" fontId="103" fillId="0" borderId="0" xfId="0" applyFont="1" applyAlignment="1">
      <alignment horizontal="left"/>
    </xf>
    <xf numFmtId="0" fontId="120" fillId="30" borderId="0" xfId="0" applyFont="1" applyFill="1" applyAlignment="1">
      <alignment horizontal="left"/>
    </xf>
    <xf numFmtId="0" fontId="103" fillId="30" borderId="0" xfId="0" applyFont="1" applyFill="1" applyAlignment="1">
      <alignment horizontal="left"/>
    </xf>
    <xf numFmtId="0" fontId="96" fillId="0" borderId="0" xfId="0" applyFont="1" applyBorder="1" applyAlignment="1">
      <alignment horizontal="left"/>
    </xf>
    <xf numFmtId="0" fontId="102" fillId="20" borderId="22" xfId="0" applyFont="1" applyFill="1" applyBorder="1" applyAlignment="1">
      <alignment horizontal="center"/>
    </xf>
    <xf numFmtId="0" fontId="103" fillId="16" borderId="19" xfId="0" applyFont="1" applyFill="1" applyBorder="1" applyAlignment="1">
      <alignment horizontal="left"/>
    </xf>
    <xf numFmtId="0" fontId="103" fillId="0" borderId="0" xfId="0" applyFont="1" applyBorder="1" applyAlignment="1">
      <alignment horizontal="left"/>
    </xf>
    <xf numFmtId="0" fontId="103" fillId="19" borderId="0" xfId="0" applyFont="1" applyFill="1" applyBorder="1" applyAlignment="1">
      <alignment horizontal="left"/>
    </xf>
    <xf numFmtId="0" fontId="103" fillId="0" borderId="34" xfId="0" applyFont="1" applyBorder="1" applyAlignment="1">
      <alignment horizontal="left"/>
    </xf>
    <xf numFmtId="0" fontId="103" fillId="2" borderId="22" xfId="0" applyFont="1" applyFill="1" applyBorder="1" applyAlignment="1">
      <alignment horizontal="left"/>
    </xf>
    <xf numFmtId="0" fontId="103" fillId="0" borderId="35" xfId="0" applyFont="1" applyBorder="1" applyAlignment="1">
      <alignment horizontal="left"/>
    </xf>
    <xf numFmtId="0" fontId="103" fillId="0" borderId="30" xfId="0" applyFont="1" applyFill="1" applyBorder="1" applyAlignment="1">
      <alignment horizontal="left"/>
    </xf>
    <xf numFmtId="0" fontId="103" fillId="8" borderId="0" xfId="0" applyFont="1" applyFill="1" applyBorder="1" applyAlignment="1">
      <alignment horizontal="left"/>
    </xf>
    <xf numFmtId="0" fontId="103" fillId="17" borderId="22" xfId="0" applyFont="1" applyFill="1" applyBorder="1" applyAlignment="1">
      <alignment horizontal="left"/>
    </xf>
    <xf numFmtId="0" fontId="102" fillId="17" borderId="22" xfId="0" applyFont="1" applyFill="1" applyBorder="1" applyAlignment="1">
      <alignment horizontal="left"/>
    </xf>
    <xf numFmtId="0" fontId="102" fillId="20" borderId="22" xfId="0" applyFont="1" applyFill="1" applyBorder="1" applyAlignment="1">
      <alignment horizontal="left"/>
    </xf>
    <xf numFmtId="0" fontId="102" fillId="43" borderId="0" xfId="0" applyFont="1" applyFill="1" applyBorder="1" applyAlignment="1">
      <alignment horizontal="left"/>
    </xf>
    <xf numFmtId="0" fontId="102" fillId="13" borderId="22" xfId="0" applyFont="1" applyFill="1" applyBorder="1" applyAlignment="1">
      <alignment horizontal="left"/>
    </xf>
    <xf numFmtId="0" fontId="120" fillId="3" borderId="22" xfId="0" applyFont="1" applyFill="1" applyBorder="1" applyAlignment="1">
      <alignment horizontal="left"/>
    </xf>
    <xf numFmtId="0" fontId="120" fillId="3" borderId="0" xfId="0" applyFont="1" applyFill="1" applyBorder="1" applyAlignment="1">
      <alignment horizontal="left"/>
    </xf>
    <xf numFmtId="0" fontId="120" fillId="0" borderId="0" xfId="0" applyFont="1" applyFill="1" applyBorder="1" applyAlignment="1">
      <alignment horizontal="left"/>
    </xf>
    <xf numFmtId="0" fontId="120" fillId="2" borderId="0" xfId="0" applyFont="1" applyFill="1" applyBorder="1" applyAlignment="1">
      <alignment horizontal="left"/>
    </xf>
    <xf numFmtId="0" fontId="120" fillId="18" borderId="22" xfId="0" applyFont="1" applyFill="1" applyBorder="1" applyAlignment="1">
      <alignment horizontal="left"/>
    </xf>
    <xf numFmtId="0" fontId="102" fillId="0" borderId="30" xfId="0" applyFont="1" applyFill="1" applyBorder="1" applyAlignment="1">
      <alignment horizontal="left"/>
    </xf>
    <xf numFmtId="0" fontId="103" fillId="26" borderId="0" xfId="0" applyFont="1" applyFill="1" applyBorder="1" applyAlignment="1">
      <alignment horizontal="left"/>
    </xf>
    <xf numFmtId="0" fontId="103" fillId="28" borderId="22" xfId="0" applyFont="1" applyFill="1" applyBorder="1" applyAlignment="1">
      <alignment horizontal="left"/>
    </xf>
    <xf numFmtId="0" fontId="103" fillId="0" borderId="30" xfId="0" applyFont="1" applyBorder="1" applyAlignment="1">
      <alignment horizontal="left"/>
    </xf>
    <xf numFmtId="0" fontId="102" fillId="0" borderId="30" xfId="0" applyFont="1" applyBorder="1" applyAlignment="1">
      <alignment horizontal="left"/>
    </xf>
    <xf numFmtId="0" fontId="120" fillId="28" borderId="22" xfId="0" applyFont="1" applyFill="1" applyBorder="1" applyAlignment="1">
      <alignment horizontal="left"/>
    </xf>
    <xf numFmtId="0" fontId="120" fillId="26" borderId="0" xfId="0" applyFont="1" applyFill="1" applyAlignment="1">
      <alignment horizontal="left"/>
    </xf>
    <xf numFmtId="0" fontId="102" fillId="26" borderId="0" xfId="0" applyFont="1" applyFill="1" applyAlignment="1">
      <alignment horizontal="left"/>
    </xf>
    <xf numFmtId="0" fontId="121" fillId="26" borderId="0" xfId="0" applyFont="1" applyFill="1" applyAlignment="1">
      <alignment horizontal="left"/>
    </xf>
    <xf numFmtId="0" fontId="103" fillId="26" borderId="0" xfId="0" applyFont="1" applyFill="1" applyAlignment="1">
      <alignment horizontal="left"/>
    </xf>
    <xf numFmtId="0" fontId="103" fillId="0" borderId="40" xfId="0" applyFont="1" applyBorder="1" applyAlignment="1">
      <alignment horizontal="left"/>
    </xf>
    <xf numFmtId="0" fontId="120" fillId="28" borderId="0" xfId="0" applyFont="1" applyFill="1" applyBorder="1" applyAlignment="1">
      <alignment horizontal="left"/>
    </xf>
    <xf numFmtId="0" fontId="103" fillId="28" borderId="0" xfId="0" applyFont="1" applyFill="1" applyBorder="1" applyAlignment="1">
      <alignment horizontal="left"/>
    </xf>
    <xf numFmtId="0" fontId="120" fillId="26" borderId="39" xfId="0" applyFont="1" applyFill="1" applyBorder="1" applyAlignment="1">
      <alignment horizontal="left"/>
    </xf>
    <xf numFmtId="0" fontId="120" fillId="26" borderId="0" xfId="0" applyFont="1" applyFill="1" applyBorder="1" applyAlignment="1">
      <alignment horizontal="left"/>
    </xf>
    <xf numFmtId="0" fontId="102" fillId="0" borderId="0" xfId="0" applyFont="1" applyBorder="1" applyAlignment="1">
      <alignment horizontal="left"/>
    </xf>
    <xf numFmtId="0" fontId="114" fillId="8" borderId="0" xfId="0" applyFont="1" applyFill="1" applyBorder="1" applyAlignment="1">
      <alignment horizontal="left"/>
    </xf>
    <xf numFmtId="0" fontId="116" fillId="28" borderId="0" xfId="0" applyFont="1" applyFill="1" applyBorder="1" applyAlignment="1">
      <alignment horizontal="left"/>
    </xf>
    <xf numFmtId="0" fontId="114" fillId="28" borderId="0" xfId="0" applyFont="1" applyFill="1" applyBorder="1" applyAlignment="1">
      <alignment horizontal="left"/>
    </xf>
    <xf numFmtId="0" fontId="116" fillId="26" borderId="22" xfId="0" applyFont="1" applyFill="1" applyBorder="1" applyAlignment="1">
      <alignment horizontal="left"/>
    </xf>
    <xf numFmtId="0" fontId="115" fillId="26" borderId="22" xfId="0" applyFont="1" applyFill="1" applyBorder="1" applyAlignment="1">
      <alignment horizontal="left"/>
    </xf>
    <xf numFmtId="0" fontId="114" fillId="0" borderId="40" xfId="0" applyFont="1" applyBorder="1" applyAlignment="1">
      <alignment horizontal="left"/>
    </xf>
    <xf numFmtId="0" fontId="116" fillId="26" borderId="39" xfId="0" applyFont="1" applyFill="1" applyBorder="1" applyAlignment="1">
      <alignment horizontal="left"/>
    </xf>
    <xf numFmtId="0" fontId="103" fillId="0" borderId="0" xfId="0" applyFont="1" applyFill="1" applyAlignment="1">
      <alignment horizontal="left"/>
    </xf>
    <xf numFmtId="0" fontId="32" fillId="30" borderId="25" xfId="0" applyFont="1" applyFill="1" applyBorder="1" applyAlignment="1">
      <alignment horizontal="left"/>
    </xf>
    <xf numFmtId="0" fontId="25" fillId="41" borderId="22" xfId="0" applyFont="1" applyFill="1" applyBorder="1" applyAlignment="1">
      <alignment horizontal="left"/>
    </xf>
    <xf numFmtId="0" fontId="25" fillId="41" borderId="0" xfId="0" applyFont="1" applyFill="1" applyBorder="1" applyAlignment="1">
      <alignment horizontal="left"/>
    </xf>
    <xf numFmtId="0" fontId="33" fillId="6" borderId="8" xfId="0" applyFont="1" applyFill="1" applyBorder="1" applyAlignment="1">
      <alignment horizontal="left"/>
    </xf>
    <xf numFmtId="0" fontId="32" fillId="6" borderId="0" xfId="0" applyNumberFormat="1" applyFont="1" applyFill="1" applyBorder="1" applyAlignment="1">
      <alignment horizontal="left"/>
    </xf>
    <xf numFmtId="0" fontId="78" fillId="30" borderId="25" xfId="0" applyFont="1" applyFill="1" applyBorder="1" applyAlignment="1">
      <alignment horizontal="left"/>
    </xf>
    <xf numFmtId="0" fontId="77" fillId="41" borderId="22" xfId="0" applyFont="1" applyFill="1" applyBorder="1" applyAlignment="1">
      <alignment horizontal="left"/>
    </xf>
    <xf numFmtId="0" fontId="77" fillId="41" borderId="0" xfId="0" applyFont="1" applyFill="1" applyBorder="1" applyAlignment="1">
      <alignment horizontal="left"/>
    </xf>
    <xf numFmtId="0" fontId="32" fillId="6" borderId="29" xfId="0" applyFont="1" applyFill="1" applyBorder="1" applyAlignment="1">
      <alignment horizontal="left"/>
    </xf>
    <xf numFmtId="0" fontId="105" fillId="6" borderId="8" xfId="0" applyFont="1" applyFill="1" applyBorder="1" applyAlignment="1">
      <alignment horizontal="left"/>
    </xf>
    <xf numFmtId="16" fontId="78" fillId="6" borderId="0" xfId="0" applyNumberFormat="1" applyFont="1" applyFill="1" applyBorder="1" applyAlignment="1">
      <alignment horizontal="left"/>
    </xf>
    <xf numFmtId="0" fontId="78" fillId="6" borderId="0" xfId="0" applyFont="1" applyFill="1" applyBorder="1" applyAlignment="1">
      <alignment horizontal="left" wrapText="1"/>
    </xf>
    <xf numFmtId="0" fontId="0" fillId="9" borderId="8" xfId="0" applyFont="1" applyFill="1" applyBorder="1" applyAlignment="1">
      <alignment horizontal="left"/>
    </xf>
    <xf numFmtId="0" fontId="33" fillId="9" borderId="22" xfId="0" applyFont="1" applyFill="1" applyBorder="1" applyAlignment="1">
      <alignment horizontal="center"/>
    </xf>
    <xf numFmtId="0" fontId="0" fillId="9" borderId="42" xfId="0" applyFont="1" applyFill="1" applyBorder="1" applyAlignment="1">
      <alignment horizontal="left"/>
    </xf>
    <xf numFmtId="0" fontId="0" fillId="9" borderId="29" xfId="0" applyFont="1" applyFill="1" applyBorder="1" applyAlignment="1">
      <alignment horizontal="left"/>
    </xf>
    <xf numFmtId="0" fontId="0" fillId="9" borderId="0" xfId="0" applyFont="1" applyFill="1" applyBorder="1" applyAlignment="1">
      <alignment horizontal="left"/>
    </xf>
    <xf numFmtId="0" fontId="32" fillId="9" borderId="19" xfId="0" applyFont="1" applyFill="1" applyBorder="1" applyAlignment="1">
      <alignment horizontal="left"/>
    </xf>
    <xf numFmtId="0" fontId="32" fillId="9" borderId="25" xfId="0" applyFont="1" applyFill="1" applyBorder="1" applyAlignment="1">
      <alignment horizontal="left"/>
    </xf>
    <xf numFmtId="0" fontId="32" fillId="9" borderId="0" xfId="0" applyFont="1" applyFill="1" applyBorder="1" applyAlignment="1">
      <alignment horizontal="left"/>
    </xf>
    <xf numFmtId="0" fontId="32" fillId="9" borderId="22" xfId="0" applyFont="1" applyFill="1" applyBorder="1" applyAlignment="1">
      <alignment horizontal="left"/>
    </xf>
    <xf numFmtId="0" fontId="32" fillId="9" borderId="35" xfId="0" applyFont="1" applyFill="1" applyBorder="1" applyAlignment="1">
      <alignment horizontal="left"/>
    </xf>
    <xf numFmtId="0" fontId="33" fillId="9" borderId="22" xfId="0" applyFont="1" applyFill="1" applyBorder="1" applyAlignment="1">
      <alignment horizontal="left"/>
    </xf>
    <xf numFmtId="0" fontId="33" fillId="9" borderId="0" xfId="0" applyFont="1" applyFill="1" applyBorder="1" applyAlignment="1">
      <alignment horizontal="left"/>
    </xf>
    <xf numFmtId="0" fontId="34" fillId="9" borderId="22" xfId="0" applyFont="1" applyFill="1" applyBorder="1" applyAlignment="1">
      <alignment horizontal="left"/>
    </xf>
    <xf numFmtId="0" fontId="34" fillId="9" borderId="0" xfId="0" applyFont="1" applyFill="1" applyBorder="1" applyAlignment="1">
      <alignment horizontal="left"/>
    </xf>
    <xf numFmtId="0" fontId="122" fillId="9" borderId="39" xfId="0" applyFont="1" applyFill="1" applyBorder="1" applyAlignment="1">
      <alignment horizontal="left"/>
    </xf>
    <xf numFmtId="0" fontId="122" fillId="9" borderId="8" xfId="0" applyFont="1" applyFill="1" applyBorder="1" applyAlignment="1">
      <alignment horizontal="left"/>
    </xf>
    <xf numFmtId="0" fontId="122" fillId="9" borderId="0" xfId="0" applyFont="1" applyFill="1" applyAlignment="1">
      <alignment horizontal="left"/>
    </xf>
    <xf numFmtId="0" fontId="32" fillId="9" borderId="0" xfId="0" applyFont="1" applyFill="1" applyAlignment="1">
      <alignment horizontal="left"/>
    </xf>
    <xf numFmtId="0" fontId="34" fillId="9" borderId="0" xfId="0" applyFont="1" applyFill="1" applyAlignment="1">
      <alignment horizontal="left"/>
    </xf>
    <xf numFmtId="0" fontId="33" fillId="9" borderId="0" xfId="0" applyFont="1" applyFill="1" applyAlignment="1">
      <alignment horizontal="left"/>
    </xf>
    <xf numFmtId="0" fontId="32" fillId="9" borderId="8" xfId="0" applyFont="1" applyFill="1" applyBorder="1" applyAlignment="1">
      <alignment horizontal="left"/>
    </xf>
    <xf numFmtId="0" fontId="0" fillId="9" borderId="0" xfId="0" applyFont="1" applyFill="1"/>
    <xf numFmtId="0" fontId="32" fillId="9" borderId="34" xfId="0" applyFont="1" applyFill="1" applyBorder="1" applyAlignment="1">
      <alignment horizontal="left"/>
    </xf>
    <xf numFmtId="0" fontId="32" fillId="9" borderId="40" xfId="0" applyFont="1" applyFill="1" applyBorder="1" applyAlignment="1">
      <alignment horizontal="left"/>
    </xf>
    <xf numFmtId="0" fontId="32" fillId="9" borderId="28" xfId="0" applyFont="1" applyFill="1" applyBorder="1" applyAlignment="1">
      <alignment horizontal="left"/>
    </xf>
    <xf numFmtId="0" fontId="1" fillId="9" borderId="22" xfId="0" applyFont="1" applyFill="1" applyBorder="1" applyAlignment="1">
      <alignment horizontal="center"/>
    </xf>
    <xf numFmtId="0" fontId="33" fillId="14" borderId="0" xfId="0" applyFont="1" applyFill="1" applyBorder="1" applyAlignment="1">
      <alignment horizontal="left"/>
    </xf>
    <xf numFmtId="0" fontId="96" fillId="42" borderId="22" xfId="0" applyFont="1" applyFill="1" applyBorder="1" applyAlignment="1">
      <alignment horizontal="left"/>
    </xf>
    <xf numFmtId="0" fontId="46" fillId="28" borderId="0" xfId="0" applyFont="1" applyFill="1" applyBorder="1" applyAlignment="1">
      <alignment horizontal="left"/>
    </xf>
    <xf numFmtId="0" fontId="17" fillId="28" borderId="0" xfId="0" applyFont="1" applyFill="1" applyBorder="1" applyAlignment="1">
      <alignment horizontal="left"/>
    </xf>
    <xf numFmtId="0" fontId="33" fillId="0" borderId="22" xfId="0" applyFont="1" applyBorder="1" applyAlignment="1">
      <alignment horizontal="left"/>
    </xf>
    <xf numFmtId="0" fontId="20" fillId="26" borderId="8" xfId="0" applyFont="1" applyFill="1" applyBorder="1" applyAlignment="1">
      <alignment horizontal="left"/>
    </xf>
    <xf numFmtId="0" fontId="95" fillId="0" borderId="30" xfId="0" applyFont="1" applyBorder="1" applyAlignment="1">
      <alignment horizontal="left"/>
    </xf>
    <xf numFmtId="0" fontId="96" fillId="0" borderId="22" xfId="0" applyFont="1" applyBorder="1" applyAlignment="1">
      <alignment horizontal="left"/>
    </xf>
    <xf numFmtId="0" fontId="95" fillId="0" borderId="0" xfId="0" applyFont="1" applyBorder="1"/>
    <xf numFmtId="0" fontId="95" fillId="30" borderId="0" xfId="0" applyFont="1" applyFill="1" applyBorder="1" applyAlignment="1">
      <alignment horizontal="left"/>
    </xf>
    <xf numFmtId="0" fontId="33" fillId="9" borderId="29" xfId="0" applyFont="1" applyFill="1" applyBorder="1" applyAlignment="1">
      <alignment horizontal="left"/>
    </xf>
    <xf numFmtId="0" fontId="33" fillId="14" borderId="22" xfId="0" applyFont="1" applyFill="1" applyBorder="1" applyAlignment="1">
      <alignment horizontal="left"/>
    </xf>
    <xf numFmtId="0" fontId="23" fillId="3" borderId="30" xfId="0" applyFont="1" applyFill="1" applyBorder="1" applyAlignment="1">
      <alignment horizontal="left"/>
    </xf>
    <xf numFmtId="0" fontId="52" fillId="28" borderId="0" xfId="0" applyFont="1" applyFill="1" applyBorder="1"/>
    <xf numFmtId="0" fontId="35" fillId="0" borderId="0" xfId="0" applyFont="1"/>
    <xf numFmtId="0" fontId="14" fillId="0" borderId="29" xfId="0" applyFont="1" applyBorder="1" applyAlignment="1">
      <alignment horizontal="left"/>
    </xf>
    <xf numFmtId="0" fontId="123" fillId="0" borderId="8" xfId="0" applyFont="1" applyBorder="1" applyAlignment="1">
      <alignment horizontal="left"/>
    </xf>
    <xf numFmtId="0" fontId="124" fillId="20" borderId="22" xfId="0" applyFont="1" applyFill="1" applyBorder="1" applyAlignment="1">
      <alignment horizontal="center"/>
    </xf>
    <xf numFmtId="0" fontId="123" fillId="18" borderId="42" xfId="0" applyFont="1" applyFill="1" applyBorder="1" applyAlignment="1">
      <alignment horizontal="left"/>
    </xf>
    <xf numFmtId="0" fontId="123" fillId="9" borderId="22" xfId="0" applyFont="1" applyFill="1" applyBorder="1" applyAlignment="1">
      <alignment horizontal="left"/>
    </xf>
    <xf numFmtId="0" fontId="123" fillId="19" borderId="29" xfId="0" applyFont="1" applyFill="1" applyBorder="1" applyAlignment="1">
      <alignment horizontal="left"/>
    </xf>
    <xf numFmtId="0" fontId="123" fillId="6" borderId="8" xfId="0" applyFont="1" applyFill="1" applyBorder="1" applyAlignment="1">
      <alignment horizontal="left"/>
    </xf>
    <xf numFmtId="0" fontId="123" fillId="0" borderId="8" xfId="0" applyFont="1" applyFill="1" applyBorder="1" applyAlignment="1">
      <alignment horizontal="left"/>
    </xf>
    <xf numFmtId="0" fontId="123" fillId="0" borderId="0" xfId="0" applyFont="1" applyBorder="1" applyAlignment="1">
      <alignment horizontal="left"/>
    </xf>
    <xf numFmtId="0" fontId="123" fillId="38" borderId="0" xfId="0" applyFont="1" applyFill="1" applyBorder="1" applyAlignment="1">
      <alignment horizontal="left"/>
    </xf>
    <xf numFmtId="0" fontId="123" fillId="16" borderId="19" xfId="0" applyFont="1" applyFill="1" applyBorder="1" applyAlignment="1">
      <alignment horizontal="left"/>
    </xf>
    <xf numFmtId="0" fontId="123" fillId="16" borderId="25" xfId="0" applyFont="1" applyFill="1" applyBorder="1" applyAlignment="1">
      <alignment horizontal="left"/>
    </xf>
    <xf numFmtId="0" fontId="123" fillId="13" borderId="0" xfId="0" applyFont="1" applyFill="1" applyBorder="1" applyAlignment="1">
      <alignment horizontal="left"/>
    </xf>
    <xf numFmtId="0" fontId="123" fillId="19" borderId="0" xfId="0" applyFont="1" applyFill="1" applyBorder="1" applyAlignment="1">
      <alignment horizontal="left"/>
    </xf>
    <xf numFmtId="0" fontId="123" fillId="0" borderId="34" xfId="0" applyFont="1" applyBorder="1" applyAlignment="1">
      <alignment horizontal="left"/>
    </xf>
    <xf numFmtId="0" fontId="123" fillId="2" borderId="22" xfId="0" applyFont="1" applyFill="1" applyBorder="1" applyAlignment="1">
      <alignment horizontal="left"/>
    </xf>
    <xf numFmtId="0" fontId="123" fillId="0" borderId="35" xfId="0" applyFont="1" applyBorder="1" applyAlignment="1">
      <alignment horizontal="left"/>
    </xf>
    <xf numFmtId="0" fontId="123" fillId="0" borderId="0" xfId="0" applyFont="1" applyFill="1" applyBorder="1" applyAlignment="1">
      <alignment horizontal="left"/>
    </xf>
    <xf numFmtId="0" fontId="123" fillId="17" borderId="22" xfId="0" applyFont="1" applyFill="1" applyBorder="1" applyAlignment="1">
      <alignment horizontal="left"/>
    </xf>
    <xf numFmtId="0" fontId="124" fillId="17" borderId="22" xfId="0" applyFont="1" applyFill="1" applyBorder="1" applyAlignment="1">
      <alignment horizontal="left"/>
    </xf>
    <xf numFmtId="0" fontId="124" fillId="20" borderId="22" xfId="0" applyFont="1" applyFill="1" applyBorder="1" applyAlignment="1">
      <alignment horizontal="left"/>
    </xf>
    <xf numFmtId="0" fontId="124" fillId="20" borderId="0" xfId="0" applyFont="1" applyFill="1" applyBorder="1" applyAlignment="1">
      <alignment horizontal="left"/>
    </xf>
    <xf numFmtId="0" fontId="124" fillId="44" borderId="0" xfId="0" applyFont="1" applyFill="1" applyBorder="1" applyAlignment="1">
      <alignment horizontal="left"/>
    </xf>
    <xf numFmtId="0" fontId="124" fillId="43" borderId="0" xfId="0" applyFont="1" applyFill="1" applyBorder="1" applyAlignment="1">
      <alignment horizontal="left"/>
    </xf>
    <xf numFmtId="0" fontId="124" fillId="13" borderId="22" xfId="0" applyFont="1" applyFill="1" applyBorder="1" applyAlignment="1">
      <alignment horizontal="left"/>
    </xf>
    <xf numFmtId="0" fontId="125" fillId="3" borderId="22" xfId="0" applyFont="1" applyFill="1" applyBorder="1" applyAlignment="1">
      <alignment horizontal="left"/>
    </xf>
    <xf numFmtId="0" fontId="125" fillId="3" borderId="0" xfId="0" applyFont="1" applyFill="1" applyBorder="1" applyAlignment="1">
      <alignment horizontal="left"/>
    </xf>
    <xf numFmtId="0" fontId="125" fillId="0" borderId="0" xfId="0" applyFont="1" applyFill="1" applyBorder="1" applyAlignment="1">
      <alignment horizontal="left"/>
    </xf>
    <xf numFmtId="0" fontId="125" fillId="2" borderId="0" xfId="0" applyFont="1" applyFill="1" applyBorder="1" applyAlignment="1">
      <alignment horizontal="left"/>
    </xf>
    <xf numFmtId="0" fontId="125" fillId="45" borderId="0" xfId="0" applyFont="1" applyFill="1" applyBorder="1" applyAlignment="1">
      <alignment horizontal="left"/>
    </xf>
    <xf numFmtId="0" fontId="125" fillId="18" borderId="22" xfId="0" applyFont="1" applyFill="1" applyBorder="1" applyAlignment="1">
      <alignment horizontal="left"/>
    </xf>
    <xf numFmtId="0" fontId="124" fillId="0" borderId="0" xfId="0" applyFont="1" applyFill="1" applyBorder="1" applyAlignment="1">
      <alignment horizontal="left"/>
    </xf>
    <xf numFmtId="0" fontId="125" fillId="28" borderId="22" xfId="0" applyFont="1" applyFill="1" applyBorder="1" applyAlignment="1">
      <alignment horizontal="left"/>
    </xf>
    <xf numFmtId="0" fontId="123" fillId="28" borderId="22" xfId="0" applyFont="1" applyFill="1" applyBorder="1" applyAlignment="1">
      <alignment horizontal="left"/>
    </xf>
    <xf numFmtId="0" fontId="124" fillId="0" borderId="0" xfId="0" applyFont="1" applyAlignment="1">
      <alignment horizontal="left"/>
    </xf>
    <xf numFmtId="0" fontId="123" fillId="0" borderId="0" xfId="0" applyFont="1" applyAlignment="1">
      <alignment horizontal="left"/>
    </xf>
    <xf numFmtId="0" fontId="125" fillId="26" borderId="0" xfId="0" applyFont="1" applyFill="1" applyAlignment="1">
      <alignment horizontal="left"/>
    </xf>
    <xf numFmtId="0" fontId="124" fillId="26" borderId="0" xfId="0" applyFont="1" applyFill="1" applyAlignment="1">
      <alignment horizontal="left"/>
    </xf>
    <xf numFmtId="0" fontId="125" fillId="30" borderId="0" xfId="0" applyFont="1" applyFill="1" applyAlignment="1">
      <alignment horizontal="left"/>
    </xf>
    <xf numFmtId="0" fontId="123" fillId="30" borderId="0" xfId="0" applyFont="1" applyFill="1" applyAlignment="1">
      <alignment horizontal="left"/>
    </xf>
    <xf numFmtId="0" fontId="123" fillId="26" borderId="0" xfId="0" applyFont="1" applyFill="1" applyAlignment="1">
      <alignment horizontal="left"/>
    </xf>
    <xf numFmtId="0" fontId="123" fillId="0" borderId="0" xfId="0" applyFont="1" applyFill="1"/>
    <xf numFmtId="0" fontId="20" fillId="0" borderId="22" xfId="0" applyFont="1" applyBorder="1" applyAlignment="1">
      <alignment horizontal="left"/>
    </xf>
    <xf numFmtId="0" fontId="124" fillId="0" borderId="39" xfId="0" applyFont="1" applyBorder="1" applyAlignment="1">
      <alignment horizontal="left"/>
    </xf>
    <xf numFmtId="0" fontId="123" fillId="0" borderId="40" xfId="0" applyFont="1" applyBorder="1" applyAlignment="1">
      <alignment horizontal="left"/>
    </xf>
    <xf numFmtId="0" fontId="124" fillId="13" borderId="0" xfId="0" applyFont="1" applyFill="1" applyBorder="1" applyAlignment="1">
      <alignment horizontal="left"/>
    </xf>
    <xf numFmtId="0" fontId="125" fillId="28" borderId="0" xfId="0" applyFont="1" applyFill="1" applyBorder="1" applyAlignment="1">
      <alignment horizontal="left"/>
    </xf>
    <xf numFmtId="0" fontId="126" fillId="16" borderId="19" xfId="0" applyFont="1" applyFill="1" applyBorder="1" applyAlignment="1">
      <alignment horizontal="left"/>
    </xf>
    <xf numFmtId="0" fontId="0" fillId="16" borderId="19" xfId="0" applyFont="1" applyFill="1" applyBorder="1" applyAlignment="1">
      <alignment horizontal="left"/>
    </xf>
    <xf numFmtId="0" fontId="124" fillId="0" borderId="0" xfId="0" applyFont="1" applyBorder="1" applyAlignment="1">
      <alignment horizontal="left"/>
    </xf>
    <xf numFmtId="0" fontId="74" fillId="16" borderId="22" xfId="0" applyFont="1" applyFill="1" applyBorder="1" applyAlignment="1">
      <alignment horizontal="left"/>
    </xf>
    <xf numFmtId="0" fontId="76" fillId="3" borderId="42" xfId="0" applyFont="1" applyFill="1" applyBorder="1" applyAlignment="1">
      <alignment horizontal="left"/>
    </xf>
    <xf numFmtId="0" fontId="95" fillId="26" borderId="22" xfId="0" applyFont="1" applyFill="1" applyBorder="1" applyAlignment="1">
      <alignment horizontal="left"/>
    </xf>
    <xf numFmtId="0" fontId="78" fillId="26" borderId="22" xfId="0" applyFont="1" applyFill="1" applyBorder="1" applyAlignment="1">
      <alignment horizontal="left"/>
    </xf>
    <xf numFmtId="0" fontId="74" fillId="30" borderId="22" xfId="0" applyFont="1" applyFill="1" applyBorder="1" applyAlignment="1">
      <alignment horizontal="left"/>
    </xf>
    <xf numFmtId="0" fontId="77" fillId="26" borderId="39" xfId="0" applyFont="1" applyFill="1" applyBorder="1" applyAlignment="1">
      <alignment horizontal="left"/>
    </xf>
    <xf numFmtId="0" fontId="74" fillId="30" borderId="8" xfId="0" applyFont="1" applyFill="1" applyBorder="1" applyAlignment="1">
      <alignment horizontal="left"/>
    </xf>
    <xf numFmtId="0" fontId="75" fillId="0" borderId="8" xfId="0" applyFont="1" applyBorder="1" applyAlignment="1">
      <alignment horizontal="left"/>
    </xf>
    <xf numFmtId="0" fontId="75" fillId="0" borderId="22" xfId="0" applyFont="1" applyFill="1" applyBorder="1" applyAlignment="1">
      <alignment horizontal="left"/>
    </xf>
    <xf numFmtId="0" fontId="77" fillId="26" borderId="22" xfId="0" applyFont="1" applyFill="1" applyBorder="1" applyAlignment="1">
      <alignment horizontal="left"/>
    </xf>
    <xf numFmtId="0" fontId="97" fillId="26" borderId="39" xfId="0" applyFont="1" applyFill="1" applyBorder="1" applyAlignment="1">
      <alignment horizontal="left"/>
    </xf>
    <xf numFmtId="10" fontId="14" fillId="0" borderId="0" xfId="0" applyNumberFormat="1" applyFont="1" applyBorder="1" applyAlignment="1">
      <alignment horizontal="left"/>
    </xf>
    <xf numFmtId="0" fontId="75" fillId="13" borderId="0" xfId="0" applyFont="1" applyFill="1" applyBorder="1" applyAlignment="1">
      <alignment horizontal="left"/>
    </xf>
    <xf numFmtId="0" fontId="32" fillId="0" borderId="22" xfId="0" applyFont="1" applyBorder="1" applyAlignment="1">
      <alignment horizontal="left"/>
    </xf>
    <xf numFmtId="0" fontId="76" fillId="26" borderId="0" xfId="0" applyFont="1" applyFill="1" applyBorder="1" applyAlignment="1">
      <alignment horizontal="left"/>
    </xf>
    <xf numFmtId="0" fontId="74" fillId="26" borderId="0" xfId="0" applyFont="1" applyFill="1" applyBorder="1" applyAlignment="1">
      <alignment horizontal="left"/>
    </xf>
    <xf numFmtId="0" fontId="78" fillId="0" borderId="30" xfId="0" applyFont="1" applyFill="1" applyBorder="1" applyAlignment="1">
      <alignment horizontal="left"/>
    </xf>
    <xf numFmtId="0" fontId="0" fillId="0" borderId="8" xfId="0" applyFill="1" applyBorder="1" applyAlignment="1">
      <alignment horizontal="left"/>
    </xf>
    <xf numFmtId="0" fontId="85" fillId="13" borderId="29" xfId="0" applyFont="1" applyFill="1" applyBorder="1" applyAlignment="1">
      <alignment horizontal="left"/>
    </xf>
    <xf numFmtId="0" fontId="36" fillId="0" borderId="29" xfId="0" applyFont="1" applyBorder="1" applyAlignment="1">
      <alignment horizontal="left"/>
    </xf>
    <xf numFmtId="0" fontId="1" fillId="0" borderId="29" xfId="0" applyFont="1" applyFill="1" applyBorder="1" applyAlignment="1">
      <alignment horizontal="left"/>
    </xf>
    <xf numFmtId="0" fontId="105" fillId="0" borderId="8" xfId="0" applyFont="1" applyFill="1" applyBorder="1" applyAlignment="1">
      <alignment horizontal="left"/>
    </xf>
    <xf numFmtId="0" fontId="1" fillId="0" borderId="39" xfId="0" applyFont="1" applyFill="1" applyBorder="1" applyAlignment="1">
      <alignment horizontal="left"/>
    </xf>
    <xf numFmtId="0" fontId="103" fillId="26" borderId="22" xfId="0" applyFont="1" applyFill="1" applyBorder="1" applyAlignment="1">
      <alignment horizontal="left"/>
    </xf>
    <xf numFmtId="0" fontId="32" fillId="26" borderId="22" xfId="0" applyFont="1" applyFill="1" applyBorder="1" applyAlignment="1">
      <alignment horizontal="left"/>
    </xf>
    <xf numFmtId="0" fontId="120" fillId="26" borderId="22" xfId="0" applyFont="1" applyFill="1" applyBorder="1" applyAlignment="1">
      <alignment horizontal="left"/>
    </xf>
    <xf numFmtId="0" fontId="29" fillId="28" borderId="0" xfId="0" applyFont="1" applyFill="1" applyBorder="1"/>
    <xf numFmtId="0" fontId="102" fillId="0" borderId="39" xfId="0" applyFont="1" applyBorder="1" applyAlignment="1">
      <alignment horizontal="left"/>
    </xf>
    <xf numFmtId="0" fontId="122" fillId="9" borderId="0" xfId="0" applyFont="1" applyFill="1" applyBorder="1" applyAlignment="1">
      <alignment horizontal="left"/>
    </xf>
    <xf numFmtId="0" fontId="20" fillId="0" borderId="28" xfId="0" applyFont="1" applyBorder="1" applyAlignment="1">
      <alignment horizontal="left"/>
    </xf>
    <xf numFmtId="0" fontId="33" fillId="9" borderId="8" xfId="0" applyFont="1" applyFill="1" applyBorder="1" applyAlignment="1">
      <alignment horizontal="left"/>
    </xf>
    <xf numFmtId="0" fontId="123" fillId="28" borderId="22" xfId="0" applyFont="1" applyFill="1" applyBorder="1" applyAlignment="1">
      <alignment horizontal="left" wrapText="1"/>
    </xf>
    <xf numFmtId="0" fontId="123" fillId="30" borderId="22" xfId="0" applyFont="1" applyFill="1" applyBorder="1" applyAlignment="1">
      <alignment horizontal="left"/>
    </xf>
    <xf numFmtId="0" fontId="123" fillId="30" borderId="0" xfId="0" applyFont="1" applyFill="1" applyBorder="1" applyAlignment="1">
      <alignment horizontal="left"/>
    </xf>
    <xf numFmtId="0" fontId="125" fillId="30" borderId="22" xfId="0" applyFont="1" applyFill="1" applyBorder="1" applyAlignment="1">
      <alignment horizontal="left"/>
    </xf>
    <xf numFmtId="0" fontId="33" fillId="48" borderId="0" xfId="0" applyFont="1" applyFill="1" applyBorder="1" applyAlignment="1">
      <alignment horizontal="left"/>
    </xf>
    <xf numFmtId="0" fontId="117" fillId="48" borderId="39" xfId="0" applyFont="1" applyFill="1" applyBorder="1" applyAlignment="1">
      <alignment horizontal="left"/>
    </xf>
    <xf numFmtId="0" fontId="14" fillId="48" borderId="39" xfId="0" applyFont="1" applyFill="1" applyBorder="1" applyAlignment="1">
      <alignment horizontal="left"/>
    </xf>
    <xf numFmtId="0" fontId="32" fillId="48" borderId="0" xfId="0" applyFont="1" applyFill="1" applyBorder="1" applyAlignment="1">
      <alignment horizontal="left"/>
    </xf>
    <xf numFmtId="0" fontId="14" fillId="48" borderId="8" xfId="0" applyFont="1" applyFill="1" applyBorder="1" applyAlignment="1">
      <alignment horizontal="left"/>
    </xf>
    <xf numFmtId="0" fontId="123" fillId="28" borderId="28" xfId="0" applyFont="1" applyFill="1" applyBorder="1" applyAlignment="1">
      <alignment horizontal="left"/>
    </xf>
    <xf numFmtId="0" fontId="123" fillId="0" borderId="42" xfId="0" applyFont="1" applyFill="1" applyBorder="1" applyAlignment="1">
      <alignment horizontal="left"/>
    </xf>
    <xf numFmtId="0" fontId="123" fillId="0" borderId="22" xfId="0" applyFont="1" applyFill="1" applyBorder="1" applyAlignment="1">
      <alignment horizontal="left"/>
    </xf>
    <xf numFmtId="0" fontId="123" fillId="0" borderId="29" xfId="0" applyFont="1" applyFill="1" applyBorder="1" applyAlignment="1">
      <alignment horizontal="left"/>
    </xf>
    <xf numFmtId="0" fontId="123" fillId="0" borderId="34" xfId="0" applyFont="1" applyFill="1" applyBorder="1" applyAlignment="1">
      <alignment horizontal="left"/>
    </xf>
    <xf numFmtId="0" fontId="123" fillId="0" borderId="35" xfId="0" applyFont="1" applyFill="1" applyBorder="1" applyAlignment="1">
      <alignment horizontal="left"/>
    </xf>
    <xf numFmtId="3" fontId="123" fillId="0" borderId="0" xfId="0" applyNumberFormat="1" applyFont="1" applyFill="1" applyBorder="1" applyAlignment="1">
      <alignment horizontal="left"/>
    </xf>
    <xf numFmtId="0" fontId="123" fillId="28" borderId="0" xfId="0" applyFont="1" applyFill="1" applyBorder="1" applyAlignment="1">
      <alignment horizontal="left"/>
    </xf>
    <xf numFmtId="0" fontId="123" fillId="0" borderId="0" xfId="0" applyFont="1" applyFill="1" applyAlignment="1">
      <alignment horizontal="left"/>
    </xf>
    <xf numFmtId="0" fontId="124" fillId="0" borderId="8" xfId="0" applyFont="1" applyBorder="1" applyAlignment="1">
      <alignment horizontal="left"/>
    </xf>
    <xf numFmtId="0" fontId="123" fillId="30" borderId="8" xfId="0" applyFont="1" applyFill="1" applyBorder="1" applyAlignment="1">
      <alignment horizontal="left"/>
    </xf>
    <xf numFmtId="0" fontId="123" fillId="16" borderId="0" xfId="0" applyFont="1" applyFill="1" applyBorder="1" applyAlignment="1">
      <alignment horizontal="left"/>
    </xf>
    <xf numFmtId="0" fontId="60" fillId="0" borderId="0" xfId="0" applyFont="1" applyBorder="1" applyAlignment="1">
      <alignment horizontal="left"/>
    </xf>
    <xf numFmtId="0" fontId="125" fillId="3" borderId="42" xfId="0" applyFont="1" applyFill="1" applyBorder="1" applyAlignment="1">
      <alignment horizontal="left"/>
    </xf>
    <xf numFmtId="0" fontId="123" fillId="0" borderId="40" xfId="0" applyFont="1" applyFill="1" applyBorder="1" applyAlignment="1">
      <alignment horizontal="left"/>
    </xf>
    <xf numFmtId="0" fontId="114" fillId="0" borderId="40" xfId="0" applyFont="1" applyFill="1" applyBorder="1" applyAlignment="1">
      <alignment horizontal="left"/>
    </xf>
    <xf numFmtId="0" fontId="32" fillId="8" borderId="22" xfId="0" applyFont="1" applyFill="1" applyBorder="1" applyAlignment="1">
      <alignment horizontal="left"/>
    </xf>
    <xf numFmtId="0" fontId="34" fillId="28" borderId="22" xfId="0" applyFont="1" applyFill="1" applyBorder="1" applyAlignment="1">
      <alignment horizontal="left" wrapText="1"/>
    </xf>
    <xf numFmtId="0" fontId="14" fillId="48" borderId="0" xfId="0" applyFont="1" applyFill="1" applyBorder="1" applyAlignment="1">
      <alignment horizontal="left"/>
    </xf>
    <xf numFmtId="0" fontId="32" fillId="0" borderId="22" xfId="0" applyFont="1" applyFill="1" applyBorder="1" applyAlignment="1">
      <alignment horizontal="left"/>
    </xf>
    <xf numFmtId="0" fontId="125" fillId="26" borderId="39" xfId="0" applyFont="1" applyFill="1" applyBorder="1" applyAlignment="1">
      <alignment horizontal="left"/>
    </xf>
    <xf numFmtId="0" fontId="125" fillId="26" borderId="8" xfId="0" applyFont="1" applyFill="1" applyBorder="1" applyAlignment="1">
      <alignment horizontal="left"/>
    </xf>
    <xf numFmtId="0" fontId="123" fillId="26" borderId="8" xfId="0" applyFont="1" applyFill="1" applyBorder="1" applyAlignment="1">
      <alignment horizontal="left"/>
    </xf>
    <xf numFmtId="0" fontId="93" fillId="13" borderId="29" xfId="0" applyFont="1" applyFill="1" applyBorder="1" applyAlignment="1">
      <alignment horizontal="left"/>
    </xf>
    <xf numFmtId="0" fontId="110" fillId="28" borderId="0" xfId="0" applyFont="1" applyFill="1" applyBorder="1" applyAlignment="1">
      <alignment horizontal="left"/>
    </xf>
    <xf numFmtId="0" fontId="20" fillId="16" borderId="39" xfId="0" applyFont="1" applyFill="1" applyBorder="1" applyAlignment="1">
      <alignment horizontal="left"/>
    </xf>
    <xf numFmtId="0" fontId="84" fillId="0" borderId="30" xfId="0" applyFont="1" applyFill="1" applyBorder="1" applyAlignment="1">
      <alignment horizontal="left"/>
    </xf>
    <xf numFmtId="0" fontId="99" fillId="0" borderId="30" xfId="0" applyFont="1" applyFill="1" applyBorder="1" applyAlignment="1">
      <alignment horizontal="left"/>
    </xf>
    <xf numFmtId="0" fontId="47" fillId="0" borderId="30" xfId="0" applyFont="1" applyFill="1" applyBorder="1" applyAlignment="1">
      <alignment horizontal="left"/>
    </xf>
    <xf numFmtId="0" fontId="113" fillId="31" borderId="0" xfId="0" applyFont="1" applyFill="1" applyBorder="1" applyAlignment="1">
      <alignment horizontal="left"/>
    </xf>
    <xf numFmtId="0" fontId="114" fillId="28" borderId="28" xfId="0" applyFont="1" applyFill="1" applyBorder="1" applyAlignment="1">
      <alignment horizontal="left"/>
    </xf>
  </cellXfs>
  <cellStyles count="484">
    <cellStyle name="Explanatory Text" xfId="1" builtinId="53"/>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Normal" xfId="0" builtinId="0"/>
  </cellStyles>
  <dxfs count="1133">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12"/>
        <color rgb="FF000000"/>
        <name val="Calibri"/>
        <scheme val="none"/>
      </font>
      <fill>
        <patternFill patternType="solid">
          <fgColor indexed="64"/>
          <bgColor theme="5" tint="-0.249977111117893"/>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bgColor theme="5" tint="-0.249977111117893"/>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ertAlign val="baseline"/>
        <sz val="12"/>
        <color rgb="FF000000"/>
        <name val="Calibri"/>
        <scheme val="none"/>
      </font>
      <fill>
        <patternFill>
          <bgColor theme="5" tint="-0.249977111117893"/>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dxf>
    <dxf>
      <font>
        <b val="0"/>
        <i val="0"/>
        <strike val="0"/>
        <condense val="0"/>
        <extend val="0"/>
        <outline val="0"/>
        <shadow val="0"/>
        <u/>
        <vertAlign val="baseline"/>
        <sz val="12"/>
        <color rgb="FF000000"/>
        <name val="Calibri"/>
        <scheme val="none"/>
      </font>
      <fill>
        <patternFill>
          <bgColor theme="5" tint="0.3999755851924192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bgColor theme="5" tint="0.39997558519241921"/>
        </patternFill>
      </fill>
      <alignment horizontal="left" vertical="bottom" textRotation="0" wrapText="0" indent="0" justifyLastLine="0" shrinkToFit="0"/>
    </dxf>
    <dxf>
      <font>
        <b val="0"/>
        <i val="0"/>
        <strike val="0"/>
        <condense val="0"/>
        <extend val="0"/>
        <outline val="0"/>
        <shadow val="0"/>
        <u/>
        <vertAlign val="baseline"/>
        <sz val="12"/>
        <color rgb="FF000000"/>
        <name val="Calibri"/>
        <scheme val="none"/>
      </font>
      <fill>
        <patternFill>
          <bgColor theme="5" tint="0.3999755851924192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i val="0"/>
        <strike val="0"/>
        <condense val="0"/>
        <extend val="0"/>
        <outline val="0"/>
        <shadow val="0"/>
        <u val="none"/>
        <vertAlign val="baseline"/>
        <sz val="12"/>
        <color theme="1"/>
        <name val="Calibri"/>
        <scheme val="none"/>
      </font>
      <fill>
        <patternFill patternType="solid">
          <fgColor indexed="64"/>
          <bgColor theme="5" tint="-0.249977111117893"/>
        </patternFill>
      </fill>
      <alignment horizontal="left" vertical="bottom" textRotation="0" wrapText="0" indent="0" justifyLastLine="0" shrinkToFit="0"/>
    </dxf>
    <dxf>
      <font>
        <b val="0"/>
        <i val="0"/>
        <strike val="0"/>
        <condense val="0"/>
        <extend val="0"/>
        <outline val="0"/>
        <shadow val="0"/>
        <u/>
        <vertAlign val="baseline"/>
        <sz val="12"/>
        <color theme="1"/>
        <name val="Calibri"/>
        <scheme val="none"/>
      </font>
      <fill>
        <patternFill patternType="solid">
          <bgColor theme="5" tint="-0.249977111117893"/>
        </patternFill>
      </fill>
      <alignment horizontal="left" vertical="bottom" textRotation="0" wrapText="0" indent="0" justifyLastLine="0" shrinkToFit="0"/>
      <border outline="0">
        <left style="thin">
          <color auto="1"/>
        </left>
        <right/>
      </border>
    </dxf>
    <dxf>
      <font>
        <b val="0"/>
        <i val="0"/>
        <strike val="0"/>
        <condense val="0"/>
        <extend val="0"/>
        <outline val="0"/>
        <shadow val="0"/>
        <u val="none"/>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auto="1"/>
        </left>
        <right/>
        <top style="thin">
          <color indexed="64"/>
        </top>
        <bottom style="thin">
          <color indexed="64"/>
        </bottom>
      </border>
    </dxf>
    <dxf>
      <font>
        <b val="0"/>
        <i val="0"/>
        <strike val="0"/>
        <condense val="0"/>
        <extend val="0"/>
        <outline val="0"/>
        <shadow val="0"/>
        <u/>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style="thin">
          <color auto="1"/>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outline="0">
        <left style="thin">
          <color auto="1"/>
        </left>
      </border>
    </dxf>
    <dxf>
      <font>
        <b val="0"/>
        <i val="0"/>
        <strike val="0"/>
        <condense val="0"/>
        <extend val="0"/>
        <outline val="0"/>
        <shadow val="0"/>
        <u val="none"/>
        <vertAlign val="baseline"/>
        <sz val="12"/>
        <color theme="1"/>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auto="1"/>
        </left>
        <right style="thin">
          <color indexed="64"/>
        </right>
        <top style="thin">
          <color indexed="64"/>
        </top>
        <bottom style="thin">
          <color indexed="64"/>
        </bottom>
      </border>
    </dxf>
    <dxf>
      <font>
        <b val="0"/>
        <i val="0"/>
        <strike val="0"/>
        <condense val="0"/>
        <extend val="0"/>
        <outline val="0"/>
        <shadow val="0"/>
        <u/>
        <vertAlign val="baseline"/>
        <sz val="12"/>
        <color theme="1"/>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style="thin">
          <color auto="1"/>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ertAlign val="baseline"/>
        <sz val="12"/>
        <color rgb="FF000000"/>
        <name val="Calibri"/>
        <scheme val="none"/>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ertAlign val="baseline"/>
        <sz val="12"/>
        <color rgb="FF000000"/>
        <name val="Calibri"/>
        <scheme val="none"/>
      </font>
      <fill>
        <patternFill patternType="none">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ertAlign val="baseline"/>
        <sz val="12"/>
        <color rgb="FF000000"/>
        <name val="Calibri"/>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ertAlign val="baseline"/>
        <sz val="12"/>
        <color rgb="FF000000"/>
        <name val="Calibri"/>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ill>
        <patternFill patternType="none">
          <fgColor indexed="64"/>
          <bgColor auto="1"/>
        </patternFill>
      </fill>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ill>
        <patternFill patternType="none">
          <fgColor indexed="64"/>
          <bgColor auto="1"/>
        </patternFill>
      </fill>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ill>
        <patternFill patternType="none">
          <fgColor indexed="64"/>
          <bgColor auto="1"/>
        </patternFill>
      </fill>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ertAlign val="baseline"/>
        <sz val="12"/>
        <color rgb="FF000000"/>
        <name val="Calibri"/>
        <scheme val="none"/>
      </font>
      <fill>
        <patternFill patternType="solid">
          <fgColor indexed="64"/>
          <bgColor rgb="FF92D05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i val="0"/>
        <strike val="0"/>
        <condense val="0"/>
        <extend val="0"/>
        <outline val="0"/>
        <shadow val="0"/>
        <u/>
        <vertAlign val="baseline"/>
        <sz val="12"/>
        <color rgb="FF000000"/>
        <name val="Calibri"/>
        <scheme val="none"/>
      </font>
      <fill>
        <patternFill patternType="solid">
          <fgColor indexed="64"/>
          <bgColor rgb="FF92D050"/>
        </patternFill>
      </fill>
      <alignment horizontal="left" vertical="bottom" textRotation="0" wrapText="0" indent="0" justifyLastLine="0" shrinkToFit="0"/>
      <border diagonalUp="0" diagonalDown="0" outline="0">
        <left/>
        <right/>
        <top style="thin">
          <color auto="1"/>
        </top>
        <bottom style="thin">
          <color auto="1"/>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7030A0"/>
        <name val="Calibri"/>
        <scheme val="none"/>
      </font>
      <fill>
        <patternFill patternType="solid">
          <fgColor indexed="64"/>
          <bgColor rgb="FFFF000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i val="0"/>
        <strike val="0"/>
        <condense val="0"/>
        <extend val="0"/>
        <outline val="0"/>
        <shadow val="0"/>
        <u val="none"/>
        <vertAlign val="baseline"/>
        <sz val="12"/>
        <color theme="1"/>
        <name val="Calibri"/>
        <scheme val="none"/>
      </font>
      <fill>
        <patternFill patternType="solid">
          <fgColor indexed="64"/>
          <bgColor theme="0" tint="-0.14999847407452621"/>
        </patternFill>
      </fill>
      <alignment horizontal="left" vertical="bottom" textRotation="0" wrapText="0" indent="0" justifyLastLine="0" shrinkToFit="0" readingOrder="0"/>
    </dxf>
    <dxf>
      <font>
        <b/>
        <i val="0"/>
        <strike val="0"/>
        <condense val="0"/>
        <extend val="0"/>
        <outline val="0"/>
        <shadow val="0"/>
        <u val="none"/>
        <vertAlign val="baseline"/>
        <sz val="12"/>
        <color theme="0"/>
        <name val="Calibri"/>
        <scheme val="none"/>
      </font>
      <fill>
        <patternFill patternType="solid">
          <fgColor indexed="64"/>
          <bgColor rgb="FF7030A0"/>
        </patternFill>
      </fill>
      <alignment horizontal="left" vertical="bottom" textRotation="0" wrapText="0" indent="0" justifyLastLine="0" shrinkToFit="0" readingOrder="0"/>
    </dxf>
    <dxf>
      <font>
        <b/>
        <i val="0"/>
        <strike val="0"/>
        <condense val="0"/>
        <extend val="0"/>
        <outline val="0"/>
        <shadow val="0"/>
        <u val="none"/>
        <vertAlign val="baseline"/>
        <sz val="12"/>
        <color theme="0"/>
        <name val="Calibri"/>
        <scheme val="none"/>
      </font>
      <fill>
        <patternFill patternType="solid">
          <fgColor indexed="64"/>
          <bgColor rgb="FF7030A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7030A0"/>
        <name val="Calibri"/>
        <family val="2"/>
        <scheme val="none"/>
      </font>
      <fill>
        <patternFill patternType="solid">
          <fgColor indexed="64"/>
          <bgColor rgb="FFFF000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7030A0"/>
        <name val="Calibri"/>
        <scheme val="none"/>
      </font>
      <fill>
        <patternFill patternType="solid">
          <fgColor indexed="64"/>
          <bgColor rgb="FFFFC00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2"/>
        <color rgb="FF7030A0"/>
        <name val="Calibri"/>
        <scheme val="none"/>
      </font>
      <fill>
        <patternFill patternType="solid">
          <fgColor indexed="64"/>
          <bgColor rgb="FFFF000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000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000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left style="thin">
          <color auto="1"/>
        </left>
        <right style="medium">
          <color indexed="64"/>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2"/>
        <color theme="0" tint="-0.499984740745262"/>
        <name val="Calibri"/>
        <scheme val="none"/>
      </font>
      <fill>
        <patternFill>
          <bgColor rgb="FFFFFF00"/>
        </patternFill>
      </fill>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style="thin">
          <color auto="1"/>
        </right>
        <top style="thin">
          <color auto="1"/>
        </top>
        <bottom style="thin">
          <color auto="1"/>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bgColor theme="4" tint="0.5999938962981048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theme="1"/>
        <name val="Calibri"/>
        <scheme val="none"/>
      </font>
      <fill>
        <patternFill patternType="solid">
          <fgColor indexed="64"/>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bgColor theme="9" tint="0.39997558519241921"/>
        </patternFill>
      </fill>
      <alignment horizontal="left" vertical="bottom" textRotation="0" wrapText="0" indent="0" justifyLastLine="0" shrinkToFit="0"/>
      <border diagonalUp="0" diagonalDown="0" outline="0">
        <left style="thin">
          <color indexed="64"/>
        </left>
        <right/>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bgColor theme="9" tint="0.3999755851924192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fill>
        <patternFill patternType="solid">
          <fgColor indexed="64"/>
          <bgColor theme="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readingOrder="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none">
          <fgColor indexed="64"/>
          <bgColor indexed="65"/>
        </patternFill>
      </fill>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rgb="FFFFFF00"/>
        </patternFill>
      </fill>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rgb="FFFFFF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FF0000"/>
        <name val="Calibri"/>
        <scheme val="minor"/>
      </font>
      <border diagonalUp="0" diagonalDown="0" outline="0">
        <left/>
        <right/>
        <top style="thin">
          <color theme="6"/>
        </top>
        <bottom/>
      </border>
    </dxf>
    <dxf>
      <font>
        <b val="0"/>
        <i val="0"/>
        <strike val="0"/>
        <condense val="0"/>
        <extend val="0"/>
        <outline val="0"/>
        <shadow val="0"/>
        <u val="none"/>
        <vertAlign val="baseline"/>
        <sz val="12"/>
        <color rgb="FFFF0000"/>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B050"/>
        <name val="Calibri"/>
        <scheme val="minor"/>
      </font>
      <border diagonalUp="0" diagonalDown="0" outline="0">
        <left/>
        <right/>
        <top style="thin">
          <color theme="6"/>
        </top>
        <bottom/>
      </border>
    </dxf>
    <dxf>
      <font>
        <b val="0"/>
        <i val="0"/>
        <strike val="0"/>
        <condense val="0"/>
        <extend val="0"/>
        <outline val="0"/>
        <shadow val="0"/>
        <u val="none"/>
        <vertAlign val="baseline"/>
        <sz val="12"/>
        <color rgb="FF00B050"/>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ill>
        <patternFill patternType="solid">
          <fgColor indexed="64"/>
          <bgColor theme="4" tint="0.59999389629810485"/>
        </patternFill>
      </fill>
      <alignment horizontal="left" vertical="bottom" textRotation="0" wrapText="0" indent="0" justifyLastLine="0" shrinkToFit="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ill>
        <patternFill patternType="solid">
          <fgColor indexed="64"/>
          <bgColor theme="9" tint="0.59999389629810485"/>
        </patternFill>
      </fill>
      <alignment horizontal="left" vertical="bottom" textRotation="0" wrapText="0" indent="0" justifyLastLine="0" shrinkToFit="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theme="7" tint="0.79998168889431442"/>
        </patternFill>
      </fill>
      <alignment horizontal="left" vertical="bottom" textRotation="0" wrapText="0" indent="0" justifyLastLine="0" shrinkToFit="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i val="0"/>
        <strike val="0"/>
        <condense val="0"/>
        <extend val="0"/>
        <outline val="0"/>
        <shadow val="0"/>
        <u val="none"/>
        <vertAlign val="baseline"/>
        <sz val="12"/>
        <color theme="0"/>
        <name val="Calibri"/>
        <scheme val="minor"/>
      </font>
      <fill>
        <patternFill patternType="solid">
          <fgColor indexed="64"/>
          <bgColor rgb="FF7030A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i val="0"/>
        <strike val="0"/>
        <condense val="0"/>
        <extend val="0"/>
        <outline val="0"/>
        <shadow val="0"/>
        <u val="none"/>
        <vertAlign val="baseline"/>
        <sz val="12"/>
        <color theme="0"/>
        <name val="Calibri"/>
        <scheme val="minor"/>
      </font>
      <fill>
        <patternFill patternType="solid">
          <fgColor indexed="64"/>
          <bgColor rgb="FF7030A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0"/>
        <name val="Calibri"/>
        <scheme val="minor"/>
      </font>
      <fill>
        <patternFill>
          <bgColor rgb="FF7030A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border outline="0">
        <left style="thin">
          <color rgb="FFA5A5A5"/>
        </left>
        <right style="thin">
          <color rgb="FFA5A5A5"/>
        </right>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dxf>
    <dxf>
      <font>
        <b/>
        <i val="0"/>
        <strike val="0"/>
        <condense val="0"/>
        <extend val="0"/>
        <outline val="0"/>
        <shadow val="0"/>
        <u val="none"/>
        <vertAlign val="baseline"/>
        <sz val="12"/>
        <color theme="0"/>
        <name val="Calibri"/>
        <scheme val="minor"/>
      </font>
      <fill>
        <patternFill patternType="solid">
          <fgColor theme="6"/>
          <bgColor theme="6"/>
        </patternFill>
      </fill>
    </dxf>
    <dxf>
      <font>
        <color rgb="FF006100"/>
      </font>
      <fill>
        <patternFill>
          <bgColor rgb="FFC6EFCE"/>
        </patternFill>
      </fill>
    </dxf>
    <dxf>
      <fill>
        <patternFill>
          <bgColor theme="4"/>
        </patternFill>
      </fill>
    </dxf>
    <dxf>
      <fill>
        <patternFill>
          <bgColor rgb="FFFF0000"/>
        </patternFill>
      </fill>
    </dxf>
    <dxf>
      <font>
        <color rgb="FF006100"/>
      </font>
      <fill>
        <patternFill>
          <bgColor rgb="FFC6EFCE"/>
        </patternFill>
      </fill>
    </dxf>
    <dxf>
      <fill>
        <patternFill>
          <bgColor theme="4"/>
        </patternFill>
      </fill>
    </dxf>
    <dxf>
      <fill>
        <patternFill>
          <bgColor rgb="FFFF0000"/>
        </patternFill>
      </fill>
    </dxf>
    <dxf>
      <font>
        <color rgb="FF006100"/>
      </font>
      <fill>
        <patternFill>
          <bgColor rgb="FFC6EFCE"/>
        </patternFill>
      </fill>
    </dxf>
    <dxf>
      <fill>
        <patternFill>
          <bgColor theme="4"/>
        </patternFill>
      </fill>
    </dxf>
    <dxf>
      <fill>
        <patternFill>
          <bgColor rgb="FFFF0000"/>
        </patternFill>
      </fill>
    </dxf>
    <dxf>
      <font>
        <color rgb="FF006100"/>
      </font>
      <fill>
        <patternFill>
          <bgColor rgb="FFC6EFCE"/>
        </patternFill>
      </fill>
    </dxf>
    <dxf>
      <fill>
        <patternFill>
          <bgColor theme="4"/>
        </patternFill>
      </fill>
    </dxf>
    <dxf>
      <fill>
        <patternFill>
          <bgColor rgb="FFFF0000"/>
        </patternFill>
      </fill>
    </dxf>
    <dxf>
      <font>
        <color rgb="FF006100"/>
      </font>
      <fill>
        <patternFill>
          <bgColor rgb="FFC6EFCE"/>
        </patternFill>
      </fill>
    </dxf>
    <dxf>
      <fill>
        <patternFill>
          <bgColor theme="4"/>
        </patternFill>
      </fill>
    </dxf>
    <dxf>
      <fill>
        <patternFill>
          <bgColor rgb="FFFF0000"/>
        </patternFill>
      </fill>
    </dxf>
    <dxf>
      <font>
        <color rgb="FF006100"/>
      </font>
      <fill>
        <patternFill>
          <bgColor rgb="FFC6EFCE"/>
        </patternFill>
      </fill>
    </dxf>
    <dxf>
      <fill>
        <patternFill>
          <bgColor theme="4"/>
        </patternFill>
      </fill>
    </dxf>
    <dxf>
      <fill>
        <patternFill>
          <bgColor rgb="FFFF0000"/>
        </patternFill>
      </fill>
    </dxf>
    <dxf>
      <font>
        <color rgb="FF006100"/>
      </font>
      <fill>
        <patternFill>
          <bgColor rgb="FFC6EFCE"/>
        </patternFill>
      </fill>
    </dxf>
    <dxf>
      <fill>
        <patternFill>
          <bgColor theme="4"/>
        </patternFill>
      </fill>
    </dxf>
    <dxf>
      <fill>
        <patternFill>
          <bgColor rgb="FFFF0000"/>
        </patternFill>
      </fill>
    </dxf>
    <dxf>
      <font>
        <color rgb="FF006100"/>
      </font>
      <fill>
        <patternFill>
          <bgColor rgb="FFC6EFCE"/>
        </patternFill>
      </fill>
    </dxf>
    <dxf>
      <fill>
        <patternFill>
          <bgColor theme="4"/>
        </patternFill>
      </fill>
    </dxf>
    <dxf>
      <fill>
        <patternFill>
          <bgColor rgb="FFFF0000"/>
        </patternFill>
      </fill>
    </dxf>
    <dxf>
      <font>
        <color rgb="FF006100"/>
      </font>
      <fill>
        <patternFill>
          <bgColor rgb="FFC6EFCE"/>
        </patternFill>
      </fill>
    </dxf>
    <dxf>
      <fill>
        <patternFill>
          <bgColor theme="4"/>
        </patternFill>
      </fill>
    </dxf>
    <dxf>
      <fill>
        <patternFill>
          <bgColor rgb="FFFF0000"/>
        </patternFill>
      </fill>
    </dxf>
    <dxf>
      <font>
        <color rgb="FF006100"/>
      </font>
      <fill>
        <patternFill>
          <bgColor rgb="FFC6EFCE"/>
        </patternFill>
      </fill>
    </dxf>
    <dxf>
      <fill>
        <patternFill>
          <bgColor theme="4"/>
        </patternFill>
      </fill>
    </dxf>
    <dxf>
      <fill>
        <patternFill>
          <bgColor rgb="FFFF0000"/>
        </patternFill>
      </fill>
    </dxf>
    <dxf>
      <font>
        <color rgb="FF006100"/>
      </font>
      <fill>
        <patternFill>
          <bgColor rgb="FFC6EFCE"/>
        </patternFill>
      </fill>
    </dxf>
    <dxf>
      <fill>
        <patternFill>
          <bgColor theme="4"/>
        </patternFill>
      </fill>
    </dxf>
    <dxf>
      <fill>
        <patternFill>
          <bgColor rgb="FFFF0000"/>
        </patternFill>
      </fill>
    </dxf>
    <dxf>
      <font>
        <color rgb="FF006100"/>
      </font>
      <fill>
        <patternFill>
          <bgColor rgb="FFC6EFCE"/>
        </patternFill>
      </fill>
    </dxf>
    <dxf>
      <fill>
        <patternFill>
          <bgColor theme="4"/>
        </patternFill>
      </fill>
    </dxf>
    <dxf>
      <fill>
        <patternFill>
          <bgColor rgb="FFFF0000"/>
        </patternFill>
      </fill>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249977111117893"/>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bgColor theme="5" tint="-0.249977111117893"/>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ertAlign val="baseline"/>
        <sz val="12"/>
        <color rgb="FF000000"/>
        <name val="Calibri"/>
        <scheme val="none"/>
      </font>
      <fill>
        <patternFill>
          <bgColor theme="5" tint="-0.249977111117893"/>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dxf>
    <dxf>
      <font>
        <b val="0"/>
        <i val="0"/>
        <strike val="0"/>
        <condense val="0"/>
        <extend val="0"/>
        <outline val="0"/>
        <shadow val="0"/>
        <u/>
        <vertAlign val="baseline"/>
        <sz val="12"/>
        <color rgb="FF000000"/>
        <name val="Calibri"/>
        <scheme val="none"/>
      </font>
      <fill>
        <patternFill>
          <bgColor theme="5" tint="0.3999755851924192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bgColor theme="5" tint="0.39997558519241921"/>
        </patternFill>
      </fill>
      <alignment horizontal="left" vertical="bottom" textRotation="0" wrapText="0" indent="0" justifyLastLine="0" shrinkToFit="0"/>
    </dxf>
    <dxf>
      <font>
        <b val="0"/>
        <i val="0"/>
        <strike val="0"/>
        <condense val="0"/>
        <extend val="0"/>
        <outline val="0"/>
        <shadow val="0"/>
        <u/>
        <vertAlign val="baseline"/>
        <sz val="12"/>
        <color rgb="FF000000"/>
        <name val="Calibri"/>
        <scheme val="none"/>
      </font>
      <fill>
        <patternFill>
          <bgColor theme="5" tint="0.3999755851924192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i val="0"/>
        <strike val="0"/>
        <condense val="0"/>
        <extend val="0"/>
        <outline val="0"/>
        <shadow val="0"/>
        <u val="none"/>
        <vertAlign val="baseline"/>
        <sz val="12"/>
        <color rgb="FF000000"/>
        <name val="Calibri"/>
        <scheme val="none"/>
      </font>
      <fill>
        <patternFill patternType="solid">
          <fgColor indexed="64"/>
          <bgColor theme="5" tint="-0.249977111117893"/>
        </patternFill>
      </fill>
      <alignment horizontal="left" vertical="bottom" textRotation="0" wrapText="0" indent="0" justifyLastLine="0" shrinkToFit="0"/>
    </dxf>
    <dxf>
      <font>
        <b val="0"/>
        <i val="0"/>
        <strike val="0"/>
        <condense val="0"/>
        <extend val="0"/>
        <outline val="0"/>
        <shadow val="0"/>
        <u/>
        <vertAlign val="baseline"/>
        <sz val="12"/>
        <color rgb="FF000000"/>
        <name val="Calibri"/>
        <scheme val="none"/>
      </font>
      <fill>
        <patternFill patternType="solid">
          <bgColor theme="5" tint="-0.249977111117893"/>
        </patternFill>
      </fill>
      <alignment horizontal="left" vertical="bottom" textRotation="0" wrapText="0" indent="0" justifyLastLine="0" shrinkToFit="0"/>
      <border outline="0">
        <left style="thin">
          <color auto="1"/>
        </left>
        <right/>
      </border>
    </dxf>
    <dxf>
      <font>
        <b val="0"/>
        <i val="0"/>
        <strike val="0"/>
        <condense val="0"/>
        <extend val="0"/>
        <outline val="0"/>
        <shadow val="0"/>
        <u val="none"/>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auto="1"/>
        </left>
        <right/>
        <top style="thin">
          <color indexed="64"/>
        </top>
        <bottom style="thin">
          <color indexed="64"/>
        </bottom>
      </border>
    </dxf>
    <dxf>
      <font>
        <b val="0"/>
        <i val="0"/>
        <strike val="0"/>
        <condense val="0"/>
        <extend val="0"/>
        <outline val="0"/>
        <shadow val="0"/>
        <u/>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style="thin">
          <color auto="1"/>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outline="0">
        <left style="thin">
          <color auto="1"/>
        </left>
      </border>
    </dxf>
    <dxf>
      <font>
        <b val="0"/>
        <i val="0"/>
        <strike val="0"/>
        <condense val="0"/>
        <extend val="0"/>
        <outline val="0"/>
        <shadow val="0"/>
        <u val="none"/>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auto="1"/>
        </left>
        <right style="thin">
          <color indexed="64"/>
        </right>
        <top style="thin">
          <color indexed="64"/>
        </top>
        <bottom style="thin">
          <color indexed="64"/>
        </bottom>
      </border>
    </dxf>
    <dxf>
      <font>
        <b val="0"/>
        <i val="0"/>
        <strike val="0"/>
        <condense val="0"/>
        <extend val="0"/>
        <outline val="0"/>
        <shadow val="0"/>
        <u/>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style="thin">
          <color auto="1"/>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ertAlign val="baseline"/>
        <sz val="12"/>
        <color rgb="FF000000"/>
        <name val="Calibri"/>
        <scheme val="none"/>
      </font>
      <fill>
        <patternFill patternType="solid">
          <fgColor indexed="64"/>
          <bgColor rgb="FF92D05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i val="0"/>
        <strike val="0"/>
        <condense val="0"/>
        <extend val="0"/>
        <outline val="0"/>
        <shadow val="0"/>
        <u/>
        <vertAlign val="baseline"/>
        <sz val="12"/>
        <color rgb="FF000000"/>
        <name val="Calibri"/>
        <scheme val="none"/>
      </font>
      <fill>
        <patternFill patternType="solid">
          <fgColor indexed="64"/>
          <bgColor rgb="FF92D050"/>
        </patternFill>
      </fill>
      <alignment horizontal="left" vertical="bottom" textRotation="0" wrapText="0" indent="0" justifyLastLine="0" shrinkToFit="0"/>
      <border diagonalUp="0" diagonalDown="0" outline="0">
        <left/>
        <right/>
        <top style="thin">
          <color auto="1"/>
        </top>
        <bottom style="thin">
          <color auto="1"/>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i val="0"/>
        <strike val="0"/>
        <condense val="0"/>
        <extend val="0"/>
        <outline val="0"/>
        <shadow val="0"/>
        <u val="none"/>
        <vertAlign val="baseline"/>
        <sz val="12"/>
        <color theme="1"/>
        <name val="Calibri"/>
        <scheme val="none"/>
      </font>
      <fill>
        <patternFill patternType="solid">
          <fgColor indexed="64"/>
          <bgColor theme="0" tint="-0.14999847407452621"/>
        </patternFill>
      </fill>
      <alignment horizontal="left" vertical="bottom" textRotation="0" wrapText="0" indent="0" justifyLastLine="0" shrinkToFit="0" readingOrder="0"/>
    </dxf>
    <dxf>
      <font>
        <b/>
        <i val="0"/>
        <strike val="0"/>
        <condense val="0"/>
        <extend val="0"/>
        <outline val="0"/>
        <shadow val="0"/>
        <u val="none"/>
        <vertAlign val="baseline"/>
        <sz val="12"/>
        <color theme="0"/>
        <name val="Calibri"/>
        <scheme val="none"/>
      </font>
      <fill>
        <patternFill patternType="solid">
          <fgColor indexed="64"/>
          <bgColor rgb="FF7030A0"/>
        </patternFill>
      </fill>
      <alignment horizontal="left" vertical="bottom" textRotation="0" wrapText="0" indent="0" justifyLastLine="0" shrinkToFit="0" readingOrder="0"/>
    </dxf>
    <dxf>
      <font>
        <b/>
        <i val="0"/>
        <strike val="0"/>
        <condense val="0"/>
        <extend val="0"/>
        <outline val="0"/>
        <shadow val="0"/>
        <u val="none"/>
        <vertAlign val="baseline"/>
        <sz val="12"/>
        <color theme="0"/>
        <name val="Calibri"/>
        <scheme val="none"/>
      </font>
      <fill>
        <patternFill patternType="solid">
          <fgColor indexed="64"/>
          <bgColor rgb="FF7030A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bgColor theme="4" tint="0.3999755851924192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left style="thin">
          <color auto="1"/>
        </left>
        <right style="medium">
          <color indexed="64"/>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2"/>
        <color theme="0" tint="-0.499984740745262"/>
        <name val="Calibri"/>
        <scheme val="none"/>
      </font>
      <fill>
        <patternFill>
          <bgColor rgb="FFFFFF00"/>
        </patternFill>
      </fill>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style="thin">
          <color auto="1"/>
        </right>
        <top style="thin">
          <color auto="1"/>
        </top>
        <bottom style="thin">
          <color auto="1"/>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bgColor theme="4" tint="0.5999938962981048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bgColor theme="9" tint="0.39997558519241921"/>
        </patternFill>
      </fill>
      <alignment horizontal="left" vertical="bottom" textRotation="0" wrapText="0" indent="0" justifyLastLine="0" shrinkToFit="0"/>
      <border diagonalUp="0" diagonalDown="0" outline="0">
        <left style="thin">
          <color indexed="64"/>
        </left>
        <right/>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bgColor theme="9" tint="0.3999755851924192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fill>
        <patternFill patternType="solid">
          <fgColor indexed="64"/>
          <bgColor theme="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readingOrder="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none">
          <fgColor indexed="64"/>
          <bgColor indexed="65"/>
        </patternFill>
      </fill>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rgb="FFFFFF00"/>
        </patternFill>
      </fill>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rgb="FFFFFF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FF0000"/>
        <name val="Calibri"/>
        <scheme val="minor"/>
      </font>
      <border diagonalUp="0" diagonalDown="0" outline="0">
        <left/>
        <right/>
        <top style="thin">
          <color theme="6"/>
        </top>
        <bottom/>
      </border>
    </dxf>
    <dxf>
      <font>
        <b val="0"/>
        <i val="0"/>
        <strike val="0"/>
        <condense val="0"/>
        <extend val="0"/>
        <outline val="0"/>
        <shadow val="0"/>
        <u val="none"/>
        <vertAlign val="baseline"/>
        <sz val="12"/>
        <color rgb="FFFF0000"/>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B050"/>
        <name val="Calibri"/>
        <scheme val="minor"/>
      </font>
      <border diagonalUp="0" diagonalDown="0" outline="0">
        <left/>
        <right/>
        <top style="thin">
          <color theme="6"/>
        </top>
        <bottom/>
      </border>
    </dxf>
    <dxf>
      <font>
        <b val="0"/>
        <i val="0"/>
        <strike val="0"/>
        <condense val="0"/>
        <extend val="0"/>
        <outline val="0"/>
        <shadow val="0"/>
        <u val="none"/>
        <vertAlign val="baseline"/>
        <sz val="12"/>
        <color rgb="FF00B050"/>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ill>
        <patternFill patternType="solid">
          <fgColor indexed="64"/>
          <bgColor theme="4" tint="0.59999389629810485"/>
        </patternFill>
      </fill>
      <alignment horizontal="left" vertical="bottom" textRotation="0" wrapText="0" indent="0" justifyLastLine="0" shrinkToFit="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ill>
        <patternFill patternType="solid">
          <fgColor indexed="64"/>
          <bgColor theme="9" tint="0.59999389629810485"/>
        </patternFill>
      </fill>
      <alignment horizontal="left" vertical="bottom" textRotation="0" wrapText="0" indent="0" justifyLastLine="0" shrinkToFit="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theme="7" tint="0.79998168889431442"/>
        </patternFill>
      </fill>
      <alignment horizontal="left" vertical="bottom" textRotation="0" wrapText="0" indent="0" justifyLastLine="0" shrinkToFit="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i val="0"/>
        <strike val="0"/>
        <condense val="0"/>
        <extend val="0"/>
        <outline val="0"/>
        <shadow val="0"/>
        <u val="none"/>
        <vertAlign val="baseline"/>
        <sz val="12"/>
        <color theme="0"/>
        <name val="Calibri"/>
        <scheme val="minor"/>
      </font>
      <fill>
        <patternFill patternType="solid">
          <fgColor indexed="64"/>
          <bgColor rgb="FF7030A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i val="0"/>
        <strike val="0"/>
        <condense val="0"/>
        <extend val="0"/>
        <outline val="0"/>
        <shadow val="0"/>
        <u val="none"/>
        <vertAlign val="baseline"/>
        <sz val="12"/>
        <color theme="0"/>
        <name val="Calibri"/>
        <scheme val="minor"/>
      </font>
      <fill>
        <patternFill patternType="solid">
          <fgColor indexed="64"/>
          <bgColor rgb="FF7030A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0"/>
        <name val="Calibri"/>
        <scheme val="minor"/>
      </font>
      <fill>
        <patternFill>
          <bgColor rgb="FF7030A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border outline="0">
        <left style="thin">
          <color rgb="FFA5A5A5"/>
        </left>
        <right style="thin">
          <color rgb="FFA5A5A5"/>
        </right>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dxf>
    <dxf>
      <font>
        <b/>
        <i val="0"/>
        <strike val="0"/>
        <condense val="0"/>
        <extend val="0"/>
        <outline val="0"/>
        <shadow val="0"/>
        <u val="none"/>
        <vertAlign val="baseline"/>
        <sz val="12"/>
        <color theme="0"/>
        <name val="Calibri"/>
        <scheme val="minor"/>
      </font>
      <fill>
        <patternFill patternType="solid">
          <fgColor theme="6"/>
          <bgColor theme="6"/>
        </patternFill>
      </fill>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rgb="FFFFC0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249977111117893"/>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bgColor theme="5" tint="-0.249977111117893"/>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ertAlign val="baseline"/>
        <sz val="12"/>
        <color rgb="FF000000"/>
        <name val="Calibri"/>
        <scheme val="none"/>
      </font>
      <fill>
        <patternFill>
          <bgColor theme="5" tint="-0.249977111117893"/>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dxf>
    <dxf>
      <font>
        <b val="0"/>
        <i val="0"/>
        <strike val="0"/>
        <condense val="0"/>
        <extend val="0"/>
        <outline val="0"/>
        <shadow val="0"/>
        <u/>
        <vertAlign val="baseline"/>
        <sz val="12"/>
        <color rgb="FF000000"/>
        <name val="Calibri"/>
        <scheme val="none"/>
      </font>
      <fill>
        <patternFill>
          <bgColor theme="5" tint="0.3999755851924192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bgColor theme="5" tint="0.39997558519241921"/>
        </patternFill>
      </fill>
      <alignment horizontal="left" vertical="bottom" textRotation="0" wrapText="0" indent="0" justifyLastLine="0" shrinkToFit="0"/>
    </dxf>
    <dxf>
      <font>
        <b val="0"/>
        <i val="0"/>
        <strike val="0"/>
        <condense val="0"/>
        <extend val="0"/>
        <outline val="0"/>
        <shadow val="0"/>
        <u/>
        <vertAlign val="baseline"/>
        <sz val="12"/>
        <color rgb="FF000000"/>
        <name val="Calibri"/>
        <scheme val="none"/>
      </font>
      <fill>
        <patternFill>
          <bgColor theme="5" tint="0.3999755851924192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i val="0"/>
        <strike val="0"/>
        <condense val="0"/>
        <extend val="0"/>
        <outline val="0"/>
        <shadow val="0"/>
        <u val="none"/>
        <vertAlign val="baseline"/>
        <sz val="12"/>
        <color rgb="FF000000"/>
        <name val="Calibri"/>
        <scheme val="none"/>
      </font>
      <fill>
        <patternFill patternType="solid">
          <fgColor indexed="64"/>
          <bgColor theme="5" tint="-0.249977111117893"/>
        </patternFill>
      </fill>
      <alignment horizontal="left" vertical="bottom" textRotation="0" wrapText="0" indent="0" justifyLastLine="0" shrinkToFit="0"/>
    </dxf>
    <dxf>
      <font>
        <b val="0"/>
        <i val="0"/>
        <strike val="0"/>
        <condense val="0"/>
        <extend val="0"/>
        <outline val="0"/>
        <shadow val="0"/>
        <u/>
        <vertAlign val="baseline"/>
        <sz val="12"/>
        <color rgb="FF000000"/>
        <name val="Calibri"/>
        <scheme val="none"/>
      </font>
      <fill>
        <patternFill patternType="solid">
          <bgColor theme="5" tint="-0.249977111117893"/>
        </patternFill>
      </fill>
      <alignment horizontal="left" vertical="bottom" textRotation="0" wrapText="0" indent="0" justifyLastLine="0" shrinkToFit="0"/>
      <border outline="0">
        <left style="thin">
          <color auto="1"/>
        </left>
        <right/>
      </border>
    </dxf>
    <dxf>
      <font>
        <b val="0"/>
        <i val="0"/>
        <strike val="0"/>
        <condense val="0"/>
        <extend val="0"/>
        <outline val="0"/>
        <shadow val="0"/>
        <u val="none"/>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auto="1"/>
        </left>
        <right/>
        <top style="thin">
          <color indexed="64"/>
        </top>
        <bottom style="thin">
          <color indexed="64"/>
        </bottom>
      </border>
    </dxf>
    <dxf>
      <font>
        <b val="0"/>
        <i val="0"/>
        <strike val="0"/>
        <condense val="0"/>
        <extend val="0"/>
        <outline val="0"/>
        <shadow val="0"/>
        <u/>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style="thin">
          <color auto="1"/>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outline="0">
        <left style="thin">
          <color auto="1"/>
        </left>
      </border>
    </dxf>
    <dxf>
      <font>
        <b val="0"/>
        <i val="0"/>
        <strike val="0"/>
        <condense val="0"/>
        <extend val="0"/>
        <outline val="0"/>
        <shadow val="0"/>
        <u val="none"/>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auto="1"/>
        </left>
        <right style="thin">
          <color indexed="64"/>
        </right>
        <top style="thin">
          <color indexed="64"/>
        </top>
        <bottom style="thin">
          <color indexed="64"/>
        </bottom>
      </border>
    </dxf>
    <dxf>
      <font>
        <b val="0"/>
        <i val="0"/>
        <strike val="0"/>
        <condense val="0"/>
        <extend val="0"/>
        <outline val="0"/>
        <shadow val="0"/>
        <u/>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style="thin">
          <color auto="1"/>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i val="0"/>
        <strike val="0"/>
        <condense val="0"/>
        <extend val="0"/>
        <outline val="0"/>
        <shadow val="0"/>
        <u/>
        <vertAlign val="baseline"/>
        <sz val="12"/>
        <color rgb="FF000000"/>
        <name val="Calibri"/>
        <scheme val="none"/>
      </font>
      <fill>
        <patternFill patternType="solid">
          <fgColor indexed="64"/>
          <bgColor rgb="FF92D050"/>
        </patternFill>
      </fill>
      <alignment horizontal="left" vertical="bottom" textRotation="0" wrapText="0" indent="0" justifyLastLine="0" shrinkToFit="0"/>
      <border diagonalUp="0" diagonalDown="0" outline="0">
        <left/>
        <right/>
        <top style="thin">
          <color auto="1"/>
        </top>
        <bottom style="thin">
          <color auto="1"/>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i val="0"/>
        <strike val="0"/>
        <condense val="0"/>
        <extend val="0"/>
        <outline val="0"/>
        <shadow val="0"/>
        <u val="none"/>
        <vertAlign val="baseline"/>
        <sz val="12"/>
        <color theme="0"/>
        <name val="Calibri"/>
        <scheme val="none"/>
      </font>
      <fill>
        <patternFill patternType="solid">
          <fgColor indexed="64"/>
          <bgColor rgb="FF7030A0"/>
        </patternFill>
      </fill>
      <alignment horizontal="left"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left style="thin">
          <color auto="1"/>
        </left>
        <right style="medium">
          <color indexed="64"/>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2"/>
        <color theme="0" tint="-0.499984740745262"/>
        <name val="Calibri"/>
        <scheme val="none"/>
      </font>
      <fill>
        <patternFill>
          <bgColor rgb="FFFFFF00"/>
        </patternFill>
      </fill>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style="thin">
          <color auto="1"/>
        </right>
        <top style="thin">
          <color auto="1"/>
        </top>
        <bottom style="thin">
          <color auto="1"/>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bgColor theme="4" tint="0.5999938962981048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bgColor theme="9" tint="0.39997558519241921"/>
        </patternFill>
      </fill>
      <alignment horizontal="left" vertical="bottom" textRotation="0" wrapText="0" indent="0" justifyLastLine="0" shrinkToFit="0"/>
      <border diagonalUp="0" diagonalDown="0" outline="0">
        <left style="thin">
          <color indexed="64"/>
        </left>
        <right/>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bgColor theme="9" tint="0.3999755851924192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fill>
        <patternFill patternType="solid">
          <fgColor indexed="64"/>
          <bgColor theme="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readingOrder="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none">
          <fgColor indexed="64"/>
          <bgColor indexed="65"/>
        </patternFill>
      </fill>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rgb="FFFFFF00"/>
        </patternFill>
      </fill>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rgb="FFFFFF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FF0000"/>
        <name val="Calibri"/>
        <scheme val="minor"/>
      </font>
      <border diagonalUp="0" diagonalDown="0" outline="0">
        <left/>
        <right/>
        <top style="thin">
          <color theme="6"/>
        </top>
        <bottom/>
      </border>
    </dxf>
    <dxf>
      <font>
        <b val="0"/>
        <i val="0"/>
        <strike val="0"/>
        <condense val="0"/>
        <extend val="0"/>
        <outline val="0"/>
        <shadow val="0"/>
        <u val="none"/>
        <vertAlign val="baseline"/>
        <sz val="12"/>
        <color rgb="FFFF0000"/>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B050"/>
        <name val="Calibri"/>
        <scheme val="minor"/>
      </font>
      <border diagonalUp="0" diagonalDown="0" outline="0">
        <left/>
        <right/>
        <top style="thin">
          <color theme="6"/>
        </top>
        <bottom/>
      </border>
    </dxf>
    <dxf>
      <font>
        <b val="0"/>
        <i val="0"/>
        <strike val="0"/>
        <condense val="0"/>
        <extend val="0"/>
        <outline val="0"/>
        <shadow val="0"/>
        <u val="none"/>
        <vertAlign val="baseline"/>
        <sz val="12"/>
        <color rgb="FF00B050"/>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ill>
        <patternFill patternType="solid">
          <fgColor indexed="64"/>
          <bgColor theme="4" tint="0.59999389629810485"/>
        </patternFill>
      </fill>
      <alignment horizontal="left" vertical="bottom" textRotation="0" wrapText="0" indent="0" justifyLastLine="0" shrinkToFit="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ill>
        <patternFill patternType="solid">
          <fgColor indexed="64"/>
          <bgColor theme="9" tint="0.59999389629810485"/>
        </patternFill>
      </fill>
      <alignment horizontal="left" vertical="bottom" textRotation="0" wrapText="0" indent="0" justifyLastLine="0" shrinkToFit="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theme="7" tint="0.79998168889431442"/>
        </patternFill>
      </fill>
      <alignment horizontal="left" vertical="bottom" textRotation="0" wrapText="0" indent="0" justifyLastLine="0" shrinkToFit="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i val="0"/>
        <strike val="0"/>
        <condense val="0"/>
        <extend val="0"/>
        <outline val="0"/>
        <shadow val="0"/>
        <u val="none"/>
        <vertAlign val="baseline"/>
        <sz val="12"/>
        <color theme="0"/>
        <name val="Calibri"/>
        <scheme val="minor"/>
      </font>
      <fill>
        <patternFill patternType="solid">
          <fgColor indexed="64"/>
          <bgColor rgb="FF7030A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i val="0"/>
        <strike val="0"/>
        <condense val="0"/>
        <extend val="0"/>
        <outline val="0"/>
        <shadow val="0"/>
        <u val="none"/>
        <vertAlign val="baseline"/>
        <sz val="12"/>
        <color theme="0"/>
        <name val="Calibri"/>
        <scheme val="minor"/>
      </font>
      <fill>
        <patternFill patternType="solid">
          <fgColor indexed="64"/>
          <bgColor rgb="FF7030A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0"/>
        <name val="Calibri"/>
        <scheme val="minor"/>
      </font>
      <fill>
        <patternFill>
          <bgColor rgb="FF7030A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border outline="0">
        <left style="thin">
          <color rgb="FFA5A5A5"/>
        </left>
        <right style="thin">
          <color rgb="FFA5A5A5"/>
        </right>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dxf>
    <dxf>
      <font>
        <b/>
        <i val="0"/>
        <strike val="0"/>
        <condense val="0"/>
        <extend val="0"/>
        <outline val="0"/>
        <shadow val="0"/>
        <u val="none"/>
        <vertAlign val="baseline"/>
        <sz val="12"/>
        <color theme="0"/>
        <name val="Calibri"/>
        <scheme val="minor"/>
      </font>
      <fill>
        <patternFill patternType="solid">
          <fgColor theme="6"/>
          <bgColor theme="6"/>
        </patternFill>
      </fill>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249977111117893"/>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bgColor theme="5" tint="0.3999755851924192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numFmt numFmtId="0" formatCode="General"/>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bgColor theme="5" tint="-0.249977111117893"/>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ertAlign val="baseline"/>
        <sz val="12"/>
        <color rgb="FF000000"/>
        <name val="Calibri"/>
        <scheme val="none"/>
      </font>
      <fill>
        <patternFill>
          <bgColor theme="5" tint="-0.249977111117893"/>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solid">
          <fgColor indexed="64"/>
          <bgColor theme="5" tint="0.39997558519241921"/>
        </patternFill>
      </fill>
      <alignment horizontal="left" vertical="bottom" textRotation="0" wrapText="0" indent="0" justifyLastLine="0" shrinkToFit="0"/>
    </dxf>
    <dxf>
      <font>
        <b val="0"/>
        <i val="0"/>
        <strike val="0"/>
        <condense val="0"/>
        <extend val="0"/>
        <outline val="0"/>
        <shadow val="0"/>
        <u/>
        <vertAlign val="baseline"/>
        <sz val="12"/>
        <color rgb="FF000000"/>
        <name val="Calibri"/>
        <scheme val="none"/>
      </font>
      <fill>
        <patternFill>
          <bgColor theme="5" tint="0.3999755851924192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bgColor theme="5" tint="0.39997558519241921"/>
        </patternFill>
      </fill>
      <alignment horizontal="left" vertical="bottom" textRotation="0" wrapText="0" indent="0" justifyLastLine="0" shrinkToFit="0"/>
    </dxf>
    <dxf>
      <font>
        <b val="0"/>
        <i val="0"/>
        <strike val="0"/>
        <condense val="0"/>
        <extend val="0"/>
        <outline val="0"/>
        <shadow val="0"/>
        <u/>
        <vertAlign val="baseline"/>
        <sz val="12"/>
        <color rgb="FF000000"/>
        <name val="Calibri"/>
        <scheme val="none"/>
      </font>
      <fill>
        <patternFill>
          <bgColor theme="5" tint="0.3999755851924192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i val="0"/>
        <strike val="0"/>
        <condense val="0"/>
        <extend val="0"/>
        <outline val="0"/>
        <shadow val="0"/>
        <u val="none"/>
        <vertAlign val="baseline"/>
        <sz val="12"/>
        <color rgb="FF000000"/>
        <name val="Calibri"/>
        <scheme val="none"/>
      </font>
      <fill>
        <patternFill patternType="solid">
          <fgColor indexed="64"/>
          <bgColor theme="5" tint="-0.249977111117893"/>
        </patternFill>
      </fill>
      <alignment horizontal="left" vertical="bottom" textRotation="0" wrapText="0" indent="0" justifyLastLine="0" shrinkToFit="0"/>
    </dxf>
    <dxf>
      <font>
        <b val="0"/>
        <i val="0"/>
        <strike val="0"/>
        <condense val="0"/>
        <extend val="0"/>
        <outline val="0"/>
        <shadow val="0"/>
        <u/>
        <vertAlign val="baseline"/>
        <sz val="12"/>
        <color rgb="FF000000"/>
        <name val="Calibri"/>
        <scheme val="none"/>
      </font>
      <fill>
        <patternFill patternType="solid">
          <bgColor theme="5" tint="-0.249977111117893"/>
        </patternFill>
      </fill>
      <alignment horizontal="left" vertical="bottom" textRotation="0" wrapText="0" indent="0" justifyLastLine="0" shrinkToFit="0"/>
      <border outline="0">
        <left style="thin">
          <color auto="1"/>
        </left>
        <right/>
      </border>
    </dxf>
    <dxf>
      <font>
        <b val="0"/>
        <i val="0"/>
        <strike val="0"/>
        <condense val="0"/>
        <extend val="0"/>
        <outline val="0"/>
        <shadow val="0"/>
        <u val="none"/>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auto="1"/>
        </left>
        <right/>
        <top style="thin">
          <color indexed="64"/>
        </top>
        <bottom style="thin">
          <color indexed="64"/>
        </bottom>
      </border>
    </dxf>
    <dxf>
      <font>
        <b val="0"/>
        <i val="0"/>
        <strike val="0"/>
        <condense val="0"/>
        <extend val="0"/>
        <outline val="0"/>
        <shadow val="0"/>
        <u/>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style="thin">
          <color auto="1"/>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outline="0">
        <left style="thin">
          <color auto="1"/>
        </left>
      </border>
    </dxf>
    <dxf>
      <font>
        <b val="0"/>
        <i val="0"/>
        <strike val="0"/>
        <condense val="0"/>
        <extend val="0"/>
        <outline val="0"/>
        <shadow val="0"/>
        <u val="none"/>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auto="1"/>
        </left>
        <right style="thin">
          <color indexed="64"/>
        </right>
        <top style="thin">
          <color indexed="64"/>
        </top>
        <bottom style="thin">
          <color indexed="64"/>
        </bottom>
      </border>
    </dxf>
    <dxf>
      <font>
        <b val="0"/>
        <i val="0"/>
        <strike val="0"/>
        <condense val="0"/>
        <extend val="0"/>
        <outline val="0"/>
        <shadow val="0"/>
        <u/>
        <vertAlign val="baseline"/>
        <sz val="12"/>
        <color rgb="FF000000"/>
        <name val="Calibri"/>
        <scheme val="none"/>
      </font>
      <fill>
        <patternFill patternType="solid">
          <bgColor theme="5" tint="0.59999389629810485"/>
        </patternFill>
      </fill>
      <alignment horizontal="left" vertical="bottom" textRotation="0" wrapText="0" indent="0" justifyLastLine="0" shrinkToFit="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style="thin">
          <color auto="1"/>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i val="0"/>
        <strike val="0"/>
        <condense val="0"/>
        <extend val="0"/>
        <outline val="0"/>
        <shadow val="0"/>
        <u/>
        <vertAlign val="baseline"/>
        <sz val="12"/>
        <color rgb="FF000000"/>
        <name val="Calibri"/>
        <scheme val="none"/>
      </font>
      <fill>
        <patternFill patternType="solid">
          <fgColor indexed="64"/>
          <bgColor rgb="FF92D050"/>
        </patternFill>
      </fill>
      <alignment horizontal="left" vertical="bottom" textRotation="0" wrapText="0" indent="0" justifyLastLine="0" shrinkToFit="0"/>
      <border diagonalUp="0" diagonalDown="0" outline="0">
        <left/>
        <right/>
        <top style="thin">
          <color auto="1"/>
        </top>
        <bottom style="thin">
          <color auto="1"/>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none">
          <fgColor indexed="64"/>
          <bgColor auto="1"/>
        </patternFill>
      </fill>
      <alignment horizontal="left" vertical="bottom" textRotation="0" wrapText="0" indent="0" justifyLastLine="0" shrinkToFit="0"/>
      <border diagonalUp="0" diagonalDown="0" outline="0">
        <left/>
        <right/>
        <top style="thin">
          <color theme="6"/>
        </top>
        <bottom/>
      </border>
    </dxf>
    <dxf>
      <font>
        <b/>
        <i val="0"/>
        <strike val="0"/>
        <condense val="0"/>
        <extend val="0"/>
        <outline val="0"/>
        <shadow val="0"/>
        <u val="none"/>
        <vertAlign val="baseline"/>
        <sz val="12"/>
        <color theme="0"/>
        <name val="Calibri"/>
        <scheme val="none"/>
      </font>
      <fill>
        <patternFill patternType="solid">
          <fgColor indexed="64"/>
          <bgColor rgb="FF7030A0"/>
        </patternFill>
      </fill>
      <alignment horizontal="left" vertical="bottom" textRotation="0" wrapText="0" indent="0" justifyLastLine="0" shrinkToFit="0" readingOrder="0"/>
    </dxf>
    <dxf>
      <font>
        <b/>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rgb="FF000000"/>
        <name val="Calibri"/>
        <scheme val="none"/>
      </font>
      <fill>
        <patternFill patternType="solid">
          <fgColor indexed="64"/>
          <bgColor theme="4" tint="0.39997558519241921"/>
        </patternFill>
      </fill>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rgb="FF000000"/>
        <name val="Calibri"/>
        <scheme val="none"/>
      </font>
      <fill>
        <patternFill patternType="none">
          <fgColor indexed="64"/>
          <bgColor theme="4" tint="0.39997558519241921"/>
        </patternFill>
      </fill>
      <alignment horizontal="left" vertical="bottom" textRotation="0" wrapText="0" indent="0" justifyLastLine="0" shrinkToFit="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left style="thin">
          <color auto="1"/>
        </left>
        <right style="medium">
          <color indexed="64"/>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2"/>
        <color theme="0" tint="-0.499984740745262"/>
        <name val="Calibri"/>
        <scheme val="none"/>
      </font>
      <fill>
        <patternFill>
          <bgColor rgb="FFFFFF00"/>
        </patternFill>
      </fill>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left style="medium">
          <color indexed="64"/>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bgColor theme="9" tint="0.39997558519241921"/>
        </patternFill>
      </fill>
      <alignment horizontal="left" vertical="bottom" textRotation="0" wrapText="0" indent="0" justifyLastLine="0" shrinkToFit="0"/>
      <border diagonalUp="0" diagonalDown="0" outline="0">
        <left style="thin">
          <color indexed="64"/>
        </left>
        <right/>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border>
    </dxf>
    <dxf>
      <font>
        <b val="0"/>
        <i val="0"/>
        <strike val="0"/>
        <condense val="0"/>
        <extend val="0"/>
        <outline val="0"/>
        <shadow val="0"/>
        <u val="none"/>
        <vertAlign val="baseline"/>
        <sz val="12"/>
        <color rgb="FF000000"/>
        <name val="Calibri"/>
        <scheme val="none"/>
      </font>
      <fill>
        <patternFill patternType="solid">
          <bgColor theme="9" tint="0.39997558519241921"/>
        </patternFill>
      </fill>
      <alignment horizontal="left" vertical="bottom" textRotation="0" wrapText="0" indent="0" justifyLastLine="0" shrinkToFit="0"/>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readingOrder="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none">
          <fgColor indexed="64"/>
          <bgColor indexed="65"/>
        </patternFill>
      </fill>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rgb="FFFFFF00"/>
        </patternFill>
      </fill>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rgb="FFFFFF00"/>
        </patternFill>
      </fill>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FF0000"/>
        <name val="Calibri"/>
        <scheme val="minor"/>
      </font>
      <border diagonalUp="0" diagonalDown="0" outline="0">
        <left/>
        <right/>
        <top style="thin">
          <color theme="6"/>
        </top>
        <bottom/>
      </border>
    </dxf>
    <dxf>
      <font>
        <b val="0"/>
        <i val="0"/>
        <strike val="0"/>
        <condense val="0"/>
        <extend val="0"/>
        <outline val="0"/>
        <shadow val="0"/>
        <u val="none"/>
        <vertAlign val="baseline"/>
        <sz val="12"/>
        <color rgb="FFFF0000"/>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rgb="FF00B050"/>
        <name val="Calibri"/>
        <scheme val="minor"/>
      </font>
      <border diagonalUp="0" diagonalDown="0" outline="0">
        <left/>
        <right/>
        <top style="thin">
          <color theme="6"/>
        </top>
        <bottom/>
      </border>
    </dxf>
    <dxf>
      <font>
        <b val="0"/>
        <i val="0"/>
        <strike val="0"/>
        <condense val="0"/>
        <extend val="0"/>
        <outline val="0"/>
        <shadow val="0"/>
        <u val="none"/>
        <vertAlign val="baseline"/>
        <sz val="12"/>
        <color rgb="FF00B050"/>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fill>
        <patternFill patternType="solid">
          <fgColor indexed="64"/>
          <bgColor theme="4" tint="0.59999389629810485"/>
        </patternFill>
      </fill>
      <alignment horizontal="left" vertical="bottom" textRotation="0" wrapText="0" indent="0" justifyLastLine="0" shrinkToFit="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ill>
        <patternFill patternType="solid">
          <fgColor indexed="64"/>
          <bgColor theme="9" tint="0.59999389629810485"/>
        </patternFill>
      </fill>
      <alignment horizontal="left" vertical="bottom" textRotation="0" wrapText="0" indent="0" justifyLastLine="0" shrinkToFit="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theme="7" tint="0.79998168889431442"/>
        </patternFill>
      </fill>
      <alignment horizontal="left" vertical="bottom" textRotation="0" wrapText="0" indent="0" justifyLastLine="0" shrinkToFit="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0"/>
        <name val="Calibri"/>
        <scheme val="minor"/>
      </font>
      <fill>
        <patternFill>
          <bgColor rgb="FF7030A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border diagonalUp="0" diagonalDown="0" outline="0">
        <left/>
        <right/>
        <top style="thin">
          <color theme="6"/>
        </top>
        <bottom/>
      </border>
    </dxf>
    <dxf>
      <border outline="0">
        <left style="thin">
          <color rgb="FFA5A5A5"/>
        </left>
        <right style="thin">
          <color rgb="FFA5A5A5"/>
        </right>
      </border>
    </dxf>
    <dxf>
      <font>
        <b val="0"/>
        <i val="0"/>
        <strike val="0"/>
        <condense val="0"/>
        <extend val="0"/>
        <outline val="0"/>
        <shadow val="0"/>
        <u val="none"/>
        <vertAlign val="baseline"/>
        <sz val="12"/>
        <color rgb="FF000000"/>
        <name val="Calibri"/>
        <scheme val="none"/>
      </font>
      <alignment horizontal="left" vertical="bottom" textRotation="0" wrapText="0" indent="0" justifyLastLine="0" shrinkToFit="0"/>
    </dxf>
    <dxf>
      <font>
        <b/>
        <i val="0"/>
        <strike val="0"/>
        <condense val="0"/>
        <extend val="0"/>
        <outline val="0"/>
        <shadow val="0"/>
        <u val="none"/>
        <vertAlign val="baseline"/>
        <sz val="12"/>
        <color theme="0"/>
        <name val="Calibri"/>
        <scheme val="minor"/>
      </font>
      <fill>
        <patternFill patternType="solid">
          <fgColor theme="6"/>
          <bgColor theme="6"/>
        </patternFill>
      </fill>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readingOrder="0"/>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alignment horizontal="left" vertical="bottom"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fill>
        <patternFill patternType="none">
          <fgColor indexed="64"/>
          <bgColor indexed="65"/>
        </patternFill>
      </fill>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none">
          <fgColor indexed="64"/>
          <bgColor indexed="65"/>
        </patternFill>
      </fill>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FFFF00"/>
        </patternFill>
      </fill>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fill>
        <patternFill patternType="solid">
          <fgColor indexed="64"/>
          <bgColor rgb="FFFFFF00"/>
        </patternFill>
      </fill>
      <border diagonalUp="0" diagonalDown="0">
        <left/>
        <right/>
        <top style="thin">
          <color theme="6"/>
        </top>
        <bottom/>
        <vertical/>
        <horizontal/>
      </border>
    </dxf>
    <dxf>
      <font>
        <b val="0"/>
        <i val="0"/>
        <strike val="0"/>
        <condense val="0"/>
        <extend val="0"/>
        <outline val="0"/>
        <shadow val="0"/>
        <u val="none"/>
        <vertAlign val="baseline"/>
        <sz val="12"/>
        <color rgb="FFFF0000"/>
        <name val="Calibri"/>
        <scheme val="minor"/>
      </font>
      <border diagonalUp="0" diagonalDown="0" outline="0">
        <left/>
        <right/>
        <top style="thin">
          <color theme="6"/>
        </top>
        <bottom/>
      </border>
    </dxf>
    <dxf>
      <font>
        <b val="0"/>
        <i val="0"/>
        <strike val="0"/>
        <condense val="0"/>
        <extend val="0"/>
        <outline val="0"/>
        <shadow val="0"/>
        <u val="none"/>
        <vertAlign val="baseline"/>
        <sz val="12"/>
        <color rgb="FFFF0000"/>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rgb="FF00B050"/>
        <name val="Calibri"/>
        <scheme val="minor"/>
      </font>
      <border diagonalUp="0" diagonalDown="0" outline="0">
        <left/>
        <right/>
        <top style="thin">
          <color theme="6"/>
        </top>
        <bottom/>
      </border>
    </dxf>
    <dxf>
      <font>
        <b val="0"/>
        <i val="0"/>
        <strike val="0"/>
        <condense val="0"/>
        <extend val="0"/>
        <outline val="0"/>
        <shadow val="0"/>
        <u val="none"/>
        <vertAlign val="baseline"/>
        <sz val="12"/>
        <color rgb="FF00B050"/>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minor"/>
      </font>
      <border diagonalUp="0" diagonalDown="0" outline="0">
        <left/>
        <right/>
        <top style="thin">
          <color theme="6"/>
        </top>
        <bottom/>
      </border>
    </dxf>
    <dxf>
      <font>
        <b val="0"/>
        <i val="0"/>
        <strike val="0"/>
        <condense val="0"/>
        <extend val="0"/>
        <outline val="0"/>
        <shadow val="0"/>
        <u val="none"/>
        <vertAlign val="baseline"/>
        <sz val="12"/>
        <color theme="1"/>
        <name val="Calibri"/>
        <scheme val="minor"/>
      </font>
      <border diagonalUp="0" diagonalDown="0">
        <left/>
        <right/>
        <top style="thin">
          <color theme="6"/>
        </top>
        <bottom/>
        <vertical/>
        <horizontal/>
      </border>
    </dxf>
    <dxf>
      <border outline="0">
        <left style="thin">
          <color theme="6"/>
        </left>
        <right style="thin">
          <color theme="6"/>
        </right>
      </border>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theme="0"/>
        <name val="Calibri"/>
        <scheme val="minor"/>
      </font>
      <fill>
        <patternFill patternType="solid">
          <fgColor theme="6"/>
          <bgColor theme="6"/>
        </patternFill>
      </fill>
    </dxf>
    <dxf>
      <font>
        <strike val="0"/>
        <outline val="0"/>
        <shadow val="0"/>
        <u val="none"/>
        <vertAlign val="baseline"/>
        <sz val="12"/>
        <color rgb="FFFF0000"/>
        <name val="Calibri"/>
        <scheme val="minor"/>
      </font>
    </dxf>
    <dxf>
      <font>
        <strike val="0"/>
        <outline val="0"/>
        <shadow val="0"/>
        <u val="none"/>
        <vertAlign val="baseline"/>
        <sz val="12"/>
        <color rgb="FF00B050"/>
        <name val="Calibri"/>
        <scheme val="minor"/>
      </font>
    </dxf>
    <dxf>
      <font>
        <b/>
        <i val="0"/>
        <strike val="0"/>
        <condense val="0"/>
        <extend val="0"/>
        <outline val="0"/>
        <shadow val="0"/>
        <u val="none"/>
        <vertAlign val="baseline"/>
        <sz val="12"/>
        <color theme="1"/>
        <name val="Calibri"/>
        <scheme val="minor"/>
      </font>
    </dxf>
    <dxf>
      <font>
        <strike val="0"/>
        <outline val="0"/>
        <shadow val="0"/>
        <u val="none"/>
        <vertAlign val="baseline"/>
        <sz val="12"/>
        <color rgb="FFFF0000"/>
        <name val="Calibri"/>
        <scheme val="minor"/>
      </font>
    </dxf>
    <dxf>
      <font>
        <strike val="0"/>
        <outline val="0"/>
        <shadow val="0"/>
        <u val="none"/>
        <vertAlign val="baseline"/>
        <sz val="12"/>
        <color rgb="FF00B050"/>
        <name val="Calibri"/>
        <scheme val="minor"/>
      </font>
    </dxf>
    <dxf>
      <font>
        <strike val="0"/>
        <outline val="0"/>
        <shadow val="0"/>
        <u val="none"/>
        <vertAlign val="baseline"/>
        <sz val="12"/>
        <color rgb="FF7030A0"/>
        <name val="Calibri"/>
        <scheme val="minor"/>
      </font>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twoCellAnchor editAs="oneCell">
    <xdr:from>
      <xdr:col>33</xdr:col>
      <xdr:colOff>0</xdr:colOff>
      <xdr:row>97</xdr:row>
      <xdr:rowOff>0</xdr:rowOff>
    </xdr:from>
    <xdr:to>
      <xdr:col>33</xdr:col>
      <xdr:colOff>304800</xdr:colOff>
      <xdr:row>98</xdr:row>
      <xdr:rowOff>101600</xdr:rowOff>
    </xdr:to>
    <xdr:sp macro="" textlink="">
      <xdr:nvSpPr>
        <xdr:cNvPr id="2" name="AutoShape 1" descr="rl.jpg">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14617700" y="197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0</xdr:colOff>
      <xdr:row>97</xdr:row>
      <xdr:rowOff>0</xdr:rowOff>
    </xdr:from>
    <xdr:to>
      <xdr:col>33</xdr:col>
      <xdr:colOff>304800</xdr:colOff>
      <xdr:row>98</xdr:row>
      <xdr:rowOff>101600</xdr:rowOff>
    </xdr:to>
    <xdr:sp macro="" textlink="">
      <xdr:nvSpPr>
        <xdr:cNvPr id="3" name="AutoShape 2" descr="rl.jpg">
          <a:extLst>
            <a:ext uri="{FF2B5EF4-FFF2-40B4-BE49-F238E27FC236}">
              <a16:creationId xmlns:a16="http://schemas.microsoft.com/office/drawing/2014/main" id="{00000000-0008-0000-0600-000003000000}"/>
            </a:ext>
          </a:extLst>
        </xdr:cNvPr>
        <xdr:cNvSpPr>
          <a:spLocks noChangeAspect="1" noChangeArrowheads="1"/>
        </xdr:cNvSpPr>
      </xdr:nvSpPr>
      <xdr:spPr bwMode="auto">
        <a:xfrm>
          <a:off x="14617700" y="197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34</xdr:col>
      <xdr:colOff>0</xdr:colOff>
      <xdr:row>97</xdr:row>
      <xdr:rowOff>0</xdr:rowOff>
    </xdr:from>
    <xdr:to>
      <xdr:col>34</xdr:col>
      <xdr:colOff>304800</xdr:colOff>
      <xdr:row>98</xdr:row>
      <xdr:rowOff>101600</xdr:rowOff>
    </xdr:to>
    <xdr:sp macro="" textlink="">
      <xdr:nvSpPr>
        <xdr:cNvPr id="4" name="AutoShape 1" descr="rl.jpg">
          <a:extLst>
            <a:ext uri="{FF2B5EF4-FFF2-40B4-BE49-F238E27FC236}">
              <a16:creationId xmlns:a16="http://schemas.microsoft.com/office/drawing/2014/main" id="{00000000-0008-0000-0600-000004000000}"/>
            </a:ext>
          </a:extLst>
        </xdr:cNvPr>
        <xdr:cNvSpPr>
          <a:spLocks noChangeAspect="1" noChangeArrowheads="1"/>
        </xdr:cNvSpPr>
      </xdr:nvSpPr>
      <xdr:spPr bwMode="auto">
        <a:xfrm>
          <a:off x="16776700" y="197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34</xdr:col>
      <xdr:colOff>0</xdr:colOff>
      <xdr:row>97</xdr:row>
      <xdr:rowOff>0</xdr:rowOff>
    </xdr:from>
    <xdr:to>
      <xdr:col>34</xdr:col>
      <xdr:colOff>304800</xdr:colOff>
      <xdr:row>98</xdr:row>
      <xdr:rowOff>101600</xdr:rowOff>
    </xdr:to>
    <xdr:sp macro="" textlink="">
      <xdr:nvSpPr>
        <xdr:cNvPr id="5" name="AutoShape 2" descr="rl.jpg">
          <a:extLst>
            <a:ext uri="{FF2B5EF4-FFF2-40B4-BE49-F238E27FC236}">
              <a16:creationId xmlns:a16="http://schemas.microsoft.com/office/drawing/2014/main" id="{00000000-0008-0000-0600-000005000000}"/>
            </a:ext>
          </a:extLst>
        </xdr:cNvPr>
        <xdr:cNvSpPr>
          <a:spLocks noChangeAspect="1" noChangeArrowheads="1"/>
        </xdr:cNvSpPr>
      </xdr:nvSpPr>
      <xdr:spPr bwMode="auto">
        <a:xfrm>
          <a:off x="16776700" y="197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39</xdr:col>
      <xdr:colOff>0</xdr:colOff>
      <xdr:row>312</xdr:row>
      <xdr:rowOff>0</xdr:rowOff>
    </xdr:from>
    <xdr:to>
      <xdr:col>39</xdr:col>
      <xdr:colOff>304800</xdr:colOff>
      <xdr:row>313</xdr:row>
      <xdr:rowOff>88900</xdr:rowOff>
    </xdr:to>
    <xdr:sp macro="" textlink="">
      <xdr:nvSpPr>
        <xdr:cNvPr id="2" name="AutoShape 1" descr="rl.jpg">
          <a:extLst>
            <a:ext uri="{FF2B5EF4-FFF2-40B4-BE49-F238E27FC236}">
              <a16:creationId xmlns:a16="http://schemas.microsoft.com/office/drawing/2014/main" id="{00000000-0008-0000-0700-000002000000}"/>
            </a:ext>
          </a:extLst>
        </xdr:cNvPr>
        <xdr:cNvSpPr>
          <a:spLocks noChangeAspect="1" noChangeArrowheads="1"/>
        </xdr:cNvSpPr>
      </xdr:nvSpPr>
      <xdr:spPr bwMode="auto">
        <a:xfrm>
          <a:off x="9334500" y="820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39</xdr:col>
      <xdr:colOff>0</xdr:colOff>
      <xdr:row>312</xdr:row>
      <xdr:rowOff>0</xdr:rowOff>
    </xdr:from>
    <xdr:to>
      <xdr:col>39</xdr:col>
      <xdr:colOff>304800</xdr:colOff>
      <xdr:row>313</xdr:row>
      <xdr:rowOff>88900</xdr:rowOff>
    </xdr:to>
    <xdr:sp macro="" textlink="">
      <xdr:nvSpPr>
        <xdr:cNvPr id="3" name="AutoShape 2" descr="rl.jpg">
          <a:extLst>
            <a:ext uri="{FF2B5EF4-FFF2-40B4-BE49-F238E27FC236}">
              <a16:creationId xmlns:a16="http://schemas.microsoft.com/office/drawing/2014/main" id="{00000000-0008-0000-0700-000003000000}"/>
            </a:ext>
          </a:extLst>
        </xdr:cNvPr>
        <xdr:cNvSpPr>
          <a:spLocks noChangeAspect="1" noChangeArrowheads="1"/>
        </xdr:cNvSpPr>
      </xdr:nvSpPr>
      <xdr:spPr bwMode="auto">
        <a:xfrm>
          <a:off x="9334500" y="820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40</xdr:col>
      <xdr:colOff>0</xdr:colOff>
      <xdr:row>312</xdr:row>
      <xdr:rowOff>0</xdr:rowOff>
    </xdr:from>
    <xdr:to>
      <xdr:col>40</xdr:col>
      <xdr:colOff>304800</xdr:colOff>
      <xdr:row>313</xdr:row>
      <xdr:rowOff>88900</xdr:rowOff>
    </xdr:to>
    <xdr:sp macro="" textlink="">
      <xdr:nvSpPr>
        <xdr:cNvPr id="4" name="AutoShape 1" descr="rl.jpg">
          <a:extLst>
            <a:ext uri="{FF2B5EF4-FFF2-40B4-BE49-F238E27FC236}">
              <a16:creationId xmlns:a16="http://schemas.microsoft.com/office/drawing/2014/main" id="{00000000-0008-0000-0700-000004000000}"/>
            </a:ext>
          </a:extLst>
        </xdr:cNvPr>
        <xdr:cNvSpPr>
          <a:spLocks noChangeAspect="1" noChangeArrowheads="1"/>
        </xdr:cNvSpPr>
      </xdr:nvSpPr>
      <xdr:spPr bwMode="auto">
        <a:xfrm>
          <a:off x="9334500" y="820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40</xdr:col>
      <xdr:colOff>0</xdr:colOff>
      <xdr:row>312</xdr:row>
      <xdr:rowOff>0</xdr:rowOff>
    </xdr:from>
    <xdr:to>
      <xdr:col>40</xdr:col>
      <xdr:colOff>304800</xdr:colOff>
      <xdr:row>313</xdr:row>
      <xdr:rowOff>88900</xdr:rowOff>
    </xdr:to>
    <xdr:sp macro="" textlink="">
      <xdr:nvSpPr>
        <xdr:cNvPr id="5" name="AutoShape 2" descr="rl.jpg">
          <a:extLst>
            <a:ext uri="{FF2B5EF4-FFF2-40B4-BE49-F238E27FC236}">
              <a16:creationId xmlns:a16="http://schemas.microsoft.com/office/drawing/2014/main" id="{00000000-0008-0000-0700-000005000000}"/>
            </a:ext>
          </a:extLst>
        </xdr:cNvPr>
        <xdr:cNvSpPr>
          <a:spLocks noChangeAspect="1" noChangeArrowheads="1"/>
        </xdr:cNvSpPr>
      </xdr:nvSpPr>
      <xdr:spPr bwMode="auto">
        <a:xfrm>
          <a:off x="9334500" y="820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39</xdr:col>
      <xdr:colOff>0</xdr:colOff>
      <xdr:row>332</xdr:row>
      <xdr:rowOff>0</xdr:rowOff>
    </xdr:from>
    <xdr:to>
      <xdr:col>39</xdr:col>
      <xdr:colOff>304800</xdr:colOff>
      <xdr:row>333</xdr:row>
      <xdr:rowOff>114300</xdr:rowOff>
    </xdr:to>
    <xdr:sp macro="" textlink="">
      <xdr:nvSpPr>
        <xdr:cNvPr id="2" name="AutoShape 1" descr="rl.jpg">
          <a:extLst>
            <a:ext uri="{FF2B5EF4-FFF2-40B4-BE49-F238E27FC236}">
              <a16:creationId xmlns:a16="http://schemas.microsoft.com/office/drawing/2014/main" id="{00000000-0008-0000-0800-000002000000}"/>
            </a:ext>
          </a:extLst>
        </xdr:cNvPr>
        <xdr:cNvSpPr>
          <a:spLocks noChangeAspect="1" noChangeArrowheads="1"/>
        </xdr:cNvSpPr>
      </xdr:nvSpPr>
      <xdr:spPr bwMode="auto">
        <a:xfrm>
          <a:off x="27190700" y="632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39</xdr:col>
      <xdr:colOff>0</xdr:colOff>
      <xdr:row>332</xdr:row>
      <xdr:rowOff>0</xdr:rowOff>
    </xdr:from>
    <xdr:to>
      <xdr:col>39</xdr:col>
      <xdr:colOff>304800</xdr:colOff>
      <xdr:row>333</xdr:row>
      <xdr:rowOff>114300</xdr:rowOff>
    </xdr:to>
    <xdr:sp macro="" textlink="">
      <xdr:nvSpPr>
        <xdr:cNvPr id="3" name="AutoShape 2" descr="rl.jpg">
          <a:extLst>
            <a:ext uri="{FF2B5EF4-FFF2-40B4-BE49-F238E27FC236}">
              <a16:creationId xmlns:a16="http://schemas.microsoft.com/office/drawing/2014/main" id="{00000000-0008-0000-0800-000003000000}"/>
            </a:ext>
          </a:extLst>
        </xdr:cNvPr>
        <xdr:cNvSpPr>
          <a:spLocks noChangeAspect="1" noChangeArrowheads="1"/>
        </xdr:cNvSpPr>
      </xdr:nvSpPr>
      <xdr:spPr bwMode="auto">
        <a:xfrm>
          <a:off x="27190700" y="632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40</xdr:col>
      <xdr:colOff>0</xdr:colOff>
      <xdr:row>332</xdr:row>
      <xdr:rowOff>0</xdr:rowOff>
    </xdr:from>
    <xdr:to>
      <xdr:col>40</xdr:col>
      <xdr:colOff>304800</xdr:colOff>
      <xdr:row>333</xdr:row>
      <xdr:rowOff>114300</xdr:rowOff>
    </xdr:to>
    <xdr:sp macro="" textlink="">
      <xdr:nvSpPr>
        <xdr:cNvPr id="4" name="AutoShape 1" descr="rl.jpg">
          <a:extLst>
            <a:ext uri="{FF2B5EF4-FFF2-40B4-BE49-F238E27FC236}">
              <a16:creationId xmlns:a16="http://schemas.microsoft.com/office/drawing/2014/main" id="{00000000-0008-0000-0800-000004000000}"/>
            </a:ext>
          </a:extLst>
        </xdr:cNvPr>
        <xdr:cNvSpPr>
          <a:spLocks noChangeAspect="1" noChangeArrowheads="1"/>
        </xdr:cNvSpPr>
      </xdr:nvSpPr>
      <xdr:spPr bwMode="auto">
        <a:xfrm>
          <a:off x="29260800" y="632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40</xdr:col>
      <xdr:colOff>0</xdr:colOff>
      <xdr:row>332</xdr:row>
      <xdr:rowOff>0</xdr:rowOff>
    </xdr:from>
    <xdr:to>
      <xdr:col>40</xdr:col>
      <xdr:colOff>304800</xdr:colOff>
      <xdr:row>333</xdr:row>
      <xdr:rowOff>114300</xdr:rowOff>
    </xdr:to>
    <xdr:sp macro="" textlink="">
      <xdr:nvSpPr>
        <xdr:cNvPr id="5" name="AutoShape 2" descr="rl.jpg">
          <a:extLst>
            <a:ext uri="{FF2B5EF4-FFF2-40B4-BE49-F238E27FC236}">
              <a16:creationId xmlns:a16="http://schemas.microsoft.com/office/drawing/2014/main" id="{00000000-0008-0000-0800-000005000000}"/>
            </a:ext>
          </a:extLst>
        </xdr:cNvPr>
        <xdr:cNvSpPr>
          <a:spLocks noChangeAspect="1" noChangeArrowheads="1"/>
        </xdr:cNvSpPr>
      </xdr:nvSpPr>
      <xdr:spPr bwMode="auto">
        <a:xfrm>
          <a:off x="29260800" y="632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40</xdr:col>
      <xdr:colOff>0</xdr:colOff>
      <xdr:row>548</xdr:row>
      <xdr:rowOff>0</xdr:rowOff>
    </xdr:from>
    <xdr:to>
      <xdr:col>40</xdr:col>
      <xdr:colOff>304800</xdr:colOff>
      <xdr:row>652</xdr:row>
      <xdr:rowOff>136996</xdr:rowOff>
    </xdr:to>
    <xdr:sp macro="" textlink="">
      <xdr:nvSpPr>
        <xdr:cNvPr id="1025" name="AutoShape 1" descr="rl.jpg">
          <a:extLst>
            <a:ext uri="{FF2B5EF4-FFF2-40B4-BE49-F238E27FC236}">
              <a16:creationId xmlns:a16="http://schemas.microsoft.com/office/drawing/2014/main" id="{00000000-0008-0000-0900-000001040000}"/>
            </a:ext>
          </a:extLst>
        </xdr:cNvPr>
        <xdr:cNvSpPr>
          <a:spLocks noChangeAspect="1" noChangeArrowheads="1"/>
        </xdr:cNvSpPr>
      </xdr:nvSpPr>
      <xdr:spPr bwMode="auto">
        <a:xfrm>
          <a:off x="14579600" y="197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40</xdr:col>
      <xdr:colOff>0</xdr:colOff>
      <xdr:row>548</xdr:row>
      <xdr:rowOff>0</xdr:rowOff>
    </xdr:from>
    <xdr:to>
      <xdr:col>40</xdr:col>
      <xdr:colOff>304800</xdr:colOff>
      <xdr:row>652</xdr:row>
      <xdr:rowOff>136996</xdr:rowOff>
    </xdr:to>
    <xdr:sp macro="" textlink="">
      <xdr:nvSpPr>
        <xdr:cNvPr id="1026" name="AutoShape 2" descr="rl.jpg">
          <a:extLst>
            <a:ext uri="{FF2B5EF4-FFF2-40B4-BE49-F238E27FC236}">
              <a16:creationId xmlns:a16="http://schemas.microsoft.com/office/drawing/2014/main" id="{00000000-0008-0000-0900-000002040000}"/>
            </a:ext>
          </a:extLst>
        </xdr:cNvPr>
        <xdr:cNvSpPr>
          <a:spLocks noChangeAspect="1" noChangeArrowheads="1"/>
        </xdr:cNvSpPr>
      </xdr:nvSpPr>
      <xdr:spPr bwMode="auto">
        <a:xfrm>
          <a:off x="14579600" y="197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41</xdr:col>
      <xdr:colOff>0</xdr:colOff>
      <xdr:row>548</xdr:row>
      <xdr:rowOff>0</xdr:rowOff>
    </xdr:from>
    <xdr:to>
      <xdr:col>41</xdr:col>
      <xdr:colOff>304800</xdr:colOff>
      <xdr:row>652</xdr:row>
      <xdr:rowOff>136996</xdr:rowOff>
    </xdr:to>
    <xdr:sp macro="" textlink="">
      <xdr:nvSpPr>
        <xdr:cNvPr id="4" name="AutoShape 1" descr="rl.jpg">
          <a:extLst>
            <a:ext uri="{FF2B5EF4-FFF2-40B4-BE49-F238E27FC236}">
              <a16:creationId xmlns:a16="http://schemas.microsoft.com/office/drawing/2014/main" id="{00000000-0008-0000-0900-000004000000}"/>
            </a:ext>
          </a:extLst>
        </xdr:cNvPr>
        <xdr:cNvSpPr>
          <a:spLocks noChangeAspect="1" noChangeArrowheads="1"/>
        </xdr:cNvSpPr>
      </xdr:nvSpPr>
      <xdr:spPr bwMode="auto">
        <a:xfrm>
          <a:off x="14579600" y="197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41</xdr:col>
      <xdr:colOff>0</xdr:colOff>
      <xdr:row>548</xdr:row>
      <xdr:rowOff>0</xdr:rowOff>
    </xdr:from>
    <xdr:to>
      <xdr:col>41</xdr:col>
      <xdr:colOff>304800</xdr:colOff>
      <xdr:row>652</xdr:row>
      <xdr:rowOff>136996</xdr:rowOff>
    </xdr:to>
    <xdr:sp macro="" textlink="">
      <xdr:nvSpPr>
        <xdr:cNvPr id="5" name="AutoShape 2" descr="rl.jpg">
          <a:extLst>
            <a:ext uri="{FF2B5EF4-FFF2-40B4-BE49-F238E27FC236}">
              <a16:creationId xmlns:a16="http://schemas.microsoft.com/office/drawing/2014/main" id="{00000000-0008-0000-0900-000005000000}"/>
            </a:ext>
          </a:extLst>
        </xdr:cNvPr>
        <xdr:cNvSpPr>
          <a:spLocks noChangeAspect="1" noChangeArrowheads="1"/>
        </xdr:cNvSpPr>
      </xdr:nvSpPr>
      <xdr:spPr bwMode="auto">
        <a:xfrm>
          <a:off x="14579600" y="197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oneCellAnchor>
    <xdr:from>
      <xdr:col>40</xdr:col>
      <xdr:colOff>0</xdr:colOff>
      <xdr:row>549</xdr:row>
      <xdr:rowOff>0</xdr:rowOff>
    </xdr:from>
    <xdr:ext cx="304800" cy="302261"/>
    <xdr:sp macro="" textlink="">
      <xdr:nvSpPr>
        <xdr:cNvPr id="6" name="AutoShape 1" descr="rl.jpg">
          <a:extLst>
            <a:ext uri="{FF2B5EF4-FFF2-40B4-BE49-F238E27FC236}">
              <a16:creationId xmlns:a16="http://schemas.microsoft.com/office/drawing/2014/main" id="{CE103DC9-C5DF-A44B-9BA7-1A0D422CA827}"/>
            </a:ext>
          </a:extLst>
        </xdr:cNvPr>
        <xdr:cNvSpPr>
          <a:spLocks noChangeAspect="1" noChangeArrowheads="1"/>
        </xdr:cNvSpPr>
      </xdr:nvSpPr>
      <xdr:spPr bwMode="auto">
        <a:xfrm>
          <a:off x="2726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549</xdr:row>
      <xdr:rowOff>0</xdr:rowOff>
    </xdr:from>
    <xdr:ext cx="304800" cy="302261"/>
    <xdr:sp macro="" textlink="">
      <xdr:nvSpPr>
        <xdr:cNvPr id="7" name="AutoShape 2" descr="rl.jpg">
          <a:extLst>
            <a:ext uri="{FF2B5EF4-FFF2-40B4-BE49-F238E27FC236}">
              <a16:creationId xmlns:a16="http://schemas.microsoft.com/office/drawing/2014/main" id="{CB715C0B-B0A9-9642-8D09-5C31560114E7}"/>
            </a:ext>
          </a:extLst>
        </xdr:cNvPr>
        <xdr:cNvSpPr>
          <a:spLocks noChangeAspect="1" noChangeArrowheads="1"/>
        </xdr:cNvSpPr>
      </xdr:nvSpPr>
      <xdr:spPr bwMode="auto">
        <a:xfrm>
          <a:off x="2726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549</xdr:row>
      <xdr:rowOff>0</xdr:rowOff>
    </xdr:from>
    <xdr:ext cx="304800" cy="302261"/>
    <xdr:sp macro="" textlink="">
      <xdr:nvSpPr>
        <xdr:cNvPr id="8" name="AutoShape 1" descr="rl.jpg">
          <a:extLst>
            <a:ext uri="{FF2B5EF4-FFF2-40B4-BE49-F238E27FC236}">
              <a16:creationId xmlns:a16="http://schemas.microsoft.com/office/drawing/2014/main" id="{C952CD7D-0041-6645-A6D5-1DB40BCB6D97}"/>
            </a:ext>
          </a:extLst>
        </xdr:cNvPr>
        <xdr:cNvSpPr>
          <a:spLocks noChangeAspect="1" noChangeArrowheads="1"/>
        </xdr:cNvSpPr>
      </xdr:nvSpPr>
      <xdr:spPr bwMode="auto">
        <a:xfrm>
          <a:off x="2853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549</xdr:row>
      <xdr:rowOff>0</xdr:rowOff>
    </xdr:from>
    <xdr:ext cx="304800" cy="302261"/>
    <xdr:sp macro="" textlink="">
      <xdr:nvSpPr>
        <xdr:cNvPr id="9" name="AutoShape 2" descr="rl.jpg">
          <a:extLst>
            <a:ext uri="{FF2B5EF4-FFF2-40B4-BE49-F238E27FC236}">
              <a16:creationId xmlns:a16="http://schemas.microsoft.com/office/drawing/2014/main" id="{821AEFE1-BFBE-9946-BAB9-138EB881D593}"/>
            </a:ext>
          </a:extLst>
        </xdr:cNvPr>
        <xdr:cNvSpPr>
          <a:spLocks noChangeAspect="1" noChangeArrowheads="1"/>
        </xdr:cNvSpPr>
      </xdr:nvSpPr>
      <xdr:spPr bwMode="auto">
        <a:xfrm>
          <a:off x="2853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550</xdr:row>
      <xdr:rowOff>0</xdr:rowOff>
    </xdr:from>
    <xdr:ext cx="304800" cy="302261"/>
    <xdr:sp macro="" textlink="">
      <xdr:nvSpPr>
        <xdr:cNvPr id="10" name="AutoShape 1" descr="rl.jpg">
          <a:extLst>
            <a:ext uri="{FF2B5EF4-FFF2-40B4-BE49-F238E27FC236}">
              <a16:creationId xmlns:a16="http://schemas.microsoft.com/office/drawing/2014/main" id="{9D00DF02-7081-4C43-A155-C21A8845D433}"/>
            </a:ext>
          </a:extLst>
        </xdr:cNvPr>
        <xdr:cNvSpPr>
          <a:spLocks noChangeAspect="1" noChangeArrowheads="1"/>
        </xdr:cNvSpPr>
      </xdr:nvSpPr>
      <xdr:spPr bwMode="auto">
        <a:xfrm>
          <a:off x="2726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550</xdr:row>
      <xdr:rowOff>0</xdr:rowOff>
    </xdr:from>
    <xdr:ext cx="304800" cy="302261"/>
    <xdr:sp macro="" textlink="">
      <xdr:nvSpPr>
        <xdr:cNvPr id="11" name="AutoShape 2" descr="rl.jpg">
          <a:extLst>
            <a:ext uri="{FF2B5EF4-FFF2-40B4-BE49-F238E27FC236}">
              <a16:creationId xmlns:a16="http://schemas.microsoft.com/office/drawing/2014/main" id="{ADA0BA6B-ADA3-BF4C-BDE4-FF200C1E1924}"/>
            </a:ext>
          </a:extLst>
        </xdr:cNvPr>
        <xdr:cNvSpPr>
          <a:spLocks noChangeAspect="1" noChangeArrowheads="1"/>
        </xdr:cNvSpPr>
      </xdr:nvSpPr>
      <xdr:spPr bwMode="auto">
        <a:xfrm>
          <a:off x="2726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550</xdr:row>
      <xdr:rowOff>0</xdr:rowOff>
    </xdr:from>
    <xdr:ext cx="304800" cy="302261"/>
    <xdr:sp macro="" textlink="">
      <xdr:nvSpPr>
        <xdr:cNvPr id="12" name="AutoShape 1" descr="rl.jpg">
          <a:extLst>
            <a:ext uri="{FF2B5EF4-FFF2-40B4-BE49-F238E27FC236}">
              <a16:creationId xmlns:a16="http://schemas.microsoft.com/office/drawing/2014/main" id="{7BA4B907-383A-824B-B354-B618A90454C1}"/>
            </a:ext>
          </a:extLst>
        </xdr:cNvPr>
        <xdr:cNvSpPr>
          <a:spLocks noChangeAspect="1" noChangeArrowheads="1"/>
        </xdr:cNvSpPr>
      </xdr:nvSpPr>
      <xdr:spPr bwMode="auto">
        <a:xfrm>
          <a:off x="2853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550</xdr:row>
      <xdr:rowOff>0</xdr:rowOff>
    </xdr:from>
    <xdr:ext cx="304800" cy="302261"/>
    <xdr:sp macro="" textlink="">
      <xdr:nvSpPr>
        <xdr:cNvPr id="13" name="AutoShape 2" descr="rl.jpg">
          <a:extLst>
            <a:ext uri="{FF2B5EF4-FFF2-40B4-BE49-F238E27FC236}">
              <a16:creationId xmlns:a16="http://schemas.microsoft.com/office/drawing/2014/main" id="{749118A5-35D3-BC48-A1B4-29E111B7CBB8}"/>
            </a:ext>
          </a:extLst>
        </xdr:cNvPr>
        <xdr:cNvSpPr>
          <a:spLocks noChangeAspect="1" noChangeArrowheads="1"/>
        </xdr:cNvSpPr>
      </xdr:nvSpPr>
      <xdr:spPr bwMode="auto">
        <a:xfrm>
          <a:off x="2853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552</xdr:row>
      <xdr:rowOff>0</xdr:rowOff>
    </xdr:from>
    <xdr:ext cx="304800" cy="302261"/>
    <xdr:sp macro="" textlink="">
      <xdr:nvSpPr>
        <xdr:cNvPr id="14" name="AutoShape 1" descr="rl.jpg">
          <a:extLst>
            <a:ext uri="{FF2B5EF4-FFF2-40B4-BE49-F238E27FC236}">
              <a16:creationId xmlns:a16="http://schemas.microsoft.com/office/drawing/2014/main" id="{7A53E57C-8941-9F47-B62D-2DFB3F7F41E5}"/>
            </a:ext>
          </a:extLst>
        </xdr:cNvPr>
        <xdr:cNvSpPr>
          <a:spLocks noChangeAspect="1" noChangeArrowheads="1"/>
        </xdr:cNvSpPr>
      </xdr:nvSpPr>
      <xdr:spPr bwMode="auto">
        <a:xfrm>
          <a:off x="2726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552</xdr:row>
      <xdr:rowOff>0</xdr:rowOff>
    </xdr:from>
    <xdr:ext cx="304800" cy="302261"/>
    <xdr:sp macro="" textlink="">
      <xdr:nvSpPr>
        <xdr:cNvPr id="15" name="AutoShape 2" descr="rl.jpg">
          <a:extLst>
            <a:ext uri="{FF2B5EF4-FFF2-40B4-BE49-F238E27FC236}">
              <a16:creationId xmlns:a16="http://schemas.microsoft.com/office/drawing/2014/main" id="{56A84CE0-A381-164C-B9F5-B65079EF4480}"/>
            </a:ext>
          </a:extLst>
        </xdr:cNvPr>
        <xdr:cNvSpPr>
          <a:spLocks noChangeAspect="1" noChangeArrowheads="1"/>
        </xdr:cNvSpPr>
      </xdr:nvSpPr>
      <xdr:spPr bwMode="auto">
        <a:xfrm>
          <a:off x="2726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552</xdr:row>
      <xdr:rowOff>0</xdr:rowOff>
    </xdr:from>
    <xdr:ext cx="304800" cy="302261"/>
    <xdr:sp macro="" textlink="">
      <xdr:nvSpPr>
        <xdr:cNvPr id="16" name="AutoShape 1" descr="rl.jpg">
          <a:extLst>
            <a:ext uri="{FF2B5EF4-FFF2-40B4-BE49-F238E27FC236}">
              <a16:creationId xmlns:a16="http://schemas.microsoft.com/office/drawing/2014/main" id="{598673C8-19B8-0D42-B7EC-5F1830739A1E}"/>
            </a:ext>
          </a:extLst>
        </xdr:cNvPr>
        <xdr:cNvSpPr>
          <a:spLocks noChangeAspect="1" noChangeArrowheads="1"/>
        </xdr:cNvSpPr>
      </xdr:nvSpPr>
      <xdr:spPr bwMode="auto">
        <a:xfrm>
          <a:off x="2853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552</xdr:row>
      <xdr:rowOff>0</xdr:rowOff>
    </xdr:from>
    <xdr:ext cx="304800" cy="302261"/>
    <xdr:sp macro="" textlink="">
      <xdr:nvSpPr>
        <xdr:cNvPr id="17" name="AutoShape 2" descr="rl.jpg">
          <a:extLst>
            <a:ext uri="{FF2B5EF4-FFF2-40B4-BE49-F238E27FC236}">
              <a16:creationId xmlns:a16="http://schemas.microsoft.com/office/drawing/2014/main" id="{E5F01A98-2F5A-F449-AF99-3F2C2E17EC97}"/>
            </a:ext>
          </a:extLst>
        </xdr:cNvPr>
        <xdr:cNvSpPr>
          <a:spLocks noChangeAspect="1" noChangeArrowheads="1"/>
        </xdr:cNvSpPr>
      </xdr:nvSpPr>
      <xdr:spPr bwMode="auto">
        <a:xfrm>
          <a:off x="2853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553</xdr:row>
      <xdr:rowOff>0</xdr:rowOff>
    </xdr:from>
    <xdr:ext cx="304800" cy="302261"/>
    <xdr:sp macro="" textlink="">
      <xdr:nvSpPr>
        <xdr:cNvPr id="18" name="AutoShape 1" descr="rl.jpg">
          <a:extLst>
            <a:ext uri="{FF2B5EF4-FFF2-40B4-BE49-F238E27FC236}">
              <a16:creationId xmlns:a16="http://schemas.microsoft.com/office/drawing/2014/main" id="{AF4D97F9-0B49-F541-9EF2-1D85EFF75F8B}"/>
            </a:ext>
          </a:extLst>
        </xdr:cNvPr>
        <xdr:cNvSpPr>
          <a:spLocks noChangeAspect="1" noChangeArrowheads="1"/>
        </xdr:cNvSpPr>
      </xdr:nvSpPr>
      <xdr:spPr bwMode="auto">
        <a:xfrm>
          <a:off x="2726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553</xdr:row>
      <xdr:rowOff>0</xdr:rowOff>
    </xdr:from>
    <xdr:ext cx="304800" cy="302261"/>
    <xdr:sp macro="" textlink="">
      <xdr:nvSpPr>
        <xdr:cNvPr id="19" name="AutoShape 2" descr="rl.jpg">
          <a:extLst>
            <a:ext uri="{FF2B5EF4-FFF2-40B4-BE49-F238E27FC236}">
              <a16:creationId xmlns:a16="http://schemas.microsoft.com/office/drawing/2014/main" id="{AB2A63BF-0D8C-3D49-A76D-8E50B561A4EE}"/>
            </a:ext>
          </a:extLst>
        </xdr:cNvPr>
        <xdr:cNvSpPr>
          <a:spLocks noChangeAspect="1" noChangeArrowheads="1"/>
        </xdr:cNvSpPr>
      </xdr:nvSpPr>
      <xdr:spPr bwMode="auto">
        <a:xfrm>
          <a:off x="2726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553</xdr:row>
      <xdr:rowOff>0</xdr:rowOff>
    </xdr:from>
    <xdr:ext cx="304800" cy="302261"/>
    <xdr:sp macro="" textlink="">
      <xdr:nvSpPr>
        <xdr:cNvPr id="20" name="AutoShape 1" descr="rl.jpg">
          <a:extLst>
            <a:ext uri="{FF2B5EF4-FFF2-40B4-BE49-F238E27FC236}">
              <a16:creationId xmlns:a16="http://schemas.microsoft.com/office/drawing/2014/main" id="{606440AB-7536-E546-B653-D77970D27775}"/>
            </a:ext>
          </a:extLst>
        </xdr:cNvPr>
        <xdr:cNvSpPr>
          <a:spLocks noChangeAspect="1" noChangeArrowheads="1"/>
        </xdr:cNvSpPr>
      </xdr:nvSpPr>
      <xdr:spPr bwMode="auto">
        <a:xfrm>
          <a:off x="2853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553</xdr:row>
      <xdr:rowOff>0</xdr:rowOff>
    </xdr:from>
    <xdr:ext cx="304800" cy="302261"/>
    <xdr:sp macro="" textlink="">
      <xdr:nvSpPr>
        <xdr:cNvPr id="21" name="AutoShape 2" descr="rl.jpg">
          <a:extLst>
            <a:ext uri="{FF2B5EF4-FFF2-40B4-BE49-F238E27FC236}">
              <a16:creationId xmlns:a16="http://schemas.microsoft.com/office/drawing/2014/main" id="{7EFCED98-D2EB-C940-97C2-2B14F8F99B4D}"/>
            </a:ext>
          </a:extLst>
        </xdr:cNvPr>
        <xdr:cNvSpPr>
          <a:spLocks noChangeAspect="1" noChangeArrowheads="1"/>
        </xdr:cNvSpPr>
      </xdr:nvSpPr>
      <xdr:spPr bwMode="auto">
        <a:xfrm>
          <a:off x="28536900" y="999998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550</xdr:row>
      <xdr:rowOff>0</xdr:rowOff>
    </xdr:from>
    <xdr:ext cx="304800" cy="302261"/>
    <xdr:sp macro="" textlink="">
      <xdr:nvSpPr>
        <xdr:cNvPr id="22" name="AutoShape 1" descr="rl.jpg">
          <a:extLst>
            <a:ext uri="{FF2B5EF4-FFF2-40B4-BE49-F238E27FC236}">
              <a16:creationId xmlns:a16="http://schemas.microsoft.com/office/drawing/2014/main" id="{B028BF88-3B3E-DB4B-97A0-6D30DBE18BEE}"/>
            </a:ext>
          </a:extLst>
        </xdr:cNvPr>
        <xdr:cNvSpPr>
          <a:spLocks noChangeAspect="1" noChangeArrowheads="1"/>
        </xdr:cNvSpPr>
      </xdr:nvSpPr>
      <xdr:spPr bwMode="auto">
        <a:xfrm>
          <a:off x="27266900" y="1001776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550</xdr:row>
      <xdr:rowOff>0</xdr:rowOff>
    </xdr:from>
    <xdr:ext cx="304800" cy="302261"/>
    <xdr:sp macro="" textlink="">
      <xdr:nvSpPr>
        <xdr:cNvPr id="23" name="AutoShape 2" descr="rl.jpg">
          <a:extLst>
            <a:ext uri="{FF2B5EF4-FFF2-40B4-BE49-F238E27FC236}">
              <a16:creationId xmlns:a16="http://schemas.microsoft.com/office/drawing/2014/main" id="{A6166950-9D3B-5F49-AA11-FE743E097621}"/>
            </a:ext>
          </a:extLst>
        </xdr:cNvPr>
        <xdr:cNvSpPr>
          <a:spLocks noChangeAspect="1" noChangeArrowheads="1"/>
        </xdr:cNvSpPr>
      </xdr:nvSpPr>
      <xdr:spPr bwMode="auto">
        <a:xfrm>
          <a:off x="27266900" y="1001776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550</xdr:row>
      <xdr:rowOff>0</xdr:rowOff>
    </xdr:from>
    <xdr:ext cx="304800" cy="302261"/>
    <xdr:sp macro="" textlink="">
      <xdr:nvSpPr>
        <xdr:cNvPr id="24" name="AutoShape 1" descr="rl.jpg">
          <a:extLst>
            <a:ext uri="{FF2B5EF4-FFF2-40B4-BE49-F238E27FC236}">
              <a16:creationId xmlns:a16="http://schemas.microsoft.com/office/drawing/2014/main" id="{03374B95-055D-BE43-AE92-60EA8B1EDD84}"/>
            </a:ext>
          </a:extLst>
        </xdr:cNvPr>
        <xdr:cNvSpPr>
          <a:spLocks noChangeAspect="1" noChangeArrowheads="1"/>
        </xdr:cNvSpPr>
      </xdr:nvSpPr>
      <xdr:spPr bwMode="auto">
        <a:xfrm>
          <a:off x="28536900" y="1001776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550</xdr:row>
      <xdr:rowOff>0</xdr:rowOff>
    </xdr:from>
    <xdr:ext cx="304800" cy="302261"/>
    <xdr:sp macro="" textlink="">
      <xdr:nvSpPr>
        <xdr:cNvPr id="25" name="AutoShape 2" descr="rl.jpg">
          <a:extLst>
            <a:ext uri="{FF2B5EF4-FFF2-40B4-BE49-F238E27FC236}">
              <a16:creationId xmlns:a16="http://schemas.microsoft.com/office/drawing/2014/main" id="{7C561CD8-2538-1A48-A20F-AB54BEBB38E9}"/>
            </a:ext>
          </a:extLst>
        </xdr:cNvPr>
        <xdr:cNvSpPr>
          <a:spLocks noChangeAspect="1" noChangeArrowheads="1"/>
        </xdr:cNvSpPr>
      </xdr:nvSpPr>
      <xdr:spPr bwMode="auto">
        <a:xfrm>
          <a:off x="28536900" y="1001776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551</xdr:row>
      <xdr:rowOff>0</xdr:rowOff>
    </xdr:from>
    <xdr:ext cx="304800" cy="302261"/>
    <xdr:sp macro="" textlink="">
      <xdr:nvSpPr>
        <xdr:cNvPr id="26" name="AutoShape 1" descr="rl.jpg">
          <a:extLst>
            <a:ext uri="{FF2B5EF4-FFF2-40B4-BE49-F238E27FC236}">
              <a16:creationId xmlns:a16="http://schemas.microsoft.com/office/drawing/2014/main" id="{7741C47E-B4C2-4349-A19E-373ECDC21AE9}"/>
            </a:ext>
          </a:extLst>
        </xdr:cNvPr>
        <xdr:cNvSpPr>
          <a:spLocks noChangeAspect="1" noChangeArrowheads="1"/>
        </xdr:cNvSpPr>
      </xdr:nvSpPr>
      <xdr:spPr bwMode="auto">
        <a:xfrm>
          <a:off x="27266900" y="1003554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551</xdr:row>
      <xdr:rowOff>0</xdr:rowOff>
    </xdr:from>
    <xdr:ext cx="304800" cy="302261"/>
    <xdr:sp macro="" textlink="">
      <xdr:nvSpPr>
        <xdr:cNvPr id="27" name="AutoShape 2" descr="rl.jpg">
          <a:extLst>
            <a:ext uri="{FF2B5EF4-FFF2-40B4-BE49-F238E27FC236}">
              <a16:creationId xmlns:a16="http://schemas.microsoft.com/office/drawing/2014/main" id="{606B2F2F-51BC-5442-9FE9-25BD0960918E}"/>
            </a:ext>
          </a:extLst>
        </xdr:cNvPr>
        <xdr:cNvSpPr>
          <a:spLocks noChangeAspect="1" noChangeArrowheads="1"/>
        </xdr:cNvSpPr>
      </xdr:nvSpPr>
      <xdr:spPr bwMode="auto">
        <a:xfrm>
          <a:off x="27266900" y="1003554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551</xdr:row>
      <xdr:rowOff>0</xdr:rowOff>
    </xdr:from>
    <xdr:ext cx="304800" cy="302261"/>
    <xdr:sp macro="" textlink="">
      <xdr:nvSpPr>
        <xdr:cNvPr id="28" name="AutoShape 1" descr="rl.jpg">
          <a:extLst>
            <a:ext uri="{FF2B5EF4-FFF2-40B4-BE49-F238E27FC236}">
              <a16:creationId xmlns:a16="http://schemas.microsoft.com/office/drawing/2014/main" id="{F601A80C-25EA-B748-A79D-9933566F7B49}"/>
            </a:ext>
          </a:extLst>
        </xdr:cNvPr>
        <xdr:cNvSpPr>
          <a:spLocks noChangeAspect="1" noChangeArrowheads="1"/>
        </xdr:cNvSpPr>
      </xdr:nvSpPr>
      <xdr:spPr bwMode="auto">
        <a:xfrm>
          <a:off x="28536900" y="1003554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551</xdr:row>
      <xdr:rowOff>0</xdr:rowOff>
    </xdr:from>
    <xdr:ext cx="304800" cy="302261"/>
    <xdr:sp macro="" textlink="">
      <xdr:nvSpPr>
        <xdr:cNvPr id="29" name="AutoShape 2" descr="rl.jpg">
          <a:extLst>
            <a:ext uri="{FF2B5EF4-FFF2-40B4-BE49-F238E27FC236}">
              <a16:creationId xmlns:a16="http://schemas.microsoft.com/office/drawing/2014/main" id="{0C9AD72C-F67D-6C4C-90A4-4F23DF0F5985}"/>
            </a:ext>
          </a:extLst>
        </xdr:cNvPr>
        <xdr:cNvSpPr>
          <a:spLocks noChangeAspect="1" noChangeArrowheads="1"/>
        </xdr:cNvSpPr>
      </xdr:nvSpPr>
      <xdr:spPr bwMode="auto">
        <a:xfrm>
          <a:off x="28536900" y="100355400"/>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549</xdr:row>
      <xdr:rowOff>0</xdr:rowOff>
    </xdr:from>
    <xdr:ext cx="304800" cy="316273"/>
    <xdr:sp macro="" textlink="">
      <xdr:nvSpPr>
        <xdr:cNvPr id="30" name="AutoShape 1" descr="rl.jpg">
          <a:extLst>
            <a:ext uri="{FF2B5EF4-FFF2-40B4-BE49-F238E27FC236}">
              <a16:creationId xmlns:a16="http://schemas.microsoft.com/office/drawing/2014/main" id="{44DDB692-FB6A-E946-9180-555B089D6B98}"/>
            </a:ext>
          </a:extLst>
        </xdr:cNvPr>
        <xdr:cNvSpPr>
          <a:spLocks noChangeAspect="1" noChangeArrowheads="1"/>
        </xdr:cNvSpPr>
      </xdr:nvSpPr>
      <xdr:spPr bwMode="auto">
        <a:xfrm>
          <a:off x="31336512" y="8638953"/>
          <a:ext cx="304800" cy="316273"/>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549</xdr:row>
      <xdr:rowOff>0</xdr:rowOff>
    </xdr:from>
    <xdr:ext cx="304800" cy="316273"/>
    <xdr:sp macro="" textlink="">
      <xdr:nvSpPr>
        <xdr:cNvPr id="31" name="AutoShape 2" descr="rl.jpg">
          <a:extLst>
            <a:ext uri="{FF2B5EF4-FFF2-40B4-BE49-F238E27FC236}">
              <a16:creationId xmlns:a16="http://schemas.microsoft.com/office/drawing/2014/main" id="{4210E269-1844-0C48-BB7C-54DFFA3ED3DB}"/>
            </a:ext>
          </a:extLst>
        </xdr:cNvPr>
        <xdr:cNvSpPr>
          <a:spLocks noChangeAspect="1" noChangeArrowheads="1"/>
        </xdr:cNvSpPr>
      </xdr:nvSpPr>
      <xdr:spPr bwMode="auto">
        <a:xfrm>
          <a:off x="31336512" y="8638953"/>
          <a:ext cx="304800" cy="316273"/>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549</xdr:row>
      <xdr:rowOff>0</xdr:rowOff>
    </xdr:from>
    <xdr:ext cx="304800" cy="316273"/>
    <xdr:sp macro="" textlink="">
      <xdr:nvSpPr>
        <xdr:cNvPr id="32" name="AutoShape 1" descr="rl.jpg">
          <a:extLst>
            <a:ext uri="{FF2B5EF4-FFF2-40B4-BE49-F238E27FC236}">
              <a16:creationId xmlns:a16="http://schemas.microsoft.com/office/drawing/2014/main" id="{B5FA14D4-32FD-4142-B545-1D8B1B1A2401}"/>
            </a:ext>
          </a:extLst>
        </xdr:cNvPr>
        <xdr:cNvSpPr>
          <a:spLocks noChangeAspect="1" noChangeArrowheads="1"/>
        </xdr:cNvSpPr>
      </xdr:nvSpPr>
      <xdr:spPr bwMode="auto">
        <a:xfrm>
          <a:off x="31750000" y="8638953"/>
          <a:ext cx="304800" cy="316273"/>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549</xdr:row>
      <xdr:rowOff>0</xdr:rowOff>
    </xdr:from>
    <xdr:ext cx="304800" cy="316273"/>
    <xdr:sp macro="" textlink="">
      <xdr:nvSpPr>
        <xdr:cNvPr id="33" name="AutoShape 2" descr="rl.jpg">
          <a:extLst>
            <a:ext uri="{FF2B5EF4-FFF2-40B4-BE49-F238E27FC236}">
              <a16:creationId xmlns:a16="http://schemas.microsoft.com/office/drawing/2014/main" id="{BB131047-6C13-F74E-8E47-3AA411E964A7}"/>
            </a:ext>
          </a:extLst>
        </xdr:cNvPr>
        <xdr:cNvSpPr>
          <a:spLocks noChangeAspect="1" noChangeArrowheads="1"/>
        </xdr:cNvSpPr>
      </xdr:nvSpPr>
      <xdr:spPr bwMode="auto">
        <a:xfrm>
          <a:off x="31750000" y="8638953"/>
          <a:ext cx="304800" cy="316273"/>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550</xdr:row>
      <xdr:rowOff>0</xdr:rowOff>
    </xdr:from>
    <xdr:ext cx="304800" cy="302261"/>
    <xdr:sp macro="" textlink="">
      <xdr:nvSpPr>
        <xdr:cNvPr id="34" name="AutoShape 1" descr="rl.jpg">
          <a:extLst>
            <a:ext uri="{FF2B5EF4-FFF2-40B4-BE49-F238E27FC236}">
              <a16:creationId xmlns:a16="http://schemas.microsoft.com/office/drawing/2014/main" id="{DD3ACDBB-63EC-C04B-BCEB-F7163EBEAC54}"/>
            </a:ext>
          </a:extLst>
        </xdr:cNvPr>
        <xdr:cNvSpPr>
          <a:spLocks noChangeAspect="1" noChangeArrowheads="1"/>
        </xdr:cNvSpPr>
      </xdr:nvSpPr>
      <xdr:spPr bwMode="auto">
        <a:xfrm>
          <a:off x="31336512"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550</xdr:row>
      <xdr:rowOff>0</xdr:rowOff>
    </xdr:from>
    <xdr:ext cx="304800" cy="302261"/>
    <xdr:sp macro="" textlink="">
      <xdr:nvSpPr>
        <xdr:cNvPr id="35" name="AutoShape 2" descr="rl.jpg">
          <a:extLst>
            <a:ext uri="{FF2B5EF4-FFF2-40B4-BE49-F238E27FC236}">
              <a16:creationId xmlns:a16="http://schemas.microsoft.com/office/drawing/2014/main" id="{66A4B833-95B5-174E-8C58-73BD284B81E5}"/>
            </a:ext>
          </a:extLst>
        </xdr:cNvPr>
        <xdr:cNvSpPr>
          <a:spLocks noChangeAspect="1" noChangeArrowheads="1"/>
        </xdr:cNvSpPr>
      </xdr:nvSpPr>
      <xdr:spPr bwMode="auto">
        <a:xfrm>
          <a:off x="31336512"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550</xdr:row>
      <xdr:rowOff>0</xdr:rowOff>
    </xdr:from>
    <xdr:ext cx="304800" cy="302261"/>
    <xdr:sp macro="" textlink="">
      <xdr:nvSpPr>
        <xdr:cNvPr id="36" name="AutoShape 1" descr="rl.jpg">
          <a:extLst>
            <a:ext uri="{FF2B5EF4-FFF2-40B4-BE49-F238E27FC236}">
              <a16:creationId xmlns:a16="http://schemas.microsoft.com/office/drawing/2014/main" id="{3F8EA196-CDD5-B246-82EA-12DC409D4274}"/>
            </a:ext>
          </a:extLst>
        </xdr:cNvPr>
        <xdr:cNvSpPr>
          <a:spLocks noChangeAspect="1" noChangeArrowheads="1"/>
        </xdr:cNvSpPr>
      </xdr:nvSpPr>
      <xdr:spPr bwMode="auto">
        <a:xfrm>
          <a:off x="31750000"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550</xdr:row>
      <xdr:rowOff>0</xdr:rowOff>
    </xdr:from>
    <xdr:ext cx="304800" cy="302261"/>
    <xdr:sp macro="" textlink="">
      <xdr:nvSpPr>
        <xdr:cNvPr id="37" name="AutoShape 2" descr="rl.jpg">
          <a:extLst>
            <a:ext uri="{FF2B5EF4-FFF2-40B4-BE49-F238E27FC236}">
              <a16:creationId xmlns:a16="http://schemas.microsoft.com/office/drawing/2014/main" id="{7C427CC4-A92D-5B49-A4B0-E0E724E6B8DC}"/>
            </a:ext>
          </a:extLst>
        </xdr:cNvPr>
        <xdr:cNvSpPr>
          <a:spLocks noChangeAspect="1" noChangeArrowheads="1"/>
        </xdr:cNvSpPr>
      </xdr:nvSpPr>
      <xdr:spPr bwMode="auto">
        <a:xfrm>
          <a:off x="31750000"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551</xdr:row>
      <xdr:rowOff>0</xdr:rowOff>
    </xdr:from>
    <xdr:ext cx="304800" cy="302261"/>
    <xdr:sp macro="" textlink="">
      <xdr:nvSpPr>
        <xdr:cNvPr id="38" name="AutoShape 1" descr="rl.jpg">
          <a:extLst>
            <a:ext uri="{FF2B5EF4-FFF2-40B4-BE49-F238E27FC236}">
              <a16:creationId xmlns:a16="http://schemas.microsoft.com/office/drawing/2014/main" id="{7C74C471-1A79-C248-92AC-B984D9123EB4}"/>
            </a:ext>
          </a:extLst>
        </xdr:cNvPr>
        <xdr:cNvSpPr>
          <a:spLocks noChangeAspect="1" noChangeArrowheads="1"/>
        </xdr:cNvSpPr>
      </xdr:nvSpPr>
      <xdr:spPr bwMode="auto">
        <a:xfrm>
          <a:off x="31336512"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551</xdr:row>
      <xdr:rowOff>0</xdr:rowOff>
    </xdr:from>
    <xdr:ext cx="304800" cy="302261"/>
    <xdr:sp macro="" textlink="">
      <xdr:nvSpPr>
        <xdr:cNvPr id="39" name="AutoShape 2" descr="rl.jpg">
          <a:extLst>
            <a:ext uri="{FF2B5EF4-FFF2-40B4-BE49-F238E27FC236}">
              <a16:creationId xmlns:a16="http://schemas.microsoft.com/office/drawing/2014/main" id="{BCA33C56-8870-A94A-8484-B1B987878E78}"/>
            </a:ext>
          </a:extLst>
        </xdr:cNvPr>
        <xdr:cNvSpPr>
          <a:spLocks noChangeAspect="1" noChangeArrowheads="1"/>
        </xdr:cNvSpPr>
      </xdr:nvSpPr>
      <xdr:spPr bwMode="auto">
        <a:xfrm>
          <a:off x="31336512"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551</xdr:row>
      <xdr:rowOff>0</xdr:rowOff>
    </xdr:from>
    <xdr:ext cx="304800" cy="302261"/>
    <xdr:sp macro="" textlink="">
      <xdr:nvSpPr>
        <xdr:cNvPr id="40" name="AutoShape 1" descr="rl.jpg">
          <a:extLst>
            <a:ext uri="{FF2B5EF4-FFF2-40B4-BE49-F238E27FC236}">
              <a16:creationId xmlns:a16="http://schemas.microsoft.com/office/drawing/2014/main" id="{1CA7B7D0-B416-6B4A-B8F0-2E6974B34729}"/>
            </a:ext>
          </a:extLst>
        </xdr:cNvPr>
        <xdr:cNvSpPr>
          <a:spLocks noChangeAspect="1" noChangeArrowheads="1"/>
        </xdr:cNvSpPr>
      </xdr:nvSpPr>
      <xdr:spPr bwMode="auto">
        <a:xfrm>
          <a:off x="31750000"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551</xdr:row>
      <xdr:rowOff>0</xdr:rowOff>
    </xdr:from>
    <xdr:ext cx="304800" cy="302261"/>
    <xdr:sp macro="" textlink="">
      <xdr:nvSpPr>
        <xdr:cNvPr id="41" name="AutoShape 2" descr="rl.jpg">
          <a:extLst>
            <a:ext uri="{FF2B5EF4-FFF2-40B4-BE49-F238E27FC236}">
              <a16:creationId xmlns:a16="http://schemas.microsoft.com/office/drawing/2014/main" id="{416356D1-1D01-D843-AA0A-5BC1FB96EBCA}"/>
            </a:ext>
          </a:extLst>
        </xdr:cNvPr>
        <xdr:cNvSpPr>
          <a:spLocks noChangeAspect="1" noChangeArrowheads="1"/>
        </xdr:cNvSpPr>
      </xdr:nvSpPr>
      <xdr:spPr bwMode="auto">
        <a:xfrm>
          <a:off x="31750000"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553</xdr:row>
      <xdr:rowOff>0</xdr:rowOff>
    </xdr:from>
    <xdr:ext cx="304800" cy="302261"/>
    <xdr:sp macro="" textlink="">
      <xdr:nvSpPr>
        <xdr:cNvPr id="42" name="AutoShape 1" descr="rl.jpg">
          <a:extLst>
            <a:ext uri="{FF2B5EF4-FFF2-40B4-BE49-F238E27FC236}">
              <a16:creationId xmlns:a16="http://schemas.microsoft.com/office/drawing/2014/main" id="{E987C1D5-3F2A-174D-AD65-408385560FC7}"/>
            </a:ext>
          </a:extLst>
        </xdr:cNvPr>
        <xdr:cNvSpPr>
          <a:spLocks noChangeAspect="1" noChangeArrowheads="1"/>
        </xdr:cNvSpPr>
      </xdr:nvSpPr>
      <xdr:spPr bwMode="auto">
        <a:xfrm>
          <a:off x="31336512"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553</xdr:row>
      <xdr:rowOff>0</xdr:rowOff>
    </xdr:from>
    <xdr:ext cx="304800" cy="302261"/>
    <xdr:sp macro="" textlink="">
      <xdr:nvSpPr>
        <xdr:cNvPr id="43" name="AutoShape 2" descr="rl.jpg">
          <a:extLst>
            <a:ext uri="{FF2B5EF4-FFF2-40B4-BE49-F238E27FC236}">
              <a16:creationId xmlns:a16="http://schemas.microsoft.com/office/drawing/2014/main" id="{9AFE1659-EAB6-1C41-AB16-2F784595885A}"/>
            </a:ext>
          </a:extLst>
        </xdr:cNvPr>
        <xdr:cNvSpPr>
          <a:spLocks noChangeAspect="1" noChangeArrowheads="1"/>
        </xdr:cNvSpPr>
      </xdr:nvSpPr>
      <xdr:spPr bwMode="auto">
        <a:xfrm>
          <a:off x="31336512"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553</xdr:row>
      <xdr:rowOff>0</xdr:rowOff>
    </xdr:from>
    <xdr:ext cx="304800" cy="302261"/>
    <xdr:sp macro="" textlink="">
      <xdr:nvSpPr>
        <xdr:cNvPr id="44" name="AutoShape 1" descr="rl.jpg">
          <a:extLst>
            <a:ext uri="{FF2B5EF4-FFF2-40B4-BE49-F238E27FC236}">
              <a16:creationId xmlns:a16="http://schemas.microsoft.com/office/drawing/2014/main" id="{95C0288D-C4B8-9245-9B85-422278AC3855}"/>
            </a:ext>
          </a:extLst>
        </xdr:cNvPr>
        <xdr:cNvSpPr>
          <a:spLocks noChangeAspect="1" noChangeArrowheads="1"/>
        </xdr:cNvSpPr>
      </xdr:nvSpPr>
      <xdr:spPr bwMode="auto">
        <a:xfrm>
          <a:off x="31750000"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553</xdr:row>
      <xdr:rowOff>0</xdr:rowOff>
    </xdr:from>
    <xdr:ext cx="304800" cy="302261"/>
    <xdr:sp macro="" textlink="">
      <xdr:nvSpPr>
        <xdr:cNvPr id="45" name="AutoShape 2" descr="rl.jpg">
          <a:extLst>
            <a:ext uri="{FF2B5EF4-FFF2-40B4-BE49-F238E27FC236}">
              <a16:creationId xmlns:a16="http://schemas.microsoft.com/office/drawing/2014/main" id="{DD8A910A-A565-614F-98FF-4EA03324D18D}"/>
            </a:ext>
          </a:extLst>
        </xdr:cNvPr>
        <xdr:cNvSpPr>
          <a:spLocks noChangeAspect="1" noChangeArrowheads="1"/>
        </xdr:cNvSpPr>
      </xdr:nvSpPr>
      <xdr:spPr bwMode="auto">
        <a:xfrm>
          <a:off x="31750000"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554</xdr:row>
      <xdr:rowOff>0</xdr:rowOff>
    </xdr:from>
    <xdr:ext cx="304800" cy="302261"/>
    <xdr:sp macro="" textlink="">
      <xdr:nvSpPr>
        <xdr:cNvPr id="46" name="AutoShape 1" descr="rl.jpg">
          <a:extLst>
            <a:ext uri="{FF2B5EF4-FFF2-40B4-BE49-F238E27FC236}">
              <a16:creationId xmlns:a16="http://schemas.microsoft.com/office/drawing/2014/main" id="{DC7037D8-337A-DA4D-978C-E35CA9D74199}"/>
            </a:ext>
          </a:extLst>
        </xdr:cNvPr>
        <xdr:cNvSpPr>
          <a:spLocks noChangeAspect="1" noChangeArrowheads="1"/>
        </xdr:cNvSpPr>
      </xdr:nvSpPr>
      <xdr:spPr bwMode="auto">
        <a:xfrm>
          <a:off x="31336512"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554</xdr:row>
      <xdr:rowOff>0</xdr:rowOff>
    </xdr:from>
    <xdr:ext cx="304800" cy="302261"/>
    <xdr:sp macro="" textlink="">
      <xdr:nvSpPr>
        <xdr:cNvPr id="47" name="AutoShape 2" descr="rl.jpg">
          <a:extLst>
            <a:ext uri="{FF2B5EF4-FFF2-40B4-BE49-F238E27FC236}">
              <a16:creationId xmlns:a16="http://schemas.microsoft.com/office/drawing/2014/main" id="{CBC43553-415B-2C4D-9796-DE944CA34F7E}"/>
            </a:ext>
          </a:extLst>
        </xdr:cNvPr>
        <xdr:cNvSpPr>
          <a:spLocks noChangeAspect="1" noChangeArrowheads="1"/>
        </xdr:cNvSpPr>
      </xdr:nvSpPr>
      <xdr:spPr bwMode="auto">
        <a:xfrm>
          <a:off x="31336512"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554</xdr:row>
      <xdr:rowOff>0</xdr:rowOff>
    </xdr:from>
    <xdr:ext cx="304800" cy="302261"/>
    <xdr:sp macro="" textlink="">
      <xdr:nvSpPr>
        <xdr:cNvPr id="48" name="AutoShape 1" descr="rl.jpg">
          <a:extLst>
            <a:ext uri="{FF2B5EF4-FFF2-40B4-BE49-F238E27FC236}">
              <a16:creationId xmlns:a16="http://schemas.microsoft.com/office/drawing/2014/main" id="{DCA2A72E-CE79-F049-96BF-B5253BAE8EE7}"/>
            </a:ext>
          </a:extLst>
        </xdr:cNvPr>
        <xdr:cNvSpPr>
          <a:spLocks noChangeAspect="1" noChangeArrowheads="1"/>
        </xdr:cNvSpPr>
      </xdr:nvSpPr>
      <xdr:spPr bwMode="auto">
        <a:xfrm>
          <a:off x="31750000"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554</xdr:row>
      <xdr:rowOff>0</xdr:rowOff>
    </xdr:from>
    <xdr:ext cx="304800" cy="302261"/>
    <xdr:sp macro="" textlink="">
      <xdr:nvSpPr>
        <xdr:cNvPr id="49" name="AutoShape 2" descr="rl.jpg">
          <a:extLst>
            <a:ext uri="{FF2B5EF4-FFF2-40B4-BE49-F238E27FC236}">
              <a16:creationId xmlns:a16="http://schemas.microsoft.com/office/drawing/2014/main" id="{77702D23-D1D7-BA43-8D2D-0F77E1B12D5E}"/>
            </a:ext>
          </a:extLst>
        </xdr:cNvPr>
        <xdr:cNvSpPr>
          <a:spLocks noChangeAspect="1" noChangeArrowheads="1"/>
        </xdr:cNvSpPr>
      </xdr:nvSpPr>
      <xdr:spPr bwMode="auto">
        <a:xfrm>
          <a:off x="31750000"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551</xdr:row>
      <xdr:rowOff>0</xdr:rowOff>
    </xdr:from>
    <xdr:ext cx="304800" cy="302261"/>
    <xdr:sp macro="" textlink="">
      <xdr:nvSpPr>
        <xdr:cNvPr id="50" name="AutoShape 1" descr="rl.jpg">
          <a:extLst>
            <a:ext uri="{FF2B5EF4-FFF2-40B4-BE49-F238E27FC236}">
              <a16:creationId xmlns:a16="http://schemas.microsoft.com/office/drawing/2014/main" id="{889F4466-9B05-2F4A-853F-12BB2CBDF28F}"/>
            </a:ext>
          </a:extLst>
        </xdr:cNvPr>
        <xdr:cNvSpPr>
          <a:spLocks noChangeAspect="1" noChangeArrowheads="1"/>
        </xdr:cNvSpPr>
      </xdr:nvSpPr>
      <xdr:spPr bwMode="auto">
        <a:xfrm>
          <a:off x="31336512"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551</xdr:row>
      <xdr:rowOff>0</xdr:rowOff>
    </xdr:from>
    <xdr:ext cx="304800" cy="302261"/>
    <xdr:sp macro="" textlink="">
      <xdr:nvSpPr>
        <xdr:cNvPr id="51" name="AutoShape 2" descr="rl.jpg">
          <a:extLst>
            <a:ext uri="{FF2B5EF4-FFF2-40B4-BE49-F238E27FC236}">
              <a16:creationId xmlns:a16="http://schemas.microsoft.com/office/drawing/2014/main" id="{5F99F327-6006-1345-9902-6742E9ACDE20}"/>
            </a:ext>
          </a:extLst>
        </xdr:cNvPr>
        <xdr:cNvSpPr>
          <a:spLocks noChangeAspect="1" noChangeArrowheads="1"/>
        </xdr:cNvSpPr>
      </xdr:nvSpPr>
      <xdr:spPr bwMode="auto">
        <a:xfrm>
          <a:off x="31336512"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551</xdr:row>
      <xdr:rowOff>0</xdr:rowOff>
    </xdr:from>
    <xdr:ext cx="304800" cy="302261"/>
    <xdr:sp macro="" textlink="">
      <xdr:nvSpPr>
        <xdr:cNvPr id="52" name="AutoShape 1" descr="rl.jpg">
          <a:extLst>
            <a:ext uri="{FF2B5EF4-FFF2-40B4-BE49-F238E27FC236}">
              <a16:creationId xmlns:a16="http://schemas.microsoft.com/office/drawing/2014/main" id="{6D1C5CDE-B1E9-F249-A098-5CD8711D6015}"/>
            </a:ext>
          </a:extLst>
        </xdr:cNvPr>
        <xdr:cNvSpPr>
          <a:spLocks noChangeAspect="1" noChangeArrowheads="1"/>
        </xdr:cNvSpPr>
      </xdr:nvSpPr>
      <xdr:spPr bwMode="auto">
        <a:xfrm>
          <a:off x="31750000"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551</xdr:row>
      <xdr:rowOff>0</xdr:rowOff>
    </xdr:from>
    <xdr:ext cx="304800" cy="302261"/>
    <xdr:sp macro="" textlink="">
      <xdr:nvSpPr>
        <xdr:cNvPr id="53" name="AutoShape 2" descr="rl.jpg">
          <a:extLst>
            <a:ext uri="{FF2B5EF4-FFF2-40B4-BE49-F238E27FC236}">
              <a16:creationId xmlns:a16="http://schemas.microsoft.com/office/drawing/2014/main" id="{923F2B34-FAFC-974F-87E2-BCF8DFBD5C22}"/>
            </a:ext>
          </a:extLst>
        </xdr:cNvPr>
        <xdr:cNvSpPr>
          <a:spLocks noChangeAspect="1" noChangeArrowheads="1"/>
        </xdr:cNvSpPr>
      </xdr:nvSpPr>
      <xdr:spPr bwMode="auto">
        <a:xfrm>
          <a:off x="31750000"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552</xdr:row>
      <xdr:rowOff>0</xdr:rowOff>
    </xdr:from>
    <xdr:ext cx="304800" cy="302261"/>
    <xdr:sp macro="" textlink="">
      <xdr:nvSpPr>
        <xdr:cNvPr id="54" name="AutoShape 1" descr="rl.jpg">
          <a:extLst>
            <a:ext uri="{FF2B5EF4-FFF2-40B4-BE49-F238E27FC236}">
              <a16:creationId xmlns:a16="http://schemas.microsoft.com/office/drawing/2014/main" id="{A662A45D-21E2-184E-A7E4-E3F256F0BBFB}"/>
            </a:ext>
          </a:extLst>
        </xdr:cNvPr>
        <xdr:cNvSpPr>
          <a:spLocks noChangeAspect="1" noChangeArrowheads="1"/>
        </xdr:cNvSpPr>
      </xdr:nvSpPr>
      <xdr:spPr bwMode="auto">
        <a:xfrm>
          <a:off x="31336512"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552</xdr:row>
      <xdr:rowOff>0</xdr:rowOff>
    </xdr:from>
    <xdr:ext cx="304800" cy="302261"/>
    <xdr:sp macro="" textlink="">
      <xdr:nvSpPr>
        <xdr:cNvPr id="55" name="AutoShape 2" descr="rl.jpg">
          <a:extLst>
            <a:ext uri="{FF2B5EF4-FFF2-40B4-BE49-F238E27FC236}">
              <a16:creationId xmlns:a16="http://schemas.microsoft.com/office/drawing/2014/main" id="{5985AAAE-443C-9B4C-A7AE-E966AE7C2E80}"/>
            </a:ext>
          </a:extLst>
        </xdr:cNvPr>
        <xdr:cNvSpPr>
          <a:spLocks noChangeAspect="1" noChangeArrowheads="1"/>
        </xdr:cNvSpPr>
      </xdr:nvSpPr>
      <xdr:spPr bwMode="auto">
        <a:xfrm>
          <a:off x="31336512"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552</xdr:row>
      <xdr:rowOff>0</xdr:rowOff>
    </xdr:from>
    <xdr:ext cx="304800" cy="302261"/>
    <xdr:sp macro="" textlink="">
      <xdr:nvSpPr>
        <xdr:cNvPr id="56" name="AutoShape 1" descr="rl.jpg">
          <a:extLst>
            <a:ext uri="{FF2B5EF4-FFF2-40B4-BE49-F238E27FC236}">
              <a16:creationId xmlns:a16="http://schemas.microsoft.com/office/drawing/2014/main" id="{8EF9DC00-F277-0141-A248-930B7B9A82B0}"/>
            </a:ext>
          </a:extLst>
        </xdr:cNvPr>
        <xdr:cNvSpPr>
          <a:spLocks noChangeAspect="1" noChangeArrowheads="1"/>
        </xdr:cNvSpPr>
      </xdr:nvSpPr>
      <xdr:spPr bwMode="auto">
        <a:xfrm>
          <a:off x="31750000"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552</xdr:row>
      <xdr:rowOff>0</xdr:rowOff>
    </xdr:from>
    <xdr:ext cx="304800" cy="302261"/>
    <xdr:sp macro="" textlink="">
      <xdr:nvSpPr>
        <xdr:cNvPr id="57" name="AutoShape 2" descr="rl.jpg">
          <a:extLst>
            <a:ext uri="{FF2B5EF4-FFF2-40B4-BE49-F238E27FC236}">
              <a16:creationId xmlns:a16="http://schemas.microsoft.com/office/drawing/2014/main" id="{A5D4DF7C-6D6C-2E4C-93CA-1D0647A941B9}"/>
            </a:ext>
          </a:extLst>
        </xdr:cNvPr>
        <xdr:cNvSpPr>
          <a:spLocks noChangeAspect="1" noChangeArrowheads="1"/>
        </xdr:cNvSpPr>
      </xdr:nvSpPr>
      <xdr:spPr bwMode="auto">
        <a:xfrm>
          <a:off x="31750000" y="8638953"/>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550</xdr:row>
      <xdr:rowOff>0</xdr:rowOff>
    </xdr:from>
    <xdr:ext cx="304800" cy="312035"/>
    <xdr:sp macro="" textlink="">
      <xdr:nvSpPr>
        <xdr:cNvPr id="58" name="AutoShape 1" descr="rl.jpg">
          <a:extLst>
            <a:ext uri="{FF2B5EF4-FFF2-40B4-BE49-F238E27FC236}">
              <a16:creationId xmlns:a16="http://schemas.microsoft.com/office/drawing/2014/main" id="{944DF2E7-A361-AB40-96DE-4FB473A5DC94}"/>
            </a:ext>
          </a:extLst>
        </xdr:cNvPr>
        <xdr:cNvSpPr>
          <a:spLocks noChangeAspect="1" noChangeArrowheads="1"/>
        </xdr:cNvSpPr>
      </xdr:nvSpPr>
      <xdr:spPr bwMode="auto">
        <a:xfrm>
          <a:off x="16543130" y="8492435"/>
          <a:ext cx="304800" cy="312035"/>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550</xdr:row>
      <xdr:rowOff>0</xdr:rowOff>
    </xdr:from>
    <xdr:ext cx="304800" cy="312035"/>
    <xdr:sp macro="" textlink="">
      <xdr:nvSpPr>
        <xdr:cNvPr id="59" name="AutoShape 2" descr="rl.jpg">
          <a:extLst>
            <a:ext uri="{FF2B5EF4-FFF2-40B4-BE49-F238E27FC236}">
              <a16:creationId xmlns:a16="http://schemas.microsoft.com/office/drawing/2014/main" id="{4104B6C1-FB9D-0E43-9CD6-D7A234D3A02E}"/>
            </a:ext>
          </a:extLst>
        </xdr:cNvPr>
        <xdr:cNvSpPr>
          <a:spLocks noChangeAspect="1" noChangeArrowheads="1"/>
        </xdr:cNvSpPr>
      </xdr:nvSpPr>
      <xdr:spPr bwMode="auto">
        <a:xfrm>
          <a:off x="16543130" y="8492435"/>
          <a:ext cx="304800" cy="312035"/>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551</xdr:row>
      <xdr:rowOff>0</xdr:rowOff>
    </xdr:from>
    <xdr:ext cx="304800" cy="302261"/>
    <xdr:sp macro="" textlink="">
      <xdr:nvSpPr>
        <xdr:cNvPr id="60" name="AutoShape 1" descr="rl.jpg">
          <a:extLst>
            <a:ext uri="{FF2B5EF4-FFF2-40B4-BE49-F238E27FC236}">
              <a16:creationId xmlns:a16="http://schemas.microsoft.com/office/drawing/2014/main" id="{00D1AF6B-27D7-734D-B4D9-E141630480D2}"/>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551</xdr:row>
      <xdr:rowOff>0</xdr:rowOff>
    </xdr:from>
    <xdr:ext cx="304800" cy="302261"/>
    <xdr:sp macro="" textlink="">
      <xdr:nvSpPr>
        <xdr:cNvPr id="61" name="AutoShape 2" descr="rl.jpg">
          <a:extLst>
            <a:ext uri="{FF2B5EF4-FFF2-40B4-BE49-F238E27FC236}">
              <a16:creationId xmlns:a16="http://schemas.microsoft.com/office/drawing/2014/main" id="{331482B9-3E96-A843-9E2B-21B0327B3673}"/>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552</xdr:row>
      <xdr:rowOff>0</xdr:rowOff>
    </xdr:from>
    <xdr:ext cx="304800" cy="302261"/>
    <xdr:sp macro="" textlink="">
      <xdr:nvSpPr>
        <xdr:cNvPr id="62" name="AutoShape 1" descr="rl.jpg">
          <a:extLst>
            <a:ext uri="{FF2B5EF4-FFF2-40B4-BE49-F238E27FC236}">
              <a16:creationId xmlns:a16="http://schemas.microsoft.com/office/drawing/2014/main" id="{26020946-9FD3-CD4E-A879-08D32ED8C84E}"/>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552</xdr:row>
      <xdr:rowOff>0</xdr:rowOff>
    </xdr:from>
    <xdr:ext cx="304800" cy="302261"/>
    <xdr:sp macro="" textlink="">
      <xdr:nvSpPr>
        <xdr:cNvPr id="63" name="AutoShape 2" descr="rl.jpg">
          <a:extLst>
            <a:ext uri="{FF2B5EF4-FFF2-40B4-BE49-F238E27FC236}">
              <a16:creationId xmlns:a16="http://schemas.microsoft.com/office/drawing/2014/main" id="{5C703F06-123A-8D4A-808D-4346A8BF93A0}"/>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554</xdr:row>
      <xdr:rowOff>0</xdr:rowOff>
    </xdr:from>
    <xdr:ext cx="304800" cy="302261"/>
    <xdr:sp macro="" textlink="">
      <xdr:nvSpPr>
        <xdr:cNvPr id="64" name="AutoShape 1" descr="rl.jpg">
          <a:extLst>
            <a:ext uri="{FF2B5EF4-FFF2-40B4-BE49-F238E27FC236}">
              <a16:creationId xmlns:a16="http://schemas.microsoft.com/office/drawing/2014/main" id="{376AADA1-EC71-6F49-A282-B3D14C6E60B4}"/>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554</xdr:row>
      <xdr:rowOff>0</xdr:rowOff>
    </xdr:from>
    <xdr:ext cx="304800" cy="302261"/>
    <xdr:sp macro="" textlink="">
      <xdr:nvSpPr>
        <xdr:cNvPr id="65" name="AutoShape 2" descr="rl.jpg">
          <a:extLst>
            <a:ext uri="{FF2B5EF4-FFF2-40B4-BE49-F238E27FC236}">
              <a16:creationId xmlns:a16="http://schemas.microsoft.com/office/drawing/2014/main" id="{66A6D0E0-F9C6-6C41-9DBF-029EA7D4D279}"/>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555</xdr:row>
      <xdr:rowOff>0</xdr:rowOff>
    </xdr:from>
    <xdr:ext cx="304800" cy="302261"/>
    <xdr:sp macro="" textlink="">
      <xdr:nvSpPr>
        <xdr:cNvPr id="66" name="AutoShape 1" descr="rl.jpg">
          <a:extLst>
            <a:ext uri="{FF2B5EF4-FFF2-40B4-BE49-F238E27FC236}">
              <a16:creationId xmlns:a16="http://schemas.microsoft.com/office/drawing/2014/main" id="{4AC4BED3-D390-4B49-8144-25F1F4405FEE}"/>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555</xdr:row>
      <xdr:rowOff>0</xdr:rowOff>
    </xdr:from>
    <xdr:ext cx="304800" cy="302261"/>
    <xdr:sp macro="" textlink="">
      <xdr:nvSpPr>
        <xdr:cNvPr id="67" name="AutoShape 2" descr="rl.jpg">
          <a:extLst>
            <a:ext uri="{FF2B5EF4-FFF2-40B4-BE49-F238E27FC236}">
              <a16:creationId xmlns:a16="http://schemas.microsoft.com/office/drawing/2014/main" id="{E5F10BD8-A7AB-754A-96BA-03BA8F4F7721}"/>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552</xdr:row>
      <xdr:rowOff>0</xdr:rowOff>
    </xdr:from>
    <xdr:ext cx="304800" cy="302261"/>
    <xdr:sp macro="" textlink="">
      <xdr:nvSpPr>
        <xdr:cNvPr id="68" name="AutoShape 1" descr="rl.jpg">
          <a:extLst>
            <a:ext uri="{FF2B5EF4-FFF2-40B4-BE49-F238E27FC236}">
              <a16:creationId xmlns:a16="http://schemas.microsoft.com/office/drawing/2014/main" id="{4A930CA9-901D-B24B-8982-8CF8DA2B1B6A}"/>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552</xdr:row>
      <xdr:rowOff>0</xdr:rowOff>
    </xdr:from>
    <xdr:ext cx="304800" cy="302261"/>
    <xdr:sp macro="" textlink="">
      <xdr:nvSpPr>
        <xdr:cNvPr id="69" name="AutoShape 2" descr="rl.jpg">
          <a:extLst>
            <a:ext uri="{FF2B5EF4-FFF2-40B4-BE49-F238E27FC236}">
              <a16:creationId xmlns:a16="http://schemas.microsoft.com/office/drawing/2014/main" id="{A8036A09-B5AC-A849-B961-FAB9DD97BAC5}"/>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553</xdr:row>
      <xdr:rowOff>0</xdr:rowOff>
    </xdr:from>
    <xdr:ext cx="304800" cy="302261"/>
    <xdr:sp macro="" textlink="">
      <xdr:nvSpPr>
        <xdr:cNvPr id="70" name="AutoShape 1" descr="rl.jpg">
          <a:extLst>
            <a:ext uri="{FF2B5EF4-FFF2-40B4-BE49-F238E27FC236}">
              <a16:creationId xmlns:a16="http://schemas.microsoft.com/office/drawing/2014/main" id="{AB0377D4-C496-6E4E-8188-CD4856E7B025}"/>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553</xdr:row>
      <xdr:rowOff>0</xdr:rowOff>
    </xdr:from>
    <xdr:ext cx="304800" cy="302261"/>
    <xdr:sp macro="" textlink="">
      <xdr:nvSpPr>
        <xdr:cNvPr id="71" name="AutoShape 2" descr="rl.jpg">
          <a:extLst>
            <a:ext uri="{FF2B5EF4-FFF2-40B4-BE49-F238E27FC236}">
              <a16:creationId xmlns:a16="http://schemas.microsoft.com/office/drawing/2014/main" id="{15AF3132-BB2E-7C40-8821-02B19EFCB1A4}"/>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551</xdr:row>
      <xdr:rowOff>0</xdr:rowOff>
    </xdr:from>
    <xdr:ext cx="304800" cy="316273"/>
    <xdr:sp macro="" textlink="">
      <xdr:nvSpPr>
        <xdr:cNvPr id="72" name="AutoShape 1" descr="rl.jpg">
          <a:extLst>
            <a:ext uri="{FF2B5EF4-FFF2-40B4-BE49-F238E27FC236}">
              <a16:creationId xmlns:a16="http://schemas.microsoft.com/office/drawing/2014/main" id="{94EB9484-5B8F-C444-8588-B33D1F170F85}"/>
            </a:ext>
          </a:extLst>
        </xdr:cNvPr>
        <xdr:cNvSpPr>
          <a:spLocks noChangeAspect="1" noChangeArrowheads="1"/>
        </xdr:cNvSpPr>
      </xdr:nvSpPr>
      <xdr:spPr bwMode="auto">
        <a:xfrm>
          <a:off x="16543130" y="8492435"/>
          <a:ext cx="304800" cy="316273"/>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551</xdr:row>
      <xdr:rowOff>0</xdr:rowOff>
    </xdr:from>
    <xdr:ext cx="304800" cy="316273"/>
    <xdr:sp macro="" textlink="">
      <xdr:nvSpPr>
        <xdr:cNvPr id="73" name="AutoShape 2" descr="rl.jpg">
          <a:extLst>
            <a:ext uri="{FF2B5EF4-FFF2-40B4-BE49-F238E27FC236}">
              <a16:creationId xmlns:a16="http://schemas.microsoft.com/office/drawing/2014/main" id="{FABDF94D-D488-7045-B74F-8B7A78C452A5}"/>
            </a:ext>
          </a:extLst>
        </xdr:cNvPr>
        <xdr:cNvSpPr>
          <a:spLocks noChangeAspect="1" noChangeArrowheads="1"/>
        </xdr:cNvSpPr>
      </xdr:nvSpPr>
      <xdr:spPr bwMode="auto">
        <a:xfrm>
          <a:off x="16543130" y="8492435"/>
          <a:ext cx="304800" cy="316273"/>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552</xdr:row>
      <xdr:rowOff>0</xdr:rowOff>
    </xdr:from>
    <xdr:ext cx="304800" cy="302261"/>
    <xdr:sp macro="" textlink="">
      <xdr:nvSpPr>
        <xdr:cNvPr id="74" name="AutoShape 1" descr="rl.jpg">
          <a:extLst>
            <a:ext uri="{FF2B5EF4-FFF2-40B4-BE49-F238E27FC236}">
              <a16:creationId xmlns:a16="http://schemas.microsoft.com/office/drawing/2014/main" id="{7E1076AE-5BD4-6A4E-973F-D22F86483A09}"/>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552</xdr:row>
      <xdr:rowOff>0</xdr:rowOff>
    </xdr:from>
    <xdr:ext cx="304800" cy="302261"/>
    <xdr:sp macro="" textlink="">
      <xdr:nvSpPr>
        <xdr:cNvPr id="75" name="AutoShape 2" descr="rl.jpg">
          <a:extLst>
            <a:ext uri="{FF2B5EF4-FFF2-40B4-BE49-F238E27FC236}">
              <a16:creationId xmlns:a16="http://schemas.microsoft.com/office/drawing/2014/main" id="{FE347D7E-98CF-944C-8961-F23F3E6F136D}"/>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553</xdr:row>
      <xdr:rowOff>0</xdr:rowOff>
    </xdr:from>
    <xdr:ext cx="304800" cy="302261"/>
    <xdr:sp macro="" textlink="">
      <xdr:nvSpPr>
        <xdr:cNvPr id="76" name="AutoShape 1" descr="rl.jpg">
          <a:extLst>
            <a:ext uri="{FF2B5EF4-FFF2-40B4-BE49-F238E27FC236}">
              <a16:creationId xmlns:a16="http://schemas.microsoft.com/office/drawing/2014/main" id="{1893A980-68C2-214D-94F1-06E9CA4BA27B}"/>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553</xdr:row>
      <xdr:rowOff>0</xdr:rowOff>
    </xdr:from>
    <xdr:ext cx="304800" cy="302261"/>
    <xdr:sp macro="" textlink="">
      <xdr:nvSpPr>
        <xdr:cNvPr id="77" name="AutoShape 2" descr="rl.jpg">
          <a:extLst>
            <a:ext uri="{FF2B5EF4-FFF2-40B4-BE49-F238E27FC236}">
              <a16:creationId xmlns:a16="http://schemas.microsoft.com/office/drawing/2014/main" id="{12AEB626-8C3E-0741-ADC6-63827858D7B8}"/>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555</xdr:row>
      <xdr:rowOff>0</xdr:rowOff>
    </xdr:from>
    <xdr:ext cx="304800" cy="302261"/>
    <xdr:sp macro="" textlink="">
      <xdr:nvSpPr>
        <xdr:cNvPr id="78" name="AutoShape 1" descr="rl.jpg">
          <a:extLst>
            <a:ext uri="{FF2B5EF4-FFF2-40B4-BE49-F238E27FC236}">
              <a16:creationId xmlns:a16="http://schemas.microsoft.com/office/drawing/2014/main" id="{49C506DE-AD87-ED40-AFB1-6F8EF648096C}"/>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555</xdr:row>
      <xdr:rowOff>0</xdr:rowOff>
    </xdr:from>
    <xdr:ext cx="304800" cy="302261"/>
    <xdr:sp macro="" textlink="">
      <xdr:nvSpPr>
        <xdr:cNvPr id="79" name="AutoShape 2" descr="rl.jpg">
          <a:extLst>
            <a:ext uri="{FF2B5EF4-FFF2-40B4-BE49-F238E27FC236}">
              <a16:creationId xmlns:a16="http://schemas.microsoft.com/office/drawing/2014/main" id="{69267A79-E192-9148-B9CF-10053049722D}"/>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556</xdr:row>
      <xdr:rowOff>0</xdr:rowOff>
    </xdr:from>
    <xdr:ext cx="304800" cy="302261"/>
    <xdr:sp macro="" textlink="">
      <xdr:nvSpPr>
        <xdr:cNvPr id="80" name="AutoShape 1" descr="rl.jpg">
          <a:extLst>
            <a:ext uri="{FF2B5EF4-FFF2-40B4-BE49-F238E27FC236}">
              <a16:creationId xmlns:a16="http://schemas.microsoft.com/office/drawing/2014/main" id="{92618B81-0B88-C841-9D02-9523A74F7E21}"/>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556</xdr:row>
      <xdr:rowOff>0</xdr:rowOff>
    </xdr:from>
    <xdr:ext cx="304800" cy="302261"/>
    <xdr:sp macro="" textlink="">
      <xdr:nvSpPr>
        <xdr:cNvPr id="81" name="AutoShape 2" descr="rl.jpg">
          <a:extLst>
            <a:ext uri="{FF2B5EF4-FFF2-40B4-BE49-F238E27FC236}">
              <a16:creationId xmlns:a16="http://schemas.microsoft.com/office/drawing/2014/main" id="{11E34DA7-F887-CF40-A689-1D0CBCE54308}"/>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553</xdr:row>
      <xdr:rowOff>0</xdr:rowOff>
    </xdr:from>
    <xdr:ext cx="304800" cy="302261"/>
    <xdr:sp macro="" textlink="">
      <xdr:nvSpPr>
        <xdr:cNvPr id="82" name="AutoShape 1" descr="rl.jpg">
          <a:extLst>
            <a:ext uri="{FF2B5EF4-FFF2-40B4-BE49-F238E27FC236}">
              <a16:creationId xmlns:a16="http://schemas.microsoft.com/office/drawing/2014/main" id="{564A0D53-514E-CD4B-8572-FC68EDF1FCB2}"/>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553</xdr:row>
      <xdr:rowOff>0</xdr:rowOff>
    </xdr:from>
    <xdr:ext cx="304800" cy="302261"/>
    <xdr:sp macro="" textlink="">
      <xdr:nvSpPr>
        <xdr:cNvPr id="83" name="AutoShape 2" descr="rl.jpg">
          <a:extLst>
            <a:ext uri="{FF2B5EF4-FFF2-40B4-BE49-F238E27FC236}">
              <a16:creationId xmlns:a16="http://schemas.microsoft.com/office/drawing/2014/main" id="{507A63B4-4744-694D-B0CB-4B1337BCC737}"/>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554</xdr:row>
      <xdr:rowOff>0</xdr:rowOff>
    </xdr:from>
    <xdr:ext cx="304800" cy="302261"/>
    <xdr:sp macro="" textlink="">
      <xdr:nvSpPr>
        <xdr:cNvPr id="84" name="AutoShape 1" descr="rl.jpg">
          <a:extLst>
            <a:ext uri="{FF2B5EF4-FFF2-40B4-BE49-F238E27FC236}">
              <a16:creationId xmlns:a16="http://schemas.microsoft.com/office/drawing/2014/main" id="{6BFB30B2-AB20-814A-98B0-691D396152A8}"/>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40</xdr:col>
      <xdr:colOff>0</xdr:colOff>
      <xdr:row>554</xdr:row>
      <xdr:rowOff>0</xdr:rowOff>
    </xdr:from>
    <xdr:ext cx="304800" cy="302261"/>
    <xdr:sp macro="" textlink="">
      <xdr:nvSpPr>
        <xdr:cNvPr id="85" name="AutoShape 2" descr="rl.jpg">
          <a:extLst>
            <a:ext uri="{FF2B5EF4-FFF2-40B4-BE49-F238E27FC236}">
              <a16:creationId xmlns:a16="http://schemas.microsoft.com/office/drawing/2014/main" id="{853ACC1A-BDDC-3845-BBB1-303A36BE204E}"/>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550</xdr:row>
      <xdr:rowOff>0</xdr:rowOff>
    </xdr:from>
    <xdr:ext cx="304800" cy="312035"/>
    <xdr:sp macro="" textlink="">
      <xdr:nvSpPr>
        <xdr:cNvPr id="86" name="AutoShape 1" descr="rl.jpg">
          <a:extLst>
            <a:ext uri="{FF2B5EF4-FFF2-40B4-BE49-F238E27FC236}">
              <a16:creationId xmlns:a16="http://schemas.microsoft.com/office/drawing/2014/main" id="{0D641AFA-02DE-FC4C-946A-A25A57C920A2}"/>
            </a:ext>
          </a:extLst>
        </xdr:cNvPr>
        <xdr:cNvSpPr>
          <a:spLocks noChangeAspect="1" noChangeArrowheads="1"/>
        </xdr:cNvSpPr>
      </xdr:nvSpPr>
      <xdr:spPr bwMode="auto">
        <a:xfrm>
          <a:off x="16543130" y="8492435"/>
          <a:ext cx="304800" cy="312035"/>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550</xdr:row>
      <xdr:rowOff>0</xdr:rowOff>
    </xdr:from>
    <xdr:ext cx="304800" cy="312035"/>
    <xdr:sp macro="" textlink="">
      <xdr:nvSpPr>
        <xdr:cNvPr id="87" name="AutoShape 2" descr="rl.jpg">
          <a:extLst>
            <a:ext uri="{FF2B5EF4-FFF2-40B4-BE49-F238E27FC236}">
              <a16:creationId xmlns:a16="http://schemas.microsoft.com/office/drawing/2014/main" id="{9F27ED83-1126-B44C-8D05-434D3391A323}"/>
            </a:ext>
          </a:extLst>
        </xdr:cNvPr>
        <xdr:cNvSpPr>
          <a:spLocks noChangeAspect="1" noChangeArrowheads="1"/>
        </xdr:cNvSpPr>
      </xdr:nvSpPr>
      <xdr:spPr bwMode="auto">
        <a:xfrm>
          <a:off x="16543130" y="8492435"/>
          <a:ext cx="304800" cy="312035"/>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551</xdr:row>
      <xdr:rowOff>0</xdr:rowOff>
    </xdr:from>
    <xdr:ext cx="304800" cy="302261"/>
    <xdr:sp macro="" textlink="">
      <xdr:nvSpPr>
        <xdr:cNvPr id="88" name="AutoShape 1" descr="rl.jpg">
          <a:extLst>
            <a:ext uri="{FF2B5EF4-FFF2-40B4-BE49-F238E27FC236}">
              <a16:creationId xmlns:a16="http://schemas.microsoft.com/office/drawing/2014/main" id="{694D845F-F63B-6341-9375-016647590907}"/>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551</xdr:row>
      <xdr:rowOff>0</xdr:rowOff>
    </xdr:from>
    <xdr:ext cx="304800" cy="302261"/>
    <xdr:sp macro="" textlink="">
      <xdr:nvSpPr>
        <xdr:cNvPr id="89" name="AutoShape 2" descr="rl.jpg">
          <a:extLst>
            <a:ext uri="{FF2B5EF4-FFF2-40B4-BE49-F238E27FC236}">
              <a16:creationId xmlns:a16="http://schemas.microsoft.com/office/drawing/2014/main" id="{CA7B7432-AF5D-8E40-B5AB-0964ECAF32D6}"/>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552</xdr:row>
      <xdr:rowOff>0</xdr:rowOff>
    </xdr:from>
    <xdr:ext cx="304800" cy="302261"/>
    <xdr:sp macro="" textlink="">
      <xdr:nvSpPr>
        <xdr:cNvPr id="90" name="AutoShape 1" descr="rl.jpg">
          <a:extLst>
            <a:ext uri="{FF2B5EF4-FFF2-40B4-BE49-F238E27FC236}">
              <a16:creationId xmlns:a16="http://schemas.microsoft.com/office/drawing/2014/main" id="{88712FA6-FA04-3C40-953C-6FA9FDFDC914}"/>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552</xdr:row>
      <xdr:rowOff>0</xdr:rowOff>
    </xdr:from>
    <xdr:ext cx="304800" cy="302261"/>
    <xdr:sp macro="" textlink="">
      <xdr:nvSpPr>
        <xdr:cNvPr id="91" name="AutoShape 2" descr="rl.jpg">
          <a:extLst>
            <a:ext uri="{FF2B5EF4-FFF2-40B4-BE49-F238E27FC236}">
              <a16:creationId xmlns:a16="http://schemas.microsoft.com/office/drawing/2014/main" id="{3366B1B2-982D-974B-8C07-93B4670B69A8}"/>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554</xdr:row>
      <xdr:rowOff>0</xdr:rowOff>
    </xdr:from>
    <xdr:ext cx="304800" cy="302261"/>
    <xdr:sp macro="" textlink="">
      <xdr:nvSpPr>
        <xdr:cNvPr id="92" name="AutoShape 1" descr="rl.jpg">
          <a:extLst>
            <a:ext uri="{FF2B5EF4-FFF2-40B4-BE49-F238E27FC236}">
              <a16:creationId xmlns:a16="http://schemas.microsoft.com/office/drawing/2014/main" id="{4CF456F5-7C04-8449-A012-E0491A17E423}"/>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554</xdr:row>
      <xdr:rowOff>0</xdr:rowOff>
    </xdr:from>
    <xdr:ext cx="304800" cy="302261"/>
    <xdr:sp macro="" textlink="">
      <xdr:nvSpPr>
        <xdr:cNvPr id="93" name="AutoShape 2" descr="rl.jpg">
          <a:extLst>
            <a:ext uri="{FF2B5EF4-FFF2-40B4-BE49-F238E27FC236}">
              <a16:creationId xmlns:a16="http://schemas.microsoft.com/office/drawing/2014/main" id="{CFBE5548-B63B-4044-B5AC-42AE75592416}"/>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555</xdr:row>
      <xdr:rowOff>0</xdr:rowOff>
    </xdr:from>
    <xdr:ext cx="304800" cy="302261"/>
    <xdr:sp macro="" textlink="">
      <xdr:nvSpPr>
        <xdr:cNvPr id="94" name="AutoShape 1" descr="rl.jpg">
          <a:extLst>
            <a:ext uri="{FF2B5EF4-FFF2-40B4-BE49-F238E27FC236}">
              <a16:creationId xmlns:a16="http://schemas.microsoft.com/office/drawing/2014/main" id="{97470A21-AB2A-7A4A-828B-11B05ED2505E}"/>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555</xdr:row>
      <xdr:rowOff>0</xdr:rowOff>
    </xdr:from>
    <xdr:ext cx="304800" cy="302261"/>
    <xdr:sp macro="" textlink="">
      <xdr:nvSpPr>
        <xdr:cNvPr id="95" name="AutoShape 2" descr="rl.jpg">
          <a:extLst>
            <a:ext uri="{FF2B5EF4-FFF2-40B4-BE49-F238E27FC236}">
              <a16:creationId xmlns:a16="http://schemas.microsoft.com/office/drawing/2014/main" id="{6568616D-4EB3-4E48-B4E5-B94EEC52183B}"/>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552</xdr:row>
      <xdr:rowOff>0</xdr:rowOff>
    </xdr:from>
    <xdr:ext cx="304800" cy="302261"/>
    <xdr:sp macro="" textlink="">
      <xdr:nvSpPr>
        <xdr:cNvPr id="96" name="AutoShape 1" descr="rl.jpg">
          <a:extLst>
            <a:ext uri="{FF2B5EF4-FFF2-40B4-BE49-F238E27FC236}">
              <a16:creationId xmlns:a16="http://schemas.microsoft.com/office/drawing/2014/main" id="{7C3C9E9B-C514-FC42-BD4C-FD9B58BDE469}"/>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552</xdr:row>
      <xdr:rowOff>0</xdr:rowOff>
    </xdr:from>
    <xdr:ext cx="304800" cy="302261"/>
    <xdr:sp macro="" textlink="">
      <xdr:nvSpPr>
        <xdr:cNvPr id="97" name="AutoShape 2" descr="rl.jpg">
          <a:extLst>
            <a:ext uri="{FF2B5EF4-FFF2-40B4-BE49-F238E27FC236}">
              <a16:creationId xmlns:a16="http://schemas.microsoft.com/office/drawing/2014/main" id="{6FA34A9C-B18F-5944-AD86-495170704D7B}"/>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553</xdr:row>
      <xdr:rowOff>0</xdr:rowOff>
    </xdr:from>
    <xdr:ext cx="304800" cy="302261"/>
    <xdr:sp macro="" textlink="">
      <xdr:nvSpPr>
        <xdr:cNvPr id="98" name="AutoShape 1" descr="rl.jpg">
          <a:extLst>
            <a:ext uri="{FF2B5EF4-FFF2-40B4-BE49-F238E27FC236}">
              <a16:creationId xmlns:a16="http://schemas.microsoft.com/office/drawing/2014/main" id="{F2131D84-F339-1A4F-8D81-0134306E9EE5}"/>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553</xdr:row>
      <xdr:rowOff>0</xdr:rowOff>
    </xdr:from>
    <xdr:ext cx="304800" cy="302261"/>
    <xdr:sp macro="" textlink="">
      <xdr:nvSpPr>
        <xdr:cNvPr id="99" name="AutoShape 2" descr="rl.jpg">
          <a:extLst>
            <a:ext uri="{FF2B5EF4-FFF2-40B4-BE49-F238E27FC236}">
              <a16:creationId xmlns:a16="http://schemas.microsoft.com/office/drawing/2014/main" id="{88B55890-966E-3C40-9F1B-E435FAD4535B}"/>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551</xdr:row>
      <xdr:rowOff>0</xdr:rowOff>
    </xdr:from>
    <xdr:ext cx="304800" cy="316273"/>
    <xdr:sp macro="" textlink="">
      <xdr:nvSpPr>
        <xdr:cNvPr id="100" name="AutoShape 1" descr="rl.jpg">
          <a:extLst>
            <a:ext uri="{FF2B5EF4-FFF2-40B4-BE49-F238E27FC236}">
              <a16:creationId xmlns:a16="http://schemas.microsoft.com/office/drawing/2014/main" id="{BB53CC15-D59E-7348-98FF-F003B16FF476}"/>
            </a:ext>
          </a:extLst>
        </xdr:cNvPr>
        <xdr:cNvSpPr>
          <a:spLocks noChangeAspect="1" noChangeArrowheads="1"/>
        </xdr:cNvSpPr>
      </xdr:nvSpPr>
      <xdr:spPr bwMode="auto">
        <a:xfrm>
          <a:off x="16543130" y="8492435"/>
          <a:ext cx="304800" cy="316273"/>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551</xdr:row>
      <xdr:rowOff>0</xdr:rowOff>
    </xdr:from>
    <xdr:ext cx="304800" cy="316273"/>
    <xdr:sp macro="" textlink="">
      <xdr:nvSpPr>
        <xdr:cNvPr id="101" name="AutoShape 2" descr="rl.jpg">
          <a:extLst>
            <a:ext uri="{FF2B5EF4-FFF2-40B4-BE49-F238E27FC236}">
              <a16:creationId xmlns:a16="http://schemas.microsoft.com/office/drawing/2014/main" id="{674B6CC3-7E95-0345-936F-6B746D60BC1C}"/>
            </a:ext>
          </a:extLst>
        </xdr:cNvPr>
        <xdr:cNvSpPr>
          <a:spLocks noChangeAspect="1" noChangeArrowheads="1"/>
        </xdr:cNvSpPr>
      </xdr:nvSpPr>
      <xdr:spPr bwMode="auto">
        <a:xfrm>
          <a:off x="16543130" y="8492435"/>
          <a:ext cx="304800" cy="316273"/>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552</xdr:row>
      <xdr:rowOff>0</xdr:rowOff>
    </xdr:from>
    <xdr:ext cx="304800" cy="302261"/>
    <xdr:sp macro="" textlink="">
      <xdr:nvSpPr>
        <xdr:cNvPr id="102" name="AutoShape 1" descr="rl.jpg">
          <a:extLst>
            <a:ext uri="{FF2B5EF4-FFF2-40B4-BE49-F238E27FC236}">
              <a16:creationId xmlns:a16="http://schemas.microsoft.com/office/drawing/2014/main" id="{BD353970-B775-CC4E-89DC-63A7BCDFA1AC}"/>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552</xdr:row>
      <xdr:rowOff>0</xdr:rowOff>
    </xdr:from>
    <xdr:ext cx="304800" cy="302261"/>
    <xdr:sp macro="" textlink="">
      <xdr:nvSpPr>
        <xdr:cNvPr id="103" name="AutoShape 2" descr="rl.jpg">
          <a:extLst>
            <a:ext uri="{FF2B5EF4-FFF2-40B4-BE49-F238E27FC236}">
              <a16:creationId xmlns:a16="http://schemas.microsoft.com/office/drawing/2014/main" id="{22138CCF-84B3-C345-B267-BA43175E4B86}"/>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553</xdr:row>
      <xdr:rowOff>0</xdr:rowOff>
    </xdr:from>
    <xdr:ext cx="304800" cy="302261"/>
    <xdr:sp macro="" textlink="">
      <xdr:nvSpPr>
        <xdr:cNvPr id="104" name="AutoShape 1" descr="rl.jpg">
          <a:extLst>
            <a:ext uri="{FF2B5EF4-FFF2-40B4-BE49-F238E27FC236}">
              <a16:creationId xmlns:a16="http://schemas.microsoft.com/office/drawing/2014/main" id="{E159BBAA-2329-8248-BBCB-8D35A38DE0DE}"/>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553</xdr:row>
      <xdr:rowOff>0</xdr:rowOff>
    </xdr:from>
    <xdr:ext cx="304800" cy="302261"/>
    <xdr:sp macro="" textlink="">
      <xdr:nvSpPr>
        <xdr:cNvPr id="105" name="AutoShape 2" descr="rl.jpg">
          <a:extLst>
            <a:ext uri="{FF2B5EF4-FFF2-40B4-BE49-F238E27FC236}">
              <a16:creationId xmlns:a16="http://schemas.microsoft.com/office/drawing/2014/main" id="{52F69464-10B3-2040-BD5C-B25CB3D89C1E}"/>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555</xdr:row>
      <xdr:rowOff>0</xdr:rowOff>
    </xdr:from>
    <xdr:ext cx="304800" cy="302261"/>
    <xdr:sp macro="" textlink="">
      <xdr:nvSpPr>
        <xdr:cNvPr id="106" name="AutoShape 1" descr="rl.jpg">
          <a:extLst>
            <a:ext uri="{FF2B5EF4-FFF2-40B4-BE49-F238E27FC236}">
              <a16:creationId xmlns:a16="http://schemas.microsoft.com/office/drawing/2014/main" id="{807EA78D-6C15-BB45-ABEA-7FEE4AF89D1D}"/>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555</xdr:row>
      <xdr:rowOff>0</xdr:rowOff>
    </xdr:from>
    <xdr:ext cx="304800" cy="302261"/>
    <xdr:sp macro="" textlink="">
      <xdr:nvSpPr>
        <xdr:cNvPr id="107" name="AutoShape 2" descr="rl.jpg">
          <a:extLst>
            <a:ext uri="{FF2B5EF4-FFF2-40B4-BE49-F238E27FC236}">
              <a16:creationId xmlns:a16="http://schemas.microsoft.com/office/drawing/2014/main" id="{6B39E0F4-9B57-1743-9C89-3E16ADC453BB}"/>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556</xdr:row>
      <xdr:rowOff>0</xdr:rowOff>
    </xdr:from>
    <xdr:ext cx="304800" cy="302261"/>
    <xdr:sp macro="" textlink="">
      <xdr:nvSpPr>
        <xdr:cNvPr id="108" name="AutoShape 1" descr="rl.jpg">
          <a:extLst>
            <a:ext uri="{FF2B5EF4-FFF2-40B4-BE49-F238E27FC236}">
              <a16:creationId xmlns:a16="http://schemas.microsoft.com/office/drawing/2014/main" id="{D5AB30BD-2EBB-8541-8DCC-5A8EE163A786}"/>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556</xdr:row>
      <xdr:rowOff>0</xdr:rowOff>
    </xdr:from>
    <xdr:ext cx="304800" cy="302261"/>
    <xdr:sp macro="" textlink="">
      <xdr:nvSpPr>
        <xdr:cNvPr id="109" name="AutoShape 2" descr="rl.jpg">
          <a:extLst>
            <a:ext uri="{FF2B5EF4-FFF2-40B4-BE49-F238E27FC236}">
              <a16:creationId xmlns:a16="http://schemas.microsoft.com/office/drawing/2014/main" id="{AAC00E63-6ED0-8A46-8958-A5CE460972D9}"/>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553</xdr:row>
      <xdr:rowOff>0</xdr:rowOff>
    </xdr:from>
    <xdr:ext cx="304800" cy="302261"/>
    <xdr:sp macro="" textlink="">
      <xdr:nvSpPr>
        <xdr:cNvPr id="110" name="AutoShape 1" descr="rl.jpg">
          <a:extLst>
            <a:ext uri="{FF2B5EF4-FFF2-40B4-BE49-F238E27FC236}">
              <a16:creationId xmlns:a16="http://schemas.microsoft.com/office/drawing/2014/main" id="{ABD761AC-1446-6E40-9C25-51C0D07771FF}"/>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553</xdr:row>
      <xdr:rowOff>0</xdr:rowOff>
    </xdr:from>
    <xdr:ext cx="304800" cy="302261"/>
    <xdr:sp macro="" textlink="">
      <xdr:nvSpPr>
        <xdr:cNvPr id="111" name="AutoShape 2" descr="rl.jpg">
          <a:extLst>
            <a:ext uri="{FF2B5EF4-FFF2-40B4-BE49-F238E27FC236}">
              <a16:creationId xmlns:a16="http://schemas.microsoft.com/office/drawing/2014/main" id="{B385CCCC-056E-624B-9D07-F85806246893}"/>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554</xdr:row>
      <xdr:rowOff>0</xdr:rowOff>
    </xdr:from>
    <xdr:ext cx="304800" cy="302261"/>
    <xdr:sp macro="" textlink="">
      <xdr:nvSpPr>
        <xdr:cNvPr id="112" name="AutoShape 1" descr="rl.jpg">
          <a:extLst>
            <a:ext uri="{FF2B5EF4-FFF2-40B4-BE49-F238E27FC236}">
              <a16:creationId xmlns:a16="http://schemas.microsoft.com/office/drawing/2014/main" id="{D83152AC-2E8D-AC48-ABAA-0029D73DA956}"/>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oneCellAnchor>
    <xdr:from>
      <xdr:col>41</xdr:col>
      <xdr:colOff>0</xdr:colOff>
      <xdr:row>554</xdr:row>
      <xdr:rowOff>0</xdr:rowOff>
    </xdr:from>
    <xdr:ext cx="304800" cy="302261"/>
    <xdr:sp macro="" textlink="">
      <xdr:nvSpPr>
        <xdr:cNvPr id="113" name="AutoShape 2" descr="rl.jpg">
          <a:extLst>
            <a:ext uri="{FF2B5EF4-FFF2-40B4-BE49-F238E27FC236}">
              <a16:creationId xmlns:a16="http://schemas.microsoft.com/office/drawing/2014/main" id="{9216882B-A593-AC47-91E4-20B970235D92}"/>
            </a:ext>
          </a:extLst>
        </xdr:cNvPr>
        <xdr:cNvSpPr>
          <a:spLocks noChangeAspect="1" noChangeArrowheads="1"/>
        </xdr:cNvSpPr>
      </xdr:nvSpPr>
      <xdr:spPr bwMode="auto">
        <a:xfrm>
          <a:off x="16543130" y="8492435"/>
          <a:ext cx="304800" cy="302261"/>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p, MSC" refreshedDate="42697.615189814816" createdVersion="4" refreshedVersion="4" minRefreshableVersion="3" recordCount="157" xr:uid="{00000000-000A-0000-FFFF-FFFF00000000}">
  <cacheSource type="worksheet">
    <worksheetSource name="Table4"/>
  </cacheSource>
  <cacheFields count="32">
    <cacheField name="Reference" numFmtId="0">
      <sharedItems longText="1"/>
    </cacheField>
    <cacheField name="PMID (op alfabet)" numFmtId="0">
      <sharedItems containsSemiMixedTypes="0" containsString="0" containsNumber="1" containsInteger="1" minValue="1355475" maxValue="27722837"/>
    </cacheField>
    <cacheField name="PDF gedownload + in mendeley" numFmtId="0">
      <sharedItems containsMixedTypes="1" containsNumber="1" containsInteger="1" minValue="1" maxValue="1"/>
    </cacheField>
    <cacheField name="Antwoorden overleg overeenstemming 7.11.16" numFmtId="0">
      <sharedItems containsBlank="1"/>
    </cacheField>
    <cacheField name="Vragen Milou n.a.v. results EG" numFmtId="0">
      <sharedItems containsBlank="1"/>
    </cacheField>
    <cacheField name="AbstractScreening_EG (1=include; 0 = exclude)" numFmtId="0">
      <sharedItems containsSemiMixedTypes="0" containsString="0" containsNumber="1" containsInteger="1" minValue="0" maxValue="1"/>
    </cacheField>
    <cacheField name="Notes_EG" numFmtId="0">
      <sharedItems containsBlank="1"/>
    </cacheField>
    <cacheField name="AbstractScreening_MS (1=include; 0 = exclude)" numFmtId="0">
      <sharedItems containsSemiMixedTypes="0" containsString="0" containsNumber="1" containsInteger="1" minValue="0" maxValue="1"/>
    </cacheField>
    <cacheField name="Cognitive Measure" numFmtId="0">
      <sharedItems containsBlank="1" count="121">
        <s v="?"/>
        <s v="affective controle &amp; attention"/>
        <s v="assess processing speed, verbal memory, and executive function."/>
        <s v="assocatieve learning / fear conditioning"/>
        <s v="associative learning &amp; generalization"/>
        <s v="attention"/>
        <s v="attention &amp; learning / executive functioning"/>
        <s v="attention &amp; learning &amp; memory"/>
        <s v="attention &amp; working memory"/>
        <s v="attention focus"/>
        <s v="attention, autobiographical memory, and verbal memory"/>
        <s v="attention, controle, learning"/>
        <s v="attention, learning, interferences"/>
        <s v="attention, spacial abilities, executive cuntioning"/>
        <s v="Attention, Verbal and Visual memory, Processing Speed and Reaction Time modules,"/>
        <s v="attention, working memory, executive functioning"/>
        <s v="attention. Executive functioning memory"/>
        <s v="attention/learning/ memory"/>
        <s v="attentional interference"/>
        <s v="attenttion WM"/>
        <s v="auditory processing deficits"/>
        <s v="autobiografic memory"/>
        <s v="autobiografic memory &amp; problem solving"/>
        <s v="behavioural controle"/>
        <s v="cog controle attention"/>
        <s v="cog. Controle"/>
        <s v="cognitive appraisal/precieved threat en coping ability"/>
        <s v="cognitive bias/excutive control"/>
        <s v="cognitive controle"/>
        <s v="cognitive interference"/>
        <s v="context fear conditioning"/>
        <s v="controle inhibitions"/>
        <s v="declarative memory"/>
        <s v="emotion percepton"/>
        <s v="emotion regulation"/>
        <s v="emotional attentional blink task"/>
        <s v="emotional imagery"/>
        <s v="empathy appraisal of faces"/>
        <s v="episodic and working memory performance"/>
        <s v="episodic blast recall"/>
        <s v="error-reated negativity (ERN)"/>
        <s v="everyday memory functioning"/>
        <s v="executive controle &amp; inhibition"/>
        <s v="executive functioning"/>
        <s v="executive functioning &amp; language"/>
        <s v="explicite &amp; WM"/>
        <s v="fear conditioning"/>
        <s v="fear extinction"/>
        <s v="fear-related memory"/>
        <s v="figure copying"/>
        <s v="generalization of memory"/>
        <s v="imagery"/>
        <s v="immediate memory/memory"/>
        <s v="information processing bias"/>
        <s v="information processing; executive functioning; WM;memory; language; memory"/>
        <s v="inhibition"/>
        <s v="inhibition &amp; attention"/>
        <s v="inhibition &amp; contextual cue processing"/>
        <s v="intellecttual. Memory. Executive functioning"/>
        <s v="intellectual ability, learning, memory, attention, visuospatial ability, executive functioning, language, and psychomotor speed"/>
        <s v="intellegence learning memory"/>
        <s v="intellegence, learning, memory"/>
        <s v="interferance/ attentional bias"/>
        <s v="interferance/ attentional bias?"/>
        <s v="iq en verwerkingssnelheid?"/>
        <s v="learning &amp; controle"/>
        <s v="learning &amp; executive functioning; processing speed"/>
        <s v="learning &amp; memory"/>
        <s v="learning bias"/>
        <s v="learning, memory &amp; processing speed"/>
        <s v="learningn en momeory"/>
        <s v="memory"/>
        <s v="memory (context) "/>
        <s v="memory &amp; cognitive controle?"/>
        <s v="memory &amp; executive functioning"/>
        <s v="memory &amp; learning"/>
        <s v="memory attention"/>
        <s v="memory consolidation"/>
        <s v="memory imagery"/>
        <s v="memory, attention, and processing speed performance."/>
        <s v="memory, attention, visual spatial skills, and executive function"/>
        <s v="memory, executive functioning"/>
        <s v="memory; attention; etc"/>
        <s v="memory; learning; etc."/>
        <s v="memory. "/>
        <s v="Mental flexibility is a core executive function"/>
        <s v="metacognitive capacity"/>
        <s v="neuropsychological testing"/>
        <s v="nightmares"/>
        <s v="perception, learning?"/>
        <s v="perception/controle/attention"/>
        <s v="problem solving"/>
        <s v="processingn &amp; learning"/>
        <s v="prospective memory"/>
        <s v="punishment-based learning"/>
        <s v="reading perception"/>
        <s v="reward function"/>
        <s v="reward processing"/>
        <s v="risk decision-making"/>
        <s v="short &amp; longterm memory"/>
        <s v="shortterm memory"/>
        <s v="somatosensory processing"/>
        <s v="spacial processing"/>
        <s v="startle ; geen cognitieve task?"/>
        <s v="stroop"/>
        <s v="task performance?"/>
        <s v="trauma recall"/>
        <s v="trial-to-trial variability in reaction time (RT)."/>
        <s v="verbal &amp; non-verbal memory &amp; executive functioning"/>
        <s v="verbal learning task"/>
        <s v="verbal memory &amp; exectutive function"/>
        <s v="verbal/visual performance split."/>
        <s v="visual attention"/>
        <s v="visual attention &amp; task switching"/>
        <s v="wechsler"/>
        <s v="WM"/>
        <s v="working memory"/>
        <s v="working memory &amp; executive function"/>
        <s v="working memory &amp; executive resources"/>
        <s v="xecutive (switching) tasks, verbal fluency, and verbal memory."/>
        <m/>
      </sharedItems>
    </cacheField>
    <cacheField name="RDoC (sub)construct " numFmtId="0">
      <sharedItems containsBlank="1" count="45">
        <m/>
        <s v="Cognitive system - Cognitive controle - Response selection, inhibition"/>
        <s v="Cognitive system - Declarative Memory &amp; WM"/>
        <s v="Negative Valence - Acute Threat (fear)"/>
        <s v="Cognitive system - Declarative Memory"/>
        <s v="Cognitive system - Attention"/>
        <s v="Cognitive sytem - Attention"/>
        <s v="Cognitive system - Declarative Memory &amp; Attention &amp; Perception"/>
        <s v="Cognitive system - Declarative Memory &amp; Attention"/>
        <s v="Cognitive sytem - Attention &amp; WM"/>
        <s v="Cognitive system - Declarative Memory &amp; Attention &amp; Cognitive controle"/>
        <s v="Cognitive sytem - Attention / WM / Cognitive controle"/>
        <s v="working memory attention, executive functioning, memory"/>
        <s v="Cognitive system - WM"/>
        <s v="Cognitive system - Perception Auditory"/>
        <s v="Cognitive system - Declarative Memory &amp; Cognitive Controle"/>
        <s v="cognitive controle &amp; attention"/>
        <s v="Cognitive system - Declarative memory &amp; Cognitive controle - Response selection,performance monitoring"/>
        <s v="cognitive appraisal"/>
        <s v="Cognitive system - Cognitive controle - Response selection,performance monitoring"/>
        <s v="Cognitive system - WM / interference control"/>
        <s v="Negative Valence - Potential Threat (anxiety)"/>
        <s v="Social Processes - Social Communication - Reception of facial communication"/>
        <s v="executive functioning"/>
        <s v="Cognitive system - Declarative Memory &amp; Attention &amp; WM"/>
        <s v="Cognitive system - Declarative Memory &amp; Attention &amp; Cognitive controle &amp; WM"/>
        <s v="Cognitive system - Declarative Memory &amp; Attention &amp; Cognitive controle - goal selection"/>
        <s v="Cognitive system - Declarative Memory &amp; Attention &amp; Cognitive controle - goal selection &amp; WM"/>
        <s v="Cognitive system - Declarative Memory &amp; …?"/>
        <s v="Cognitive system - Declarative Memory &amp; WM - interference controle"/>
        <s v="Cognitive system - Cognitive controle - Goal selection; updating; represenation and maintenance"/>
        <s v="?"/>
        <s v="problem solving"/>
        <s v="Cognitive system - Declarative Memory &amp; Cognitive controle - goal selection &amp; WM"/>
        <s v="Cognitive system - Declarative Memory &amp; Negative Valence System?"/>
        <s v="Cognitive sytem - Perception - Visual &amp; …?"/>
        <s v="Positive Valence Systems - Reward learning"/>
        <s v="Negative Valence - Sustained Threat &amp; Positive Valence - Reward Learning"/>
        <s v="Cognitive sytem - Perception"/>
        <s v="Cognitive system - Attention &amp; Cognitive controle - Goal selection; updating; represenation and maintenance"/>
        <s v="Cognitive sytem - WM"/>
        <s v="Cognitive system - WM &amp; Cognitive controle"/>
        <s v="Cognitive system - Declarative Memory &amp; Cognitive Controle - Goal selection"/>
        <s v="Cognitive system - WM &amp; attention"/>
        <s v="executive function"/>
      </sharedItems>
    </cacheField>
    <cacheField name="PTSD subjects?" numFmtId="0">
      <sharedItems containsBlank="1" count="57">
        <s v="ptsd veterans"/>
        <s v="icu"/>
        <s v="veterans met ELS"/>
        <s v="older ptsd veterans"/>
        <s v="active duty personal ptsd &amp; mtbi"/>
        <s v="veterans ptsd"/>
        <s v="ptsd vet"/>
        <m/>
        <s v="ptsd &amp; mTRI"/>
        <s v="in ptsd met of zonder dissociatie"/>
        <s v="ptsd &amp; mtbi veterans"/>
        <s v="mtbi, ptsd, blast exposure veterans"/>
        <s v="mTBI"/>
        <s v="ptsd bij schizophrenia"/>
        <s v="veterans ptds"/>
        <s v="blast exposed veterans"/>
        <s v="intimate partners violence women"/>
        <s v="mTBI &amp; PTSD veterans"/>
        <s v="twin study ptsd"/>
        <s v="veterans mtbi &amp; ptsd"/>
        <s v="survivors of the Holocaust &amp; ptsd veterans"/>
        <s v="veteran ptsd"/>
        <s v="mtbi veterans"/>
        <s v="ptsd veterans &amp; alcohol abuse"/>
        <s v="ptsd mtbi vet"/>
        <s v="adolescents psychiatric inpatient setting"/>
        <s v="marine navy"/>
        <s v="adult women"/>
        <s v="vetreans ptsd &amp; twins"/>
        <s v="ptsd &amp; GAD"/>
        <s v="ptsd"/>
        <s v="israeli verterans"/>
        <s v="veterans ptsd &amp; mtbi"/>
        <s v="ptsd patietns"/>
        <s v="ptsd-twin control"/>
        <s v="ptsd refugees"/>
        <s v="war prisoners"/>
        <s v="female ptsd veterans"/>
        <s v="veterans MTBI"/>
        <s v="rape victems"/>
        <s v=" veterans ptsd"/>
        <s v="veterans"/>
        <s v=" Chernobyl survivors"/>
        <s v="prisoners of war; "/>
        <s v="soldiers ptsd"/>
        <s v="ptsd patients"/>
        <s v="mTBI &amp; PTSD "/>
        <s v="veterans &amp; twins"/>
        <s v="outpatient adults (vetaran affaires)"/>
        <s v="vietnam veterans"/>
        <s v="Adult children of war veterans"/>
        <s v="ptsd chronic veterans"/>
        <s v="perioperative history of ptsd"/>
        <s v="mtbi &amp; ptsd"/>
        <s v="mtbi ptsd veterans"/>
        <s v="ptsd &amp; schizofrenia"/>
        <s v="mtbi "/>
      </sharedItems>
    </cacheField>
    <cacheField name="military population" numFmtId="0">
      <sharedItems containsString="0" containsBlank="1" containsNumber="1" containsInteger="1" minValue="0" maxValue="1"/>
    </cacheField>
    <cacheField name="Task?" numFmtId="0">
      <sharedItems containsBlank="1" count="114">
        <s v="?"/>
        <s v="memory measuring tool? [task?]"/>
        <s v="Affective Go/No-Go (AGN) &amp; test of Variable Attention (TOVA)"/>
        <s v="assess processing speed, verbal memory, and executive function."/>
        <s v="fear conditioning"/>
        <m/>
        <s v="novelty oddball task"/>
        <s v="visual search speed t"/>
        <s v="tasks of sustained attention, mental manipulation, initial acquisition of information, and retroactive interference."/>
        <s v="Sensory Organization Test, Paced Auditory Serial Addition Test, California Verbal Learning Test, and Delis-Kaplan Executive Function System subtests."/>
        <s v="cognitive tasks"/>
        <s v="Attention Network Task (ANT), Backward Digit Span (BDS) task,"/>
        <s v="digit detection task"/>
        <s v="Controlled Oral Word Association Test, Trail Making Test, Color-Word Interference Test, and Verbal Selective Reminding Test"/>
        <s v=" California Verbal Learning Test. &amp; wais"/>
        <s v="neuropsychological examination"/>
        <s v="ImPACT Post-Concussional Symptom Scale and cognitive concussion battery,"/>
        <s v="Attention to Response Task, the Hayling Sentence Completion Test, the Trail Making Test, Rivermead Behavioral Memory Test and Wechsler Adult Intelligence Scale (verbal scales)"/>
        <s v="attention, learning memory"/>
        <s v="Visual Search Task"/>
        <s v="visual working memroy task"/>
        <s v="future thinken &amp; social problem-solving task"/>
        <s v="Go/No-go task,"/>
        <s v="performance on the Stroop Color-Word task and Part B of the Trail Making Test"/>
        <s v="modified Stroop procedure (MSP), a standard Stroop procedure, a recognition memory task, and a threat rating task."/>
        <s v="cognitive appraisal"/>
        <s v="go/no-go"/>
        <s v="flanker task"/>
        <s v="Multi-Source Interference Task,"/>
        <s v="Stop Task,"/>
        <s v="memory &amp; recall"/>
        <s v="California Verbal Learning Test (CVLT),"/>
        <s v="Aprosodia Battery"/>
        <s v="emotion regulation task"/>
        <s v="emotional attention task"/>
        <s v="taak"/>
        <s v="script-driven imagery."/>
        <s v="short trauma imagery task"/>
        <s v="Reading the Mind in the Eyes Test (RMET)"/>
        <s v="episodic and working memory performance"/>
        <s v="no task, narrative coding"/>
        <s v="arrow version of the flanker task."/>
        <s v="Rivermead Behavioral Memory Test - RBMT "/>
        <s v="go/No-Go (GNG) task"/>
        <s v="Executive Clock Drawing Tasks"/>
        <s v="visual and verbal memory, and working memory"/>
        <s v="fear conditioning in VR"/>
        <s v="fearcondtioning"/>
        <s v="ook taken in fmri?"/>
        <s v="figure copy"/>
        <s v="imagery of traumatic events"/>
        <s v="Auditory Consonant Trigrams (ACT) &amp; word memory test"/>
        <s v="emotional stroop"/>
        <s v="information processing (p=.035) and executive functions (p=.017), but no group differences in attention/working memory, verbal/language functioning, visuoconstruction, or episodic memory."/>
        <s v="stop-signal anticipation task."/>
        <s v="stop-signal anticipation task (SSAT)"/>
        <s v="fluid intelligence, and the Benton Visual Retention Test, assessing episodic memory, were the most discriminating."/>
        <s v="wechsler"/>
        <s v="visual motor-task target stimuli (pictures of domestic animals), non-target probe stimuli (combat-related pictures), and non-target irrelevant stimuli ("/>
        <s v="Trail Making Test Part A and Hopkins Verbal Learning Test"/>
        <s v="Trail Making Test parts A and B, Hopkins Verbal Learning Test-Revised, Balloon Analogue Risk Task, Delay Discounting Task"/>
        <s v="neurocognitive performance"/>
        <s v="California Verbal Learning Test: Forced Choice Recognition (FCR), Reliable Digit Span (RDS), and TOVA Symptom Exaggeration Index (SEI"/>
        <s v="reward learning, cognitive feedback, punishment learning"/>
        <s v="California Verbal Learning Test (CVLT)"/>
        <s v="wais, wechsler"/>
        <s v="12 word-pair associates"/>
        <s v="delayed free recal. Recognition"/>
        <s v="Morel Emotional Numbing Test for Posttraumatic Stress Disorder (MENT) &amp; he Word Memory Test (WMT)"/>
        <s v="Wechsler Logical Memory test and Digit Span test"/>
        <s v="Green Word Memory Test"/>
        <s v="modified Stroop task in which they named the colors of neutral words (e.g., INPUT), positive words (e.g., LOVE), obsessive-compulsive disorder (OCD) words (e.g., GERMS), and PTSD words (e.g., BODYBAGS)."/>
        <s v="executive function, memory, and motor function"/>
        <s v="verbal and visual Selective Reminding Tests (SRTs)"/>
        <s v="impaired memory and attention, auditory-verbal memory and learning, proactive and retroactive interference, cerebellar and stem symptoms, intellectual changes"/>
        <s v="15 word task"/>
        <s v="memory reactivation task using well established imagery"/>
        <s v="-"/>
        <s v="WAIS-R &amp; Wechsler memory scale"/>
        <s v="Wechsler Adult Intelligence Scale-Revised Block Design subtest, the California Verbal Learning Test, the Rey-Osterrieth Complex Figure Drawing Test, and the Paced Auditory Serial Addition Test"/>
        <s v="cognitive testing"/>
        <s v="colour-shape set-shifting task"/>
        <s v="emotion recognition test"/>
        <s v="rorschach"/>
        <s v="Paced Auditory Serial Addition Test (PASAT), Rey Auditory Verbal Learning Test (RAVLT), Conners' Continuous Performance Test II (CPT II), and Halstead Impairment Index (HII) including the Booklet Category Test (BCT)"/>
        <s v="auditory oddball target detection task"/>
        <s v="problemsolving"/>
        <s v="processing speed, Trails A and B, letter fluency, category fluency, and verbal learning and recognition"/>
        <s v="PM task"/>
        <s v="Memory for Intentions Test + neurocognitive tests"/>
        <s v=" punishment-based learning task"/>
        <s v="read and study 3-sentence paragraphs describing semantic features associated with real and unreal objects"/>
        <s v="beautiful faces"/>
        <s v="approach-avoidance task (AAT"/>
        <s v="wheel of furtune-type gambling task"/>
        <s v=" risk and ambiguity decision-making task"/>
        <s v="Rey-Osterrieth Complex Figure Test (ROCFT), consisting of Copy, Immediate Recall, and Delayed Recall steps, and Benton Visual Retention Test (BVRT)"/>
        <s v="spacial processing task"/>
        <s v="modified stroop task"/>
        <s v="virtual environment"/>
        <s v="video"/>
        <s v="Rey Auditory Verbal Learning Test (RAVLT) and Color-Word Interference Test (CWIT)"/>
        <s v="visual attention"/>
        <s v="Trail Making Tes"/>
        <s v="WM task"/>
        <s v="forward &amp; backward digit span tasks"/>
        <s v="working memory auditory target detection task."/>
        <s v="Sternberg memory tas"/>
        <s v="neuropsychological testing, including neurocognitive and psychiatric feigning tests."/>
        <s v="Delayed Matching-to-Sample (DMS) task for distraction."/>
        <s v="discrimination-and-transfer task"/>
        <s v="Measures of simple reaction time, processing speed, visual attention, working memory and mathematical processing"/>
        <s v="executive processing task"/>
        <s v="emotional faces matching task"/>
      </sharedItems>
    </cacheField>
    <cacheField name="Brain measures?" numFmtId="0">
      <sharedItems containsBlank="1"/>
    </cacheField>
    <cacheField name="Fysiological measures?" numFmtId="0">
      <sharedItems containsBlank="1"/>
    </cacheField>
    <cacheField name="Psychological measures?" numFmtId="0">
      <sharedItems containsBlank="1"/>
    </cacheField>
    <cacheField name="Notes" numFmtId="0">
      <sharedItems containsBlank="1"/>
    </cacheField>
    <cacheField name="FINAL incl/excl" numFmtId="0">
      <sharedItems containsString="0" containsBlank="1" containsNumber="1" containsInteger="1" minValue="0" maxValue="1"/>
    </cacheField>
    <cacheField name="FINAL incl/excl_comment" numFmtId="0">
      <sharedItems containsBlank="1"/>
    </cacheField>
    <cacheField name="Subjects_background (bv military/civilian/animalstrain/etc) 1= active duty military; 2 = veteran; 3 = civilian 4=animal" numFmtId="0">
      <sharedItems containsNonDate="0" containsString="0" containsBlank="1"/>
    </cacheField>
    <cacheField name="Subjects_n" numFmtId="0">
      <sharedItems containsString="0" containsBlank="1" containsNumber="1" containsInteger="1" minValue="24" maxValue="1014"/>
    </cacheField>
    <cacheField name="Subjects_n_ptsd" numFmtId="0">
      <sharedItems containsString="0" containsBlank="1" containsNumber="1" containsInteger="1" minValue="12" maxValue="42"/>
    </cacheField>
    <cacheField name="Subjects_n_control" numFmtId="0">
      <sharedItems containsString="0" containsBlank="1" containsNumber="1" containsInteger="1" minValue="12" maxValue="923"/>
    </cacheField>
    <cacheField name="Subjects_gender_ptsd" numFmtId="0">
      <sharedItems containsBlank="1"/>
    </cacheField>
    <cacheField name="Subjects_gender_control" numFmtId="0">
      <sharedItems containsBlank="1"/>
    </cacheField>
    <cacheField name="Subjects_mAge_ptsd" numFmtId="0">
      <sharedItems containsString="0" containsBlank="1" containsNumber="1" minValue="22.63" maxValue="33.6"/>
    </cacheField>
    <cacheField name="Subjects_sdAge_ptsd" numFmtId="0">
      <sharedItems containsString="0" containsBlank="1" containsNumber="1" minValue="4.08" maxValue="6.2"/>
    </cacheField>
    <cacheField name="Subjects_mAge_control" numFmtId="0">
      <sharedItems containsString="0" containsBlank="1" containsNumber="1" minValue="22.23" maxValue="38.4"/>
    </cacheField>
    <cacheField name="Subjects_sdAge_control" numFmtId="0">
      <sharedItems containsString="0" containsBlank="1" containsNumber="1" minValue="2.81" maxValue="11.7"/>
    </cacheField>
    <cacheField name="Subjects_trauma-type_OR_PTSD-model" numFmtId="0">
      <sharedItems containsBlank="1"/>
    </cacheField>
    <cacheField name="Subjects_ptsd-measure" numFmtId="0">
      <sharedItems containsBlank="1"/>
    </cacheField>
    <cacheField name="Method_study-desig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7">
  <r>
    <s v="Anger, W. K., Storzbach, D., Binder, L. M., Campbell, K. A., Rohlman, D. S., McCauley, L., … Davis, K. L. (1999). Neurobehavioral deficits in Persian Gulf veterans: evidence from a population-based study. Portland Environmental Hazards Research Center. Journal of the International Neuropsychological Society : JINS, 5(3), 203–212. Journal Article, Research Support, Non-U.S. Gov’t, Research Support, U.S. Gov’t, Non-P.H.S."/>
    <n v="10217920"/>
    <n v="1"/>
    <m/>
    <m/>
    <n v="1"/>
    <s v="moeilijk op te maken uit abstract…"/>
    <n v="1"/>
    <x v="0"/>
    <x v="0"/>
    <x v="0"/>
    <n v="1"/>
    <x v="0"/>
    <m/>
    <m/>
    <m/>
    <m/>
    <m/>
    <m/>
    <m/>
    <m/>
    <m/>
    <m/>
    <m/>
    <m/>
    <m/>
    <m/>
    <m/>
    <m/>
    <m/>
    <m/>
    <m/>
  </r>
  <r>
    <s v="Myhren, H., Ekeberg, O., Toien, K., Karlsson, S., &amp; Stokland, O. (2010). Posttraumatic stress, anxiety and depression symptoms in patients during the first year post intensive care unit discharge. Critical Care (London, England), 14(1), R14. Journal Article. http://doi.org/10.1186/cc8870"/>
    <n v="20144193"/>
    <n v="1"/>
    <m/>
    <m/>
    <n v="1"/>
    <m/>
    <n v="1"/>
    <x v="0"/>
    <x v="0"/>
    <x v="1"/>
    <n v="0"/>
    <x v="1"/>
    <s v="-"/>
    <m/>
    <m/>
    <s v="niet duidelijk hoe ptsd / cognitive task zijn vastgesteld"/>
    <m/>
    <m/>
    <m/>
    <m/>
    <m/>
    <m/>
    <m/>
    <m/>
    <m/>
    <m/>
    <m/>
    <m/>
    <m/>
    <m/>
    <m/>
  </r>
  <r>
    <s v="Myhren, H., Toien, K., Ekeberg, O., Karlsson, S., Sandvik, L., &amp; Stokland, O. (2009). Patients’ memory and psychological distress after ICU stay compared with expectations of the relatives. Intensive Care Medicine, 35(12), 2078–2086. Journal Article. http://doi.org/10.1007/s00134-009-1614-1"/>
    <n v="19756511"/>
    <n v="1"/>
    <m/>
    <m/>
    <n v="1"/>
    <m/>
    <n v="1"/>
    <x v="0"/>
    <x v="0"/>
    <x v="1"/>
    <n v="0"/>
    <x v="1"/>
    <s v="-"/>
    <m/>
    <m/>
    <s v="in vergelijking met relatives"/>
    <m/>
    <m/>
    <m/>
    <m/>
    <m/>
    <m/>
    <m/>
    <m/>
    <m/>
    <m/>
    <m/>
    <m/>
    <m/>
    <m/>
    <m/>
  </r>
  <r>
    <s v="Corbo, V., Amick, M. A., Milberg, W. P., McGlinchey, R. E., &amp; Salat, D. H. (2016). Early life trauma is associated with altered white matter integrity and affective control. Journal of Psychiatric Research, 79, 70–77. Journal Article. http://doi.org/10.1016/j.jpsychires.2016.05.001"/>
    <n v="27214523"/>
    <n v="1"/>
    <s v="altijd full text checken of het alleen ELS is of dat het ELS is met PTSD --&gt; dus artikel checken.; dus checken of er niet toch een pstd sample is en of dat gecorreleerd is met performance. Caps hoger dan 45 ernsitge ptsd"/>
    <s v="geen sprake van PTSD, maar van ELT op basis van abstract?"/>
    <n v="1"/>
    <m/>
    <n v="0"/>
    <x v="1"/>
    <x v="1"/>
    <x v="2"/>
    <n v="1"/>
    <x v="2"/>
    <s v="white matter "/>
    <m/>
    <m/>
    <s v="no ptsd, eventueel nog full tekst checken"/>
    <m/>
    <m/>
    <m/>
    <m/>
    <m/>
    <m/>
    <m/>
    <m/>
    <m/>
    <m/>
    <m/>
    <m/>
    <m/>
    <m/>
    <m/>
  </r>
  <r>
    <s v="Green, E., Fairchild, J. K., Kinoshita, L. M., Noda, A., &amp; Yesavage, J. (2016). Effects of Posttraumatic Stress Disorder and Metabolic Syndrome on Cognitive Aging in Veterans. The Gerontologist, 56(1), 72–81. Journal Article, Research Support, Non-U.S. Gov’t, Research Support, U.S. Gov’t, Non-P.H.S. http://doi.org/10.1093/geront/gnv040"/>
    <n v="26220415"/>
    <n v="1"/>
    <m/>
    <m/>
    <n v="1"/>
    <m/>
    <n v="1"/>
    <x v="2"/>
    <x v="2"/>
    <x v="3"/>
    <n v="1"/>
    <x v="3"/>
    <s v="-"/>
    <m/>
    <m/>
    <s v="cognitive decline &amp; ptsd &amp; age"/>
    <m/>
    <m/>
    <m/>
    <m/>
    <m/>
    <m/>
    <m/>
    <m/>
    <m/>
    <m/>
    <m/>
    <m/>
    <m/>
    <m/>
    <m/>
  </r>
  <r>
    <s v="McGlinchey, R. E., Fortier, C. B., Venne, J. R., Maksimovskiy, A. L., &amp; Milberg, W. P. (2014). Effects of OEF/OIF-related physical and emotional co-morbidities on associative learning: concurrent delay and trace eyeblink classical conditioning. International Journal of Environmental Research and Public Health, 11(3), 3046–3073. Journal Article, Research Support, N.I.H., Extramural, Research Support, Non-U.S. Gov’t, Research Support, U.S. Gov’t, Non-P.H.S. http://doi.org/10.3390/ijerph110303046"/>
    <n v="24625622"/>
    <n v="1"/>
    <m/>
    <m/>
    <n v="1"/>
    <m/>
    <n v="1"/>
    <x v="3"/>
    <x v="3"/>
    <x v="4"/>
    <n v="1"/>
    <x v="4"/>
    <m/>
    <s v="startle"/>
    <m/>
    <m/>
    <m/>
    <m/>
    <m/>
    <m/>
    <m/>
    <m/>
    <m/>
    <m/>
    <m/>
    <m/>
    <m/>
    <m/>
    <m/>
    <m/>
    <m/>
  </r>
  <r>
    <s v="Kostek, J. A., Beck, K. D., Gilbertson, M. W., Orr, S. P., Pang, K. C. H., Servatius, R. J., &amp; Myers, C. E. (2014). Acquired equivalence in U.S. veterans with symptoms of posttraumatic stress: reexperiencing symptoms are associated with greater generalization. Journal of Traumatic Stress, 27(6), 717–720. Journal Article, Research Support, N.I.H., Extramural, Research Support, Non-U.S. Gov’t. http://doi.org/10.1002/jts.21974"/>
    <n v="25470729"/>
    <n v="1"/>
    <m/>
    <m/>
    <n v="1"/>
    <m/>
    <n v="1"/>
    <x v="4"/>
    <x v="4"/>
    <x v="0"/>
    <n v="1"/>
    <x v="5"/>
    <m/>
    <m/>
    <m/>
    <m/>
    <m/>
    <m/>
    <m/>
    <m/>
    <m/>
    <m/>
    <m/>
    <m/>
    <m/>
    <m/>
    <m/>
    <m/>
    <m/>
    <m/>
    <m/>
  </r>
  <r>
    <s v="Kimble, M., Kaloupek, D., Kaufman, M., &amp; Deldin, P. (2000). Stimulus novelty differentially affects attentional allocation in PTSD. Biological Psychiatry, 47(10), 880–890. Journal Article, Research Support, U.S. Gov’t, P.H.S."/>
    <n v="10807961"/>
    <n v="1"/>
    <m/>
    <m/>
    <n v="1"/>
    <m/>
    <n v="1"/>
    <x v="5"/>
    <x v="5"/>
    <x v="0"/>
    <n v="1"/>
    <x v="6"/>
    <s v="eeg"/>
    <m/>
    <m/>
    <m/>
    <m/>
    <m/>
    <m/>
    <m/>
    <m/>
    <m/>
    <m/>
    <m/>
    <m/>
    <m/>
    <m/>
    <m/>
    <m/>
    <m/>
    <m/>
  </r>
  <r>
    <s v="Olatunji, B. O., Armstrong, T., Bilsky, S. A., &amp; Zhao, M. (2015). Threat modulation of visual search efficiency in PTSD: A comparison of distinct stimulus categories. Psychiatry Research, 229(3), 975–982. Journal Article. http://doi.org/10.1016/j.psychres.2015.05.090"/>
    <n v="26254798"/>
    <n v="1"/>
    <m/>
    <m/>
    <n v="1"/>
    <m/>
    <n v="1"/>
    <x v="5"/>
    <x v="5"/>
    <x v="5"/>
    <n v="1"/>
    <x v="7"/>
    <m/>
    <m/>
    <m/>
    <m/>
    <m/>
    <m/>
    <m/>
    <m/>
    <m/>
    <m/>
    <m/>
    <m/>
    <m/>
    <m/>
    <m/>
    <m/>
    <m/>
    <m/>
    <m/>
  </r>
  <r>
    <s v="Vasterling, J. J., Brailey, K., Constans, J. I., &amp; Sutker, P. B. (1998). Attention and memory dysfunction in posttraumatic stress disorder. Neuropsychology, 12(1), 125–133. Clinical Trial, Journal Article, Research Support, U.S. Gov’t, Non-P.H.S."/>
    <n v="9460740"/>
    <n v="1"/>
    <m/>
    <m/>
    <n v="1"/>
    <m/>
    <n v="1"/>
    <x v="5"/>
    <x v="5"/>
    <x v="6"/>
    <n v="1"/>
    <x v="8"/>
    <s v="-"/>
    <s v="-"/>
    <m/>
    <m/>
    <m/>
    <m/>
    <m/>
    <m/>
    <m/>
    <m/>
    <m/>
    <m/>
    <m/>
    <m/>
    <m/>
    <m/>
    <m/>
    <m/>
    <m/>
  </r>
  <r>
    <s v="Esterman, M., DeGutis, J., Mercado, R., Rosenblatt, A., Vasterling, J. J., Milberg, W., &amp; McGlinchey, R. (2013). Stress-related psychological symptoms are associated with increased attentional capture by visually salient distractors. Journal of the International Neuropsychological Society : JINS, 19(7), 835–840. Journal Article, Research Support, Non-U.S. Gov’t. http://doi.org/10.1017/S135561771300057X"/>
    <n v="23803518"/>
    <n v="1"/>
    <m/>
    <m/>
    <n v="1"/>
    <m/>
    <n v="1"/>
    <x v="5"/>
    <x v="6"/>
    <x v="7"/>
    <m/>
    <x v="5"/>
    <m/>
    <m/>
    <m/>
    <m/>
    <m/>
    <m/>
    <m/>
    <m/>
    <m/>
    <m/>
    <m/>
    <m/>
    <m/>
    <m/>
    <m/>
    <m/>
    <m/>
    <m/>
    <m/>
  </r>
  <r>
    <s v="Franke, L. M., Czarnota, J. N., Ketchum, J. M., &amp; Walker, W. C. (2015). Factor analysis of persistent postconcussive symptoms within a military sample with blast exposure. The Journal of Head Trauma Rehabilitation, 30(1), E34-46. Journal Article, Research Support, N.I.H., Extramural, Research Support, U.S. Gov’t, Non-P.H.S. http://doi.org/10.1097/HTR.0000000000000042"/>
    <n v="24695267"/>
    <n v="1"/>
    <m/>
    <m/>
    <n v="1"/>
    <m/>
    <n v="1"/>
    <x v="6"/>
    <x v="7"/>
    <x v="8"/>
    <n v="1"/>
    <x v="9"/>
    <m/>
    <m/>
    <m/>
    <m/>
    <m/>
    <m/>
    <m/>
    <m/>
    <m/>
    <m/>
    <m/>
    <m/>
    <m/>
    <m/>
    <m/>
    <m/>
    <m/>
    <m/>
    <m/>
  </r>
  <r>
    <s v="Vasterling, J. J., Duke, L. M., Brailey, K., Constans, J. I., Allain, A. N. J., &amp; Sutker, P. B. (2002). Attention, learning, and memory performances and intellectual resources in Vietnam veterans: PTSD and no disorder comparisons. Neuropsychology, 16(1), 5–14. Journal Article, Research Support, Non-U.S. Gov’t, Research Support, U.S. Gov’t, Non-P.H.S."/>
    <n v="11853357"/>
    <n v="1"/>
    <m/>
    <m/>
    <n v="1"/>
    <m/>
    <n v="1"/>
    <x v="7"/>
    <x v="8"/>
    <x v="0"/>
    <n v="1"/>
    <x v="10"/>
    <s v="-"/>
    <s v="-"/>
    <m/>
    <m/>
    <m/>
    <m/>
    <m/>
    <m/>
    <m/>
    <m/>
    <m/>
    <m/>
    <m/>
    <m/>
    <m/>
    <m/>
    <m/>
    <m/>
    <m/>
  </r>
  <r>
    <s v="Dretsch, M. N., Thiel, K. J., Athy, J. R., Irvin, C. R., Sirmon-Fjordbak, B., &amp; Salvatore, A. (2012). Mood symptoms contribute to working memory decrement in active-duty soldiers being treated for posttraumatic stress disorder. Brain and Behavior, 2(4), 357–364. Journal Article. http://doi.org/10.1002/brb3.53"/>
    <n v="22950039"/>
    <n v="1"/>
    <m/>
    <m/>
    <n v="1"/>
    <m/>
    <n v="1"/>
    <x v="8"/>
    <x v="9"/>
    <x v="0"/>
    <n v="1"/>
    <x v="11"/>
    <m/>
    <m/>
    <m/>
    <m/>
    <m/>
    <m/>
    <m/>
    <m/>
    <m/>
    <m/>
    <m/>
    <m/>
    <m/>
    <m/>
    <m/>
    <m/>
    <m/>
    <m/>
    <m/>
  </r>
  <r>
    <s v="Chemtob, C. M., Roitblat, H. L., Hamada, R. S., Muraoka, M. Y., Carlson, J. G., &amp; Bauer, G. B. (1999). Compelled attention: the effects of viewing trauma-related stimuli on concurrent  task performance in posttraumatic stress disorder. Journal of Traumatic Stress, 12(2), 309–326. Journal Article, Research Support, U.S. Gov’t, Non-P.H.S. http://doi.org/10.1023/A:1024728626505"/>
    <n v="10378168"/>
    <n v="1"/>
    <m/>
    <m/>
    <n v="1"/>
    <s v="maar ook wel emotie, dus niet alleen aandacht"/>
    <n v="1"/>
    <x v="9"/>
    <x v="6"/>
    <x v="0"/>
    <n v="1"/>
    <x v="12"/>
    <m/>
    <m/>
    <m/>
    <m/>
    <m/>
    <m/>
    <m/>
    <m/>
    <m/>
    <m/>
    <m/>
    <m/>
    <m/>
    <m/>
    <m/>
    <m/>
    <m/>
    <m/>
    <m/>
  </r>
  <r>
    <s v="Roca, V., Hart, J., Kimbrell, T., &amp; Freeman, T. (2006). Cognitive function and dissociative disorder status among veteran subjects with chronic posttraumatic stress disorder: a preliminary study. The Journal of Neuropsychiatry and Clinical Neurosciences, 18(2), 226–230. Journal Article. http://doi.org/10.1176/jnp.2006.18.2.226"/>
    <n v="16720800"/>
    <n v="1"/>
    <m/>
    <m/>
    <n v="1"/>
    <m/>
    <n v="1"/>
    <x v="10"/>
    <x v="8"/>
    <x v="9"/>
    <n v="1"/>
    <x v="5"/>
    <m/>
    <m/>
    <m/>
    <m/>
    <m/>
    <m/>
    <m/>
    <m/>
    <m/>
    <m/>
    <m/>
    <m/>
    <m/>
    <m/>
    <m/>
    <m/>
    <m/>
    <m/>
    <m/>
  </r>
  <r>
    <s v="Troyanskaya, M., Pastorek, N. J., Scheibel, R. S., Petersen, N. J., McCulloch, K., Wilde, E. A., … Levin, H. S. (2015). Combat exposure, PTSD symptoms, and cognition following blast-related traumatic brain injury in OEF/OIF/OND service members and Veterans. Military Medicine, 180(3), 285–289. Journal Article, Research Support, U.S. Gov’t, Non-P.H.S. http://doi.org/10.7205/MILMED-D-14-00256"/>
    <n v="25735018"/>
    <n v="1"/>
    <m/>
    <m/>
    <n v="1"/>
    <m/>
    <n v="1"/>
    <x v="11"/>
    <x v="10"/>
    <x v="10"/>
    <n v="1"/>
    <x v="13"/>
    <s v="-"/>
    <s v="-"/>
    <s v="ptsd; Combat exposure scale"/>
    <m/>
    <m/>
    <m/>
    <m/>
    <m/>
    <m/>
    <m/>
    <m/>
    <m/>
    <m/>
    <m/>
    <m/>
    <m/>
    <m/>
    <m/>
    <m/>
  </r>
  <r>
    <s v="Yehuda, R., Keefe, R. S., Harvey, P. D., Levengood, R. A., Gerber, D. K., Geni, J., &amp; Siever, L. J. (1995). Learning and memory in combat veterans with posttraumatic stress disorder. The American Journal of Psychiatry, 152(1), 137–139. Comparative Study, Journal Article, Research Support, U.S. Gov’t, P.H.S. http://doi.org/10.1176/ajp.152.1.137"/>
    <n v="7802106"/>
    <n v="1"/>
    <m/>
    <m/>
    <n v="1"/>
    <m/>
    <n v="1"/>
    <x v="12"/>
    <x v="10"/>
    <x v="6"/>
    <n v="1"/>
    <x v="14"/>
    <m/>
    <m/>
    <m/>
    <m/>
    <m/>
    <m/>
    <m/>
    <m/>
    <m/>
    <m/>
    <m/>
    <m/>
    <m/>
    <m/>
    <m/>
    <m/>
    <m/>
    <m/>
    <m/>
  </r>
  <r>
    <s v="Storzbach, D., O’Neil, M. E., Roost, S.-M., Kowalski, H., Iverson, G. L., Binder, L. M., … Huckans, M. (2015). Comparing the Neuropsychological Test Performance of Operation Enduring Freedom/Operation Iraqi Freedom (OEF/OIF) Veterans with and without Blast Exposure, Mild Traumatic Brain Injury, and Posttraumatic Stress Symptoms. Journal of the International Neuropsychological Society : JINS, 21(5), 353–363. Journal Article, Research Support, Non-U.S. Gov’t, Research Support, U.S. Gov’t, Non-P.H.S., Research Support, U.S. Gov’t, P.H.S. http://doi.org/10.1017/S1355617715000326"/>
    <n v="26029852"/>
    <n v="1"/>
    <m/>
    <m/>
    <n v="1"/>
    <m/>
    <n v="1"/>
    <x v="13"/>
    <x v="10"/>
    <x v="11"/>
    <n v="1"/>
    <x v="15"/>
    <s v="-"/>
    <s v="-"/>
    <s v="-"/>
    <m/>
    <m/>
    <m/>
    <m/>
    <m/>
    <m/>
    <m/>
    <m/>
    <m/>
    <m/>
    <m/>
    <m/>
    <m/>
    <m/>
    <m/>
    <m/>
  </r>
  <r>
    <s v="Ponsford, J., Cameron, P., Fitzgerald, M., Grant, M., Mikocka-Walus, A., &amp; Schonberger, M. (2012). Predictors of postconcussive symptoms 3 months after mild traumatic brain injury. Neuropsychology, 26(3), 304–313. Journal Article, Research Support, Non-U.S. Gov’t. http://doi.org/10.1037/a0027888"/>
    <n v="22468823"/>
    <n v="1"/>
    <s v="idem"/>
    <s v="idem"/>
    <n v="1"/>
    <s v="even naar overlap met PTSD kijken"/>
    <n v="1"/>
    <x v="14"/>
    <x v="8"/>
    <x v="12"/>
    <n v="0"/>
    <x v="16"/>
    <m/>
    <m/>
    <m/>
    <s v="wel ptsd gemeten… check full tekst"/>
    <m/>
    <m/>
    <m/>
    <m/>
    <m/>
    <m/>
    <m/>
    <m/>
    <m/>
    <m/>
    <m/>
    <m/>
    <m/>
    <m/>
    <m/>
  </r>
  <r>
    <s v="Fan, X., Henderson, D. C., Nguyen, D. D., Cather, C., Freudenreich, O., Evins, A. E., … Goff, D. C. (2008). Posttraumatic stress disorder, cognitive function and quality of life in patients with schizophrenia. Psychiatry Research, 159(1–2), 140–146. Comparative Study, Journal Article. http://doi.org/10.1016/j.psychres.2007.10.012"/>
    <n v="18423611"/>
    <n v="1"/>
    <m/>
    <m/>
    <n v="1"/>
    <m/>
    <n v="1"/>
    <x v="15"/>
    <x v="11"/>
    <x v="13"/>
    <n v="0"/>
    <x v="0"/>
    <m/>
    <m/>
    <m/>
    <s v="wel comorbiditeit van schizofrenia.. En onduidelijk of er een cognitieve taak gedaan is? --&gt; daaorm lees full tekst"/>
    <m/>
    <m/>
    <m/>
    <m/>
    <m/>
    <m/>
    <m/>
    <m/>
    <m/>
    <m/>
    <m/>
    <m/>
    <m/>
    <m/>
    <m/>
  </r>
  <r>
    <s v="Koso, M., &amp; Hansen, S. (2006). Executive function and memory in posttraumatic stress disorder: a study of Bosnian war veterans. European Psychiatry : The Journal of the Association of European Psychiatrists, 21(3), 167–173. Journal Article, Research Support, Non-U.S. Gov’t. http://doi.org/10.1016/j.eurpsy.2005.06.004"/>
    <n v="16139487"/>
    <n v="1"/>
    <m/>
    <m/>
    <n v="1"/>
    <m/>
    <n v="1"/>
    <x v="16"/>
    <x v="12"/>
    <x v="14"/>
    <n v="1"/>
    <x v="17"/>
    <s v="-"/>
    <m/>
    <m/>
    <m/>
    <m/>
    <m/>
    <m/>
    <m/>
    <m/>
    <m/>
    <m/>
    <m/>
    <m/>
    <m/>
    <m/>
    <m/>
    <m/>
    <m/>
    <m/>
  </r>
  <r>
    <s v="Neylan, T. C., Lenoci, M., Rothlind, J., Metzler, T. J., Schuff, N., Du, A.-T., … Marmar, C. R. (2004). Attention, learning, and memory in posttraumatic stress disorder. Journal of Traumatic Stress, 17(1), 41–46. Journal Article, Research Support, Non-U.S. Gov’t, Research Support, U.S. Gov’t, Non-P.H.S. http://doi.org/10.1023/B:JOTS.0000014675.75686.ee"/>
    <n v="15027792"/>
    <n v="1"/>
    <m/>
    <m/>
    <n v="1"/>
    <m/>
    <n v="1"/>
    <x v="17"/>
    <x v="8"/>
    <x v="5"/>
    <n v="1"/>
    <x v="18"/>
    <s v="naa &amp; mri"/>
    <m/>
    <s v="alcohol/drug, depression"/>
    <m/>
    <m/>
    <m/>
    <m/>
    <m/>
    <m/>
    <m/>
    <m/>
    <m/>
    <m/>
    <m/>
    <m/>
    <m/>
    <m/>
    <m/>
    <m/>
  </r>
  <r>
    <s v="Wisco, B. E., Pineles, S. L., Shipherd, J. C., &amp; Marx, B. P. (2013). Attentional interference by threat and post-traumatic stress disorder: the role of thought control strategies. Cognition &amp; Emotion, 27(7), 1314–1325. Journal Article, Research Support, N.I.H., Extramural, Research Support, U.S. Gov’t, Non-P.H.S. http://doi.org/10.1080/02699931.2013.775109"/>
    <n v="23517445"/>
    <n v="1"/>
    <m/>
    <m/>
    <n v="1"/>
    <m/>
    <n v="1"/>
    <x v="18"/>
    <x v="5"/>
    <x v="0"/>
    <n v="1"/>
    <x v="19"/>
    <m/>
    <m/>
    <m/>
    <m/>
    <m/>
    <m/>
    <m/>
    <m/>
    <m/>
    <m/>
    <m/>
    <m/>
    <m/>
    <m/>
    <m/>
    <m/>
    <m/>
    <m/>
    <m/>
  </r>
  <r>
    <s v="Morey, R. A., Dolcos, F., Petty, C. M., Cooper, D. A., Hayes, J. P., LaBar, K. S., &amp; McCarthy, G. (2009). The role of trauma-related distractors on neural systems for working memory and emotion processing in posttraumatic stress disorder. Journal of Psychiatric Research, 43(8), 809–817. Journal Article, Research Support, N.I.H., Extramural, Research Support, Non-U.S. Gov’t, Research Support, U.S. Gov’t, Non-P.H.S. http://doi.org/10.1016/j.jpsychires.2008.10.014"/>
    <n v="19091328"/>
    <n v="1"/>
    <m/>
    <m/>
    <n v="1"/>
    <m/>
    <n v="1"/>
    <x v="19"/>
    <x v="13"/>
    <x v="5"/>
    <n v="1"/>
    <x v="20"/>
    <s v="fmri"/>
    <m/>
    <m/>
    <m/>
    <m/>
    <m/>
    <m/>
    <m/>
    <m/>
    <m/>
    <m/>
    <m/>
    <m/>
    <m/>
    <m/>
    <m/>
    <m/>
    <m/>
    <m/>
  </r>
  <r>
    <s v="Saunders, G. H., Frederick, M. T., Arnold, M., Silverman, S., Chisolm, T. H., &amp; Myers, P. (2015). Auditory difficulties in blast-exposed Veterans with clinically normal hearing. Journal of Rehabilitation Research and Development, 52(3), 343–360. Journal Article, Randomized Controlled Trial, Research Support, U.S. Gov’t, Non-P.H.S. http://doi.org/10.1682/JRRD.2014.11.0275"/>
    <n v="26237266"/>
    <n v="1"/>
    <s v="mild tbi checken… is het cognitief en is er een ptsd analyse?"/>
    <s v="auditory processing"/>
    <n v="0"/>
    <m/>
    <n v="1"/>
    <x v="20"/>
    <x v="14"/>
    <x v="15"/>
    <n v="1"/>
    <x v="5"/>
    <m/>
    <m/>
    <m/>
    <m/>
    <m/>
    <m/>
    <m/>
    <m/>
    <m/>
    <m/>
    <m/>
    <m/>
    <m/>
    <m/>
    <m/>
    <m/>
    <m/>
    <m/>
    <m/>
  </r>
  <r>
    <s v="McNally, R. J., Lasko, N. B., Macklin, M. L., &amp; Pitman, R. K. (1995). Autobiographical memory disturbance in combat-related posttraumatic stress disorder. Behaviour Research and Therapy, 33(6), 619–630. Journal Article."/>
    <n v="7654154"/>
    <n v="1"/>
    <m/>
    <m/>
    <n v="1"/>
    <m/>
    <n v="1"/>
    <x v="21"/>
    <x v="4"/>
    <x v="0"/>
    <n v="1"/>
    <x v="5"/>
    <m/>
    <m/>
    <m/>
    <m/>
    <m/>
    <m/>
    <m/>
    <m/>
    <m/>
    <m/>
    <m/>
    <m/>
    <m/>
    <m/>
    <m/>
    <m/>
    <m/>
    <m/>
    <m/>
  </r>
  <r>
    <s v="Brown, A. D., Kouri, N. A., Rahman, N., Joscelyne, A., Bryant, R. A., &amp; Marmar, C. R. (2016). Enhancing self-efficacy improves episodic future thinking and social-decision making in combat veterans with posttraumatic stress disorder. Psychiatry Research, 242, 19–25. Journal Article. http://doi.org/10.1016/j.psychres.2016.05.026"/>
    <n v="27236589"/>
    <n v="1"/>
    <m/>
    <m/>
    <n v="1"/>
    <m/>
    <n v="1"/>
    <x v="22"/>
    <x v="15"/>
    <x v="0"/>
    <n v="1"/>
    <x v="21"/>
    <m/>
    <m/>
    <m/>
    <m/>
    <m/>
    <m/>
    <m/>
    <m/>
    <m/>
    <m/>
    <m/>
    <m/>
    <m/>
    <m/>
    <m/>
    <m/>
    <m/>
    <m/>
    <m/>
  </r>
  <r>
    <s v="Depue, B. E., Olson-Madden, J. H., Smolker, H. R., Rajamani, M., Brenner, L. A., &amp; Banich, M. T. (2014). Reduced amygdala volume is associated with deficits in inhibitory control: a voxel- and surface-based morphometric analysis of comorbid PTSD/mild TBI. BioMed Research International, 2014, 691505. Journal Article, Randomized Controlled Trial, Research Support, Non-U.S. Gov’t. http://doi.org/10.1155/2014/691505"/>
    <n v="24724093"/>
    <n v="1"/>
    <m/>
    <m/>
    <n v="1"/>
    <m/>
    <n v="1"/>
    <x v="23"/>
    <x v="1"/>
    <x v="8"/>
    <n v="1"/>
    <x v="22"/>
    <s v="fmri"/>
    <m/>
    <m/>
    <m/>
    <m/>
    <m/>
    <m/>
    <m/>
    <m/>
    <m/>
    <m/>
    <m/>
    <m/>
    <m/>
    <m/>
    <m/>
    <m/>
    <m/>
    <m/>
  </r>
  <r>
    <s v="Seedat, S., Videen, J. S., Kennedy, C. M., &amp; Stein, M. B. (2005). Single voxel proton magnetic resonance spectroscopy in women with and without intimate partner violence-related posttraumatic stress disorder. Psychiatry Research, 139(3), 249–258. Journal Article, Research Support, U.S. Gov’t, Non-P.H.S. http://doi.org/10.1016/j.pscychresns.2005.06.001"/>
    <n v="16055312"/>
    <n v="1"/>
    <m/>
    <m/>
    <n v="1"/>
    <m/>
    <n v="1"/>
    <x v="24"/>
    <x v="16"/>
    <x v="16"/>
    <n v="0"/>
    <x v="23"/>
    <s v="MRS"/>
    <m/>
    <s v="intimate partner violence; conflict tacticts"/>
    <m/>
    <m/>
    <m/>
    <m/>
    <m/>
    <m/>
    <m/>
    <m/>
    <m/>
    <m/>
    <m/>
    <m/>
    <m/>
    <m/>
    <m/>
    <m/>
  </r>
  <r>
    <s v="Litz, B. T., Weathers, F. W., Monaco, V., Herman, D. S., Wulfsohn, M., Marx, B., &amp; Keane, T. M. (1996). Attention, arousal, and memory in posttraumatic stress disorder. Journal of Traumatic Stress, 9(3), 497–519. Journal Article, Research Support, U.S. Gov’t, Non-P.H.S."/>
    <n v="8827652"/>
    <n v="1"/>
    <m/>
    <m/>
    <n v="1"/>
    <m/>
    <n v="1"/>
    <x v="25"/>
    <x v="17"/>
    <x v="5"/>
    <n v="1"/>
    <x v="24"/>
    <m/>
    <s v="physiologie"/>
    <s v="depression"/>
    <m/>
    <m/>
    <m/>
    <m/>
    <m/>
    <m/>
    <m/>
    <m/>
    <m/>
    <m/>
    <m/>
    <m/>
    <m/>
    <m/>
    <m/>
    <m/>
  </r>
  <r>
    <s v="Kibler, J. L., &amp; Lyons, J. A. (2004). Perceived coping ability mediates the relationship between PTSD severity and heart rate recovery in veterans. Journal of Traumatic Stress, 17(1), 23–29. Journal Article, Research Support, U.S. Gov’t, Non-P.H.S. http://doi.org/10.1023/B:JOTS.0000014672.16935.9c"/>
    <n v="15027789"/>
    <n v="1"/>
    <m/>
    <m/>
    <n v="1"/>
    <m/>
    <n v="1"/>
    <x v="26"/>
    <x v="18"/>
    <x v="0"/>
    <n v="1"/>
    <x v="25"/>
    <s v="-"/>
    <s v="startle/HR"/>
    <s v="coping strategies"/>
    <m/>
    <m/>
    <m/>
    <m/>
    <m/>
    <m/>
    <m/>
    <m/>
    <m/>
    <m/>
    <m/>
    <m/>
    <m/>
    <m/>
    <m/>
    <m/>
  </r>
  <r>
    <s v="Amick, M. M., Clark, A., Fortier, C. B., Esterman, M., Rasmusson, A. M., Kenna, A., … McGlinchey, R. (2013). PTSD modifies performance on a task of affective executive control among deployed OEF/OIF veterans with mild traumatic brain injury. Journal of the International Neuropsychological Society : JINS, 19(7), 792–801. Comparative Study, Journal Article, Research Support, Non-U.S. Gov’t. http://doi.org/10.1017/S1355617713000544"/>
    <n v="23823533"/>
    <n v="1"/>
    <m/>
    <m/>
    <n v="1"/>
    <m/>
    <n v="1"/>
    <x v="27"/>
    <x v="1"/>
    <x v="17"/>
    <n v="1"/>
    <x v="26"/>
    <m/>
    <m/>
    <m/>
    <m/>
    <m/>
    <m/>
    <m/>
    <m/>
    <m/>
    <m/>
    <m/>
    <m/>
    <m/>
    <m/>
    <m/>
    <m/>
    <m/>
    <m/>
    <m/>
  </r>
  <r>
    <s v="Swick, D., Honzel, N., &amp; Turken, U. (2015). Intact error monitoring in combat Veterans with post-traumatic stress disorder. Psychiatry Research, 234(2), 227–238. Journal Article, Research Support, U.S. Gov’t, Non-P.H.S. http://doi.org/10.1016/j.pscychresns.2015.09.016"/>
    <n v="26481979"/>
    <n v="1"/>
    <m/>
    <m/>
    <n v="1"/>
    <m/>
    <n v="1"/>
    <x v="28"/>
    <x v="19"/>
    <x v="6"/>
    <n v="1"/>
    <x v="27"/>
    <s v="EEG &amp; ERN"/>
    <m/>
    <m/>
    <m/>
    <m/>
    <m/>
    <m/>
    <m/>
    <m/>
    <m/>
    <m/>
    <m/>
    <m/>
    <m/>
    <m/>
    <m/>
    <m/>
    <m/>
    <m/>
  </r>
  <r>
    <s v="Shin, L. M., Bush, G., Milad, M. R., Lasko, N. B., Brohawn, K. H., Hughes, K. C., … Pitman, R. K. (2011). Exaggerated activation of dorsal anterior cingulate cortex during cognitive interference: a monozygotic twin study of posttraumatic stress disorder. The American Journal of Psychiatry, 168(9), 979–985. Journal Article, Research Support, N.I.H., Extramural, Research Support, Non-U.S. Gov’t, Research Support, U.S. Gov’t, Non-P.H.S. http://doi.org/10.1176/appi.ajp.2011.09121812"/>
    <n v="21724666"/>
    <n v="1"/>
    <m/>
    <m/>
    <n v="1"/>
    <m/>
    <n v="1"/>
    <x v="29"/>
    <x v="20"/>
    <x v="18"/>
    <n v="0"/>
    <x v="28"/>
    <s v="fmri"/>
    <s v="-"/>
    <s v="depression &amp; alcohol use"/>
    <m/>
    <m/>
    <m/>
    <m/>
    <m/>
    <m/>
    <m/>
    <m/>
    <m/>
    <m/>
    <m/>
    <m/>
    <m/>
    <m/>
    <m/>
    <m/>
  </r>
  <r>
    <s v="Grillon, C., Morgan, C. A. 3rd, Davis, M., &amp; Southwick, S. M. (1998). Effects of experimental context and explicit threat cues on acoustic startle in Vietnam veterans with posttraumatic stress disorder. Biological Psychiatry, 44(10), 1027–1036. Clinical Trial, Journal Article, Research Support, U.S. Gov’t, Non-P.H.S., Research Support, U.S. Gov’t, P.H.S."/>
    <n v="9821567"/>
    <n v="1"/>
    <m/>
    <m/>
    <n v="1"/>
    <m/>
    <n v="1"/>
    <x v="30"/>
    <x v="21"/>
    <x v="0"/>
    <n v="1"/>
    <x v="4"/>
    <s v="-"/>
    <s v="startle"/>
    <m/>
    <m/>
    <m/>
    <m/>
    <m/>
    <m/>
    <m/>
    <m/>
    <m/>
    <m/>
    <m/>
    <m/>
    <m/>
    <m/>
    <m/>
    <m/>
    <m/>
  </r>
  <r>
    <s v="Shu, I.-W., Onton, J. A., O’Connell, R. M., Simmons, A. N., &amp; Matthews, S. C. (2014). Combat veterans with comorbid PTSD and mild TBI exhibit a greater inhibitory processing ERP from the dorsal anterior cingulate cortex. Psychiatry Research, 224(1), 58–66. Journal Article, Research Support, Non-U.S. Gov’t, Research Support, U.S. Gov’t, Non-P.H.S. http://doi.org/10.1016/j.pscychresns.2014.07.010"/>
    <n v="25150386"/>
    <n v="1"/>
    <m/>
    <m/>
    <n v="1"/>
    <m/>
    <n v="1"/>
    <x v="31"/>
    <x v="1"/>
    <x v="19"/>
    <n v="1"/>
    <x v="29"/>
    <s v="eeg"/>
    <m/>
    <m/>
    <m/>
    <m/>
    <m/>
    <m/>
    <m/>
    <m/>
    <m/>
    <m/>
    <m/>
    <m/>
    <m/>
    <m/>
    <m/>
    <m/>
    <m/>
    <m/>
  </r>
  <r>
    <s v="Golier, J. A., Harvey, P. D., Legge, J., &amp; Yehuda, R. (2006). Memory performance in older trauma survivors: implications for the longitudinal course of PTSD. Annals of the New York Academy of Sciences, 1071, 54–66. Journal Article, Review. http://doi.org/10.1196/annals.1364.006"/>
    <n v="16891562"/>
    <n v="1"/>
    <m/>
    <m/>
    <n v="1"/>
    <m/>
    <n v="1"/>
    <x v="32"/>
    <x v="4"/>
    <x v="20"/>
    <n v="0"/>
    <x v="30"/>
    <m/>
    <m/>
    <m/>
    <m/>
    <m/>
    <m/>
    <m/>
    <m/>
    <m/>
    <m/>
    <m/>
    <m/>
    <m/>
    <m/>
    <m/>
    <m/>
    <m/>
    <m/>
    <m/>
  </r>
  <r>
    <s v="Tischler, L., Brand, S. R., Stavitsky, K., Labinsky, E., Newmark, R., Grossman, R., … Yehuda, R. (2006). The relationship between hippocampal volume and declarative memory in a population of combat veterans with and without PTSD. Annals of the New York Academy of Sciences, 1071, 405–409. Journal Article. http://doi.org/10.1196/annals.1364.031"/>
    <n v="16891587"/>
    <n v="1"/>
    <m/>
    <m/>
    <n v="1"/>
    <m/>
    <n v="1"/>
    <x v="32"/>
    <x v="4"/>
    <x v="21"/>
    <n v="1"/>
    <x v="31"/>
    <s v="fmri"/>
    <s v="-"/>
    <m/>
    <m/>
    <m/>
    <m/>
    <m/>
    <m/>
    <m/>
    <m/>
    <m/>
    <m/>
    <m/>
    <m/>
    <m/>
    <m/>
    <m/>
    <m/>
    <m/>
  </r>
  <r>
    <s v="Woodward, S. H., Kaloupek, D. G., Grande, L. J., Stegman, W. K., Kutter, C. J., Leskin, L., … Eliez, S. (2009). Hippocampal volume and declarative memory function in combat-related PTSD. Journal of the International Neuropsychological Society : JINS, 15(6), 830–839. Journal Article, Research Support, N.I.H., Extramural, Research Support, Non-U.S. Gov’t. http://doi.org/10.1017/S1355617709990476"/>
    <n v="19703322"/>
    <n v="1"/>
    <m/>
    <m/>
    <n v="1"/>
    <m/>
    <n v="1"/>
    <x v="32"/>
    <x v="4"/>
    <x v="6"/>
    <n v="1"/>
    <x v="5"/>
    <s v="MRI"/>
    <m/>
    <m/>
    <m/>
    <m/>
    <m/>
    <m/>
    <m/>
    <m/>
    <m/>
    <m/>
    <m/>
    <m/>
    <m/>
    <m/>
    <m/>
    <m/>
    <m/>
    <m/>
  </r>
  <r>
    <s v="Freeman, T. W., Hart, J., Kimbrell, T., &amp; Ross, E. D. (2009). Comprehension of affective prosody in veterans with chronic posttraumatic stress  disorder. The Journal of Neuropsychiatry and Clinical Neurosciences, 21(1), 52–58. Journal Article. http://doi.org/10.1176/jnp.2009.21.1.52"/>
    <n v="19359452"/>
    <n v="1"/>
    <m/>
    <m/>
    <n v="1"/>
    <m/>
    <n v="1"/>
    <x v="33"/>
    <x v="22"/>
    <x v="0"/>
    <n v="1"/>
    <x v="32"/>
    <s v="hemisphere damage"/>
    <m/>
    <m/>
    <m/>
    <m/>
    <m/>
    <m/>
    <m/>
    <m/>
    <m/>
    <m/>
    <m/>
    <m/>
    <m/>
    <m/>
    <m/>
    <m/>
    <m/>
    <m/>
  </r>
  <r>
    <s v="Woodward, S. H., Shurick, A. A., Alvarez, J., Kuo, J., Nonyieva, Y., Blechert, J., … Gross, J. J. (2015). A psychophysiological investigation of emotion regulation in chronic severe posttraumatic stress disorder. Psychophysiology, 52(5), 667–678. Journal Article. http://doi.org/10.1111/psyp.12392"/>
    <n v="25516381"/>
    <n v="1"/>
    <m/>
    <m/>
    <n v="1"/>
    <m/>
    <n v="1"/>
    <x v="34"/>
    <x v="1"/>
    <x v="6"/>
    <n v="1"/>
    <x v="33"/>
    <s v="-"/>
    <s v="cardiac activity"/>
    <m/>
    <m/>
    <m/>
    <m/>
    <m/>
    <m/>
    <m/>
    <m/>
    <m/>
    <m/>
    <m/>
    <m/>
    <m/>
    <m/>
    <m/>
    <m/>
    <m/>
  </r>
  <r>
    <s v="Olatunji, B. O., Armstrong, T., McHugo, M., &amp; Zald, D. H. (2013). Heightened attentional capture by threat in veterans with PTSD. Journal of Abnormal Psychology, 122(2), 397–405. Journal Article. http://doi.org/10.1037/a0030440"/>
    <n v="23148782"/>
    <n v="1"/>
    <m/>
    <m/>
    <n v="1"/>
    <m/>
    <n v="1"/>
    <x v="35"/>
    <x v="5"/>
    <x v="5"/>
    <n v="1"/>
    <x v="34"/>
    <m/>
    <m/>
    <m/>
    <m/>
    <m/>
    <m/>
    <m/>
    <m/>
    <m/>
    <m/>
    <m/>
    <m/>
    <m/>
    <m/>
    <m/>
    <m/>
    <m/>
    <m/>
    <m/>
  </r>
  <r>
    <s v="Brett, E. A., &amp; Mangine, W. (1985). Imagery and combat stress in Vietnam veterans. The Journal of Nervous and Mental Disease, 173(5), 309–311. Journal Article."/>
    <n v="3989520"/>
    <n v="1"/>
    <m/>
    <m/>
    <n v="1"/>
    <m/>
    <n v="1"/>
    <x v="36"/>
    <x v="3"/>
    <x v="0"/>
    <n v="1"/>
    <x v="35"/>
    <s v="no?"/>
    <m/>
    <m/>
    <m/>
    <m/>
    <m/>
    <m/>
    <m/>
    <m/>
    <m/>
    <m/>
    <m/>
    <m/>
    <m/>
    <m/>
    <m/>
    <m/>
    <m/>
    <m/>
  </r>
  <r>
    <s v="Britton, J. C., Phan, K. L., Taylor, S. F., Fig, L. M., &amp; Liberzon, I. (2005). Corticolimbic blood flow in posttraumatic stress disorder during script-driven imagery. Biological Psychiatry, 57(8), 832–840. Clinical Trial, Journal Article, Research Support, U.S. Gov’t, Non-P.H.S. http://doi.org/10.1016/j.biopsych.2004.12.025"/>
    <n v="15820703"/>
    <n v="1"/>
    <s v="0. er zijn heel veel imagry studies. Frankati et all review 10jaar geleden.; kl phan. Ruth lenius. Dough bremmer. Pittman.; includeren als er iets gedrag gemeten wordt… bij alleen brain measures excluderen. "/>
    <s v="Ik heb het geincludeerd ik het kader van recall v autobiographic events"/>
    <n v="1"/>
    <s v="tja, is dat cognitief? Ook maar eens over hebben"/>
    <n v="1"/>
    <x v="36"/>
    <x v="3"/>
    <x v="0"/>
    <n v="1"/>
    <x v="36"/>
    <s v="fmri"/>
    <m/>
    <m/>
    <m/>
    <m/>
    <m/>
    <m/>
    <m/>
    <m/>
    <m/>
    <m/>
    <m/>
    <m/>
    <m/>
    <m/>
    <m/>
    <m/>
    <m/>
    <m/>
  </r>
  <r>
    <s v="Wangelin, B. C., &amp; Tuerk, P. W. (2015). TAKING THE PULSE OF PROLONGED EXPOSURE THERAPY: PHYSIOLOGICAL REACTIVITY TO TRAUMA IMAGERY AS AN OBJECTIVE MEASURE OF TREATMENT RESPONSE. Depression and Anxiety, 32(12), 927–934. Journal Article, Research Support, U.S. Gov’t, Non-P.H.S. http://doi.org/10.1002/da.22449"/>
    <n v="26522237"/>
    <n v="1"/>
    <m/>
    <m/>
    <n v="1"/>
    <m/>
    <n v="1"/>
    <x v="36"/>
    <x v="3"/>
    <x v="5"/>
    <n v="1"/>
    <x v="37"/>
    <s v="-"/>
    <s v="HR; SC; "/>
    <m/>
    <s v="effect van prolonged exposure; is imagery cognitief genoeg?"/>
    <m/>
    <m/>
    <m/>
    <m/>
    <m/>
    <m/>
    <m/>
    <m/>
    <m/>
    <m/>
    <m/>
    <m/>
    <m/>
    <m/>
    <m/>
  </r>
  <r>
    <s v="Shu, I.-W., Onton, J. A., Prabhakar, N., O’Connell, R. M., Simmons, A. N., &amp; Matthews, S. C. (2014). Combat veterans with PTSD after mild TBI exhibit greater ERPs from posterior-medial cortical areas while appraising facial features. Journal of Affective Disorders, 155, 234–240. Journal Article, Research Support, Non-U.S. Gov’t, Research Support, U.S. Gov’t, Non-P.H.S. http://doi.org/10.1016/j.jad.2013.06.057"/>
    <n v="24342149"/>
    <n v="1"/>
    <m/>
    <m/>
    <n v="1"/>
    <m/>
    <n v="1"/>
    <x v="37"/>
    <x v="22"/>
    <x v="19"/>
    <n v="1"/>
    <x v="38"/>
    <s v="eeg"/>
    <m/>
    <m/>
    <s v="cognitief genoeg?"/>
    <m/>
    <m/>
    <m/>
    <m/>
    <m/>
    <m/>
    <m/>
    <m/>
    <m/>
    <m/>
    <m/>
    <m/>
    <m/>
    <m/>
    <m/>
  </r>
  <r>
    <s v="Yehuda, R., Harvey, P. D., Buchsbaum, M., Tischler, L., &amp; Schmeidler, J. (2007). Enhanced effects of cortisol administration on episodic and working memory in aging veterans with PTSD. Neuropsychopharmacology : Official Publication of the American College of Neuropsychopharmacology, 32(12), 2581–2591. Clinical Trial, Journal Article, Randomized Controlled Trial, Research Support, N.I.H., Extramural. http://doi.org/10.1038/sj.npp.1301380"/>
    <n v="17392739"/>
    <n v="1"/>
    <m/>
    <m/>
    <n v="1"/>
    <m/>
    <n v="1"/>
    <x v="38"/>
    <x v="2"/>
    <x v="0"/>
    <n v="1"/>
    <x v="39"/>
    <m/>
    <s v="cortisol"/>
    <m/>
    <m/>
    <m/>
    <m/>
    <m/>
    <m/>
    <m/>
    <m/>
    <m/>
    <m/>
    <m/>
    <m/>
    <m/>
    <m/>
    <m/>
    <m/>
    <m/>
  </r>
  <r>
    <s v="Palombo, D. J., Kapson, H. S., Lafleche, G., Vasterling, J. J., Marx, B. P., Franz, M., &amp; Verfaellie, M. (2015). Alterations in autobiographical memory for a blast event in Operation Enduring Freedom and Operation Iraqi Freedom veterans with mild traumatic brain injury. Neuropsychology, 29(4), 543–549. Journal Article, Research Support, Non-U.S. Gov’t, Research Support, U.S. Gov’t, Non-P.H.S. http://doi.org/10.1037/neu0000198"/>
    <n v="25893970"/>
    <n v="1"/>
    <s v="idem"/>
    <s v="idem"/>
    <n v="1"/>
    <s v="even naar overlap met PTSD kijken"/>
    <n v="0"/>
    <x v="39"/>
    <x v="0"/>
    <x v="22"/>
    <n v="1"/>
    <x v="40"/>
    <s v="-"/>
    <s v="-"/>
    <m/>
    <s v="no ptasd measure, no cognitive task"/>
    <m/>
    <m/>
    <m/>
    <m/>
    <m/>
    <m/>
    <m/>
    <m/>
    <m/>
    <m/>
    <m/>
    <m/>
    <m/>
    <m/>
    <m/>
  </r>
  <r>
    <s v="Rabinak, C. A., Holman, A., Angstadt, M., Kennedy, A. E., Hajcak, G., &amp; Phan, K. L. (2013). Neural response to errors in combat-exposed returning veterans with and without post-traumatic stress disorder: a preliminary event-related potential study. Psychiatry Research, 213(1), 71–78. Journal Article. http://doi.org/10.1016/j.pscychresns.2013.01.002"/>
    <n v="23684979"/>
    <n v="1"/>
    <s v="include"/>
    <s v="response inhibition"/>
    <n v="1"/>
    <s v="wel kijken of je het echt wil meenemen"/>
    <n v="1"/>
    <x v="40"/>
    <x v="19"/>
    <x v="0"/>
    <n v="1"/>
    <x v="41"/>
    <s v="eeg; ERN"/>
    <m/>
    <m/>
    <m/>
    <m/>
    <m/>
    <m/>
    <m/>
    <m/>
    <m/>
    <m/>
    <m/>
    <m/>
    <m/>
    <m/>
    <m/>
    <m/>
    <m/>
    <m/>
  </r>
  <r>
    <s v="Sarac-Hadzihalilovic, A., Kulenovic, A., &amp; Kucukalic, A. (2008). Stress, memory and Bosnian war veterans. Bosnian Journal of Basic Medical Sciences / Udruzenje Basicnih Mediciniskih Znanosti = Association of Basic Medical Sciences, 8(2), 135–140. Journal Article."/>
    <n v="18498263"/>
    <n v="1"/>
    <s v="include"/>
    <s v="ja in ENG"/>
    <n v="0"/>
    <s v="article in english?"/>
    <n v="1"/>
    <x v="41"/>
    <x v="4"/>
    <x v="23"/>
    <n v="1"/>
    <x v="42"/>
    <m/>
    <m/>
    <m/>
    <m/>
    <m/>
    <m/>
    <m/>
    <m/>
    <m/>
    <m/>
    <m/>
    <m/>
    <m/>
    <m/>
    <m/>
    <m/>
    <m/>
    <m/>
    <m/>
  </r>
  <r>
    <s v="Swick, D., Honzel, N., Larsen, J., Ashley, V., &amp; Justus, T. (2012). Impaired response inhibition in veterans with post-traumatic stress disorder and  mild traumatic brain injury. Journal of the International Neuropsychological Society : JINS, 18(5), 917–926. Journal Article, Research Support, U.S. Gov’t, Non-P.H.S. http://doi.org/10.1017/S1355617712000458"/>
    <n v="22595028"/>
    <n v="1"/>
    <m/>
    <m/>
    <n v="1"/>
    <m/>
    <n v="1"/>
    <x v="42"/>
    <x v="1"/>
    <x v="10"/>
    <n v="1"/>
    <x v="43"/>
    <m/>
    <m/>
    <m/>
    <m/>
    <m/>
    <m/>
    <m/>
    <m/>
    <m/>
    <m/>
    <m/>
    <m/>
    <m/>
    <m/>
    <m/>
    <m/>
    <m/>
    <m/>
    <m/>
  </r>
  <r>
    <s v="Writer, B. W., Schillerstrom, J. E., Regwan, H. K., &amp; Harlan, B. S. (2010). Executive clock drawing correlates with performance-based functional status in people with combat-related mild traumatic brain injury and comorbid posttraumatic stress disorder. Journal of Rehabilitation Research and Development, 47(9), 841–850. Journal Article."/>
    <n v="21174249"/>
    <n v="1"/>
    <m/>
    <m/>
    <n v="1"/>
    <m/>
    <n v="1"/>
    <x v="43"/>
    <x v="23"/>
    <x v="24"/>
    <n v="1"/>
    <x v="44"/>
    <m/>
    <m/>
    <m/>
    <m/>
    <m/>
    <m/>
    <m/>
    <m/>
    <m/>
    <m/>
    <m/>
    <m/>
    <m/>
    <m/>
    <m/>
    <m/>
    <m/>
    <m/>
    <m/>
  </r>
  <r>
    <s v="Kavanaugh, B., Holler, K., &amp; Selke, G. (2015). A neuropsychological profile of childhood maltreatment within an adolescent inpatient sample. Applied Neuropsychology. Child, 4(1), 9–19. Journal Article. http://doi.org/10.1080/21622965.2013.789964"/>
    <n v="24156759"/>
    <n v="1"/>
    <m/>
    <m/>
    <n v="1"/>
    <m/>
    <n v="1"/>
    <x v="44"/>
    <x v="0"/>
    <x v="25"/>
    <n v="0"/>
    <x v="15"/>
    <m/>
    <m/>
    <m/>
    <s v="effeect van childhood maltreatment. [controled for ptsd]"/>
    <m/>
    <m/>
    <m/>
    <m/>
    <m/>
    <m/>
    <m/>
    <m/>
    <m/>
    <m/>
    <m/>
    <m/>
    <m/>
    <m/>
    <m/>
  </r>
  <r>
    <s v="Samuelson, K. W., Neylan, T. C., Lenoci, M., Metzler, T. J., Cardenas, V., Weiner, M. W., &amp; Marmar, C. R. (2009). Longitudinal effects of PTSD on memory functioning. Journal of the International Neuropsychological Society : JINS, 15(6), 853–861. Journal Article, Research Support, Non-U.S. Gov’t. http://doi.org/10.1017/S1355617709990282"/>
    <n v="19703319"/>
    <n v="1"/>
    <m/>
    <m/>
    <n v="1"/>
    <m/>
    <n v="1"/>
    <x v="45"/>
    <x v="4"/>
    <x v="0"/>
    <n v="1"/>
    <x v="45"/>
    <m/>
    <m/>
    <m/>
    <s v="longitudinal effects of ptsd on memory functioning"/>
    <m/>
    <m/>
    <m/>
    <m/>
    <m/>
    <m/>
    <m/>
    <m/>
    <m/>
    <m/>
    <m/>
    <m/>
    <m/>
    <m/>
    <m/>
  </r>
  <r>
    <s v="Acheson, D. T., Geyer, M. A., Baker, D. G., Nievergelt, C. M., Yurgil, K., &amp; Risbrough, V. B. (2015). Conditioned fear and extinction learning performance and its association with psychiatric symptoms in active duty Marines. Psychoneuroendocrinology, 51, 495–505. Journal Article, Research Support, N.I.H., Extramural, Research Support, U.S. Gov’t, Non-P.H.S. http://doi.org/10.1016/j.psyneuen.2014.09.030"/>
    <n v="25444643"/>
    <n v="1"/>
    <m/>
    <m/>
    <n v="1"/>
    <m/>
    <n v="1"/>
    <x v="46"/>
    <x v="3"/>
    <x v="26"/>
    <n v="1"/>
    <x v="4"/>
    <s v="no?"/>
    <s v="startle"/>
    <m/>
    <m/>
    <n v="1"/>
    <s v="-"/>
    <m/>
    <n v="1014"/>
    <n v="42"/>
    <n v="923"/>
    <s v="M"/>
    <s v="M"/>
    <n v="22.63"/>
    <n v="4.08"/>
    <n v="22.23"/>
    <n v="2.81"/>
    <s v="Deployment"/>
    <s v="CAPS"/>
    <s v="between subjects"/>
  </r>
  <r>
    <s v="Dunlop, B. W., Rothbaum, B. O., Binder, E. B., Duncan, E., Harvey, P. D., Jovanovic, T., … Mayberg, H. S. (2014). Evaluation of a corticotropin releasing hormone type 1 receptor antagonist in women with posttraumatic stress disorder: study protocol for a randomized controlled trial. Trials, 15, 240. Clinical Trial, Phase II, Journal Article, Multicenter Study, Randomized Controlled Trial, Research Support, N.I.H., Extramural, Research Support, Non-U.S. Gov’t, Research Support, U.S. Gov’t, Non-P.H.S. http://doi.org/10.1186/1745-6215-15-240"/>
    <n v="24950747"/>
    <n v="1"/>
    <m/>
    <m/>
    <n v="1"/>
    <m/>
    <n v="1"/>
    <x v="46"/>
    <x v="3"/>
    <x v="27"/>
    <n v="0"/>
    <x v="4"/>
    <m/>
    <m/>
    <m/>
    <s v="crh antagonist in PTSD clinical trial"/>
    <n v="0"/>
    <s v="only study protocol"/>
    <m/>
    <m/>
    <m/>
    <m/>
    <s v="F"/>
    <s v="F"/>
    <m/>
    <m/>
    <m/>
    <m/>
    <m/>
    <s v="CAPS"/>
    <m/>
  </r>
  <r>
    <s v="Morgan, C. A. 3rd, Grillon, C., Southwick, S. M., Davis, M., &amp; Charney, D. S. (1995). Fear-potentiated startle in posttraumatic stress disorder. Biological Psychiatry, 38(6), 378–385. Clinical Trial, Journal Article, Research Support, U.S. Gov’t, Non-P.H.S., Research Support, U.S. Gov’t, P.H.S. http://doi.org/10.1016/0006-3223(94)00321-S"/>
    <n v="8547457"/>
    <n v="1"/>
    <m/>
    <m/>
    <n v="1"/>
    <m/>
    <n v="1"/>
    <x v="46"/>
    <x v="3"/>
    <x v="5"/>
    <n v="1"/>
    <x v="4"/>
    <m/>
    <s v="startle"/>
    <m/>
    <m/>
    <m/>
    <m/>
    <m/>
    <m/>
    <m/>
    <m/>
    <m/>
    <m/>
    <m/>
    <m/>
    <m/>
    <m/>
    <m/>
    <m/>
    <m/>
  </r>
  <r>
    <s v="Roy, M. J., Costanzo, M. E., Jovanovic, T., Leaman, S., Taylor, P., Norrholm, S. D., &amp; Rizzo, A. A. (2013). Heart rate response to fear conditioning and virtual reality in subthreshold PTSD. Studies in Health Technology and Informatics, 191, 115–119. Journal Article."/>
    <n v="23792855"/>
    <n v="1"/>
    <m/>
    <m/>
    <n v="1"/>
    <m/>
    <n v="1"/>
    <x v="46"/>
    <x v="3"/>
    <x v="0"/>
    <n v="1"/>
    <x v="46"/>
    <s v="-"/>
    <s v="HR"/>
    <m/>
    <m/>
    <m/>
    <m/>
    <m/>
    <m/>
    <m/>
    <m/>
    <m/>
    <m/>
    <m/>
    <m/>
    <m/>
    <m/>
    <m/>
    <m/>
    <m/>
  </r>
  <r>
    <s v="Grillon, C., &amp; Morgan, C. A. 3rd. (1999). Fear-potentiated startle conditioning to explicit and contextual cues in Gulf War veterans with posttraumatic stress disorder. Journal of Abnormal Psychology, 108(1), 134–142. Clinical Trial, Comparative Study, Controlled Clinical Trial, Journal Article, Research Support, U.S. Gov’t, P.H.S."/>
    <n v="10066999"/>
    <n v="1"/>
    <m/>
    <m/>
    <n v="1"/>
    <m/>
    <n v="1"/>
    <x v="46"/>
    <x v="21"/>
    <x v="0"/>
    <n v="1"/>
    <x v="4"/>
    <s v="-"/>
    <s v="startle"/>
    <m/>
    <m/>
    <n v="1"/>
    <s v="-"/>
    <m/>
    <n v="24"/>
    <n v="12"/>
    <n v="12"/>
    <s v="M"/>
    <s v="M"/>
    <n v="33.6"/>
    <n v="6.2"/>
    <n v="38.4"/>
    <n v="11.7"/>
    <s v="Deployment"/>
    <s v="CAPS"/>
    <s v="between subjects"/>
  </r>
  <r>
    <s v="Milad, M. R., Orr, S. P., Lasko, N. B., Chang, Y., Rauch, S. L., &amp; Pitman, R. K. (2008). Presence and acquired origin of reduced recall for fear extinction in PTSD: results of a twin study. Journal of Psychiatric Research, 42(7), 515–520. Journal Article, Research Support, N.I.H., Extramural, Twin Study. http://doi.org/10.1016/j.jpsychires.2008.01.017"/>
    <n v="18313695"/>
    <n v="1"/>
    <m/>
    <m/>
    <n v="1"/>
    <m/>
    <n v="1"/>
    <x v="47"/>
    <x v="3"/>
    <x v="28"/>
    <n v="1"/>
    <x v="47"/>
    <s v="-"/>
    <s v="SCR"/>
    <m/>
    <s v="co-twin study"/>
    <m/>
    <m/>
    <m/>
    <m/>
    <m/>
    <m/>
    <m/>
    <m/>
    <m/>
    <m/>
    <m/>
    <m/>
    <m/>
    <m/>
    <m/>
  </r>
  <r>
    <s v="Chen, A. C., &amp; Etkin, A. (2013). Hippocampal network connectivity and activation differentiates post-traumatic stress disorder from generalized anxiety disorder. Neuropsychopharmacology : Official Publication of the American College of Neuropsychopharmacology, 38(10), 1889–1898. Journal Article, Research Support, N.I.H., Extramural. http://doi.org/10.1038/npp.2013.122"/>
    <n v="23673864"/>
    <n v="1"/>
    <m/>
    <m/>
    <n v="1"/>
    <s v="ligt aan wat ze verstaan onder 'task-based hippocampal asssesment"/>
    <n v="1"/>
    <x v="48"/>
    <x v="0"/>
    <x v="29"/>
    <m/>
    <x v="48"/>
    <s v="resting state mri"/>
    <m/>
    <m/>
    <s v="Het lijkt of er een ook een taak wordt gedaan, maar niet heleamal zeker.. Check ful tekst"/>
    <m/>
    <m/>
    <m/>
    <m/>
    <m/>
    <m/>
    <m/>
    <m/>
    <m/>
    <m/>
    <m/>
    <m/>
    <m/>
    <m/>
    <m/>
  </r>
  <r>
    <s v="Gurvits, T. V, Lasko, N. B., Repak, A. L., Metzger, L. J., Orr, S. P., &amp; Pitman, R. K. (2002). Performance on visuospatial copying tasks in individuals with chronic posttraumatic stress disorder. Psychiatry Research, 112(3), 263–268. Journal Article, Research Support, U.S. Gov’t, Non-P.H.S."/>
    <n v="12450636"/>
    <n v="1"/>
    <m/>
    <m/>
    <n v="1"/>
    <m/>
    <n v="1"/>
    <x v="49"/>
    <x v="24"/>
    <x v="30"/>
    <n v="0"/>
    <x v="49"/>
    <s v="-"/>
    <s v="-"/>
    <m/>
    <m/>
    <m/>
    <m/>
    <m/>
    <m/>
    <m/>
    <m/>
    <m/>
    <m/>
    <m/>
    <m/>
    <m/>
    <m/>
    <m/>
    <m/>
    <m/>
  </r>
  <r>
    <s v="Brown, A. D., Root, J. C., Romano, T. A., Chang, L. J., Bryant, R. A., &amp; Hirst, W. (2013). Overgeneralized autobiographical memory and future thinking in combat veterans with posttraumatic stress disorder. Journal of Behavior Therapy and Experimental Psychiatry, 44(1), 129–134. Journal Article. http://doi.org/10.1016/j.jbtep.2011.11.004"/>
    <n v="22200095"/>
    <n v="1"/>
    <m/>
    <m/>
    <n v="1"/>
    <m/>
    <n v="1"/>
    <x v="50"/>
    <x v="4"/>
    <x v="0"/>
    <m/>
    <x v="5"/>
    <m/>
    <m/>
    <m/>
    <m/>
    <m/>
    <m/>
    <m/>
    <m/>
    <m/>
    <m/>
    <m/>
    <m/>
    <m/>
    <m/>
    <m/>
    <m/>
    <m/>
    <m/>
    <m/>
  </r>
  <r>
    <s v="Shalev, A. Y., Orr, S. P., &amp; Pitman, R. K. (1992). Psychophysiologic response during script-driven imagery as an outcome measure in  posttraumatic stress disorder. The Journal of Clinical Psychiatry, 53(9), 324–326. Case Reports, Journal Article, Research Support, Non-U.S. Gov’t."/>
    <n v="1355475"/>
    <n v="1"/>
    <s v="imagery"/>
    <m/>
    <n v="1"/>
    <m/>
    <n v="1"/>
    <x v="51"/>
    <x v="3"/>
    <x v="31"/>
    <n v="1"/>
    <x v="50"/>
    <m/>
    <s v="SC, EMG eye, heart rate"/>
    <m/>
    <s v="script-driven imagery, before and after treatment with systematic desensitization.; misschien niet cognitief genoeg?"/>
    <m/>
    <m/>
    <m/>
    <m/>
    <m/>
    <m/>
    <m/>
    <m/>
    <m/>
    <m/>
    <m/>
    <m/>
    <m/>
    <m/>
    <m/>
  </r>
  <r>
    <s v="Shura, R. D., Rowland, J. A., &amp; Miskey, H. M. (2016). Auditory Consonant Trigrams: A Psychometric Updatedagger. Archives of Clinical Neuropsychology : The Official Journal of the National Academy of Neuropsychologists, 31(1), 47–57. Journal Article, Research Support, Non-U.S. Gov’t. http://doi.org/10.1093/arclin/acv083"/>
    <n v="26645315"/>
    <n v="1"/>
    <m/>
    <m/>
    <n v="1"/>
    <m/>
    <n v="1"/>
    <x v="52"/>
    <x v="4"/>
    <x v="32"/>
    <n v="1"/>
    <x v="51"/>
    <s v="-"/>
    <m/>
    <m/>
    <s v="wel controle voor ptsd, niet alleen ptsd sample"/>
    <m/>
    <m/>
    <m/>
    <m/>
    <m/>
    <m/>
    <m/>
    <m/>
    <m/>
    <m/>
    <m/>
    <m/>
    <m/>
    <m/>
    <m/>
  </r>
  <r>
    <s v="Witthoft, M., Borgmann, E., White, A., &amp; Dyer, A. (2015). Body-related attentional biases in patients with posttraumatic stress disorder resulting from childhood sexual abuse with and without co-occurring borderline personality disorder. Journal of Behavior Therapy and Experimental Psychiatry, 46, 72–77. Journal Article. http://doi.org/10.1016/j.jbtep.2014.07.010"/>
    <n v="25244677"/>
    <n v="1"/>
    <m/>
    <m/>
    <n v="1"/>
    <m/>
    <n v="1"/>
    <x v="53"/>
    <x v="22"/>
    <x v="33"/>
    <n v="0"/>
    <x v="52"/>
    <m/>
    <m/>
    <s v="childhood seksual abuse"/>
    <m/>
    <m/>
    <m/>
    <m/>
    <m/>
    <m/>
    <m/>
    <m/>
    <m/>
    <m/>
    <m/>
    <m/>
    <m/>
    <m/>
    <m/>
    <m/>
  </r>
  <r>
    <s v="Wrocklage, K. M., Schweinsburg, B. C., Krystal, J. H., Trejo, M., Roy, A., Weisser, V., … Scott, J. C. (2016). Neuropsychological Functioning in Veterans with Posttraumatic Stress Disorder: Associations with Performance Validity, Comorbidities, and Functional Outcomes. Journal of the International Neuropsychological Society : JINS, 22(4), 399–411. Journal Article, Research Support, N.I.H., Extramural, Research Support, U.S. Gov’t, Non-P.H.S. http://doi.org/10.1017/S1355617716000059"/>
    <n v="26892753"/>
    <n v="1"/>
    <m/>
    <m/>
    <n v="1"/>
    <m/>
    <n v="1"/>
    <x v="54"/>
    <x v="25"/>
    <x v="6"/>
    <n v="1"/>
    <x v="53"/>
    <s v="-"/>
    <s v="-"/>
    <s v="quality of life"/>
    <m/>
    <m/>
    <m/>
    <m/>
    <m/>
    <m/>
    <m/>
    <m/>
    <m/>
    <m/>
    <m/>
    <m/>
    <m/>
    <m/>
    <m/>
    <m/>
  </r>
  <r>
    <s v="Sadeh, N., Spielberg, J. M., Miller, M. W., Milberg, W. P., Salat, D. H., Amick, M. M., … McGlinchey, R. E. (2015). Neurobiological indicators of disinhibition in posttraumatic stress disorder. Human Brain Mapping, 36(8), 3076–3086. Journal Article, Research Support, N.I.H., Extramural, Research Support, U.S. Gov’t, Non-P.H.S. http://doi.org/10.1002/hbm.22829"/>
    <n v="25959594"/>
    <n v="1"/>
    <m/>
    <m/>
    <n v="1"/>
    <m/>
    <n v="1"/>
    <x v="55"/>
    <x v="1"/>
    <x v="0"/>
    <n v="1"/>
    <x v="43"/>
    <s v="mri &amp; restingstate fmri"/>
    <m/>
    <m/>
    <m/>
    <m/>
    <m/>
    <m/>
    <m/>
    <m/>
    <m/>
    <m/>
    <m/>
    <m/>
    <m/>
    <m/>
    <m/>
    <m/>
    <m/>
    <m/>
  </r>
  <r>
    <s v="Shucard, J. L., McCabe, D. C., &amp; Szymanski, H. (2008). An event-related potential study of attention deficits in posttraumatic stress disorder during auditory and visual Go/NoGo continuous performance tasks. Biological Psychology, 79(2), 223–233. Journal Article, Research Support, N.I.H., Extramural. http://doi.org/10.1016/j.biopsycho.2008.05.005"/>
    <n v="18590795"/>
    <n v="1"/>
    <m/>
    <m/>
    <n v="1"/>
    <m/>
    <n v="1"/>
    <x v="56"/>
    <x v="1"/>
    <x v="0"/>
    <n v="1"/>
    <x v="43"/>
    <s v="erp/eeg"/>
    <m/>
    <m/>
    <m/>
    <m/>
    <m/>
    <m/>
    <m/>
    <m/>
    <m/>
    <m/>
    <m/>
    <m/>
    <m/>
    <m/>
    <m/>
    <m/>
    <m/>
    <m/>
  </r>
  <r>
    <s v="van Rooij, S. J. H., Geuze, E., Kennis, M., Rademaker, A. R., &amp; Vink, M. (2015). Neural correlates of inhibition and contextual cue processing related to treatment response in PTSD. Neuropsychopharmacology : Official Publication of the American College of Neuropsychopharmacology, 40(3), 667–675. Journal Article, Observational Study, Research Support, Non-U.S. Gov’t. http://doi.org/10.1038/npp.2014.220"/>
    <n v="25154707"/>
    <n v="1"/>
    <m/>
    <m/>
    <n v="1"/>
    <m/>
    <n v="1"/>
    <x v="57"/>
    <x v="1"/>
    <x v="0"/>
    <n v="1"/>
    <x v="54"/>
    <s v="fmri"/>
    <m/>
    <m/>
    <s v="effect v treatment onderzocht"/>
    <m/>
    <m/>
    <m/>
    <m/>
    <m/>
    <m/>
    <m/>
    <m/>
    <m/>
    <m/>
    <m/>
    <m/>
    <m/>
    <m/>
    <m/>
  </r>
  <r>
    <s v="van Rooij, S. J. H., Rademaker, A. R., Kennis, M., Vink, M., Kahn, R. S., &amp; Geuze, E. (2014). Impaired right inferior frontal gyrus response to contextual cues in male veterans with PTSD during response inhibition. Journal of Psychiatry &amp; Neuroscience : JPN, 39(5), 330–338. Comparative Study, Journal Article, Research Support, Non-U.S. Gov’t."/>
    <n v="24886789"/>
    <n v="1"/>
    <m/>
    <m/>
    <n v="1"/>
    <m/>
    <n v="1"/>
    <x v="57"/>
    <x v="1"/>
    <x v="0"/>
    <n v="1"/>
    <x v="55"/>
    <s v="fmri"/>
    <m/>
    <m/>
    <m/>
    <m/>
    <m/>
    <m/>
    <m/>
    <m/>
    <m/>
    <m/>
    <m/>
    <m/>
    <m/>
    <m/>
    <m/>
    <m/>
    <m/>
    <m/>
  </r>
  <r>
    <s v="Kremen, W. S., Koenen, K. C., Afari, N., &amp; Lyons, M. J. (2012). Twin studies of posttraumatic stress disorder: differentiating vulnerability factors from sequelae. Neuropharmacology, 62(2), 647–653. Journal Article, Review. http://doi.org/10.1016/j.neuropharm.2011.03.012"/>
    <n v="21443892"/>
    <n v="1"/>
    <m/>
    <m/>
    <n v="1"/>
    <m/>
    <n v="1"/>
    <x v="58"/>
    <x v="4"/>
    <x v="34"/>
    <n v="0"/>
    <x v="0"/>
    <s v="hippcompus. "/>
    <m/>
    <m/>
    <s v="twin studie of ptsd; onduidelijk uit abstract hoe cognitive performance gemeten is"/>
    <m/>
    <m/>
    <m/>
    <m/>
    <m/>
    <m/>
    <m/>
    <m/>
    <m/>
    <m/>
    <m/>
    <m/>
    <m/>
    <m/>
    <m/>
  </r>
  <r>
    <s v="Crowell, T. A., Kieffer, K. M., Siders, C. A., &amp; Vanderploeg, R. D. (2002). Neuropsychological findings in combat-related posttraumatic stress disorder. The Clinical Neuropsychologist, 16(3), 310–321. Comparative Study, Journal Article. http://doi.org/10.1076/clin.16.3.310.13851"/>
    <n v="12607144"/>
    <n v="1"/>
    <m/>
    <m/>
    <n v="1"/>
    <m/>
    <n v="1"/>
    <x v="59"/>
    <x v="0"/>
    <x v="0"/>
    <n v="1"/>
    <x v="5"/>
    <m/>
    <m/>
    <m/>
    <m/>
    <m/>
    <m/>
    <m/>
    <m/>
    <m/>
    <m/>
    <m/>
    <m/>
    <m/>
    <m/>
    <m/>
    <m/>
    <m/>
    <m/>
    <m/>
  </r>
  <r>
    <s v="Kivling-Boden, G., &amp; Sundbom, E. (2003). Cognitive abilities related to post-traumatic symptoms among refugees from the former Yugoslavia in psychiatric treatment. Nordic Journal of Psychiatry, 57(3), 191–198. Journal Article, Research Support, Non-U.S. Gov’t. http://doi.org/10.1080/08039480310001346"/>
    <n v="12775293"/>
    <n v="1"/>
    <m/>
    <m/>
    <n v="1"/>
    <m/>
    <n v="1"/>
    <x v="60"/>
    <x v="4"/>
    <x v="35"/>
    <n v="0"/>
    <x v="56"/>
    <s v="-"/>
    <m/>
    <m/>
    <m/>
    <m/>
    <m/>
    <m/>
    <m/>
    <m/>
    <m/>
    <m/>
    <m/>
    <m/>
    <m/>
    <m/>
    <m/>
    <m/>
    <m/>
    <m/>
  </r>
  <r>
    <s v="Geuze, E., Vermetten, E., de Kloet, C. S., Hijman, R., &amp; Westenberg, H. G. M. (2009). Neuropsychological performance is related to current social and occupational functioning in veterans with posttraumatic stress disorder. Depression and Anxiety, 26(1), 7–15. Journal Article, Research Support, Non-U.S. Gov’t. http://doi.org/10.1002/da.20476"/>
    <n v="18800372"/>
    <n v="1"/>
    <m/>
    <m/>
    <n v="1"/>
    <m/>
    <n v="1"/>
    <x v="61"/>
    <x v="4"/>
    <x v="0"/>
    <n v="1"/>
    <x v="57"/>
    <m/>
    <m/>
    <m/>
    <m/>
    <m/>
    <m/>
    <m/>
    <m/>
    <m/>
    <m/>
    <m/>
    <m/>
    <m/>
    <m/>
    <m/>
    <m/>
    <m/>
    <m/>
    <m/>
  </r>
  <r>
    <s v="Ashley, V., Honzel, N., Larsen, J., Justus, T., &amp; Swick, D. (2013). Attentional bias for trauma-related words: exaggerated emotional Stroop effect in Afghanistan and Iraq war veterans with PTSD. BMC Psychiatry, 13, 86. Journal Article, Research Support, U.S. Gov’t, Non-P.H.S. http://doi.org/10.1186/1471-244X-13-86"/>
    <n v="23496805"/>
    <n v="1"/>
    <m/>
    <m/>
    <n v="1"/>
    <m/>
    <n v="1"/>
    <x v="62"/>
    <x v="22"/>
    <x v="0"/>
    <n v="1"/>
    <x v="52"/>
    <m/>
    <m/>
    <m/>
    <m/>
    <m/>
    <m/>
    <m/>
    <m/>
    <m/>
    <m/>
    <m/>
    <m/>
    <m/>
    <m/>
    <m/>
    <m/>
    <m/>
    <m/>
    <m/>
  </r>
  <r>
    <s v="Attias, J., Bleich, A., &amp; Gilat, S. (1996). Classification of veterans with post-traumatic stress disorder using visual brain evoked P3s to traumatic stimuli. The British Journal of Psychiatry : The Journal of Mental Science, 168(1), 110–115. Journal Article, Research Support, Non-U.S. Gov’t."/>
    <n v="8770439"/>
    <n v="1"/>
    <m/>
    <m/>
    <n v="1"/>
    <m/>
    <n v="1"/>
    <x v="63"/>
    <x v="6"/>
    <x v="0"/>
    <n v="1"/>
    <x v="58"/>
    <s v="eeg"/>
    <s v="eeg"/>
    <m/>
    <m/>
    <m/>
    <m/>
    <m/>
    <m/>
    <m/>
    <m/>
    <m/>
    <m/>
    <m/>
    <m/>
    <m/>
    <m/>
    <m/>
    <m/>
    <m/>
  </r>
  <r>
    <s v="Hart, J. J., Kimbrell, T., Fauver, P., Cherry, B. J., Pitcock, J., Booe, L. Q., … Freeman, T. W. (2008). Cognitive dysfunctions associated with PTSD: evidence from World War II prisoners of war. The Journal of Neuropsychiatry and Clinical Neurosciences, 20(3), 309–316. Journal Article. http://doi.org/10.1176/jnp.2008.20.3.309"/>
    <n v="18806234"/>
    <n v="1"/>
    <m/>
    <m/>
    <n v="1"/>
    <m/>
    <n v="1"/>
    <x v="64"/>
    <x v="0"/>
    <x v="36"/>
    <n v="0"/>
    <x v="5"/>
    <m/>
    <m/>
    <m/>
    <m/>
    <m/>
    <m/>
    <m/>
    <m/>
    <m/>
    <m/>
    <m/>
    <m/>
    <m/>
    <m/>
    <m/>
    <m/>
    <m/>
    <m/>
    <m/>
  </r>
  <r>
    <s v="Kalapatapu, R. K., Neylan, T. C., Regan, M. C., &amp; Cohen, B. E. (2014). Association of alcohol use biomarkers and cognitive performance in veterans with  problematic alcohol use and posttraumatic stress disorder: data from the mind your heart study. Journal of Addictive Diseases, 33(2), 67–76. Journal Article, Multicenter Study, Research Support, N.I.H., Extramural, Research Support, Non-U.S. Gov’t. http://doi.org/10.1080/10550887.2014.909701"/>
    <n v="24717141"/>
    <n v="1"/>
    <m/>
    <m/>
    <n v="1"/>
    <m/>
    <n v="1"/>
    <x v="65"/>
    <x v="26"/>
    <x v="0"/>
    <n v="1"/>
    <x v="59"/>
    <s v="-"/>
    <s v="ggt, ast, "/>
    <m/>
    <s v="alcohol dependence &amp; ptsd;  analyse clinical trial data cog perfr. &amp; link met biomarkers"/>
    <m/>
    <m/>
    <m/>
    <m/>
    <m/>
    <m/>
    <m/>
    <m/>
    <m/>
    <m/>
    <m/>
    <m/>
    <m/>
    <m/>
    <m/>
  </r>
  <r>
    <s v="Kalapatapu, R. K., Delucchi, K. L., Lasher, B. A., Vinogradov, S., &amp; Batki, S. L. (2013). Alcohol use biomarkers predicting cognitive performance: a secondary analysis in  veterans with alcohol dependence and posttraumatic stress disorder. Military Medicine, 178(9), 974–980. Journal Article, Randomized Controlled Trial, Research Support, N.I.H., Extramural, Research Support, U.S. Gov’t, Non-P.H.S. http://doi.org/10.7205/MILMED-D-13-00097"/>
    <n v="24005546"/>
    <n v="1"/>
    <m/>
    <m/>
    <n v="1"/>
    <m/>
    <n v="1"/>
    <x v="65"/>
    <x v="27"/>
    <x v="0"/>
    <n v="1"/>
    <x v="60"/>
    <s v="-"/>
    <s v="ggt, ast, "/>
    <m/>
    <s v="alcohol dependence &amp; ptsd; baseline analyse clinical trial data"/>
    <m/>
    <m/>
    <m/>
    <m/>
    <m/>
    <m/>
    <m/>
    <m/>
    <m/>
    <m/>
    <m/>
    <m/>
    <m/>
    <m/>
    <m/>
  </r>
  <r>
    <s v="Stricker, N. H., Keller, J. E., Castillo, D. T., &amp; Haaland, K. Y. (2015). The neurocognitive performance of female veterans with posttraumatic stress disorder. Journal of Traumatic Stress, 28(2), 102–109. Journal Article, Research Support, Non-U.S. Gov’t, Research Support, U.S. Gov’t, Non-P.H.S. http://doi.org/10.1002/jts.22000"/>
    <n v="25847622"/>
    <n v="1"/>
    <m/>
    <m/>
    <n v="1"/>
    <m/>
    <n v="1"/>
    <x v="66"/>
    <x v="4"/>
    <x v="37"/>
    <n v="1"/>
    <x v="61"/>
    <s v="-"/>
    <s v="-"/>
    <s v="iq; depression; "/>
    <m/>
    <m/>
    <m/>
    <m/>
    <m/>
    <m/>
    <m/>
    <m/>
    <m/>
    <m/>
    <m/>
    <m/>
    <m/>
    <m/>
    <m/>
    <m/>
  </r>
  <r>
    <s v="Clark, A. L., Amick, M. M., Fortier, C., Milberg, W. P., &amp; McGlinchey, R. E. (2014). Poor performance validity predicts clinical characteristics and cognitive test performance of OEF/OIF/OND Veterans in a research setting. The Clinical Neuropsychologist, 28(5), 802–825. Journal Article, Research Support, Non-U.S. Gov’t, Validation Studies. http://doi.org/10.1080/13854046.2014.904928"/>
    <n v="24766521"/>
    <n v="1"/>
    <m/>
    <m/>
    <n v="1"/>
    <m/>
    <n v="1"/>
    <x v="67"/>
    <x v="4"/>
    <x v="0"/>
    <m/>
    <x v="62"/>
    <m/>
    <m/>
    <m/>
    <m/>
    <m/>
    <m/>
    <m/>
    <m/>
    <m/>
    <m/>
    <m/>
    <m/>
    <m/>
    <m/>
    <m/>
    <m/>
    <m/>
    <m/>
    <m/>
  </r>
  <r>
    <s v="Myers, C. E., Moustafa, A. A., Sheynin, J., Vanmeenen, K. M., Gilbertson, M. W., Orr, S. P., … Servatius, R. J. (2013). Learning to obtain reward, but not avoid punishment, is affected by presence of PTSD symptoms in male veterans: empirical data and computational model. PloS One, 8(8), e72508. Journal Article, Randomized Controlled Trial, Research Support, N.I.H., Extramural, Research Support, U.S. Gov’t, Non-P.H.S. http://doi.org/10.1371/journal.pone.0072508"/>
    <n v="24015254"/>
    <n v="1"/>
    <m/>
    <m/>
    <n v="1"/>
    <m/>
    <n v="1"/>
    <x v="68"/>
    <x v="0"/>
    <x v="5"/>
    <n v="1"/>
    <x v="63"/>
    <s v="-"/>
    <m/>
    <m/>
    <m/>
    <m/>
    <m/>
    <m/>
    <m/>
    <m/>
    <m/>
    <m/>
    <m/>
    <m/>
    <m/>
    <m/>
    <m/>
    <m/>
    <m/>
    <m/>
  </r>
  <r>
    <s v="Nelson, N. W., Hoelzle, J. B., Doane, B. M., McGuire, K. A., Ferrier-Auerbach, A. G., Charlesworth, M. J., … Sponheim, S. R. (2012). Neuropsychological outcomes of U.S. Veterans with report of remote blast-related  concussion and current psychopathology. Journal of the International Neuropsychological Society : JINS, 18(5), 845–855. Journal Article, Research Support, Non-U.S. Gov’t. http://doi.org/10.1017/S1355617712000616"/>
    <n v="22687547"/>
    <n v="1"/>
    <s v="is er een analyses op PTSD, dan include"/>
    <s v="idem"/>
    <n v="1"/>
    <s v="idem"/>
    <n v="0"/>
    <x v="69"/>
    <x v="0"/>
    <x v="38"/>
    <n v="1"/>
    <x v="15"/>
    <s v="-"/>
    <s v="-"/>
    <m/>
    <s v="wel ptsd gemeten"/>
    <m/>
    <m/>
    <m/>
    <m/>
    <m/>
    <m/>
    <m/>
    <m/>
    <m/>
    <m/>
    <m/>
    <m/>
    <m/>
    <m/>
    <m/>
  </r>
  <r>
    <s v="Yehuda, R., Golier, J. A., Tischler, L., Stavitsky, K., &amp; Harvey, P. D. (2005). Learning and memory in aging combat veterans with PTSD. Journal of Clinical and Experimental Neuropsychology, 27(4), 504–515. Comparative Study, Journal Article, Research Support, N.I.H., Extramural, Research Support, U.S. Gov’t, Non-P.H.S., Research Support, U.S. Gov’t, P.H.S. http://doi.org/10.1080/138033990520223"/>
    <n v="15962694"/>
    <n v="1"/>
    <m/>
    <m/>
    <n v="1"/>
    <m/>
    <n v="1"/>
    <x v="70"/>
    <x v="4"/>
    <x v="0"/>
    <n v="1"/>
    <x v="64"/>
    <m/>
    <m/>
    <m/>
    <s v="aging"/>
    <m/>
    <m/>
    <m/>
    <m/>
    <m/>
    <m/>
    <m/>
    <m/>
    <m/>
    <m/>
    <m/>
    <m/>
    <m/>
    <m/>
    <m/>
  </r>
  <r>
    <s v="Burriss, L., Ayers, E., Ginsberg, J., &amp; Powell, D. A. (2008). Learning and memory impairment in PTSD: relationship to depression. Depression and Anxiety, 25(2), 149–157. Journal Article, Research Support, Non-U.S. Gov’t. http://doi.org/10.1002/da.20291"/>
    <n v="17352380"/>
    <n v="1"/>
    <m/>
    <m/>
    <n v="1"/>
    <m/>
    <n v="1"/>
    <x v="71"/>
    <x v="4"/>
    <x v="0"/>
    <m/>
    <x v="65"/>
    <m/>
    <m/>
    <m/>
    <s v="conclusie: general learning en memory imparements in ptsd"/>
    <m/>
    <m/>
    <m/>
    <m/>
    <m/>
    <m/>
    <m/>
    <m/>
    <m/>
    <m/>
    <m/>
    <m/>
    <m/>
    <m/>
    <m/>
  </r>
  <r>
    <s v="Geuze, E., Vermetten, E., Ruf, M., de Kloet, C. S., &amp; Westenberg, H. G. M. (2008). Neural correlates of associative learning and memory in veterans with posttraumatic stress disorder. Journal of Psychiatric Research, 42(8), 659–669. Comparative Study, Journal Article, Research Support, Non-U.S. Gov’t. http://doi.org/10.1016/j.jpsychires.2007.06.007"/>
    <n v="17698081"/>
    <n v="1"/>
    <m/>
    <m/>
    <n v="1"/>
    <m/>
    <n v="1"/>
    <x v="71"/>
    <x v="4"/>
    <x v="0"/>
    <n v="1"/>
    <x v="66"/>
    <s v="fmri"/>
    <m/>
    <m/>
    <m/>
    <m/>
    <m/>
    <m/>
    <m/>
    <m/>
    <m/>
    <m/>
    <m/>
    <m/>
    <m/>
    <m/>
    <m/>
    <m/>
    <m/>
    <m/>
  </r>
  <r>
    <s v="Hayes, J. P., Miller, D. R., Lafleche, G., Salat, D. H., &amp; Verfaellie, M. (2015). The nature of white matter abnormalities in blast-related mild traumatic brain injury. NeuroImage. Clinical, 8, 148–156. Journal Article, Research Support, N.I.H., Extramural, Research Support, Non-U.S. Gov’t, Research Support, U.S. Gov’t, Non-P.H.S. http://doi.org/10.1016/j.nicl.2015.04.001"/>
    <n v="26106539"/>
    <n v="1"/>
    <m/>
    <m/>
    <n v="1"/>
    <m/>
    <n v="1"/>
    <x v="71"/>
    <x v="4"/>
    <x v="17"/>
    <n v="1"/>
    <x v="15"/>
    <s v="dti"/>
    <m/>
    <m/>
    <m/>
    <m/>
    <m/>
    <m/>
    <m/>
    <m/>
    <m/>
    <m/>
    <m/>
    <m/>
    <m/>
    <m/>
    <m/>
    <m/>
    <m/>
    <m/>
  </r>
  <r>
    <s v="Jenkins, M. A., Langlais, P. J., Delis, D., &amp; Cohen, R. (1998). Learning and memory in rape victims with posttraumatic stress disorder. The American Journal of Psychiatry, 155(2), 278–279. Journal Article, Research Support, U.S. Gov’t, Non-P.H.S., Research Support, U.S. Gov’t, P.H.S. http://doi.org/10.1176/ajp.155.2.278"/>
    <n v="9464211"/>
    <n v="1"/>
    <m/>
    <m/>
    <n v="1"/>
    <m/>
    <n v="1"/>
    <x v="71"/>
    <x v="4"/>
    <x v="39"/>
    <n v="0"/>
    <x v="67"/>
    <m/>
    <m/>
    <s v="depression &amp; substance abuse"/>
    <m/>
    <m/>
    <m/>
    <m/>
    <m/>
    <m/>
    <m/>
    <m/>
    <m/>
    <m/>
    <m/>
    <m/>
    <m/>
    <m/>
    <m/>
    <m/>
  </r>
  <r>
    <s v="Morel, K. R. (2008). Comparison of the Morel Emotional Numbing Test for Posttraumatic Stress Disorder  to the Word Memory Test in neuropsychological evaluations. The Clinical Neuropsychologist, 22(2), 350–362. Comparative Study, Journal Article. http://doi.org/10.1080/13854040701300531"/>
    <n v="17853136"/>
    <n v="1"/>
    <m/>
    <m/>
    <n v="1"/>
    <m/>
    <n v="1"/>
    <x v="71"/>
    <x v="4"/>
    <x v="40"/>
    <n v="1"/>
    <x v="68"/>
    <m/>
    <m/>
    <m/>
    <m/>
    <m/>
    <m/>
    <m/>
    <m/>
    <m/>
    <m/>
    <m/>
    <m/>
    <m/>
    <m/>
    <m/>
    <m/>
    <m/>
    <m/>
    <m/>
  </r>
  <r>
    <s v="Yehuda, R., Golier, J. A., Tischler, L., Harvey, P. D., Newmark, R., Yang, R. K., &amp; Buchsbaum, M. S. (2007). Hippocampal volume in aging combat veterans with and without post-traumatic stress disorder: relation to risk and resilience factors. Journal of Psychiatric Research, 41(5), 435–445. Journal Article, Research Support, N.I.H., Extramural, Research Support, U.S. Gov’t, Non-P.H.S. http://doi.org/10.1016/j.jpsychires.2005.12.002"/>
    <n v="16445942"/>
    <n v="1"/>
    <m/>
    <m/>
    <n v="1"/>
    <m/>
    <n v="1"/>
    <x v="71"/>
    <x v="4"/>
    <x v="0"/>
    <n v="1"/>
    <x v="69"/>
    <m/>
    <m/>
    <m/>
    <s v="aging"/>
    <m/>
    <m/>
    <m/>
    <m/>
    <m/>
    <m/>
    <m/>
    <m/>
    <m/>
    <m/>
    <m/>
    <m/>
    <m/>
    <m/>
    <m/>
  </r>
  <r>
    <s v="Hayes, J. P., LaBar, K. S., McCarthy, G., Selgrade, E., Nasser, J., Dolcos, F., &amp; Morey, R. A. (2011). Reduced hippocampal and amygdala activity predicts memory distortions for trauma  reminders in combat-related PTSD. Journal of Psychiatric Research, 45(5), 660–669. Journal Article, Research Support, N.I.H., Extramural, Research Support, U.S. Gov’t, Non-P.H.S. http://doi.org/10.1016/j.jpsychires.2010.10.007"/>
    <n v="21047644"/>
    <n v="1"/>
    <m/>
    <m/>
    <n v="1"/>
    <m/>
    <n v="1"/>
    <x v="72"/>
    <x v="4"/>
    <x v="0"/>
    <n v="1"/>
    <x v="5"/>
    <s v="fmri"/>
    <m/>
    <m/>
    <s v="effect antipsychotica &amp; provider decision making"/>
    <m/>
    <m/>
    <m/>
    <m/>
    <m/>
    <m/>
    <m/>
    <m/>
    <m/>
    <m/>
    <m/>
    <m/>
    <m/>
    <m/>
    <m/>
  </r>
  <r>
    <s v="McCormick, C. L., Yoash-Gantz, R. E., McDonald, S. D., Campbell, T. C., &amp; Tupler, L. A. (2013). Performance on the Green Word Memory Test following Operation Enduring Freedom/Operation Iraqi Freedom-era military service: Test failure is related to evaluation context. Archives of Clinical Neuropsychology : The Official Journal of the National Academy of Neuropsychologists, 28(8), 808–823. Journal Article, Research Support, U.S. Gov’t, Non-P.H.S. http://doi.org/10.1093/arclin/act050"/>
    <n v="23877970"/>
    <n v="1"/>
    <m/>
    <m/>
    <n v="1"/>
    <m/>
    <n v="1"/>
    <x v="72"/>
    <x v="4"/>
    <x v="41"/>
    <n v="1"/>
    <x v="70"/>
    <s v="-"/>
    <s v="-"/>
    <s v="ptsd, depression, "/>
    <m/>
    <m/>
    <m/>
    <m/>
    <m/>
    <m/>
    <m/>
    <m/>
    <m/>
    <m/>
    <m/>
    <m/>
    <m/>
    <m/>
    <m/>
    <m/>
  </r>
  <r>
    <s v="McNally, R. J., Kaspi, S. P., Riemann, B. C., &amp; Zeitlin, S. B. (1990). Selective processing of threat cues in posttraumatic stress disorder. Journal of Abnormal Psychology, 99(4), 398–402. Journal Article, Research Support, U.S. Gov’t, P.H.S."/>
    <n v="2266215"/>
    <n v="1"/>
    <m/>
    <m/>
    <n v="1"/>
    <m/>
    <n v="1"/>
    <x v="73"/>
    <x v="19"/>
    <x v="5"/>
    <n v="1"/>
    <x v="71"/>
    <m/>
    <m/>
    <m/>
    <m/>
    <m/>
    <m/>
    <m/>
    <m/>
    <m/>
    <m/>
    <m/>
    <m/>
    <m/>
    <m/>
    <m/>
    <m/>
    <m/>
    <m/>
    <m/>
  </r>
  <r>
    <s v="Verfaellie, M., Lafleche, G., Spiro, A., &amp; Bousquet, K. (2014). Neuropsychological outcomes in OEF/OIF veterans with self-report of blast exposure: associations with mental health, but not MTBI. Neuropsychology, 28(3), 337–346. Journal Article. http://doi.org/10.1037/neu0000027"/>
    <n v="24245929"/>
    <n v="1"/>
    <m/>
    <m/>
    <n v="1"/>
    <m/>
    <n v="1"/>
    <x v="74"/>
    <x v="28"/>
    <x v="24"/>
    <n v="1"/>
    <x v="72"/>
    <s v="-"/>
    <s v="-"/>
    <s v="ptsd &amp; depression"/>
    <m/>
    <m/>
    <m/>
    <m/>
    <m/>
    <m/>
    <m/>
    <m/>
    <m/>
    <m/>
    <m/>
    <m/>
    <m/>
    <m/>
    <m/>
    <m/>
  </r>
  <r>
    <s v="Shah, A. J., Su, S., Veledar, E., Bremner, J. D., Goldstein, F. C., Lampert, R., … Vaccarino, V. (2011). Is heart rate variability related to memory performance in middle-aged men? Psychosomatic Medicine, 73(6), 475–482. Journal Article, Research Support, N.I.H., Extramural, Research Support, Non-U.S. Gov’t, Research Support, U.S. Gov’t, Non-P.H.S., Twin Study. http://doi.org/10.1097/PSY.0b013e3182227d6a"/>
    <n v="21715297"/>
    <n v="1"/>
    <m/>
    <m/>
    <n v="1"/>
    <m/>
    <n v="1"/>
    <x v="75"/>
    <x v="4"/>
    <x v="0"/>
    <n v="1"/>
    <x v="73"/>
    <s v="-"/>
    <s v="HRV"/>
    <m/>
    <m/>
    <m/>
    <m/>
    <m/>
    <m/>
    <m/>
    <m/>
    <m/>
    <m/>
    <m/>
    <m/>
    <m/>
    <m/>
    <m/>
    <m/>
    <m/>
  </r>
  <r>
    <s v="Loganovsky, K. N., &amp; Zdanevich, N. A. (2013). Cerebral basis of posttraumatic stress disorder following the Chernobyl disaster. CNS Spectrums, 18(2), 95–102. Journal Article. http://doi.org/10.1017/S109285291200096X"/>
    <n v="23445934"/>
    <n v="1"/>
    <m/>
    <m/>
    <n v="1"/>
    <m/>
    <n v="1"/>
    <x v="76"/>
    <x v="29"/>
    <x v="42"/>
    <n v="0"/>
    <x v="74"/>
    <s v="eeg * cerebrovascular doppler"/>
    <m/>
    <m/>
    <m/>
    <m/>
    <m/>
    <m/>
    <m/>
    <m/>
    <m/>
    <m/>
    <m/>
    <m/>
    <m/>
    <m/>
    <m/>
    <m/>
    <m/>
    <m/>
  </r>
  <r>
    <s v="van Liempt, S., Vermetten, E., Lentjes, E., Arends, J., &amp; Westenberg, H. (2011). Decreased nocturnal growth hormone secretion and sleep fragmentation in combat-related posttraumatic stress disorder; potential predictors of impaired memory consolidation. Psychoneuroendocrinology, 36(9), 1361–1369. Clinical Trial, Journal Article, Research Support, Non-U.S. Gov’t. http://doi.org/10.1016/j.psyneuen.2011.03.009"/>
    <n v="21489700"/>
    <n v="1"/>
    <m/>
    <m/>
    <n v="1"/>
    <m/>
    <n v="1"/>
    <x v="77"/>
    <x v="4"/>
    <x v="0"/>
    <n v="1"/>
    <x v="75"/>
    <s v="eeg"/>
    <s v="growth hormone;"/>
    <m/>
    <m/>
    <m/>
    <m/>
    <m/>
    <m/>
    <m/>
    <m/>
    <m/>
    <m/>
    <m/>
    <m/>
    <m/>
    <m/>
    <m/>
    <m/>
    <m/>
  </r>
  <r>
    <s v="Suris, A., North, C., Adinoff, B., Powell, C. M., &amp; Greene, R. (2010). Effects of exogenous glucocorticoid on combat-related PTSD symptoms. Annals of Clinical Psychiatry : Official Journal of the American Academy of Clinical Psychiatrists, 22(4), 274–279. Journal Article, Randomized Controlled Trial, Research Support, N.I.H., Extramural, Research Support, Non-U.S. Gov’t, Research Support, U.S. Gov’t, Non-P.H.S."/>
    <n v="21180658"/>
    <n v="1"/>
    <m/>
    <m/>
    <n v="1"/>
    <m/>
    <n v="1"/>
    <x v="78"/>
    <x v="3"/>
    <x v="6"/>
    <n v="1"/>
    <x v="76"/>
    <m/>
    <s v="fysiologische maten &amp; cort administration"/>
    <m/>
    <s v="cortisol administration"/>
    <m/>
    <m/>
    <m/>
    <m/>
    <m/>
    <m/>
    <m/>
    <m/>
    <m/>
    <m/>
    <m/>
    <m/>
    <m/>
    <m/>
    <m/>
  </r>
  <r>
    <s v="Samuelson, K. W., Neylan, T. C., Metzler, T. J., Lenoci, M., Rothlind, J., Henn-Haase, C., … Marmar, C. R. (2006). Neuropsychological functioning in posttraumatic stress disorder and alcohol abuse. Neuropsychology, 20(6), 716–726. Journal Article, Research Support, Non-U.S. Gov’t. http://doi.org/10.1037/0894-4105.20.6.716"/>
    <n v="17100516"/>
    <n v="1"/>
    <m/>
    <m/>
    <n v="1"/>
    <m/>
    <n v="1"/>
    <x v="79"/>
    <x v="10"/>
    <x v="23"/>
    <n v="1"/>
    <x v="15"/>
    <s v="-"/>
    <s v="-"/>
    <s v="alcohol abuse, depression,"/>
    <m/>
    <m/>
    <m/>
    <m/>
    <m/>
    <m/>
    <m/>
    <m/>
    <m/>
    <m/>
    <m/>
    <m/>
    <m/>
    <m/>
    <m/>
    <m/>
  </r>
  <r>
    <s v="Gilbertson, M. W., Gurvits, T. V, Lasko, N. B., Orr, S. P., &amp; Pitman, R. K. (2001). Multivariate assessment of explicit memory function in combat veterans with posttraumatic stress disorder. Journal of Traumatic Stress, 14(2), 413–432. Journal Article. http://doi.org/10.1023/A:1011181305501"/>
    <n v="11469166"/>
    <n v="1"/>
    <m/>
    <m/>
    <n v="1"/>
    <m/>
    <n v="1"/>
    <x v="80"/>
    <x v="0"/>
    <x v="0"/>
    <n v="1"/>
    <x v="77"/>
    <m/>
    <m/>
    <m/>
    <m/>
    <m/>
    <m/>
    <m/>
    <m/>
    <m/>
    <m/>
    <m/>
    <m/>
    <m/>
    <m/>
    <m/>
    <m/>
    <m/>
    <m/>
    <m/>
  </r>
  <r>
    <s v="Kent, M., Davis, M. C., Stark, S. L., &amp; Stewart, L. A. (2011). A resilience-oriented treatment for posttraumatic stress disorder: results of a preliminary randomized clinical trial. Journal of Traumatic Stress, 24(5), 591–595. Journal Article, Randomized Controlled Trial, Research Support, N.I.H., Extramural, Research Support, Non-U.S. Gov’t. http://doi.org/10.1002/jts.20685"/>
    <n v="21898603"/>
    <n v="1"/>
    <m/>
    <m/>
    <n v="1"/>
    <m/>
    <n v="1"/>
    <x v="81"/>
    <x v="8"/>
    <x v="0"/>
    <n v="1"/>
    <x v="15"/>
    <s v="-"/>
    <s v="-"/>
    <s v="emotional health"/>
    <s v="effect van resillience interventie"/>
    <m/>
    <m/>
    <m/>
    <m/>
    <m/>
    <m/>
    <m/>
    <m/>
    <m/>
    <m/>
    <m/>
    <m/>
    <m/>
    <m/>
    <m/>
  </r>
  <r>
    <s v="Sutker, P. B., Galina, Z. H., West, J. A., &amp; Allain, A. N. (1990). Trauma-induced weight loss and cognitive deficits among former prisoners of war. Journal of Consulting and Clinical Psychology, 58(3), 323–328. Journal Article, Research Support, U.S. Gov’t, Non-P.H.S."/>
    <n v="2365895"/>
    <n v="1"/>
    <s v="check full tekst; ptsd gerelateerde analyse include."/>
    <m/>
    <n v="1"/>
    <m/>
    <n v="0"/>
    <x v="82"/>
    <x v="8"/>
    <x v="43"/>
    <n v="0"/>
    <x v="78"/>
    <m/>
    <m/>
    <m/>
    <s v="no ptsd ?"/>
    <m/>
    <m/>
    <m/>
    <m/>
    <m/>
    <m/>
    <m/>
    <m/>
    <m/>
    <m/>
    <m/>
    <m/>
    <m/>
    <m/>
    <m/>
  </r>
  <r>
    <s v="Zalewski, Thompson, &amp; Gottesman, I. (1994). Comparison of Neuropsychological Test Performance in PTSD, Generalized Anxiety Disorder, and Control Vietnam Veterans. Assessment, 1(2), 133–142. JOURNAL ARTICLE."/>
    <n v="9465143"/>
    <s v="[full tekst requested on research gate]"/>
    <m/>
    <m/>
    <n v="1"/>
    <m/>
    <n v="1"/>
    <x v="83"/>
    <x v="4"/>
    <x v="0"/>
    <n v="1"/>
    <x v="79"/>
    <m/>
    <m/>
    <m/>
    <m/>
    <m/>
    <m/>
    <m/>
    <m/>
    <m/>
    <m/>
    <m/>
    <m/>
    <m/>
    <m/>
    <m/>
    <m/>
    <m/>
    <m/>
    <m/>
  </r>
  <r>
    <s v="Larson, E., Zollman, F., Kondiles, B., &amp; Starr, C. (2013). Memory deficits, postconcussive complaints, and posttraumatic stress disorder in  a volunteer sample of veterans. Rehabilitation Psychology, 58(3), 245–252. Journal Article, Research Support, Non-U.S. Gov’t. http://doi.org/10.1037/a0032953"/>
    <n v="23978082"/>
    <n v="1"/>
    <m/>
    <m/>
    <n v="1"/>
    <m/>
    <n v="1"/>
    <x v="84"/>
    <x v="4"/>
    <x v="14"/>
    <n v="1"/>
    <x v="80"/>
    <m/>
    <m/>
    <m/>
    <m/>
    <m/>
    <m/>
    <m/>
    <m/>
    <m/>
    <m/>
    <m/>
    <m/>
    <m/>
    <m/>
    <m/>
    <m/>
    <m/>
    <m/>
    <m/>
  </r>
  <r>
    <s v="Pang, E. W., Sedge, P., Grodecki, R., Robertson, A., MacDonald, M. J., Jetly, R., … Taylor, M. J. (2014). Colour or shape: examination of neural processes underlying mental flexibility in posttraumatic stress disorder. Translational Psychiatry, 4, e421. Journal Article, Research Support, Non-U.S. Gov’t. http://doi.org/10.1038/tp.2014.63"/>
    <n v="25093599"/>
    <n v="1"/>
    <m/>
    <m/>
    <n v="1"/>
    <m/>
    <n v="1"/>
    <x v="85"/>
    <x v="30"/>
    <x v="44"/>
    <n v="1"/>
    <x v="81"/>
    <s v="meg"/>
    <m/>
    <m/>
    <m/>
    <m/>
    <m/>
    <m/>
    <m/>
    <m/>
    <m/>
    <m/>
    <m/>
    <m/>
    <m/>
    <m/>
    <m/>
    <m/>
    <m/>
    <m/>
  </r>
  <r>
    <s v="Lysaker, P. H., Dimaggio, G., Wickett-Curtis, A., Kukla, M., Luedtke, B., Vohs, J., … Davis, L. W. (2015). Deficits in Metacognitive Capacity Are Related to Subjective Distress and Heightened Levels of Hyperarousal Symptoms in Adults With Posttraumatic Stress Disorder. Journal of Trauma &amp; Dissociation : The Official Journal of the International Society for the Study of Dissociation (ISSD), 16(4), 384–398. Journal Article, Research Support, U.S. Gov’t, Non-P.H.S. http://doi.org/10.1080/15299732.2015.1005331"/>
    <n v="26011671"/>
    <n v="1"/>
    <m/>
    <m/>
    <n v="1"/>
    <m/>
    <n v="1"/>
    <x v="86"/>
    <x v="22"/>
    <x v="45"/>
    <n v="0"/>
    <x v="82"/>
    <m/>
    <m/>
    <m/>
    <s v="schizofrena groep"/>
    <m/>
    <m/>
    <m/>
    <m/>
    <m/>
    <m/>
    <m/>
    <m/>
    <m/>
    <m/>
    <m/>
    <m/>
    <m/>
    <m/>
    <m/>
  </r>
  <r>
    <s v="Soble, J. R., Spanierman, L. B., &amp; Fitzgerald Smith, J. (2013). Neuropsychological functioning of combat veterans with posttraumatic stress disorder and mild traumatic brain injury. Journal of Clinical and Experimental Neuropsychology, 35(5), 551–561. Journal Article. http://doi.org/10.1080/13803395.2013.798398"/>
    <n v="23672579"/>
    <n v="1"/>
    <m/>
    <m/>
    <n v="1"/>
    <m/>
    <n v="1"/>
    <x v="87"/>
    <x v="31"/>
    <x v="19"/>
    <n v="1"/>
    <x v="15"/>
    <s v="-"/>
    <s v="-"/>
    <s v="depression &amp; anxiety"/>
    <m/>
    <m/>
    <m/>
    <m/>
    <m/>
    <m/>
    <m/>
    <m/>
    <m/>
    <m/>
    <m/>
    <m/>
    <m/>
    <m/>
    <m/>
    <m/>
  </r>
  <r>
    <s v="van der Kolk, B., Blitz, R., Burr, W., Sherry, S., &amp; Hartmann, E. (1984). Nightmares and trauma: a comparison of nightmares after combat with lifelong nightmares in veterans. The American Journal of Psychiatry, 141(2), 187–190. Comparative Study, Journal Article, Research Support, U.S. Gov’t, Non-P.H.S. http://doi.org/10.1176/ajp.141.2.187"/>
    <n v="6691477"/>
    <n v="1"/>
    <s v="0. exclude rorschach"/>
    <m/>
    <n v="0"/>
    <m/>
    <n v="1"/>
    <x v="88"/>
    <x v="0"/>
    <x v="6"/>
    <n v="1"/>
    <x v="83"/>
    <m/>
    <m/>
    <m/>
    <s v="vooral over slaap &amp; traumatic vs lifetime nigthmares"/>
    <m/>
    <m/>
    <m/>
    <m/>
    <m/>
    <m/>
    <m/>
    <m/>
    <m/>
    <m/>
    <m/>
    <m/>
    <m/>
    <m/>
    <m/>
  </r>
  <r>
    <s v="Brenner, L. A., Ladley-O’Brien, S. E., Harwood, J. E. F., Filley, C. M., Kelly, J. P., Homaifar, B. Y., &amp; Adler, L. E. (2009). An exploratory study of neuroimaging, neurologic, and neuropsychological findings in veterans with traumatic brain injury and/or posttraumatic stress disorder. Military Medicine, 174(4), 347–352. Journal Article, Research Support, Non-U.S. Gov’t, Research Support, U.S. Gov’t, Non-P.H.S."/>
    <n v="19485102"/>
    <n v="1"/>
    <m/>
    <m/>
    <n v="1"/>
    <m/>
    <n v="1"/>
    <x v="89"/>
    <x v="7"/>
    <x v="46"/>
    <n v="0"/>
    <x v="84"/>
    <s v="fmri"/>
    <m/>
    <m/>
    <s v="neurologische assesment"/>
    <m/>
    <m/>
    <m/>
    <m/>
    <m/>
    <m/>
    <m/>
    <m/>
    <m/>
    <m/>
    <m/>
    <m/>
    <m/>
    <m/>
    <m/>
  </r>
  <r>
    <s v="Hall, T., Galletly, C., Clark, C. R., Veltmeyer, M., Metzger, L. J., Gilbertson, M. W., … McFarlane, A. (2012). The relationship between Hippocampal asymmetry and working memory processing in combat-related PTSD - a monozygotic twin study. Biology of Mood &amp; Anxiety Disorders, 2, 21. Journal Article. http://doi.org/10.1186/2045-5380-2-21"/>
    <n v="23198722"/>
    <n v="1"/>
    <m/>
    <m/>
    <n v="1"/>
    <m/>
    <n v="1"/>
    <x v="90"/>
    <x v="14"/>
    <x v="47"/>
    <n v="1"/>
    <x v="85"/>
    <s v="hippocampus, EEG"/>
    <m/>
    <m/>
    <s v="compared twins. §"/>
    <m/>
    <m/>
    <m/>
    <m/>
    <m/>
    <m/>
    <m/>
    <m/>
    <m/>
    <m/>
    <m/>
    <m/>
    <m/>
    <m/>
    <m/>
  </r>
  <r>
    <s v="Sutker, P. B., Winstead, D. K., Galina, Z. H., &amp; Allain, A. N. (1991). Cognitive deficits and psychopathology among former prisoners of war and combat veterans of the Korean conflict. The American Journal of Psychiatry, 148(1), 67–72. Case Reports, Journal Article, Research Support, U.S. Gov’t, Non-P.H.S. http://doi.org/10.1176/ajp.148.1.67"/>
    <n v="1984709"/>
    <n v="1"/>
    <s v="check full tekst; ptsd gerelateerde analyse include."/>
    <s v="checken of er sprake is van PTSD"/>
    <n v="1"/>
    <m/>
    <n v="0"/>
    <x v="91"/>
    <x v="32"/>
    <x v="43"/>
    <n v="0"/>
    <x v="86"/>
    <m/>
    <m/>
    <s v="personality; psychiatric diagnosis"/>
    <s v="no ptsd patients ; vergelijking prisoners &amp; veterans; misschien wel een subgroep te gebruiken?"/>
    <m/>
    <m/>
    <m/>
    <m/>
    <m/>
    <m/>
    <m/>
    <m/>
    <m/>
    <m/>
    <m/>
    <m/>
    <m/>
    <m/>
    <m/>
  </r>
  <r>
    <s v="Cohen, B. E., Neylan, T. C., Yaffe, K., Samuelson, K. W., Li, Y., &amp; Barnes, D. E. (2013). Posttraumatic stress disorder and cognitive function: findings from the mind your heart study. The Journal of Clinical Psychiatry, 74(11), 1063–1070. Journal Article, Research Support, N.I.H., Extramural, Research Support, Non-U.S. Gov’t. http://doi.org/10.4088/JCP.12m08291"/>
    <n v="24330891"/>
    <s v="[full tekst requested on research gate]"/>
    <m/>
    <m/>
    <n v="1"/>
    <m/>
    <n v="1"/>
    <x v="92"/>
    <x v="33"/>
    <x v="48"/>
    <n v="1"/>
    <x v="87"/>
    <s v="-"/>
    <m/>
    <m/>
    <m/>
    <m/>
    <m/>
    <m/>
    <m/>
    <m/>
    <m/>
    <m/>
    <m/>
    <m/>
    <m/>
    <m/>
    <m/>
    <m/>
    <m/>
    <m/>
  </r>
  <r>
    <s v="McFarland, C. P., Clark, J. B., Lee, L. O., Grande, L. J., Marx, B. P., &amp; Vasterling, J. J. (2016). Event-based prospective memory among veterans: The role of posttraumatic stress disorder symptom severity in executing intentions. Journal of Clinical and Experimental Neuropsychology, 38(2), 251–260. Journal Article. http://doi.org/10.1080/13803395.2015.1102203"/>
    <n v="26691304"/>
    <n v="1"/>
    <m/>
    <m/>
    <n v="1"/>
    <m/>
    <n v="1"/>
    <x v="93"/>
    <x v="4"/>
    <x v="41"/>
    <n v="1"/>
    <x v="88"/>
    <m/>
    <m/>
    <m/>
    <m/>
    <m/>
    <m/>
    <m/>
    <m/>
    <m/>
    <m/>
    <m/>
    <m/>
    <m/>
    <m/>
    <m/>
    <m/>
    <m/>
    <m/>
    <m/>
  </r>
  <r>
    <s v="Scott, J. C., Woods, S. P., Wrocklage, K. M., Schweinsburg, B. C., Southwick, S. M., &amp; Krystal, J. H. (2016). Prospective Memory in Posttraumatic Stress Disorder. Journal of the International Neuropsychological Society : JINS, 22(7), 724–734. Journal Article. http://doi.org/10.1017/S1355617716000564"/>
    <n v="27353125"/>
    <n v="1"/>
    <m/>
    <m/>
    <n v="1"/>
    <m/>
    <n v="1"/>
    <x v="93"/>
    <x v="4"/>
    <x v="0"/>
    <n v="1"/>
    <x v="89"/>
    <m/>
    <m/>
    <m/>
    <m/>
    <m/>
    <m/>
    <m/>
    <m/>
    <m/>
    <m/>
    <m/>
    <m/>
    <m/>
    <m/>
    <m/>
    <m/>
    <m/>
    <m/>
    <m/>
  </r>
  <r>
    <s v="Sawyer, A. T., Liverant, G. I., Jun, J. J., Lee, D. J., Cohen, A. L., Dutra, S. J., … Sloan, D. M. (2016). Punishment Learning in U.S. Veterans With Posttraumatic Stress Disorder. Journal of Traumatic Stress, 29(4), 374–378. Journal Article. http://doi.org/10.1002/jts.22109"/>
    <n v="27459209"/>
    <n v="1"/>
    <m/>
    <m/>
    <n v="1"/>
    <m/>
    <n v="1"/>
    <x v="94"/>
    <x v="34"/>
    <x v="0"/>
    <n v="1"/>
    <x v="90"/>
    <s v="-"/>
    <s v="-"/>
    <m/>
    <m/>
    <m/>
    <m/>
    <m/>
    <m/>
    <m/>
    <m/>
    <m/>
    <m/>
    <m/>
    <m/>
    <m/>
    <m/>
    <m/>
    <m/>
    <m/>
  </r>
  <r>
    <s v="Sullivan, M. P., Griffiths, G. G., &amp; Moore Sohlberg, M. (2014). Effect of posttraumatic stress on study time in a task measuring four component processes underlying text-level reading. Journal of Speech, Language, and Hearing Research : JSLHR, 57(5), 1731–1739. Journal Article, Research Support, Non-U.S. Gov’t. http://doi.org/10.1044/2014_JSLHR-L-13-0238"/>
    <n v="24686914"/>
    <n v="1"/>
    <m/>
    <m/>
    <n v="1"/>
    <m/>
    <n v="1"/>
    <x v="95"/>
    <x v="35"/>
    <x v="0"/>
    <n v="1"/>
    <x v="91"/>
    <m/>
    <m/>
    <m/>
    <m/>
    <m/>
    <m/>
    <m/>
    <m/>
    <m/>
    <m/>
    <m/>
    <m/>
    <m/>
    <m/>
    <m/>
    <m/>
    <m/>
    <m/>
    <m/>
  </r>
  <r>
    <s v="Elman, I., Ariely, D., Mazar, N., Aharon, I., Lasko, N. B., Macklin, M. L., … Pitman, R. K. (2005). Probing reward function in post-traumatic stress disorder with beautiful facial images. Psychiatry Research, 135(3), 179–183. Journal Article, Research Support, N.I.H., Extramural, Research Support, U.S. Gov’t, Non-P.H.S., Research Support, U.S. Gov’t, P.H.S. http://doi.org/10.1016/j.psychres.2005.04.002"/>
    <n v="15993948"/>
    <n v="1"/>
    <m/>
    <m/>
    <n v="1"/>
    <m/>
    <n v="1"/>
    <x v="96"/>
    <x v="36"/>
    <x v="0"/>
    <n v="1"/>
    <x v="92"/>
    <m/>
    <m/>
    <m/>
    <m/>
    <m/>
    <m/>
    <m/>
    <m/>
    <m/>
    <m/>
    <m/>
    <m/>
    <m/>
    <m/>
    <m/>
    <m/>
    <m/>
    <m/>
    <m/>
  </r>
  <r>
    <s v="Clausen, A. N., Youngren, W., Sisante, J.-F. V, Billinger, S. A., Taylor, C., &amp; Aupperle, R. L. (2016). Combat PTSD and Implicit Behavioral Tendencies for Positive Affective Stimuli: A  Brief Report. Frontiers in Psychology, 7, 758. Journal Article. http://doi.org/10.3389/fpsyg.2016.00758"/>
    <n v="27252673"/>
    <n v="1"/>
    <m/>
    <m/>
    <n v="1"/>
    <m/>
    <n v="1"/>
    <x v="97"/>
    <x v="37"/>
    <x v="0"/>
    <n v="1"/>
    <x v="93"/>
    <m/>
    <m/>
    <m/>
    <m/>
    <m/>
    <m/>
    <m/>
    <m/>
    <m/>
    <m/>
    <m/>
    <m/>
    <m/>
    <m/>
    <m/>
    <m/>
    <m/>
    <m/>
    <m/>
  </r>
  <r>
    <s v="Hopper, J. W., Pitman, R. K., Su, Z., Heyman, G. M., Lasko, N. B., Macklin, M. L., … Elman, I. (2008). Probing reward function in posttraumatic stress disorder: expectancy and satisfaction with monetary gains and losses. Journal of Psychiatric Research, 42(10), 802–807. Journal Article, Research Support, N.I.H., Extramural, Research Support, U.S. Gov’t, Non-P.H.S. http://doi.org/10.1016/j.jpsychires.2007.10.008"/>
    <n v="18068725"/>
    <n v="1"/>
    <m/>
    <m/>
    <n v="1"/>
    <m/>
    <n v="1"/>
    <x v="97"/>
    <x v="0"/>
    <x v="49"/>
    <n v="1"/>
    <x v="94"/>
    <m/>
    <m/>
    <m/>
    <m/>
    <m/>
    <m/>
    <m/>
    <m/>
    <m/>
    <m/>
    <m/>
    <m/>
    <m/>
    <m/>
    <m/>
    <m/>
    <m/>
    <m/>
    <m/>
  </r>
  <r>
    <s v="Ruderman, L., Ehrlich, D. B., Roy, A., Pietrzak, R. H., Harpaz-Rotem, I., &amp; Levy, I. (2016). POSTTRAUMATIC STRESS SYMPTOMS AND AVERSION TO AMBIGUOUS LOSSES IN COMBAT VETERANS. Depression and Anxiety, 33(7), 606–613. Journal Article. http://doi.org/10.1002/da.22494"/>
    <n v="27000639"/>
    <n v="1"/>
    <m/>
    <m/>
    <n v="1"/>
    <m/>
    <n v="1"/>
    <x v="98"/>
    <x v="0"/>
    <x v="0"/>
    <n v="1"/>
    <x v="95"/>
    <m/>
    <m/>
    <m/>
    <m/>
    <m/>
    <m/>
    <m/>
    <m/>
    <m/>
    <m/>
    <m/>
    <m/>
    <m/>
    <m/>
    <m/>
    <m/>
    <m/>
    <m/>
    <m/>
  </r>
  <r>
    <s v="Clark, A. L., Sorg, S. F., Schiehser, D. M., Luc, N., Bondi, M. W., Sanderson, M., … Delano-Wood, L. (2016). Deep white matter hyperintensities affect verbal memory independent of PTSD symptoms in veterans with mild traumatic brain injury. Brain Injury, 30(7), 864–871. Journal Article. http://doi.org/10.3109/02699052.2016.1144894"/>
    <n v="27058006"/>
    <n v="1"/>
    <m/>
    <m/>
    <n v="1"/>
    <m/>
    <n v="1"/>
    <x v="99"/>
    <x v="4"/>
    <x v="17"/>
    <n v="1"/>
    <x v="5"/>
    <s v="structeral mr"/>
    <m/>
    <m/>
    <s v="niet zeker of er genoeg ptsd is / analyses gecontroleerd voor ptsd"/>
    <m/>
    <m/>
    <m/>
    <m/>
    <m/>
    <m/>
    <m/>
    <m/>
    <m/>
    <m/>
    <m/>
    <m/>
    <m/>
    <m/>
    <m/>
  </r>
  <r>
    <s v="Sodic, L., Anticevic, V., Britvic, D., &amp; Ivkosic, N. (2007). Short-term memory in Croatian war veterans with posttraumatic stress disorder. Croatian Medical Journal, 48(2), 140–145. Journal Article."/>
    <n v="17436378"/>
    <n v="1"/>
    <m/>
    <m/>
    <n v="1"/>
    <m/>
    <n v="1"/>
    <x v="100"/>
    <x v="4"/>
    <x v="5"/>
    <n v="1"/>
    <x v="96"/>
    <s v="-"/>
    <s v="-"/>
    <m/>
    <m/>
    <m/>
    <m/>
    <m/>
    <m/>
    <m/>
    <m/>
    <m/>
    <m/>
    <m/>
    <m/>
    <m/>
    <m/>
    <m/>
    <m/>
    <m/>
  </r>
  <r>
    <s v="Badura-Brack, A. S., Becker, K. M., McDermott, T. J., Ryan, T. J., Becker, M. M., Hearley, A. R., … Wilson, T. W. (2015). Decreased somatosensory activity to non-threatening touch in combat veterans with posttraumatic stress disorder. Psychiatry Research, 233(2), 194–200. Journal Article, Research Support, N.I.H., Extramural, Research Support, Non-U.S. Gov’t. http://doi.org/10.1016/j.pscychresns.2015.06.012"/>
    <n v="26184460"/>
    <n v="1"/>
    <s v="attention meenemen., somato sensory processing.. Laat het van de taak afhangen. --&gt; taak afhankelijk"/>
    <s v="ik had deze geincludeerd in het kader van perceptie &amp; attention"/>
    <n v="0"/>
    <s v="tja, wil je somatosensory perception echt meenemen?"/>
    <n v="1"/>
    <x v="101"/>
    <x v="38"/>
    <x v="0"/>
    <n v="1"/>
    <x v="5"/>
    <s v="meg"/>
    <m/>
    <m/>
    <m/>
    <m/>
    <m/>
    <m/>
    <m/>
    <m/>
    <m/>
    <m/>
    <m/>
    <m/>
    <m/>
    <m/>
    <m/>
    <m/>
    <m/>
    <m/>
  </r>
  <r>
    <s v="Gilbertson, M. W., Williston, S. K., Paulus, L. A., Lasko, N. B., Gurvits, T. V, Shenton, M. E., … Orr, S. P. (2007). Configural cue performance in identical twins discordant for posttraumatic stress disorder: theoretical implications for the role of hippocampal function. Biological Psychiatry, 62(5), 513–520. Journal Article, Research Support, N.I.H., Extramural, Research Support, U.S. Gov’t, Non-P.H.S. http://doi.org/10.1016/j.biopsych.2006.12.023"/>
    <n v="17509537"/>
    <n v="1"/>
    <m/>
    <m/>
    <n v="1"/>
    <m/>
    <n v="1"/>
    <x v="102"/>
    <x v="4"/>
    <x v="0"/>
    <n v="1"/>
    <x v="97"/>
    <s v="fmri"/>
    <m/>
    <m/>
    <m/>
    <m/>
    <m/>
    <m/>
    <m/>
    <m/>
    <m/>
    <m/>
    <m/>
    <m/>
    <m/>
    <m/>
    <m/>
    <m/>
    <m/>
    <m/>
  </r>
  <r>
    <s v="Robison-Andrew, E. J., Duval, E. R., Nelson, C. B., Echiverri-Cohen, A., Giardino, N., Defever, A., … Rauch, S. A. M. (2014). Changes in trauma-potentiated startle with treatment of posttraumatic stress disorder in combat Veterans. Journal of Anxiety Disorders, 28(4), 358–362. Journal Article, Randomized Controlled Trial, Research Support, U.S. Gov’t, Non-P.H.S. http://doi.org/10.1016/j.janxdis.2014.04.002"/>
    <n v="24786361"/>
    <n v="1"/>
    <s v="check full tekst. Includeren als er een cognitieve component gemeten wordt, niet alleen als er trauma sensitisatie gemeten wordt. Zoals startle"/>
    <s v="ja lastig…"/>
    <n v="1"/>
    <s v="mmm, maar fearconditioning dan wel? Toch maar even over hebben…"/>
    <n v="0"/>
    <x v="103"/>
    <x v="0"/>
    <x v="0"/>
    <n v="1"/>
    <x v="5"/>
    <m/>
    <s v="trauma-potentiated startle?"/>
    <m/>
    <s v="link met treatmetn response"/>
    <m/>
    <m/>
    <m/>
    <m/>
    <m/>
    <m/>
    <m/>
    <m/>
    <m/>
    <m/>
    <m/>
    <m/>
    <m/>
    <m/>
    <m/>
  </r>
  <r>
    <s v="Motta, R. W., Joseph, J. M., Rose, R. D., Suozzi, J. M., &amp; Leiderman, L. J. (1997). Secondary trauma: assessing inter-generational transmission of war experiences with a modified Stroop procedure. Journal of Clinical Psychology, 53(8), 895–903. Journal Article."/>
    <n v="9403392"/>
    <n v="1"/>
    <s v="check full tekst, voor nu 0"/>
    <m/>
    <n v="1"/>
    <s v="gaat wel over secondary traumatization, maar mogelijk wel interessant, voor discussie"/>
    <n v="0"/>
    <x v="104"/>
    <x v="0"/>
    <x v="50"/>
    <m/>
    <x v="98"/>
    <m/>
    <m/>
    <m/>
    <s v="geen ptsd?"/>
    <m/>
    <m/>
    <m/>
    <m/>
    <m/>
    <m/>
    <m/>
    <m/>
    <m/>
    <m/>
    <m/>
    <m/>
    <m/>
    <m/>
    <m/>
  </r>
  <r>
    <s v="Myers, C. E., Radell, M. L., Shind, C., Ebanks-Williams, Y., Beck, K. D., &amp; Gilbertson, M. W. (2016). Beyond symptom self-report: use of a computer “avatar” to assess post-traumatic stress disorder (PTSD) symptoms. Stress (Amsterdam, Netherlands), 1–6. JOURNAL ARTICLE. http://doi.org/10.1080/10253890.2016.1232385"/>
    <n v="27594113"/>
    <n v="1"/>
    <m/>
    <m/>
    <n v="1"/>
    <m/>
    <n v="1"/>
    <x v="105"/>
    <x v="0"/>
    <x v="5"/>
    <n v="1"/>
    <x v="99"/>
    <m/>
    <m/>
    <m/>
    <s v="diagnose kan je verbeteren door behavioural measures toe te voegen! --&gt; zet in intro!"/>
    <m/>
    <m/>
    <m/>
    <m/>
    <m/>
    <m/>
    <m/>
    <m/>
    <m/>
    <m/>
    <m/>
    <m/>
    <m/>
    <m/>
    <m/>
  </r>
  <r>
    <s v="Geracioti, T. D. J., Jefferson-Wilson, L., Strawn, J. R., Baker, D. G., Dashevsky, B. A., Horn, P. S., &amp; Ekhator, N. N. (2013). Effect of traumatic imagery on cerebrospinal fluid dopamine and serotonin metabolites in posttraumatic stress disorder. Journal of Psychiatric Research, 47(7), 995–998. Journal Article, Randomized Controlled Trial, Research Support, U.S. Gov’t, Non-P.H.S. http://doi.org/10.1016/j.jpsychires.2013.01.023"/>
    <n v="23540599"/>
    <n v="1"/>
    <s v="check de full tekst.. Gebeurd er eits cognitiefs? Zelde "/>
    <s v="autobiographic recall trigger? Maar misschien wordt het te 'wazig'"/>
    <n v="1"/>
    <s v="mmm"/>
    <n v="1"/>
    <x v="106"/>
    <x v="3"/>
    <x v="51"/>
    <n v="1"/>
    <x v="100"/>
    <s v="CSF serotonine &amp; dopamine"/>
    <s v="blood pressure, heart rate"/>
    <m/>
    <s v="niet cognitief/gedragsmatig genoeg?"/>
    <m/>
    <m/>
    <m/>
    <m/>
    <m/>
    <m/>
    <m/>
    <m/>
    <m/>
    <m/>
    <m/>
    <m/>
    <m/>
    <m/>
    <m/>
  </r>
  <r>
    <s v="Swick, D., Honzel, N., Larsen, J., &amp; Ashley, V. (2013). Increased response variability as a marker of executive dysfunction in veterans with post-traumatic stress disorder. Neuropsychologia, 51(14), 3033–3040. Journal Article, Research Support, N.I.H., Extramural, Research Support, U.S. Gov’t, Non-P.H.S. http://doi.org/10.1016/j.neuropsychologia.2013.10.008"/>
    <n v="24157540"/>
    <n v="1"/>
    <m/>
    <m/>
    <n v="1"/>
    <m/>
    <n v="1"/>
    <x v="107"/>
    <x v="1"/>
    <x v="0"/>
    <n v="1"/>
    <x v="43"/>
    <s v="-"/>
    <s v="-"/>
    <s v="depression; attentional impulsiveness; ptsd symptoms;"/>
    <m/>
    <m/>
    <m/>
    <m/>
    <m/>
    <m/>
    <m/>
    <m/>
    <m/>
    <m/>
    <m/>
    <m/>
    <m/>
    <m/>
    <m/>
    <m/>
  </r>
  <r>
    <s v="Hudetz, J. A., Gandhi, S. D., Iqbal, Z., Patterson, K. M., Byrne, A. J., Warltier, D. C., &amp; Pagel, P. S. (2010). History of post-traumatic stress disorder is associated with impaired neuropsychometric performance after coronary artery surgery. Journal of Cardiothoracic and Vascular Anesthesia, 24(6), 964–968. Journal Article, Research Support, Non-U.S. Gov’t. http://doi.org/10.1053/j.jvca.2010.02.019"/>
    <n v="20494591"/>
    <n v="1"/>
    <m/>
    <m/>
    <n v="1"/>
    <m/>
    <n v="1"/>
    <x v="108"/>
    <x v="4"/>
    <x v="52"/>
    <n v="0"/>
    <x v="5"/>
    <m/>
    <m/>
    <m/>
    <s v="post operative cog. Impairment."/>
    <m/>
    <m/>
    <m/>
    <m/>
    <m/>
    <m/>
    <m/>
    <m/>
    <m/>
    <m/>
    <m/>
    <m/>
    <m/>
    <m/>
    <m/>
  </r>
  <r>
    <s v="Buchsbaum, M. S., Simmons, A. N., DeCastro, A., Farid, N., &amp; Matthews, S. C. (2015). Clusters of Low (18)F-Fluorodeoxyglucose Uptake Voxels in Combat Veterans with Traumatic Brain Injury and Post-Traumatic Stress Disorder. Journal of Neurotrauma, 32(22), 1736–1750. Journal Article, Research Support, U.S. Gov’t, Non-P.H.S. http://doi.org/10.1089/neu.2014.3660"/>
    <n v="25915799"/>
    <n v="1"/>
    <m/>
    <m/>
    <n v="1"/>
    <m/>
    <n v="1"/>
    <x v="109"/>
    <x v="4"/>
    <x v="53"/>
    <m/>
    <x v="5"/>
    <s v="pet"/>
    <m/>
    <m/>
    <m/>
    <m/>
    <m/>
    <m/>
    <m/>
    <m/>
    <m/>
    <m/>
    <m/>
    <m/>
    <m/>
    <m/>
    <m/>
    <m/>
    <m/>
    <m/>
  </r>
  <r>
    <s v="Kinoshita, L. M., Yesavage, J. A., Noda, A., Jo, B., Hernandez, B., Taylor, J., … Scanlon, B. K. (2012). Modeling the effects of obstructive sleep apnea and hypertension in Vietnam veterans with PTSD. Sleep &amp; Breathing = Schlaf &amp; Atmung, 16(4), 1201–1209. Journal Article, Research Support, U.S. Gov’t, Non-P.H.S. http://doi.org/10.1007/s11325-011-0632-8"/>
    <n v="22193972"/>
    <n v="1"/>
    <m/>
    <m/>
    <n v="1"/>
    <m/>
    <n v="1"/>
    <x v="110"/>
    <x v="17"/>
    <x v="0"/>
    <n v="1"/>
    <x v="101"/>
    <s v="-"/>
    <s v="hypertention &amp; apnea"/>
    <m/>
    <m/>
    <m/>
    <m/>
    <m/>
    <m/>
    <m/>
    <m/>
    <m/>
    <m/>
    <m/>
    <m/>
    <m/>
    <m/>
    <m/>
    <m/>
    <m/>
  </r>
  <r>
    <s v="Sozda, C. N., Muir, J. J., Springer, U. S., Partovi, D., &amp; Cole, M. A. (2014). Differential learning and memory performance in OEF/OIF veterans for verbal and visual material. Neuropsychology, 28(3), 347–352. Journal Article. http://doi.org/10.1037/neu0000043"/>
    <n v="24245926"/>
    <n v="1"/>
    <m/>
    <m/>
    <n v="1"/>
    <m/>
    <n v="1"/>
    <x v="111"/>
    <x v="4"/>
    <x v="22"/>
    <n v="1"/>
    <x v="5"/>
    <m/>
    <m/>
    <m/>
    <s v="wel gecontroleerd voor ptsd; geen ptsd groepen"/>
    <m/>
    <m/>
    <m/>
    <m/>
    <m/>
    <m/>
    <m/>
    <m/>
    <m/>
    <m/>
    <m/>
    <m/>
    <m/>
    <m/>
    <m/>
  </r>
  <r>
    <s v="Barlow-Ogden, K., &amp; Poynter, W. (2012). Mild traumatic brain injury and posttraumatic stress disorder: investigation of visual attention in Operation Iraqi Freedom/Operation Enduring Freedom veterans. Journal of Rehabilitation Research and Development, 49(7), 1101–1114. Journal Article, Research Support, U.S. Gov’t, Non-P.H.S."/>
    <n v="23341282"/>
    <n v="1"/>
    <m/>
    <m/>
    <n v="1"/>
    <m/>
    <n v="1"/>
    <x v="112"/>
    <x v="6"/>
    <x v="0"/>
    <n v="1"/>
    <x v="102"/>
    <s v="no?"/>
    <s v="no?"/>
    <m/>
    <m/>
    <m/>
    <m/>
    <m/>
    <m/>
    <m/>
    <m/>
    <m/>
    <m/>
    <m/>
    <m/>
    <m/>
    <m/>
    <m/>
    <m/>
    <m/>
  </r>
  <r>
    <s v="Beckham, J. C., Crawford, A. L., &amp; Feldman, M. E. (1998). Trail making test performance in Vietnam combat veterans with and without posttraumatic stress disorder. Journal of Traumatic Stress, 11(4), 811–819. Journal Article, Research Support, U.S. Gov’t, P.H.S. http://doi.org/10.1023/A:1024409903617"/>
    <n v="9870231"/>
    <n v="1"/>
    <m/>
    <m/>
    <n v="1"/>
    <m/>
    <n v="1"/>
    <x v="113"/>
    <x v="39"/>
    <x v="0"/>
    <n v="1"/>
    <x v="103"/>
    <s v="no?"/>
    <s v="cardiac?"/>
    <m/>
    <m/>
    <m/>
    <m/>
    <m/>
    <m/>
    <m/>
    <m/>
    <m/>
    <m/>
    <m/>
    <m/>
    <m/>
    <m/>
    <m/>
    <m/>
    <m/>
  </r>
  <r>
    <s v="Grunert, B. K., Weis, J. M., Smucker, M. R., &amp; Christianson, H. F. (2007). Imagery rescripting and reprocessing therapy after failed prolonged exposure for  post-traumatic stress disorder following industrial injury. Journal of Behavior Therapy and Experimental Psychiatry, 38(4), 317–328. Journal Article. http://doi.org/10.1016/j.jbtep.2007.10.005"/>
    <n v="18037391"/>
    <n v="1"/>
    <m/>
    <m/>
    <n v="1"/>
    <m/>
    <n v="1"/>
    <x v="114"/>
    <x v="0"/>
    <x v="30"/>
    <n v="0"/>
    <x v="77"/>
    <m/>
    <s v="?"/>
    <m/>
    <s v="effect cognitive therapie for ptsd (naast alleen exposure). Cognitive measures?"/>
    <m/>
    <m/>
    <m/>
    <m/>
    <m/>
    <m/>
    <m/>
    <m/>
    <m/>
    <m/>
    <m/>
    <m/>
    <m/>
    <m/>
    <m/>
  </r>
  <r>
    <s v="Morey, R. A., Hariri, A. R., Gold, A. L., Hauser, M. A., Munger, H. J., Dolcos, F., &amp; McCarthy, G. (2011). Serotonin transporter gene polymorphisms and brain function during emotional distraction from cognitive processing in posttraumatic stress disorder. BMC Psychiatry, 11, 76. Journal Article, Research Support, N.I.H., Extramural, Research Support, Non-U.S. Gov’t, Research Support, U.S. Gov’t, Non-P.H.S. http://doi.org/10.1186/1471-244X-11-76"/>
    <n v="21545724"/>
    <n v="1"/>
    <m/>
    <m/>
    <n v="1"/>
    <m/>
    <n v="1"/>
    <x v="115"/>
    <x v="13"/>
    <x v="5"/>
    <n v="1"/>
    <x v="104"/>
    <s v="MRI"/>
    <s v="snp's"/>
    <m/>
    <s v="serotonine"/>
    <m/>
    <m/>
    <m/>
    <m/>
    <m/>
    <m/>
    <m/>
    <m/>
    <m/>
    <m/>
    <m/>
    <m/>
    <m/>
    <m/>
    <m/>
  </r>
  <r>
    <s v="Shaw, M. E., Strother, S. C., McFarlane, A. C., Morris, P., Anderson, J., Clark, C. R., &amp; Egan, G. F. (2002). Abnormal functional connectivity in posttraumatic stress disorder. NeuroImage, 15(3), 661–674. Journal Article, Research Support, Non-U.S. Gov’t, Research Support, U.S. Gov’t, Non-P.H.S., Research Support, U.S. Gov’t, P.H.S. http://doi.org/10.1006/nimg.2001.1024"/>
    <n v="11848709"/>
    <n v="1"/>
    <m/>
    <m/>
    <n v="1"/>
    <m/>
    <n v="1"/>
    <x v="115"/>
    <x v="13"/>
    <x v="30"/>
    <n v="0"/>
    <x v="104"/>
    <s v="fmri"/>
    <m/>
    <m/>
    <m/>
    <m/>
    <m/>
    <m/>
    <m/>
    <m/>
    <m/>
    <m/>
    <m/>
    <m/>
    <m/>
    <m/>
    <m/>
    <m/>
    <m/>
    <m/>
  </r>
  <r>
    <s v="Tian, F., Yennu, A., Smith-Osborne, A., Gonzalez-Lima, F., North, C. S., &amp; Liu, H. (2014). Prefrontal responses to digit span memory phases in patients with post-traumatic  stress disorder (PTSD): a functional near infrared spectroscopy study. NeuroImage. Clinical, 4, 808–819. Journal Article, Research Support, Non-U.S. Gov’t. http://doi.org/10.1016/j.nicl.2014.05.005"/>
    <n v="24936431"/>
    <n v="1"/>
    <m/>
    <m/>
    <n v="1"/>
    <m/>
    <n v="1"/>
    <x v="115"/>
    <x v="13"/>
    <x v="5"/>
    <n v="1"/>
    <x v="105"/>
    <s v="fNIRS"/>
    <m/>
    <m/>
    <m/>
    <m/>
    <m/>
    <m/>
    <m/>
    <m/>
    <m/>
    <m/>
    <m/>
    <m/>
    <m/>
    <m/>
    <m/>
    <m/>
    <m/>
    <m/>
  </r>
  <r>
    <s v="Wisdom, N. M., Pastorek, N. J., Miller, B. I., Booth, J. E., Romesser, J. M., Linck, J. F., &amp; Sim, A. H. (2014). PTSD and cognitive functioning: importance of including performance validity testing. The Clinical Neuropsychologist, 28(1), 128–145. Comparative Study, Journal Article, Research Support, U.S. Gov’t, Non-P.H.S. http://doi.org/10.1080/13854046.2013.863977"/>
    <n v="24354897"/>
    <n v="1"/>
    <m/>
    <m/>
    <n v="1"/>
    <m/>
    <n v="1"/>
    <x v="115"/>
    <x v="13"/>
    <x v="54"/>
    <n v="1"/>
    <x v="104"/>
    <m/>
    <m/>
    <s v="ptsd checklist"/>
    <m/>
    <m/>
    <m/>
    <m/>
    <m/>
    <m/>
    <m/>
    <m/>
    <m/>
    <m/>
    <m/>
    <m/>
    <m/>
    <m/>
    <m/>
    <m/>
  </r>
  <r>
    <s v="Wolf, E. J., Logue, M. W., Hayes, J. P., Sadeh, N., Schichman, S. A., Stone, A., … Miller, M. W. (2016). Accelerated DNA methylation age: Associations with PTSD and neural integrity. Psychoneuroendocrinology, 63, 155–162. Journal Article, Research Support, N.I.H., Extramural, Research Support, U.S. Gov’t, Non-P.H.S. http://doi.org/10.1016/j.psyneuen.2015.09.020"/>
    <n v="26447678"/>
    <n v="1"/>
    <m/>
    <m/>
    <n v="1"/>
    <m/>
    <n v="1"/>
    <x v="115"/>
    <x v="13"/>
    <x v="0"/>
    <n v="1"/>
    <x v="104"/>
    <s v="imaging?"/>
    <s v="DNA metilatie"/>
    <m/>
    <m/>
    <m/>
    <m/>
    <m/>
    <m/>
    <m/>
    <m/>
    <m/>
    <m/>
    <m/>
    <m/>
    <m/>
    <m/>
    <m/>
    <m/>
    <m/>
  </r>
  <r>
    <s v="Galletly, C. A., McFarlane, A. C., &amp; Clark, R. (2008). Differentiating cortical patterns of cognitive dysfunction in schizophrenia and posttraumatic stress disorder. Psychiatry Research, 159(1–2), 196–206. Comparative Study, Journal Article, Research Support, Non-U.S. Gov’t. http://doi.org/10.1016/j.psychres.2007.04.001"/>
    <n v="18423610"/>
    <n v="1"/>
    <m/>
    <m/>
    <n v="1"/>
    <m/>
    <n v="1"/>
    <x v="116"/>
    <x v="40"/>
    <x v="55"/>
    <n v="0"/>
    <x v="106"/>
    <s v="eeg"/>
    <m/>
    <m/>
    <m/>
    <m/>
    <m/>
    <m/>
    <m/>
    <m/>
    <m/>
    <m/>
    <m/>
    <m/>
    <m/>
    <m/>
    <m/>
    <m/>
    <m/>
    <m/>
  </r>
  <r>
    <s v="McDermott, T. J., Badura-Brack, A. S., Becker, K. M., Ryan, T. J., Bar-Haim, Y., Pine, D. S., … Wilson, T. W. (2016). Attention training improves aberrant neural dynamics during working memory processing in veterans with PTSD. Cognitive, Affective &amp; Behavioral Neuroscience. JOURNAL ARTICLE. http://doi.org/10.3758/s13415-016-0459-7"/>
    <n v="27722837"/>
    <n v="1"/>
    <m/>
    <m/>
    <n v="1"/>
    <m/>
    <n v="1"/>
    <x v="117"/>
    <x v="13"/>
    <x v="5"/>
    <n v="1"/>
    <x v="104"/>
    <s v="meg"/>
    <m/>
    <m/>
    <s v="invleod attention training"/>
    <m/>
    <m/>
    <m/>
    <m/>
    <m/>
    <m/>
    <m/>
    <m/>
    <m/>
    <m/>
    <m/>
    <m/>
    <m/>
    <m/>
    <m/>
  </r>
  <r>
    <s v="McDermott, T. J., Badura-Brack, A. S., Becker, K. M., Ryan, T. J., Khanna, M. M., Heinrichs-Graham, E., &amp; Wilson, T. W. (2016). Male veterans with PTSD exhibit aberrant neural dynamics during working memory processing: an MEG study. Journal of Psychiatry &amp; Neuroscience : JPN, 41(4), 251–260. Journal Article."/>
    <n v="26645740"/>
    <n v="1"/>
    <m/>
    <m/>
    <n v="1"/>
    <m/>
    <n v="1"/>
    <x v="117"/>
    <x v="13"/>
    <x v="5"/>
    <n v="1"/>
    <x v="104"/>
    <s v="meg"/>
    <m/>
    <m/>
    <s v="invleod attention training"/>
    <m/>
    <m/>
    <m/>
    <m/>
    <m/>
    <m/>
    <m/>
    <m/>
    <m/>
    <m/>
    <m/>
    <m/>
    <m/>
    <m/>
    <m/>
  </r>
  <r>
    <s v="Honzel, N., Justus, T., &amp; Swick, D. (2014). Posttraumatic stress disorder is associated with limited executive resources in a working memory task. Cognitive, Affective &amp; Behavioral Neuroscience, 14(2), 792–804. Journal Article, Research Support, U.S. Gov’t, Non-P.H.S. http://doi.org/10.3758/s13415-013-0219-x"/>
    <n v="24165904"/>
    <n v="1"/>
    <m/>
    <m/>
    <n v="1"/>
    <m/>
    <n v="1"/>
    <x v="118"/>
    <x v="41"/>
    <x v="45"/>
    <n v="0"/>
    <x v="107"/>
    <s v="eeg?"/>
    <m/>
    <m/>
    <m/>
    <m/>
    <m/>
    <m/>
    <m/>
    <m/>
    <m/>
    <m/>
    <m/>
    <m/>
    <m/>
    <m/>
    <m/>
    <m/>
    <m/>
    <m/>
  </r>
  <r>
    <s v="Shandera-Ochsner, A. L., Berry, D. T. R., Harp, J. P., Edmundson, M., Graue, L. O., Roach, A., &amp; High, W. M. J. (2013). Neuropsychological effects of self-reported deployment-related mild TBI and current PTSD in OIF/OEF veterans. The Clinical Neuropsychologist, 27(6), 881–907. Journal Article, Research Support, U.S. Gov’t, Non-P.H.S. http://doi.org/10.1080/13854046.2013.802017"/>
    <n v="23755991"/>
    <n v="1"/>
    <m/>
    <m/>
    <n v="1"/>
    <m/>
    <n v="1"/>
    <x v="119"/>
    <x v="42"/>
    <x v="19"/>
    <n v="1"/>
    <x v="108"/>
    <m/>
    <m/>
    <m/>
    <m/>
    <m/>
    <m/>
    <m/>
    <m/>
    <m/>
    <m/>
    <m/>
    <m/>
    <m/>
    <m/>
    <m/>
    <m/>
    <m/>
    <m/>
    <m/>
  </r>
  <r>
    <s v="Kolassa, I.-T., Eckart, C., Ruf, M., Neuner, F., de Quervain, D. J., &amp; Elbert, T. (2007). Lack of cortisol response in patients with posttraumatic stress disorder (PTSD) undergoing a diagnostic interview. BMC Psychiatry, 7, 54. Clinical Trial, Journal Article, Research Support, Non-U.S. Gov’t. http://doi.org/10.1186/1471-244X-7-54"/>
    <n v="17916253"/>
    <n v="1"/>
    <m/>
    <m/>
    <n v="1"/>
    <m/>
    <n v="1"/>
    <x v="120"/>
    <x v="5"/>
    <x v="35"/>
    <n v="0"/>
    <x v="109"/>
    <s v="-"/>
    <s v="cortisol"/>
    <m/>
    <m/>
    <m/>
    <m/>
    <m/>
    <m/>
    <m/>
    <m/>
    <m/>
    <m/>
    <m/>
    <m/>
    <m/>
    <m/>
    <m/>
    <m/>
    <m/>
  </r>
  <r>
    <s v="Newsome, M. R., Durgerian, S., Mourany, L., Scheibel, R. S., Lowe, M. J., Beall, E. B., … Rao, S. M. (2015). Disruption of caudate working memory activation in chronic blast-related traumatic brain injury. NeuroImage. Clinical, 8, 543–553. Journal Article, Research Support, U.S. Gov’t, Non-P.H.S. http://doi.org/10.1016/j.nicl.2015.04.024"/>
    <n v="26110112"/>
    <n v="1"/>
    <m/>
    <s v="idem"/>
    <n v="1"/>
    <s v="idem"/>
    <n v="0"/>
    <x v="120"/>
    <x v="13"/>
    <x v="38"/>
    <n v="1"/>
    <x v="5"/>
    <s v="fmri"/>
    <m/>
    <m/>
    <s v="no ptsd"/>
    <m/>
    <m/>
    <m/>
    <m/>
    <m/>
    <m/>
    <m/>
    <m/>
    <m/>
    <m/>
    <m/>
    <m/>
    <m/>
    <m/>
    <m/>
  </r>
  <r>
    <s v="Anastasides, N., Beck, K. D., Pang, K. C. H., Servatius, R. J., Gilbertson, M. W., Orr, S. P., &amp; Myers, C. E. (2015). Increased generalization of learned associations is related to re-experiencing symptoms in veterans with symptoms of post-traumatic stress. Stress (Amsterdam, Netherlands), 18(4), 484–489. Journal Article, Research Support, N.I.H., Extramural, Research Support, U.S. Gov’t, Non-P.H.S. http://doi.org/10.3109/10253890.2015.1053450"/>
    <n v="26372003"/>
    <n v="1"/>
    <m/>
    <m/>
    <n v="1"/>
    <m/>
    <n v="1"/>
    <x v="120"/>
    <x v="20"/>
    <x v="0"/>
    <n v="1"/>
    <x v="110"/>
    <s v="no?"/>
    <s v="no?"/>
    <m/>
    <m/>
    <m/>
    <m/>
    <m/>
    <m/>
    <m/>
    <m/>
    <m/>
    <m/>
    <m/>
    <m/>
    <m/>
    <m/>
    <m/>
    <m/>
    <m/>
  </r>
  <r>
    <s v="Neipert, L., Pastorek, N. J., Troyanskaya, M., Scheibel, R. S., Petersen, N. J., &amp; Levin, H. S. (2014). Effect of clinical characteristics on cognitive performance in service members and veterans with histories of blast-related mild traumatic brain injury. Brain Injury, 28(13–14), 1667–1674. Journal Article, Research Support, U.S. Gov’t, Non-P.H.S., Validation Studies. http://doi.org/10.3109/02699052.2014.947623"/>
    <n v="25180439"/>
    <n v="1"/>
    <s v="is een nieuw concept… dat er in de anders amples mogelijk ook mtbi was… check net als ELS de full teksts.. Include als er analyses zijn in relatie met PTSD.  Geldt mogelijk ook voor andere PTSD samples. "/>
    <s v="Worden de resultaten dan niet te heterogeen?"/>
    <n v="1"/>
    <s v="tja de vraag is of je de paar MTBI studies niet mee moet nemen. In iedergeval kijken lijkt mij, want verwacht wel comorbide PTSD"/>
    <n v="0"/>
    <x v="120"/>
    <x v="43"/>
    <x v="38"/>
    <n v="1"/>
    <x v="111"/>
    <s v="-"/>
    <m/>
    <m/>
    <s v="wel ptsd gemeten"/>
    <m/>
    <m/>
    <m/>
    <m/>
    <m/>
    <m/>
    <m/>
    <m/>
    <m/>
    <m/>
    <m/>
    <m/>
    <m/>
    <m/>
    <m/>
  </r>
  <r>
    <s v="Morey, R. A., Petty, C. M., Cooper, D. A., Labar, K. S., &amp; McCarthy, G. (2008). Neural systems for executive and emotional processing are modulated by symptoms of posttraumatic stress disorder in Iraq War veterans. Psychiatry Research, 162(1), 59–72. Journal Article, Research Support, N.I.H., Extramural, Research Support, Non-U.S. Gov’t, Research Support, U.S. Gov’t, Non-P.H.S. http://doi.org/10.1016/j.pscychresns.2007.07.007"/>
    <n v="18093809"/>
    <n v="1"/>
    <m/>
    <m/>
    <n v="1"/>
    <m/>
    <n v="1"/>
    <x v="120"/>
    <x v="44"/>
    <x v="41"/>
    <n v="1"/>
    <x v="112"/>
    <s v="fmri"/>
    <m/>
    <m/>
    <s v="symptom-provocation paradigms"/>
    <m/>
    <m/>
    <m/>
    <m/>
    <m/>
    <m/>
    <m/>
    <m/>
    <m/>
    <m/>
    <m/>
    <m/>
    <m/>
    <m/>
    <m/>
  </r>
  <r>
    <s v="MacNamara, A., Post, D., Kennedy, A. E., Rabinak, C. A., &amp; Phan, K. L. (2013). Electrocortical processing of social signals of threat in combat-related post-traumatic stress disorder. Biological Psychology, 94(2), 441–449. Journal Article, Research Support, U.S. Gov’t, Non-P.H.S. http://doi.org/10.1016/j.biopsycho.2013.08.009"/>
    <n v="24025760"/>
    <n v="1"/>
    <m/>
    <m/>
    <n v="1"/>
    <m/>
    <n v="1"/>
    <x v="120"/>
    <x v="22"/>
    <x v="0"/>
    <n v="1"/>
    <x v="113"/>
    <s v="eeg"/>
    <m/>
    <m/>
    <m/>
    <m/>
    <m/>
    <m/>
    <m/>
    <m/>
    <m/>
    <m/>
    <m/>
    <m/>
    <m/>
    <m/>
    <m/>
    <m/>
    <m/>
    <m/>
  </r>
  <r>
    <s v="Levin, H. S., Wilde, E., Troyanskaya, M., Petersen, N. J., Scheibel, R., Newsome, M., … Li, X. (2010). Diffusion tensor imaging of mild to moderate blast-related traumatic brain injury and its sequelae. Journal of Neurotrauma, 27(4), 683–694. Journal Article, Research Support, Non-U.S. Gov’t, Research Support, U.S. Gov’t, Non-P.H.S. http://doi.org/10.1089/neu.2009.1073"/>
    <n v="20088647"/>
    <n v="1"/>
    <m/>
    <m/>
    <n v="1"/>
    <m/>
    <n v="1"/>
    <x v="120"/>
    <x v="0"/>
    <x v="56"/>
    <n v="1"/>
    <x v="0"/>
    <s v="witte matter"/>
    <m/>
    <m/>
    <s v="wel ptsd symptoms gemeten.. Nier groepen verdeeld."/>
    <m/>
    <m/>
    <m/>
    <m/>
    <m/>
    <m/>
    <m/>
    <m/>
    <m/>
    <m/>
    <m/>
    <m/>
    <m/>
    <m/>
    <m/>
  </r>
  <r>
    <s v="Podell, K., Gifford, K., Bougakov, D., &amp; Goldberg, E. (2010). Neuropsychological assessment in traumatic brain injury. The Psychiatric Clinics of North America, 33(4), 855–876. Journal Article, Review. http://doi.org/10.1016/j.psc.2010.08.003"/>
    <n v="21093682"/>
    <s v="[full tekst requested on research gate]"/>
    <s v="idem"/>
    <s v="idem"/>
    <n v="1"/>
    <s v="even naar overlap met PTSD kijken"/>
    <n v="0"/>
    <x v="120"/>
    <x v="0"/>
    <x v="12"/>
    <m/>
    <x v="5"/>
    <m/>
    <m/>
    <m/>
    <s v="no ptsd"/>
    <m/>
    <m/>
    <m/>
    <m/>
    <m/>
    <m/>
    <m/>
    <m/>
    <m/>
    <m/>
    <m/>
    <m/>
    <m/>
    <m/>
    <m/>
  </r>
  <r>
    <s v="Woods, D. L., Yund, E. W., Wyma, J. M., Ruff, R., &amp; Herron, T. J. (2015). Measuring executive function in control subjects and TBI patients with question completion time (QCT). Frontiers in Human Neuroscience, 9, 288. Journal Article. http://doi.org/10.3389/fnhum.2015.00288"/>
    <n v="26042021"/>
    <n v="1"/>
    <s v="idem"/>
    <s v="tbi, zie boven"/>
    <n v="1"/>
    <s v="overlap met PTSD?"/>
    <n v="0"/>
    <x v="120"/>
    <x v="0"/>
    <x v="12"/>
    <m/>
    <x v="5"/>
    <m/>
    <m/>
    <m/>
    <s v="no cognitive task in psd patientes"/>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125" firstHeaderRow="1" firstDataRow="1" firstDataCol="1"/>
  <pivotFields count="32">
    <pivotField showAll="0"/>
    <pivotField showAll="0"/>
    <pivotField showAll="0"/>
    <pivotField showAll="0"/>
    <pivotField showAll="0"/>
    <pivotField showAll="0"/>
    <pivotField showAll="0"/>
    <pivotField showAll="0"/>
    <pivotField axis="axisRow"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t="grand">
      <x/>
    </i>
  </rowItems>
  <colItems count="1">
    <i/>
  </colItems>
  <formats count="21">
    <format dxfId="20">
      <pivotArea dataOnly="0" labelOnly="1" fieldPosition="0">
        <references count="1">
          <reference field="8" count="14">
            <x v="5"/>
            <x v="6"/>
            <x v="7"/>
            <x v="8"/>
            <x v="9"/>
            <x v="10"/>
            <x v="11"/>
            <x v="12"/>
            <x v="13"/>
            <x v="14"/>
            <x v="15"/>
            <x v="16"/>
            <x v="17"/>
            <x v="18"/>
          </reference>
        </references>
      </pivotArea>
    </format>
    <format dxfId="19">
      <pivotArea dataOnly="0" labelOnly="1" fieldPosition="0">
        <references count="1">
          <reference field="8" count="1">
            <x v="1"/>
          </reference>
        </references>
      </pivotArea>
    </format>
    <format dxfId="18">
      <pivotArea dataOnly="0" labelOnly="1" fieldPosition="0">
        <references count="1">
          <reference field="8" count="1">
            <x v="19"/>
          </reference>
        </references>
      </pivotArea>
    </format>
    <format dxfId="17">
      <pivotArea dataOnly="0" labelOnly="1" fieldPosition="0">
        <references count="1">
          <reference field="8" count="1">
            <x v="24"/>
          </reference>
        </references>
      </pivotArea>
    </format>
    <format dxfId="16">
      <pivotArea dataOnly="0" labelOnly="1" fieldPosition="0">
        <references count="1">
          <reference field="8" count="1">
            <x v="35"/>
          </reference>
        </references>
      </pivotArea>
    </format>
    <format dxfId="15">
      <pivotArea dataOnly="0" labelOnly="1" fieldPosition="0">
        <references count="1">
          <reference field="8" count="1">
            <x v="56"/>
          </reference>
        </references>
      </pivotArea>
    </format>
    <format dxfId="14">
      <pivotArea dataOnly="0" labelOnly="1" fieldPosition="0">
        <references count="1">
          <reference field="8" count="1">
            <x v="59"/>
          </reference>
        </references>
      </pivotArea>
    </format>
    <format dxfId="13">
      <pivotArea dataOnly="0" labelOnly="1" fieldPosition="0">
        <references count="1">
          <reference field="8" count="1">
            <x v="62"/>
          </reference>
        </references>
      </pivotArea>
    </format>
    <format dxfId="12">
      <pivotArea dataOnly="0" labelOnly="1" fieldPosition="0">
        <references count="1">
          <reference field="8" count="1">
            <x v="63"/>
          </reference>
        </references>
      </pivotArea>
    </format>
    <format dxfId="11">
      <pivotArea dataOnly="0" labelOnly="1" fieldPosition="0">
        <references count="1">
          <reference field="8" count="1">
            <x v="76"/>
          </reference>
        </references>
      </pivotArea>
    </format>
    <format dxfId="10">
      <pivotArea dataOnly="0" labelOnly="1" fieldPosition="0">
        <references count="1">
          <reference field="8" count="1">
            <x v="79"/>
          </reference>
        </references>
      </pivotArea>
    </format>
    <format dxfId="9">
      <pivotArea dataOnly="0" labelOnly="1" fieldPosition="0">
        <references count="1">
          <reference field="8" count="1">
            <x v="80"/>
          </reference>
        </references>
      </pivotArea>
    </format>
    <format dxfId="8">
      <pivotArea dataOnly="0" labelOnly="1" fieldPosition="0">
        <references count="1">
          <reference field="8" count="1">
            <x v="82"/>
          </reference>
        </references>
      </pivotArea>
    </format>
    <format dxfId="7">
      <pivotArea dataOnly="0" labelOnly="1" fieldPosition="0">
        <references count="1">
          <reference field="8" count="1">
            <x v="90"/>
          </reference>
        </references>
      </pivotArea>
    </format>
    <format dxfId="6">
      <pivotArea dataOnly="0" labelOnly="1" fieldPosition="0">
        <references count="1">
          <reference field="8" count="1">
            <x v="112"/>
          </reference>
        </references>
      </pivotArea>
    </format>
    <format dxfId="5">
      <pivotArea dataOnly="0" labelOnly="1" fieldPosition="0">
        <references count="1">
          <reference field="8" count="1">
            <x v="113"/>
          </reference>
        </references>
      </pivotArea>
    </format>
    <format dxfId="4">
      <pivotArea dataOnly="0" labelOnly="1" fieldPosition="0">
        <references count="1">
          <reference field="8" count="1">
            <x v="3"/>
          </reference>
        </references>
      </pivotArea>
    </format>
    <format dxfId="3">
      <pivotArea dataOnly="0" labelOnly="1" fieldPosition="0">
        <references count="1">
          <reference field="8" count="1">
            <x v="30"/>
          </reference>
        </references>
      </pivotArea>
    </format>
    <format dxfId="2">
      <pivotArea dataOnly="0" labelOnly="1" fieldPosition="0">
        <references count="1">
          <reference field="8" count="1">
            <x v="46"/>
          </reference>
        </references>
      </pivotArea>
    </format>
    <format dxfId="1">
      <pivotArea dataOnly="0" labelOnly="1" fieldPosition="0">
        <references count="1">
          <reference field="8" count="1">
            <x v="47"/>
          </reference>
        </references>
      </pivotArea>
    </format>
    <format dxfId="0">
      <pivotArea dataOnly="0" labelOnly="1" fieldPosition="0">
        <references count="1">
          <reference field="8" count="1">
            <x v="48"/>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49" firstHeaderRow="1" firstDataRow="1" firstDataCol="1"/>
  <pivotFields count="32">
    <pivotField showAll="0"/>
    <pivotField showAll="0"/>
    <pivotField showAll="0"/>
    <pivotField showAll="0"/>
    <pivotField showAll="0"/>
    <pivotField showAll="0"/>
    <pivotField showAll="0"/>
    <pivotField showAll="0"/>
    <pivotField showAll="0"/>
    <pivotField axis="axisRow" showAll="0">
      <items count="46">
        <item x="31"/>
        <item x="18"/>
        <item x="16"/>
        <item x="5"/>
        <item x="39"/>
        <item x="30"/>
        <item x="1"/>
        <item x="19"/>
        <item x="4"/>
        <item x="28"/>
        <item x="8"/>
        <item x="10"/>
        <item x="26"/>
        <item x="27"/>
        <item x="25"/>
        <item x="7"/>
        <item x="24"/>
        <item x="15"/>
        <item x="42"/>
        <item x="33"/>
        <item x="17"/>
        <item x="34"/>
        <item x="2"/>
        <item x="29"/>
        <item x="14"/>
        <item x="13"/>
        <item x="20"/>
        <item x="43"/>
        <item x="41"/>
        <item x="6"/>
        <item x="11"/>
        <item x="9"/>
        <item x="38"/>
        <item x="35"/>
        <item x="40"/>
        <item x="44"/>
        <item x="23"/>
        <item x="3"/>
        <item x="21"/>
        <item x="37"/>
        <item x="36"/>
        <item x="32"/>
        <item x="22"/>
        <item x="12"/>
        <item x="0"/>
        <item t="default"/>
      </items>
    </pivotField>
    <pivotField showAll="0"/>
    <pivotField showAll="0"/>
    <pivotField dataField="1" showAll="0">
      <items count="115">
        <item x="14"/>
        <item x="90"/>
        <item x="95"/>
        <item x="77"/>
        <item x="0"/>
        <item x="66"/>
        <item x="75"/>
        <item x="2"/>
        <item x="93"/>
        <item x="32"/>
        <item x="41"/>
        <item x="3"/>
        <item x="11"/>
        <item x="17"/>
        <item x="18"/>
        <item x="51"/>
        <item x="85"/>
        <item x="92"/>
        <item x="64"/>
        <item x="31"/>
        <item x="62"/>
        <item x="25"/>
        <item x="10"/>
        <item x="80"/>
        <item x="81"/>
        <item x="13"/>
        <item x="67"/>
        <item x="109"/>
        <item x="12"/>
        <item x="110"/>
        <item x="82"/>
        <item x="33"/>
        <item x="34"/>
        <item x="113"/>
        <item x="52"/>
        <item x="39"/>
        <item x="44"/>
        <item x="72"/>
        <item x="112"/>
        <item x="4"/>
        <item x="46"/>
        <item x="47"/>
        <item x="49"/>
        <item x="27"/>
        <item x="56"/>
        <item x="105"/>
        <item x="21"/>
        <item x="26"/>
        <item x="43"/>
        <item x="22"/>
        <item x="70"/>
        <item x="50"/>
        <item x="16"/>
        <item x="74"/>
        <item x="53"/>
        <item x="111"/>
        <item x="30"/>
        <item x="89"/>
        <item x="1"/>
        <item x="76"/>
        <item x="24"/>
        <item x="98"/>
        <item x="71"/>
        <item x="68"/>
        <item x="28"/>
        <item x="61"/>
        <item x="15"/>
        <item x="108"/>
        <item x="40"/>
        <item x="6"/>
        <item x="48"/>
        <item x="84"/>
        <item x="23"/>
        <item x="88"/>
        <item x="86"/>
        <item x="87"/>
        <item x="91"/>
        <item x="38"/>
        <item x="63"/>
        <item x="101"/>
        <item x="96"/>
        <item x="42"/>
        <item x="83"/>
        <item x="36"/>
        <item x="9"/>
        <item x="37"/>
        <item x="97"/>
        <item x="107"/>
        <item x="29"/>
        <item x="55"/>
        <item x="54"/>
        <item x="35"/>
        <item x="8"/>
        <item x="103"/>
        <item x="59"/>
        <item x="60"/>
        <item x="73"/>
        <item x="100"/>
        <item x="99"/>
        <item x="45"/>
        <item x="102"/>
        <item x="58"/>
        <item x="7"/>
        <item x="19"/>
        <item x="20"/>
        <item x="78"/>
        <item x="65"/>
        <item x="57"/>
        <item x="79"/>
        <item x="69"/>
        <item x="94"/>
        <item x="104"/>
        <item x="106"/>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Count of Task?" fld="12" subtotal="count"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T179" totalsRowShown="0">
  <autoFilter ref="A1:T179" xr:uid="{00000000-0009-0000-0100-000002000000}"/>
  <sortState ref="A2:T179">
    <sortCondition ref="G1:G179"/>
  </sortState>
  <tableColumns count="20">
    <tableColumn id="10" xr3:uid="{00000000-0010-0000-0000-00000A000000}" name="Reference"/>
    <tableColumn id="1" xr3:uid="{00000000-0010-0000-0000-000001000000}" name="PMID "/>
    <tableColumn id="19" xr3:uid="{00000000-0010-0000-0000-000013000000}" name="PDF gedownload + in mendeley"/>
    <tableColumn id="20" xr3:uid="{00000000-0010-0000-0000-000014000000}" name="Exclusie reden" dataDxfId="1132"/>
    <tableColumn id="18" xr3:uid="{00000000-0010-0000-0000-000012000000}" name="Antwoorden overleg overeenstemming 7.11.16" dataDxfId="1131"/>
    <tableColumn id="17" xr3:uid="{00000000-0010-0000-0000-000011000000}" name="Vragen Milou n.a.v. results EG" dataDxfId="1130"/>
    <tableColumn id="15" xr3:uid="{00000000-0010-0000-0000-00000F000000}" name="AbstractScreening_EG (1=include; 0 = exclude)"/>
    <tableColumn id="16" xr3:uid="{00000000-0010-0000-0000-000010000000}" name="Notes_EG"/>
    <tableColumn id="2" xr3:uid="{00000000-0010-0000-0000-000002000000}" name="AbstractScreening_MS (1=include; 0 = exclude)"/>
    <tableColumn id="3" xr3:uid="{00000000-0010-0000-0000-000003000000}" name="Cognitive Measure"/>
    <tableColumn id="4" xr3:uid="{00000000-0010-0000-0000-000004000000}" name="RDoC cluster? "/>
    <tableColumn id="11" xr3:uid="{00000000-0010-0000-0000-00000B000000}" name="Animals"/>
    <tableColumn id="5" xr3:uid="{00000000-0010-0000-0000-000005000000}" name="PTSD Model?"/>
    <tableColumn id="13" xr3:uid="{00000000-0010-0000-0000-00000D000000}" name="Gender"/>
    <tableColumn id="12" xr3:uid="{00000000-0010-0000-0000-00000C000000}" name="Dark/light"/>
    <tableColumn id="6" xr3:uid="{00000000-0010-0000-0000-000006000000}" name="Task?"/>
    <tableColumn id="7" xr3:uid="{00000000-0010-0000-0000-000007000000}" name="Brain measures?"/>
    <tableColumn id="8" xr3:uid="{00000000-0010-0000-0000-000008000000}" name="Fysiological measures?"/>
    <tableColumn id="14" xr3:uid="{00000000-0010-0000-0000-00000E000000}" name="Intervention?"/>
    <tableColumn id="9" xr3:uid="{00000000-0010-0000-0000-000009000000}" name="Notes"/>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Q293" totalsRowShown="0" headerRowDxfId="1129">
  <autoFilter ref="A1:Q293" xr:uid="{00000000-0009-0000-0100-000001000000}"/>
  <sortState ref="A2:Q293">
    <sortCondition ref="F1:F293"/>
  </sortState>
  <tableColumns count="17">
    <tableColumn id="13" xr3:uid="{00000000-0010-0000-0100-00000D000000}" name="Reference"/>
    <tableColumn id="1" xr3:uid="{00000000-0010-0000-0100-000001000000}" name="PMID (op alfabet)"/>
    <tableColumn id="17" xr3:uid="{00000000-0010-0000-0100-000011000000}" name="PDF gedownload + in mendeley"/>
    <tableColumn id="16" xr3:uid="{00000000-0010-0000-0100-000010000000}" name="Antwoorden overleg overeenstemming 7.11.16" dataDxfId="1128"/>
    <tableColumn id="15" xr3:uid="{00000000-0010-0000-0100-00000F000000}" name="Vragen Milou n.a.v. results EG" dataDxfId="1127"/>
    <tableColumn id="12" xr3:uid="{00000000-0010-0000-0100-00000C000000}" name="AbstractScreening_EG (1=include; 0 = exclude)"/>
    <tableColumn id="14" xr3:uid="{00000000-0010-0000-0100-00000E000000}" name="Notes_EG"/>
    <tableColumn id="2" xr3:uid="{00000000-0010-0000-0100-000002000000}" name="AbstractScreening_MS (1=include; 0 = exclude)"/>
    <tableColumn id="3" xr3:uid="{00000000-0010-0000-0100-000003000000}" name="Cognitive Measure"/>
    <tableColumn id="4" xr3:uid="{00000000-0010-0000-0100-000004000000}" name="RDoC (sub)construct "/>
    <tableColumn id="5" xr3:uid="{00000000-0010-0000-0100-000005000000}" name="PTSD subjects?"/>
    <tableColumn id="6" xr3:uid="{00000000-0010-0000-0100-000006000000}" name="military population"/>
    <tableColumn id="7" xr3:uid="{00000000-0010-0000-0100-000007000000}" name="Task?"/>
    <tableColumn id="8" xr3:uid="{00000000-0010-0000-0100-000008000000}" name="Brain measures?"/>
    <tableColumn id="9" xr3:uid="{00000000-0010-0000-0100-000009000000}" name="Fysiological measures?"/>
    <tableColumn id="11" xr3:uid="{00000000-0010-0000-0100-00000B000000}" name="Psychological measures?"/>
    <tableColumn id="10" xr3:uid="{00000000-0010-0000-0100-00000A000000}" name="Notes"/>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A1:V265" totalsRowShown="0" headerRowDxfId="1126" dataDxfId="1125" tableBorderDxfId="1124">
  <autoFilter ref="A1:V265" xr:uid="{00000000-0009-0000-0100-000006000000}"/>
  <sortState ref="A2:V265">
    <sortCondition ref="I1:I265"/>
  </sortState>
  <tableColumns count="22">
    <tableColumn id="1" xr3:uid="{00000000-0010-0000-0200-000001000000}" name="Reference" dataDxfId="1123" totalsRowDxfId="1122"/>
    <tableColumn id="2" xr3:uid="{00000000-0010-0000-0200-000002000000}" name="PMID " dataDxfId="1121" totalsRowDxfId="1120"/>
    <tableColumn id="3" xr3:uid="{00000000-0010-0000-0200-000003000000}" name="PDF gedownload + in mendeley" dataDxfId="1119"/>
    <tableColumn id="4" xr3:uid="{00000000-0010-0000-0200-000004000000}" name="Antwoorden overleg overeenstemming 7.11.16" dataDxfId="1118" totalsRowDxfId="1117"/>
    <tableColumn id="5" xr3:uid="{00000000-0010-0000-0200-000005000000}" name="Vragen Milou n.a.v. results EG" dataDxfId="1116" totalsRowDxfId="1115"/>
    <tableColumn id="6" xr3:uid="{00000000-0010-0000-0200-000006000000}" name="AbstractScreening_EG (1=include; 0 = exclude)" dataDxfId="1114" totalsRowDxfId="1113"/>
    <tableColumn id="7" xr3:uid="{00000000-0010-0000-0200-000007000000}" name="Notes_EG" dataDxfId="1112" totalsRowDxfId="1111"/>
    <tableColumn id="8" xr3:uid="{00000000-0010-0000-0200-000008000000}" name="AbstractScreening_MS (1=include; 0 = exclude)" dataDxfId="1110" totalsRowDxfId="1109"/>
    <tableColumn id="9" xr3:uid="{00000000-0010-0000-0200-000009000000}" name="Human (1) of Animal (2)" dataDxfId="1108" totalsRowDxfId="1107"/>
    <tableColumn id="10" xr3:uid="{00000000-0010-0000-0200-00000A000000}" name="Cognitive Measure" dataDxfId="1106" totalsRowDxfId="1105"/>
    <tableColumn id="11" xr3:uid="{00000000-0010-0000-0200-00000B000000}" name="RDoC (sub)construct " dataDxfId="1104" totalsRowDxfId="1103"/>
    <tableColumn id="12" xr3:uid="{00000000-0010-0000-0200-00000C000000}" name="Subjects_background (bv military/civilian/animalstrain/etc) 1= active duty military; 2 = veteran; 3 = civilian 4=rat; 5=mice" dataDxfId="1102" totalsRowDxfId="1101"/>
    <tableColumn id="13" xr3:uid="{00000000-0010-0000-0200-00000D000000}" name="military population(1)" dataDxfId="1100" totalsRowDxfId="1099"/>
    <tableColumn id="14" xr3:uid="{00000000-0010-0000-0200-00000E000000}" name="PTSD Model?" dataDxfId="1098" totalsRowDxfId="1097"/>
    <tableColumn id="15" xr3:uid="{00000000-0010-0000-0200-00000F000000}" name="Gender" dataDxfId="1096" totalsRowDxfId="1095"/>
    <tableColumn id="16" xr3:uid="{00000000-0010-0000-0200-000010000000}" name="Dark/light" dataDxfId="1094" totalsRowDxfId="1093"/>
    <tableColumn id="17" xr3:uid="{00000000-0010-0000-0200-000011000000}" name="Task?" dataDxfId="1092" totalsRowDxfId="1091"/>
    <tableColumn id="18" xr3:uid="{00000000-0010-0000-0200-000012000000}" name="Brain measures?" dataDxfId="1090" totalsRowDxfId="1089"/>
    <tableColumn id="19" xr3:uid="{00000000-0010-0000-0200-000013000000}" name="Fysiological measures?" dataDxfId="1088" totalsRowDxfId="1087"/>
    <tableColumn id="20" xr3:uid="{00000000-0010-0000-0200-000014000000}" name="Psychological measures?" dataDxfId="1086" totalsRowDxfId="1085"/>
    <tableColumn id="21" xr3:uid="{00000000-0010-0000-0200-000015000000}" name="Intervention?" dataDxfId="1084" totalsRowDxfId="1083"/>
    <tableColumn id="22" xr3:uid="{00000000-0010-0000-0200-000016000000}" name="Notes_abstract screening" dataDxfId="1082" totalsRowDxfId="1081"/>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664" displayName="Table664" ref="A1:EK328" totalsRowShown="0" headerRowDxfId="1080" dataDxfId="1079" tableBorderDxfId="1078">
  <autoFilter ref="A1:EK328" xr:uid="{00000000-0009-0000-0100-000003000000}"/>
  <sortState ref="A2:AV265">
    <sortCondition ref="AA4:AA268"/>
  </sortState>
  <tableColumns count="141">
    <tableColumn id="1" xr3:uid="{00000000-0010-0000-0300-000001000000}" name="Reference" dataDxfId="1077" totalsRowDxfId="1076"/>
    <tableColumn id="138" xr3:uid="{00000000-0010-0000-0300-00008A000000}" name="# (nummers voor unieke artikelen op volgorde v screening)2" dataDxfId="1075" totalsRowDxfId="1074"/>
    <tableColumn id="42" xr3:uid="{00000000-0010-0000-0300-00002A000000}" name="First Author" dataDxfId="1073" totalsRowDxfId="1072"/>
    <tableColumn id="43" xr3:uid="{00000000-0010-0000-0300-00002B000000}" name="Authors" dataDxfId="1071" totalsRowDxfId="1070"/>
    <tableColumn id="48" xr3:uid="{00000000-0010-0000-0300-000030000000}" name="Publication Year" dataDxfId="1069"/>
    <tableColumn id="2" xr3:uid="{00000000-0010-0000-0300-000002000000}" name="PMID " dataDxfId="1068" totalsRowDxfId="1067"/>
    <tableColumn id="3" xr3:uid="{00000000-0010-0000-0300-000003000000}" name="PDF gedownload + in mendeley" dataDxfId="1066"/>
    <tableColumn id="4" xr3:uid="{00000000-0010-0000-0300-000004000000}" name="Antwoorden overleg overeenstemming 7.11.16" dataDxfId="1065" totalsRowDxfId="1064"/>
    <tableColumn id="5" xr3:uid="{00000000-0010-0000-0300-000005000000}" name="Vragen Milou n.a.v. results EG" dataDxfId="1063" totalsRowDxfId="1062"/>
    <tableColumn id="6" xr3:uid="{00000000-0010-0000-0300-000006000000}" name="AbstractScreening_EG (1=include; 0 = exclude)" dataDxfId="1061" totalsRowDxfId="1060"/>
    <tableColumn id="7" xr3:uid="{00000000-0010-0000-0300-000007000000}" name="Notes_EG" dataDxfId="1059" totalsRowDxfId="1058"/>
    <tableColumn id="8" xr3:uid="{00000000-0010-0000-0300-000008000000}" name="AbstractScreening_MS (1=include; 0 = exclude)" dataDxfId="1057" totalsRowDxfId="1056"/>
    <tableColumn id="9" xr3:uid="{00000000-0010-0000-0300-000009000000}" name="Human (1) of Animal (2)" dataDxfId="1055" totalsRowDxfId="1054"/>
    <tableColumn id="10" xr3:uid="{00000000-0010-0000-0300-00000A000000}" name="Cognitive Measure" dataDxfId="1053"/>
    <tableColumn id="11" xr3:uid="{00000000-0010-0000-0300-00000B000000}" name="RDoC (sub)construct " dataDxfId="1052"/>
    <tableColumn id="12" xr3:uid="{00000000-0010-0000-0300-00000C000000}" name="Subjects_background (bv military/civilian/animalstrain/etc) words" dataDxfId="1051"/>
    <tableColumn id="13" xr3:uid="{00000000-0010-0000-0300-00000D000000}" name="military population(1)" dataDxfId="1050"/>
    <tableColumn id="14" xr3:uid="{00000000-0010-0000-0300-00000E000000}" name="PTSD Model?" dataDxfId="1049"/>
    <tableColumn id="15" xr3:uid="{00000000-0010-0000-0300-00000F000000}" name="Gender" dataDxfId="1048"/>
    <tableColumn id="16" xr3:uid="{00000000-0010-0000-0300-000010000000}" name="Dark/light" dataDxfId="1047"/>
    <tableColumn id="17" xr3:uid="{00000000-0010-0000-0300-000011000000}" name="Task?" dataDxfId="1046"/>
    <tableColumn id="18" xr3:uid="{00000000-0010-0000-0300-000012000000}" name="Brain measures?" dataDxfId="1045"/>
    <tableColumn id="19" xr3:uid="{00000000-0010-0000-0300-000013000000}" name="Fysiological measures?" dataDxfId="1044"/>
    <tableColumn id="20" xr3:uid="{00000000-0010-0000-0300-000014000000}" name="Psychological measures?" dataDxfId="1043"/>
    <tableColumn id="21" xr3:uid="{00000000-0010-0000-0300-000015000000}" name="Intervention?" dataDxfId="1042"/>
    <tableColumn id="22" xr3:uid="{00000000-0010-0000-0300-000016000000}" name="Notes_abstract screening" dataDxfId="1041"/>
    <tableColumn id="23" xr3:uid="{00000000-0010-0000-0300-000017000000}" name="FINAL incl/excl" dataDxfId="1040" totalsRowDxfId="1039"/>
    <tableColumn id="24" xr3:uid="{00000000-0010-0000-0300-000018000000}" name="FINAL incl/excl_comment" dataDxfId="1038" totalsRowDxfId="1037"/>
    <tableColumn id="25" xr3:uid="{00000000-0010-0000-0300-000019000000}" name="Subjects_background (1= active duty military; 2 = veteran; 3 = civilian 4=rat; 5=mice)" dataDxfId="1036" totalsRowDxfId="1035"/>
    <tableColumn id="81" xr3:uid="{00000000-0010-0000-0300-000051000000}" name="NOTES MS during data extraction" dataDxfId="1034" totalsRowDxfId="1033"/>
    <tableColumn id="141" xr3:uid="{00000000-0010-0000-0300-00008D000000}" name="Data study dubbel in tabel? (0=nee; 1=ja, same subjects different task, 2=ja,different animals, 'same' task)" dataDxfId="1032"/>
    <tableColumn id="67" xr3:uid="{00000000-0010-0000-0300-000043000000}" name="Data from vehicl injected group?" dataDxfId="1031" totalsRowDxfId="1030"/>
    <tableColumn id="26" xr3:uid="{00000000-0010-0000-0300-00001A000000}" name="Subjects_n" dataDxfId="1029" totalsRowDxfId="1028"/>
    <tableColumn id="27" xr3:uid="{00000000-0010-0000-0300-00001B000000}" name="Subjects_n_ptsd" dataDxfId="1027" totalsRowDxfId="1026"/>
    <tableColumn id="28" xr3:uid="{00000000-0010-0000-0300-00001C000000}" name="Subjects_n_control" dataDxfId="1025" totalsRowDxfId="1024"/>
    <tableColumn id="29" xr3:uid="{00000000-0010-0000-0300-00001D000000}" name="Subjects_gender_ptsd (M = male; F = female; - = not reported)" dataDxfId="1023" totalsRowDxfId="1022"/>
    <tableColumn id="30" xr3:uid="{00000000-0010-0000-0300-00001E000000}" name="Subjects_gender_control (M = male; F = female; - = not reported)" dataDxfId="1021" totalsRowDxfId="1020"/>
    <tableColumn id="31" xr3:uid="{00000000-0010-0000-0300-00001F000000}" name="Subjects_m_Age_ptsd (- = not reported)" dataDxfId="1019" totalsRowDxfId="1018"/>
    <tableColumn id="32" xr3:uid="{00000000-0010-0000-0300-000020000000}" name="Subjects_sd_Age_ptsd (- = not reported)" dataDxfId="1017" totalsRowDxfId="1016"/>
    <tableColumn id="33" xr3:uid="{00000000-0010-0000-0300-000021000000}" name="Subjects_m_Age_control (- = not reported)" dataDxfId="1015" totalsRowDxfId="1014"/>
    <tableColumn id="34" xr3:uid="{00000000-0010-0000-0300-000022000000}" name="Subjects_sd_Age_control (- = not reported)" dataDxfId="1013" totalsRowDxfId="1012"/>
    <tableColumn id="35" xr3:uid="{00000000-0010-0000-0300-000023000000}" name="Subjects_trauma-type_OR_PTSD-model" dataDxfId="1011" totalsRowDxfId="1010"/>
    <tableColumn id="140" xr3:uid="{00000000-0010-0000-0300-00008C000000}" name="PTSD Model in Borghans etal.2015? (1=ja; - = na)" dataDxfId="1009" totalsRowDxfId="1008"/>
    <tableColumn id="142" xr3:uid="{00000000-0010-0000-0300-00008E000000}" name="Good model according to Flandreau etal. 2017? (1=ja; - = na)" dataDxfId="1007" totalsRowDxfId="1006"/>
    <tableColumn id="91" xr3:uid="{00000000-0010-0000-0300-00005B000000}" name="Controle Group" dataDxfId="1005" totalsRowDxfId="1004"/>
    <tableColumn id="106" xr3:uid="{00000000-0010-0000-0300-00006A000000}" name="Subjects_Strain_or_Population" dataDxfId="1003" totalsRowDxfId="1002"/>
    <tableColumn id="36" xr3:uid="{00000000-0010-0000-0300-000024000000}" name="Subjects_ptsd-measure" dataDxfId="1001" totalsRowDxfId="1000"/>
    <tableColumn id="38" xr3:uid="{00000000-0010-0000-0300-000026000000}" name="FEAR" dataDxfId="999"/>
    <tableColumn id="65" xr3:uid="{00000000-0010-0000-0300-000041000000}" name="AVOIDANCE" dataDxfId="998"/>
    <tableColumn id="39" xr3:uid="{00000000-0010-0000-0300-000027000000}" name="ATTENTION" dataDxfId="997"/>
    <tableColumn id="45" xr3:uid="{00000000-0010-0000-0300-00002D000000}" name="INHIBITION/CONTROL" dataDxfId="996"/>
    <tableColumn id="40" xr3:uid="{00000000-0010-0000-0300-000028000000}" name="MEMORY" dataDxfId="995"/>
    <tableColumn id="46" xr3:uid="{00000000-0010-0000-0300-00002E000000}" name="WM" dataDxfId="994"/>
    <tableColumn id="44" xr3:uid="{00000000-0010-0000-0300-00002C000000}" name="REWARD" dataDxfId="993"/>
    <tableColumn id="41" xr3:uid="{00000000-0010-0000-0300-000029000000}" name="PERCEPTION" dataDxfId="992"/>
    <tableColumn id="102" xr3:uid="{00000000-0010-0000-0300-000066000000}" name="Domein (FINAL)" dataDxfId="991"/>
    <tableColumn id="37" xr3:uid="{00000000-0010-0000-0300-000025000000}" name="Method_study-design" dataDxfId="990" totalsRowDxfId="989"/>
    <tableColumn id="66" xr3:uid="{00000000-0010-0000-0300-000042000000}" name="Method_Experimental Groups (n)" dataDxfId="988" totalsRowDxfId="987"/>
    <tableColumn id="121" xr3:uid="{00000000-0010-0000-0300-000079000000}" name="Method_Task" dataDxfId="986" totalsRowDxfId="985"/>
    <tableColumn id="80" xr3:uid="{00000000-0010-0000-0300-000050000000}" name="Method_animal light dark testing?" dataDxfId="984" totalsRowDxfId="983"/>
    <tableColumn id="50" xr3:uid="{00000000-0010-0000-0300-000032000000}" name="Method_Measure" dataDxfId="982" totalsRowDxfId="981"/>
    <tableColumn id="136" xr3:uid="{00000000-0010-0000-0300-000088000000}" name="KeyFinding" dataDxfId="980" totalsRowDxfId="979"/>
    <tableColumn id="88" xr3:uid="{00000000-0010-0000-0300-000058000000}" name="Outcome1_VarName" dataDxfId="978" totalsRowDxfId="977"/>
    <tableColumn id="47" xr3:uid="{00000000-0010-0000-0300-00002F000000}" name="Outcome1_M" dataDxfId="976"/>
    <tableColumn id="82" xr3:uid="{00000000-0010-0000-0300-000052000000}" name="Outcome1_SD" dataDxfId="975"/>
    <tableColumn id="49" xr3:uid="{00000000-0010-0000-0300-000031000000}" name="Outcome1_SEM" dataDxfId="974"/>
    <tableColumn id="89" xr3:uid="{00000000-0010-0000-0300-000059000000}" name="Outcome2_VarName" dataDxfId="973"/>
    <tableColumn id="51" xr3:uid="{00000000-0010-0000-0300-000033000000}" name="Outcome2_M" dataDxfId="972"/>
    <tableColumn id="103" xr3:uid="{00000000-0010-0000-0300-000067000000}" name="Outcome2_SD" dataDxfId="971"/>
    <tableColumn id="52" xr3:uid="{00000000-0010-0000-0300-000034000000}" name="Outcome2_SEM" dataDxfId="970"/>
    <tableColumn id="71" xr3:uid="{00000000-0010-0000-0300-000047000000}" name="Diff_outcome1&amp;2_SUM" dataDxfId="969"/>
    <tableColumn id="70" xr3:uid="{00000000-0010-0000-0300-000046000000}" name="Diff_outcome1&amp;2_Statistic" dataDxfId="968"/>
    <tableColumn id="90" xr3:uid="{00000000-0010-0000-0300-00005A000000}" name="Outcome3_VarName" dataDxfId="967"/>
    <tableColumn id="53" xr3:uid="{00000000-0010-0000-0300-000035000000}" name="Outcome3_M" dataDxfId="966"/>
    <tableColumn id="122" xr3:uid="{00000000-0010-0000-0300-00007A000000}" name="Outcome3_SD" dataDxfId="965"/>
    <tableColumn id="54" xr3:uid="{00000000-0010-0000-0300-000036000000}" name="Outcome3_SEM" dataDxfId="964"/>
    <tableColumn id="92" xr3:uid="{00000000-0010-0000-0300-00005C000000}" name="Outcome4_VarName" dataDxfId="963"/>
    <tableColumn id="55" xr3:uid="{00000000-0010-0000-0300-000037000000}" name="Outcome4_M" dataDxfId="962"/>
    <tableColumn id="125" xr3:uid="{00000000-0010-0000-0300-00007D000000}" name="Outcome4_SD" dataDxfId="961"/>
    <tableColumn id="56" xr3:uid="{00000000-0010-0000-0300-000038000000}" name="Outcome4_SEM" dataDxfId="960"/>
    <tableColumn id="69" xr3:uid="{00000000-0010-0000-0300-000045000000}" name="Diff_outcome3&amp;4_SUM" dataDxfId="959"/>
    <tableColumn id="68" xr3:uid="{00000000-0010-0000-0300-000044000000}" name="Diff_Outcome 3&amp;4_Statistic" dataDxfId="958"/>
    <tableColumn id="73" xr3:uid="{00000000-0010-0000-0300-000049000000}" name="Diff_Outcome1&amp;2+3&amp;4_SUM" dataDxfId="957"/>
    <tableColumn id="74" xr3:uid="{00000000-0010-0000-0300-00004A000000}" name="Diff_Outcome1&amp;2+3&amp;4_Statistic" dataDxfId="956"/>
    <tableColumn id="94" xr3:uid="{00000000-0010-0000-0300-00005E000000}" name="Outcome5_VarName" dataDxfId="955"/>
    <tableColumn id="57" xr3:uid="{00000000-0010-0000-0300-000039000000}" name="Outcome5_M" dataDxfId="954"/>
    <tableColumn id="126" xr3:uid="{00000000-0010-0000-0300-00007E000000}" name="Outcome5_SD" dataDxfId="953"/>
    <tableColumn id="58" xr3:uid="{00000000-0010-0000-0300-00003A000000}" name="Outcome5_SEM" dataDxfId="952"/>
    <tableColumn id="95" xr3:uid="{00000000-0010-0000-0300-00005F000000}" name="Outcome6_VarName" dataDxfId="951"/>
    <tableColumn id="59" xr3:uid="{00000000-0010-0000-0300-00003B000000}" name="Outcome6_M" dataDxfId="950"/>
    <tableColumn id="127" xr3:uid="{00000000-0010-0000-0300-00007F000000}" name="Outcome6_SD" dataDxfId="949"/>
    <tableColumn id="60" xr3:uid="{00000000-0010-0000-0300-00003C000000}" name="Outcome6_SEM" dataDxfId="948"/>
    <tableColumn id="137" xr3:uid="{00000000-0010-0000-0300-000089000000}" name="Diff_Outcome5-6_SUM" dataDxfId="947"/>
    <tableColumn id="87" xr3:uid="{00000000-0010-0000-0300-000057000000}" name="Diff_Outcome5-6_Statistic" dataDxfId="946"/>
    <tableColumn id="96" xr3:uid="{00000000-0010-0000-0300-000060000000}" name="Outcome7_VarName" dataDxfId="945"/>
    <tableColumn id="61" xr3:uid="{00000000-0010-0000-0300-00003D000000}" name="Outcome7_M" dataDxfId="944"/>
    <tableColumn id="128" xr3:uid="{00000000-0010-0000-0300-000080000000}" name="Outcome7_SD" dataDxfId="943"/>
    <tableColumn id="62" xr3:uid="{00000000-0010-0000-0300-00003E000000}" name="Outcome7_SEM" dataDxfId="942"/>
    <tableColumn id="97" xr3:uid="{00000000-0010-0000-0300-000061000000}" name="Outcome8_VarName" dataDxfId="941"/>
    <tableColumn id="63" xr3:uid="{00000000-0010-0000-0300-00003F000000}" name="Outcome8_M" dataDxfId="940"/>
    <tableColumn id="129" xr3:uid="{00000000-0010-0000-0300-000081000000}" name="Outcome8_SD" dataDxfId="939"/>
    <tableColumn id="64" xr3:uid="{00000000-0010-0000-0300-000040000000}" name="Outcome8_SEM" dataDxfId="938"/>
    <tableColumn id="93" xr3:uid="{00000000-0010-0000-0300-00005D000000}" name="Diff_Outcome7-8_SUM" dataDxfId="937"/>
    <tableColumn id="139" xr3:uid="{00000000-0010-0000-0300-00008B000000}" name="Diff_Outcome7-8_Statistic" dataDxfId="936"/>
    <tableColumn id="83" xr3:uid="{00000000-0010-0000-0300-000053000000}" name="Diff_Outcome5&amp;6+7&amp;8_SUM" dataDxfId="935"/>
    <tableColumn id="84" xr3:uid="{00000000-0010-0000-0300-000054000000}" name="Diff_Outcome5&amp;6+7&amp;8_Statistic" dataDxfId="934"/>
    <tableColumn id="78" xr3:uid="{00000000-0010-0000-0300-00004E000000}" name="Outcome9_VarName" dataDxfId="933"/>
    <tableColumn id="79" xr3:uid="{00000000-0010-0000-0300-00004F000000}" name="Outcome9_M" dataDxfId="932"/>
    <tableColumn id="85" xr3:uid="{00000000-0010-0000-0300-000055000000}" name="Outcome9_SD" dataDxfId="931"/>
    <tableColumn id="86" xr3:uid="{00000000-0010-0000-0300-000056000000}" name="Outcome9_SEM" dataDxfId="930"/>
    <tableColumn id="98" xr3:uid="{00000000-0010-0000-0300-000062000000}" name="Outcome10_VarName" dataDxfId="929"/>
    <tableColumn id="99" xr3:uid="{00000000-0010-0000-0300-000063000000}" name="Outcome10_M" dataDxfId="928"/>
    <tableColumn id="100" xr3:uid="{00000000-0010-0000-0300-000064000000}" name="Outcome10_SD" dataDxfId="927"/>
    <tableColumn id="101" xr3:uid="{00000000-0010-0000-0300-000065000000}" name="Outcome10_SEM" dataDxfId="926"/>
    <tableColumn id="104" xr3:uid="{00000000-0010-0000-0300-000068000000}" name="Diff_Outcome 8-10 SUM" dataDxfId="925"/>
    <tableColumn id="105" xr3:uid="{00000000-0010-0000-0300-000069000000}" name="Diff_Outcome 9-10 Statistic" dataDxfId="924"/>
    <tableColumn id="107" xr3:uid="{00000000-0010-0000-0300-00006B000000}" name="Outcome11_VarName" dataDxfId="923"/>
    <tableColumn id="108" xr3:uid="{00000000-0010-0000-0300-00006C000000}" name="Outcome11_M" dataDxfId="922"/>
    <tableColumn id="109" xr3:uid="{00000000-0010-0000-0300-00006D000000}" name="Outcome11_SD" dataDxfId="921"/>
    <tableColumn id="110" xr3:uid="{00000000-0010-0000-0300-00006E000000}" name="Outcome11_SEM" dataDxfId="920"/>
    <tableColumn id="111" xr3:uid="{00000000-0010-0000-0300-00006F000000}" name="Outcome12_VarName" dataDxfId="919"/>
    <tableColumn id="112" xr3:uid="{00000000-0010-0000-0300-000070000000}" name="Outcome12_M" dataDxfId="918"/>
    <tableColumn id="113" xr3:uid="{00000000-0010-0000-0300-000071000000}" name="Outcome12_SD" dataDxfId="917"/>
    <tableColumn id="114" xr3:uid="{00000000-0010-0000-0300-000072000000}" name="Outcome12_SEM" dataDxfId="916"/>
    <tableColumn id="115" xr3:uid="{00000000-0010-0000-0300-000073000000}" name="Diff_Outcome11-12 SUM" dataDxfId="915"/>
    <tableColumn id="116" xr3:uid="{00000000-0010-0000-0300-000074000000}" name="Diff_Outcome11-12 Statistic" dataDxfId="914"/>
    <tableColumn id="117" xr3:uid="{00000000-0010-0000-0300-000075000000}" name="Diff_General SUM" dataDxfId="913"/>
    <tableColumn id="72" xr3:uid="{00000000-0010-0000-0300-000048000000}" name="Outcome13_VarName" dataDxfId="912"/>
    <tableColumn id="75" xr3:uid="{00000000-0010-0000-0300-00004B000000}" name="Outcome13_M" dataDxfId="911"/>
    <tableColumn id="76" xr3:uid="{00000000-0010-0000-0300-00004C000000}" name="Outcome13_SD" dataDxfId="910"/>
    <tableColumn id="77" xr3:uid="{00000000-0010-0000-0300-00004D000000}" name="Outcome13_SEM" dataDxfId="909"/>
    <tableColumn id="118" xr3:uid="{00000000-0010-0000-0300-000076000000}" name="Outcome14_VarName" dataDxfId="908"/>
    <tableColumn id="119" xr3:uid="{00000000-0010-0000-0300-000077000000}" name="Outcome14_M" dataDxfId="907"/>
    <tableColumn id="120" xr3:uid="{00000000-0010-0000-0300-000078000000}" name="Outcome14_SD" dataDxfId="906"/>
    <tableColumn id="123" xr3:uid="{00000000-0010-0000-0300-00007B000000}" name="Outcome14_SEM" dataDxfId="905"/>
    <tableColumn id="124" xr3:uid="{00000000-0010-0000-0300-00007C000000}" name="Diff_Outcome13-14 SUM" dataDxfId="904"/>
    <tableColumn id="130" xr3:uid="{00000000-0010-0000-0300-000082000000}" name="Diff_Outcome13-14 Statistic" dataDxfId="903"/>
    <tableColumn id="131" xr3:uid="{00000000-0010-0000-0300-000083000000}" name="Outcome15_VarName" dataDxfId="902"/>
    <tableColumn id="132" xr3:uid="{00000000-0010-0000-0300-000084000000}" name="Outcome15_M" dataDxfId="901"/>
    <tableColumn id="133" xr3:uid="{00000000-0010-0000-0300-000085000000}" name="Outcome15_SD" dataDxfId="900"/>
    <tableColumn id="134" xr3:uid="{00000000-0010-0000-0300-000086000000}" name="Outcome15_SEM" dataDxfId="899"/>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665" displayName="Table665" ref="A1:IZ381" totalsRowShown="0" headerRowDxfId="898" dataDxfId="897" tableBorderDxfId="896">
  <autoFilter ref="A1:IZ381" xr:uid="{00000000-0009-0000-0100-000004000000}"/>
  <sortState ref="A2:IV381">
    <sortCondition ref="D2:D381"/>
    <sortCondition ref="A2:A381"/>
  </sortState>
  <tableColumns count="260">
    <tableColumn id="1" xr3:uid="{00000000-0010-0000-0400-000001000000}" name="Reference" dataDxfId="895" totalsRowDxfId="894"/>
    <tableColumn id="138" xr3:uid="{00000000-0010-0000-0400-00008A000000}" name="# (nummers voor unieke artikelen op volgorde v screening. Begonnen bij FC papers)" dataDxfId="893" totalsRowDxfId="892"/>
    <tableColumn id="135" xr3:uid="{00000000-0010-0000-0400-000087000000}" name="Memory # voor unieke artikelen op volgorde v screening (memory papers)" dataDxfId="891" totalsRowDxfId="890"/>
    <tableColumn id="255" xr3:uid="{00000000-0010-0000-0400-0000FF000000}" name="# Voor checken van 'overige artikelen' [ zitten hier nog FC en Memory bij? ]" dataDxfId="889" totalsRowDxfId="888"/>
    <tableColumn id="42" xr3:uid="{00000000-0010-0000-0400-00002A000000}" name="First Author" dataDxfId="887" totalsRowDxfId="886"/>
    <tableColumn id="43" xr3:uid="{00000000-0010-0000-0400-00002B000000}" name="Authors" dataDxfId="885" totalsRowDxfId="884"/>
    <tableColumn id="48" xr3:uid="{00000000-0010-0000-0400-000030000000}" name="Publication Year" dataDxfId="883"/>
    <tableColumn id="2" xr3:uid="{00000000-0010-0000-0400-000002000000}" name="PMID " dataDxfId="882" totalsRowDxfId="881"/>
    <tableColumn id="3" xr3:uid="{00000000-0010-0000-0400-000003000000}" name="PDF gedownload + in mendeley" dataDxfId="880"/>
    <tableColumn id="4" xr3:uid="{00000000-0010-0000-0400-000004000000}" name="Antwoorden overleg overeenstemming 7.11.16" dataDxfId="879" totalsRowDxfId="878"/>
    <tableColumn id="5" xr3:uid="{00000000-0010-0000-0400-000005000000}" name="Vragen Milou n.a.v. results EG" dataDxfId="877" totalsRowDxfId="876"/>
    <tableColumn id="6" xr3:uid="{00000000-0010-0000-0400-000006000000}" name="AbstractScreening_EG (1=include; 0 = exclude)" dataDxfId="875" totalsRowDxfId="874"/>
    <tableColumn id="7" xr3:uid="{00000000-0010-0000-0400-000007000000}" name="Notes_EG" dataDxfId="873" totalsRowDxfId="872"/>
    <tableColumn id="8" xr3:uid="{00000000-0010-0000-0400-000008000000}" name="AbstractScreening_MS (1=include; 0 = exclude)" dataDxfId="871" totalsRowDxfId="870"/>
    <tableColumn id="9" xr3:uid="{00000000-0010-0000-0400-000009000000}" name="Human (1) of Animal (2)" dataDxfId="869" totalsRowDxfId="868"/>
    <tableColumn id="10" xr3:uid="{00000000-0010-0000-0400-00000A000000}" name="Cognitive Measure" dataDxfId="867"/>
    <tableColumn id="11" xr3:uid="{00000000-0010-0000-0400-00000B000000}" name="RDoC (sub)construct " dataDxfId="866"/>
    <tableColumn id="12" xr3:uid="{00000000-0010-0000-0400-00000C000000}" name="Subjects_background (bv military/civilian/animalstrain/etc) words" dataDxfId="865"/>
    <tableColumn id="13" xr3:uid="{00000000-0010-0000-0400-00000D000000}" name="military population(1)" dataDxfId="864"/>
    <tableColumn id="14" xr3:uid="{00000000-0010-0000-0400-00000E000000}" name="PTSD Model?" dataDxfId="863"/>
    <tableColumn id="15" xr3:uid="{00000000-0010-0000-0400-00000F000000}" name="Gender" dataDxfId="862"/>
    <tableColumn id="16" xr3:uid="{00000000-0010-0000-0400-000010000000}" name="Dark/light" dataDxfId="861"/>
    <tableColumn id="17" xr3:uid="{00000000-0010-0000-0400-000011000000}" name="Task?" dataDxfId="860"/>
    <tableColumn id="18" xr3:uid="{00000000-0010-0000-0400-000012000000}" name="Brain measures?" dataDxfId="859"/>
    <tableColumn id="19" xr3:uid="{00000000-0010-0000-0400-000013000000}" name="Fysiological measures?" dataDxfId="858"/>
    <tableColumn id="20" xr3:uid="{00000000-0010-0000-0400-000014000000}" name="Psychological measures?" dataDxfId="857"/>
    <tableColumn id="21" xr3:uid="{00000000-0010-0000-0400-000015000000}" name="Intervention?" dataDxfId="856"/>
    <tableColumn id="22" xr3:uid="{00000000-0010-0000-0400-000016000000}" name="Notes_abstract screening" dataDxfId="855"/>
    <tableColumn id="258" xr3:uid="{00000000-0010-0000-0400-000002010000}" name="Onderwerp, tijdens checken overig." dataDxfId="854"/>
    <tableColumn id="256" xr3:uid="{00000000-0010-0000-0400-000000010000}" name="Checked op FC of Memory? (1=checked)" dataDxfId="853"/>
    <tableColumn id="257" xr3:uid="{00000000-0010-0000-0400-000001010000}" name="data nog extracten [ 29.9.17 ] - Nog bekijken voor Memory of FC? (0= niet relevant voor Memory of FC; 1 = nog checken; 2 = full tekst al gelezen, data extracted)" dataDxfId="852"/>
    <tableColumn id="23" xr3:uid="{00000000-0010-0000-0400-000017000000}" name="FINAL incl/excl" dataDxfId="851" totalsRowDxfId="850"/>
    <tableColumn id="24" xr3:uid="{00000000-0010-0000-0400-000018000000}" name="FINAL incl/excl_comment" dataDxfId="849" totalsRowDxfId="848"/>
    <tableColumn id="25" xr3:uid="{00000000-0010-0000-0400-000019000000}" name="Subjects_background (1= active duty military; 2 = veteran; 3 = civilian 4=rat; 5=mice)" dataDxfId="847" totalsRowDxfId="846"/>
    <tableColumn id="154" xr3:uid="{00000000-0010-0000-0400-00009A000000}" name="QUALITY NOTES" dataDxfId="845" totalsRowDxfId="844"/>
    <tableColumn id="81" xr3:uid="{00000000-0010-0000-0400-000051000000}" name="NOTES MS during data extraction" dataDxfId="843" totalsRowDxfId="842"/>
    <tableColumn id="141" xr3:uid="{00000000-0010-0000-0400-00008D000000}" name="Data study dubbel in tabel? (0=nee; 1=ja, same subjects different task, 2=ja,different animals/humans, 'same' task)" dataDxfId="841"/>
    <tableColumn id="67" xr3:uid="{00000000-0010-0000-0400-000043000000}" name="Data from vehicl injected group?" dataDxfId="840" totalsRowDxfId="839"/>
    <tableColumn id="26" xr3:uid="{00000000-0010-0000-0400-00001A000000}" name="Subjects_n" dataDxfId="838" totalsRowDxfId="837"/>
    <tableColumn id="27" xr3:uid="{00000000-0010-0000-0400-00001B000000}" name="Subjects_n_ptsd" dataDxfId="836" totalsRowDxfId="835"/>
    <tableColumn id="28" xr3:uid="{00000000-0010-0000-0400-00001C000000}" name="Subjects_n_control" dataDxfId="834" totalsRowDxfId="833"/>
    <tableColumn id="29" xr3:uid="{00000000-0010-0000-0400-00001D000000}" name="Subjects_gender_ptsd (M = male; F = female; - = not reported)" dataDxfId="832" totalsRowDxfId="831"/>
    <tableColumn id="30" xr3:uid="{00000000-0010-0000-0400-00001E000000}" name="Subjects_gender_control (M = male; F = female; - = not reported)" dataDxfId="830" totalsRowDxfId="829"/>
    <tableColumn id="31" xr3:uid="{00000000-0010-0000-0400-00001F000000}" name="Subjects_m_Age_ptsd (- = not reported)" dataDxfId="828" totalsRowDxfId="827"/>
    <tableColumn id="32" xr3:uid="{00000000-0010-0000-0400-000020000000}" name="Subjects_sd_Age_ptsd (- = not reported)" dataDxfId="826" totalsRowDxfId="825"/>
    <tableColumn id="33" xr3:uid="{00000000-0010-0000-0400-000021000000}" name="Subjects_m_Age_control (- = not reported)" dataDxfId="824" totalsRowDxfId="823"/>
    <tableColumn id="34" xr3:uid="{00000000-0010-0000-0400-000022000000}" name="Subjects_sd_Age_control (- = not reported)" dataDxfId="822" totalsRowDxfId="821"/>
    <tableColumn id="35" xr3:uid="{00000000-0010-0000-0400-000023000000}" name="Subjects_trauma-type_OR_PTSD-model" dataDxfId="820" totalsRowDxfId="819"/>
    <tableColumn id="140" xr3:uid="{00000000-0010-0000-0400-00008C000000}" name="PTSD Model in Borghans etal.2015? (1=ja; - = na)" dataDxfId="818" totalsRowDxfId="817"/>
    <tableColumn id="142" xr3:uid="{00000000-0010-0000-0400-00008E000000}" name="Good model according to Flandreau etal. 2017? (1=ja; - = na)" dataDxfId="816" totalsRowDxfId="815"/>
    <tableColumn id="91" xr3:uid="{00000000-0010-0000-0400-00005B000000}" name="Controle Group" dataDxfId="814" totalsRowDxfId="813"/>
    <tableColumn id="106" xr3:uid="{00000000-0010-0000-0400-00006A000000}" name="Subjects_Strain_or_Population" dataDxfId="812" totalsRowDxfId="811"/>
    <tableColumn id="36" xr3:uid="{00000000-0010-0000-0400-000024000000}" name="Subjects_ptsd-measure" dataDxfId="810" totalsRowDxfId="809"/>
    <tableColumn id="260" xr3:uid="{00000000-0010-0000-0400-000004010000}" name="anxiety" dataDxfId="808" totalsRowDxfId="807"/>
    <tableColumn id="259" xr3:uid="{00000000-0010-0000-0400-000003010000}" name="somatosensorisch" dataDxfId="806" totalsRowDxfId="805"/>
    <tableColumn id="38" xr3:uid="{00000000-0010-0000-0400-000026000000}" name="FEAR" dataDxfId="804"/>
    <tableColumn id="65" xr3:uid="{00000000-0010-0000-0400-000041000000}" name="AVOIDANCE" dataDxfId="803"/>
    <tableColumn id="39" xr3:uid="{00000000-0010-0000-0400-000027000000}" name="ATTENTION" dataDxfId="802"/>
    <tableColumn id="45" xr3:uid="{00000000-0010-0000-0400-00002D000000}" name="INHIBITION/CONTROL" dataDxfId="801"/>
    <tableColumn id="143" xr3:uid="{00000000-0010-0000-0400-00008F000000}" name="Problem Solving" dataDxfId="800"/>
    <tableColumn id="145" xr3:uid="{00000000-0010-0000-0400-000091000000}" name="Executive function" dataDxfId="799"/>
    <tableColumn id="40" xr3:uid="{00000000-0010-0000-0400-000028000000}" name="MEMORY" dataDxfId="798"/>
    <tableColumn id="144" xr3:uid="{00000000-0010-0000-0400-000090000000}" name="Cognitive BIAS" dataDxfId="797"/>
    <tableColumn id="46" xr3:uid="{00000000-0010-0000-0400-00002E000000}" name="WM" dataDxfId="796"/>
    <tableColumn id="44" xr3:uid="{00000000-0010-0000-0400-00002C000000}" name="REWARD" dataDxfId="795"/>
    <tableColumn id="146" xr3:uid="{00000000-0010-0000-0400-000092000000}" name="General intellectual abilities" dataDxfId="794"/>
    <tableColumn id="147" xr3:uid="{00000000-0010-0000-0400-000093000000}" name="Language" dataDxfId="793"/>
    <tableColumn id="41" xr3:uid="{00000000-0010-0000-0400-000029000000}" name="PERCEPTION" dataDxfId="792"/>
    <tableColumn id="102" xr3:uid="{00000000-0010-0000-0400-000066000000}" name="Domein (FINAL)" dataDxfId="791"/>
    <tableColumn id="37" xr3:uid="{00000000-0010-0000-0400-000025000000}" name="Method_study-design" dataDxfId="790" totalsRowDxfId="789"/>
    <tableColumn id="66" xr3:uid="{00000000-0010-0000-0400-000042000000}" name="Method_Experimental Groups (n)" dataDxfId="788" totalsRowDxfId="787"/>
    <tableColumn id="121" xr3:uid="{00000000-0010-0000-0400-000079000000}" name="Method_Task" dataDxfId="786" totalsRowDxfId="785"/>
    <tableColumn id="80" xr3:uid="{00000000-0010-0000-0400-000050000000}" name="Method_animal light dark testing?" dataDxfId="784" totalsRowDxfId="783"/>
    <tableColumn id="50" xr3:uid="{00000000-0010-0000-0400-000032000000}" name="Method_Measure" dataDxfId="782" totalsRowDxfId="781"/>
    <tableColumn id="136" xr3:uid="{00000000-0010-0000-0400-000088000000}" name="KeyFinding" dataDxfId="780" totalsRowDxfId="779"/>
    <tableColumn id="88" xr3:uid="{00000000-0010-0000-0400-000058000000}" name="Outcome1_VarName" dataDxfId="778" totalsRowDxfId="777"/>
    <tableColumn id="47" xr3:uid="{00000000-0010-0000-0400-00002F000000}" name="Outcome1_M" dataDxfId="776"/>
    <tableColumn id="82" xr3:uid="{00000000-0010-0000-0400-000052000000}" name="Outcome1_SD" dataDxfId="775"/>
    <tableColumn id="49" xr3:uid="{00000000-0010-0000-0400-000031000000}" name="Outcome1_SEM" dataDxfId="774"/>
    <tableColumn id="89" xr3:uid="{00000000-0010-0000-0400-000059000000}" name="Outcome2_VarName" dataDxfId="773"/>
    <tableColumn id="51" xr3:uid="{00000000-0010-0000-0400-000033000000}" name="Outcome2_M" dataDxfId="772"/>
    <tableColumn id="103" xr3:uid="{00000000-0010-0000-0400-000067000000}" name="Outcome2_SD" dataDxfId="771"/>
    <tableColumn id="52" xr3:uid="{00000000-0010-0000-0400-000034000000}" name="Outcome2_SEM" dataDxfId="770"/>
    <tableColumn id="71" xr3:uid="{00000000-0010-0000-0400-000047000000}" name="Diff_outcome1&amp;2_SUM" dataDxfId="769"/>
    <tableColumn id="70" xr3:uid="{00000000-0010-0000-0400-000046000000}" name="Diff_outcome1&amp;2_Statistic" dataDxfId="768"/>
    <tableColumn id="90" xr3:uid="{00000000-0010-0000-0400-00005A000000}" name="Outcome3_VarName" dataDxfId="767"/>
    <tableColumn id="53" xr3:uid="{00000000-0010-0000-0400-000035000000}" name="Outcome3_M" dataDxfId="766"/>
    <tableColumn id="122" xr3:uid="{00000000-0010-0000-0400-00007A000000}" name="Outcome3_SD" dataDxfId="765"/>
    <tableColumn id="54" xr3:uid="{00000000-0010-0000-0400-000036000000}" name="Outcome3_SEM" dataDxfId="764"/>
    <tableColumn id="92" xr3:uid="{00000000-0010-0000-0400-00005C000000}" name="Outcome4_VarName" dataDxfId="763"/>
    <tableColumn id="55" xr3:uid="{00000000-0010-0000-0400-000037000000}" name="Outcome4_M" dataDxfId="762"/>
    <tableColumn id="125" xr3:uid="{00000000-0010-0000-0400-00007D000000}" name="Outcome4_SD" dataDxfId="761"/>
    <tableColumn id="56" xr3:uid="{00000000-0010-0000-0400-000038000000}" name="Outcome4_SEM" dataDxfId="760"/>
    <tableColumn id="69" xr3:uid="{00000000-0010-0000-0400-000045000000}" name="Diff_outcome3&amp;4_SUM" dataDxfId="759"/>
    <tableColumn id="68" xr3:uid="{00000000-0010-0000-0400-000044000000}" name="Diff_Outcome 3&amp;4_Statistic" dataDxfId="758"/>
    <tableColumn id="73" xr3:uid="{00000000-0010-0000-0400-000049000000}" name="Diff_Outcome1&amp;2+3&amp;4_SUM" dataDxfId="757"/>
    <tableColumn id="74" xr3:uid="{00000000-0010-0000-0400-00004A000000}" name="Diff_Outcome1&amp;2+3&amp;4_Statistic" dataDxfId="756"/>
    <tableColumn id="94" xr3:uid="{00000000-0010-0000-0400-00005E000000}" name="Outcome5_VarName" dataDxfId="755"/>
    <tableColumn id="57" xr3:uid="{00000000-0010-0000-0400-000039000000}" name="Outcome5_M" dataDxfId="754"/>
    <tableColumn id="126" xr3:uid="{00000000-0010-0000-0400-00007E000000}" name="Outcome5_SD" dataDxfId="753"/>
    <tableColumn id="58" xr3:uid="{00000000-0010-0000-0400-00003A000000}" name="Outcome5_SEM" dataDxfId="752"/>
    <tableColumn id="95" xr3:uid="{00000000-0010-0000-0400-00005F000000}" name="Outcome6_VarName" dataDxfId="751"/>
    <tableColumn id="59" xr3:uid="{00000000-0010-0000-0400-00003B000000}" name="Outcome6_M" dataDxfId="750"/>
    <tableColumn id="127" xr3:uid="{00000000-0010-0000-0400-00007F000000}" name="Outcome6_SD" dataDxfId="749"/>
    <tableColumn id="60" xr3:uid="{00000000-0010-0000-0400-00003C000000}" name="Outcome6_SEM" dataDxfId="748"/>
    <tableColumn id="137" xr3:uid="{00000000-0010-0000-0400-000089000000}" name="Diff_Outcome5-6_SUM" dataDxfId="747"/>
    <tableColumn id="87" xr3:uid="{00000000-0010-0000-0400-000057000000}" name="Diff_Outcome5-6_Statistic" dataDxfId="746"/>
    <tableColumn id="96" xr3:uid="{00000000-0010-0000-0400-000060000000}" name="Outcome7_VarName" dataDxfId="745"/>
    <tableColumn id="61" xr3:uid="{00000000-0010-0000-0400-00003D000000}" name="Outcome7_M" dataDxfId="744"/>
    <tableColumn id="128" xr3:uid="{00000000-0010-0000-0400-000080000000}" name="Outcome7_SD" dataDxfId="743"/>
    <tableColumn id="62" xr3:uid="{00000000-0010-0000-0400-00003E000000}" name="Outcome7_SEM" dataDxfId="742"/>
    <tableColumn id="97" xr3:uid="{00000000-0010-0000-0400-000061000000}" name="Outcome8_VarName" dataDxfId="741"/>
    <tableColumn id="63" xr3:uid="{00000000-0010-0000-0400-00003F000000}" name="Outcome8_M" dataDxfId="740"/>
    <tableColumn id="129" xr3:uid="{00000000-0010-0000-0400-000081000000}" name="Outcome8_SD" dataDxfId="739"/>
    <tableColumn id="64" xr3:uid="{00000000-0010-0000-0400-000040000000}" name="Outcome8_SEM" dataDxfId="738"/>
    <tableColumn id="93" xr3:uid="{00000000-0010-0000-0400-00005D000000}" name="Diff_Outcome7-8_SUM" dataDxfId="737"/>
    <tableColumn id="139" xr3:uid="{00000000-0010-0000-0400-00008B000000}" name="Diff_Outcome7-8_Statistic" dataDxfId="736"/>
    <tableColumn id="83" xr3:uid="{00000000-0010-0000-0400-000053000000}" name="Diff_Outcome5&amp;6+7&amp;8_SUM" dataDxfId="735"/>
    <tableColumn id="84" xr3:uid="{00000000-0010-0000-0400-000054000000}" name="Diff_Outcome5&amp;6+7&amp;8_Statistic" dataDxfId="734"/>
    <tableColumn id="78" xr3:uid="{00000000-0010-0000-0400-00004E000000}" name="Outcome9_VarName" dataDxfId="733"/>
    <tableColumn id="79" xr3:uid="{00000000-0010-0000-0400-00004F000000}" name="Outcome9_M" dataDxfId="732"/>
    <tableColumn id="85" xr3:uid="{00000000-0010-0000-0400-000055000000}" name="Outcome9_SD" dataDxfId="731"/>
    <tableColumn id="86" xr3:uid="{00000000-0010-0000-0400-000056000000}" name="Outcome9_SEM" dataDxfId="730"/>
    <tableColumn id="98" xr3:uid="{00000000-0010-0000-0400-000062000000}" name="Outcome10_VarName" dataDxfId="729"/>
    <tableColumn id="99" xr3:uid="{00000000-0010-0000-0400-000063000000}" name="Outcome10_M" dataDxfId="728"/>
    <tableColumn id="100" xr3:uid="{00000000-0010-0000-0400-000064000000}" name="Outcome10_SD" dataDxfId="727"/>
    <tableColumn id="101" xr3:uid="{00000000-0010-0000-0400-000065000000}" name="Outcome10_SEM" dataDxfId="726"/>
    <tableColumn id="104" xr3:uid="{00000000-0010-0000-0400-000068000000}" name="Diff_Outcome 8-10 SUM" dataDxfId="725"/>
    <tableColumn id="105" xr3:uid="{00000000-0010-0000-0400-000069000000}" name="Diff_Outcome 9-10 Statistic" dataDxfId="724"/>
    <tableColumn id="107" xr3:uid="{00000000-0010-0000-0400-00006B000000}" name="Outcome11_VarName" dataDxfId="723"/>
    <tableColumn id="108" xr3:uid="{00000000-0010-0000-0400-00006C000000}" name="Outcome11_M" dataDxfId="722"/>
    <tableColumn id="109" xr3:uid="{00000000-0010-0000-0400-00006D000000}" name="Outcome11_SD" dataDxfId="721"/>
    <tableColumn id="110" xr3:uid="{00000000-0010-0000-0400-00006E000000}" name="Outcome11_SEM" dataDxfId="720"/>
    <tableColumn id="111" xr3:uid="{00000000-0010-0000-0400-00006F000000}" name="Outcome12_VarName" dataDxfId="719"/>
    <tableColumn id="112" xr3:uid="{00000000-0010-0000-0400-000070000000}" name="Outcome12_M" dataDxfId="718"/>
    <tableColumn id="113" xr3:uid="{00000000-0010-0000-0400-000071000000}" name="Outcome12_SD" dataDxfId="717"/>
    <tableColumn id="114" xr3:uid="{00000000-0010-0000-0400-000072000000}" name="Outcome12_SEM" dataDxfId="716"/>
    <tableColumn id="115" xr3:uid="{00000000-0010-0000-0400-000073000000}" name="Diff_Outcome11-12 SUM" dataDxfId="715"/>
    <tableColumn id="116" xr3:uid="{00000000-0010-0000-0400-000074000000}" name="Diff_Outcome11-12 Statistic" dataDxfId="714"/>
    <tableColumn id="117" xr3:uid="{00000000-0010-0000-0400-000075000000}" name="Diff_General SUM" dataDxfId="713"/>
    <tableColumn id="72" xr3:uid="{00000000-0010-0000-0400-000048000000}" name="Outcome13_VarName" dataDxfId="712"/>
    <tableColumn id="75" xr3:uid="{00000000-0010-0000-0400-00004B000000}" name="Outcome13_M" dataDxfId="711"/>
    <tableColumn id="76" xr3:uid="{00000000-0010-0000-0400-00004C000000}" name="Outcome13_SD" dataDxfId="710"/>
    <tableColumn id="77" xr3:uid="{00000000-0010-0000-0400-00004D000000}" name="Outcome13_SEM" dataDxfId="709"/>
    <tableColumn id="118" xr3:uid="{00000000-0010-0000-0400-000076000000}" name="Outcome14_VarName" dataDxfId="708"/>
    <tableColumn id="119" xr3:uid="{00000000-0010-0000-0400-000077000000}" name="Outcome14_M" dataDxfId="707"/>
    <tableColumn id="120" xr3:uid="{00000000-0010-0000-0400-000078000000}" name="Outcome14_SD" dataDxfId="706"/>
    <tableColumn id="123" xr3:uid="{00000000-0010-0000-0400-00007B000000}" name="Outcome14_SEM" dataDxfId="705"/>
    <tableColumn id="124" xr3:uid="{00000000-0010-0000-0400-00007C000000}" name="Diff_Outcome13-14 SUM" dataDxfId="704"/>
    <tableColumn id="130" xr3:uid="{00000000-0010-0000-0400-000082000000}" name="Diff_Outcome13-14 Statistic" dataDxfId="703"/>
    <tableColumn id="131" xr3:uid="{00000000-0010-0000-0400-000083000000}" name="Outcome15_VarName" dataDxfId="702"/>
    <tableColumn id="132" xr3:uid="{00000000-0010-0000-0400-000084000000}" name="Outcome15_M" dataDxfId="701"/>
    <tableColumn id="133" xr3:uid="{00000000-0010-0000-0400-000085000000}" name="Outcome15_SD" dataDxfId="700"/>
    <tableColumn id="134" xr3:uid="{00000000-0010-0000-0400-000086000000}" name="Outcome15_SEM" dataDxfId="699"/>
    <tableColumn id="148" xr3:uid="{00000000-0010-0000-0400-000094000000}" name="Outcome16_VarName" dataDxfId="698"/>
    <tableColumn id="149" xr3:uid="{00000000-0010-0000-0400-000095000000}" name="Outcome16_M" dataDxfId="697"/>
    <tableColumn id="150" xr3:uid="{00000000-0010-0000-0400-000096000000}" name="Outcome16_SD" dataDxfId="696"/>
    <tableColumn id="151" xr3:uid="{00000000-0010-0000-0400-000097000000}" name="Outcome16_SEM" dataDxfId="695"/>
    <tableColumn id="152" xr3:uid="{00000000-0010-0000-0400-000098000000}" name="Diff_Outcome15-16SUM" dataDxfId="694"/>
    <tableColumn id="153" xr3:uid="{00000000-0010-0000-0400-000099000000}" name="Diff_Outcome15-16 Statistic" dataDxfId="693"/>
    <tableColumn id="155" xr3:uid="{00000000-0010-0000-0400-00009B000000}" name="Outcome17_VarName" dataDxfId="692"/>
    <tableColumn id="156" xr3:uid="{00000000-0010-0000-0400-00009C000000}" name="Outcome17_M" dataDxfId="691"/>
    <tableColumn id="157" xr3:uid="{00000000-0010-0000-0400-00009D000000}" name="Outcome17_SD" dataDxfId="690"/>
    <tableColumn id="158" xr3:uid="{00000000-0010-0000-0400-00009E000000}" name="Outcome17_SEM" dataDxfId="689"/>
    <tableColumn id="159" xr3:uid="{00000000-0010-0000-0400-00009F000000}" name="Outcome18_VarName" dataDxfId="688"/>
    <tableColumn id="160" xr3:uid="{00000000-0010-0000-0400-0000A0000000}" name="Outcome18_M" dataDxfId="687"/>
    <tableColumn id="161" xr3:uid="{00000000-0010-0000-0400-0000A1000000}" name="Outcome18_SD" dataDxfId="686"/>
    <tableColumn id="162" xr3:uid="{00000000-0010-0000-0400-0000A2000000}" name="Outcome18_SEM" dataDxfId="685"/>
    <tableColumn id="163" xr3:uid="{00000000-0010-0000-0400-0000A3000000}" name="Diff_outcome17-18SUM" dataDxfId="684"/>
    <tableColumn id="164" xr3:uid="{00000000-0010-0000-0400-0000A4000000}" name="Diff_outcome17-18Statistic" dataDxfId="683"/>
    <tableColumn id="165" xr3:uid="{00000000-0010-0000-0400-0000A5000000}" name="Outcome19_VarName" dataDxfId="682"/>
    <tableColumn id="166" xr3:uid="{00000000-0010-0000-0400-0000A6000000}" name="Outcome19_M" dataDxfId="681"/>
    <tableColumn id="167" xr3:uid="{00000000-0010-0000-0400-0000A7000000}" name="Outcome19_SD" dataDxfId="680"/>
    <tableColumn id="168" xr3:uid="{00000000-0010-0000-0400-0000A8000000}" name="Outcome19_SEM" dataDxfId="679"/>
    <tableColumn id="169" xr3:uid="{00000000-0010-0000-0400-0000A9000000}" name="Outcome20_VarName" dataDxfId="678"/>
    <tableColumn id="170" xr3:uid="{00000000-0010-0000-0400-0000AA000000}" name="Outcome20_M" dataDxfId="677"/>
    <tableColumn id="171" xr3:uid="{00000000-0010-0000-0400-0000AB000000}" name="Outcome20_SD" dataDxfId="676"/>
    <tableColumn id="172" xr3:uid="{00000000-0010-0000-0400-0000AC000000}" name="Outcome20_SEM" dataDxfId="675"/>
    <tableColumn id="173" xr3:uid="{00000000-0010-0000-0400-0000AD000000}" name="Diff_outcome19-20SUM" dataDxfId="674"/>
    <tableColumn id="174" xr3:uid="{00000000-0010-0000-0400-0000AE000000}" name="Diff_outcome19-20Statistics" dataDxfId="673"/>
    <tableColumn id="175" xr3:uid="{00000000-0010-0000-0400-0000AF000000}" name="Outcome21_VarName" dataDxfId="672"/>
    <tableColumn id="176" xr3:uid="{00000000-0010-0000-0400-0000B0000000}" name="Outcome21_M" dataDxfId="671"/>
    <tableColumn id="177" xr3:uid="{00000000-0010-0000-0400-0000B1000000}" name="Outcome21_SD" dataDxfId="670"/>
    <tableColumn id="178" xr3:uid="{00000000-0010-0000-0400-0000B2000000}" name="Outcome21_SEM" dataDxfId="669"/>
    <tableColumn id="179" xr3:uid="{00000000-0010-0000-0400-0000B3000000}" name="Outcome22_VarName" dataDxfId="668"/>
    <tableColumn id="180" xr3:uid="{00000000-0010-0000-0400-0000B4000000}" name="Outcome22_M" dataDxfId="667"/>
    <tableColumn id="181" xr3:uid="{00000000-0010-0000-0400-0000B5000000}" name="Outcome22_SD" dataDxfId="666"/>
    <tableColumn id="182" xr3:uid="{00000000-0010-0000-0400-0000B6000000}" name="Outcome22_SEM" dataDxfId="665"/>
    <tableColumn id="183" xr3:uid="{00000000-0010-0000-0400-0000B7000000}" name="Diff_outcome21-22SUM" dataDxfId="664"/>
    <tableColumn id="184" xr3:uid="{00000000-0010-0000-0400-0000B8000000}" name="Diff_outcome21-22Statistic" dataDxfId="663"/>
    <tableColumn id="186" xr3:uid="{00000000-0010-0000-0400-0000BA000000}" name="Outcome23_VarName" dataDxfId="662"/>
    <tableColumn id="187" xr3:uid="{00000000-0010-0000-0400-0000BB000000}" name="Outcome23_M" dataDxfId="661"/>
    <tableColumn id="188" xr3:uid="{00000000-0010-0000-0400-0000BC000000}" name="Outcome23_SD" dataDxfId="660"/>
    <tableColumn id="189" xr3:uid="{00000000-0010-0000-0400-0000BD000000}" name="Outcome23_SEM" dataDxfId="659"/>
    <tableColumn id="190" xr3:uid="{00000000-0010-0000-0400-0000BE000000}" name="Outcome24_VarName" dataDxfId="658"/>
    <tableColumn id="191" xr3:uid="{00000000-0010-0000-0400-0000BF000000}" name="Outcome24_M" dataDxfId="657"/>
    <tableColumn id="192" xr3:uid="{00000000-0010-0000-0400-0000C0000000}" name="Outcome24_SD" dataDxfId="656"/>
    <tableColumn id="193" xr3:uid="{00000000-0010-0000-0400-0000C1000000}" name="Outcome24_SEM" dataDxfId="655"/>
    <tableColumn id="194" xr3:uid="{00000000-0010-0000-0400-0000C2000000}" name="Diff_outcome23-24SUM" dataDxfId="654"/>
    <tableColumn id="195" xr3:uid="{00000000-0010-0000-0400-0000C3000000}" name="Diff_outcome23-24Statistic" dataDxfId="653"/>
    <tableColumn id="185" xr3:uid="{00000000-0010-0000-0400-0000B9000000}" name="Outcome25_VarName" dataDxfId="652"/>
    <tableColumn id="196" xr3:uid="{00000000-0010-0000-0400-0000C4000000}" name="Outcome25_M" dataDxfId="651"/>
    <tableColumn id="197" xr3:uid="{00000000-0010-0000-0400-0000C5000000}" name="Outcome25_SD" dataDxfId="650"/>
    <tableColumn id="198" xr3:uid="{00000000-0010-0000-0400-0000C6000000}" name="Outcome25_SEM" dataDxfId="649"/>
    <tableColumn id="199" xr3:uid="{00000000-0010-0000-0400-0000C7000000}" name="Outcome26_VarName" dataDxfId="648"/>
    <tableColumn id="200" xr3:uid="{00000000-0010-0000-0400-0000C8000000}" name="Outcome26_M" dataDxfId="647"/>
    <tableColumn id="201" xr3:uid="{00000000-0010-0000-0400-0000C9000000}" name="Outcome26_SD" dataDxfId="646"/>
    <tableColumn id="202" xr3:uid="{00000000-0010-0000-0400-0000CA000000}" name="Outcome26_SEM" dataDxfId="645"/>
    <tableColumn id="203" xr3:uid="{00000000-0010-0000-0400-0000CB000000}" name="Diff_outcome25-26Sum" dataDxfId="644"/>
    <tableColumn id="204" xr3:uid="{00000000-0010-0000-0400-0000CC000000}" name="Diff_outcome25-26Statistic" dataDxfId="643"/>
    <tableColumn id="205" xr3:uid="{00000000-0010-0000-0400-0000CD000000}" name="Outcome27_VarName" dataDxfId="642"/>
    <tableColumn id="206" xr3:uid="{00000000-0010-0000-0400-0000CE000000}" name="Outcome27_M" dataDxfId="641"/>
    <tableColumn id="207" xr3:uid="{00000000-0010-0000-0400-0000CF000000}" name="Outcome27_SD" dataDxfId="640"/>
    <tableColumn id="208" xr3:uid="{00000000-0010-0000-0400-0000D0000000}" name="Outcome27_SEM" dataDxfId="639"/>
    <tableColumn id="209" xr3:uid="{00000000-0010-0000-0400-0000D1000000}" name="Outcome28_VarName" dataDxfId="638"/>
    <tableColumn id="210" xr3:uid="{00000000-0010-0000-0400-0000D2000000}" name="Outcome28_M" dataDxfId="637"/>
    <tableColumn id="211" xr3:uid="{00000000-0010-0000-0400-0000D3000000}" name="Outcome28_SD" dataDxfId="636"/>
    <tableColumn id="212" xr3:uid="{00000000-0010-0000-0400-0000D4000000}" name="Outcome28_SEM" dataDxfId="635"/>
    <tableColumn id="213" xr3:uid="{00000000-0010-0000-0400-0000D5000000}" name="Diff_outcome27-28SUM" dataDxfId="634"/>
    <tableColumn id="214" xr3:uid="{00000000-0010-0000-0400-0000D6000000}" name="Diff_outcome27-28Statistic" dataDxfId="633"/>
    <tableColumn id="215" xr3:uid="{00000000-0010-0000-0400-0000D7000000}" name="Outcome29_VarName" dataDxfId="632"/>
    <tableColumn id="216" xr3:uid="{00000000-0010-0000-0400-0000D8000000}" name="Outcome29_M" dataDxfId="631"/>
    <tableColumn id="217" xr3:uid="{00000000-0010-0000-0400-0000D9000000}" name="Outcome29_SD" dataDxfId="630"/>
    <tableColumn id="218" xr3:uid="{00000000-0010-0000-0400-0000DA000000}" name="Outcome29_SEM" dataDxfId="629"/>
    <tableColumn id="219" xr3:uid="{00000000-0010-0000-0400-0000DB000000}" name="Outcome30_VarName" dataDxfId="628"/>
    <tableColumn id="220" xr3:uid="{00000000-0010-0000-0400-0000DC000000}" name="Outcome30_M" dataDxfId="627"/>
    <tableColumn id="221" xr3:uid="{00000000-0010-0000-0400-0000DD000000}" name="Outcome30_SD" dataDxfId="626"/>
    <tableColumn id="222" xr3:uid="{00000000-0010-0000-0400-0000DE000000}" name="Outcome30_SEM" dataDxfId="625"/>
    <tableColumn id="223" xr3:uid="{00000000-0010-0000-0400-0000DF000000}" name="Diff_outcome29-30SUM" dataDxfId="624"/>
    <tableColumn id="224" xr3:uid="{00000000-0010-0000-0400-0000E0000000}" name="Diff_outcome29-30Statistic2" dataDxfId="623"/>
    <tableColumn id="225" xr3:uid="{00000000-0010-0000-0400-0000E1000000}" name="Outcome31_VarName" dataDxfId="622"/>
    <tableColumn id="226" xr3:uid="{00000000-0010-0000-0400-0000E2000000}" name="Outcome31_M" dataDxfId="621"/>
    <tableColumn id="227" xr3:uid="{00000000-0010-0000-0400-0000E3000000}" name="Outcome31_SD" dataDxfId="620"/>
    <tableColumn id="228" xr3:uid="{00000000-0010-0000-0400-0000E4000000}" name="Outcome31_SEM" dataDxfId="619"/>
    <tableColumn id="229" xr3:uid="{00000000-0010-0000-0400-0000E5000000}" name="Outcome32_VarName" dataDxfId="618"/>
    <tableColumn id="230" xr3:uid="{00000000-0010-0000-0400-0000E6000000}" name="Outcome32_M" dataDxfId="617"/>
    <tableColumn id="231" xr3:uid="{00000000-0010-0000-0400-0000E7000000}" name="Outcome32_SD" dataDxfId="616"/>
    <tableColumn id="232" xr3:uid="{00000000-0010-0000-0400-0000E8000000}" name="Outcome32_SEM" dataDxfId="615"/>
    <tableColumn id="233" xr3:uid="{00000000-0010-0000-0400-0000E9000000}" name="Diff_outcome31-32SUM" dataDxfId="614"/>
    <tableColumn id="234" xr3:uid="{00000000-0010-0000-0400-0000EA000000}" name="Diff_outcome31-32Statistic" dataDxfId="613"/>
    <tableColumn id="235" xr3:uid="{00000000-0010-0000-0400-0000EB000000}" name="Outcome33_VarName" dataDxfId="612"/>
    <tableColumn id="236" xr3:uid="{00000000-0010-0000-0400-0000EC000000}" name="Outcome33_M" dataDxfId="611"/>
    <tableColumn id="237" xr3:uid="{00000000-0010-0000-0400-0000ED000000}" name="Outcome33_SD" dataDxfId="610"/>
    <tableColumn id="238" xr3:uid="{00000000-0010-0000-0400-0000EE000000}" name="Outcome33_SEM" dataDxfId="609"/>
    <tableColumn id="239" xr3:uid="{00000000-0010-0000-0400-0000EF000000}" name="Outcome34_VarName" dataDxfId="608"/>
    <tableColumn id="240" xr3:uid="{00000000-0010-0000-0400-0000F0000000}" name="Outcome34_M" dataDxfId="607"/>
    <tableColumn id="241" xr3:uid="{00000000-0010-0000-0400-0000F1000000}" name="Outcome34_SD" dataDxfId="606"/>
    <tableColumn id="242" xr3:uid="{00000000-0010-0000-0400-0000F2000000}" name="Outcome34_SEM" dataDxfId="605"/>
    <tableColumn id="243" xr3:uid="{00000000-0010-0000-0400-0000F3000000}" name="Diff_outcome33-34SUM" dataDxfId="604"/>
    <tableColumn id="244" xr3:uid="{00000000-0010-0000-0400-0000F4000000}" name="Diff_outcome33-34Statistic" dataDxfId="603"/>
    <tableColumn id="245" xr3:uid="{00000000-0010-0000-0400-0000F5000000}" name="Outcome35_VarName" dataDxfId="602"/>
    <tableColumn id="246" xr3:uid="{00000000-0010-0000-0400-0000F6000000}" name="Outcome35_M" dataDxfId="601"/>
    <tableColumn id="247" xr3:uid="{00000000-0010-0000-0400-0000F7000000}" name="Outcome35_SD" dataDxfId="600"/>
    <tableColumn id="248" xr3:uid="{00000000-0010-0000-0400-0000F8000000}" name="Outcome35_SEM" dataDxfId="599"/>
    <tableColumn id="249" xr3:uid="{00000000-0010-0000-0400-0000F9000000}" name="Outcome36_VarName" dataDxfId="598"/>
    <tableColumn id="250" xr3:uid="{00000000-0010-0000-0400-0000FA000000}" name="Outcome36_M" dataDxfId="597"/>
    <tableColumn id="251" xr3:uid="{00000000-0010-0000-0400-0000FB000000}" name="Outcome36_SD" dataDxfId="596"/>
    <tableColumn id="252" xr3:uid="{00000000-0010-0000-0400-0000FC000000}" name="Outcome36_SEM" dataDxfId="595"/>
    <tableColumn id="253" xr3:uid="{00000000-0010-0000-0400-0000FD000000}" name="Diff_outcome35-36SUM" dataDxfId="594"/>
    <tableColumn id="254" xr3:uid="{00000000-0010-0000-0400-0000FE000000}" name="Diff_outcome35-36Statistic" dataDxfId="593"/>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Table668" displayName="Table668" ref="A1:JD403" totalsRowShown="0" headerRowDxfId="592" dataDxfId="591" tableBorderDxfId="590">
  <autoFilter ref="A1:JD403" xr:uid="{00000000-0009-0000-0100-000007000000}"/>
  <sortState ref="A2:JC381">
    <sortCondition ref="AE2:AE381"/>
    <sortCondition ref="A2:A381"/>
  </sortState>
  <tableColumns count="264">
    <tableColumn id="1" xr3:uid="{00000000-0010-0000-0500-000001000000}" name="Reference_full" dataDxfId="589" totalsRowDxfId="588"/>
    <tableColumn id="138" xr3:uid="{00000000-0010-0000-0500-00008A000000}" name="MetaData_# (nummers voor unieke artikelen op volgorde v screening. Begonnen bij FC papers)" dataDxfId="587" totalsRowDxfId="586"/>
    <tableColumn id="135" xr3:uid="{00000000-0010-0000-0500-000087000000}" name="MetaData_Memory # voor unieke artikelen op volgorde v screening (memory papers)" dataDxfId="585" totalsRowDxfId="584"/>
    <tableColumn id="255" xr3:uid="{00000000-0010-0000-0500-0000FF000000}" name="MetaData_# Voor checken van 'overige artikelen' [ zitten hier nog FC en Memory bij? ]" dataDxfId="583" totalsRowDxfId="582"/>
    <tableColumn id="42" xr3:uid="{00000000-0010-0000-0500-00002A000000}" name="Reference_First Author" dataDxfId="581" totalsRowDxfId="580"/>
    <tableColumn id="43" xr3:uid="{00000000-0010-0000-0500-00002B000000}" name="Reference_Authors" dataDxfId="579" totalsRowDxfId="578"/>
    <tableColumn id="48" xr3:uid="{00000000-0010-0000-0500-000030000000}" name="Reference_Publication Year" dataDxfId="577"/>
    <tableColumn id="2" xr3:uid="{00000000-0010-0000-0500-000002000000}" name="Reference_PMID " dataDxfId="576" totalsRowDxfId="575"/>
    <tableColumn id="3" xr3:uid="{00000000-0010-0000-0500-000003000000}" name="Screening_PDF gedownload + in mendeley" dataDxfId="574"/>
    <tableColumn id="4" xr3:uid="{00000000-0010-0000-0500-000004000000}" name="Screening_Antwoorden overleg overeenstemming 7.11.16" dataDxfId="573" totalsRowDxfId="572"/>
    <tableColumn id="5" xr3:uid="{00000000-0010-0000-0500-000005000000}" name="Screening_Vragen Milou n.a.v. results EG" dataDxfId="571" totalsRowDxfId="570"/>
    <tableColumn id="6" xr3:uid="{00000000-0010-0000-0500-000006000000}" name="Screening_AbstractScreening_EG (1=include; 0 = exclude)" dataDxfId="569" totalsRowDxfId="568"/>
    <tableColumn id="7" xr3:uid="{00000000-0010-0000-0500-000007000000}" name="Screening_Notes_EG" dataDxfId="567" totalsRowDxfId="566"/>
    <tableColumn id="8" xr3:uid="{00000000-0010-0000-0500-000008000000}" name="Screening_AbstractScreening_MS (1=include; 0 = exclude)" dataDxfId="565" totalsRowDxfId="564"/>
    <tableColumn id="9" xr3:uid="{00000000-0010-0000-0500-000009000000}" name="Screening_Human (1) of Animal (2)" dataDxfId="563" totalsRowDxfId="562"/>
    <tableColumn id="10" xr3:uid="{00000000-0010-0000-0500-00000A000000}" name="Screening_Cognitive Measure" dataDxfId="561"/>
    <tableColumn id="11" xr3:uid="{00000000-0010-0000-0500-00000B000000}" name="Screening_RDoC (sub)construct " dataDxfId="560"/>
    <tableColumn id="12" xr3:uid="{00000000-0010-0000-0500-00000C000000}" name="Screening_Subjects_background (bv military/civilian/animalstrain/etc) words" dataDxfId="559"/>
    <tableColumn id="13" xr3:uid="{00000000-0010-0000-0500-00000D000000}" name="Screening_military population(1)" dataDxfId="558"/>
    <tableColumn id="14" xr3:uid="{00000000-0010-0000-0500-00000E000000}" name="Screening_PTSD Model?" dataDxfId="557"/>
    <tableColumn id="15" xr3:uid="{00000000-0010-0000-0500-00000F000000}" name="Screening_Gender" dataDxfId="556"/>
    <tableColumn id="16" xr3:uid="{00000000-0010-0000-0500-000010000000}" name="Screening_Dark/light" dataDxfId="555"/>
    <tableColumn id="17" xr3:uid="{00000000-0010-0000-0500-000011000000}" name="Screening_Task?" dataDxfId="554"/>
    <tableColumn id="18" xr3:uid="{00000000-0010-0000-0500-000012000000}" name="Screening_Brain measures?" dataDxfId="553"/>
    <tableColumn id="19" xr3:uid="{00000000-0010-0000-0500-000013000000}" name="Screening_Fysiological measures?" dataDxfId="552"/>
    <tableColumn id="20" xr3:uid="{00000000-0010-0000-0500-000014000000}" name="Screening_Psychological measures?" dataDxfId="551"/>
    <tableColumn id="21" xr3:uid="{00000000-0010-0000-0500-000015000000}" name="Screening_Intervention?" dataDxfId="550"/>
    <tableColumn id="22" xr3:uid="{00000000-0010-0000-0500-000016000000}" name="Screening_Notes_abstract screening" dataDxfId="549"/>
    <tableColumn id="258" xr3:uid="{00000000-0010-0000-0500-000002010000}" name="MetaData_Onderwerp, tijdens checken overig." dataDxfId="548"/>
    <tableColumn id="256" xr3:uid="{00000000-0010-0000-0500-000000010000}" name="MetaData_Checked op FC of Memory? (1=checked)" dataDxfId="547"/>
    <tableColumn id="257" xr3:uid="{00000000-0010-0000-0500-000001010000}" name="MetaData_data nog extracten [ 29.9.17 ] - Nog bekijken voor Memory of FC? (0= niet relevant voor Memory of FC; 1 = nog checken; 2 = full tekst al gelezen, data extracted)" dataDxfId="546"/>
    <tableColumn id="23" xr3:uid="{00000000-0010-0000-0500-000017000000}" name="MetaData_FINALinclORexcl" dataDxfId="545" totalsRowDxfId="544"/>
    <tableColumn id="24" xr3:uid="{00000000-0010-0000-0500-000018000000}" name="MetaData_FINAL incl/excl_comment" dataDxfId="543" totalsRowDxfId="542"/>
    <tableColumn id="25" xr3:uid="{00000000-0010-0000-0500-000019000000}" name="Data_Subjects_background (0=humanmixed(Civiel&amp;Military); 1=ActiveDutyMilitary; 2=Veteran; 3=Civilian; 4=Rat; 5=Mice)" dataDxfId="541" totalsRowDxfId="540"/>
    <tableColumn id="154" xr3:uid="{00000000-0010-0000-0500-00009A000000}" name="MetaData_QUALITY NOTES" dataDxfId="539" totalsRowDxfId="538"/>
    <tableColumn id="81" xr3:uid="{00000000-0010-0000-0500-000051000000}" name="MetaData_NOTES MS during data extraction" dataDxfId="537" totalsRowDxfId="536"/>
    <tableColumn id="141" xr3:uid="{00000000-0010-0000-0500-00008D000000}" name="MetaData_Data study dubbel in tabel? (0=nee; 1=ja, same subjects different task, 2=ja,different animals/humans, 'same' task)" dataDxfId="535"/>
    <tableColumn id="67" xr3:uid="{00000000-0010-0000-0500-000043000000}" name="MetaData_Data from vehicl injected group?" dataDxfId="534" totalsRowDxfId="533"/>
    <tableColumn id="26" xr3:uid="{00000000-0010-0000-0500-00001A000000}" name="Data_Subjects_n" dataDxfId="532" totalsRowDxfId="531"/>
    <tableColumn id="27" xr3:uid="{00000000-0010-0000-0500-00001B000000}" name="Data_Subjects_n_ptsd" dataDxfId="530" totalsRowDxfId="529"/>
    <tableColumn id="28" xr3:uid="{00000000-0010-0000-0500-00001C000000}" name="Data_Subjects_n_control" dataDxfId="528" totalsRowDxfId="527"/>
    <tableColumn id="29" xr3:uid="{00000000-0010-0000-0500-00001D000000}" name="Data_Subjects_gender_ptsd (M = male; F = female; - = not reported)" dataDxfId="526" totalsRowDxfId="525"/>
    <tableColumn id="30" xr3:uid="{00000000-0010-0000-0500-00001E000000}" name="Data_Subjects_gender_control (M = male; F = female; - = not reported)" dataDxfId="524" totalsRowDxfId="523"/>
    <tableColumn id="31" xr3:uid="{00000000-0010-0000-0500-00001F000000}" name="Data_Subjects_m_Age_ptsd (- = not reported)" dataDxfId="522" totalsRowDxfId="521"/>
    <tableColumn id="32" xr3:uid="{00000000-0010-0000-0500-000020000000}" name="Data_Subjects_sd_Age_ptsd (- = not reported)" dataDxfId="520" totalsRowDxfId="519"/>
    <tableColumn id="33" xr3:uid="{00000000-0010-0000-0500-000021000000}" name="Data_Subjects_m_Age_control (- = not reported)" dataDxfId="518" totalsRowDxfId="517"/>
    <tableColumn id="34" xr3:uid="{00000000-0010-0000-0500-000022000000}" name="Data_Subjects_sd_Age_control (- = not reported)" dataDxfId="516" totalsRowDxfId="515"/>
    <tableColumn id="35" xr3:uid="{00000000-0010-0000-0500-000023000000}" name="Data_Subjects_trauma-type_OR_PTSD-model" dataDxfId="514" totalsRowDxfId="513"/>
    <tableColumn id="140" xr3:uid="{00000000-0010-0000-0500-00008C000000}" name="MetaData_PTSD Model in Borghans etal.2015? (1=ja; - = na)" dataDxfId="512" totalsRowDxfId="511"/>
    <tableColumn id="142" xr3:uid="{00000000-0010-0000-0500-00008E000000}" name="MetaData_Good model according to Flandreau etal. 2017? (1=ja; - = na)" dataDxfId="510" totalsRowDxfId="509"/>
    <tableColumn id="91" xr3:uid="{00000000-0010-0000-0500-00005B000000}" name="Data_Subjects_Controle Group" dataDxfId="508" totalsRowDxfId="507"/>
    <tableColumn id="106" xr3:uid="{00000000-0010-0000-0500-00006A000000}" name="Data_Subjects_Strain_or_Population" dataDxfId="506" totalsRowDxfId="505"/>
    <tableColumn id="36" xr3:uid="{00000000-0010-0000-0500-000024000000}" name="Data_Subjects_ptsd-measure" dataDxfId="504" totalsRowDxfId="503"/>
    <tableColumn id="260" xr3:uid="{00000000-0010-0000-0500-000004010000}" name="MetaData_Domain_Anxiety" dataDxfId="502" totalsRowDxfId="501"/>
    <tableColumn id="259" xr3:uid="{00000000-0010-0000-0500-000003010000}" name="MetaData_Domain_Somatosensorisch" dataDxfId="500" totalsRowDxfId="499"/>
    <tableColumn id="38" xr3:uid="{00000000-0010-0000-0500-000026000000}" name="MetaData_Domain_FEAR" dataDxfId="498"/>
    <tableColumn id="65" xr3:uid="{00000000-0010-0000-0500-000041000000}" name="MetaData_Domain_AVOIDANCE" dataDxfId="497"/>
    <tableColumn id="39" xr3:uid="{00000000-0010-0000-0500-000027000000}" name="MetaData_Domain_ATTENTION" dataDxfId="496"/>
    <tableColumn id="45" xr3:uid="{00000000-0010-0000-0500-00002D000000}" name="MetaData_Domain_INHIBITION/CONTROL" dataDxfId="495"/>
    <tableColumn id="143" xr3:uid="{00000000-0010-0000-0500-00008F000000}" name="MetaData_Domain_Problem Solving" dataDxfId="494"/>
    <tableColumn id="145" xr3:uid="{00000000-0010-0000-0500-000091000000}" name="MetaData_Domain_Executive function" dataDxfId="493"/>
    <tableColumn id="40" xr3:uid="{00000000-0010-0000-0500-000028000000}" name="MetaData_Domain_MEMORY" dataDxfId="492"/>
    <tableColumn id="144" xr3:uid="{00000000-0010-0000-0500-000090000000}" name="MetaData_Domain_Cognitive BIAS" dataDxfId="491"/>
    <tableColumn id="46" xr3:uid="{00000000-0010-0000-0500-00002E000000}" name="MetaData_Domain_WM" dataDxfId="490"/>
    <tableColumn id="44" xr3:uid="{00000000-0010-0000-0500-00002C000000}" name="MetaData_Domain_REWARD" dataDxfId="489"/>
    <tableColumn id="146" xr3:uid="{00000000-0010-0000-0500-000092000000}" name="MetaData_Domain_General intellectual abilities" dataDxfId="488"/>
    <tableColumn id="147" xr3:uid="{00000000-0010-0000-0500-000093000000}" name="MetaData_Domain_Language" dataDxfId="487"/>
    <tableColumn id="41" xr3:uid="{00000000-0010-0000-0500-000029000000}" name="MetaData_Domain_PERCEPTION" dataDxfId="486"/>
    <tableColumn id="102" xr3:uid="{00000000-0010-0000-0500-000066000000}" name="MetaData_Domein (FINAL)" dataDxfId="485"/>
    <tableColumn id="261" xr3:uid="{00000000-0010-0000-0500-000005010000}" name="MetaData_DomeinSHORT" dataDxfId="484"/>
    <tableColumn id="263" xr3:uid="{00000000-0010-0000-0500-000007010000}" name="Trauma(1)orNon-trauma(2)Measures" dataDxfId="483"/>
    <tableColumn id="37" xr3:uid="{00000000-0010-0000-0500-000025000000}" name="Data_Method_study-design" dataDxfId="482" totalsRowDxfId="481"/>
    <tableColumn id="66" xr3:uid="{00000000-0010-0000-0500-000042000000}" name="Data_Method_Experimental Groups (n)" dataDxfId="480" totalsRowDxfId="479"/>
    <tableColumn id="121" xr3:uid="{00000000-0010-0000-0500-000079000000}" name="Data_Method_Task" dataDxfId="478" totalsRowDxfId="477"/>
    <tableColumn id="80" xr3:uid="{00000000-0010-0000-0500-000050000000}" name="Data_Method_animal light dark testing?" dataDxfId="476" totalsRowDxfId="475"/>
    <tableColumn id="50" xr3:uid="{00000000-0010-0000-0500-000032000000}" name="Data_Method_Measure" dataDxfId="474" totalsRowDxfId="473"/>
    <tableColumn id="264" xr3:uid="{00000000-0010-0000-0500-000008010000}" name="Data_Method_MeasureSHORT" dataDxfId="472" totalsRowDxfId="471"/>
    <tableColumn id="136" xr3:uid="{00000000-0010-0000-0500-000088000000}" name="MetaData_KeyFinding" dataDxfId="470" totalsRowDxfId="469"/>
    <tableColumn id="262" xr3:uid="{00000000-0010-0000-0500-000006010000}" name="MetaData_KeyFindingSHORT(+PTSDmore;-PTSDminder;0NoDiff)" dataDxfId="468" totalsRowDxfId="467"/>
    <tableColumn id="88" xr3:uid="{00000000-0010-0000-0500-000058000000}" name="Data_Outcome1_VarName" dataDxfId="466" totalsRowDxfId="465"/>
    <tableColumn id="47" xr3:uid="{00000000-0010-0000-0500-00002F000000}" name="Data_Outcome1_M" dataDxfId="464"/>
    <tableColumn id="82" xr3:uid="{00000000-0010-0000-0500-000052000000}" name="Data_Outcome1_SD" dataDxfId="463"/>
    <tableColumn id="49" xr3:uid="{00000000-0010-0000-0500-000031000000}" name="Data_Outcome1_SEM" dataDxfId="462"/>
    <tableColumn id="89" xr3:uid="{00000000-0010-0000-0500-000059000000}" name="Data_Outcome2_VarName" dataDxfId="461"/>
    <tableColumn id="51" xr3:uid="{00000000-0010-0000-0500-000033000000}" name="Data_Outcome2_M" dataDxfId="460"/>
    <tableColumn id="103" xr3:uid="{00000000-0010-0000-0500-000067000000}" name="Data_Outcome2_SD" dataDxfId="459"/>
    <tableColumn id="52" xr3:uid="{00000000-0010-0000-0500-000034000000}" name="Data_Outcome2_SEM" dataDxfId="458"/>
    <tableColumn id="71" xr3:uid="{00000000-0010-0000-0500-000047000000}" name="Data_Diff_outcome1&amp;2_SUM" dataDxfId="457"/>
    <tableColumn id="70" xr3:uid="{00000000-0010-0000-0500-000046000000}" name="Data_Diff_outcome1&amp;2_Statistic" dataDxfId="456"/>
    <tableColumn id="90" xr3:uid="{00000000-0010-0000-0500-00005A000000}" name="Data_Outcome3_VarName" dataDxfId="455"/>
    <tableColumn id="53" xr3:uid="{00000000-0010-0000-0500-000035000000}" name="Data_Outcome3_M" dataDxfId="454"/>
    <tableColumn id="122" xr3:uid="{00000000-0010-0000-0500-00007A000000}" name="Data_Outcome3_SD" dataDxfId="453"/>
    <tableColumn id="54" xr3:uid="{00000000-0010-0000-0500-000036000000}" name="Data_Outcome3_SEM" dataDxfId="452"/>
    <tableColumn id="92" xr3:uid="{00000000-0010-0000-0500-00005C000000}" name="Data_Outcome4_VarName" dataDxfId="451"/>
    <tableColumn id="55" xr3:uid="{00000000-0010-0000-0500-000037000000}" name="Data_Outcome4_M" dataDxfId="450"/>
    <tableColumn id="125" xr3:uid="{00000000-0010-0000-0500-00007D000000}" name="Data_Outcome4_SD" dataDxfId="449"/>
    <tableColumn id="56" xr3:uid="{00000000-0010-0000-0500-000038000000}" name="Data_Outcome4_SEM" dataDxfId="448"/>
    <tableColumn id="69" xr3:uid="{00000000-0010-0000-0500-000045000000}" name="Data_Diff_outcome3&amp;4_SUM" dataDxfId="447"/>
    <tableColumn id="68" xr3:uid="{00000000-0010-0000-0500-000044000000}" name="Data_Diff_Outcome 3&amp;4_Statistic" dataDxfId="446"/>
    <tableColumn id="73" xr3:uid="{00000000-0010-0000-0500-000049000000}" name="Data_Diff_Outcome1&amp;2+3&amp;4_SUM" dataDxfId="445"/>
    <tableColumn id="74" xr3:uid="{00000000-0010-0000-0500-00004A000000}" name="Data_Diff_Outcome1&amp;2+3&amp;4_Statistic" dataDxfId="444"/>
    <tableColumn id="94" xr3:uid="{00000000-0010-0000-0500-00005E000000}" name="Data_Outcome5_VarName" dataDxfId="443"/>
    <tableColumn id="57" xr3:uid="{00000000-0010-0000-0500-000039000000}" name="Data_Outcome5_M" dataDxfId="442"/>
    <tableColumn id="126" xr3:uid="{00000000-0010-0000-0500-00007E000000}" name="Data_Outcome5_SD" dataDxfId="441"/>
    <tableColumn id="58" xr3:uid="{00000000-0010-0000-0500-00003A000000}" name="Data_Outcome5_SEM" dataDxfId="440"/>
    <tableColumn id="95" xr3:uid="{00000000-0010-0000-0500-00005F000000}" name="Data_Outcome6_VarName" dataDxfId="439"/>
    <tableColumn id="59" xr3:uid="{00000000-0010-0000-0500-00003B000000}" name="Data_Outcome6_M" dataDxfId="438"/>
    <tableColumn id="127" xr3:uid="{00000000-0010-0000-0500-00007F000000}" name="Data_Outcome6_SD" dataDxfId="437"/>
    <tableColumn id="60" xr3:uid="{00000000-0010-0000-0500-00003C000000}" name="Data_Outcome6_SEM" dataDxfId="436"/>
    <tableColumn id="137" xr3:uid="{00000000-0010-0000-0500-000089000000}" name="Data_Diff_Outcome5-6_SUM" dataDxfId="435"/>
    <tableColumn id="87" xr3:uid="{00000000-0010-0000-0500-000057000000}" name="Data_Diff_Outcome5-6_Statistic" dataDxfId="434"/>
    <tableColumn id="96" xr3:uid="{00000000-0010-0000-0500-000060000000}" name="Data_Outcome7_VarName" dataDxfId="433"/>
    <tableColumn id="61" xr3:uid="{00000000-0010-0000-0500-00003D000000}" name="Data_Outcome7_M" dataDxfId="432"/>
    <tableColumn id="128" xr3:uid="{00000000-0010-0000-0500-000080000000}" name="Data_Outcome7_SD" dataDxfId="431"/>
    <tableColumn id="62" xr3:uid="{00000000-0010-0000-0500-00003E000000}" name="Data_Outcome7_SEM" dataDxfId="430"/>
    <tableColumn id="97" xr3:uid="{00000000-0010-0000-0500-000061000000}" name="Data_Outcome8_VarName" dataDxfId="429"/>
    <tableColumn id="63" xr3:uid="{00000000-0010-0000-0500-00003F000000}" name="Data_Outcome8_M" dataDxfId="428"/>
    <tableColumn id="129" xr3:uid="{00000000-0010-0000-0500-000081000000}" name="Data_Outcome8_SD" dataDxfId="427"/>
    <tableColumn id="64" xr3:uid="{00000000-0010-0000-0500-000040000000}" name="Data_Outcome8_SEM" dataDxfId="426"/>
    <tableColumn id="93" xr3:uid="{00000000-0010-0000-0500-00005D000000}" name="Data_Diff_Outcome7-8_SUM" dataDxfId="425"/>
    <tableColumn id="139" xr3:uid="{00000000-0010-0000-0500-00008B000000}" name="Data_Diff_Outcome7-8_Statistic" dataDxfId="424"/>
    <tableColumn id="83" xr3:uid="{00000000-0010-0000-0500-000053000000}" name="Data_Diff_Outcome5&amp;6+7&amp;8_SUM" dataDxfId="423"/>
    <tableColumn id="84" xr3:uid="{00000000-0010-0000-0500-000054000000}" name="Data_Diff_Outcome5&amp;6+7&amp;8_Statistic" dataDxfId="422"/>
    <tableColumn id="78" xr3:uid="{00000000-0010-0000-0500-00004E000000}" name="Data_Outcome9_VarName" dataDxfId="421"/>
    <tableColumn id="79" xr3:uid="{00000000-0010-0000-0500-00004F000000}" name="Data_Outcome9_M" dataDxfId="420"/>
    <tableColumn id="85" xr3:uid="{00000000-0010-0000-0500-000055000000}" name="Data_Outcome9_SD" dataDxfId="419"/>
    <tableColumn id="86" xr3:uid="{00000000-0010-0000-0500-000056000000}" name="Data_Outcome9_SEM" dataDxfId="418"/>
    <tableColumn id="98" xr3:uid="{00000000-0010-0000-0500-000062000000}" name="Data_Outcome10_VarName" dataDxfId="417"/>
    <tableColumn id="99" xr3:uid="{00000000-0010-0000-0500-000063000000}" name="Data_Outcome10_M" dataDxfId="416"/>
    <tableColumn id="100" xr3:uid="{00000000-0010-0000-0500-000064000000}" name="Data_Outcome10_SD" dataDxfId="415"/>
    <tableColumn id="101" xr3:uid="{00000000-0010-0000-0500-000065000000}" name="Data_Outcome10_SEM" dataDxfId="414"/>
    <tableColumn id="104" xr3:uid="{00000000-0010-0000-0500-000068000000}" name="Data_Diff_Outcome 8-10 SUM" dataDxfId="413"/>
    <tableColumn id="105" xr3:uid="{00000000-0010-0000-0500-000069000000}" name="Data_Diff_Outcome 9-10 Statistic" dataDxfId="412"/>
    <tableColumn id="107" xr3:uid="{00000000-0010-0000-0500-00006B000000}" name="Data_Outcome11_VarName" dataDxfId="411"/>
    <tableColumn id="108" xr3:uid="{00000000-0010-0000-0500-00006C000000}" name="Data_Outcome11_M" dataDxfId="410"/>
    <tableColumn id="109" xr3:uid="{00000000-0010-0000-0500-00006D000000}" name="Data_Outcome11_SD" dataDxfId="409"/>
    <tableColumn id="110" xr3:uid="{00000000-0010-0000-0500-00006E000000}" name="Data_Outcome11_SEM" dataDxfId="408"/>
    <tableColumn id="111" xr3:uid="{00000000-0010-0000-0500-00006F000000}" name="Data_Outcome12_VarName" dataDxfId="407"/>
    <tableColumn id="112" xr3:uid="{00000000-0010-0000-0500-000070000000}" name="Data_Outcome12_M" dataDxfId="406"/>
    <tableColumn id="113" xr3:uid="{00000000-0010-0000-0500-000071000000}" name="Data_Outcome12_SD" dataDxfId="405"/>
    <tableColumn id="114" xr3:uid="{00000000-0010-0000-0500-000072000000}" name="Data_Outcome12_SEM" dataDxfId="404"/>
    <tableColumn id="115" xr3:uid="{00000000-0010-0000-0500-000073000000}" name="Data_Diff_Outcome11-12 SUM" dataDxfId="403"/>
    <tableColumn id="116" xr3:uid="{00000000-0010-0000-0500-000074000000}" name="Data_Diff_Outcome11-12 Statistic" dataDxfId="402"/>
    <tableColumn id="117" xr3:uid="{00000000-0010-0000-0500-000075000000}" name="Data_Diff_General SUM" dataDxfId="401"/>
    <tableColumn id="72" xr3:uid="{00000000-0010-0000-0500-000048000000}" name="Data_Outcome13_VarName" dataDxfId="400"/>
    <tableColumn id="75" xr3:uid="{00000000-0010-0000-0500-00004B000000}" name="Data_Outcome13_M" dataDxfId="399"/>
    <tableColumn id="76" xr3:uid="{00000000-0010-0000-0500-00004C000000}" name="Data_Outcome13_SD" dataDxfId="398"/>
    <tableColumn id="77" xr3:uid="{00000000-0010-0000-0500-00004D000000}" name="Data_Outcome13_SEM" dataDxfId="397"/>
    <tableColumn id="118" xr3:uid="{00000000-0010-0000-0500-000076000000}" name="Data_Outcome14_VarName" dataDxfId="396"/>
    <tableColumn id="119" xr3:uid="{00000000-0010-0000-0500-000077000000}" name="Data_Outcome14_M" dataDxfId="395"/>
    <tableColumn id="120" xr3:uid="{00000000-0010-0000-0500-000078000000}" name="Data_Outcome14_SD" dataDxfId="394"/>
    <tableColumn id="123" xr3:uid="{00000000-0010-0000-0500-00007B000000}" name="Data_Outcome14_SEM" dataDxfId="393"/>
    <tableColumn id="124" xr3:uid="{00000000-0010-0000-0500-00007C000000}" name="Data_Diff_Outcome13-14 SUM" dataDxfId="392"/>
    <tableColumn id="130" xr3:uid="{00000000-0010-0000-0500-000082000000}" name="Data_Diff_Outcome13-14 Statistic" dataDxfId="391"/>
    <tableColumn id="131" xr3:uid="{00000000-0010-0000-0500-000083000000}" name="Data_Outcome15_VarName" dataDxfId="390"/>
    <tableColumn id="132" xr3:uid="{00000000-0010-0000-0500-000084000000}" name="Data_Outcome15_M" dataDxfId="389"/>
    <tableColumn id="133" xr3:uid="{00000000-0010-0000-0500-000085000000}" name="Data_Outcome15_SD" dataDxfId="388"/>
    <tableColumn id="134" xr3:uid="{00000000-0010-0000-0500-000086000000}" name="Data_Outcome15_SEM" dataDxfId="387"/>
    <tableColumn id="148" xr3:uid="{00000000-0010-0000-0500-000094000000}" name="Data_Outcome16_VarName" dataDxfId="386"/>
    <tableColumn id="149" xr3:uid="{00000000-0010-0000-0500-000095000000}" name="Data_Outcome16_M" dataDxfId="385"/>
    <tableColumn id="150" xr3:uid="{00000000-0010-0000-0500-000096000000}" name="Data_Outcome16_SD" dataDxfId="384"/>
    <tableColumn id="151" xr3:uid="{00000000-0010-0000-0500-000097000000}" name="Data_Outcome16_SEM" dataDxfId="383"/>
    <tableColumn id="152" xr3:uid="{00000000-0010-0000-0500-000098000000}" name="Data_Diff_Outcome15-16SUM" dataDxfId="382"/>
    <tableColumn id="153" xr3:uid="{00000000-0010-0000-0500-000099000000}" name="Data_Diff_Outcome15-16 Statistic" dataDxfId="381"/>
    <tableColumn id="155" xr3:uid="{00000000-0010-0000-0500-00009B000000}" name="Data_Outcome17_VarName" dataDxfId="380"/>
    <tableColumn id="156" xr3:uid="{00000000-0010-0000-0500-00009C000000}" name="Data_Outcome17_M" dataDxfId="379"/>
    <tableColumn id="157" xr3:uid="{00000000-0010-0000-0500-00009D000000}" name="Data_Outcome17_SD" dataDxfId="378"/>
    <tableColumn id="158" xr3:uid="{00000000-0010-0000-0500-00009E000000}" name="Data_Outcome17_SEM" dataDxfId="377"/>
    <tableColumn id="159" xr3:uid="{00000000-0010-0000-0500-00009F000000}" name="Data_Outcome18_VarName" dataDxfId="376"/>
    <tableColumn id="160" xr3:uid="{00000000-0010-0000-0500-0000A0000000}" name="Data_Outcome18_M" dataDxfId="375"/>
    <tableColumn id="161" xr3:uid="{00000000-0010-0000-0500-0000A1000000}" name="Data_Outcome18_SD" dataDxfId="374"/>
    <tableColumn id="162" xr3:uid="{00000000-0010-0000-0500-0000A2000000}" name="Data_Outcome18_SEM" dataDxfId="373"/>
    <tableColumn id="163" xr3:uid="{00000000-0010-0000-0500-0000A3000000}" name="Data_Diff_outcome17-18SUM" dataDxfId="372"/>
    <tableColumn id="164" xr3:uid="{00000000-0010-0000-0500-0000A4000000}" name="Data_Diff_outcome17-18Statistic" dataDxfId="371"/>
    <tableColumn id="165" xr3:uid="{00000000-0010-0000-0500-0000A5000000}" name="Data_Outcome19_VarName" dataDxfId="370"/>
    <tableColumn id="166" xr3:uid="{00000000-0010-0000-0500-0000A6000000}" name="Data_Outcome19_M" dataDxfId="369"/>
    <tableColumn id="167" xr3:uid="{00000000-0010-0000-0500-0000A7000000}" name="Data_Outcome19_SD" dataDxfId="368"/>
    <tableColumn id="168" xr3:uid="{00000000-0010-0000-0500-0000A8000000}" name="Data_Outcome19_SEM" dataDxfId="367"/>
    <tableColumn id="169" xr3:uid="{00000000-0010-0000-0500-0000A9000000}" name="Data_Outcome20_VarName" dataDxfId="366"/>
    <tableColumn id="170" xr3:uid="{00000000-0010-0000-0500-0000AA000000}" name="Data_Outcome20_M" dataDxfId="365"/>
    <tableColumn id="171" xr3:uid="{00000000-0010-0000-0500-0000AB000000}" name="Data_Outcome20_SD" dataDxfId="364"/>
    <tableColumn id="172" xr3:uid="{00000000-0010-0000-0500-0000AC000000}" name="Data_Outcome20_SEM" dataDxfId="363"/>
    <tableColumn id="173" xr3:uid="{00000000-0010-0000-0500-0000AD000000}" name="Data_Diff_outcome19-20SUM" dataDxfId="362"/>
    <tableColumn id="174" xr3:uid="{00000000-0010-0000-0500-0000AE000000}" name="Data_Diff_outcome19-20Statistics" dataDxfId="361"/>
    <tableColumn id="175" xr3:uid="{00000000-0010-0000-0500-0000AF000000}" name="Data_Outcome21_VarName" dataDxfId="360"/>
    <tableColumn id="176" xr3:uid="{00000000-0010-0000-0500-0000B0000000}" name="Data_Outcome21_M" dataDxfId="359"/>
    <tableColumn id="177" xr3:uid="{00000000-0010-0000-0500-0000B1000000}" name="Data_Outcome21_SD" dataDxfId="358"/>
    <tableColumn id="178" xr3:uid="{00000000-0010-0000-0500-0000B2000000}" name="Data_Outcome21_SEM" dataDxfId="357"/>
    <tableColumn id="179" xr3:uid="{00000000-0010-0000-0500-0000B3000000}" name="Data_Outcome22_VarName" dataDxfId="356"/>
    <tableColumn id="180" xr3:uid="{00000000-0010-0000-0500-0000B4000000}" name="Data_Outcome22_M" dataDxfId="355"/>
    <tableColumn id="181" xr3:uid="{00000000-0010-0000-0500-0000B5000000}" name="Data_Outcome22_SD" dataDxfId="354"/>
    <tableColumn id="182" xr3:uid="{00000000-0010-0000-0500-0000B6000000}" name="Data_Outcome22_SEM" dataDxfId="353"/>
    <tableColumn id="183" xr3:uid="{00000000-0010-0000-0500-0000B7000000}" name="Data_Diff_outcome21-22SUM" dataDxfId="352"/>
    <tableColumn id="184" xr3:uid="{00000000-0010-0000-0500-0000B8000000}" name="Data_Diff_outcome21-22Statistic" dataDxfId="351"/>
    <tableColumn id="186" xr3:uid="{00000000-0010-0000-0500-0000BA000000}" name="Data_Outcome23_VarName" dataDxfId="350"/>
    <tableColumn id="187" xr3:uid="{00000000-0010-0000-0500-0000BB000000}" name="Data_Outcome23_M" dataDxfId="349"/>
    <tableColumn id="188" xr3:uid="{00000000-0010-0000-0500-0000BC000000}" name="Data_Outcome23_SD" dataDxfId="348"/>
    <tableColumn id="189" xr3:uid="{00000000-0010-0000-0500-0000BD000000}" name="Data_Outcome23_SEM" dataDxfId="347"/>
    <tableColumn id="190" xr3:uid="{00000000-0010-0000-0500-0000BE000000}" name="Data_Outcome24_VarName" dataDxfId="346"/>
    <tableColumn id="191" xr3:uid="{00000000-0010-0000-0500-0000BF000000}" name="Data_Outcome24_M" dataDxfId="345"/>
    <tableColumn id="192" xr3:uid="{00000000-0010-0000-0500-0000C0000000}" name="Data_Outcome24_SD" dataDxfId="344"/>
    <tableColumn id="193" xr3:uid="{00000000-0010-0000-0500-0000C1000000}" name="Data_Outcome24_SEM" dataDxfId="343"/>
    <tableColumn id="194" xr3:uid="{00000000-0010-0000-0500-0000C2000000}" name="Data_Diff_outcome23-24SUM" dataDxfId="342"/>
    <tableColumn id="195" xr3:uid="{00000000-0010-0000-0500-0000C3000000}" name="Data_Diff_outcome23-24Statistic" dataDxfId="341"/>
    <tableColumn id="185" xr3:uid="{00000000-0010-0000-0500-0000B9000000}" name="Data_Outcome25_VarName" dataDxfId="340"/>
    <tableColumn id="196" xr3:uid="{00000000-0010-0000-0500-0000C4000000}" name="Data_Outcome25_M" dataDxfId="339"/>
    <tableColumn id="197" xr3:uid="{00000000-0010-0000-0500-0000C5000000}" name="Data_Outcome25_SD" dataDxfId="338"/>
    <tableColumn id="198" xr3:uid="{00000000-0010-0000-0500-0000C6000000}" name="Data_Outcome25_SEM" dataDxfId="337"/>
    <tableColumn id="199" xr3:uid="{00000000-0010-0000-0500-0000C7000000}" name="Data_Outcome26_VarName" dataDxfId="336"/>
    <tableColumn id="200" xr3:uid="{00000000-0010-0000-0500-0000C8000000}" name="Data_Outcome26_M" dataDxfId="335"/>
    <tableColumn id="201" xr3:uid="{00000000-0010-0000-0500-0000C9000000}" name="Data_Outcome26_SD" dataDxfId="334"/>
    <tableColumn id="202" xr3:uid="{00000000-0010-0000-0500-0000CA000000}" name="Data_Outcome26_SEM" dataDxfId="333"/>
    <tableColumn id="203" xr3:uid="{00000000-0010-0000-0500-0000CB000000}" name="Data_Diff_outcome25-26Sum" dataDxfId="332"/>
    <tableColumn id="204" xr3:uid="{00000000-0010-0000-0500-0000CC000000}" name="Data_Diff_outcome25-26Statistic" dataDxfId="331"/>
    <tableColumn id="205" xr3:uid="{00000000-0010-0000-0500-0000CD000000}" name="Data_Outcome27_VarName" dataDxfId="330"/>
    <tableColumn id="206" xr3:uid="{00000000-0010-0000-0500-0000CE000000}" name="Data_Outcome27_M" dataDxfId="329"/>
    <tableColumn id="207" xr3:uid="{00000000-0010-0000-0500-0000CF000000}" name="Data_Outcome27_SD" dataDxfId="328"/>
    <tableColumn id="208" xr3:uid="{00000000-0010-0000-0500-0000D0000000}" name="Data_Outcome27_SEM" dataDxfId="327"/>
    <tableColumn id="209" xr3:uid="{00000000-0010-0000-0500-0000D1000000}" name="Data_Outcome28_VarName" dataDxfId="326"/>
    <tableColumn id="210" xr3:uid="{00000000-0010-0000-0500-0000D2000000}" name="Data_Outcome28_M" dataDxfId="325"/>
    <tableColumn id="211" xr3:uid="{00000000-0010-0000-0500-0000D3000000}" name="Data_Outcome28_SD" dataDxfId="324"/>
    <tableColumn id="212" xr3:uid="{00000000-0010-0000-0500-0000D4000000}" name="Data_Outcome28_SEM" dataDxfId="323"/>
    <tableColumn id="213" xr3:uid="{00000000-0010-0000-0500-0000D5000000}" name="Data_Diff_outcome27-28SUM" dataDxfId="322"/>
    <tableColumn id="214" xr3:uid="{00000000-0010-0000-0500-0000D6000000}" name="Data_Diff_outcome27-28Statistic" dataDxfId="321"/>
    <tableColumn id="215" xr3:uid="{00000000-0010-0000-0500-0000D7000000}" name="Data_Outcome29_VarName" dataDxfId="320"/>
    <tableColumn id="216" xr3:uid="{00000000-0010-0000-0500-0000D8000000}" name="Data_Outcome29_M" dataDxfId="319"/>
    <tableColumn id="217" xr3:uid="{00000000-0010-0000-0500-0000D9000000}" name="Data_Outcome29_SD" dataDxfId="318"/>
    <tableColumn id="218" xr3:uid="{00000000-0010-0000-0500-0000DA000000}" name="Data_Outcome29_SEM" dataDxfId="317"/>
    <tableColumn id="219" xr3:uid="{00000000-0010-0000-0500-0000DB000000}" name="Data_Outcome30_VarName" dataDxfId="316"/>
    <tableColumn id="220" xr3:uid="{00000000-0010-0000-0500-0000DC000000}" name="Data_Outcome30_M" dataDxfId="315"/>
    <tableColumn id="221" xr3:uid="{00000000-0010-0000-0500-0000DD000000}" name="Data_Outcome30_SD" dataDxfId="314"/>
    <tableColumn id="222" xr3:uid="{00000000-0010-0000-0500-0000DE000000}" name="Data_Outcome30_SEM" dataDxfId="313"/>
    <tableColumn id="223" xr3:uid="{00000000-0010-0000-0500-0000DF000000}" name="Data_Diff_outcome29-30SUM" dataDxfId="312"/>
    <tableColumn id="224" xr3:uid="{00000000-0010-0000-0500-0000E0000000}" name="Data_Diff_outcome29-30Statistic2" dataDxfId="311"/>
    <tableColumn id="225" xr3:uid="{00000000-0010-0000-0500-0000E1000000}" name="Data_Outcome31_VarName" dataDxfId="310"/>
    <tableColumn id="226" xr3:uid="{00000000-0010-0000-0500-0000E2000000}" name="Data_Outcome31_M" dataDxfId="309"/>
    <tableColumn id="227" xr3:uid="{00000000-0010-0000-0500-0000E3000000}" name="Data_Outcome31_SD" dataDxfId="308"/>
    <tableColumn id="228" xr3:uid="{00000000-0010-0000-0500-0000E4000000}" name="Data_Outcome31_SEM" dataDxfId="307"/>
    <tableColumn id="229" xr3:uid="{00000000-0010-0000-0500-0000E5000000}" name="Data_Outcome32_VarName" dataDxfId="306"/>
    <tableColumn id="230" xr3:uid="{00000000-0010-0000-0500-0000E6000000}" name="Data_Outcome32_M" dataDxfId="305"/>
    <tableColumn id="231" xr3:uid="{00000000-0010-0000-0500-0000E7000000}" name="Data_Outcome32_SD" dataDxfId="304"/>
    <tableColumn id="232" xr3:uid="{00000000-0010-0000-0500-0000E8000000}" name="Data_Outcome32_SEM" dataDxfId="303"/>
    <tableColumn id="233" xr3:uid="{00000000-0010-0000-0500-0000E9000000}" name="Data_Diff_outcome31-32SUM" dataDxfId="302"/>
    <tableColumn id="234" xr3:uid="{00000000-0010-0000-0500-0000EA000000}" name="Data_Diff_outcome31-32Statistic" dataDxfId="301"/>
    <tableColumn id="235" xr3:uid="{00000000-0010-0000-0500-0000EB000000}" name="Data_Outcome33_VarName" dataDxfId="300"/>
    <tableColumn id="236" xr3:uid="{00000000-0010-0000-0500-0000EC000000}" name="Data_Outcome33_M" dataDxfId="299"/>
    <tableColumn id="237" xr3:uid="{00000000-0010-0000-0500-0000ED000000}" name="Data_Outcome33_SD" dataDxfId="298"/>
    <tableColumn id="238" xr3:uid="{00000000-0010-0000-0500-0000EE000000}" name="Data_Outcome33_SEM" dataDxfId="297"/>
    <tableColumn id="239" xr3:uid="{00000000-0010-0000-0500-0000EF000000}" name="Data_Outcome34_VarName" dataDxfId="296"/>
    <tableColumn id="240" xr3:uid="{00000000-0010-0000-0500-0000F0000000}" name="Data_Outcome34_M" dataDxfId="295"/>
    <tableColumn id="241" xr3:uid="{00000000-0010-0000-0500-0000F1000000}" name="Data_Outcome34_SD" dataDxfId="294"/>
    <tableColumn id="242" xr3:uid="{00000000-0010-0000-0500-0000F2000000}" name="Data_Outcome34_SEM" dataDxfId="293"/>
    <tableColumn id="243" xr3:uid="{00000000-0010-0000-0500-0000F3000000}" name="Data_Diff_outcome33-34SUM" dataDxfId="292"/>
    <tableColumn id="244" xr3:uid="{00000000-0010-0000-0500-0000F4000000}" name="Data_Diff_outcome33-34Statistic" dataDxfId="291"/>
    <tableColumn id="245" xr3:uid="{00000000-0010-0000-0500-0000F5000000}" name="Data_Outcome35_VarName" dataDxfId="290"/>
    <tableColumn id="246" xr3:uid="{00000000-0010-0000-0500-0000F6000000}" name="Data_Outcome35_M" dataDxfId="289"/>
    <tableColumn id="247" xr3:uid="{00000000-0010-0000-0500-0000F7000000}" name="Data_Outcome35_SD" dataDxfId="288"/>
    <tableColumn id="248" xr3:uid="{00000000-0010-0000-0500-0000F8000000}" name="Data_Outcome35_SEM" dataDxfId="287"/>
    <tableColumn id="249" xr3:uid="{00000000-0010-0000-0500-0000F9000000}" name="Data_Outcome36_VarName" dataDxfId="286"/>
    <tableColumn id="250" xr3:uid="{00000000-0010-0000-0500-0000FA000000}" name="Data_Outcome36_M" dataDxfId="285"/>
    <tableColumn id="251" xr3:uid="{00000000-0010-0000-0500-0000FB000000}" name="Data_Outcome36_SD" dataDxfId="284"/>
    <tableColumn id="252" xr3:uid="{00000000-0010-0000-0500-0000FC000000}" name="Data_Outcome36_SEM" dataDxfId="283"/>
    <tableColumn id="253" xr3:uid="{00000000-0010-0000-0500-0000FD000000}" name="Data_Diff_outcome35-36SUM" dataDxfId="282"/>
    <tableColumn id="254" xr3:uid="{00000000-0010-0000-0500-0000FE000000}" name="Data_Diff_outcome35-36Statistic" dataDxfId="281"/>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6000000}" name="Table66" displayName="Table66" ref="A1:FJ798" totalsRowShown="0" headerRowDxfId="244" dataDxfId="243" tableBorderDxfId="242">
  <autoFilter ref="A1:FJ798" xr:uid="{00000000-0009-0000-0100-000005000000}">
    <filterColumn colId="31">
      <filters>
        <filter val="1"/>
      </filters>
    </filterColumn>
    <filterColumn colId="85">
      <filters>
        <filter val="FC"/>
      </filters>
    </filterColumn>
  </autoFilter>
  <sortState ref="A27:FJ795">
    <sortCondition ref="CC1:CC798"/>
  </sortState>
  <tableColumns count="166">
    <tableColumn id="1" xr3:uid="{00000000-0010-0000-0600-000001000000}" name="Reference_full" dataDxfId="241" totalsRowDxfId="240"/>
    <tableColumn id="138" xr3:uid="{00000000-0010-0000-0600-00008A000000}" name="MetaData_# (nummers voor unieke artikelen op volgorde v screening. Begonnen bij FC papers)" dataDxfId="239" totalsRowDxfId="238"/>
    <tableColumn id="135" xr3:uid="{00000000-0010-0000-0600-000087000000}" name="MetaData_Memory # voor unieke artikelen op volgorde v screening (memory papers)" dataDxfId="237" totalsRowDxfId="236"/>
    <tableColumn id="255" xr3:uid="{00000000-0010-0000-0600-0000FF000000}" name="MetaData_# Voor checken van 'overige artikelen' [ zitten hier nog FC en Memory bij? ]" dataDxfId="235" totalsRowDxfId="234"/>
    <tableColumn id="42" xr3:uid="{00000000-0010-0000-0600-00002A000000}" name="Reference_First Author" dataDxfId="233" totalsRowDxfId="232"/>
    <tableColumn id="43" xr3:uid="{00000000-0010-0000-0600-00002B000000}" name="Reference_Authors" dataDxfId="231" totalsRowDxfId="230"/>
    <tableColumn id="48" xr3:uid="{00000000-0010-0000-0600-000030000000}" name="Reference_Publication Year" dataDxfId="229"/>
    <tableColumn id="2" xr3:uid="{00000000-0010-0000-0600-000002000000}" name="Reference_PMID " dataDxfId="228" totalsRowDxfId="227"/>
    <tableColumn id="3" xr3:uid="{00000000-0010-0000-0600-000003000000}" name="Screening_PDF gedownload + in mendeley" dataDxfId="226"/>
    <tableColumn id="4" xr3:uid="{00000000-0010-0000-0600-000004000000}" name="Screening_Antwoorden overleg overeenstemming 7.11.16" dataDxfId="225" totalsRowDxfId="224"/>
    <tableColumn id="5" xr3:uid="{00000000-0010-0000-0600-000005000000}" name="Screening_Vragen Milou n.a.v. results EG" dataDxfId="223" totalsRowDxfId="222"/>
    <tableColumn id="6" xr3:uid="{00000000-0010-0000-0600-000006000000}" name="Screening_AbstractScreening_EG (1=include; 0 = exclude)" dataDxfId="221" totalsRowDxfId="220"/>
    <tableColumn id="7" xr3:uid="{00000000-0010-0000-0600-000007000000}" name="Screening_Notes_EG" dataDxfId="219" totalsRowDxfId="218"/>
    <tableColumn id="8" xr3:uid="{00000000-0010-0000-0600-000008000000}" name="Screening_AbstractScreening_MS (1=include; 0 = exclude)" dataDxfId="217" totalsRowDxfId="216"/>
    <tableColumn id="9" xr3:uid="{00000000-0010-0000-0600-000009000000}" name="Screening_Human (1) of Animal (2)" dataDxfId="215" totalsRowDxfId="214"/>
    <tableColumn id="10" xr3:uid="{00000000-0010-0000-0600-00000A000000}" name="Screening_Cognitive Measure" dataDxfId="213"/>
    <tableColumn id="11" xr3:uid="{00000000-0010-0000-0600-00000B000000}" name="Screening_RDoC (sub)construct " dataDxfId="212"/>
    <tableColumn id="12" xr3:uid="{00000000-0010-0000-0600-00000C000000}" name="Screening_Subjects_background (bv military/civilian/animalstrain/etc) words" dataDxfId="211"/>
    <tableColumn id="13" xr3:uid="{00000000-0010-0000-0600-00000D000000}" name="Screening_military population(1)" dataDxfId="210"/>
    <tableColumn id="14" xr3:uid="{00000000-0010-0000-0600-00000E000000}" name="Screening_PTSD Model?" dataDxfId="209"/>
    <tableColumn id="15" xr3:uid="{00000000-0010-0000-0600-00000F000000}" name="Screening_Gender" dataDxfId="208"/>
    <tableColumn id="16" xr3:uid="{00000000-0010-0000-0600-000010000000}" name="Screening_Dark/light" dataDxfId="207"/>
    <tableColumn id="17" xr3:uid="{00000000-0010-0000-0600-000011000000}" name="Screening_Task?" dataDxfId="206"/>
    <tableColumn id="18" xr3:uid="{00000000-0010-0000-0600-000012000000}" name="Screening_Brain measures?" dataDxfId="205"/>
    <tableColumn id="19" xr3:uid="{00000000-0010-0000-0600-000013000000}" name="Screening_Fysiological measures?" dataDxfId="204"/>
    <tableColumn id="20" xr3:uid="{00000000-0010-0000-0600-000014000000}" name="Screening_Psychological measures?" dataDxfId="203"/>
    <tableColumn id="21" xr3:uid="{00000000-0010-0000-0600-000015000000}" name="Screening_Intervention?" dataDxfId="202"/>
    <tableColumn id="22" xr3:uid="{00000000-0010-0000-0600-000016000000}" name="Screening_Notes_abstract screening" dataDxfId="201"/>
    <tableColumn id="258" xr3:uid="{00000000-0010-0000-0600-000002010000}" name="MetaData_Onderwerp, tijdens checken overig." dataDxfId="200"/>
    <tableColumn id="256" xr3:uid="{00000000-0010-0000-0600-000000010000}" name="MetaData_Checked op FC of Memory? (1=checked)" dataDxfId="199"/>
    <tableColumn id="257" xr3:uid="{00000000-0010-0000-0600-000001010000}" name="MetaData_data nog extracten [ 29.9.17 ] - Nog bekijken voor Memory of FC? (0= niet relevant voor Memory of FC; 1 = nog checken; 2 = full tekst al gelezen, data extracted)" dataDxfId="198"/>
    <tableColumn id="23" xr3:uid="{00000000-0010-0000-0600-000017000000}" name="MetaData_FINALinclORexcl (0= checked&amp;excluded; 1 = included(MemoryFC); 2 = other_Domein)" dataDxfId="197" totalsRowDxfId="196"/>
    <tableColumn id="24" xr3:uid="{00000000-0010-0000-0600-000018000000}" name="MetaData_FINAL incl/excl_comment" dataDxfId="195" totalsRowDxfId="194"/>
    <tableColumn id="265" xr3:uid="{00000000-0010-0000-0600-000009010000}" name="To do? 081117 (0=checked and no; E&amp;M = vraag Elbert &amp; Marian)" dataDxfId="193" totalsRowDxfId="192"/>
    <tableColumn id="25" xr3:uid="{00000000-0010-0000-0600-000019000000}" name="Data_Subjects_background (0=humanmixed(Civiel&amp;Military); 1=ActiveDutyMilitary; 2=Veteran; 3=Civilian; 4=Rat; 5=Mice)" dataDxfId="191" totalsRowDxfId="190"/>
    <tableColumn id="154" xr3:uid="{00000000-0010-0000-0600-00009A000000}" name="MetaData_QUALITY NOTES" dataDxfId="189" totalsRowDxfId="188"/>
    <tableColumn id="81" xr3:uid="{00000000-0010-0000-0600-000051000000}" name="MetaData_NOTES MS during data extraction" dataDxfId="187" totalsRowDxfId="186"/>
    <tableColumn id="141" xr3:uid="{00000000-0010-0000-0600-00008D000000}" name="MetaData_Data study dubbel in tabel? (0=nee; 1=ja, same subjects different task, 2=ja,different animals/humans, 'same' task)" dataDxfId="185"/>
    <tableColumn id="67" xr3:uid="{00000000-0010-0000-0600-000043000000}" name="MetaData_Data from vehicl injected group?" dataDxfId="184" totalsRowDxfId="183"/>
    <tableColumn id="26" xr3:uid="{00000000-0010-0000-0600-00001A000000}" name="Data_Subjects_n" dataDxfId="182" totalsRowDxfId="181"/>
    <tableColumn id="27" xr3:uid="{00000000-0010-0000-0600-00001B000000}" name="Data_Subjects_n_ptsd" dataDxfId="180" totalsRowDxfId="179"/>
    <tableColumn id="28" xr3:uid="{00000000-0010-0000-0600-00001C000000}" name="Data_Subjects_n_control" dataDxfId="178" totalsRowDxfId="177"/>
    <tableColumn id="29" xr3:uid="{00000000-0010-0000-0600-00001D000000}" name="Data_Subjects_gender_ptsd (M = male; F = female; - = not reported)" dataDxfId="176" totalsRowDxfId="175"/>
    <tableColumn id="30" xr3:uid="{00000000-0010-0000-0600-00001E000000}" name="Data_Subjects_gender_control (M = male; F = female; - = not reported)" dataDxfId="174" totalsRowDxfId="173"/>
    <tableColumn id="31" xr3:uid="{00000000-0010-0000-0600-00001F000000}" name="Data_Subjects_m_Age_ptsd (- = not reported)" dataDxfId="172" totalsRowDxfId="171"/>
    <tableColumn id="32" xr3:uid="{00000000-0010-0000-0600-000020000000}" name="Data_Subjects_sd_Age_ptsd (- = not reported)" dataDxfId="170" totalsRowDxfId="169"/>
    <tableColumn id="33" xr3:uid="{00000000-0010-0000-0600-000021000000}" name="Data_Subjects_m_Age_control (- = not reported)" dataDxfId="168" totalsRowDxfId="167"/>
    <tableColumn id="34" xr3:uid="{00000000-0010-0000-0600-000022000000}" name="Data_Subjects_sd_Age_control (- = not reported)" dataDxfId="166" totalsRowDxfId="165"/>
    <tableColumn id="35" xr3:uid="{00000000-0010-0000-0600-000023000000}" name="Data_Subjects_trauma-type_OR_PTSD-model" dataDxfId="164" totalsRowDxfId="163"/>
    <tableColumn id="276" xr3:uid="{00000000-0010-0000-0600-000014010000}" name="Data_Subjects_FS_#Shocks" dataDxfId="162" totalsRowDxfId="161"/>
    <tableColumn id="275" xr3:uid="{00000000-0010-0000-0600-000013010000}" name="Data_Subjects_FS_Amperage(mA)" dataDxfId="160" totalsRowDxfId="159"/>
    <tableColumn id="267" xr3:uid="{00000000-0010-0000-0600-00000B010000}" name="Data_Subjects_PTSDtypeSHORT2" dataDxfId="158"/>
    <tableColumn id="140" xr3:uid="{00000000-0010-0000-0600-00008C000000}" name="MetaData_PTSD Model in Borghans etal.2015? (1=ja; - = na)" dataDxfId="157" totalsRowDxfId="156"/>
    <tableColumn id="142" xr3:uid="{00000000-0010-0000-0600-00008E000000}" name="MetaData_Good model according to Flandreau etal. 2017? (1=ja; - = na)" dataDxfId="155" totalsRowDxfId="154"/>
    <tableColumn id="91" xr3:uid="{00000000-0010-0000-0600-00005B000000}" name="Data_Subjects_Controle Group" dataDxfId="153" totalsRowDxfId="152"/>
    <tableColumn id="270" xr3:uid="{00000000-0010-0000-0600-00000E010000}" name="Data_Subjects_Controltype" dataDxfId="151" totalsRowDxfId="150"/>
    <tableColumn id="72" xr3:uid="{5AD6C3CA-697F-0245-82CC-BACE6AC330F3}" name="Multiple Control groups? (HUMAN)" dataDxfId="149" totalsRowDxfId="148"/>
    <tableColumn id="106" xr3:uid="{00000000-0010-0000-0600-00006A000000}" name="Data_Subjects_Strain_or_Population" dataDxfId="147" totalsRowDxfId="146"/>
    <tableColumn id="36" xr3:uid="{00000000-0010-0000-0600-000024000000}" name="Data_Subjects_ptsd-measure" dataDxfId="145" totalsRowDxfId="144"/>
    <tableColumn id="260" xr3:uid="{00000000-0010-0000-0600-000004010000}" name="MetaData_Domain_Anxiety" dataDxfId="143" totalsRowDxfId="142"/>
    <tableColumn id="259" xr3:uid="{00000000-0010-0000-0600-000003010000}" name="MetaData_Domain_Somatosensorisch" dataDxfId="141" totalsRowDxfId="140"/>
    <tableColumn id="38" xr3:uid="{00000000-0010-0000-0600-000026000000}" name="MetaData_Domain_FEAR" dataDxfId="139"/>
    <tableColumn id="65" xr3:uid="{00000000-0010-0000-0600-000041000000}" name="MetaData_Domain_AVOIDANCE" dataDxfId="138"/>
    <tableColumn id="39" xr3:uid="{00000000-0010-0000-0600-000027000000}" name="MetaData_Domain_ATTENTION" dataDxfId="137"/>
    <tableColumn id="45" xr3:uid="{00000000-0010-0000-0600-00002D000000}" name="MetaData_Domain_INHIBITION/CONTROL" dataDxfId="136"/>
    <tableColumn id="143" xr3:uid="{00000000-0010-0000-0600-00008F000000}" name="MetaData_Domain_Problem Solving" dataDxfId="135"/>
    <tableColumn id="145" xr3:uid="{00000000-0010-0000-0600-000091000000}" name="MetaData_Domain_Executive function" dataDxfId="134"/>
    <tableColumn id="40" xr3:uid="{00000000-0010-0000-0600-000028000000}" name="MetaData_Domain_MEMORY" dataDxfId="133"/>
    <tableColumn id="144" xr3:uid="{00000000-0010-0000-0600-000090000000}" name="MetaData_Domain_Cognitive BIAS" dataDxfId="132"/>
    <tableColumn id="46" xr3:uid="{00000000-0010-0000-0600-00002E000000}" name="MetaData_Domain_WM" dataDxfId="131"/>
    <tableColumn id="44" xr3:uid="{00000000-0010-0000-0600-00002C000000}" name="MetaData_Domain_REWARD" dataDxfId="130"/>
    <tableColumn id="146" xr3:uid="{00000000-0010-0000-0600-000092000000}" name="MetaData_Domain_General intellectual abilities" dataDxfId="129"/>
    <tableColumn id="147" xr3:uid="{00000000-0010-0000-0600-000093000000}" name="MetaData_Domain_Language" dataDxfId="128"/>
    <tableColumn id="41" xr3:uid="{00000000-0010-0000-0600-000029000000}" name="MetaData_Domain_PERCEPTION" dataDxfId="127"/>
    <tableColumn id="102" xr3:uid="{00000000-0010-0000-0600-000066000000}" name="MetaData_Domein (FINAL)" dataDxfId="126"/>
    <tableColumn id="261" xr3:uid="{00000000-0010-0000-0600-000005010000}" name="MetaData_Domein&amp;PhaseSHORT" dataDxfId="125"/>
    <tableColumn id="274" xr3:uid="{00000000-0010-0000-0600-000012010000}" name="MetaData_DomeinShort"/>
    <tableColumn id="273" xr3:uid="{00000000-0010-0000-0600-000011010000}" name="MetaData_Learning/MemoryPhase"/>
    <tableColumn id="263" xr3:uid="{00000000-0010-0000-0600-000007010000}" name="MetaData_MemoryValence(1=trauma; 2=non_trauma_neutral; 3=non_trauma_emotional; 4=non-trauma_fearfull)" dataDxfId="124"/>
    <tableColumn id="271" xr3:uid="{00000000-0010-0000-0600-00000F010000}" name="MetaData_Timing_TaakVoor(Pre)ofNa(Post)Trauma?"/>
    <tableColumn id="268" xr3:uid="{00000000-0010-0000-0600-00000C010000}" name="MetaData_CueContext?"/>
    <tableColumn id="37" xr3:uid="{00000000-0010-0000-0600-000025000000}" name="Data_Method_study-design" dataDxfId="123" totalsRowDxfId="122"/>
    <tableColumn id="66" xr3:uid="{00000000-0010-0000-0600-000042000000}" name="Data_Method_Experimental Groups (n)" dataDxfId="121" totalsRowDxfId="120"/>
    <tableColumn id="272" xr3:uid="{00000000-0010-0000-0600-000010010000}" name="Data_Method_TimeTask-Trauma" totalsRowDxfId="119"/>
    <tableColumn id="121" xr3:uid="{00000000-0010-0000-0600-000079000000}" name="Data_Method_Task" dataDxfId="118" totalsRowDxfId="117"/>
    <tableColumn id="266" xr3:uid="{00000000-0010-0000-0600-00000A010000}" name="Data_Method_TaskSHORT" dataDxfId="116" totalsRowDxfId="115"/>
    <tableColumn id="80" xr3:uid="{00000000-0010-0000-0600-000050000000}" name="Data_Method_animal light dark testing?" dataDxfId="114" totalsRowDxfId="113"/>
    <tableColumn id="269" xr3:uid="{00000000-0010-0000-0600-00000D010000}" name="RepeatedMeasures?(1=ja;0=nee)" dataDxfId="112" totalsRowDxfId="111"/>
    <tableColumn id="50" xr3:uid="{00000000-0010-0000-0600-000032000000}" name="Data_Method_Measure" dataDxfId="110" totalsRowDxfId="109"/>
    <tableColumn id="264" xr3:uid="{00000000-0010-0000-0600-000008010000}" name="Data_Method_MeasureSHORT" dataDxfId="108" totalsRowDxfId="107"/>
    <tableColumn id="136" xr3:uid="{00000000-0010-0000-0600-000088000000}" name="MetaData_KeyFinding" dataDxfId="106" totalsRowDxfId="105"/>
    <tableColumn id="262" xr3:uid="{00000000-0010-0000-0600-000006010000}" name="MetaData_KeyFindingSHORT(+PTSDmore;-PTSDminder;0NoDiff)" dataDxfId="104" totalsRowDxfId="103"/>
    <tableColumn id="281" xr3:uid="{00000000-0010-0000-0600-000019010000}" name="Analysis_Paper #" dataDxfId="102" totalsRowDxfId="101"/>
    <tableColumn id="278" xr3:uid="{00000000-0010-0000-0600-000016010000}" name="Analysis_Experiment # (BINNEN PAPER)" dataDxfId="100" totalsRowDxfId="99"/>
    <tableColumn id="277" xr3:uid="{00000000-0010-0000-0600-000015010000}" name="Analysis_Comparison # (BINNEN experiment)" dataDxfId="98" totalsRowDxfId="97"/>
    <tableColumn id="279" xr3:uid="{00000000-0010-0000-0600-000017010000}" name="Analysis_Nested (0 no; 1 yes)" dataDxfId="96" totalsRowDxfId="95"/>
    <tableColumn id="282" xr3:uid="{00000000-0010-0000-0600-00001A010000}" name="OmpoolFactor_zodatHogereScoresISBeterePerformance" dataDxfId="94" totalsRowDxfId="93"/>
    <tableColumn id="280" xr3:uid="{00000000-0010-0000-0600-000018010000}" name="Memory index nog berekenen!" dataDxfId="92" totalsRowDxfId="91"/>
    <tableColumn id="283" xr3:uid="{00000000-0010-0000-0600-00001B010000}" name="Comparison" dataDxfId="90" totalsRowDxfId="89"/>
    <tableColumn id="284" xr3:uid="{00000000-0010-0000-0600-00001C010000}" name="ID_Experimental group" totalsRowDxfId="88"/>
    <tableColumn id="285" xr3:uid="{00000000-0010-0000-0600-00001D010000}" name="ID_Control group" totalsRowDxfId="87"/>
    <tableColumn id="88" xr3:uid="{00000000-0010-0000-0600-000058000000}" name="Data_Outcome1_VarName" dataDxfId="86" totalsRowDxfId="85"/>
    <tableColumn id="47" xr3:uid="{00000000-0010-0000-0600-00002F000000}" name="Data_Outcome1_M" dataDxfId="84"/>
    <tableColumn id="82" xr3:uid="{00000000-0010-0000-0600-000052000000}" name="Data_Outcome1_SD" dataDxfId="83"/>
    <tableColumn id="49" xr3:uid="{00000000-0010-0000-0600-000031000000}" name="Data_Outcome1_SEM" dataDxfId="82"/>
    <tableColumn id="89" xr3:uid="{00000000-0010-0000-0600-000059000000}" name="Data_Outcome2_VarName" dataDxfId="81"/>
    <tableColumn id="51" xr3:uid="{00000000-0010-0000-0600-000033000000}" name="Data_Outcome2_M" dataDxfId="80"/>
    <tableColumn id="103" xr3:uid="{00000000-0010-0000-0600-000067000000}" name="Data_Outcome2_SD" dataDxfId="79"/>
    <tableColumn id="52" xr3:uid="{00000000-0010-0000-0600-000034000000}" name="Data_Outcome2_SEM" dataDxfId="78"/>
    <tableColumn id="71" xr3:uid="{00000000-0010-0000-0600-000047000000}" name="Data_Diff_outcome1&amp;2_SUM" dataDxfId="77"/>
    <tableColumn id="70" xr3:uid="{00000000-0010-0000-0600-000046000000}" name="Data_Diff_outcome1&amp;2_Statistic" dataDxfId="76"/>
    <tableColumn id="90" xr3:uid="{00000000-0010-0000-0600-00005A000000}" name="Data_Outcome3_VarName" dataDxfId="75"/>
    <tableColumn id="53" xr3:uid="{00000000-0010-0000-0600-000035000000}" name="Data_Outcome3_M" dataDxfId="74"/>
    <tableColumn id="122" xr3:uid="{00000000-0010-0000-0600-00007A000000}" name="Data_Outcome3_SD" dataDxfId="73"/>
    <tableColumn id="54" xr3:uid="{00000000-0010-0000-0600-000036000000}" name="Data_Outcome3_SEM" dataDxfId="72"/>
    <tableColumn id="92" xr3:uid="{00000000-0010-0000-0600-00005C000000}" name="Data_Outcome4_VarName" dataDxfId="71"/>
    <tableColumn id="55" xr3:uid="{00000000-0010-0000-0600-000037000000}" name="Data_Outcome4_M" dataDxfId="70"/>
    <tableColumn id="125" xr3:uid="{00000000-0010-0000-0600-00007D000000}" name="Data_Outcome4_SD" dataDxfId="69"/>
    <tableColumn id="56" xr3:uid="{00000000-0010-0000-0600-000038000000}" name="Data_Outcome4_SEM" dataDxfId="68"/>
    <tableColumn id="69" xr3:uid="{00000000-0010-0000-0600-000045000000}" name="Data_Diff_outcome3&amp;4_SUM" dataDxfId="67"/>
    <tableColumn id="68" xr3:uid="{00000000-0010-0000-0600-000044000000}" name="Data_Diff_Outcome 3&amp;4_Statistic" dataDxfId="66"/>
    <tableColumn id="73" xr3:uid="{00000000-0010-0000-0600-000049000000}" name="Data_Diff_Outcome1&amp;2+3&amp;4_SUM" dataDxfId="65"/>
    <tableColumn id="74" xr3:uid="{00000000-0010-0000-0600-00004A000000}" name="Data_Diff_Outcome1&amp;2+3&amp;4_Statistic" dataDxfId="64"/>
    <tableColumn id="94" xr3:uid="{00000000-0010-0000-0600-00005E000000}" name="Data_Outcome5_VarName" dataDxfId="63"/>
    <tableColumn id="57" xr3:uid="{00000000-0010-0000-0600-000039000000}" name="Data_Outcome5_M" dataDxfId="62"/>
    <tableColumn id="126" xr3:uid="{00000000-0010-0000-0600-00007E000000}" name="Data_Outcome5_SD" dataDxfId="61"/>
    <tableColumn id="58" xr3:uid="{00000000-0010-0000-0600-00003A000000}" name="Data_Outcome5_SEM" dataDxfId="60"/>
    <tableColumn id="95" xr3:uid="{00000000-0010-0000-0600-00005F000000}" name="Data_Outcome6_VarName" dataDxfId="59"/>
    <tableColumn id="59" xr3:uid="{00000000-0010-0000-0600-00003B000000}" name="Data_Outcome6_M" dataDxfId="58"/>
    <tableColumn id="127" xr3:uid="{00000000-0010-0000-0600-00007F000000}" name="Data_Outcome6_SD" dataDxfId="57"/>
    <tableColumn id="60" xr3:uid="{00000000-0010-0000-0600-00003C000000}" name="Data_Outcome6_SEM" dataDxfId="56"/>
    <tableColumn id="137" xr3:uid="{00000000-0010-0000-0600-000089000000}" name="Data_Diff_Outcome5-6_SUM" dataDxfId="55"/>
    <tableColumn id="87" xr3:uid="{00000000-0010-0000-0600-000057000000}" name="Data_Diff_Outcome5-6_Statistic" dataDxfId="54"/>
    <tableColumn id="96" xr3:uid="{00000000-0010-0000-0600-000060000000}" name="Data_Outcome7_VarName" dataDxfId="53"/>
    <tableColumn id="61" xr3:uid="{00000000-0010-0000-0600-00003D000000}" name="Data_Outcome7_M" dataDxfId="52"/>
    <tableColumn id="128" xr3:uid="{00000000-0010-0000-0600-000080000000}" name="Data_Outcome7_SD" dataDxfId="51"/>
    <tableColumn id="62" xr3:uid="{00000000-0010-0000-0600-00003E000000}" name="Data_Outcome7_SEM" dataDxfId="50"/>
    <tableColumn id="97" xr3:uid="{00000000-0010-0000-0600-000061000000}" name="Data_Outcome8_VarName" dataDxfId="49"/>
    <tableColumn id="63" xr3:uid="{00000000-0010-0000-0600-00003F000000}" name="Data_Outcome8_M" dataDxfId="48"/>
    <tableColumn id="129" xr3:uid="{00000000-0010-0000-0600-000081000000}" name="Data_Outcome8_SD" dataDxfId="47"/>
    <tableColumn id="64" xr3:uid="{00000000-0010-0000-0600-000040000000}" name="Data_Outcome8_SEM" dataDxfId="46"/>
    <tableColumn id="93" xr3:uid="{00000000-0010-0000-0600-00005D000000}" name="Data_Diff_Outcome7-8_SUM" dataDxfId="45"/>
    <tableColumn id="139" xr3:uid="{00000000-0010-0000-0600-00008B000000}" name="Data_Diff_Outcome7-8_Statistic" dataDxfId="44"/>
    <tableColumn id="83" xr3:uid="{00000000-0010-0000-0600-000053000000}" name="Data_Diff_Outcome5&amp;6+7&amp;8_SUM" dataDxfId="43"/>
    <tableColumn id="84" xr3:uid="{00000000-0010-0000-0600-000054000000}" name="Data_Diff_Outcome5&amp;6+7&amp;8_Statistic" dataDxfId="42"/>
    <tableColumn id="78" xr3:uid="{00000000-0010-0000-0600-00004E000000}" name="Data_Outcome9_VarName" dataDxfId="41"/>
    <tableColumn id="79" xr3:uid="{00000000-0010-0000-0600-00004F000000}" name="Data_Outcome9_M" dataDxfId="40"/>
    <tableColumn id="85" xr3:uid="{00000000-0010-0000-0600-000055000000}" name="Data_Outcome9_SD" dataDxfId="39"/>
    <tableColumn id="86" xr3:uid="{00000000-0010-0000-0600-000056000000}" name="Data_Outcome9_SEM" dataDxfId="38"/>
    <tableColumn id="98" xr3:uid="{00000000-0010-0000-0600-000062000000}" name="Data_Outcome10_VarName" dataDxfId="37"/>
    <tableColumn id="99" xr3:uid="{00000000-0010-0000-0600-000063000000}" name="Data_Outcome10_M" dataDxfId="36"/>
    <tableColumn id="100" xr3:uid="{00000000-0010-0000-0600-000064000000}" name="Data_Outcome10_SD" dataDxfId="35"/>
    <tableColumn id="101" xr3:uid="{00000000-0010-0000-0600-000065000000}" name="Data_Outcome10_SEM" dataDxfId="34"/>
    <tableColumn id="104" xr3:uid="{00000000-0010-0000-0600-000068000000}" name="Data_Diff_Outcome 8-10 SUM" dataDxfId="33"/>
    <tableColumn id="105" xr3:uid="{00000000-0010-0000-0600-000069000000}" name="Data_Diff_Outcome 9-10 Statistic" dataDxfId="32"/>
    <tableColumn id="107" xr3:uid="{00000000-0010-0000-0600-00006B000000}" name="Data_Outcome11_VarName" dataDxfId="31"/>
    <tableColumn id="108" xr3:uid="{00000000-0010-0000-0600-00006C000000}" name="Data_Outcome11_M" dataDxfId="30"/>
    <tableColumn id="109" xr3:uid="{00000000-0010-0000-0600-00006D000000}" name="Data_Outcome11_SD" dataDxfId="29"/>
    <tableColumn id="110" xr3:uid="{00000000-0010-0000-0600-00006E000000}" name="Data_Outcome11_SEM" dataDxfId="28"/>
    <tableColumn id="111" xr3:uid="{00000000-0010-0000-0600-00006F000000}" name="Data_Outcome12_VarName" dataDxfId="27"/>
    <tableColumn id="112" xr3:uid="{00000000-0010-0000-0600-000070000000}" name="Data_Outcome12_M" dataDxfId="26"/>
    <tableColumn id="113" xr3:uid="{00000000-0010-0000-0600-000071000000}" name="Data_Outcome12_SD" dataDxfId="25"/>
    <tableColumn id="114" xr3:uid="{00000000-0010-0000-0600-000072000000}" name="Data_Outcome12_SEM" dataDxfId="24"/>
    <tableColumn id="115" xr3:uid="{00000000-0010-0000-0600-000073000000}" name="Data_Diff_Outcome11-12 SUM" dataDxfId="23"/>
    <tableColumn id="116" xr3:uid="{00000000-0010-0000-0600-000074000000}" name="Data_Diff_Outcome11-12 Statistic" dataDxfId="22"/>
    <tableColumn id="117" xr3:uid="{00000000-0010-0000-0600-000075000000}" name="Data_Diff_General SUM" dataDxfId="21"/>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T196"/>
  <sheetViews>
    <sheetView topLeftCell="A50" zoomScale="125" zoomScaleNormal="125" zoomScalePageLayoutView="50" workbookViewId="0">
      <selection activeCell="A48" sqref="A48"/>
    </sheetView>
  </sheetViews>
  <sheetFormatPr baseColWidth="10" defaultColWidth="11" defaultRowHeight="16"/>
  <cols>
    <col min="1" max="1" width="20" customWidth="1"/>
    <col min="2" max="2" width="11.5" customWidth="1"/>
    <col min="3" max="3" width="14.33203125" customWidth="1"/>
    <col min="4" max="4" width="14.33203125" style="59" customWidth="1"/>
    <col min="5" max="5" width="21.6640625" style="44" customWidth="1"/>
    <col min="6" max="6" width="19.83203125" style="36" customWidth="1"/>
    <col min="7" max="7" width="25.6640625" customWidth="1"/>
    <col min="8" max="8" width="5.83203125" customWidth="1"/>
    <col min="9" max="9" width="22.5" customWidth="1"/>
    <col min="10" max="10" width="14" customWidth="1"/>
    <col min="11" max="11" width="11.83203125" customWidth="1"/>
    <col min="12" max="12" width="15.5" customWidth="1"/>
    <col min="13" max="13" width="11.1640625" customWidth="1"/>
    <col min="14" max="14" width="5.1640625" customWidth="1"/>
    <col min="15" max="15" width="4.6640625" customWidth="1"/>
    <col min="16" max="16" width="55.83203125" customWidth="1"/>
    <col min="17" max="17" width="19.83203125" customWidth="1"/>
    <col min="18" max="18" width="15.33203125" customWidth="1"/>
    <col min="19" max="19" width="13.6640625" customWidth="1"/>
    <col min="20" max="20" width="57.5" customWidth="1"/>
  </cols>
  <sheetData>
    <row r="1" spans="1:20">
      <c r="A1" t="s">
        <v>367</v>
      </c>
      <c r="B1" t="s">
        <v>0</v>
      </c>
      <c r="C1" t="s">
        <v>1794</v>
      </c>
      <c r="D1" s="59" t="s">
        <v>1810</v>
      </c>
      <c r="E1" s="44" t="s">
        <v>1789</v>
      </c>
      <c r="F1" s="36" t="s">
        <v>1770</v>
      </c>
      <c r="G1" t="s">
        <v>1727</v>
      </c>
      <c r="H1" t="s">
        <v>1728</v>
      </c>
      <c r="I1" t="s">
        <v>1</v>
      </c>
      <c r="J1" t="s">
        <v>1237</v>
      </c>
      <c r="K1" t="s">
        <v>7</v>
      </c>
      <c r="L1" t="s">
        <v>1119</v>
      </c>
      <c r="M1" t="s">
        <v>6</v>
      </c>
      <c r="N1" t="s">
        <v>1122</v>
      </c>
      <c r="O1" t="s">
        <v>1120</v>
      </c>
      <c r="P1" t="s">
        <v>5</v>
      </c>
      <c r="Q1" t="s">
        <v>3</v>
      </c>
      <c r="R1" t="s">
        <v>4</v>
      </c>
      <c r="S1" t="s">
        <v>1650</v>
      </c>
      <c r="T1" t="s">
        <v>2</v>
      </c>
    </row>
    <row r="2" spans="1:20">
      <c r="A2" t="s">
        <v>1115</v>
      </c>
      <c r="B2">
        <v>22522023</v>
      </c>
      <c r="C2">
        <v>1</v>
      </c>
      <c r="D2" s="59" t="s">
        <v>1811</v>
      </c>
      <c r="E2" s="44" t="s">
        <v>1835</v>
      </c>
      <c r="G2">
        <v>0</v>
      </c>
      <c r="I2">
        <v>0</v>
      </c>
      <c r="J2" t="s">
        <v>24</v>
      </c>
      <c r="K2" t="s">
        <v>1171</v>
      </c>
      <c r="L2" t="s">
        <v>1130</v>
      </c>
      <c r="M2" t="s">
        <v>1495</v>
      </c>
      <c r="N2" t="s">
        <v>1539</v>
      </c>
      <c r="O2" t="s">
        <v>23</v>
      </c>
      <c r="P2" t="s">
        <v>1799</v>
      </c>
      <c r="Q2" t="s">
        <v>1131</v>
      </c>
      <c r="R2" t="s">
        <v>1132</v>
      </c>
      <c r="T2" t="s">
        <v>1798</v>
      </c>
    </row>
    <row r="3" spans="1:20">
      <c r="A3" t="s">
        <v>1112</v>
      </c>
      <c r="B3">
        <v>20849863</v>
      </c>
      <c r="C3">
        <v>1</v>
      </c>
      <c r="D3" s="59" t="s">
        <v>24</v>
      </c>
      <c r="E3" s="44">
        <v>1</v>
      </c>
      <c r="G3">
        <v>0</v>
      </c>
      <c r="I3">
        <v>0</v>
      </c>
      <c r="J3" t="s">
        <v>1834</v>
      </c>
      <c r="K3" t="s">
        <v>24</v>
      </c>
      <c r="L3" t="s">
        <v>1127</v>
      </c>
      <c r="M3" t="s">
        <v>1541</v>
      </c>
      <c r="N3" t="s">
        <v>23</v>
      </c>
      <c r="O3" t="s">
        <v>23</v>
      </c>
      <c r="P3" t="s">
        <v>1813</v>
      </c>
      <c r="Q3" t="s">
        <v>23</v>
      </c>
      <c r="R3" t="s">
        <v>1137</v>
      </c>
      <c r="T3" t="s">
        <v>424</v>
      </c>
    </row>
    <row r="4" spans="1:20">
      <c r="A4" t="s">
        <v>1092</v>
      </c>
      <c r="B4" s="32">
        <v>20403087</v>
      </c>
      <c r="C4" s="32">
        <v>1</v>
      </c>
      <c r="D4" s="60" t="s">
        <v>24</v>
      </c>
      <c r="E4" s="46" t="s">
        <v>1827</v>
      </c>
      <c r="F4" s="37"/>
      <c r="G4" s="32">
        <v>0</v>
      </c>
      <c r="H4" s="32"/>
      <c r="I4">
        <v>0</v>
      </c>
      <c r="J4" t="s">
        <v>1247</v>
      </c>
      <c r="K4" t="s">
        <v>1171</v>
      </c>
      <c r="L4" t="s">
        <v>1127</v>
      </c>
      <c r="M4" t="s">
        <v>1495</v>
      </c>
      <c r="N4" t="s">
        <v>803</v>
      </c>
      <c r="O4" t="s">
        <v>23</v>
      </c>
      <c r="P4" t="s">
        <v>1826</v>
      </c>
      <c r="Q4" t="s">
        <v>1245</v>
      </c>
      <c r="R4" t="s">
        <v>1246</v>
      </c>
      <c r="T4" t="s">
        <v>424</v>
      </c>
    </row>
    <row r="5" spans="1:20">
      <c r="A5" t="s">
        <v>1088</v>
      </c>
      <c r="B5" s="32">
        <v>21976046</v>
      </c>
      <c r="C5" s="32">
        <v>1</v>
      </c>
      <c r="D5" s="60" t="s">
        <v>24</v>
      </c>
      <c r="E5" s="46" t="s">
        <v>1827</v>
      </c>
      <c r="F5" s="37"/>
      <c r="G5" s="32">
        <v>0</v>
      </c>
      <c r="H5" s="32"/>
      <c r="I5">
        <v>0</v>
      </c>
      <c r="J5" t="s">
        <v>1220</v>
      </c>
      <c r="K5" t="s">
        <v>24</v>
      </c>
      <c r="L5" t="s">
        <v>1127</v>
      </c>
      <c r="M5" t="s">
        <v>1507</v>
      </c>
      <c r="N5" t="s">
        <v>23</v>
      </c>
      <c r="O5" t="s">
        <v>23</v>
      </c>
      <c r="P5" t="s">
        <v>1833</v>
      </c>
      <c r="Q5" t="s">
        <v>1259</v>
      </c>
      <c r="R5" t="s">
        <v>1132</v>
      </c>
      <c r="T5" t="s">
        <v>1260</v>
      </c>
    </row>
    <row r="6" spans="1:20">
      <c r="A6" t="s">
        <v>1084</v>
      </c>
      <c r="B6" s="32">
        <v>22713910</v>
      </c>
      <c r="C6" s="63">
        <v>1</v>
      </c>
      <c r="D6" s="64" t="s">
        <v>24</v>
      </c>
      <c r="E6" s="46" t="s">
        <v>1827</v>
      </c>
      <c r="F6" s="37"/>
      <c r="G6" s="32">
        <v>0</v>
      </c>
      <c r="H6" s="32"/>
      <c r="I6">
        <v>0</v>
      </c>
      <c r="J6" t="s">
        <v>23</v>
      </c>
      <c r="L6" t="s">
        <v>1127</v>
      </c>
      <c r="M6" t="s">
        <v>1505</v>
      </c>
      <c r="N6" t="s">
        <v>803</v>
      </c>
      <c r="O6" t="s">
        <v>23</v>
      </c>
      <c r="P6" t="s">
        <v>1825</v>
      </c>
      <c r="Q6" t="s">
        <v>1272</v>
      </c>
      <c r="R6" t="s">
        <v>1270</v>
      </c>
      <c r="S6" t="s">
        <v>1271</v>
      </c>
    </row>
    <row r="7" spans="1:20">
      <c r="A7" t="s">
        <v>1083</v>
      </c>
      <c r="B7">
        <v>21925525</v>
      </c>
      <c r="C7">
        <v>1</v>
      </c>
      <c r="D7" s="59" t="s">
        <v>24</v>
      </c>
      <c r="E7" s="44" t="s">
        <v>1831</v>
      </c>
      <c r="G7">
        <v>0</v>
      </c>
      <c r="I7" s="20">
        <v>0</v>
      </c>
      <c r="J7" t="s">
        <v>1273</v>
      </c>
      <c r="K7" t="s">
        <v>1212</v>
      </c>
      <c r="L7" t="s">
        <v>1127</v>
      </c>
      <c r="M7" t="s">
        <v>1829</v>
      </c>
      <c r="P7" t="s">
        <v>1830</v>
      </c>
      <c r="T7" t="s">
        <v>1488</v>
      </c>
    </row>
    <row r="8" spans="1:20">
      <c r="A8" t="s">
        <v>1082</v>
      </c>
      <c r="B8">
        <v>23011267</v>
      </c>
      <c r="C8">
        <v>1</v>
      </c>
      <c r="D8" s="59" t="s">
        <v>24</v>
      </c>
      <c r="E8" s="44" t="s">
        <v>1836</v>
      </c>
      <c r="G8">
        <v>0</v>
      </c>
      <c r="I8">
        <v>0</v>
      </c>
      <c r="J8" t="s">
        <v>1275</v>
      </c>
      <c r="K8" t="s">
        <v>1162</v>
      </c>
      <c r="L8" t="s">
        <v>1127</v>
      </c>
      <c r="M8" t="s">
        <v>1500</v>
      </c>
      <c r="P8" t="s">
        <v>1275</v>
      </c>
      <c r="Q8" t="s">
        <v>1274</v>
      </c>
      <c r="T8" t="s">
        <v>1124</v>
      </c>
    </row>
    <row r="9" spans="1:20">
      <c r="A9" t="s">
        <v>1077</v>
      </c>
      <c r="B9" s="18">
        <v>23382811</v>
      </c>
      <c r="C9">
        <v>1</v>
      </c>
      <c r="D9" s="59" t="s">
        <v>24</v>
      </c>
      <c r="E9" s="44">
        <v>1</v>
      </c>
      <c r="G9">
        <v>0</v>
      </c>
      <c r="I9" s="20">
        <v>0</v>
      </c>
      <c r="J9" t="s">
        <v>1286</v>
      </c>
      <c r="K9" t="s">
        <v>1142</v>
      </c>
      <c r="L9" t="s">
        <v>1285</v>
      </c>
      <c r="M9" t="s">
        <v>1488</v>
      </c>
      <c r="N9" t="s">
        <v>23</v>
      </c>
      <c r="P9" t="s">
        <v>1800</v>
      </c>
      <c r="Q9" t="s">
        <v>1287</v>
      </c>
    </row>
    <row r="10" spans="1:20">
      <c r="A10" t="s">
        <v>1072</v>
      </c>
      <c r="B10" s="18">
        <v>25309354</v>
      </c>
      <c r="C10">
        <v>1</v>
      </c>
      <c r="D10" s="59" t="s">
        <v>24</v>
      </c>
      <c r="E10" s="44" t="s">
        <v>1838</v>
      </c>
      <c r="G10">
        <v>0</v>
      </c>
      <c r="I10">
        <v>0</v>
      </c>
      <c r="J10" t="s">
        <v>1708</v>
      </c>
      <c r="K10" t="s">
        <v>1212</v>
      </c>
      <c r="L10" t="s">
        <v>1127</v>
      </c>
      <c r="M10" t="s">
        <v>1488</v>
      </c>
      <c r="P10" t="s">
        <v>1301</v>
      </c>
      <c r="T10" t="s">
        <v>1302</v>
      </c>
    </row>
    <row r="11" spans="1:20">
      <c r="A11" t="s">
        <v>1053</v>
      </c>
      <c r="B11">
        <v>26655446</v>
      </c>
      <c r="C11">
        <v>1</v>
      </c>
      <c r="D11" s="59" t="s">
        <v>24</v>
      </c>
      <c r="E11" s="44" t="s">
        <v>1843</v>
      </c>
      <c r="G11">
        <v>0</v>
      </c>
      <c r="I11">
        <v>0</v>
      </c>
      <c r="J11" t="s">
        <v>1346</v>
      </c>
      <c r="L11" t="s">
        <v>1138</v>
      </c>
      <c r="M11" t="s">
        <v>1493</v>
      </c>
      <c r="N11" t="s">
        <v>23</v>
      </c>
      <c r="O11" t="s">
        <v>23</v>
      </c>
      <c r="Q11" t="s">
        <v>1345</v>
      </c>
      <c r="T11" t="s">
        <v>1344</v>
      </c>
    </row>
    <row r="12" spans="1:20">
      <c r="A12" t="s">
        <v>1043</v>
      </c>
      <c r="B12" s="18">
        <v>24239430</v>
      </c>
      <c r="C12">
        <v>1</v>
      </c>
      <c r="D12" s="59" t="s">
        <v>24</v>
      </c>
      <c r="E12" s="44" t="s">
        <v>1852</v>
      </c>
      <c r="G12">
        <v>0</v>
      </c>
      <c r="I12">
        <v>0</v>
      </c>
      <c r="J12" t="s">
        <v>1369</v>
      </c>
      <c r="M12" t="s">
        <v>1367</v>
      </c>
      <c r="P12" t="s">
        <v>1248</v>
      </c>
      <c r="Q12" t="s">
        <v>24</v>
      </c>
      <c r="R12" t="s">
        <v>1368</v>
      </c>
      <c r="S12" t="s">
        <v>1660</v>
      </c>
      <c r="T12" t="s">
        <v>1659</v>
      </c>
    </row>
    <row r="13" spans="1:20">
      <c r="A13" t="s">
        <v>1037</v>
      </c>
      <c r="B13">
        <v>19095221</v>
      </c>
      <c r="C13">
        <v>1</v>
      </c>
      <c r="D13" s="59" t="s">
        <v>24</v>
      </c>
      <c r="E13" s="44" t="s">
        <v>1853</v>
      </c>
      <c r="G13">
        <v>0</v>
      </c>
      <c r="I13">
        <v>0</v>
      </c>
      <c r="J13" t="s">
        <v>24</v>
      </c>
      <c r="K13" t="s">
        <v>24</v>
      </c>
      <c r="L13" t="s">
        <v>1127</v>
      </c>
      <c r="M13" t="s">
        <v>1495</v>
      </c>
      <c r="P13" t="s">
        <v>1382</v>
      </c>
      <c r="Q13" t="s">
        <v>1380</v>
      </c>
      <c r="R13" t="s">
        <v>1381</v>
      </c>
      <c r="T13" t="s">
        <v>424</v>
      </c>
    </row>
    <row r="14" spans="1:20">
      <c r="A14" t="s">
        <v>1026</v>
      </c>
      <c r="B14">
        <v>22176467</v>
      </c>
      <c r="C14">
        <v>1</v>
      </c>
      <c r="D14" s="59" t="s">
        <v>24</v>
      </c>
      <c r="E14" s="44" t="s">
        <v>1855</v>
      </c>
      <c r="G14">
        <v>0</v>
      </c>
      <c r="I14" s="20">
        <v>0</v>
      </c>
      <c r="J14" t="s">
        <v>1404</v>
      </c>
      <c r="K14" t="s">
        <v>1212</v>
      </c>
      <c r="L14" t="s">
        <v>1127</v>
      </c>
      <c r="M14" t="s">
        <v>1488</v>
      </c>
      <c r="N14" t="s">
        <v>803</v>
      </c>
      <c r="P14" t="s">
        <v>1403</v>
      </c>
    </row>
    <row r="15" spans="1:20">
      <c r="A15" t="s">
        <v>1024</v>
      </c>
      <c r="B15">
        <v>19167197</v>
      </c>
      <c r="C15">
        <v>1</v>
      </c>
      <c r="D15" s="59" t="s">
        <v>24</v>
      </c>
      <c r="E15" s="44" t="s">
        <v>1856</v>
      </c>
      <c r="G15">
        <v>0</v>
      </c>
      <c r="I15">
        <v>0</v>
      </c>
      <c r="J15" t="s">
        <v>1407</v>
      </c>
      <c r="K15" t="s">
        <v>1264</v>
      </c>
      <c r="L15" t="s">
        <v>1127</v>
      </c>
      <c r="M15" t="s">
        <v>1507</v>
      </c>
      <c r="N15" t="s">
        <v>803</v>
      </c>
      <c r="O15" t="s">
        <v>23</v>
      </c>
      <c r="P15" t="s">
        <v>1248</v>
      </c>
      <c r="R15" t="s">
        <v>1408</v>
      </c>
      <c r="S15" t="s">
        <v>1664</v>
      </c>
      <c r="T15" t="s">
        <v>1663</v>
      </c>
    </row>
    <row r="16" spans="1:20">
      <c r="A16" t="s">
        <v>989</v>
      </c>
      <c r="B16">
        <v>25575638</v>
      </c>
      <c r="C16" s="52">
        <v>1</v>
      </c>
      <c r="D16" s="62" t="s">
        <v>24</v>
      </c>
      <c r="E16" s="44" t="s">
        <v>1823</v>
      </c>
      <c r="G16">
        <v>0</v>
      </c>
      <c r="I16" s="56">
        <v>0</v>
      </c>
      <c r="J16" t="s">
        <v>24</v>
      </c>
      <c r="L16" t="s">
        <v>1523</v>
      </c>
      <c r="M16" t="s">
        <v>1488</v>
      </c>
      <c r="N16" t="s">
        <v>803</v>
      </c>
      <c r="O16" t="s">
        <v>23</v>
      </c>
      <c r="P16" t="s">
        <v>1524</v>
      </c>
      <c r="T16" t="s">
        <v>1279</v>
      </c>
    </row>
    <row r="17" spans="1:20">
      <c r="A17" t="s">
        <v>967</v>
      </c>
      <c r="B17">
        <v>25451096</v>
      </c>
      <c r="C17">
        <v>1</v>
      </c>
      <c r="D17" s="59" t="s">
        <v>24</v>
      </c>
      <c r="E17" s="44" t="s">
        <v>1787</v>
      </c>
      <c r="F17" s="36" t="s">
        <v>1771</v>
      </c>
      <c r="G17" s="2">
        <v>0</v>
      </c>
      <c r="I17" s="2">
        <v>1</v>
      </c>
      <c r="J17" t="s">
        <v>1593</v>
      </c>
      <c r="K17" t="s">
        <v>1377</v>
      </c>
      <c r="L17" t="s">
        <v>1127</v>
      </c>
      <c r="M17" s="27" t="s">
        <v>1594</v>
      </c>
      <c r="N17" t="s">
        <v>803</v>
      </c>
      <c r="P17" t="s">
        <v>1592</v>
      </c>
      <c r="Q17" t="s">
        <v>1591</v>
      </c>
      <c r="S17" t="s">
        <v>1581</v>
      </c>
    </row>
    <row r="18" spans="1:20">
      <c r="A18" t="s">
        <v>958</v>
      </c>
      <c r="B18">
        <v>25659132</v>
      </c>
      <c r="C18">
        <v>1</v>
      </c>
      <c r="D18" s="59" t="s">
        <v>24</v>
      </c>
      <c r="E18" s="44" t="s">
        <v>1865</v>
      </c>
      <c r="G18">
        <v>0</v>
      </c>
      <c r="I18">
        <v>0</v>
      </c>
      <c r="J18" t="s">
        <v>1615</v>
      </c>
      <c r="L18" t="s">
        <v>1130</v>
      </c>
      <c r="M18" t="s">
        <v>1612</v>
      </c>
      <c r="N18" t="s">
        <v>803</v>
      </c>
      <c r="P18" t="s">
        <v>1613</v>
      </c>
      <c r="R18" t="s">
        <v>1381</v>
      </c>
      <c r="S18" t="s">
        <v>440</v>
      </c>
      <c r="T18" t="s">
        <v>424</v>
      </c>
    </row>
    <row r="19" spans="1:20">
      <c r="A19" t="s">
        <v>954</v>
      </c>
      <c r="B19">
        <v>26277823</v>
      </c>
      <c r="C19" s="52">
        <v>1</v>
      </c>
      <c r="D19" s="59" t="s">
        <v>24</v>
      </c>
      <c r="E19" s="44" t="s">
        <v>1863</v>
      </c>
      <c r="G19">
        <v>0</v>
      </c>
      <c r="I19">
        <v>0</v>
      </c>
      <c r="J19" t="s">
        <v>1421</v>
      </c>
      <c r="L19" t="s">
        <v>1621</v>
      </c>
      <c r="M19" t="s">
        <v>1545</v>
      </c>
      <c r="N19" t="s">
        <v>803</v>
      </c>
      <c r="O19" t="s">
        <v>23</v>
      </c>
      <c r="P19" t="s">
        <v>1670</v>
      </c>
      <c r="R19" t="s">
        <v>1622</v>
      </c>
      <c r="S19" t="s">
        <v>1623</v>
      </c>
      <c r="T19" t="s">
        <v>1279</v>
      </c>
    </row>
    <row r="20" spans="1:20">
      <c r="A20" t="s">
        <v>945</v>
      </c>
      <c r="B20">
        <v>26888649</v>
      </c>
      <c r="C20">
        <v>1</v>
      </c>
      <c r="D20" s="59" t="s">
        <v>24</v>
      </c>
      <c r="E20" s="44" t="s">
        <v>1803</v>
      </c>
      <c r="G20">
        <v>0</v>
      </c>
      <c r="I20" s="20">
        <v>0</v>
      </c>
      <c r="J20" t="s">
        <v>23</v>
      </c>
      <c r="L20" t="s">
        <v>1639</v>
      </c>
      <c r="M20" t="s">
        <v>1319</v>
      </c>
      <c r="P20" t="s">
        <v>1669</v>
      </c>
      <c r="T20" t="s">
        <v>1640</v>
      </c>
    </row>
    <row r="21" spans="1:20">
      <c r="A21" t="s">
        <v>944</v>
      </c>
      <c r="B21">
        <v>22137886</v>
      </c>
      <c r="C21">
        <v>1</v>
      </c>
      <c r="D21" s="59" t="s">
        <v>24</v>
      </c>
      <c r="E21" s="44" t="s">
        <v>1803</v>
      </c>
      <c r="G21">
        <v>0</v>
      </c>
      <c r="I21" s="20">
        <v>0</v>
      </c>
      <c r="J21" t="s">
        <v>1220</v>
      </c>
      <c r="K21" t="s">
        <v>1216</v>
      </c>
      <c r="L21" t="s">
        <v>1642</v>
      </c>
      <c r="M21" t="s">
        <v>24</v>
      </c>
      <c r="P21" t="s">
        <v>1501</v>
      </c>
      <c r="Q21" t="s">
        <v>1643</v>
      </c>
      <c r="R21" t="s">
        <v>1381</v>
      </c>
      <c r="S21" t="s">
        <v>1641</v>
      </c>
      <c r="T21" t="s">
        <v>1644</v>
      </c>
    </row>
    <row r="22" spans="1:20">
      <c r="A22" t="s">
        <v>943</v>
      </c>
      <c r="B22">
        <v>18534828</v>
      </c>
      <c r="C22">
        <v>1</v>
      </c>
      <c r="D22" s="59" t="s">
        <v>24</v>
      </c>
      <c r="E22" s="44" t="s">
        <v>1803</v>
      </c>
      <c r="G22">
        <v>0</v>
      </c>
      <c r="I22">
        <v>0</v>
      </c>
      <c r="J22" t="s">
        <v>1421</v>
      </c>
      <c r="L22" t="s">
        <v>1130</v>
      </c>
      <c r="M22" t="s">
        <v>1495</v>
      </c>
      <c r="P22" t="s">
        <v>1646</v>
      </c>
      <c r="S22" t="s">
        <v>1645</v>
      </c>
      <c r="T22" t="s">
        <v>1260</v>
      </c>
    </row>
    <row r="23" spans="1:20">
      <c r="A23" t="s">
        <v>1117</v>
      </c>
      <c r="B23">
        <v>19751543</v>
      </c>
      <c r="C23">
        <v>0</v>
      </c>
      <c r="D23" s="59" t="s">
        <v>1811</v>
      </c>
      <c r="E23" s="44">
        <v>0</v>
      </c>
      <c r="G23">
        <v>0</v>
      </c>
      <c r="I23">
        <v>0</v>
      </c>
      <c r="J23" t="s">
        <v>24</v>
      </c>
      <c r="K23" t="s">
        <v>1171</v>
      </c>
      <c r="L23" t="s">
        <v>1126</v>
      </c>
      <c r="M23" t="s">
        <v>1495</v>
      </c>
      <c r="N23" t="s">
        <v>803</v>
      </c>
      <c r="O23" t="s">
        <v>23</v>
      </c>
      <c r="P23" t="s">
        <v>1685</v>
      </c>
      <c r="Q23" t="s">
        <v>24</v>
      </c>
      <c r="R23" t="s">
        <v>13</v>
      </c>
      <c r="T23" t="s">
        <v>1124</v>
      </c>
    </row>
    <row r="24" spans="1:20">
      <c r="A24" t="s">
        <v>1118</v>
      </c>
      <c r="B24">
        <v>16546269</v>
      </c>
      <c r="C24">
        <v>0</v>
      </c>
      <c r="D24" s="59" t="s">
        <v>1811</v>
      </c>
      <c r="E24" s="44">
        <v>0</v>
      </c>
      <c r="G24">
        <v>0</v>
      </c>
      <c r="I24">
        <v>0</v>
      </c>
      <c r="J24" t="s">
        <v>24</v>
      </c>
      <c r="K24" t="s">
        <v>1171</v>
      </c>
      <c r="L24" t="s">
        <v>1125</v>
      </c>
      <c r="M24" t="s">
        <v>1495</v>
      </c>
      <c r="N24" t="s">
        <v>23</v>
      </c>
      <c r="O24" t="s">
        <v>1121</v>
      </c>
      <c r="P24" t="s">
        <v>1684</v>
      </c>
      <c r="Q24" t="s">
        <v>24</v>
      </c>
      <c r="R24" t="s">
        <v>1123</v>
      </c>
      <c r="T24" t="s">
        <v>1124</v>
      </c>
    </row>
    <row r="25" spans="1:20">
      <c r="A25" t="s">
        <v>1116</v>
      </c>
      <c r="B25">
        <v>16256211</v>
      </c>
      <c r="C25">
        <v>0</v>
      </c>
      <c r="D25" s="59" t="s">
        <v>1811</v>
      </c>
      <c r="E25" s="44" t="s">
        <v>1832</v>
      </c>
      <c r="G25">
        <v>0</v>
      </c>
      <c r="I25">
        <v>0</v>
      </c>
      <c r="J25" t="s">
        <v>24</v>
      </c>
      <c r="K25" t="s">
        <v>1171</v>
      </c>
      <c r="L25" t="s">
        <v>1127</v>
      </c>
      <c r="M25" t="s">
        <v>1495</v>
      </c>
      <c r="N25" t="s">
        <v>23</v>
      </c>
      <c r="O25" t="s">
        <v>1129</v>
      </c>
      <c r="P25" t="s">
        <v>1128</v>
      </c>
      <c r="Q25" t="s">
        <v>24</v>
      </c>
      <c r="R25" t="s">
        <v>13</v>
      </c>
      <c r="T25" t="s">
        <v>1797</v>
      </c>
    </row>
    <row r="26" spans="1:20">
      <c r="A26" t="s">
        <v>1113</v>
      </c>
      <c r="B26">
        <v>26167978</v>
      </c>
      <c r="C26">
        <v>0</v>
      </c>
      <c r="D26" s="59" t="s">
        <v>1812</v>
      </c>
      <c r="E26" s="44">
        <v>0</v>
      </c>
      <c r="G26">
        <v>0</v>
      </c>
      <c r="I26">
        <v>0</v>
      </c>
      <c r="J26" t="s">
        <v>24</v>
      </c>
      <c r="K26" t="s">
        <v>24</v>
      </c>
      <c r="L26" t="s">
        <v>24</v>
      </c>
      <c r="M26" t="s">
        <v>24</v>
      </c>
      <c r="N26" t="s">
        <v>24</v>
      </c>
      <c r="O26" t="s">
        <v>24</v>
      </c>
      <c r="P26" t="s">
        <v>24</v>
      </c>
      <c r="Q26" t="s">
        <v>24</v>
      </c>
      <c r="R26" t="s">
        <v>24</v>
      </c>
      <c r="T26" t="s">
        <v>1136</v>
      </c>
    </row>
    <row r="27" spans="1:20">
      <c r="A27" t="s">
        <v>1109</v>
      </c>
      <c r="B27">
        <v>21309117</v>
      </c>
      <c r="C27">
        <v>0</v>
      </c>
      <c r="D27" s="59" t="s">
        <v>1812</v>
      </c>
      <c r="E27" s="44">
        <v>0</v>
      </c>
      <c r="G27">
        <v>0</v>
      </c>
      <c r="I27" s="4">
        <v>0</v>
      </c>
      <c r="J27" t="s">
        <v>24</v>
      </c>
      <c r="K27" t="s">
        <v>24</v>
      </c>
      <c r="L27" t="s">
        <v>24</v>
      </c>
      <c r="M27" t="s">
        <v>24</v>
      </c>
      <c r="N27" t="s">
        <v>24</v>
      </c>
      <c r="O27" t="s">
        <v>24</v>
      </c>
      <c r="P27" t="s">
        <v>24</v>
      </c>
      <c r="Q27" t="s">
        <v>24</v>
      </c>
      <c r="R27" t="s">
        <v>24</v>
      </c>
      <c r="S27" t="s">
        <v>1651</v>
      </c>
      <c r="T27" t="s">
        <v>1199</v>
      </c>
    </row>
    <row r="28" spans="1:20">
      <c r="A28" t="s">
        <v>1108</v>
      </c>
      <c r="B28" s="67">
        <v>26052039</v>
      </c>
      <c r="C28">
        <v>0</v>
      </c>
      <c r="D28" s="59" t="s">
        <v>1814</v>
      </c>
      <c r="E28" s="44" t="s">
        <v>1804</v>
      </c>
      <c r="G28">
        <v>0</v>
      </c>
      <c r="I28" s="20">
        <v>0</v>
      </c>
      <c r="J28" t="s">
        <v>24</v>
      </c>
      <c r="K28" t="s">
        <v>1142</v>
      </c>
      <c r="L28" t="s">
        <v>1200</v>
      </c>
      <c r="M28" t="s">
        <v>1488</v>
      </c>
      <c r="N28" t="s">
        <v>23</v>
      </c>
      <c r="O28" t="s">
        <v>23</v>
      </c>
      <c r="P28" t="s">
        <v>23</v>
      </c>
      <c r="Q28" t="s">
        <v>1201</v>
      </c>
      <c r="T28" t="s">
        <v>1202</v>
      </c>
    </row>
    <row r="29" spans="1:20">
      <c r="A29" t="s">
        <v>1107</v>
      </c>
      <c r="B29" s="67">
        <v>24070857</v>
      </c>
      <c r="C29">
        <v>0</v>
      </c>
      <c r="D29" s="59" t="s">
        <v>1818</v>
      </c>
      <c r="G29">
        <v>0</v>
      </c>
      <c r="I29">
        <v>0</v>
      </c>
      <c r="J29" t="s">
        <v>1214</v>
      </c>
      <c r="K29" t="s">
        <v>1147</v>
      </c>
      <c r="L29" t="s">
        <v>1807</v>
      </c>
      <c r="M29" t="s">
        <v>24</v>
      </c>
      <c r="N29" t="s">
        <v>23</v>
      </c>
      <c r="O29" t="s">
        <v>23</v>
      </c>
      <c r="P29" t="s">
        <v>1515</v>
      </c>
      <c r="Q29" t="s">
        <v>1203</v>
      </c>
      <c r="R29" t="s">
        <v>23</v>
      </c>
      <c r="T29" t="s">
        <v>1204</v>
      </c>
    </row>
    <row r="30" spans="1:20">
      <c r="A30" t="s">
        <v>1106</v>
      </c>
      <c r="B30" s="67">
        <v>26037911</v>
      </c>
      <c r="C30">
        <v>0</v>
      </c>
      <c r="D30" s="59" t="s">
        <v>1820</v>
      </c>
      <c r="E30" s="44">
        <v>0</v>
      </c>
      <c r="G30">
        <v>0</v>
      </c>
      <c r="I30">
        <v>0</v>
      </c>
      <c r="J30" t="s">
        <v>24</v>
      </c>
      <c r="K30" t="s">
        <v>24</v>
      </c>
      <c r="L30" t="s">
        <v>1138</v>
      </c>
      <c r="M30" t="s">
        <v>1703</v>
      </c>
      <c r="N30" t="s">
        <v>23</v>
      </c>
      <c r="O30" t="s">
        <v>23</v>
      </c>
      <c r="P30" t="s">
        <v>1653</v>
      </c>
      <c r="Q30" t="s">
        <v>24</v>
      </c>
      <c r="R30" t="s">
        <v>24</v>
      </c>
      <c r="S30" t="s">
        <v>1652</v>
      </c>
      <c r="T30" t="s">
        <v>1808</v>
      </c>
    </row>
    <row r="31" spans="1:20">
      <c r="A31" t="s">
        <v>1103</v>
      </c>
      <c r="B31" s="67">
        <v>11399298</v>
      </c>
      <c r="C31">
        <v>0</v>
      </c>
      <c r="D31" s="59" t="s">
        <v>1814</v>
      </c>
      <c r="E31" s="44" t="s">
        <v>1809</v>
      </c>
      <c r="G31">
        <v>0</v>
      </c>
      <c r="I31" s="3">
        <v>0</v>
      </c>
      <c r="J31" t="s">
        <v>1695</v>
      </c>
      <c r="K31" t="s">
        <v>1212</v>
      </c>
      <c r="L31" t="s">
        <v>1127</v>
      </c>
      <c r="M31" t="s">
        <v>1541</v>
      </c>
      <c r="N31" t="s">
        <v>23</v>
      </c>
      <c r="O31" t="s">
        <v>23</v>
      </c>
      <c r="P31" t="s">
        <v>1210</v>
      </c>
      <c r="Q31" t="s">
        <v>24</v>
      </c>
      <c r="R31" t="s">
        <v>1211</v>
      </c>
      <c r="T31" t="s">
        <v>1704</v>
      </c>
    </row>
    <row r="32" spans="1:20">
      <c r="A32" t="s">
        <v>1098</v>
      </c>
      <c r="B32" s="67">
        <v>23178193</v>
      </c>
      <c r="C32">
        <v>0</v>
      </c>
      <c r="D32" s="59" t="s">
        <v>1811</v>
      </c>
      <c r="G32">
        <v>0</v>
      </c>
      <c r="I32">
        <v>0</v>
      </c>
      <c r="J32" t="s">
        <v>24</v>
      </c>
      <c r="K32" t="s">
        <v>24</v>
      </c>
      <c r="L32" t="s">
        <v>1229</v>
      </c>
      <c r="M32" t="s">
        <v>1495</v>
      </c>
      <c r="N32" t="s">
        <v>803</v>
      </c>
      <c r="P32" t="s">
        <v>1128</v>
      </c>
      <c r="Q32" t="s">
        <v>1228</v>
      </c>
      <c r="R32" t="s">
        <v>24</v>
      </c>
      <c r="T32" t="s">
        <v>1124</v>
      </c>
    </row>
    <row r="33" spans="1:20">
      <c r="A33" t="s">
        <v>1096</v>
      </c>
      <c r="B33" s="67">
        <v>24839560</v>
      </c>
      <c r="C33">
        <v>0</v>
      </c>
      <c r="D33" s="59" t="s">
        <v>1822</v>
      </c>
      <c r="G33">
        <v>0</v>
      </c>
      <c r="I33">
        <v>0</v>
      </c>
      <c r="J33" t="s">
        <v>1233</v>
      </c>
      <c r="L33" t="s">
        <v>1234</v>
      </c>
      <c r="M33" t="s">
        <v>1705</v>
      </c>
      <c r="N33" t="s">
        <v>803</v>
      </c>
      <c r="S33" t="s">
        <v>1657</v>
      </c>
      <c r="T33" t="s">
        <v>1656</v>
      </c>
    </row>
    <row r="34" spans="1:20">
      <c r="A34" t="s">
        <v>1095</v>
      </c>
      <c r="B34" s="67">
        <v>23331637</v>
      </c>
      <c r="C34">
        <v>0</v>
      </c>
      <c r="D34" s="59" t="s">
        <v>1818</v>
      </c>
      <c r="E34" s="44">
        <v>0</v>
      </c>
      <c r="G34">
        <v>0</v>
      </c>
      <c r="I34" s="20">
        <v>0</v>
      </c>
      <c r="J34" t="s">
        <v>22</v>
      </c>
      <c r="K34" t="s">
        <v>1142</v>
      </c>
      <c r="L34" t="s">
        <v>1235</v>
      </c>
      <c r="M34" t="s">
        <v>1488</v>
      </c>
      <c r="N34" t="s">
        <v>1539</v>
      </c>
      <c r="O34" t="s">
        <v>23</v>
      </c>
      <c r="P34" t="s">
        <v>1488</v>
      </c>
      <c r="R34" t="s">
        <v>1236</v>
      </c>
      <c r="S34" t="s">
        <v>1658</v>
      </c>
      <c r="T34" t="s">
        <v>1706</v>
      </c>
    </row>
    <row r="35" spans="1:20">
      <c r="A35" t="s">
        <v>1094</v>
      </c>
      <c r="B35" s="67">
        <v>18037007</v>
      </c>
      <c r="C35">
        <v>0</v>
      </c>
      <c r="D35" s="59" t="s">
        <v>1812</v>
      </c>
      <c r="G35">
        <v>0</v>
      </c>
      <c r="I35" s="4">
        <v>0</v>
      </c>
      <c r="J35" t="s">
        <v>24</v>
      </c>
      <c r="K35" t="s">
        <v>24</v>
      </c>
      <c r="L35" t="s">
        <v>24</v>
      </c>
      <c r="M35" t="s">
        <v>24</v>
      </c>
      <c r="N35" t="s">
        <v>24</v>
      </c>
      <c r="O35" t="s">
        <v>24</v>
      </c>
      <c r="P35" t="s">
        <v>24</v>
      </c>
      <c r="Q35" t="s">
        <v>24</v>
      </c>
      <c r="R35" t="s">
        <v>24</v>
      </c>
      <c r="T35" t="s">
        <v>1238</v>
      </c>
    </row>
    <row r="36" spans="1:20">
      <c r="A36" t="s">
        <v>1090</v>
      </c>
      <c r="B36" s="75">
        <v>25451698</v>
      </c>
      <c r="C36" s="32">
        <v>0</v>
      </c>
      <c r="D36" s="60" t="s">
        <v>1811</v>
      </c>
      <c r="E36" s="46"/>
      <c r="F36" s="37"/>
      <c r="G36" s="32">
        <v>0</v>
      </c>
      <c r="H36" s="32"/>
      <c r="I36">
        <v>0</v>
      </c>
      <c r="J36" t="s">
        <v>1256</v>
      </c>
      <c r="K36" t="s">
        <v>24</v>
      </c>
      <c r="L36" t="s">
        <v>1127</v>
      </c>
      <c r="M36" t="s">
        <v>1507</v>
      </c>
      <c r="N36" t="s">
        <v>23</v>
      </c>
      <c r="O36" t="s">
        <v>23</v>
      </c>
      <c r="P36" t="s">
        <v>1248</v>
      </c>
      <c r="Q36" t="s">
        <v>1254</v>
      </c>
      <c r="R36" t="s">
        <v>24</v>
      </c>
      <c r="T36" t="s">
        <v>1255</v>
      </c>
    </row>
    <row r="37" spans="1:20">
      <c r="A37" t="s">
        <v>1085</v>
      </c>
      <c r="B37" s="32">
        <v>15978551</v>
      </c>
      <c r="C37" s="32">
        <v>0</v>
      </c>
      <c r="D37" s="60" t="s">
        <v>1811</v>
      </c>
      <c r="E37" s="46"/>
      <c r="F37" s="37"/>
      <c r="G37" s="32">
        <v>0</v>
      </c>
      <c r="H37" s="32"/>
      <c r="I37" s="4">
        <v>0</v>
      </c>
      <c r="P37" t="s">
        <v>1268</v>
      </c>
      <c r="T37" t="s">
        <v>1269</v>
      </c>
    </row>
    <row r="38" spans="1:20">
      <c r="A38" t="s">
        <v>1080</v>
      </c>
      <c r="B38">
        <v>20050844</v>
      </c>
      <c r="C38">
        <v>0</v>
      </c>
      <c r="D38" s="59" t="s">
        <v>1812</v>
      </c>
      <c r="G38">
        <v>0</v>
      </c>
      <c r="I38">
        <v>0</v>
      </c>
      <c r="T38" t="s">
        <v>1277</v>
      </c>
    </row>
    <row r="39" spans="1:20">
      <c r="A39" t="s">
        <v>1079</v>
      </c>
      <c r="B39" s="18">
        <v>20832443</v>
      </c>
      <c r="C39">
        <v>0</v>
      </c>
      <c r="D39" s="59" t="s">
        <v>1814</v>
      </c>
      <c r="E39" s="44">
        <v>0</v>
      </c>
      <c r="G39">
        <v>0</v>
      </c>
      <c r="I39" s="19">
        <v>0</v>
      </c>
      <c r="J39" t="s">
        <v>1280</v>
      </c>
      <c r="K39" t="s">
        <v>1281</v>
      </c>
      <c r="L39" t="s">
        <v>1278</v>
      </c>
      <c r="M39" t="s">
        <v>1488</v>
      </c>
      <c r="N39" t="s">
        <v>803</v>
      </c>
      <c r="O39" t="s">
        <v>23</v>
      </c>
      <c r="P39" t="s">
        <v>1488</v>
      </c>
      <c r="R39" t="s">
        <v>1132</v>
      </c>
      <c r="T39" t="s">
        <v>1279</v>
      </c>
    </row>
    <row r="40" spans="1:20">
      <c r="A40" t="s">
        <v>1075</v>
      </c>
      <c r="B40">
        <v>25996742</v>
      </c>
      <c r="C40">
        <v>0</v>
      </c>
      <c r="D40" s="59" t="s">
        <v>1818</v>
      </c>
      <c r="G40">
        <v>0</v>
      </c>
      <c r="I40">
        <v>0</v>
      </c>
      <c r="J40" t="s">
        <v>24</v>
      </c>
      <c r="K40" t="s">
        <v>24</v>
      </c>
      <c r="L40" t="s">
        <v>24</v>
      </c>
      <c r="M40" t="s">
        <v>24</v>
      </c>
      <c r="N40" t="s">
        <v>24</v>
      </c>
      <c r="O40" t="s">
        <v>24</v>
      </c>
      <c r="P40" t="s">
        <v>24</v>
      </c>
      <c r="Q40" t="s">
        <v>24</v>
      </c>
      <c r="R40" t="s">
        <v>24</v>
      </c>
      <c r="T40" t="s">
        <v>1295</v>
      </c>
    </row>
    <row r="41" spans="1:20">
      <c r="A41" t="s">
        <v>1073</v>
      </c>
      <c r="B41" s="18">
        <v>23754992</v>
      </c>
      <c r="C41">
        <v>0</v>
      </c>
      <c r="E41" s="44" t="s">
        <v>1837</v>
      </c>
      <c r="G41">
        <v>0</v>
      </c>
      <c r="I41">
        <v>0</v>
      </c>
      <c r="J41" t="s">
        <v>1300</v>
      </c>
      <c r="K41" t="s">
        <v>1212</v>
      </c>
      <c r="L41" t="s">
        <v>1127</v>
      </c>
      <c r="M41" t="s">
        <v>1488</v>
      </c>
      <c r="N41" t="s">
        <v>803</v>
      </c>
      <c r="O41" t="s">
        <v>23</v>
      </c>
      <c r="P41" t="s">
        <v>1488</v>
      </c>
      <c r="T41" t="s">
        <v>1696</v>
      </c>
    </row>
    <row r="42" spans="1:20">
      <c r="A42" t="s">
        <v>1068</v>
      </c>
      <c r="B42">
        <v>16926056</v>
      </c>
      <c r="C42">
        <v>0</v>
      </c>
      <c r="G42">
        <v>0</v>
      </c>
      <c r="I42">
        <v>0</v>
      </c>
      <c r="J42" t="s">
        <v>1312</v>
      </c>
      <c r="K42" t="s">
        <v>1162</v>
      </c>
      <c r="L42" t="s">
        <v>1127</v>
      </c>
      <c r="M42" t="s">
        <v>1541</v>
      </c>
      <c r="P42" t="s">
        <v>1517</v>
      </c>
      <c r="T42" t="s">
        <v>1313</v>
      </c>
    </row>
    <row r="43" spans="1:20">
      <c r="A43" t="s">
        <v>1067</v>
      </c>
      <c r="B43">
        <v>16920205</v>
      </c>
      <c r="C43">
        <v>0</v>
      </c>
      <c r="G43">
        <v>0</v>
      </c>
      <c r="I43">
        <v>0</v>
      </c>
      <c r="J43" t="s">
        <v>1312</v>
      </c>
      <c r="K43" t="s">
        <v>1162</v>
      </c>
      <c r="L43" t="s">
        <v>1127</v>
      </c>
      <c r="M43" t="s">
        <v>1541</v>
      </c>
      <c r="P43" t="s">
        <v>1314</v>
      </c>
      <c r="T43" t="s">
        <v>424</v>
      </c>
    </row>
    <row r="44" spans="1:20">
      <c r="A44" t="s">
        <v>1066</v>
      </c>
      <c r="B44">
        <v>23279008</v>
      </c>
      <c r="C44">
        <v>0</v>
      </c>
      <c r="G44" s="2">
        <v>0</v>
      </c>
      <c r="I44">
        <v>0</v>
      </c>
      <c r="J44" t="s">
        <v>24</v>
      </c>
      <c r="K44" t="s">
        <v>24</v>
      </c>
      <c r="L44" t="s">
        <v>1127</v>
      </c>
      <c r="M44" t="s">
        <v>1487</v>
      </c>
      <c r="P44" t="s">
        <v>24</v>
      </c>
      <c r="Q44" t="s">
        <v>1315</v>
      </c>
      <c r="T44" t="s">
        <v>424</v>
      </c>
    </row>
    <row r="45" spans="1:20">
      <c r="A45" t="s">
        <v>1064</v>
      </c>
      <c r="B45">
        <v>8046462</v>
      </c>
      <c r="C45">
        <v>0</v>
      </c>
      <c r="D45" s="59" t="s">
        <v>1818</v>
      </c>
      <c r="E45" s="44" t="s">
        <v>1839</v>
      </c>
      <c r="G45">
        <v>0</v>
      </c>
      <c r="I45" s="20">
        <v>0</v>
      </c>
      <c r="J45" t="s">
        <v>1286</v>
      </c>
      <c r="K45" t="s">
        <v>1281</v>
      </c>
      <c r="M45" t="s">
        <v>1488</v>
      </c>
      <c r="P45" t="s">
        <v>1319</v>
      </c>
      <c r="Q45" t="s">
        <v>1318</v>
      </c>
      <c r="R45" t="s">
        <v>1320</v>
      </c>
    </row>
    <row r="46" spans="1:20">
      <c r="A46" t="s">
        <v>1062</v>
      </c>
      <c r="B46">
        <v>25278853</v>
      </c>
      <c r="C46">
        <v>0</v>
      </c>
      <c r="D46" s="59" t="s">
        <v>1818</v>
      </c>
      <c r="E46" s="44" t="s">
        <v>1840</v>
      </c>
      <c r="G46">
        <v>0</v>
      </c>
      <c r="I46" s="20">
        <v>0</v>
      </c>
      <c r="J46" t="s">
        <v>1322</v>
      </c>
      <c r="K46" t="s">
        <v>1207</v>
      </c>
      <c r="L46" t="s">
        <v>789</v>
      </c>
      <c r="M46" t="s">
        <v>1488</v>
      </c>
      <c r="P46" t="s">
        <v>1680</v>
      </c>
      <c r="T46" t="s">
        <v>1709</v>
      </c>
    </row>
    <row r="47" spans="1:20">
      <c r="A47" t="s">
        <v>1061</v>
      </c>
      <c r="B47">
        <v>24304718</v>
      </c>
      <c r="C47">
        <v>0</v>
      </c>
      <c r="D47" s="59" t="s">
        <v>1818</v>
      </c>
      <c r="E47" s="44" t="s">
        <v>1840</v>
      </c>
      <c r="G47">
        <v>0</v>
      </c>
      <c r="I47">
        <v>0</v>
      </c>
      <c r="J47" t="s">
        <v>1327</v>
      </c>
      <c r="K47" t="s">
        <v>1251</v>
      </c>
      <c r="L47" t="s">
        <v>1323</v>
      </c>
      <c r="M47" t="s">
        <v>1319</v>
      </c>
      <c r="P47" t="s">
        <v>1325</v>
      </c>
      <c r="R47" t="s">
        <v>1324</v>
      </c>
      <c r="T47" t="s">
        <v>1326</v>
      </c>
    </row>
    <row r="48" spans="1:20">
      <c r="A48" t="s">
        <v>1059</v>
      </c>
      <c r="B48">
        <v>22824590</v>
      </c>
      <c r="C48">
        <v>0</v>
      </c>
      <c r="E48" s="44" t="s">
        <v>1841</v>
      </c>
      <c r="G48">
        <v>0</v>
      </c>
      <c r="I48">
        <v>0</v>
      </c>
      <c r="J48" t="s">
        <v>1332</v>
      </c>
      <c r="K48" t="s">
        <v>1232</v>
      </c>
      <c r="L48" t="s">
        <v>789</v>
      </c>
      <c r="M48" t="s">
        <v>1710</v>
      </c>
      <c r="P48" t="s">
        <v>1331</v>
      </c>
      <c r="Q48" t="s">
        <v>1330</v>
      </c>
      <c r="T48" t="s">
        <v>1333</v>
      </c>
    </row>
    <row r="49" spans="1:20">
      <c r="A49" t="s">
        <v>1056</v>
      </c>
      <c r="B49">
        <v>25460029</v>
      </c>
      <c r="C49">
        <v>0</v>
      </c>
      <c r="G49">
        <v>0</v>
      </c>
      <c r="I49">
        <v>0</v>
      </c>
      <c r="J49" t="s">
        <v>1339</v>
      </c>
      <c r="L49" t="s">
        <v>1127</v>
      </c>
      <c r="M49" t="s">
        <v>1498</v>
      </c>
      <c r="N49" t="s">
        <v>803</v>
      </c>
      <c r="P49" t="s">
        <v>1678</v>
      </c>
      <c r="Q49" t="s">
        <v>1340</v>
      </c>
      <c r="T49" t="s">
        <v>1279</v>
      </c>
    </row>
    <row r="50" spans="1:20">
      <c r="A50" t="s">
        <v>1048</v>
      </c>
      <c r="B50">
        <v>21808731</v>
      </c>
      <c r="C50">
        <v>0</v>
      </c>
      <c r="G50">
        <v>0</v>
      </c>
      <c r="I50">
        <v>0</v>
      </c>
      <c r="J50" t="s">
        <v>1359</v>
      </c>
      <c r="K50" t="s">
        <v>1169</v>
      </c>
      <c r="L50" t="s">
        <v>1127</v>
      </c>
      <c r="M50" t="s">
        <v>1358</v>
      </c>
      <c r="T50" t="s">
        <v>1357</v>
      </c>
    </row>
    <row r="51" spans="1:20">
      <c r="A51" t="s">
        <v>1046</v>
      </c>
      <c r="B51">
        <v>25178800</v>
      </c>
      <c r="C51">
        <v>0</v>
      </c>
      <c r="D51" s="59" t="s">
        <v>1811</v>
      </c>
      <c r="E51" s="44" t="s">
        <v>1844</v>
      </c>
      <c r="G51">
        <v>0</v>
      </c>
      <c r="I51">
        <v>0</v>
      </c>
      <c r="J51" t="s">
        <v>1364</v>
      </c>
      <c r="K51" t="s">
        <v>1169</v>
      </c>
      <c r="L51" t="s">
        <v>1127</v>
      </c>
      <c r="M51" t="s">
        <v>1487</v>
      </c>
      <c r="P51" t="s">
        <v>1363</v>
      </c>
      <c r="Q51" t="s">
        <v>1362</v>
      </c>
      <c r="T51" t="s">
        <v>1279</v>
      </c>
    </row>
    <row r="52" spans="1:20">
      <c r="A52" t="s">
        <v>1045</v>
      </c>
      <c r="B52">
        <v>23093202</v>
      </c>
      <c r="C52">
        <v>0</v>
      </c>
      <c r="D52" s="59" t="s">
        <v>1811</v>
      </c>
      <c r="G52">
        <v>0</v>
      </c>
      <c r="I52">
        <v>0</v>
      </c>
      <c r="J52" t="s">
        <v>24</v>
      </c>
      <c r="L52" t="s">
        <v>1127</v>
      </c>
      <c r="M52" t="s">
        <v>1711</v>
      </c>
      <c r="N52" t="s">
        <v>803</v>
      </c>
      <c r="R52" t="s">
        <v>13</v>
      </c>
      <c r="T52" t="s">
        <v>424</v>
      </c>
    </row>
    <row r="53" spans="1:20">
      <c r="A53" t="s">
        <v>1044</v>
      </c>
      <c r="B53">
        <v>12021835</v>
      </c>
      <c r="C53">
        <v>0</v>
      </c>
      <c r="D53" s="59" t="s">
        <v>1818</v>
      </c>
      <c r="G53">
        <v>0</v>
      </c>
      <c r="I53" s="18">
        <v>0</v>
      </c>
      <c r="L53" t="s">
        <v>1127</v>
      </c>
      <c r="M53" t="s">
        <v>24</v>
      </c>
      <c r="N53" t="s">
        <v>803</v>
      </c>
      <c r="P53" t="s">
        <v>1365</v>
      </c>
      <c r="T53" t="s">
        <v>1366</v>
      </c>
    </row>
    <row r="54" spans="1:20">
      <c r="A54" t="s">
        <v>1042</v>
      </c>
      <c r="B54">
        <v>9620801</v>
      </c>
      <c r="C54">
        <v>0</v>
      </c>
      <c r="D54" s="59" t="s">
        <v>1818</v>
      </c>
      <c r="G54">
        <v>0</v>
      </c>
      <c r="I54">
        <v>0</v>
      </c>
      <c r="M54" t="s">
        <v>24</v>
      </c>
      <c r="T54" t="s">
        <v>1370</v>
      </c>
    </row>
    <row r="55" spans="1:20">
      <c r="A55" t="s">
        <v>1041</v>
      </c>
      <c r="B55">
        <v>15262319</v>
      </c>
      <c r="C55">
        <v>0</v>
      </c>
      <c r="D55" s="59" t="s">
        <v>1818</v>
      </c>
      <c r="G55">
        <v>0</v>
      </c>
      <c r="I55">
        <v>0</v>
      </c>
      <c r="M55" t="s">
        <v>24</v>
      </c>
      <c r="T55" t="s">
        <v>1371</v>
      </c>
    </row>
    <row r="56" spans="1:20">
      <c r="A56" t="s">
        <v>1038</v>
      </c>
      <c r="B56">
        <v>17611082</v>
      </c>
      <c r="C56">
        <v>0</v>
      </c>
      <c r="D56" s="59" t="s">
        <v>1811</v>
      </c>
      <c r="G56">
        <v>0</v>
      </c>
      <c r="I56">
        <v>0</v>
      </c>
      <c r="J56" t="s">
        <v>24</v>
      </c>
      <c r="K56" t="s">
        <v>24</v>
      </c>
      <c r="L56" t="s">
        <v>1127</v>
      </c>
      <c r="M56" t="s">
        <v>1495</v>
      </c>
      <c r="N56" t="s">
        <v>803</v>
      </c>
      <c r="Q56" t="s">
        <v>1378</v>
      </c>
      <c r="R56" t="s">
        <v>1379</v>
      </c>
      <c r="T56" t="s">
        <v>424</v>
      </c>
    </row>
    <row r="57" spans="1:20">
      <c r="A57" t="s">
        <v>1033</v>
      </c>
      <c r="B57">
        <v>12154148</v>
      </c>
      <c r="C57">
        <v>0</v>
      </c>
      <c r="D57" s="59" t="s">
        <v>1812</v>
      </c>
      <c r="G57">
        <v>0</v>
      </c>
      <c r="I57" s="4">
        <v>0</v>
      </c>
      <c r="T57" t="s">
        <v>1388</v>
      </c>
    </row>
    <row r="58" spans="1:20">
      <c r="A58" t="s">
        <v>1030</v>
      </c>
      <c r="B58">
        <v>15225968</v>
      </c>
      <c r="C58">
        <v>0</v>
      </c>
      <c r="D58" s="59" t="s">
        <v>1818</v>
      </c>
      <c r="E58" s="44" t="s">
        <v>1854</v>
      </c>
      <c r="G58">
        <v>0</v>
      </c>
      <c r="I58">
        <v>0</v>
      </c>
      <c r="K58" t="s">
        <v>1244</v>
      </c>
      <c r="L58" t="s">
        <v>1394</v>
      </c>
      <c r="M58" t="s">
        <v>24</v>
      </c>
      <c r="N58" t="s">
        <v>803</v>
      </c>
      <c r="O58" t="s">
        <v>23</v>
      </c>
      <c r="P58" t="s">
        <v>1395</v>
      </c>
      <c r="S58" t="s">
        <v>1662</v>
      </c>
      <c r="T58" t="s">
        <v>516</v>
      </c>
    </row>
    <row r="59" spans="1:20">
      <c r="A59" t="s">
        <v>1022</v>
      </c>
      <c r="B59">
        <v>23840700</v>
      </c>
      <c r="C59">
        <v>0</v>
      </c>
      <c r="D59" s="59" t="s">
        <v>1814</v>
      </c>
      <c r="E59" s="44" t="s">
        <v>1857</v>
      </c>
      <c r="G59" s="2">
        <v>0</v>
      </c>
      <c r="I59" s="20">
        <v>0</v>
      </c>
      <c r="J59" t="s">
        <v>22</v>
      </c>
      <c r="L59" t="s">
        <v>1411</v>
      </c>
      <c r="M59" t="s">
        <v>1545</v>
      </c>
      <c r="N59" t="s">
        <v>803</v>
      </c>
      <c r="P59" t="s">
        <v>1412</v>
      </c>
      <c r="R59" t="s">
        <v>1413</v>
      </c>
      <c r="T59" t="s">
        <v>1414</v>
      </c>
    </row>
    <row r="60" spans="1:20">
      <c r="A60" t="s">
        <v>1018</v>
      </c>
      <c r="B60">
        <v>15682295</v>
      </c>
      <c r="C60">
        <v>0</v>
      </c>
      <c r="D60" s="59" t="s">
        <v>1818</v>
      </c>
      <c r="G60">
        <v>0</v>
      </c>
      <c r="I60">
        <v>0</v>
      </c>
      <c r="J60" t="s">
        <v>1421</v>
      </c>
      <c r="L60" t="s">
        <v>1127</v>
      </c>
      <c r="P60" t="s">
        <v>1420</v>
      </c>
      <c r="T60" t="s">
        <v>1124</v>
      </c>
    </row>
    <row r="61" spans="1:20">
      <c r="A61" t="s">
        <v>1016</v>
      </c>
      <c r="B61">
        <v>24910169</v>
      </c>
      <c r="C61">
        <v>0</v>
      </c>
      <c r="D61" s="59" t="s">
        <v>1812</v>
      </c>
      <c r="G61">
        <v>0</v>
      </c>
      <c r="I61" s="3">
        <v>0</v>
      </c>
      <c r="J61" t="s">
        <v>24</v>
      </c>
      <c r="K61" t="s">
        <v>24</v>
      </c>
      <c r="L61" t="s">
        <v>24</v>
      </c>
      <c r="M61" t="s">
        <v>24</v>
      </c>
      <c r="N61" t="s">
        <v>24</v>
      </c>
      <c r="O61" t="s">
        <v>24</v>
      </c>
      <c r="P61" t="s">
        <v>24</v>
      </c>
      <c r="Q61" t="s">
        <v>24</v>
      </c>
      <c r="R61" t="s">
        <v>24</v>
      </c>
      <c r="T61" t="s">
        <v>1424</v>
      </c>
    </row>
    <row r="62" spans="1:20">
      <c r="A62" t="s">
        <v>1012</v>
      </c>
      <c r="B62">
        <v>19929310</v>
      </c>
      <c r="C62">
        <v>0</v>
      </c>
      <c r="D62" s="59" t="s">
        <v>1811</v>
      </c>
      <c r="G62">
        <v>0</v>
      </c>
      <c r="I62">
        <v>0</v>
      </c>
      <c r="J62" t="s">
        <v>1435</v>
      </c>
      <c r="L62" t="s">
        <v>1127</v>
      </c>
      <c r="M62" t="s">
        <v>1493</v>
      </c>
      <c r="P62" t="s">
        <v>1437</v>
      </c>
      <c r="R62" t="s">
        <v>1436</v>
      </c>
      <c r="T62" t="s">
        <v>424</v>
      </c>
    </row>
    <row r="63" spans="1:20">
      <c r="A63" t="s">
        <v>1009</v>
      </c>
      <c r="B63">
        <v>23866614</v>
      </c>
      <c r="C63">
        <v>0</v>
      </c>
      <c r="D63" s="59" t="s">
        <v>1850</v>
      </c>
      <c r="G63">
        <v>0</v>
      </c>
      <c r="I63">
        <v>0</v>
      </c>
      <c r="J63" t="s">
        <v>1442</v>
      </c>
      <c r="K63" t="s">
        <v>1162</v>
      </c>
      <c r="L63" t="s">
        <v>1443</v>
      </c>
      <c r="M63" t="s">
        <v>1440</v>
      </c>
      <c r="N63" t="s">
        <v>803</v>
      </c>
      <c r="O63" t="s">
        <v>23</v>
      </c>
      <c r="P63" t="s">
        <v>1441</v>
      </c>
      <c r="T63" t="s">
        <v>1279</v>
      </c>
    </row>
    <row r="64" spans="1:20">
      <c r="A64" t="s">
        <v>1006</v>
      </c>
      <c r="B64">
        <v>26985040</v>
      </c>
      <c r="C64">
        <v>0</v>
      </c>
      <c r="D64" s="59" t="s">
        <v>1818</v>
      </c>
      <c r="G64">
        <v>0</v>
      </c>
      <c r="I64">
        <v>0</v>
      </c>
      <c r="J64" t="s">
        <v>1451</v>
      </c>
      <c r="K64" t="s">
        <v>1390</v>
      </c>
      <c r="L64" t="s">
        <v>1127</v>
      </c>
      <c r="M64" t="s">
        <v>1452</v>
      </c>
      <c r="N64" t="s">
        <v>803</v>
      </c>
      <c r="P64" t="s">
        <v>1450</v>
      </c>
      <c r="Q64" t="s">
        <v>1449</v>
      </c>
      <c r="T64" t="s">
        <v>1453</v>
      </c>
    </row>
    <row r="65" spans="1:20">
      <c r="A65" t="s">
        <v>1002</v>
      </c>
      <c r="B65">
        <v>26833658</v>
      </c>
      <c r="C65">
        <v>0</v>
      </c>
      <c r="D65" s="59" t="s">
        <v>1812</v>
      </c>
      <c r="G65">
        <v>0</v>
      </c>
      <c r="I65">
        <v>0</v>
      </c>
      <c r="L65" t="s">
        <v>1466</v>
      </c>
      <c r="T65" t="s">
        <v>1467</v>
      </c>
    </row>
    <row r="66" spans="1:20">
      <c r="A66" t="s">
        <v>993</v>
      </c>
      <c r="B66">
        <v>20015341</v>
      </c>
      <c r="C66">
        <v>0</v>
      </c>
      <c r="D66" s="59" t="s">
        <v>1818</v>
      </c>
      <c r="E66" s="44" t="s">
        <v>1849</v>
      </c>
      <c r="G66">
        <v>0</v>
      </c>
      <c r="I66" s="20">
        <v>0</v>
      </c>
      <c r="J66" t="s">
        <v>1485</v>
      </c>
      <c r="K66" t="s">
        <v>1147</v>
      </c>
      <c r="L66" t="s">
        <v>1483</v>
      </c>
      <c r="M66" t="s">
        <v>1488</v>
      </c>
      <c r="P66" t="s">
        <v>1484</v>
      </c>
      <c r="T66" t="s">
        <v>1486</v>
      </c>
    </row>
    <row r="67" spans="1:20">
      <c r="A67" t="s">
        <v>990</v>
      </c>
      <c r="B67">
        <v>16095698</v>
      </c>
      <c r="C67">
        <v>0</v>
      </c>
      <c r="D67" s="59" t="s">
        <v>1812</v>
      </c>
      <c r="G67">
        <v>0</v>
      </c>
      <c r="I67" s="4">
        <v>0</v>
      </c>
      <c r="J67" t="s">
        <v>1227</v>
      </c>
      <c r="L67" t="s">
        <v>1127</v>
      </c>
      <c r="T67" t="s">
        <v>854</v>
      </c>
    </row>
    <row r="68" spans="1:20">
      <c r="A68" t="s">
        <v>987</v>
      </c>
      <c r="B68">
        <v>26458179</v>
      </c>
      <c r="C68">
        <v>0</v>
      </c>
      <c r="D68" s="59" t="s">
        <v>1811</v>
      </c>
      <c r="G68">
        <v>0</v>
      </c>
      <c r="I68">
        <v>0</v>
      </c>
      <c r="J68" t="s">
        <v>24</v>
      </c>
      <c r="K68" t="s">
        <v>24</v>
      </c>
      <c r="L68" t="s">
        <v>1130</v>
      </c>
      <c r="M68" t="s">
        <v>1495</v>
      </c>
      <c r="N68" t="s">
        <v>1539</v>
      </c>
      <c r="O68" t="s">
        <v>23</v>
      </c>
      <c r="P68" t="s">
        <v>1128</v>
      </c>
      <c r="R68" t="s">
        <v>1527</v>
      </c>
      <c r="T68" t="s">
        <v>1528</v>
      </c>
    </row>
    <row r="69" spans="1:20">
      <c r="A69" t="s">
        <v>985</v>
      </c>
      <c r="B69" s="3">
        <v>18709460</v>
      </c>
      <c r="C69" s="3">
        <v>0</v>
      </c>
      <c r="D69" s="61" t="s">
        <v>1818</v>
      </c>
      <c r="G69">
        <v>0</v>
      </c>
      <c r="I69">
        <v>0</v>
      </c>
      <c r="J69" t="s">
        <v>24</v>
      </c>
      <c r="K69" t="s">
        <v>24</v>
      </c>
      <c r="L69" t="s">
        <v>1127</v>
      </c>
      <c r="M69" t="s">
        <v>24</v>
      </c>
      <c r="N69" t="s">
        <v>803</v>
      </c>
      <c r="T69" t="s">
        <v>1533</v>
      </c>
    </row>
    <row r="70" spans="1:20">
      <c r="A70" t="s">
        <v>984</v>
      </c>
      <c r="B70" s="3">
        <v>25542511</v>
      </c>
      <c r="C70" s="3">
        <v>0</v>
      </c>
      <c r="D70" s="61" t="s">
        <v>1850</v>
      </c>
      <c r="G70">
        <v>0</v>
      </c>
      <c r="I70">
        <v>0</v>
      </c>
      <c r="J70" t="s">
        <v>24</v>
      </c>
      <c r="K70" t="s">
        <v>24</v>
      </c>
      <c r="L70" t="s">
        <v>1127</v>
      </c>
      <c r="M70" t="s">
        <v>1487</v>
      </c>
      <c r="N70" t="s">
        <v>803</v>
      </c>
      <c r="P70" t="s">
        <v>1535</v>
      </c>
      <c r="Q70" t="s">
        <v>1538</v>
      </c>
      <c r="R70" t="s">
        <v>1537</v>
      </c>
      <c r="S70" t="s">
        <v>1534</v>
      </c>
      <c r="T70" t="s">
        <v>1546</v>
      </c>
    </row>
    <row r="71" spans="1:20">
      <c r="A71" t="s">
        <v>980</v>
      </c>
      <c r="B71" s="3">
        <v>16043370</v>
      </c>
      <c r="C71" s="3">
        <v>0</v>
      </c>
      <c r="D71" s="61" t="s">
        <v>1814</v>
      </c>
      <c r="E71" s="44" t="s">
        <v>1867</v>
      </c>
      <c r="G71">
        <v>0</v>
      </c>
      <c r="I71" s="20">
        <v>0</v>
      </c>
      <c r="J71" t="s">
        <v>1555</v>
      </c>
      <c r="K71" t="s">
        <v>24</v>
      </c>
      <c r="L71" t="s">
        <v>1554</v>
      </c>
      <c r="M71" t="s">
        <v>1488</v>
      </c>
      <c r="R71" t="s">
        <v>724</v>
      </c>
      <c r="T71" t="s">
        <v>1556</v>
      </c>
    </row>
    <row r="72" spans="1:20">
      <c r="A72" t="s">
        <v>979</v>
      </c>
      <c r="B72">
        <v>21803372</v>
      </c>
      <c r="C72">
        <v>0</v>
      </c>
      <c r="D72" s="59" t="s">
        <v>1818</v>
      </c>
      <c r="E72" s="44" t="s">
        <v>1867</v>
      </c>
      <c r="G72">
        <v>0</v>
      </c>
      <c r="I72" s="56">
        <v>0</v>
      </c>
      <c r="J72" t="s">
        <v>1718</v>
      </c>
      <c r="L72" t="s">
        <v>1554</v>
      </c>
      <c r="M72" t="s">
        <v>1488</v>
      </c>
      <c r="N72" t="s">
        <v>803</v>
      </c>
      <c r="P72" t="s">
        <v>1718</v>
      </c>
    </row>
    <row r="73" spans="1:20">
      <c r="A73" t="s">
        <v>978</v>
      </c>
      <c r="B73">
        <v>24326087</v>
      </c>
      <c r="C73">
        <v>0</v>
      </c>
      <c r="D73" s="59" t="s">
        <v>1850</v>
      </c>
      <c r="G73">
        <v>0</v>
      </c>
      <c r="I73">
        <v>0</v>
      </c>
      <c r="J73" t="s">
        <v>24</v>
      </c>
      <c r="K73" t="s">
        <v>24</v>
      </c>
      <c r="L73" t="s">
        <v>1127</v>
      </c>
      <c r="M73" t="s">
        <v>1487</v>
      </c>
      <c r="N73" t="s">
        <v>803</v>
      </c>
      <c r="O73" t="s">
        <v>23</v>
      </c>
      <c r="P73" t="s">
        <v>1535</v>
      </c>
      <c r="S73" t="s">
        <v>1534</v>
      </c>
      <c r="T73" t="s">
        <v>1260</v>
      </c>
    </row>
    <row r="74" spans="1:20">
      <c r="A74" t="s">
        <v>977</v>
      </c>
      <c r="B74" s="18">
        <v>23680165</v>
      </c>
      <c r="C74">
        <v>0</v>
      </c>
      <c r="D74" s="59" t="s">
        <v>1811</v>
      </c>
      <c r="G74">
        <v>0</v>
      </c>
      <c r="I74">
        <v>0</v>
      </c>
      <c r="J74" t="s">
        <v>24</v>
      </c>
      <c r="K74" t="s">
        <v>24</v>
      </c>
      <c r="L74" t="s">
        <v>1127</v>
      </c>
      <c r="M74" t="s">
        <v>1487</v>
      </c>
      <c r="N74" t="s">
        <v>803</v>
      </c>
      <c r="P74" t="s">
        <v>1558</v>
      </c>
      <c r="S74" t="s">
        <v>1557</v>
      </c>
      <c r="T74" t="s">
        <v>1260</v>
      </c>
    </row>
    <row r="75" spans="1:20">
      <c r="A75" t="s">
        <v>976</v>
      </c>
      <c r="B75">
        <v>7824596</v>
      </c>
      <c r="C75">
        <v>0</v>
      </c>
      <c r="D75" s="59" t="s">
        <v>1858</v>
      </c>
      <c r="G75">
        <v>0</v>
      </c>
      <c r="I75">
        <v>0</v>
      </c>
      <c r="J75" t="s">
        <v>1561</v>
      </c>
      <c r="K75" t="s">
        <v>24</v>
      </c>
      <c r="L75" t="s">
        <v>1127</v>
      </c>
      <c r="M75" t="s">
        <v>1559</v>
      </c>
      <c r="N75" t="s">
        <v>803</v>
      </c>
      <c r="O75" t="s">
        <v>23</v>
      </c>
      <c r="P75" t="s">
        <v>1560</v>
      </c>
      <c r="R75" t="s">
        <v>1236</v>
      </c>
      <c r="T75" t="s">
        <v>1279</v>
      </c>
    </row>
    <row r="76" spans="1:20">
      <c r="A76" t="s">
        <v>973</v>
      </c>
      <c r="B76">
        <v>16779920</v>
      </c>
      <c r="C76">
        <v>0</v>
      </c>
      <c r="D76" s="59" t="s">
        <v>1811</v>
      </c>
      <c r="G76">
        <v>0</v>
      </c>
      <c r="I76">
        <v>0</v>
      </c>
      <c r="J76" t="s">
        <v>24</v>
      </c>
      <c r="K76" t="s">
        <v>24</v>
      </c>
      <c r="L76" t="s">
        <v>1571</v>
      </c>
      <c r="M76" t="s">
        <v>1719</v>
      </c>
      <c r="N76" t="s">
        <v>803</v>
      </c>
      <c r="P76" t="s">
        <v>1574</v>
      </c>
      <c r="Q76" t="s">
        <v>1573</v>
      </c>
      <c r="S76" t="s">
        <v>1572</v>
      </c>
      <c r="T76" t="s">
        <v>1575</v>
      </c>
    </row>
    <row r="77" spans="1:20">
      <c r="A77" t="s">
        <v>972</v>
      </c>
      <c r="B77">
        <v>23181382</v>
      </c>
      <c r="C77" s="52">
        <v>0</v>
      </c>
      <c r="D77" s="62" t="s">
        <v>1814</v>
      </c>
      <c r="E77" s="44" t="s">
        <v>1866</v>
      </c>
      <c r="G77">
        <v>0</v>
      </c>
      <c r="I77" s="20">
        <v>0</v>
      </c>
      <c r="J77" t="s">
        <v>1577</v>
      </c>
      <c r="L77" t="s">
        <v>1576</v>
      </c>
      <c r="M77" t="s">
        <v>1488</v>
      </c>
      <c r="N77" t="s">
        <v>803</v>
      </c>
      <c r="T77" t="s">
        <v>1279</v>
      </c>
    </row>
    <row r="78" spans="1:20">
      <c r="A78" t="s">
        <v>966</v>
      </c>
      <c r="B78">
        <v>23681605</v>
      </c>
      <c r="C78">
        <v>0</v>
      </c>
      <c r="D78" s="59" t="s">
        <v>1811</v>
      </c>
      <c r="G78">
        <v>0</v>
      </c>
      <c r="I78">
        <v>0</v>
      </c>
      <c r="J78" t="s">
        <v>1597</v>
      </c>
      <c r="K78" t="s">
        <v>24</v>
      </c>
      <c r="L78" t="s">
        <v>1130</v>
      </c>
      <c r="M78" t="s">
        <v>1495</v>
      </c>
      <c r="P78" t="s">
        <v>1128</v>
      </c>
      <c r="Q78" t="s">
        <v>1595</v>
      </c>
      <c r="R78" t="s">
        <v>1132</v>
      </c>
      <c r="S78" t="s">
        <v>1596</v>
      </c>
      <c r="T78" t="s">
        <v>1279</v>
      </c>
    </row>
    <row r="79" spans="1:20">
      <c r="A79" t="s">
        <v>959</v>
      </c>
      <c r="B79">
        <v>26295915</v>
      </c>
      <c r="C79">
        <v>0</v>
      </c>
      <c r="D79" s="59" t="s">
        <v>1818</v>
      </c>
      <c r="E79" s="44" t="s">
        <v>1864</v>
      </c>
      <c r="G79">
        <v>0</v>
      </c>
      <c r="I79">
        <v>0</v>
      </c>
      <c r="J79" t="s">
        <v>1611</v>
      </c>
      <c r="K79" t="s">
        <v>24</v>
      </c>
      <c r="L79" t="s">
        <v>24</v>
      </c>
      <c r="M79" t="s">
        <v>24</v>
      </c>
      <c r="N79" t="s">
        <v>24</v>
      </c>
      <c r="O79" t="s">
        <v>24</v>
      </c>
      <c r="P79" t="s">
        <v>1671</v>
      </c>
      <c r="Q79" t="s">
        <v>24</v>
      </c>
      <c r="R79" t="s">
        <v>24</v>
      </c>
      <c r="S79" t="s">
        <v>24</v>
      </c>
      <c r="T79" t="s">
        <v>1610</v>
      </c>
    </row>
    <row r="80" spans="1:20">
      <c r="A80" t="s">
        <v>956</v>
      </c>
      <c r="B80">
        <v>24346248</v>
      </c>
      <c r="C80">
        <v>0</v>
      </c>
      <c r="D80" s="59" t="s">
        <v>1818</v>
      </c>
      <c r="G80">
        <v>0</v>
      </c>
      <c r="I80">
        <v>0</v>
      </c>
      <c r="J80" t="s">
        <v>24</v>
      </c>
      <c r="K80" t="s">
        <v>24</v>
      </c>
      <c r="L80" t="s">
        <v>24</v>
      </c>
      <c r="M80" t="s">
        <v>24</v>
      </c>
      <c r="N80" t="s">
        <v>24</v>
      </c>
      <c r="O80" t="s">
        <v>24</v>
      </c>
      <c r="P80" t="s">
        <v>24</v>
      </c>
      <c r="Q80" t="s">
        <v>24</v>
      </c>
      <c r="R80" t="s">
        <v>24</v>
      </c>
      <c r="S80" t="s">
        <v>24</v>
      </c>
      <c r="T80" t="s">
        <v>1618</v>
      </c>
    </row>
    <row r="81" spans="1:20">
      <c r="A81" t="s">
        <v>953</v>
      </c>
      <c r="B81">
        <v>26500564</v>
      </c>
      <c r="C81">
        <v>0</v>
      </c>
      <c r="D81" s="59" t="s">
        <v>7254</v>
      </c>
      <c r="G81">
        <v>0</v>
      </c>
      <c r="I81">
        <v>0</v>
      </c>
      <c r="J81" t="s">
        <v>73</v>
      </c>
      <c r="K81" t="s">
        <v>1147</v>
      </c>
      <c r="L81" t="s">
        <v>1554</v>
      </c>
      <c r="M81" t="s">
        <v>24</v>
      </c>
      <c r="P81" t="s">
        <v>1668</v>
      </c>
      <c r="Q81" t="s">
        <v>1624</v>
      </c>
      <c r="T81" t="s">
        <v>7253</v>
      </c>
    </row>
    <row r="82" spans="1:20">
      <c r="A82" t="s">
        <v>951</v>
      </c>
      <c r="B82">
        <v>24675160</v>
      </c>
      <c r="C82">
        <v>0</v>
      </c>
      <c r="D82" s="59" t="s">
        <v>1811</v>
      </c>
      <c r="G82">
        <v>0</v>
      </c>
      <c r="I82">
        <v>0</v>
      </c>
      <c r="J82" t="s">
        <v>1632</v>
      </c>
      <c r="L82" t="s">
        <v>1130</v>
      </c>
      <c r="M82" t="s">
        <v>1627</v>
      </c>
      <c r="N82" t="s">
        <v>803</v>
      </c>
      <c r="P82" t="s">
        <v>1128</v>
      </c>
      <c r="Q82" t="s">
        <v>1631</v>
      </c>
      <c r="R82" t="s">
        <v>1630</v>
      </c>
      <c r="S82" t="s">
        <v>1628</v>
      </c>
      <c r="T82" t="s">
        <v>424</v>
      </c>
    </row>
    <row r="83" spans="1:20">
      <c r="A83" t="s">
        <v>949</v>
      </c>
      <c r="B83">
        <v>23741416</v>
      </c>
      <c r="C83">
        <v>0</v>
      </c>
      <c r="D83" s="59" t="s">
        <v>1818</v>
      </c>
      <c r="E83" s="65" t="s">
        <v>1862</v>
      </c>
      <c r="G83">
        <v>0</v>
      </c>
      <c r="I83">
        <v>0</v>
      </c>
      <c r="J83" t="s">
        <v>73</v>
      </c>
      <c r="L83" t="s">
        <v>1138</v>
      </c>
      <c r="M83" t="s">
        <v>24</v>
      </c>
      <c r="P83" t="s">
        <v>1511</v>
      </c>
      <c r="Q83" t="s">
        <v>1635</v>
      </c>
      <c r="T83" t="s">
        <v>1610</v>
      </c>
    </row>
    <row r="84" spans="1:20">
      <c r="A84" t="s">
        <v>1114</v>
      </c>
      <c r="B84">
        <v>21843541</v>
      </c>
      <c r="C84">
        <v>1</v>
      </c>
      <c r="D84" s="59" t="s">
        <v>24</v>
      </c>
      <c r="E84" s="44">
        <v>1</v>
      </c>
      <c r="F84" s="36" t="s">
        <v>1786</v>
      </c>
      <c r="G84" s="2">
        <v>1</v>
      </c>
      <c r="I84">
        <v>0</v>
      </c>
      <c r="J84" t="s">
        <v>1133</v>
      </c>
      <c r="K84" t="s">
        <v>1170</v>
      </c>
      <c r="L84" t="s">
        <v>1127</v>
      </c>
      <c r="M84" t="s">
        <v>1543</v>
      </c>
      <c r="N84" t="s">
        <v>23</v>
      </c>
      <c r="O84" t="s">
        <v>23</v>
      </c>
      <c r="P84" t="s">
        <v>23</v>
      </c>
      <c r="Q84" t="s">
        <v>1134</v>
      </c>
      <c r="R84" t="s">
        <v>24</v>
      </c>
      <c r="T84" t="s">
        <v>1135</v>
      </c>
    </row>
    <row r="85" spans="1:20">
      <c r="A85" t="s">
        <v>1111</v>
      </c>
      <c r="B85">
        <v>25585683</v>
      </c>
      <c r="C85">
        <v>1</v>
      </c>
      <c r="D85" s="59" t="s">
        <v>24</v>
      </c>
      <c r="E85" s="44">
        <v>1</v>
      </c>
      <c r="G85">
        <v>1</v>
      </c>
      <c r="I85" s="20">
        <v>1</v>
      </c>
      <c r="J85" t="s">
        <v>1220</v>
      </c>
      <c r="K85" t="s">
        <v>1232</v>
      </c>
      <c r="L85" t="s">
        <v>1138</v>
      </c>
      <c r="M85" t="s">
        <v>1541</v>
      </c>
      <c r="N85" t="s">
        <v>23</v>
      </c>
      <c r="O85" t="s">
        <v>23</v>
      </c>
      <c r="P85" t="s">
        <v>1139</v>
      </c>
      <c r="Q85" t="s">
        <v>24</v>
      </c>
      <c r="R85" t="s">
        <v>1132</v>
      </c>
    </row>
    <row r="86" spans="1:20">
      <c r="A86" t="s">
        <v>1110</v>
      </c>
      <c r="B86">
        <v>24808840</v>
      </c>
      <c r="C86">
        <v>1</v>
      </c>
      <c r="D86" s="59" t="s">
        <v>24</v>
      </c>
      <c r="E86" s="44">
        <v>1</v>
      </c>
      <c r="G86">
        <v>1</v>
      </c>
      <c r="I86" s="20">
        <v>1</v>
      </c>
      <c r="J86" t="s">
        <v>1220</v>
      </c>
      <c r="K86" t="s">
        <v>1169</v>
      </c>
      <c r="L86" t="s">
        <v>1127</v>
      </c>
      <c r="M86" t="s">
        <v>1544</v>
      </c>
      <c r="N86" t="s">
        <v>803</v>
      </c>
      <c r="P86" t="s">
        <v>1140</v>
      </c>
      <c r="Q86" t="s">
        <v>24</v>
      </c>
      <c r="T86" t="s">
        <v>1141</v>
      </c>
    </row>
    <row r="87" spans="1:20">
      <c r="A87" t="s">
        <v>1105</v>
      </c>
      <c r="B87">
        <v>18568126</v>
      </c>
      <c r="C87">
        <v>1</v>
      </c>
      <c r="D87" s="59" t="s">
        <v>24</v>
      </c>
      <c r="E87" s="44">
        <v>1</v>
      </c>
      <c r="G87">
        <v>1</v>
      </c>
      <c r="I87">
        <v>1</v>
      </c>
      <c r="J87" t="s">
        <v>1206</v>
      </c>
      <c r="K87" t="s">
        <v>1207</v>
      </c>
      <c r="L87" t="s">
        <v>1127</v>
      </c>
      <c r="M87" t="s">
        <v>1805</v>
      </c>
      <c r="N87" t="s">
        <v>23</v>
      </c>
      <c r="O87" t="s">
        <v>23</v>
      </c>
      <c r="P87" t="s">
        <v>1205</v>
      </c>
      <c r="Q87" t="s">
        <v>24</v>
      </c>
      <c r="R87" t="s">
        <v>1209</v>
      </c>
    </row>
    <row r="88" spans="1:20">
      <c r="A88" t="s">
        <v>1104</v>
      </c>
      <c r="B88">
        <v>19412447</v>
      </c>
      <c r="C88">
        <v>1</v>
      </c>
      <c r="D88" s="59" t="s">
        <v>24</v>
      </c>
      <c r="E88" s="44">
        <v>1</v>
      </c>
      <c r="G88">
        <v>1</v>
      </c>
      <c r="I88">
        <v>1</v>
      </c>
      <c r="J88" t="s">
        <v>1206</v>
      </c>
      <c r="K88" t="s">
        <v>1207</v>
      </c>
      <c r="L88" t="s">
        <v>1127</v>
      </c>
      <c r="M88" t="s">
        <v>1506</v>
      </c>
      <c r="N88" t="s">
        <v>23</v>
      </c>
      <c r="O88" t="s">
        <v>23</v>
      </c>
      <c r="P88" t="s">
        <v>1205</v>
      </c>
      <c r="Q88" t="s">
        <v>24</v>
      </c>
      <c r="R88" t="s">
        <v>1209</v>
      </c>
      <c r="S88" t="s">
        <v>1208</v>
      </c>
    </row>
    <row r="89" spans="1:20">
      <c r="A89" t="s">
        <v>1102</v>
      </c>
      <c r="B89">
        <v>24677338</v>
      </c>
      <c r="C89">
        <v>1</v>
      </c>
      <c r="D89" s="59" t="s">
        <v>24</v>
      </c>
      <c r="E89" s="44" t="s">
        <v>1791</v>
      </c>
      <c r="F89" s="42" t="s">
        <v>1790</v>
      </c>
      <c r="G89" s="2">
        <v>1</v>
      </c>
      <c r="H89" t="s">
        <v>1747</v>
      </c>
      <c r="I89" s="20">
        <v>0</v>
      </c>
      <c r="J89" t="s">
        <v>1215</v>
      </c>
      <c r="K89" t="s">
        <v>1216</v>
      </c>
      <c r="L89" t="s">
        <v>1127</v>
      </c>
      <c r="M89" t="s">
        <v>24</v>
      </c>
      <c r="N89" t="s">
        <v>1539</v>
      </c>
      <c r="O89" t="s">
        <v>23</v>
      </c>
      <c r="P89" t="s">
        <v>1694</v>
      </c>
      <c r="Q89" t="s">
        <v>1213</v>
      </c>
      <c r="R89" t="s">
        <v>24</v>
      </c>
      <c r="T89" t="s">
        <v>1806</v>
      </c>
    </row>
    <row r="90" spans="1:20">
      <c r="A90" t="s">
        <v>1101</v>
      </c>
      <c r="B90">
        <v>26210936</v>
      </c>
      <c r="C90">
        <v>1</v>
      </c>
      <c r="D90" s="59" t="s">
        <v>24</v>
      </c>
      <c r="E90" s="44">
        <v>1</v>
      </c>
      <c r="G90">
        <v>1</v>
      </c>
      <c r="I90" s="20">
        <v>1</v>
      </c>
      <c r="J90" t="s">
        <v>1220</v>
      </c>
      <c r="K90" t="s">
        <v>1224</v>
      </c>
      <c r="L90" t="s">
        <v>1127</v>
      </c>
      <c r="M90" t="s">
        <v>1217</v>
      </c>
      <c r="P90" t="s">
        <v>1218</v>
      </c>
      <c r="Q90" t="s">
        <v>1219</v>
      </c>
      <c r="S90" t="s">
        <v>1655</v>
      </c>
      <c r="T90" t="s">
        <v>1654</v>
      </c>
    </row>
    <row r="91" spans="1:20">
      <c r="A91" t="s">
        <v>1100</v>
      </c>
      <c r="B91" s="18">
        <v>21736515</v>
      </c>
      <c r="C91">
        <v>1</v>
      </c>
      <c r="D91" s="59" t="s">
        <v>24</v>
      </c>
      <c r="E91" s="44">
        <v>1</v>
      </c>
      <c r="G91">
        <v>1</v>
      </c>
      <c r="I91" s="20">
        <v>1</v>
      </c>
      <c r="J91" t="s">
        <v>1223</v>
      </c>
      <c r="K91" t="s">
        <v>1171</v>
      </c>
      <c r="L91" t="s">
        <v>1221</v>
      </c>
      <c r="M91" t="s">
        <v>1488</v>
      </c>
      <c r="N91" t="s">
        <v>23</v>
      </c>
      <c r="O91" t="s">
        <v>23</v>
      </c>
      <c r="P91" t="s">
        <v>1686</v>
      </c>
      <c r="R91" t="s">
        <v>13</v>
      </c>
      <c r="S91" t="s">
        <v>1222</v>
      </c>
    </row>
    <row r="92" spans="1:20">
      <c r="A92" t="s">
        <v>1099</v>
      </c>
      <c r="B92">
        <v>16971540</v>
      </c>
      <c r="C92">
        <v>1</v>
      </c>
      <c r="D92" s="59" t="s">
        <v>24</v>
      </c>
      <c r="E92" s="44">
        <v>1</v>
      </c>
      <c r="G92">
        <v>1</v>
      </c>
      <c r="I92" s="20">
        <v>1</v>
      </c>
      <c r="J92" t="s">
        <v>1220</v>
      </c>
      <c r="K92" t="s">
        <v>1162</v>
      </c>
      <c r="L92" t="s">
        <v>1225</v>
      </c>
      <c r="M92" t="s">
        <v>1501</v>
      </c>
      <c r="N92" t="s">
        <v>23</v>
      </c>
      <c r="O92" t="s">
        <v>23</v>
      </c>
      <c r="P92" t="s">
        <v>1501</v>
      </c>
      <c r="Q92" t="s">
        <v>24</v>
      </c>
      <c r="R92" t="s">
        <v>24</v>
      </c>
      <c r="S92" t="s">
        <v>1226</v>
      </c>
    </row>
    <row r="93" spans="1:20">
      <c r="A93" t="s">
        <v>1097</v>
      </c>
      <c r="B93">
        <v>25533726</v>
      </c>
      <c r="C93">
        <v>1</v>
      </c>
      <c r="D93" s="59" t="s">
        <v>24</v>
      </c>
      <c r="E93" s="44">
        <v>1</v>
      </c>
      <c r="G93">
        <v>1</v>
      </c>
      <c r="I93" s="20">
        <v>1</v>
      </c>
      <c r="J93" t="s">
        <v>1230</v>
      </c>
      <c r="K93" t="s">
        <v>1162</v>
      </c>
      <c r="L93" t="s">
        <v>1127</v>
      </c>
      <c r="M93" t="s">
        <v>1541</v>
      </c>
      <c r="N93" t="s">
        <v>23</v>
      </c>
      <c r="O93" t="s">
        <v>23</v>
      </c>
      <c r="P93" t="s">
        <v>1501</v>
      </c>
      <c r="Q93" t="s">
        <v>1231</v>
      </c>
      <c r="R93" t="s">
        <v>23</v>
      </c>
    </row>
    <row r="94" spans="1:20">
      <c r="A94" t="s">
        <v>1093</v>
      </c>
      <c r="B94">
        <v>21701068</v>
      </c>
      <c r="C94">
        <v>1</v>
      </c>
      <c r="D94" s="59" t="s">
        <v>24</v>
      </c>
      <c r="G94">
        <v>1</v>
      </c>
      <c r="I94" s="3">
        <v>1</v>
      </c>
      <c r="J94" t="s">
        <v>1240</v>
      </c>
      <c r="K94" t="s">
        <v>1244</v>
      </c>
      <c r="M94" t="s">
        <v>1493</v>
      </c>
      <c r="P94" t="s">
        <v>1239</v>
      </c>
      <c r="Q94" t="s">
        <v>1243</v>
      </c>
      <c r="R94" t="s">
        <v>1242</v>
      </c>
      <c r="T94" t="s">
        <v>1241</v>
      </c>
    </row>
    <row r="95" spans="1:20">
      <c r="A95" t="s">
        <v>1091</v>
      </c>
      <c r="B95" s="32">
        <v>21194896</v>
      </c>
      <c r="C95" s="32">
        <v>1</v>
      </c>
      <c r="D95" s="60" t="s">
        <v>24</v>
      </c>
      <c r="E95" s="46"/>
      <c r="F95" s="37"/>
      <c r="G95" s="32">
        <v>1</v>
      </c>
      <c r="H95" s="32"/>
      <c r="I95">
        <v>1</v>
      </c>
      <c r="J95" t="s">
        <v>1253</v>
      </c>
      <c r="K95" t="s">
        <v>1251</v>
      </c>
      <c r="L95" t="s">
        <v>1127</v>
      </c>
      <c r="M95" t="s">
        <v>1507</v>
      </c>
      <c r="N95" t="s">
        <v>23</v>
      </c>
      <c r="O95" t="s">
        <v>23</v>
      </c>
      <c r="P95" t="s">
        <v>1250</v>
      </c>
      <c r="R95" t="s">
        <v>1252</v>
      </c>
      <c r="S95" t="s">
        <v>1249</v>
      </c>
    </row>
    <row r="96" spans="1:20">
      <c r="A96" t="s">
        <v>1089</v>
      </c>
      <c r="B96" s="32">
        <v>18700055</v>
      </c>
      <c r="C96" s="32">
        <v>1</v>
      </c>
      <c r="D96" s="60" t="s">
        <v>24</v>
      </c>
      <c r="E96" s="46"/>
      <c r="F96" s="37"/>
      <c r="G96" s="32">
        <v>1</v>
      </c>
      <c r="H96" s="32"/>
      <c r="I96" s="4">
        <v>1</v>
      </c>
      <c r="J96" t="s">
        <v>1258</v>
      </c>
      <c r="K96" t="s">
        <v>1251</v>
      </c>
      <c r="L96" t="s">
        <v>1127</v>
      </c>
      <c r="M96" t="s">
        <v>1707</v>
      </c>
      <c r="N96" t="s">
        <v>23</v>
      </c>
      <c r="O96" t="s">
        <v>23</v>
      </c>
      <c r="P96" t="s">
        <v>1257</v>
      </c>
      <c r="Q96" t="s">
        <v>24</v>
      </c>
      <c r="R96" t="s">
        <v>1132</v>
      </c>
    </row>
    <row r="97" spans="1:20">
      <c r="A97" t="s">
        <v>1087</v>
      </c>
      <c r="B97" s="32">
        <v>18635156</v>
      </c>
      <c r="C97" s="32">
        <v>1</v>
      </c>
      <c r="D97" s="60" t="s">
        <v>24</v>
      </c>
      <c r="E97" s="46"/>
      <c r="F97" s="37"/>
      <c r="G97" s="32">
        <v>1</v>
      </c>
      <c r="H97" s="32"/>
      <c r="I97" s="3">
        <v>1</v>
      </c>
      <c r="J97" t="s">
        <v>1253</v>
      </c>
      <c r="K97" t="s">
        <v>1147</v>
      </c>
      <c r="L97" t="s">
        <v>1127</v>
      </c>
      <c r="M97" t="s">
        <v>1507</v>
      </c>
      <c r="N97" t="s">
        <v>23</v>
      </c>
      <c r="O97" t="s">
        <v>23</v>
      </c>
      <c r="P97" t="s">
        <v>1584</v>
      </c>
      <c r="Q97" t="s">
        <v>24</v>
      </c>
      <c r="R97" t="s">
        <v>1261</v>
      </c>
      <c r="S97" t="s">
        <v>1262</v>
      </c>
    </row>
    <row r="98" spans="1:20">
      <c r="A98" t="s">
        <v>1086</v>
      </c>
      <c r="B98" s="32">
        <v>16555237</v>
      </c>
      <c r="C98" s="32">
        <v>1</v>
      </c>
      <c r="D98" s="60" t="s">
        <v>24</v>
      </c>
      <c r="E98" s="46" t="s">
        <v>1824</v>
      </c>
      <c r="F98" s="37"/>
      <c r="G98" s="32">
        <v>1</v>
      </c>
      <c r="H98" s="32"/>
      <c r="I98">
        <v>1</v>
      </c>
      <c r="J98" t="s">
        <v>1263</v>
      </c>
      <c r="K98" t="s">
        <v>1264</v>
      </c>
      <c r="L98" t="s">
        <v>1265</v>
      </c>
      <c r="M98" t="s">
        <v>1495</v>
      </c>
      <c r="N98" t="s">
        <v>23</v>
      </c>
      <c r="O98" t="s">
        <v>23</v>
      </c>
      <c r="P98" t="s">
        <v>1267</v>
      </c>
      <c r="Q98" t="s">
        <v>1266</v>
      </c>
      <c r="R98" t="s">
        <v>13</v>
      </c>
    </row>
    <row r="99" spans="1:20">
      <c r="A99" t="s">
        <v>1078</v>
      </c>
      <c r="B99">
        <v>22108759</v>
      </c>
      <c r="C99">
        <v>1</v>
      </c>
      <c r="D99" s="59" t="s">
        <v>24</v>
      </c>
      <c r="G99">
        <v>1</v>
      </c>
      <c r="I99">
        <v>1</v>
      </c>
      <c r="J99" t="s">
        <v>73</v>
      </c>
      <c r="K99" t="s">
        <v>1147</v>
      </c>
      <c r="L99" t="s">
        <v>1282</v>
      </c>
      <c r="M99" t="s">
        <v>1500</v>
      </c>
      <c r="N99" t="s">
        <v>1539</v>
      </c>
      <c r="O99" t="s">
        <v>23</v>
      </c>
      <c r="P99" t="s">
        <v>1512</v>
      </c>
      <c r="Q99" t="s">
        <v>1284</v>
      </c>
      <c r="R99" t="s">
        <v>24</v>
      </c>
      <c r="T99" t="s">
        <v>1283</v>
      </c>
    </row>
    <row r="100" spans="1:20">
      <c r="A100" t="s">
        <v>1076</v>
      </c>
      <c r="B100">
        <v>25979764</v>
      </c>
      <c r="C100">
        <v>1</v>
      </c>
      <c r="D100" s="59" t="s">
        <v>24</v>
      </c>
      <c r="G100" s="2">
        <v>1</v>
      </c>
      <c r="I100" s="2">
        <v>1</v>
      </c>
      <c r="J100" t="s">
        <v>1293</v>
      </c>
      <c r="K100" t="s">
        <v>23</v>
      </c>
      <c r="L100" t="s">
        <v>1127</v>
      </c>
      <c r="M100" t="s">
        <v>1487</v>
      </c>
      <c r="P100" t="s">
        <v>1293</v>
      </c>
      <c r="Q100" t="s">
        <v>1292</v>
      </c>
      <c r="T100" t="s">
        <v>1294</v>
      </c>
    </row>
    <row r="101" spans="1:20">
      <c r="A101" t="s">
        <v>1074</v>
      </c>
      <c r="B101">
        <v>27417516</v>
      </c>
      <c r="C101">
        <v>1</v>
      </c>
      <c r="D101" s="59" t="s">
        <v>24</v>
      </c>
      <c r="E101" s="44">
        <v>1</v>
      </c>
      <c r="G101">
        <v>1</v>
      </c>
      <c r="I101">
        <v>1</v>
      </c>
      <c r="J101" t="s">
        <v>1296</v>
      </c>
      <c r="K101" t="s">
        <v>1166</v>
      </c>
      <c r="L101" t="s">
        <v>1127</v>
      </c>
      <c r="M101" t="s">
        <v>1542</v>
      </c>
      <c r="P101" t="s">
        <v>1297</v>
      </c>
      <c r="Q101" t="s">
        <v>1298</v>
      </c>
      <c r="T101" t="s">
        <v>1299</v>
      </c>
    </row>
    <row r="102" spans="1:20">
      <c r="A102" t="s">
        <v>1071</v>
      </c>
      <c r="B102" s="18">
        <v>21918506</v>
      </c>
      <c r="C102">
        <v>1</v>
      </c>
      <c r="D102" s="59" t="s">
        <v>24</v>
      </c>
      <c r="E102" s="44">
        <v>1</v>
      </c>
      <c r="G102">
        <v>1</v>
      </c>
      <c r="I102">
        <v>1</v>
      </c>
      <c r="J102" t="s">
        <v>1306</v>
      </c>
      <c r="K102" t="s">
        <v>1232</v>
      </c>
      <c r="L102" t="s">
        <v>1127</v>
      </c>
      <c r="M102" t="s">
        <v>1487</v>
      </c>
      <c r="N102" t="s">
        <v>803</v>
      </c>
      <c r="O102" t="s">
        <v>23</v>
      </c>
      <c r="P102" t="s">
        <v>1305</v>
      </c>
      <c r="R102" t="s">
        <v>1304</v>
      </c>
    </row>
    <row r="103" spans="1:20">
      <c r="A103" t="s">
        <v>1070</v>
      </c>
      <c r="B103" s="18">
        <v>24675061</v>
      </c>
      <c r="C103">
        <v>1</v>
      </c>
      <c r="D103" s="59" t="s">
        <v>24</v>
      </c>
      <c r="G103">
        <v>1</v>
      </c>
      <c r="I103">
        <v>1</v>
      </c>
      <c r="J103" t="s">
        <v>1307</v>
      </c>
      <c r="K103" t="s">
        <v>1224</v>
      </c>
      <c r="L103" t="s">
        <v>1127</v>
      </c>
      <c r="M103" t="s">
        <v>1498</v>
      </c>
      <c r="P103" t="s">
        <v>1516</v>
      </c>
      <c r="Q103" t="s">
        <v>1308</v>
      </c>
      <c r="R103" t="s">
        <v>1309</v>
      </c>
    </row>
    <row r="104" spans="1:20">
      <c r="A104" t="s">
        <v>1069</v>
      </c>
      <c r="B104" s="18">
        <v>25750029</v>
      </c>
      <c r="C104">
        <v>1</v>
      </c>
      <c r="D104" s="59" t="s">
        <v>24</v>
      </c>
      <c r="G104">
        <v>1</v>
      </c>
      <c r="I104">
        <v>1</v>
      </c>
      <c r="J104" t="s">
        <v>1585</v>
      </c>
      <c r="K104" t="s">
        <v>1216</v>
      </c>
      <c r="L104" t="s">
        <v>1127</v>
      </c>
      <c r="M104" t="s">
        <v>1310</v>
      </c>
      <c r="N104" t="s">
        <v>803</v>
      </c>
      <c r="P104" t="s">
        <v>1311</v>
      </c>
    </row>
    <row r="105" spans="1:20">
      <c r="A105" t="s">
        <v>1065</v>
      </c>
      <c r="B105" s="18">
        <v>25746511</v>
      </c>
      <c r="C105">
        <v>1</v>
      </c>
      <c r="D105" s="59" t="s">
        <v>24</v>
      </c>
      <c r="G105">
        <v>1</v>
      </c>
      <c r="I105">
        <v>1</v>
      </c>
      <c r="J105" t="s">
        <v>1317</v>
      </c>
      <c r="K105" t="s">
        <v>1166</v>
      </c>
      <c r="L105" t="s">
        <v>1127</v>
      </c>
      <c r="M105" t="s">
        <v>1487</v>
      </c>
      <c r="P105" t="s">
        <v>1316</v>
      </c>
    </row>
    <row r="106" spans="1:20">
      <c r="A106" t="s">
        <v>1063</v>
      </c>
      <c r="B106" s="18">
        <v>22701407</v>
      </c>
      <c r="C106">
        <v>1</v>
      </c>
      <c r="D106" s="59" t="s">
        <v>24</v>
      </c>
      <c r="G106">
        <v>1</v>
      </c>
      <c r="I106">
        <v>1</v>
      </c>
      <c r="J106" t="s">
        <v>1258</v>
      </c>
      <c r="K106" t="s">
        <v>1147</v>
      </c>
      <c r="L106" t="s">
        <v>1321</v>
      </c>
      <c r="M106" t="s">
        <v>1495</v>
      </c>
      <c r="P106" t="s">
        <v>1681</v>
      </c>
    </row>
    <row r="107" spans="1:20">
      <c r="A107" t="s">
        <v>1060</v>
      </c>
      <c r="B107" s="18">
        <v>21285873</v>
      </c>
      <c r="C107">
        <v>1</v>
      </c>
      <c r="D107" s="59" t="s">
        <v>24</v>
      </c>
      <c r="G107">
        <v>1</v>
      </c>
      <c r="I107">
        <v>1</v>
      </c>
      <c r="J107" t="s">
        <v>1329</v>
      </c>
      <c r="K107" t="s">
        <v>1169</v>
      </c>
      <c r="L107" t="s">
        <v>1127</v>
      </c>
      <c r="M107" t="s">
        <v>1541</v>
      </c>
      <c r="N107" t="s">
        <v>803</v>
      </c>
      <c r="P107" t="s">
        <v>1328</v>
      </c>
      <c r="R107" t="s">
        <v>1132</v>
      </c>
    </row>
    <row r="108" spans="1:20">
      <c r="A108" t="s">
        <v>1058</v>
      </c>
      <c r="B108" s="18">
        <v>15677425</v>
      </c>
      <c r="C108">
        <v>1</v>
      </c>
      <c r="D108" s="59" t="s">
        <v>24</v>
      </c>
      <c r="G108">
        <v>1</v>
      </c>
      <c r="I108">
        <v>1</v>
      </c>
      <c r="J108" t="s">
        <v>1586</v>
      </c>
      <c r="K108" t="s">
        <v>1147</v>
      </c>
      <c r="L108" t="s">
        <v>1127</v>
      </c>
      <c r="M108" t="s">
        <v>1334</v>
      </c>
      <c r="Q108" t="s">
        <v>1335</v>
      </c>
    </row>
    <row r="109" spans="1:20">
      <c r="A109" t="s">
        <v>1057</v>
      </c>
      <c r="B109" s="18">
        <v>22659471</v>
      </c>
      <c r="C109">
        <v>1</v>
      </c>
      <c r="D109" s="59" t="s">
        <v>24</v>
      </c>
      <c r="G109">
        <v>1</v>
      </c>
      <c r="I109">
        <v>1</v>
      </c>
      <c r="J109" t="s">
        <v>1336</v>
      </c>
      <c r="K109" t="s">
        <v>1224</v>
      </c>
      <c r="L109" t="s">
        <v>1127</v>
      </c>
      <c r="M109" t="s">
        <v>1498</v>
      </c>
      <c r="N109" t="s">
        <v>803</v>
      </c>
      <c r="P109" t="s">
        <v>1337</v>
      </c>
      <c r="Q109" t="s">
        <v>1338</v>
      </c>
    </row>
    <row r="110" spans="1:20" s="3" customFormat="1">
      <c r="A110" t="s">
        <v>1055</v>
      </c>
      <c r="B110">
        <v>20700523</v>
      </c>
      <c r="C110">
        <v>1</v>
      </c>
      <c r="D110" s="59" t="s">
        <v>24</v>
      </c>
      <c r="E110" s="44"/>
      <c r="F110" s="36"/>
      <c r="G110">
        <v>1</v>
      </c>
      <c r="H110"/>
      <c r="I110">
        <v>1</v>
      </c>
      <c r="J110" t="s">
        <v>1342</v>
      </c>
      <c r="K110" t="s">
        <v>1224</v>
      </c>
      <c r="L110" t="s">
        <v>1127</v>
      </c>
      <c r="M110" t="s">
        <v>1498</v>
      </c>
      <c r="N110" t="s">
        <v>803</v>
      </c>
      <c r="O110"/>
      <c r="P110" t="s">
        <v>1341</v>
      </c>
      <c r="Q110"/>
      <c r="R110"/>
      <c r="S110"/>
      <c r="T110"/>
    </row>
    <row r="111" spans="1:20">
      <c r="A111" t="s">
        <v>1052</v>
      </c>
      <c r="B111">
        <v>24335837</v>
      </c>
      <c r="C111">
        <v>1</v>
      </c>
      <c r="D111" s="59" t="s">
        <v>24</v>
      </c>
      <c r="E111" s="44">
        <v>1</v>
      </c>
      <c r="G111">
        <v>1</v>
      </c>
      <c r="I111">
        <v>1</v>
      </c>
      <c r="J111" t="s">
        <v>1347</v>
      </c>
      <c r="K111" t="s">
        <v>1224</v>
      </c>
      <c r="L111" t="s">
        <v>1138</v>
      </c>
      <c r="M111" t="s">
        <v>1499</v>
      </c>
      <c r="N111" t="s">
        <v>803</v>
      </c>
      <c r="O111" t="s">
        <v>23</v>
      </c>
      <c r="P111" t="s">
        <v>1692</v>
      </c>
      <c r="Q111" t="s">
        <v>1348</v>
      </c>
      <c r="R111" t="s">
        <v>1349</v>
      </c>
      <c r="S111" t="s">
        <v>1350</v>
      </c>
    </row>
    <row r="112" spans="1:20">
      <c r="A112" t="s">
        <v>1051</v>
      </c>
      <c r="B112">
        <v>16860405</v>
      </c>
      <c r="C112">
        <v>1</v>
      </c>
      <c r="D112" s="59" t="s">
        <v>24</v>
      </c>
      <c r="E112" s="44">
        <v>1</v>
      </c>
      <c r="G112">
        <v>1</v>
      </c>
      <c r="I112">
        <v>1</v>
      </c>
      <c r="J112" t="s">
        <v>1352</v>
      </c>
      <c r="K112" t="s">
        <v>1224</v>
      </c>
      <c r="L112" t="s">
        <v>1127</v>
      </c>
      <c r="M112" t="s">
        <v>1487</v>
      </c>
      <c r="N112" t="s">
        <v>23</v>
      </c>
      <c r="O112" t="s">
        <v>23</v>
      </c>
      <c r="P112" t="s">
        <v>1691</v>
      </c>
      <c r="T112" t="s">
        <v>1351</v>
      </c>
    </row>
    <row r="113" spans="1:20">
      <c r="A113" t="s">
        <v>1050</v>
      </c>
      <c r="B113">
        <v>17267088</v>
      </c>
      <c r="C113">
        <v>1</v>
      </c>
      <c r="D113" s="59" t="s">
        <v>24</v>
      </c>
      <c r="G113">
        <v>1</v>
      </c>
      <c r="I113">
        <v>1</v>
      </c>
      <c r="J113" t="s">
        <v>1353</v>
      </c>
      <c r="K113" t="s">
        <v>1216</v>
      </c>
      <c r="L113" t="s">
        <v>1127</v>
      </c>
      <c r="M113" t="s">
        <v>1487</v>
      </c>
      <c r="N113" t="s">
        <v>803</v>
      </c>
      <c r="O113" t="s">
        <v>23</v>
      </c>
      <c r="P113" t="s">
        <v>1337</v>
      </c>
      <c r="Q113" t="s">
        <v>1354</v>
      </c>
    </row>
    <row r="114" spans="1:20">
      <c r="A114" t="s">
        <v>1049</v>
      </c>
      <c r="B114">
        <v>27740964</v>
      </c>
      <c r="C114">
        <v>1</v>
      </c>
      <c r="D114" s="59" t="s">
        <v>24</v>
      </c>
      <c r="G114">
        <v>1</v>
      </c>
      <c r="I114">
        <v>1</v>
      </c>
      <c r="J114" t="s">
        <v>1327</v>
      </c>
      <c r="K114" t="s">
        <v>1224</v>
      </c>
      <c r="L114" t="s">
        <v>1225</v>
      </c>
      <c r="M114" t="s">
        <v>1541</v>
      </c>
      <c r="P114" t="s">
        <v>1355</v>
      </c>
      <c r="S114" t="s">
        <v>1356</v>
      </c>
    </row>
    <row r="115" spans="1:20">
      <c r="A115" t="s">
        <v>1047</v>
      </c>
      <c r="B115">
        <v>27275520</v>
      </c>
      <c r="C115">
        <v>1</v>
      </c>
      <c r="D115" s="59" t="s">
        <v>24</v>
      </c>
      <c r="G115">
        <v>1</v>
      </c>
      <c r="I115">
        <v>1</v>
      </c>
      <c r="J115" t="s">
        <v>1361</v>
      </c>
      <c r="K115" t="s">
        <v>1216</v>
      </c>
      <c r="L115" t="s">
        <v>1127</v>
      </c>
      <c r="M115" t="s">
        <v>1487</v>
      </c>
      <c r="P115" t="s">
        <v>1360</v>
      </c>
      <c r="Q115" t="s">
        <v>24</v>
      </c>
      <c r="R115" t="s">
        <v>24</v>
      </c>
    </row>
    <row r="116" spans="1:20">
      <c r="A116" t="s">
        <v>1039</v>
      </c>
      <c r="B116">
        <v>12587183</v>
      </c>
      <c r="C116">
        <v>1</v>
      </c>
      <c r="D116" s="59" t="s">
        <v>24</v>
      </c>
      <c r="E116" s="44">
        <v>1</v>
      </c>
      <c r="G116">
        <v>1</v>
      </c>
      <c r="I116">
        <v>1</v>
      </c>
      <c r="J116" t="s">
        <v>1376</v>
      </c>
      <c r="K116" t="s">
        <v>1377</v>
      </c>
      <c r="M116" t="s">
        <v>1498</v>
      </c>
      <c r="P116" t="s">
        <v>1682</v>
      </c>
    </row>
    <row r="117" spans="1:20">
      <c r="A117" t="s">
        <v>1036</v>
      </c>
      <c r="B117">
        <v>23891637</v>
      </c>
      <c r="C117">
        <v>1</v>
      </c>
      <c r="D117" s="59" t="s">
        <v>24</v>
      </c>
      <c r="E117" s="44">
        <v>1</v>
      </c>
      <c r="G117">
        <v>1</v>
      </c>
      <c r="I117">
        <v>1</v>
      </c>
      <c r="J117" t="s">
        <v>1347</v>
      </c>
      <c r="K117" t="s">
        <v>1216</v>
      </c>
      <c r="L117" t="s">
        <v>1127</v>
      </c>
      <c r="M117" t="s">
        <v>1714</v>
      </c>
      <c r="N117" t="s">
        <v>803</v>
      </c>
      <c r="P117" t="s">
        <v>1383</v>
      </c>
      <c r="Q117" t="s">
        <v>1384</v>
      </c>
      <c r="R117" t="s">
        <v>1385</v>
      </c>
    </row>
    <row r="118" spans="1:20">
      <c r="A118" t="s">
        <v>1032</v>
      </c>
      <c r="B118">
        <v>26642920</v>
      </c>
      <c r="C118">
        <v>1</v>
      </c>
      <c r="D118" s="59" t="s">
        <v>24</v>
      </c>
      <c r="E118" s="44">
        <v>1</v>
      </c>
      <c r="G118">
        <v>1</v>
      </c>
      <c r="I118" s="20">
        <v>1</v>
      </c>
      <c r="J118" t="s">
        <v>1220</v>
      </c>
      <c r="K118" t="s">
        <v>1216</v>
      </c>
      <c r="L118" t="s">
        <v>1389</v>
      </c>
      <c r="M118" t="s">
        <v>1488</v>
      </c>
      <c r="P118" t="s">
        <v>1715</v>
      </c>
    </row>
    <row r="119" spans="1:20">
      <c r="A119" t="s">
        <v>1031</v>
      </c>
      <c r="B119">
        <v>26611866</v>
      </c>
      <c r="C119">
        <v>1</v>
      </c>
      <c r="D119" s="59" t="s">
        <v>24</v>
      </c>
      <c r="G119">
        <v>1</v>
      </c>
      <c r="I119" s="2">
        <v>1</v>
      </c>
      <c r="J119" t="s">
        <v>1393</v>
      </c>
      <c r="K119" t="s">
        <v>1390</v>
      </c>
      <c r="L119" t="s">
        <v>1127</v>
      </c>
      <c r="M119" t="s">
        <v>1487</v>
      </c>
      <c r="N119" t="s">
        <v>803</v>
      </c>
      <c r="O119" t="s">
        <v>23</v>
      </c>
      <c r="P119" t="s">
        <v>1716</v>
      </c>
      <c r="Q119" t="s">
        <v>1391</v>
      </c>
      <c r="T119" t="s">
        <v>1392</v>
      </c>
    </row>
    <row r="120" spans="1:20">
      <c r="A120" t="s">
        <v>1029</v>
      </c>
      <c r="B120">
        <v>25882722</v>
      </c>
      <c r="C120">
        <v>1</v>
      </c>
      <c r="D120" s="59" t="s">
        <v>24</v>
      </c>
      <c r="E120" s="44" t="s">
        <v>1847</v>
      </c>
      <c r="G120">
        <v>1</v>
      </c>
      <c r="I120">
        <v>1</v>
      </c>
      <c r="J120" t="s">
        <v>1398</v>
      </c>
      <c r="K120" t="s">
        <v>1216</v>
      </c>
      <c r="L120" t="s">
        <v>1396</v>
      </c>
      <c r="M120" t="s">
        <v>1498</v>
      </c>
      <c r="N120" t="s">
        <v>803</v>
      </c>
      <c r="O120" t="s">
        <v>23</v>
      </c>
      <c r="P120" t="s">
        <v>1518</v>
      </c>
      <c r="R120" t="s">
        <v>1397</v>
      </c>
    </row>
    <row r="121" spans="1:20">
      <c r="A121" t="s">
        <v>1028</v>
      </c>
      <c r="B121">
        <v>25976074</v>
      </c>
      <c r="C121">
        <v>1</v>
      </c>
      <c r="D121" s="59" t="s">
        <v>24</v>
      </c>
      <c r="G121">
        <v>1</v>
      </c>
      <c r="I121">
        <v>1</v>
      </c>
      <c r="J121" t="s">
        <v>1399</v>
      </c>
      <c r="K121" t="s">
        <v>1216</v>
      </c>
      <c r="L121" t="s">
        <v>1127</v>
      </c>
      <c r="M121" t="s">
        <v>1487</v>
      </c>
      <c r="N121" t="s">
        <v>803</v>
      </c>
      <c r="O121" t="s">
        <v>23</v>
      </c>
      <c r="P121" t="s">
        <v>1677</v>
      </c>
      <c r="Q121" t="s">
        <v>1400</v>
      </c>
    </row>
    <row r="122" spans="1:20">
      <c r="A122" t="s">
        <v>1027</v>
      </c>
      <c r="B122">
        <v>26650043</v>
      </c>
      <c r="C122">
        <v>1</v>
      </c>
      <c r="D122" s="59" t="s">
        <v>24</v>
      </c>
      <c r="E122" s="44">
        <v>1</v>
      </c>
      <c r="G122">
        <v>1</v>
      </c>
      <c r="I122">
        <v>1</v>
      </c>
      <c r="J122" t="s">
        <v>1401</v>
      </c>
      <c r="K122" t="s">
        <v>1169</v>
      </c>
      <c r="L122" t="s">
        <v>1127</v>
      </c>
      <c r="M122" t="s">
        <v>1487</v>
      </c>
      <c r="P122" t="s">
        <v>1676</v>
      </c>
      <c r="Q122" t="s">
        <v>1402</v>
      </c>
    </row>
    <row r="123" spans="1:20">
      <c r="A123" t="s">
        <v>1025</v>
      </c>
      <c r="B123">
        <v>11331084</v>
      </c>
      <c r="C123">
        <v>1</v>
      </c>
      <c r="D123" s="59" t="s">
        <v>24</v>
      </c>
      <c r="G123">
        <v>1</v>
      </c>
      <c r="I123" s="2">
        <v>1</v>
      </c>
      <c r="J123" t="s">
        <v>1405</v>
      </c>
      <c r="K123" t="s">
        <v>1216</v>
      </c>
      <c r="L123" t="s">
        <v>1127</v>
      </c>
      <c r="M123" t="s">
        <v>1498</v>
      </c>
      <c r="N123" t="s">
        <v>803</v>
      </c>
      <c r="O123" t="s">
        <v>23</v>
      </c>
      <c r="P123" t="s">
        <v>1406</v>
      </c>
    </row>
    <row r="124" spans="1:20">
      <c r="A124" t="s">
        <v>1023</v>
      </c>
      <c r="B124">
        <v>17886167</v>
      </c>
      <c r="C124">
        <v>1</v>
      </c>
      <c r="D124" s="59" t="s">
        <v>24</v>
      </c>
      <c r="G124">
        <v>1</v>
      </c>
      <c r="I124" s="4">
        <v>1</v>
      </c>
      <c r="J124" t="s">
        <v>1347</v>
      </c>
      <c r="K124" t="s">
        <v>1216</v>
      </c>
      <c r="L124" t="s">
        <v>1127</v>
      </c>
      <c r="M124" t="s">
        <v>1507</v>
      </c>
      <c r="N124" t="s">
        <v>1539</v>
      </c>
      <c r="P124" t="s">
        <v>1409</v>
      </c>
    </row>
    <row r="125" spans="1:20">
      <c r="A125" t="s">
        <v>1021</v>
      </c>
      <c r="B125">
        <v>24988461</v>
      </c>
      <c r="C125">
        <v>1</v>
      </c>
      <c r="D125" s="59" t="s">
        <v>24</v>
      </c>
      <c r="E125" s="44">
        <v>1</v>
      </c>
      <c r="G125">
        <v>1</v>
      </c>
      <c r="I125">
        <v>1</v>
      </c>
      <c r="J125" t="s">
        <v>1415</v>
      </c>
      <c r="K125" t="s">
        <v>1224</v>
      </c>
      <c r="L125" t="s">
        <v>1127</v>
      </c>
      <c r="M125" t="s">
        <v>1487</v>
      </c>
      <c r="N125" t="s">
        <v>803</v>
      </c>
      <c r="O125" t="s">
        <v>23</v>
      </c>
      <c r="P125" t="s">
        <v>1675</v>
      </c>
    </row>
    <row r="126" spans="1:20">
      <c r="A126" t="s">
        <v>1020</v>
      </c>
      <c r="B126">
        <v>18339410</v>
      </c>
      <c r="C126">
        <v>1</v>
      </c>
      <c r="D126" s="59" t="s">
        <v>24</v>
      </c>
      <c r="E126" s="44">
        <v>1</v>
      </c>
      <c r="G126">
        <v>1</v>
      </c>
      <c r="I126" s="20">
        <v>1</v>
      </c>
      <c r="J126" t="s">
        <v>1697</v>
      </c>
      <c r="K126" t="s">
        <v>1417</v>
      </c>
      <c r="L126" t="s">
        <v>1127</v>
      </c>
      <c r="M126" t="s">
        <v>1541</v>
      </c>
      <c r="P126" t="s">
        <v>1416</v>
      </c>
    </row>
    <row r="127" spans="1:20">
      <c r="A127" t="s">
        <v>1019</v>
      </c>
      <c r="B127">
        <v>23474020</v>
      </c>
      <c r="C127">
        <v>1</v>
      </c>
      <c r="D127" s="59" t="s">
        <v>24</v>
      </c>
      <c r="G127">
        <v>1</v>
      </c>
      <c r="I127" s="20">
        <v>1</v>
      </c>
      <c r="J127" t="s">
        <v>1419</v>
      </c>
      <c r="K127" t="s">
        <v>1216</v>
      </c>
      <c r="L127" t="s">
        <v>1127</v>
      </c>
      <c r="M127" t="s">
        <v>1487</v>
      </c>
      <c r="P127" t="s">
        <v>1418</v>
      </c>
      <c r="S127" t="s">
        <v>1666</v>
      </c>
      <c r="T127" t="s">
        <v>1665</v>
      </c>
    </row>
    <row r="128" spans="1:20">
      <c r="A128" t="s">
        <v>1017</v>
      </c>
      <c r="B128">
        <v>20844476</v>
      </c>
      <c r="C128">
        <v>1</v>
      </c>
      <c r="D128" s="59" t="s">
        <v>24</v>
      </c>
      <c r="E128" s="44">
        <v>1</v>
      </c>
      <c r="G128">
        <v>1</v>
      </c>
      <c r="I128" s="20">
        <v>1</v>
      </c>
      <c r="J128" t="s">
        <v>1220</v>
      </c>
      <c r="K128" t="s">
        <v>1422</v>
      </c>
      <c r="L128" t="s">
        <v>1127</v>
      </c>
      <c r="M128" t="s">
        <v>1488</v>
      </c>
      <c r="P128" t="s">
        <v>1501</v>
      </c>
      <c r="R128" t="s">
        <v>1123</v>
      </c>
      <c r="S128" t="s">
        <v>1423</v>
      </c>
    </row>
    <row r="129" spans="1:20">
      <c r="A129" t="s">
        <v>1015</v>
      </c>
      <c r="B129">
        <v>25430781</v>
      </c>
      <c r="C129">
        <v>1</v>
      </c>
      <c r="D129" s="59" t="s">
        <v>24</v>
      </c>
      <c r="E129" s="44">
        <v>1</v>
      </c>
      <c r="G129">
        <v>1</v>
      </c>
      <c r="I129" s="20">
        <v>1</v>
      </c>
      <c r="J129" t="s">
        <v>1426</v>
      </c>
      <c r="K129" t="s">
        <v>1216</v>
      </c>
      <c r="L129" t="s">
        <v>1127</v>
      </c>
      <c r="M129" t="s">
        <v>1488</v>
      </c>
      <c r="N129" t="s">
        <v>803</v>
      </c>
      <c r="O129" t="s">
        <v>23</v>
      </c>
      <c r="P129" t="s">
        <v>1427</v>
      </c>
      <c r="Q129" t="s">
        <v>1428</v>
      </c>
      <c r="S129" t="s">
        <v>1425</v>
      </c>
    </row>
    <row r="130" spans="1:20">
      <c r="A130" t="s">
        <v>1013</v>
      </c>
      <c r="B130">
        <v>24583372</v>
      </c>
      <c r="C130">
        <v>1</v>
      </c>
      <c r="D130" s="59" t="s">
        <v>24</v>
      </c>
      <c r="G130">
        <v>1</v>
      </c>
      <c r="I130">
        <v>1</v>
      </c>
      <c r="J130" t="s">
        <v>1327</v>
      </c>
      <c r="K130" t="s">
        <v>1216</v>
      </c>
      <c r="L130" t="s">
        <v>1433</v>
      </c>
      <c r="M130" t="s">
        <v>1431</v>
      </c>
      <c r="N130" t="s">
        <v>803</v>
      </c>
      <c r="P130" t="s">
        <v>1432</v>
      </c>
      <c r="Q130" t="s">
        <v>1434</v>
      </c>
    </row>
    <row r="131" spans="1:20">
      <c r="A131" t="s">
        <v>1011</v>
      </c>
      <c r="B131">
        <v>20599458</v>
      </c>
      <c r="C131">
        <v>1</v>
      </c>
      <c r="D131" s="59" t="s">
        <v>24</v>
      </c>
      <c r="E131" s="44">
        <v>1</v>
      </c>
      <c r="G131">
        <v>1</v>
      </c>
      <c r="I131" s="20">
        <v>1</v>
      </c>
      <c r="J131" t="s">
        <v>1220</v>
      </c>
      <c r="K131" t="s">
        <v>1212</v>
      </c>
      <c r="L131" t="s">
        <v>1127</v>
      </c>
      <c r="M131" t="s">
        <v>1501</v>
      </c>
      <c r="P131" t="s">
        <v>1438</v>
      </c>
      <c r="S131" t="s">
        <v>1439</v>
      </c>
    </row>
    <row r="132" spans="1:20">
      <c r="A132" s="3" t="s">
        <v>1010</v>
      </c>
      <c r="B132" s="3">
        <v>25002839</v>
      </c>
      <c r="C132" s="3">
        <v>1</v>
      </c>
      <c r="D132" s="61" t="s">
        <v>24</v>
      </c>
      <c r="E132" s="51"/>
      <c r="F132" s="42"/>
      <c r="G132" s="3">
        <v>1</v>
      </c>
      <c r="H132" s="3"/>
      <c r="I132" s="20">
        <v>1</v>
      </c>
      <c r="J132" s="3" t="s">
        <v>1587</v>
      </c>
      <c r="K132" s="3" t="s">
        <v>1216</v>
      </c>
      <c r="L132" s="3" t="s">
        <v>672</v>
      </c>
      <c r="M132" s="3" t="s">
        <v>1504</v>
      </c>
      <c r="N132" s="3"/>
      <c r="O132" s="26"/>
      <c r="P132" s="3" t="s">
        <v>674</v>
      </c>
      <c r="Q132" s="3"/>
      <c r="R132" s="3" t="s">
        <v>1410</v>
      </c>
      <c r="S132" s="3"/>
      <c r="T132" s="3" t="s">
        <v>1410</v>
      </c>
    </row>
    <row r="133" spans="1:20">
      <c r="A133" t="s">
        <v>1007</v>
      </c>
      <c r="B133">
        <v>8731522</v>
      </c>
      <c r="C133">
        <v>1</v>
      </c>
      <c r="D133" s="59" t="s">
        <v>24</v>
      </c>
      <c r="E133" s="44">
        <v>1</v>
      </c>
      <c r="G133">
        <v>1</v>
      </c>
      <c r="I133">
        <v>1</v>
      </c>
      <c r="L133" t="s">
        <v>1234</v>
      </c>
      <c r="M133" t="s">
        <v>1446</v>
      </c>
      <c r="N133" t="s">
        <v>803</v>
      </c>
      <c r="P133" t="s">
        <v>1447</v>
      </c>
      <c r="T133" t="s">
        <v>1448</v>
      </c>
    </row>
    <row r="134" spans="1:20">
      <c r="A134" t="s">
        <v>1005</v>
      </c>
      <c r="B134">
        <v>24925360</v>
      </c>
      <c r="C134">
        <v>1</v>
      </c>
      <c r="D134" s="59" t="s">
        <v>24</v>
      </c>
      <c r="E134" s="44">
        <v>1</v>
      </c>
      <c r="G134">
        <v>1</v>
      </c>
      <c r="I134" s="20">
        <v>1</v>
      </c>
      <c r="J134" t="s">
        <v>1455</v>
      </c>
      <c r="K134" t="s">
        <v>1216</v>
      </c>
      <c r="L134" t="s">
        <v>1127</v>
      </c>
      <c r="M134" t="s">
        <v>1488</v>
      </c>
      <c r="N134" t="s">
        <v>803</v>
      </c>
      <c r="O134" t="s">
        <v>23</v>
      </c>
      <c r="P134" t="s">
        <v>1454</v>
      </c>
      <c r="Q134" t="s">
        <v>1456</v>
      </c>
      <c r="R134" t="s">
        <v>24</v>
      </c>
      <c r="T134" t="s">
        <v>1457</v>
      </c>
    </row>
    <row r="135" spans="1:20">
      <c r="A135" t="s">
        <v>1004</v>
      </c>
      <c r="B135">
        <v>24657739</v>
      </c>
      <c r="C135">
        <v>1</v>
      </c>
      <c r="D135" s="59" t="s">
        <v>24</v>
      </c>
      <c r="G135">
        <v>1</v>
      </c>
      <c r="I135">
        <v>1</v>
      </c>
      <c r="J135" t="s">
        <v>1460</v>
      </c>
      <c r="K135" t="s">
        <v>1216</v>
      </c>
      <c r="L135" t="s">
        <v>1229</v>
      </c>
      <c r="M135" t="s">
        <v>1487</v>
      </c>
      <c r="N135" t="s">
        <v>803</v>
      </c>
      <c r="P135" t="s">
        <v>1458</v>
      </c>
      <c r="R135" t="s">
        <v>1459</v>
      </c>
      <c r="S135" t="s">
        <v>1461</v>
      </c>
    </row>
    <row r="136" spans="1:20">
      <c r="A136" t="s">
        <v>1003</v>
      </c>
      <c r="B136">
        <v>24887568</v>
      </c>
      <c r="C136">
        <v>1</v>
      </c>
      <c r="D136" s="59" t="s">
        <v>24</v>
      </c>
      <c r="G136">
        <v>1</v>
      </c>
      <c r="I136">
        <v>1</v>
      </c>
      <c r="J136" t="s">
        <v>1464</v>
      </c>
      <c r="K136" t="s">
        <v>1216</v>
      </c>
      <c r="L136" t="s">
        <v>1127</v>
      </c>
      <c r="M136" t="s">
        <v>1462</v>
      </c>
      <c r="N136" t="s">
        <v>803</v>
      </c>
      <c r="O136" t="s">
        <v>23</v>
      </c>
      <c r="P136" t="s">
        <v>1465</v>
      </c>
      <c r="R136" t="s">
        <v>1463</v>
      </c>
    </row>
    <row r="137" spans="1:20">
      <c r="A137" t="s">
        <v>1001</v>
      </c>
      <c r="B137">
        <v>21377492</v>
      </c>
      <c r="C137">
        <v>1</v>
      </c>
      <c r="D137" s="59" t="s">
        <v>24</v>
      </c>
      <c r="E137" s="44">
        <v>1</v>
      </c>
      <c r="G137">
        <v>1</v>
      </c>
      <c r="I137">
        <v>1</v>
      </c>
      <c r="J137" t="s">
        <v>1303</v>
      </c>
      <c r="K137" t="s">
        <v>1212</v>
      </c>
      <c r="L137" t="s">
        <v>1468</v>
      </c>
      <c r="M137" t="s">
        <v>1498</v>
      </c>
      <c r="N137" t="s">
        <v>803</v>
      </c>
      <c r="P137" t="s">
        <v>1469</v>
      </c>
      <c r="Q137" t="s">
        <v>436</v>
      </c>
    </row>
    <row r="138" spans="1:20">
      <c r="A138" t="s">
        <v>1000</v>
      </c>
      <c r="B138">
        <v>22659580</v>
      </c>
      <c r="C138">
        <v>1</v>
      </c>
      <c r="D138" s="59" t="s">
        <v>24</v>
      </c>
      <c r="G138">
        <v>1</v>
      </c>
      <c r="I138">
        <v>1</v>
      </c>
      <c r="J138" t="s">
        <v>1470</v>
      </c>
      <c r="K138" t="s">
        <v>1147</v>
      </c>
      <c r="L138" t="s">
        <v>1138</v>
      </c>
      <c r="M138" t="s">
        <v>1498</v>
      </c>
      <c r="N138" t="s">
        <v>803</v>
      </c>
      <c r="P138" t="s">
        <v>1511</v>
      </c>
      <c r="R138" t="s">
        <v>1374</v>
      </c>
      <c r="S138" t="s">
        <v>1471</v>
      </c>
    </row>
    <row r="139" spans="1:20">
      <c r="A139" t="s">
        <v>999</v>
      </c>
      <c r="B139">
        <v>26066724</v>
      </c>
      <c r="C139">
        <v>1</v>
      </c>
      <c r="D139" s="59" t="s">
        <v>24</v>
      </c>
      <c r="G139">
        <v>1</v>
      </c>
      <c r="I139">
        <v>1</v>
      </c>
      <c r="J139" t="s">
        <v>73</v>
      </c>
      <c r="K139" t="s">
        <v>1216</v>
      </c>
      <c r="L139" t="s">
        <v>1138</v>
      </c>
      <c r="M139" t="s">
        <v>1495</v>
      </c>
      <c r="N139" t="s">
        <v>803</v>
      </c>
      <c r="P139" t="s">
        <v>1511</v>
      </c>
    </row>
    <row r="140" spans="1:20">
      <c r="A140" t="s">
        <v>998</v>
      </c>
      <c r="B140">
        <v>27616342</v>
      </c>
      <c r="C140">
        <v>1</v>
      </c>
      <c r="D140" s="59" t="s">
        <v>24</v>
      </c>
      <c r="G140">
        <v>1</v>
      </c>
      <c r="I140">
        <v>1</v>
      </c>
      <c r="J140" t="s">
        <v>1472</v>
      </c>
      <c r="K140" t="s">
        <v>1166</v>
      </c>
      <c r="L140" t="s">
        <v>1127</v>
      </c>
      <c r="M140" t="s">
        <v>1487</v>
      </c>
      <c r="N140" t="s">
        <v>23</v>
      </c>
      <c r="P140" t="s">
        <v>1473</v>
      </c>
      <c r="Q140" t="s">
        <v>1474</v>
      </c>
    </row>
    <row r="141" spans="1:20">
      <c r="A141" t="s">
        <v>997</v>
      </c>
      <c r="B141" s="18">
        <v>18391192</v>
      </c>
      <c r="C141">
        <v>1</v>
      </c>
      <c r="D141" s="59" t="s">
        <v>24</v>
      </c>
      <c r="E141" s="44">
        <v>1</v>
      </c>
      <c r="G141">
        <v>1</v>
      </c>
      <c r="I141" s="723">
        <v>1</v>
      </c>
      <c r="J141" t="s">
        <v>1475</v>
      </c>
      <c r="K141" t="s">
        <v>1216</v>
      </c>
      <c r="L141" t="s">
        <v>1138</v>
      </c>
      <c r="M141" t="s">
        <v>1489</v>
      </c>
      <c r="P141" t="s">
        <v>1501</v>
      </c>
    </row>
    <row r="142" spans="1:20">
      <c r="A142" t="s">
        <v>996</v>
      </c>
      <c r="B142">
        <v>19167702</v>
      </c>
      <c r="C142">
        <v>1</v>
      </c>
      <c r="E142" s="44" t="s">
        <v>1848</v>
      </c>
      <c r="G142">
        <v>1</v>
      </c>
      <c r="I142" s="20">
        <v>1</v>
      </c>
      <c r="J142" t="s">
        <v>22</v>
      </c>
      <c r="K142" t="s">
        <v>1142</v>
      </c>
      <c r="L142" t="s">
        <v>1127</v>
      </c>
      <c r="M142" t="s">
        <v>1488</v>
      </c>
      <c r="T142" t="s">
        <v>424</v>
      </c>
    </row>
    <row r="143" spans="1:20">
      <c r="A143" t="s">
        <v>995</v>
      </c>
      <c r="B143" s="18">
        <v>25309317</v>
      </c>
      <c r="C143">
        <v>1</v>
      </c>
      <c r="D143" s="59" t="s">
        <v>24</v>
      </c>
      <c r="G143">
        <v>1</v>
      </c>
      <c r="I143" s="18">
        <v>1</v>
      </c>
      <c r="J143" t="s">
        <v>1478</v>
      </c>
      <c r="K143" t="s">
        <v>1216</v>
      </c>
      <c r="L143" t="s">
        <v>1138</v>
      </c>
      <c r="M143" t="s">
        <v>1489</v>
      </c>
      <c r="P143" t="s">
        <v>1477</v>
      </c>
      <c r="Q143" t="s">
        <v>1476</v>
      </c>
    </row>
    <row r="144" spans="1:20">
      <c r="A144" t="s">
        <v>994</v>
      </c>
      <c r="B144">
        <v>20838777</v>
      </c>
      <c r="C144">
        <v>1</v>
      </c>
      <c r="D144" s="59" t="s">
        <v>24</v>
      </c>
      <c r="E144" s="44">
        <v>1</v>
      </c>
      <c r="G144">
        <v>1</v>
      </c>
      <c r="I144">
        <v>1</v>
      </c>
      <c r="J144" t="s">
        <v>1481</v>
      </c>
      <c r="K144" t="s">
        <v>1482</v>
      </c>
      <c r="L144" t="s">
        <v>1479</v>
      </c>
      <c r="M144" t="s">
        <v>1488</v>
      </c>
      <c r="N144" t="s">
        <v>1539</v>
      </c>
      <c r="P144" t="s">
        <v>1239</v>
      </c>
      <c r="R144" t="s">
        <v>1123</v>
      </c>
      <c r="S144" t="s">
        <v>1480</v>
      </c>
    </row>
    <row r="145" spans="1:20">
      <c r="A145" t="s">
        <v>992</v>
      </c>
      <c r="B145">
        <v>26160034</v>
      </c>
      <c r="C145">
        <v>1</v>
      </c>
      <c r="D145" s="59" t="s">
        <v>24</v>
      </c>
      <c r="E145" s="44">
        <v>1</v>
      </c>
      <c r="G145">
        <v>1</v>
      </c>
      <c r="I145">
        <v>1</v>
      </c>
      <c r="J145" t="s">
        <v>1220</v>
      </c>
      <c r="L145" t="s">
        <v>1127</v>
      </c>
      <c r="M145" t="s">
        <v>1487</v>
      </c>
      <c r="P145" t="s">
        <v>1508</v>
      </c>
      <c r="Q145" t="s">
        <v>1519</v>
      </c>
    </row>
    <row r="146" spans="1:20">
      <c r="A146" t="s">
        <v>991</v>
      </c>
      <c r="B146">
        <v>23624119</v>
      </c>
      <c r="C146">
        <v>1</v>
      </c>
      <c r="D146" s="59" t="s">
        <v>24</v>
      </c>
      <c r="E146" s="44">
        <v>1</v>
      </c>
      <c r="G146">
        <v>1</v>
      </c>
      <c r="I146">
        <v>1</v>
      </c>
      <c r="J146" t="s">
        <v>24</v>
      </c>
      <c r="L146" t="s">
        <v>1138</v>
      </c>
      <c r="M146" t="s">
        <v>1498</v>
      </c>
      <c r="P146" t="s">
        <v>1521</v>
      </c>
      <c r="R146" t="s">
        <v>1132</v>
      </c>
      <c r="T146" t="s">
        <v>1279</v>
      </c>
    </row>
    <row r="147" spans="1:20">
      <c r="A147" t="s">
        <v>988</v>
      </c>
      <c r="B147">
        <v>9676829</v>
      </c>
      <c r="C147">
        <v>1</v>
      </c>
      <c r="D147" s="59" t="s">
        <v>24</v>
      </c>
      <c r="E147" s="44">
        <v>1</v>
      </c>
      <c r="G147">
        <v>1</v>
      </c>
      <c r="I147">
        <v>1</v>
      </c>
      <c r="J147" t="s">
        <v>1220</v>
      </c>
      <c r="K147" t="s">
        <v>1216</v>
      </c>
      <c r="L147" t="s">
        <v>1127</v>
      </c>
      <c r="M147" t="s">
        <v>1525</v>
      </c>
      <c r="N147" t="s">
        <v>803</v>
      </c>
      <c r="P147" t="s">
        <v>1526</v>
      </c>
    </row>
    <row r="148" spans="1:20">
      <c r="A148" t="s">
        <v>986</v>
      </c>
      <c r="B148">
        <v>22842072</v>
      </c>
      <c r="C148">
        <v>1</v>
      </c>
      <c r="D148" s="59" t="s">
        <v>24</v>
      </c>
      <c r="E148" s="44">
        <v>1</v>
      </c>
      <c r="G148">
        <v>1</v>
      </c>
      <c r="I148">
        <v>1</v>
      </c>
      <c r="J148" t="s">
        <v>1529</v>
      </c>
      <c r="K148" t="s">
        <v>1417</v>
      </c>
      <c r="L148" t="s">
        <v>1130</v>
      </c>
      <c r="M148" t="s">
        <v>1530</v>
      </c>
      <c r="N148" t="s">
        <v>803</v>
      </c>
      <c r="P148" t="s">
        <v>1531</v>
      </c>
      <c r="R148" t="s">
        <v>1532</v>
      </c>
    </row>
    <row r="149" spans="1:20">
      <c r="A149" t="s">
        <v>983</v>
      </c>
      <c r="B149" s="3">
        <v>25449394</v>
      </c>
      <c r="C149" s="3">
        <v>1</v>
      </c>
      <c r="D149" s="61" t="s">
        <v>24</v>
      </c>
      <c r="E149" s="44">
        <v>1</v>
      </c>
      <c r="G149">
        <v>1</v>
      </c>
      <c r="I149" s="20">
        <v>1</v>
      </c>
      <c r="J149" t="s">
        <v>1404</v>
      </c>
      <c r="K149" t="s">
        <v>1212</v>
      </c>
      <c r="L149" t="s">
        <v>1127</v>
      </c>
      <c r="M149" t="s">
        <v>1488</v>
      </c>
      <c r="N149" t="s">
        <v>1539</v>
      </c>
      <c r="O149" t="s">
        <v>23</v>
      </c>
      <c r="P149" t="s">
        <v>1547</v>
      </c>
    </row>
    <row r="150" spans="1:20">
      <c r="A150" t="s">
        <v>982</v>
      </c>
      <c r="B150" s="3">
        <v>26225843</v>
      </c>
      <c r="C150" s="3">
        <v>1</v>
      </c>
      <c r="D150" s="61" t="s">
        <v>24</v>
      </c>
      <c r="E150" s="44">
        <v>1</v>
      </c>
      <c r="G150">
        <v>1</v>
      </c>
      <c r="I150">
        <v>1</v>
      </c>
      <c r="J150" t="s">
        <v>1206</v>
      </c>
      <c r="K150" t="s">
        <v>1552</v>
      </c>
      <c r="L150" t="s">
        <v>1127</v>
      </c>
      <c r="M150" t="s">
        <v>1495</v>
      </c>
      <c r="N150" t="s">
        <v>803</v>
      </c>
      <c r="P150" t="s">
        <v>1550</v>
      </c>
      <c r="Q150" t="s">
        <v>1551</v>
      </c>
      <c r="S150" t="s">
        <v>1549</v>
      </c>
      <c r="T150" t="s">
        <v>1548</v>
      </c>
    </row>
    <row r="151" spans="1:20">
      <c r="A151" t="s">
        <v>981</v>
      </c>
      <c r="B151" s="3">
        <v>15036608</v>
      </c>
      <c r="C151" s="3">
        <v>1</v>
      </c>
      <c r="D151" s="61"/>
      <c r="E151" s="44">
        <v>1</v>
      </c>
      <c r="G151">
        <v>1</v>
      </c>
      <c r="I151">
        <v>1</v>
      </c>
      <c r="J151" t="s">
        <v>1553</v>
      </c>
      <c r="K151" t="s">
        <v>1552</v>
      </c>
      <c r="L151" t="s">
        <v>1229</v>
      </c>
      <c r="M151" t="s">
        <v>1498</v>
      </c>
      <c r="N151" t="s">
        <v>803</v>
      </c>
      <c r="P151" t="s">
        <v>1682</v>
      </c>
    </row>
    <row r="152" spans="1:20">
      <c r="A152" t="s">
        <v>974</v>
      </c>
      <c r="B152">
        <v>17027033</v>
      </c>
      <c r="C152">
        <v>1</v>
      </c>
      <c r="E152" s="44">
        <v>1</v>
      </c>
      <c r="G152">
        <v>1</v>
      </c>
      <c r="I152">
        <v>1</v>
      </c>
      <c r="J152" t="s">
        <v>1569</v>
      </c>
      <c r="K152" t="s">
        <v>1216</v>
      </c>
      <c r="L152" t="s">
        <v>1568</v>
      </c>
      <c r="M152" t="s">
        <v>1541</v>
      </c>
      <c r="P152" t="s">
        <v>1570</v>
      </c>
      <c r="R152" t="s">
        <v>1132</v>
      </c>
    </row>
    <row r="153" spans="1:20">
      <c r="A153" t="s">
        <v>971</v>
      </c>
      <c r="B153" s="18">
        <v>25533441</v>
      </c>
      <c r="C153">
        <v>1</v>
      </c>
      <c r="D153" s="59" t="s">
        <v>24</v>
      </c>
      <c r="G153">
        <v>1</v>
      </c>
      <c r="I153">
        <v>1</v>
      </c>
      <c r="J153" t="s">
        <v>1464</v>
      </c>
      <c r="K153" t="s">
        <v>1216</v>
      </c>
      <c r="L153" t="s">
        <v>1130</v>
      </c>
      <c r="M153" t="s">
        <v>1487</v>
      </c>
      <c r="N153" t="s">
        <v>803</v>
      </c>
      <c r="P153" t="s">
        <v>1580</v>
      </c>
      <c r="Q153" t="s">
        <v>1579</v>
      </c>
      <c r="R153" t="s">
        <v>1209</v>
      </c>
      <c r="S153" t="s">
        <v>1578</v>
      </c>
    </row>
    <row r="154" spans="1:20">
      <c r="A154" t="s">
        <v>970</v>
      </c>
      <c r="B154">
        <v>27297027</v>
      </c>
      <c r="C154">
        <v>1</v>
      </c>
      <c r="D154" s="59" t="s">
        <v>24</v>
      </c>
      <c r="E154" s="44">
        <v>1</v>
      </c>
      <c r="G154">
        <v>1</v>
      </c>
      <c r="I154">
        <v>1</v>
      </c>
      <c r="J154" t="s">
        <v>1588</v>
      </c>
      <c r="K154" t="s">
        <v>1216</v>
      </c>
      <c r="L154" t="s">
        <v>1127</v>
      </c>
      <c r="M154" t="s">
        <v>1498</v>
      </c>
      <c r="P154" t="s">
        <v>1583</v>
      </c>
      <c r="Q154" t="s">
        <v>1582</v>
      </c>
      <c r="S154" t="s">
        <v>1581</v>
      </c>
    </row>
    <row r="155" spans="1:20">
      <c r="A155" t="s">
        <v>969</v>
      </c>
      <c r="B155">
        <v>24667363</v>
      </c>
      <c r="C155">
        <v>1</v>
      </c>
      <c r="D155" s="59" t="s">
        <v>24</v>
      </c>
      <c r="E155" s="44">
        <v>1</v>
      </c>
      <c r="G155">
        <v>1</v>
      </c>
      <c r="I155">
        <v>1</v>
      </c>
      <c r="J155" t="s">
        <v>1588</v>
      </c>
      <c r="K155" t="s">
        <v>1216</v>
      </c>
      <c r="L155" t="s">
        <v>1127</v>
      </c>
      <c r="M155" t="s">
        <v>1501</v>
      </c>
      <c r="N155" t="s">
        <v>1539</v>
      </c>
      <c r="P155" t="s">
        <v>1589</v>
      </c>
      <c r="Q155" t="s">
        <v>1213</v>
      </c>
    </row>
    <row r="156" spans="1:20">
      <c r="A156" t="s">
        <v>968</v>
      </c>
      <c r="B156" s="18">
        <v>17031709</v>
      </c>
      <c r="C156">
        <v>1</v>
      </c>
      <c r="D156" s="59" t="s">
        <v>24</v>
      </c>
      <c r="E156" s="44">
        <v>1</v>
      </c>
      <c r="G156">
        <v>1</v>
      </c>
      <c r="I156" s="20">
        <v>1</v>
      </c>
      <c r="J156" t="s">
        <v>1227</v>
      </c>
      <c r="K156" t="s">
        <v>1216</v>
      </c>
      <c r="L156" t="s">
        <v>1127</v>
      </c>
      <c r="M156" t="s">
        <v>1487</v>
      </c>
      <c r="N156" t="s">
        <v>803</v>
      </c>
      <c r="P156" t="s">
        <v>1501</v>
      </c>
      <c r="R156" t="s">
        <v>1132</v>
      </c>
      <c r="S156" t="s">
        <v>1590</v>
      </c>
    </row>
    <row r="157" spans="1:20">
      <c r="A157" t="s">
        <v>965</v>
      </c>
      <c r="B157" s="18">
        <v>24975424</v>
      </c>
      <c r="C157">
        <v>1</v>
      </c>
      <c r="D157" s="59" t="s">
        <v>24</v>
      </c>
      <c r="E157" s="44" t="s">
        <v>1788</v>
      </c>
      <c r="F157" s="36" t="s">
        <v>23</v>
      </c>
      <c r="G157">
        <v>1</v>
      </c>
      <c r="I157">
        <v>1</v>
      </c>
      <c r="J157" t="s">
        <v>1398</v>
      </c>
      <c r="K157" t="s">
        <v>1216</v>
      </c>
      <c r="L157" t="s">
        <v>1127</v>
      </c>
      <c r="M157" t="s">
        <v>1487</v>
      </c>
      <c r="N157" t="s">
        <v>803</v>
      </c>
      <c r="P157" t="s">
        <v>1599</v>
      </c>
      <c r="R157" t="s">
        <v>1132</v>
      </c>
      <c r="S157" t="s">
        <v>1598</v>
      </c>
    </row>
    <row r="158" spans="1:20">
      <c r="A158" t="s">
        <v>964</v>
      </c>
      <c r="B158">
        <v>26538448</v>
      </c>
      <c r="C158">
        <v>1</v>
      </c>
      <c r="D158" s="59" t="s">
        <v>24</v>
      </c>
      <c r="E158" s="44" t="s">
        <v>1788</v>
      </c>
      <c r="F158" s="36" t="s">
        <v>23</v>
      </c>
      <c r="G158">
        <v>1</v>
      </c>
      <c r="I158">
        <v>1</v>
      </c>
      <c r="J158" t="s">
        <v>1601</v>
      </c>
      <c r="L158" t="s">
        <v>1600</v>
      </c>
      <c r="M158" t="s">
        <v>1495</v>
      </c>
      <c r="N158" t="s">
        <v>1539</v>
      </c>
      <c r="P158" t="s">
        <v>1720</v>
      </c>
    </row>
    <row r="159" spans="1:20">
      <c r="A159" t="s">
        <v>963</v>
      </c>
      <c r="B159">
        <v>22516520</v>
      </c>
      <c r="C159">
        <v>1</v>
      </c>
      <c r="D159" s="59" t="s">
        <v>24</v>
      </c>
      <c r="E159" s="44" t="s">
        <v>1788</v>
      </c>
      <c r="F159" s="36" t="s">
        <v>23</v>
      </c>
      <c r="G159">
        <v>1</v>
      </c>
      <c r="I159">
        <v>1</v>
      </c>
      <c r="J159" t="s">
        <v>1220</v>
      </c>
      <c r="K159" t="s">
        <v>1162</v>
      </c>
      <c r="L159" t="s">
        <v>1229</v>
      </c>
      <c r="M159" t="s">
        <v>1488</v>
      </c>
      <c r="N159" t="s">
        <v>803</v>
      </c>
      <c r="P159" t="s">
        <v>1501</v>
      </c>
      <c r="Q159" t="s">
        <v>1602</v>
      </c>
      <c r="R159" t="s">
        <v>1132</v>
      </c>
    </row>
    <row r="160" spans="1:20">
      <c r="A160" t="s">
        <v>962</v>
      </c>
      <c r="B160" s="18">
        <v>26019008</v>
      </c>
      <c r="C160">
        <v>1</v>
      </c>
      <c r="D160" s="59" t="s">
        <v>24</v>
      </c>
      <c r="G160">
        <v>1</v>
      </c>
      <c r="I160" s="2">
        <v>1</v>
      </c>
      <c r="J160" t="s">
        <v>1604</v>
      </c>
      <c r="K160" t="s">
        <v>1216</v>
      </c>
      <c r="L160" t="s">
        <v>1603</v>
      </c>
      <c r="M160" t="s">
        <v>1487</v>
      </c>
      <c r="N160" t="s">
        <v>803</v>
      </c>
      <c r="P160" t="s">
        <v>1605</v>
      </c>
    </row>
    <row r="161" spans="1:20">
      <c r="A161" t="s">
        <v>961</v>
      </c>
      <c r="B161">
        <v>22776621</v>
      </c>
      <c r="C161">
        <v>1</v>
      </c>
      <c r="D161" s="59" t="s">
        <v>24</v>
      </c>
      <c r="E161" s="44">
        <v>1</v>
      </c>
      <c r="G161">
        <v>1</v>
      </c>
      <c r="I161">
        <v>1</v>
      </c>
      <c r="J161" t="s">
        <v>1607</v>
      </c>
      <c r="K161" t="s">
        <v>1216</v>
      </c>
      <c r="L161" t="s">
        <v>1130</v>
      </c>
      <c r="M161" t="s">
        <v>1541</v>
      </c>
      <c r="N161" t="s">
        <v>1539</v>
      </c>
      <c r="P161" t="s">
        <v>1689</v>
      </c>
      <c r="R161" t="s">
        <v>1606</v>
      </c>
    </row>
    <row r="162" spans="1:20">
      <c r="A162" t="s">
        <v>960</v>
      </c>
      <c r="B162">
        <v>17254618</v>
      </c>
      <c r="C162">
        <v>1</v>
      </c>
      <c r="D162" s="59" t="s">
        <v>24</v>
      </c>
      <c r="E162" s="44">
        <v>1</v>
      </c>
      <c r="G162">
        <v>1</v>
      </c>
      <c r="I162">
        <v>1</v>
      </c>
      <c r="J162" t="s">
        <v>1609</v>
      </c>
      <c r="K162" t="s">
        <v>1216</v>
      </c>
      <c r="L162" t="s">
        <v>1608</v>
      </c>
      <c r="M162" t="s">
        <v>1498</v>
      </c>
      <c r="N162" t="s">
        <v>803</v>
      </c>
      <c r="P162" t="s">
        <v>1682</v>
      </c>
    </row>
    <row r="163" spans="1:20">
      <c r="A163" t="s">
        <v>957</v>
      </c>
      <c r="B163">
        <v>11006431</v>
      </c>
      <c r="C163">
        <v>1</v>
      </c>
      <c r="D163" s="59" t="s">
        <v>24</v>
      </c>
      <c r="G163">
        <v>1</v>
      </c>
      <c r="I163">
        <v>1</v>
      </c>
      <c r="J163" t="s">
        <v>1586</v>
      </c>
      <c r="K163" t="s">
        <v>1147</v>
      </c>
      <c r="M163" t="s">
        <v>1721</v>
      </c>
      <c r="P163" t="s">
        <v>1617</v>
      </c>
      <c r="Q163" t="s">
        <v>1616</v>
      </c>
    </row>
    <row r="164" spans="1:20">
      <c r="A164" t="s">
        <v>955</v>
      </c>
      <c r="B164">
        <v>18577419</v>
      </c>
      <c r="C164">
        <v>1</v>
      </c>
      <c r="D164" s="59" t="s">
        <v>24</v>
      </c>
      <c r="G164">
        <v>1</v>
      </c>
      <c r="I164" s="28">
        <v>1</v>
      </c>
      <c r="J164" t="s">
        <v>22</v>
      </c>
      <c r="K164" t="s">
        <v>24</v>
      </c>
      <c r="L164" t="s">
        <v>1130</v>
      </c>
      <c r="M164" t="s">
        <v>1619</v>
      </c>
      <c r="N164" t="s">
        <v>803</v>
      </c>
      <c r="P164" t="s">
        <v>1722</v>
      </c>
      <c r="S164" t="s">
        <v>1620</v>
      </c>
      <c r="T164" t="s">
        <v>424</v>
      </c>
    </row>
    <row r="165" spans="1:20">
      <c r="A165" t="s">
        <v>952</v>
      </c>
      <c r="B165">
        <v>24519098</v>
      </c>
      <c r="C165">
        <v>1</v>
      </c>
      <c r="D165" s="59" t="s">
        <v>24</v>
      </c>
      <c r="E165" s="44">
        <v>1</v>
      </c>
      <c r="G165">
        <v>1</v>
      </c>
      <c r="I165" s="2">
        <v>1</v>
      </c>
      <c r="J165" t="s">
        <v>1626</v>
      </c>
      <c r="K165" t="s">
        <v>1251</v>
      </c>
      <c r="L165" t="s">
        <v>1229</v>
      </c>
      <c r="M165" t="s">
        <v>1498</v>
      </c>
      <c r="P165" t="s">
        <v>1667</v>
      </c>
      <c r="Q165" t="s">
        <v>436</v>
      </c>
      <c r="R165" t="s">
        <v>1625</v>
      </c>
      <c r="T165" t="s">
        <v>1279</v>
      </c>
    </row>
    <row r="166" spans="1:20">
      <c r="A166" t="s">
        <v>947</v>
      </c>
      <c r="B166" s="18">
        <v>17957211</v>
      </c>
      <c r="C166">
        <v>1</v>
      </c>
      <c r="D166" s="59" t="s">
        <v>24</v>
      </c>
      <c r="E166" s="44">
        <v>1</v>
      </c>
      <c r="G166">
        <v>1</v>
      </c>
      <c r="I166" s="20">
        <v>1</v>
      </c>
      <c r="J166" t="s">
        <v>1220</v>
      </c>
      <c r="K166" t="s">
        <v>1216</v>
      </c>
      <c r="L166" t="s">
        <v>1127</v>
      </c>
      <c r="M166" t="s">
        <v>1487</v>
      </c>
      <c r="N166" t="s">
        <v>803</v>
      </c>
      <c r="P166" t="s">
        <v>1501</v>
      </c>
      <c r="Q166" t="s">
        <v>1636</v>
      </c>
      <c r="S166" t="s">
        <v>1549</v>
      </c>
    </row>
    <row r="167" spans="1:20">
      <c r="A167" t="s">
        <v>946</v>
      </c>
      <c r="B167">
        <v>22927935</v>
      </c>
      <c r="C167">
        <v>1</v>
      </c>
      <c r="D167" s="59" t="s">
        <v>24</v>
      </c>
      <c r="E167" s="44">
        <v>1</v>
      </c>
      <c r="G167">
        <v>1</v>
      </c>
      <c r="I167">
        <v>1</v>
      </c>
      <c r="J167" t="s">
        <v>1220</v>
      </c>
      <c r="K167" t="s">
        <v>1216</v>
      </c>
      <c r="L167" t="s">
        <v>1138</v>
      </c>
      <c r="M167" t="s">
        <v>1541</v>
      </c>
      <c r="N167" t="s">
        <v>1638</v>
      </c>
      <c r="P167" t="s">
        <v>1501</v>
      </c>
      <c r="R167" t="s">
        <v>1637</v>
      </c>
    </row>
    <row r="168" spans="1:20">
      <c r="A168" t="s">
        <v>942</v>
      </c>
      <c r="B168">
        <v>23318688</v>
      </c>
      <c r="C168">
        <v>1</v>
      </c>
      <c r="D168" s="59" t="s">
        <v>24</v>
      </c>
      <c r="E168" s="45" t="s">
        <v>1803</v>
      </c>
      <c r="G168" s="2">
        <v>1</v>
      </c>
      <c r="I168" s="2">
        <v>0</v>
      </c>
      <c r="J168" t="s">
        <v>1725</v>
      </c>
      <c r="K168" t="s">
        <v>1216</v>
      </c>
      <c r="L168" t="s">
        <v>1130</v>
      </c>
      <c r="M168" t="s">
        <v>1495</v>
      </c>
      <c r="N168" t="s">
        <v>803</v>
      </c>
      <c r="P168" t="s">
        <v>1724</v>
      </c>
      <c r="R168" t="s">
        <v>1648</v>
      </c>
      <c r="S168" t="s">
        <v>1647</v>
      </c>
      <c r="T168" t="s">
        <v>1698</v>
      </c>
    </row>
    <row r="169" spans="1:20">
      <c r="A169" t="s">
        <v>941</v>
      </c>
      <c r="B169">
        <v>22421563</v>
      </c>
      <c r="C169">
        <v>1</v>
      </c>
      <c r="D169" s="59" t="s">
        <v>24</v>
      </c>
      <c r="E169" s="45" t="s">
        <v>1803</v>
      </c>
      <c r="G169" s="2">
        <v>1</v>
      </c>
      <c r="I169" s="2">
        <v>0</v>
      </c>
      <c r="J169" t="s">
        <v>1726</v>
      </c>
      <c r="K169" t="s">
        <v>1216</v>
      </c>
      <c r="L169" t="s">
        <v>1130</v>
      </c>
      <c r="M169" t="s">
        <v>1495</v>
      </c>
      <c r="N169" t="s">
        <v>803</v>
      </c>
      <c r="P169" t="s">
        <v>1723</v>
      </c>
      <c r="R169" t="s">
        <v>1649</v>
      </c>
      <c r="T169" t="s">
        <v>1698</v>
      </c>
    </row>
    <row r="170" spans="1:20">
      <c r="A170" t="s">
        <v>1081</v>
      </c>
      <c r="B170" s="18">
        <v>27139234</v>
      </c>
      <c r="C170" s="3">
        <v>0</v>
      </c>
      <c r="D170" s="61" t="s">
        <v>1818</v>
      </c>
      <c r="E170" s="44" t="s">
        <v>1828</v>
      </c>
      <c r="G170">
        <v>1</v>
      </c>
      <c r="I170" s="20">
        <v>1</v>
      </c>
      <c r="J170" t="s">
        <v>1220</v>
      </c>
      <c r="K170" t="s">
        <v>1251</v>
      </c>
      <c r="L170" t="s">
        <v>1276</v>
      </c>
      <c r="M170" t="s">
        <v>1488</v>
      </c>
      <c r="N170" t="s">
        <v>803</v>
      </c>
      <c r="P170" t="s">
        <v>1693</v>
      </c>
      <c r="R170" t="s">
        <v>1132</v>
      </c>
    </row>
    <row r="171" spans="1:20">
      <c r="A171" t="s">
        <v>1054</v>
      </c>
      <c r="B171">
        <v>23819217</v>
      </c>
      <c r="C171">
        <v>0</v>
      </c>
      <c r="D171" s="59" t="s">
        <v>1860</v>
      </c>
      <c r="E171" s="44" t="s">
        <v>1842</v>
      </c>
      <c r="G171">
        <v>1</v>
      </c>
      <c r="I171">
        <v>1</v>
      </c>
      <c r="J171" t="s">
        <v>1586</v>
      </c>
      <c r="K171" t="s">
        <v>1147</v>
      </c>
      <c r="L171" t="s">
        <v>1127</v>
      </c>
      <c r="M171" t="s">
        <v>1487</v>
      </c>
      <c r="N171" t="s">
        <v>803</v>
      </c>
      <c r="O171" t="s">
        <v>23</v>
      </c>
      <c r="P171" t="s">
        <v>1512</v>
      </c>
      <c r="Q171" t="s">
        <v>1343</v>
      </c>
      <c r="R171" t="s">
        <v>24</v>
      </c>
    </row>
    <row r="172" spans="1:20">
      <c r="A172" t="s">
        <v>1040</v>
      </c>
      <c r="B172">
        <v>11522256</v>
      </c>
      <c r="C172">
        <v>0</v>
      </c>
      <c r="E172" s="44">
        <v>0</v>
      </c>
      <c r="G172">
        <v>1</v>
      </c>
      <c r="I172" s="12">
        <v>1</v>
      </c>
      <c r="J172" t="s">
        <v>1373</v>
      </c>
      <c r="K172" t="s">
        <v>1251</v>
      </c>
      <c r="L172" t="s">
        <v>1127</v>
      </c>
      <c r="M172" s="12" t="s">
        <v>1372</v>
      </c>
      <c r="P172" t="s">
        <v>1375</v>
      </c>
      <c r="Q172" t="s">
        <v>24</v>
      </c>
      <c r="R172" t="s">
        <v>1374</v>
      </c>
      <c r="T172" t="s">
        <v>1713</v>
      </c>
    </row>
    <row r="173" spans="1:20">
      <c r="A173" t="s">
        <v>1035</v>
      </c>
      <c r="B173">
        <v>21191042</v>
      </c>
      <c r="C173">
        <v>0</v>
      </c>
      <c r="E173" s="44" t="s">
        <v>1801</v>
      </c>
      <c r="F173" s="36" t="s">
        <v>1792</v>
      </c>
      <c r="G173" s="2">
        <v>1</v>
      </c>
      <c r="I173" s="20">
        <v>0</v>
      </c>
      <c r="J173" t="s">
        <v>73</v>
      </c>
      <c r="L173" t="s">
        <v>1386</v>
      </c>
      <c r="M173" t="s">
        <v>1488</v>
      </c>
      <c r="P173" t="s">
        <v>1268</v>
      </c>
      <c r="T173" t="s">
        <v>1387</v>
      </c>
    </row>
    <row r="174" spans="1:20">
      <c r="A174" t="s">
        <v>1034</v>
      </c>
      <c r="B174">
        <v>25271215</v>
      </c>
      <c r="C174">
        <v>0</v>
      </c>
      <c r="D174" s="59" t="s">
        <v>1818</v>
      </c>
      <c r="E174" s="44" t="s">
        <v>1845</v>
      </c>
      <c r="G174">
        <v>1</v>
      </c>
      <c r="I174" s="3">
        <v>1</v>
      </c>
      <c r="J174" t="s">
        <v>1220</v>
      </c>
      <c r="L174" t="s">
        <v>1138</v>
      </c>
      <c r="M174" t="s">
        <v>1488</v>
      </c>
      <c r="N174" t="s">
        <v>803</v>
      </c>
      <c r="P174" t="s">
        <v>1501</v>
      </c>
      <c r="S174" t="s">
        <v>1661</v>
      </c>
      <c r="T174" t="s">
        <v>1846</v>
      </c>
    </row>
    <row r="175" spans="1:20">
      <c r="A175" t="s">
        <v>1014</v>
      </c>
      <c r="B175">
        <v>19019199</v>
      </c>
      <c r="C175">
        <v>0</v>
      </c>
      <c r="D175" s="59" t="s">
        <v>1814</v>
      </c>
      <c r="E175" s="44" t="s">
        <v>1851</v>
      </c>
      <c r="F175" s="36" t="s">
        <v>1793</v>
      </c>
      <c r="G175" s="2">
        <v>1</v>
      </c>
      <c r="I175" s="20">
        <v>0</v>
      </c>
      <c r="J175" t="s">
        <v>1404</v>
      </c>
      <c r="K175" t="s">
        <v>1212</v>
      </c>
      <c r="L175" t="s">
        <v>1429</v>
      </c>
      <c r="M175" t="s">
        <v>1488</v>
      </c>
      <c r="N175" t="s">
        <v>803</v>
      </c>
      <c r="Q175" t="s">
        <v>1430</v>
      </c>
      <c r="T175" t="s">
        <v>1698</v>
      </c>
    </row>
    <row r="176" spans="1:20">
      <c r="A176" t="s">
        <v>1008</v>
      </c>
      <c r="B176">
        <v>20804778</v>
      </c>
      <c r="C176">
        <v>0</v>
      </c>
      <c r="D176" s="59" t="s">
        <v>1818</v>
      </c>
      <c r="E176" s="44">
        <v>0</v>
      </c>
      <c r="G176">
        <v>1</v>
      </c>
      <c r="I176" s="12">
        <v>1</v>
      </c>
      <c r="L176" t="s">
        <v>1127</v>
      </c>
      <c r="M176" s="12" t="s">
        <v>1717</v>
      </c>
      <c r="N176" t="s">
        <v>803</v>
      </c>
      <c r="P176" t="s">
        <v>1690</v>
      </c>
      <c r="Q176" t="s">
        <v>24</v>
      </c>
      <c r="R176" t="s">
        <v>1444</v>
      </c>
      <c r="T176" t="s">
        <v>1445</v>
      </c>
    </row>
    <row r="177" spans="1:20">
      <c r="A177" t="s">
        <v>975</v>
      </c>
      <c r="B177">
        <v>16095730</v>
      </c>
      <c r="C177">
        <v>0</v>
      </c>
      <c r="D177" s="59" t="s">
        <v>1818</v>
      </c>
      <c r="E177" s="44">
        <v>0</v>
      </c>
      <c r="G177">
        <v>1</v>
      </c>
      <c r="I177" s="12">
        <v>1</v>
      </c>
      <c r="J177" t="s">
        <v>1565</v>
      </c>
      <c r="K177" t="s">
        <v>1566</v>
      </c>
      <c r="L177" t="s">
        <v>1562</v>
      </c>
      <c r="M177" s="12" t="s">
        <v>1567</v>
      </c>
      <c r="N177" t="s">
        <v>1539</v>
      </c>
      <c r="P177" t="s">
        <v>1564</v>
      </c>
    </row>
    <row r="178" spans="1:20">
      <c r="A178" t="s">
        <v>950</v>
      </c>
      <c r="B178">
        <v>17011803</v>
      </c>
      <c r="C178">
        <v>0</v>
      </c>
      <c r="D178" s="59" t="s">
        <v>1818</v>
      </c>
      <c r="E178" s="44">
        <v>0</v>
      </c>
      <c r="G178">
        <v>1</v>
      </c>
      <c r="I178" s="20">
        <v>1</v>
      </c>
      <c r="J178" t="s">
        <v>1634</v>
      </c>
      <c r="K178" t="s">
        <v>1216</v>
      </c>
      <c r="L178" s="12" t="s">
        <v>1802</v>
      </c>
      <c r="M178" t="s">
        <v>1488</v>
      </c>
      <c r="P178" t="s">
        <v>1501</v>
      </c>
      <c r="S178" t="s">
        <v>1633</v>
      </c>
    </row>
    <row r="179" spans="1:20">
      <c r="A179" t="s">
        <v>948</v>
      </c>
      <c r="B179" s="18">
        <v>19663264</v>
      </c>
      <c r="C179">
        <v>0</v>
      </c>
      <c r="D179" s="59" t="s">
        <v>1860</v>
      </c>
      <c r="E179" s="44" t="s">
        <v>1859</v>
      </c>
      <c r="G179">
        <v>1</v>
      </c>
      <c r="I179" s="20">
        <v>1</v>
      </c>
      <c r="J179" t="s">
        <v>1220</v>
      </c>
      <c r="K179" t="s">
        <v>1216</v>
      </c>
      <c r="L179" t="s">
        <v>1127</v>
      </c>
      <c r="M179" t="s">
        <v>1487</v>
      </c>
      <c r="N179" t="s">
        <v>803</v>
      </c>
      <c r="P179" t="s">
        <v>1501</v>
      </c>
      <c r="S179" t="s">
        <v>1549</v>
      </c>
    </row>
    <row r="180" spans="1:20" ht="17" thickBot="1">
      <c r="A180" s="18"/>
      <c r="B180" s="18"/>
      <c r="C180" s="18"/>
      <c r="D180" s="60"/>
      <c r="E180" s="46"/>
      <c r="F180" s="37"/>
      <c r="G180" s="18"/>
      <c r="H180" s="18"/>
      <c r="I180" s="18"/>
    </row>
    <row r="181" spans="1:20" ht="17" thickBot="1">
      <c r="A181" s="9"/>
      <c r="B181" s="10" t="s">
        <v>861</v>
      </c>
      <c r="C181" s="10"/>
      <c r="D181" s="57"/>
      <c r="E181" s="49"/>
      <c r="F181" s="40"/>
      <c r="G181" s="10"/>
      <c r="H181" s="10"/>
      <c r="I181" s="11" t="s">
        <v>1729</v>
      </c>
    </row>
    <row r="182" spans="1:20" ht="17" thickBot="1">
      <c r="A182" s="6" t="s">
        <v>469</v>
      </c>
      <c r="B182" s="7">
        <v>178</v>
      </c>
      <c r="C182" s="54">
        <f>SUM(C2:C179)</f>
        <v>107</v>
      </c>
      <c r="D182" s="58"/>
      <c r="E182" s="55">
        <f>SUM(E2:E179)</f>
        <v>45</v>
      </c>
      <c r="F182" s="41"/>
      <c r="G182" s="8">
        <f>SUM(G2:G179)</f>
        <v>96</v>
      </c>
      <c r="H182" s="33"/>
      <c r="I182" s="8">
        <f>SUM(I2:I179)</f>
        <v>91</v>
      </c>
      <c r="J182" s="18"/>
      <c r="K182" s="18"/>
      <c r="L182" s="18"/>
      <c r="M182" s="18"/>
      <c r="N182" s="18"/>
      <c r="O182" s="18"/>
      <c r="P182" s="18"/>
      <c r="Q182" s="18"/>
      <c r="R182" s="18"/>
      <c r="S182" s="18"/>
      <c r="T182" s="18"/>
    </row>
    <row r="183" spans="1:20" ht="17" thickBot="1">
      <c r="A183" s="18"/>
      <c r="B183" s="18"/>
      <c r="C183" s="18"/>
      <c r="D183" s="60"/>
      <c r="E183" s="46"/>
      <c r="F183" s="37"/>
      <c r="G183" s="18"/>
      <c r="H183" s="18"/>
      <c r="I183" s="18"/>
      <c r="L183" s="1" t="s">
        <v>1699</v>
      </c>
      <c r="M183" s="1" t="s">
        <v>1687</v>
      </c>
      <c r="N183" s="1"/>
      <c r="O183" s="1"/>
      <c r="P183" s="1" t="s">
        <v>1688</v>
      </c>
    </row>
    <row r="184" spans="1:20">
      <c r="A184" s="24" t="s">
        <v>1288</v>
      </c>
      <c r="D184" s="59" t="s">
        <v>1815</v>
      </c>
      <c r="L184" t="s">
        <v>1700</v>
      </c>
      <c r="M184" s="29" t="s">
        <v>1490</v>
      </c>
      <c r="P184" s="29" t="s">
        <v>1679</v>
      </c>
      <c r="R184" s="29" t="s">
        <v>1629</v>
      </c>
    </row>
    <row r="185" spans="1:20">
      <c r="A185" s="21" t="s">
        <v>1289</v>
      </c>
      <c r="D185" s="59" t="s">
        <v>1816</v>
      </c>
      <c r="L185" t="s">
        <v>24</v>
      </c>
      <c r="M185" s="29" t="s">
        <v>1491</v>
      </c>
      <c r="P185" s="29" t="s">
        <v>1509</v>
      </c>
      <c r="R185" s="29"/>
    </row>
    <row r="186" spans="1:20">
      <c r="A186" s="22" t="s">
        <v>1290</v>
      </c>
      <c r="D186" s="59" t="s">
        <v>1817</v>
      </c>
      <c r="L186" t="s">
        <v>1700</v>
      </c>
      <c r="M186" s="29" t="s">
        <v>1492</v>
      </c>
      <c r="P186" s="29" t="s">
        <v>1510</v>
      </c>
      <c r="R186" s="29"/>
    </row>
    <row r="187" spans="1:20" ht="17" thickBot="1">
      <c r="A187" s="23" t="s">
        <v>1522</v>
      </c>
      <c r="D187" s="59" t="s">
        <v>1819</v>
      </c>
      <c r="L187" t="s">
        <v>1700</v>
      </c>
      <c r="M187" s="29" t="s">
        <v>1494</v>
      </c>
      <c r="P187" s="29" t="s">
        <v>1674</v>
      </c>
      <c r="R187" s="29"/>
    </row>
    <row r="188" spans="1:20">
      <c r="A188" s="12" t="s">
        <v>1717</v>
      </c>
      <c r="D188" s="59" t="s">
        <v>1821</v>
      </c>
      <c r="L188" t="s">
        <v>1700</v>
      </c>
      <c r="M188" s="29" t="s">
        <v>1496</v>
      </c>
      <c r="P188" s="29" t="s">
        <v>1513</v>
      </c>
      <c r="R188" s="29"/>
    </row>
    <row r="189" spans="1:20">
      <c r="D189" s="59" t="s">
        <v>1861</v>
      </c>
      <c r="L189" t="s">
        <v>1700</v>
      </c>
      <c r="M189" s="30" t="s">
        <v>1497</v>
      </c>
      <c r="P189" s="29" t="s">
        <v>1514</v>
      </c>
      <c r="R189" s="29"/>
    </row>
    <row r="190" spans="1:20">
      <c r="L190" t="s">
        <v>24</v>
      </c>
      <c r="M190" s="31" t="s">
        <v>1502</v>
      </c>
      <c r="P190" s="29" t="s">
        <v>1520</v>
      </c>
      <c r="R190" s="29"/>
    </row>
    <row r="191" spans="1:20">
      <c r="L191" t="s">
        <v>1700</v>
      </c>
      <c r="M191" s="31" t="s">
        <v>1503</v>
      </c>
      <c r="P191" s="29" t="s">
        <v>1536</v>
      </c>
      <c r="R191" s="29"/>
    </row>
    <row r="192" spans="1:20">
      <c r="L192" t="s">
        <v>1700</v>
      </c>
      <c r="M192" s="31" t="s">
        <v>1540</v>
      </c>
      <c r="P192" s="29" t="s">
        <v>1614</v>
      </c>
      <c r="R192" s="29"/>
    </row>
    <row r="193" spans="12:18">
      <c r="L193" t="s">
        <v>24</v>
      </c>
      <c r="M193" s="31" t="s">
        <v>1563</v>
      </c>
      <c r="P193" s="29" t="s">
        <v>1673</v>
      </c>
      <c r="R193" s="29"/>
    </row>
    <row r="194" spans="12:18">
      <c r="L194" t="s">
        <v>1700</v>
      </c>
      <c r="M194" s="31" t="s">
        <v>1701</v>
      </c>
      <c r="P194" s="29" t="s">
        <v>1672</v>
      </c>
    </row>
    <row r="195" spans="12:18">
      <c r="L195" t="s">
        <v>1700</v>
      </c>
      <c r="M195" s="31" t="s">
        <v>1702</v>
      </c>
      <c r="P195" s="29" t="s">
        <v>1683</v>
      </c>
    </row>
    <row r="196" spans="12:18">
      <c r="L196" t="s">
        <v>1700</v>
      </c>
      <c r="M196" s="31" t="s">
        <v>1712</v>
      </c>
    </row>
  </sheetData>
  <sheetProtection password="DB7D" sheet="1" objects="1" scenarios="1"/>
  <phoneticPr fontId="11" type="noConversion"/>
  <pageMargins left="0.7" right="0.7" top="0.75" bottom="0.75" header="0.3" footer="0.3"/>
  <pageSetup paperSize="9" orientation="landscape" horizontalDpi="4294967292" verticalDpi="429496729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sheetPr>
  <dimension ref="A1:Q301"/>
  <sheetViews>
    <sheetView topLeftCell="A169" zoomScalePageLayoutView="50" workbookViewId="0">
      <selection activeCell="M193" sqref="M193"/>
    </sheetView>
  </sheetViews>
  <sheetFormatPr baseColWidth="10" defaultColWidth="11" defaultRowHeight="16"/>
  <cols>
    <col min="1" max="1" width="44.1640625" customWidth="1"/>
    <col min="2" max="3" width="10.5" customWidth="1"/>
    <col min="4" max="4" width="8.33203125" style="44" customWidth="1"/>
    <col min="5" max="5" width="7.33203125" style="36" customWidth="1"/>
    <col min="6" max="6" width="26.33203125" customWidth="1"/>
    <col min="7" max="7" width="5.83203125" customWidth="1"/>
    <col min="8" max="8" width="33.1640625" customWidth="1"/>
    <col min="9" max="9" width="26.33203125" customWidth="1"/>
    <col min="10" max="10" width="47" customWidth="1"/>
    <col min="11" max="11" width="29.5" customWidth="1"/>
    <col min="12" max="12" width="4.5" customWidth="1"/>
    <col min="13" max="13" width="26.5" customWidth="1"/>
    <col min="14" max="14" width="15.6640625" customWidth="1"/>
    <col min="15" max="15" width="9.83203125" customWidth="1"/>
    <col min="16" max="16" width="17.33203125" customWidth="1"/>
    <col min="17" max="17" width="50.5" customWidth="1"/>
  </cols>
  <sheetData>
    <row r="1" spans="1:17" s="1" customFormat="1">
      <c r="A1" s="1" t="s">
        <v>367</v>
      </c>
      <c r="B1" s="1" t="s">
        <v>9</v>
      </c>
      <c r="C1" s="1" t="s">
        <v>1794</v>
      </c>
      <c r="D1" s="43" t="s">
        <v>1789</v>
      </c>
      <c r="E1" s="35" t="s">
        <v>1770</v>
      </c>
      <c r="F1" s="1" t="s">
        <v>1727</v>
      </c>
      <c r="G1" s="1" t="s">
        <v>1728</v>
      </c>
      <c r="H1" s="1" t="s">
        <v>1</v>
      </c>
      <c r="I1" s="1" t="s">
        <v>1237</v>
      </c>
      <c r="J1" s="1" t="s">
        <v>40</v>
      </c>
      <c r="K1" s="1" t="s">
        <v>8</v>
      </c>
      <c r="L1" s="1" t="s">
        <v>18</v>
      </c>
      <c r="M1" s="1" t="s">
        <v>5</v>
      </c>
      <c r="N1" s="1" t="s">
        <v>3</v>
      </c>
      <c r="O1" s="1" t="s">
        <v>4</v>
      </c>
      <c r="P1" s="1" t="s">
        <v>507</v>
      </c>
      <c r="Q1" s="1" t="s">
        <v>2</v>
      </c>
    </row>
    <row r="2" spans="1:17">
      <c r="A2" t="s">
        <v>82</v>
      </c>
      <c r="B2">
        <v>17888207</v>
      </c>
      <c r="C2">
        <v>0</v>
      </c>
      <c r="F2">
        <v>0</v>
      </c>
      <c r="H2">
        <v>0</v>
      </c>
      <c r="I2" t="s">
        <v>24</v>
      </c>
      <c r="M2" t="s">
        <v>24</v>
      </c>
      <c r="N2" s="16"/>
      <c r="Q2" t="s">
        <v>29</v>
      </c>
    </row>
    <row r="3" spans="1:17">
      <c r="A3" t="s">
        <v>99</v>
      </c>
      <c r="B3">
        <v>21144125</v>
      </c>
      <c r="C3">
        <v>0</v>
      </c>
      <c r="F3">
        <v>0</v>
      </c>
      <c r="H3">
        <v>0</v>
      </c>
      <c r="I3" t="s">
        <v>24</v>
      </c>
      <c r="J3" t="s">
        <v>24</v>
      </c>
      <c r="K3" t="s">
        <v>25</v>
      </c>
      <c r="L3">
        <v>1</v>
      </c>
      <c r="M3" t="s">
        <v>24</v>
      </c>
      <c r="N3" s="16" t="s">
        <v>24</v>
      </c>
      <c r="O3" t="s">
        <v>24</v>
      </c>
      <c r="Q3" t="s">
        <v>68</v>
      </c>
    </row>
    <row r="4" spans="1:17">
      <c r="A4" t="s">
        <v>185</v>
      </c>
      <c r="B4">
        <v>25935821</v>
      </c>
      <c r="C4">
        <v>0</v>
      </c>
      <c r="F4">
        <v>0</v>
      </c>
      <c r="H4">
        <v>0</v>
      </c>
      <c r="I4" t="s">
        <v>24</v>
      </c>
      <c r="K4" t="s">
        <v>540</v>
      </c>
      <c r="L4">
        <v>1</v>
      </c>
      <c r="N4" s="16" t="s">
        <v>24</v>
      </c>
      <c r="Q4" t="s">
        <v>539</v>
      </c>
    </row>
    <row r="5" spans="1:17">
      <c r="A5" t="s">
        <v>251</v>
      </c>
      <c r="B5">
        <v>24255069</v>
      </c>
      <c r="C5">
        <v>0</v>
      </c>
      <c r="F5">
        <v>0</v>
      </c>
      <c r="H5">
        <v>0</v>
      </c>
      <c r="I5" t="s">
        <v>24</v>
      </c>
      <c r="K5" t="s">
        <v>680</v>
      </c>
      <c r="L5">
        <v>0</v>
      </c>
      <c r="N5" s="16"/>
      <c r="P5" t="s">
        <v>681</v>
      </c>
      <c r="Q5" t="s">
        <v>424</v>
      </c>
    </row>
    <row r="6" spans="1:17">
      <c r="A6" s="18" t="s">
        <v>265</v>
      </c>
      <c r="B6">
        <v>25211372</v>
      </c>
      <c r="C6">
        <v>0</v>
      </c>
      <c r="F6">
        <v>0</v>
      </c>
      <c r="H6">
        <v>0</v>
      </c>
      <c r="I6" t="s">
        <v>24</v>
      </c>
      <c r="K6" t="s">
        <v>706</v>
      </c>
      <c r="M6" t="s">
        <v>24</v>
      </c>
      <c r="N6" s="16"/>
      <c r="Q6" t="s">
        <v>705</v>
      </c>
    </row>
    <row r="7" spans="1:17">
      <c r="A7" s="18" t="s">
        <v>273</v>
      </c>
      <c r="B7">
        <v>11794574</v>
      </c>
      <c r="C7">
        <v>0</v>
      </c>
      <c r="F7">
        <v>0</v>
      </c>
      <c r="H7">
        <v>0</v>
      </c>
      <c r="I7" t="s">
        <v>24</v>
      </c>
      <c r="N7" s="16"/>
      <c r="Q7" t="s">
        <v>722</v>
      </c>
    </row>
    <row r="8" spans="1:17">
      <c r="A8" t="s">
        <v>276</v>
      </c>
      <c r="B8">
        <v>25522731</v>
      </c>
      <c r="C8">
        <v>0</v>
      </c>
      <c r="F8">
        <v>0</v>
      </c>
      <c r="H8">
        <v>0</v>
      </c>
      <c r="I8" t="s">
        <v>24</v>
      </c>
      <c r="K8" t="s">
        <v>24</v>
      </c>
      <c r="L8" t="s">
        <v>24</v>
      </c>
      <c r="N8" s="16"/>
      <c r="Q8" t="s">
        <v>727</v>
      </c>
    </row>
    <row r="9" spans="1:17">
      <c r="A9" t="s">
        <v>285</v>
      </c>
      <c r="B9">
        <v>12021557</v>
      </c>
      <c r="C9">
        <v>0</v>
      </c>
      <c r="F9">
        <v>0</v>
      </c>
      <c r="H9">
        <v>0</v>
      </c>
      <c r="I9" t="s">
        <v>24</v>
      </c>
      <c r="K9" t="s">
        <v>748</v>
      </c>
      <c r="L9">
        <v>0</v>
      </c>
      <c r="M9" t="s">
        <v>24</v>
      </c>
      <c r="N9" s="16"/>
      <c r="Q9" t="s">
        <v>747</v>
      </c>
    </row>
    <row r="10" spans="1:17">
      <c r="A10" t="s">
        <v>300</v>
      </c>
      <c r="B10">
        <v>11993293</v>
      </c>
      <c r="C10">
        <v>0</v>
      </c>
      <c r="F10">
        <v>0</v>
      </c>
      <c r="H10">
        <v>0</v>
      </c>
      <c r="I10" t="s">
        <v>24</v>
      </c>
      <c r="J10" t="s">
        <v>24</v>
      </c>
      <c r="K10" t="s">
        <v>24</v>
      </c>
      <c r="L10" t="s">
        <v>24</v>
      </c>
      <c r="M10" t="s">
        <v>24</v>
      </c>
      <c r="N10" s="16"/>
      <c r="Q10" t="s">
        <v>788</v>
      </c>
    </row>
    <row r="11" spans="1:17">
      <c r="A11" t="s">
        <v>304</v>
      </c>
      <c r="B11">
        <v>3760199</v>
      </c>
      <c r="C11">
        <v>0</v>
      </c>
      <c r="F11">
        <v>0</v>
      </c>
      <c r="H11">
        <v>0</v>
      </c>
      <c r="I11" t="s">
        <v>24</v>
      </c>
      <c r="J11" t="s">
        <v>24</v>
      </c>
      <c r="N11" s="16"/>
      <c r="Q11" t="s">
        <v>796</v>
      </c>
    </row>
    <row r="12" spans="1:17">
      <c r="A12" t="s">
        <v>306</v>
      </c>
      <c r="B12">
        <v>25005504</v>
      </c>
      <c r="C12">
        <v>0</v>
      </c>
      <c r="F12">
        <v>0</v>
      </c>
      <c r="H12">
        <v>0</v>
      </c>
      <c r="I12" t="s">
        <v>24</v>
      </c>
      <c r="J12" t="s">
        <v>24</v>
      </c>
      <c r="K12" t="s">
        <v>762</v>
      </c>
      <c r="L12">
        <v>1</v>
      </c>
      <c r="M12" t="s">
        <v>24</v>
      </c>
      <c r="N12" s="16"/>
      <c r="P12" t="s">
        <v>800</v>
      </c>
      <c r="Q12" t="s">
        <v>801</v>
      </c>
    </row>
    <row r="13" spans="1:17">
      <c r="A13" t="s">
        <v>307</v>
      </c>
      <c r="B13">
        <v>23115342</v>
      </c>
      <c r="C13">
        <v>0</v>
      </c>
      <c r="F13">
        <v>0</v>
      </c>
      <c r="H13">
        <v>0</v>
      </c>
      <c r="I13" t="s">
        <v>24</v>
      </c>
      <c r="J13" t="s">
        <v>24</v>
      </c>
      <c r="K13" t="s">
        <v>591</v>
      </c>
      <c r="L13">
        <v>1</v>
      </c>
      <c r="M13" t="s">
        <v>24</v>
      </c>
      <c r="N13" s="16" t="s">
        <v>802</v>
      </c>
      <c r="Q13" t="s">
        <v>424</v>
      </c>
    </row>
    <row r="14" spans="1:17">
      <c r="A14" t="s">
        <v>308</v>
      </c>
      <c r="B14">
        <v>7792338</v>
      </c>
      <c r="C14">
        <v>0</v>
      </c>
      <c r="F14">
        <v>0</v>
      </c>
      <c r="H14">
        <v>0</v>
      </c>
      <c r="I14" t="s">
        <v>24</v>
      </c>
      <c r="J14" t="s">
        <v>24</v>
      </c>
      <c r="K14" t="s">
        <v>804</v>
      </c>
      <c r="L14">
        <v>0</v>
      </c>
      <c r="M14" t="s">
        <v>24</v>
      </c>
      <c r="N14" s="16"/>
      <c r="Q14" t="s">
        <v>805</v>
      </c>
    </row>
    <row r="15" spans="1:17">
      <c r="A15" t="s">
        <v>328</v>
      </c>
      <c r="B15">
        <v>23088091</v>
      </c>
      <c r="C15">
        <v>0</v>
      </c>
      <c r="F15">
        <v>0</v>
      </c>
      <c r="H15">
        <v>0</v>
      </c>
      <c r="I15" t="s">
        <v>24</v>
      </c>
      <c r="K15" t="s">
        <v>852</v>
      </c>
      <c r="L15">
        <v>0</v>
      </c>
      <c r="M15" t="s">
        <v>24</v>
      </c>
      <c r="P15" t="s">
        <v>853</v>
      </c>
      <c r="Q15" t="s">
        <v>854</v>
      </c>
    </row>
    <row r="16" spans="1:17">
      <c r="A16" t="s">
        <v>342</v>
      </c>
      <c r="B16">
        <v>19766403</v>
      </c>
      <c r="C16">
        <v>0</v>
      </c>
      <c r="F16">
        <v>0</v>
      </c>
      <c r="H16" s="5">
        <v>0</v>
      </c>
      <c r="I16" t="s">
        <v>24</v>
      </c>
      <c r="J16" t="s">
        <v>24</v>
      </c>
      <c r="K16" t="s">
        <v>889</v>
      </c>
      <c r="L16">
        <v>0</v>
      </c>
      <c r="M16" t="s">
        <v>892</v>
      </c>
      <c r="N16" t="s">
        <v>24</v>
      </c>
      <c r="O16" t="s">
        <v>890</v>
      </c>
      <c r="P16" t="s">
        <v>891</v>
      </c>
      <c r="Q16" t="s">
        <v>424</v>
      </c>
    </row>
    <row r="17" spans="1:17">
      <c r="A17" s="18" t="s">
        <v>164</v>
      </c>
      <c r="B17">
        <v>15985841</v>
      </c>
      <c r="C17">
        <v>0</v>
      </c>
      <c r="F17">
        <v>0</v>
      </c>
      <c r="H17" s="2">
        <v>0</v>
      </c>
      <c r="I17" t="s">
        <v>23</v>
      </c>
      <c r="J17" t="s">
        <v>23</v>
      </c>
      <c r="K17" t="s">
        <v>489</v>
      </c>
      <c r="L17">
        <v>1</v>
      </c>
      <c r="M17" t="s">
        <v>23</v>
      </c>
      <c r="N17" s="16"/>
      <c r="Q17" t="s">
        <v>488</v>
      </c>
    </row>
    <row r="18" spans="1:17">
      <c r="A18" s="66" t="s">
        <v>165</v>
      </c>
      <c r="B18">
        <v>22059938</v>
      </c>
      <c r="C18">
        <v>0</v>
      </c>
      <c r="F18">
        <v>0</v>
      </c>
      <c r="H18" s="2">
        <v>0</v>
      </c>
      <c r="I18" t="s">
        <v>23</v>
      </c>
      <c r="J18" t="s">
        <v>23</v>
      </c>
      <c r="K18" t="s">
        <v>25</v>
      </c>
      <c r="L18">
        <v>1</v>
      </c>
      <c r="M18" t="s">
        <v>23</v>
      </c>
      <c r="N18" s="16"/>
      <c r="P18" t="s">
        <v>510</v>
      </c>
      <c r="Q18" t="s">
        <v>490</v>
      </c>
    </row>
    <row r="19" spans="1:17">
      <c r="A19" s="66" t="s">
        <v>339</v>
      </c>
      <c r="B19">
        <v>23792857</v>
      </c>
      <c r="C19">
        <v>0</v>
      </c>
      <c r="F19">
        <v>0</v>
      </c>
      <c r="H19">
        <v>0</v>
      </c>
      <c r="I19" t="s">
        <v>23</v>
      </c>
      <c r="K19" t="s">
        <v>819</v>
      </c>
      <c r="L19">
        <v>1</v>
      </c>
      <c r="M19" t="s">
        <v>880</v>
      </c>
      <c r="Q19" t="s">
        <v>879</v>
      </c>
    </row>
    <row r="20" spans="1:17">
      <c r="A20" t="s">
        <v>244</v>
      </c>
      <c r="B20">
        <v>26561791</v>
      </c>
      <c r="C20">
        <v>0</v>
      </c>
      <c r="F20">
        <v>0</v>
      </c>
      <c r="H20">
        <v>0</v>
      </c>
      <c r="I20" t="s">
        <v>666</v>
      </c>
      <c r="K20" t="s">
        <v>376</v>
      </c>
      <c r="L20">
        <v>1</v>
      </c>
      <c r="N20" s="16"/>
      <c r="Q20" t="s">
        <v>667</v>
      </c>
    </row>
    <row r="21" spans="1:17">
      <c r="A21" t="s">
        <v>267</v>
      </c>
      <c r="B21">
        <v>22381192</v>
      </c>
      <c r="C21">
        <v>0</v>
      </c>
      <c r="F21">
        <v>0</v>
      </c>
      <c r="H21">
        <v>0</v>
      </c>
      <c r="I21" t="s">
        <v>708</v>
      </c>
      <c r="J21" t="s">
        <v>1164</v>
      </c>
      <c r="K21" t="s">
        <v>710</v>
      </c>
      <c r="L21">
        <v>0</v>
      </c>
      <c r="M21" t="s">
        <v>711</v>
      </c>
      <c r="N21" s="16"/>
      <c r="Q21" t="s">
        <v>709</v>
      </c>
    </row>
    <row r="22" spans="1:17">
      <c r="A22" t="s">
        <v>341</v>
      </c>
      <c r="B22">
        <v>19716397</v>
      </c>
      <c r="C22">
        <v>0</v>
      </c>
      <c r="F22">
        <v>0</v>
      </c>
      <c r="H22" s="2">
        <v>0</v>
      </c>
      <c r="I22" t="s">
        <v>887</v>
      </c>
      <c r="K22" t="s">
        <v>884</v>
      </c>
      <c r="L22">
        <v>0</v>
      </c>
      <c r="M22" t="s">
        <v>883</v>
      </c>
      <c r="O22" t="s">
        <v>885</v>
      </c>
      <c r="P22" t="s">
        <v>886</v>
      </c>
      <c r="Q22" t="s">
        <v>888</v>
      </c>
    </row>
    <row r="23" spans="1:17">
      <c r="A23" t="s">
        <v>299</v>
      </c>
      <c r="B23">
        <v>10226451</v>
      </c>
      <c r="C23">
        <v>0</v>
      </c>
      <c r="F23">
        <v>0</v>
      </c>
      <c r="H23" s="3">
        <v>0</v>
      </c>
      <c r="I23" t="s">
        <v>31</v>
      </c>
      <c r="J23" t="s">
        <v>1157</v>
      </c>
      <c r="K23" t="s">
        <v>785</v>
      </c>
      <c r="L23">
        <v>1</v>
      </c>
      <c r="M23" t="s">
        <v>492</v>
      </c>
      <c r="N23" s="16" t="s">
        <v>24</v>
      </c>
      <c r="O23" t="s">
        <v>24</v>
      </c>
      <c r="P23" t="s">
        <v>786</v>
      </c>
      <c r="Q23" t="s">
        <v>787</v>
      </c>
    </row>
    <row r="24" spans="1:17">
      <c r="A24" s="18" t="s">
        <v>329</v>
      </c>
      <c r="B24">
        <v>19640317</v>
      </c>
      <c r="C24">
        <v>0</v>
      </c>
      <c r="F24">
        <v>0</v>
      </c>
      <c r="H24">
        <v>0</v>
      </c>
      <c r="I24" t="s">
        <v>857</v>
      </c>
      <c r="K24" t="s">
        <v>478</v>
      </c>
      <c r="L24">
        <v>1</v>
      </c>
      <c r="M24" t="s">
        <v>855</v>
      </c>
      <c r="N24" t="s">
        <v>24</v>
      </c>
      <c r="O24" t="s">
        <v>24</v>
      </c>
      <c r="P24" t="s">
        <v>856</v>
      </c>
      <c r="Q24" t="s">
        <v>798</v>
      </c>
    </row>
    <row r="25" spans="1:17">
      <c r="A25" t="s">
        <v>309</v>
      </c>
      <c r="B25">
        <v>25220449</v>
      </c>
      <c r="C25">
        <v>0</v>
      </c>
      <c r="F25">
        <v>0</v>
      </c>
      <c r="H25">
        <v>0</v>
      </c>
      <c r="I25" t="s">
        <v>807</v>
      </c>
      <c r="K25" t="s">
        <v>806</v>
      </c>
      <c r="L25">
        <v>1</v>
      </c>
      <c r="N25" s="16"/>
      <c r="Q25" t="s">
        <v>714</v>
      </c>
    </row>
    <row r="26" spans="1:17">
      <c r="A26" s="18" t="s">
        <v>250</v>
      </c>
      <c r="B26">
        <v>26328753</v>
      </c>
      <c r="C26">
        <v>0</v>
      </c>
      <c r="F26">
        <v>0</v>
      </c>
      <c r="H26" s="5">
        <v>0</v>
      </c>
      <c r="I26" t="s">
        <v>678</v>
      </c>
      <c r="K26" t="s">
        <v>498</v>
      </c>
      <c r="L26">
        <v>0</v>
      </c>
      <c r="M26" t="s">
        <v>24</v>
      </c>
      <c r="N26" s="16"/>
      <c r="Q26" t="s">
        <v>679</v>
      </c>
    </row>
    <row r="27" spans="1:17">
      <c r="A27" t="s">
        <v>226</v>
      </c>
      <c r="B27">
        <v>11281311</v>
      </c>
      <c r="C27">
        <v>0</v>
      </c>
      <c r="F27">
        <v>0</v>
      </c>
      <c r="H27">
        <v>0</v>
      </c>
      <c r="I27" t="s">
        <v>632</v>
      </c>
      <c r="K27" t="s">
        <v>379</v>
      </c>
      <c r="L27">
        <v>0</v>
      </c>
      <c r="M27" t="s">
        <v>24</v>
      </c>
      <c r="N27" s="16"/>
      <c r="Q27" t="s">
        <v>633</v>
      </c>
    </row>
    <row r="28" spans="1:17">
      <c r="A28" t="s">
        <v>179</v>
      </c>
      <c r="B28">
        <v>21853350</v>
      </c>
      <c r="C28">
        <v>0</v>
      </c>
      <c r="F28">
        <v>0</v>
      </c>
      <c r="H28">
        <v>0</v>
      </c>
      <c r="I28" t="s">
        <v>525</v>
      </c>
      <c r="K28" t="s">
        <v>526</v>
      </c>
      <c r="L28">
        <v>0</v>
      </c>
      <c r="N28" s="16"/>
      <c r="Q28" t="s">
        <v>527</v>
      </c>
    </row>
    <row r="29" spans="1:17">
      <c r="A29" s="18" t="s">
        <v>202</v>
      </c>
      <c r="B29">
        <v>10360132</v>
      </c>
      <c r="C29">
        <v>0</v>
      </c>
      <c r="F29">
        <v>0</v>
      </c>
      <c r="H29">
        <v>0</v>
      </c>
      <c r="I29" t="s">
        <v>579</v>
      </c>
      <c r="J29" t="s">
        <v>1157</v>
      </c>
      <c r="K29" t="s">
        <v>578</v>
      </c>
      <c r="L29">
        <v>0</v>
      </c>
      <c r="N29" s="16"/>
      <c r="Q29" t="s">
        <v>424</v>
      </c>
    </row>
    <row r="30" spans="1:17">
      <c r="A30" s="18" t="s">
        <v>81</v>
      </c>
      <c r="B30">
        <v>26031289</v>
      </c>
      <c r="C30">
        <v>0</v>
      </c>
      <c r="F30">
        <v>0</v>
      </c>
      <c r="H30">
        <v>0</v>
      </c>
      <c r="I30" t="s">
        <v>28</v>
      </c>
      <c r="K30" t="s">
        <v>27</v>
      </c>
      <c r="N30" s="16"/>
      <c r="Q30" t="s">
        <v>27</v>
      </c>
    </row>
    <row r="31" spans="1:17">
      <c r="A31" s="18" t="s">
        <v>106</v>
      </c>
      <c r="B31">
        <v>16971540</v>
      </c>
      <c r="C31">
        <v>0</v>
      </c>
      <c r="F31">
        <v>0</v>
      </c>
      <c r="H31" s="2">
        <v>0</v>
      </c>
      <c r="I31" t="s">
        <v>373</v>
      </c>
      <c r="J31" t="s">
        <v>1142</v>
      </c>
      <c r="K31" t="s">
        <v>374</v>
      </c>
      <c r="L31">
        <v>0</v>
      </c>
      <c r="M31" t="s">
        <v>11</v>
      </c>
      <c r="N31" s="16"/>
      <c r="Q31" t="s">
        <v>375</v>
      </c>
    </row>
    <row r="32" spans="1:17">
      <c r="A32" t="s">
        <v>360</v>
      </c>
      <c r="B32">
        <v>23231808</v>
      </c>
      <c r="C32">
        <v>0</v>
      </c>
      <c r="F32">
        <v>0</v>
      </c>
      <c r="H32">
        <v>0</v>
      </c>
      <c r="I32" t="s">
        <v>373</v>
      </c>
      <c r="J32" t="s">
        <v>1142</v>
      </c>
      <c r="K32" t="s">
        <v>24</v>
      </c>
      <c r="L32" t="s">
        <v>24</v>
      </c>
      <c r="M32" t="s">
        <v>11</v>
      </c>
      <c r="Q32" s="12" t="s">
        <v>929</v>
      </c>
    </row>
    <row r="33" spans="1:17">
      <c r="A33" s="32" t="s">
        <v>92</v>
      </c>
      <c r="B33">
        <v>11860049</v>
      </c>
      <c r="C33">
        <v>0</v>
      </c>
      <c r="F33">
        <v>0</v>
      </c>
      <c r="H33" s="2">
        <v>0</v>
      </c>
      <c r="I33" s="3" t="s">
        <v>52</v>
      </c>
      <c r="J33" t="s">
        <v>1145</v>
      </c>
      <c r="K33" t="s">
        <v>25</v>
      </c>
      <c r="M33" t="s">
        <v>51</v>
      </c>
      <c r="N33" s="16"/>
      <c r="O33" t="s">
        <v>50</v>
      </c>
      <c r="Q33" t="s">
        <v>53</v>
      </c>
    </row>
    <row r="34" spans="1:17">
      <c r="A34" s="32" t="s">
        <v>219</v>
      </c>
      <c r="B34">
        <v>9238206</v>
      </c>
      <c r="C34">
        <v>0</v>
      </c>
      <c r="F34">
        <v>0</v>
      </c>
      <c r="H34" s="5">
        <v>0</v>
      </c>
      <c r="I34" t="s">
        <v>616</v>
      </c>
      <c r="N34" s="16"/>
      <c r="Q34" t="s">
        <v>617</v>
      </c>
    </row>
    <row r="35" spans="1:17">
      <c r="A35" s="32" t="s">
        <v>220</v>
      </c>
      <c r="B35">
        <v>9415928</v>
      </c>
      <c r="C35">
        <v>0</v>
      </c>
      <c r="F35">
        <v>0</v>
      </c>
      <c r="H35" s="5">
        <v>0</v>
      </c>
      <c r="I35" t="s">
        <v>73</v>
      </c>
      <c r="N35" s="16"/>
      <c r="Q35" t="s">
        <v>618</v>
      </c>
    </row>
    <row r="36" spans="1:17">
      <c r="A36" t="s">
        <v>175</v>
      </c>
      <c r="B36">
        <v>25266761</v>
      </c>
      <c r="C36">
        <v>0</v>
      </c>
      <c r="F36">
        <v>0</v>
      </c>
      <c r="H36" s="2">
        <v>0</v>
      </c>
      <c r="I36" t="s">
        <v>513</v>
      </c>
      <c r="J36" t="s">
        <v>1197</v>
      </c>
      <c r="K36" t="s">
        <v>514</v>
      </c>
      <c r="L36">
        <v>1</v>
      </c>
      <c r="M36" t="s">
        <v>492</v>
      </c>
      <c r="N36" s="16" t="s">
        <v>24</v>
      </c>
      <c r="O36" t="s">
        <v>515</v>
      </c>
      <c r="Q36" t="s">
        <v>517</v>
      </c>
    </row>
    <row r="37" spans="1:17">
      <c r="A37" s="18" t="s">
        <v>323</v>
      </c>
      <c r="B37">
        <v>24932142</v>
      </c>
      <c r="C37">
        <v>0</v>
      </c>
      <c r="F37">
        <v>0</v>
      </c>
      <c r="H37" s="2">
        <v>0</v>
      </c>
      <c r="I37" t="s">
        <v>839</v>
      </c>
      <c r="K37" t="s">
        <v>591</v>
      </c>
      <c r="L37">
        <v>1</v>
      </c>
      <c r="O37" t="s">
        <v>838</v>
      </c>
      <c r="Q37" t="s">
        <v>840</v>
      </c>
    </row>
    <row r="38" spans="1:17">
      <c r="A38" s="18" t="s">
        <v>223</v>
      </c>
      <c r="B38">
        <v>15173543</v>
      </c>
      <c r="C38">
        <v>0</v>
      </c>
      <c r="F38">
        <v>0</v>
      </c>
      <c r="H38">
        <v>0</v>
      </c>
      <c r="I38" t="s">
        <v>624</v>
      </c>
      <c r="K38" t="s">
        <v>622</v>
      </c>
      <c r="L38">
        <v>0</v>
      </c>
      <c r="N38" s="16"/>
      <c r="Q38" t="s">
        <v>623</v>
      </c>
    </row>
    <row r="39" spans="1:17">
      <c r="A39" s="18" t="s">
        <v>232</v>
      </c>
      <c r="B39">
        <v>24491609</v>
      </c>
      <c r="C39">
        <v>0</v>
      </c>
      <c r="F39">
        <v>0</v>
      </c>
      <c r="H39">
        <v>0</v>
      </c>
      <c r="I39" t="s">
        <v>624</v>
      </c>
      <c r="K39" t="s">
        <v>376</v>
      </c>
      <c r="L39">
        <v>1</v>
      </c>
      <c r="N39" s="16"/>
      <c r="Q39" t="s">
        <v>643</v>
      </c>
    </row>
    <row r="40" spans="1:17">
      <c r="A40" s="18" t="s">
        <v>256</v>
      </c>
      <c r="B40">
        <v>25638351</v>
      </c>
      <c r="C40">
        <v>0</v>
      </c>
      <c r="F40">
        <v>0</v>
      </c>
      <c r="H40">
        <v>0</v>
      </c>
      <c r="I40" t="s">
        <v>624</v>
      </c>
      <c r="L40">
        <v>1</v>
      </c>
      <c r="M40" t="s">
        <v>24</v>
      </c>
      <c r="N40" s="16"/>
      <c r="Q40" t="s">
        <v>691</v>
      </c>
    </row>
    <row r="41" spans="1:17">
      <c r="A41" s="66" t="s">
        <v>257</v>
      </c>
      <c r="B41">
        <v>23245785</v>
      </c>
      <c r="C41">
        <v>0</v>
      </c>
      <c r="F41">
        <v>0</v>
      </c>
      <c r="H41">
        <v>0</v>
      </c>
      <c r="I41" t="s">
        <v>624</v>
      </c>
      <c r="L41">
        <v>1</v>
      </c>
      <c r="M41" t="s">
        <v>24</v>
      </c>
      <c r="N41" s="16"/>
      <c r="Q41" t="s">
        <v>692</v>
      </c>
    </row>
    <row r="42" spans="1:17">
      <c r="A42" s="66" t="s">
        <v>293</v>
      </c>
      <c r="B42">
        <v>10654989</v>
      </c>
      <c r="C42">
        <v>0</v>
      </c>
      <c r="F42">
        <v>0</v>
      </c>
      <c r="H42">
        <v>0</v>
      </c>
      <c r="I42" t="s">
        <v>424</v>
      </c>
      <c r="K42" t="s">
        <v>765</v>
      </c>
      <c r="L42">
        <v>0</v>
      </c>
      <c r="M42" t="s">
        <v>24</v>
      </c>
      <c r="N42" s="16" t="s">
        <v>24</v>
      </c>
      <c r="O42" t="s">
        <v>24</v>
      </c>
      <c r="P42" t="s">
        <v>767</v>
      </c>
      <c r="Q42" t="s">
        <v>766</v>
      </c>
    </row>
    <row r="43" spans="1:17">
      <c r="A43" s="66" t="s">
        <v>318</v>
      </c>
      <c r="B43">
        <v>23651729</v>
      </c>
      <c r="C43">
        <v>0</v>
      </c>
      <c r="F43">
        <v>0</v>
      </c>
      <c r="H43">
        <v>0</v>
      </c>
      <c r="I43" t="s">
        <v>424</v>
      </c>
      <c r="J43" t="s">
        <v>24</v>
      </c>
      <c r="K43" t="s">
        <v>829</v>
      </c>
      <c r="L43">
        <v>0</v>
      </c>
      <c r="Q43" t="s">
        <v>830</v>
      </c>
    </row>
    <row r="44" spans="1:17">
      <c r="A44" t="s">
        <v>327</v>
      </c>
      <c r="B44">
        <v>24305078</v>
      </c>
      <c r="C44">
        <v>0</v>
      </c>
      <c r="F44">
        <v>0</v>
      </c>
      <c r="H44">
        <v>0</v>
      </c>
      <c r="I44" t="s">
        <v>424</v>
      </c>
      <c r="J44" t="s">
        <v>24</v>
      </c>
      <c r="K44" t="s">
        <v>849</v>
      </c>
      <c r="L44">
        <v>0</v>
      </c>
      <c r="M44" t="s">
        <v>24</v>
      </c>
      <c r="Q44" t="s">
        <v>850</v>
      </c>
    </row>
    <row r="45" spans="1:17">
      <c r="A45" t="s">
        <v>199</v>
      </c>
      <c r="B45">
        <v>19289256</v>
      </c>
      <c r="C45">
        <v>0</v>
      </c>
      <c r="F45">
        <v>0</v>
      </c>
      <c r="G45" t="s">
        <v>1741</v>
      </c>
      <c r="H45" s="2">
        <v>0</v>
      </c>
      <c r="I45" t="s">
        <v>572</v>
      </c>
      <c r="K45" t="s">
        <v>25</v>
      </c>
      <c r="L45">
        <v>1</v>
      </c>
      <c r="N45" s="16"/>
      <c r="Q45" t="s">
        <v>571</v>
      </c>
    </row>
    <row r="46" spans="1:17">
      <c r="A46" t="s">
        <v>284</v>
      </c>
      <c r="B46">
        <v>20218798</v>
      </c>
      <c r="C46">
        <v>0</v>
      </c>
      <c r="F46">
        <v>0</v>
      </c>
      <c r="H46" s="2">
        <v>0</v>
      </c>
      <c r="I46" t="s">
        <v>572</v>
      </c>
      <c r="K46" t="s">
        <v>744</v>
      </c>
      <c r="L46">
        <v>0</v>
      </c>
      <c r="M46" t="s">
        <v>745</v>
      </c>
      <c r="N46" s="16"/>
      <c r="Q46" t="s">
        <v>746</v>
      </c>
    </row>
    <row r="47" spans="1:17">
      <c r="A47" t="s">
        <v>324</v>
      </c>
      <c r="B47">
        <v>16574735</v>
      </c>
      <c r="C47">
        <v>0</v>
      </c>
      <c r="F47">
        <v>0</v>
      </c>
      <c r="H47" s="5">
        <v>0</v>
      </c>
      <c r="I47" t="s">
        <v>841</v>
      </c>
      <c r="J47" t="s">
        <v>1147</v>
      </c>
      <c r="K47" t="s">
        <v>842</v>
      </c>
      <c r="L47">
        <v>0</v>
      </c>
      <c r="M47" t="s">
        <v>843</v>
      </c>
      <c r="Q47" t="s">
        <v>844</v>
      </c>
    </row>
    <row r="48" spans="1:17">
      <c r="A48" t="s">
        <v>347</v>
      </c>
      <c r="B48">
        <v>9653417</v>
      </c>
      <c r="C48">
        <v>0</v>
      </c>
      <c r="F48">
        <v>0</v>
      </c>
      <c r="H48">
        <v>0</v>
      </c>
      <c r="I48" t="s">
        <v>901</v>
      </c>
      <c r="K48" t="s">
        <v>591</v>
      </c>
      <c r="L48">
        <v>1</v>
      </c>
      <c r="P48" t="s">
        <v>902</v>
      </c>
      <c r="Q48" t="s">
        <v>424</v>
      </c>
    </row>
    <row r="49" spans="1:17">
      <c r="A49" t="s">
        <v>184</v>
      </c>
      <c r="B49">
        <v>8336261</v>
      </c>
      <c r="C49">
        <v>0</v>
      </c>
      <c r="F49">
        <v>0</v>
      </c>
      <c r="H49" s="2">
        <v>0</v>
      </c>
      <c r="I49" t="s">
        <v>1185</v>
      </c>
      <c r="J49" t="s">
        <v>1186</v>
      </c>
      <c r="K49" t="s">
        <v>537</v>
      </c>
      <c r="L49">
        <v>0</v>
      </c>
      <c r="M49" t="s">
        <v>536</v>
      </c>
      <c r="N49" s="16"/>
      <c r="Q49" t="s">
        <v>517</v>
      </c>
    </row>
    <row r="50" spans="1:17">
      <c r="A50" t="s">
        <v>359</v>
      </c>
      <c r="B50">
        <v>16145296</v>
      </c>
      <c r="C50">
        <v>0</v>
      </c>
      <c r="F50">
        <v>0</v>
      </c>
      <c r="H50">
        <v>0</v>
      </c>
      <c r="I50" t="s">
        <v>926</v>
      </c>
      <c r="M50" t="s">
        <v>928</v>
      </c>
      <c r="N50" t="s">
        <v>56</v>
      </c>
      <c r="O50" t="s">
        <v>24</v>
      </c>
      <c r="P50" t="s">
        <v>24</v>
      </c>
      <c r="Q50" t="s">
        <v>927</v>
      </c>
    </row>
    <row r="51" spans="1:17">
      <c r="A51" t="s">
        <v>189</v>
      </c>
      <c r="B51">
        <v>23161356</v>
      </c>
      <c r="C51">
        <v>0</v>
      </c>
      <c r="F51">
        <v>0</v>
      </c>
      <c r="H51">
        <v>0</v>
      </c>
      <c r="I51" t="s">
        <v>549</v>
      </c>
      <c r="K51" t="s">
        <v>550</v>
      </c>
      <c r="L51">
        <v>0</v>
      </c>
      <c r="N51" s="16"/>
      <c r="Q51" t="s">
        <v>516</v>
      </c>
    </row>
    <row r="52" spans="1:17">
      <c r="A52" t="s">
        <v>177</v>
      </c>
      <c r="B52">
        <v>18377999</v>
      </c>
      <c r="C52">
        <v>0</v>
      </c>
      <c r="F52">
        <v>0</v>
      </c>
      <c r="H52" s="5">
        <v>0</v>
      </c>
      <c r="I52" t="s">
        <v>521</v>
      </c>
      <c r="J52" t="s">
        <v>1147</v>
      </c>
      <c r="N52" s="16"/>
      <c r="Q52" t="s">
        <v>522</v>
      </c>
    </row>
    <row r="53" spans="1:17">
      <c r="A53" t="s">
        <v>150</v>
      </c>
      <c r="B53">
        <v>18406398</v>
      </c>
      <c r="C53">
        <v>0</v>
      </c>
      <c r="F53">
        <v>0</v>
      </c>
      <c r="H53">
        <v>0</v>
      </c>
      <c r="I53" t="s">
        <v>461</v>
      </c>
      <c r="J53" t="s">
        <v>1147</v>
      </c>
      <c r="K53" t="s">
        <v>464</v>
      </c>
      <c r="L53">
        <v>0</v>
      </c>
      <c r="M53" t="s">
        <v>463</v>
      </c>
      <c r="N53" s="16"/>
      <c r="Q53" t="s">
        <v>462</v>
      </c>
    </row>
    <row r="54" spans="1:17">
      <c r="A54" t="s">
        <v>310</v>
      </c>
      <c r="B54">
        <v>17977603</v>
      </c>
      <c r="C54">
        <v>0</v>
      </c>
      <c r="F54">
        <v>0</v>
      </c>
      <c r="H54">
        <v>0</v>
      </c>
      <c r="I54" t="s">
        <v>609</v>
      </c>
      <c r="J54" t="s">
        <v>1158</v>
      </c>
      <c r="K54" t="s">
        <v>516</v>
      </c>
      <c r="N54" s="16"/>
      <c r="Q54" t="s">
        <v>808</v>
      </c>
    </row>
    <row r="55" spans="1:17">
      <c r="A55" t="s">
        <v>349</v>
      </c>
      <c r="B55">
        <v>22338360</v>
      </c>
      <c r="C55">
        <v>0</v>
      </c>
      <c r="F55">
        <v>0</v>
      </c>
      <c r="H55">
        <v>0</v>
      </c>
      <c r="I55" t="s">
        <v>609</v>
      </c>
      <c r="J55" t="s">
        <v>1158</v>
      </c>
      <c r="K55" t="s">
        <v>693</v>
      </c>
      <c r="L55">
        <v>0</v>
      </c>
      <c r="M55" t="s">
        <v>906</v>
      </c>
      <c r="Q55" t="s">
        <v>907</v>
      </c>
    </row>
    <row r="56" spans="1:17">
      <c r="A56" t="s">
        <v>80</v>
      </c>
      <c r="B56">
        <v>1165260</v>
      </c>
      <c r="C56">
        <v>0</v>
      </c>
      <c r="F56">
        <v>0</v>
      </c>
      <c r="H56" s="2">
        <v>0</v>
      </c>
      <c r="N56" s="16"/>
      <c r="Q56" t="s">
        <v>26</v>
      </c>
    </row>
    <row r="57" spans="1:17">
      <c r="A57" t="s">
        <v>85</v>
      </c>
      <c r="B57">
        <v>23906725</v>
      </c>
      <c r="C57">
        <v>0</v>
      </c>
      <c r="F57">
        <v>0</v>
      </c>
      <c r="H57">
        <v>0</v>
      </c>
      <c r="K57" t="s">
        <v>25</v>
      </c>
      <c r="L57">
        <v>1</v>
      </c>
      <c r="M57" t="s">
        <v>24</v>
      </c>
      <c r="N57" s="16"/>
      <c r="Q57" t="s">
        <v>36</v>
      </c>
    </row>
    <row r="58" spans="1:17">
      <c r="A58" t="s">
        <v>86</v>
      </c>
      <c r="B58">
        <v>22835842</v>
      </c>
      <c r="C58">
        <v>0</v>
      </c>
      <c r="F58">
        <v>0</v>
      </c>
      <c r="H58">
        <v>0</v>
      </c>
      <c r="M58" t="s">
        <v>24</v>
      </c>
      <c r="N58" s="16"/>
      <c r="Q58" t="s">
        <v>37</v>
      </c>
    </row>
    <row r="59" spans="1:17">
      <c r="A59" s="18" t="s">
        <v>88</v>
      </c>
      <c r="B59" s="18">
        <v>25407582</v>
      </c>
      <c r="C59">
        <v>0</v>
      </c>
      <c r="F59" s="5">
        <v>0</v>
      </c>
      <c r="G59" t="s">
        <v>1732</v>
      </c>
      <c r="H59" s="2">
        <v>0</v>
      </c>
      <c r="N59" s="16" t="s">
        <v>42</v>
      </c>
      <c r="Q59" t="s">
        <v>41</v>
      </c>
    </row>
    <row r="60" spans="1:17">
      <c r="A60" s="18" t="s">
        <v>89</v>
      </c>
      <c r="B60" s="18">
        <v>27085849</v>
      </c>
      <c r="C60">
        <v>0</v>
      </c>
      <c r="F60">
        <v>0</v>
      </c>
      <c r="H60" s="2">
        <v>0</v>
      </c>
      <c r="K60" t="s">
        <v>43</v>
      </c>
      <c r="N60" s="16" t="s">
        <v>44</v>
      </c>
      <c r="Q60" t="s">
        <v>45</v>
      </c>
    </row>
    <row r="61" spans="1:17">
      <c r="A61" t="s">
        <v>93</v>
      </c>
      <c r="B61">
        <v>17592167</v>
      </c>
      <c r="C61">
        <v>0</v>
      </c>
      <c r="F61">
        <v>0</v>
      </c>
      <c r="H61">
        <v>0</v>
      </c>
      <c r="M61" t="s">
        <v>24</v>
      </c>
      <c r="N61" s="16"/>
      <c r="Q61" t="s">
        <v>54</v>
      </c>
    </row>
    <row r="62" spans="1:17">
      <c r="A62" t="s">
        <v>94</v>
      </c>
      <c r="B62">
        <v>24126281</v>
      </c>
      <c r="C62">
        <v>0</v>
      </c>
      <c r="F62">
        <v>0</v>
      </c>
      <c r="H62">
        <v>0</v>
      </c>
      <c r="M62" t="s">
        <v>24</v>
      </c>
      <c r="N62" s="16"/>
      <c r="Q62" t="s">
        <v>55</v>
      </c>
    </row>
    <row r="63" spans="1:17">
      <c r="A63" t="s">
        <v>95</v>
      </c>
      <c r="B63">
        <v>26120848</v>
      </c>
      <c r="C63">
        <v>0</v>
      </c>
      <c r="F63">
        <v>0</v>
      </c>
      <c r="H63">
        <v>0</v>
      </c>
      <c r="M63" t="s">
        <v>58</v>
      </c>
      <c r="N63" s="16" t="s">
        <v>56</v>
      </c>
      <c r="O63" t="s">
        <v>57</v>
      </c>
      <c r="Q63" t="s">
        <v>59</v>
      </c>
    </row>
    <row r="64" spans="1:17">
      <c r="A64" t="s">
        <v>96</v>
      </c>
      <c r="B64">
        <v>20856187</v>
      </c>
      <c r="C64">
        <v>0</v>
      </c>
      <c r="F64">
        <v>0</v>
      </c>
      <c r="H64">
        <v>0</v>
      </c>
      <c r="K64" t="s">
        <v>60</v>
      </c>
      <c r="L64">
        <v>0</v>
      </c>
      <c r="N64" s="16"/>
      <c r="Q64" t="s">
        <v>61</v>
      </c>
    </row>
    <row r="65" spans="1:17">
      <c r="A65" t="s">
        <v>101</v>
      </c>
      <c r="B65">
        <v>22082106</v>
      </c>
      <c r="C65">
        <v>0</v>
      </c>
      <c r="F65">
        <v>0</v>
      </c>
      <c r="H65">
        <v>0</v>
      </c>
      <c r="K65" t="s">
        <v>25</v>
      </c>
      <c r="L65">
        <v>1</v>
      </c>
      <c r="N65" s="16"/>
      <c r="Q65" t="s">
        <v>70</v>
      </c>
    </row>
    <row r="66" spans="1:17">
      <c r="A66" t="s">
        <v>107</v>
      </c>
      <c r="B66">
        <v>20483463</v>
      </c>
      <c r="C66">
        <v>0</v>
      </c>
      <c r="F66">
        <v>0</v>
      </c>
      <c r="H66">
        <v>0</v>
      </c>
      <c r="K66" t="s">
        <v>376</v>
      </c>
      <c r="L66">
        <v>1</v>
      </c>
      <c r="M66" t="s">
        <v>24</v>
      </c>
      <c r="N66" s="16"/>
      <c r="Q66" t="s">
        <v>380</v>
      </c>
    </row>
    <row r="67" spans="1:17">
      <c r="A67" s="18" t="s">
        <v>108</v>
      </c>
      <c r="B67" s="18">
        <v>23917126</v>
      </c>
      <c r="C67">
        <v>0</v>
      </c>
      <c r="F67">
        <v>0</v>
      </c>
      <c r="H67">
        <v>0</v>
      </c>
      <c r="K67" t="s">
        <v>376</v>
      </c>
      <c r="L67">
        <v>1</v>
      </c>
      <c r="M67" t="s">
        <v>24</v>
      </c>
      <c r="N67" s="16"/>
      <c r="Q67" t="s">
        <v>377</v>
      </c>
    </row>
    <row r="68" spans="1:17">
      <c r="A68" s="18" t="s">
        <v>109</v>
      </c>
      <c r="B68" s="18">
        <v>22903909</v>
      </c>
      <c r="C68">
        <v>0</v>
      </c>
      <c r="F68">
        <v>0</v>
      </c>
      <c r="H68">
        <v>0</v>
      </c>
      <c r="K68" t="s">
        <v>379</v>
      </c>
      <c r="L68">
        <v>0</v>
      </c>
      <c r="M68" t="s">
        <v>24</v>
      </c>
      <c r="N68" s="16"/>
      <c r="Q68" t="s">
        <v>378</v>
      </c>
    </row>
    <row r="69" spans="1:17">
      <c r="A69" t="s">
        <v>110</v>
      </c>
      <c r="B69">
        <v>17099599</v>
      </c>
      <c r="C69">
        <v>0</v>
      </c>
      <c r="F69">
        <v>0</v>
      </c>
      <c r="H69">
        <v>0</v>
      </c>
      <c r="M69" t="s">
        <v>24</v>
      </c>
      <c r="N69" s="16"/>
      <c r="Q69" t="s">
        <v>381</v>
      </c>
    </row>
    <row r="70" spans="1:17">
      <c r="A70" t="s">
        <v>113</v>
      </c>
      <c r="B70">
        <v>7346629</v>
      </c>
      <c r="C70">
        <v>0</v>
      </c>
      <c r="F70">
        <v>0</v>
      </c>
      <c r="H70" s="2">
        <v>0</v>
      </c>
      <c r="N70" s="16"/>
      <c r="Q70" t="s">
        <v>388</v>
      </c>
    </row>
    <row r="71" spans="1:17">
      <c r="A71" s="32" t="s">
        <v>116</v>
      </c>
      <c r="B71">
        <v>25129883</v>
      </c>
      <c r="C71">
        <v>0</v>
      </c>
      <c r="F71">
        <v>0</v>
      </c>
      <c r="H71">
        <v>0</v>
      </c>
      <c r="K71" t="s">
        <v>395</v>
      </c>
      <c r="L71">
        <v>0</v>
      </c>
      <c r="M71" t="s">
        <v>24</v>
      </c>
      <c r="N71" s="16"/>
      <c r="Q71" t="s">
        <v>396</v>
      </c>
    </row>
    <row r="72" spans="1:17">
      <c r="A72" s="66" t="s">
        <v>118</v>
      </c>
      <c r="B72" s="67">
        <v>22147449</v>
      </c>
      <c r="C72">
        <v>0</v>
      </c>
      <c r="F72">
        <v>0</v>
      </c>
      <c r="H72" s="4">
        <v>0</v>
      </c>
      <c r="M72" t="s">
        <v>24</v>
      </c>
      <c r="N72" s="16"/>
      <c r="Q72" t="s">
        <v>399</v>
      </c>
    </row>
    <row r="73" spans="1:17">
      <c r="A73" s="66" t="s">
        <v>122</v>
      </c>
      <c r="B73" s="67">
        <v>9594108</v>
      </c>
      <c r="C73">
        <v>0</v>
      </c>
      <c r="F73">
        <v>0</v>
      </c>
      <c r="H73">
        <v>0</v>
      </c>
      <c r="K73" t="s">
        <v>410</v>
      </c>
      <c r="L73">
        <v>0</v>
      </c>
      <c r="M73" t="s">
        <v>24</v>
      </c>
      <c r="N73" s="16"/>
      <c r="Q73" t="s">
        <v>409</v>
      </c>
    </row>
    <row r="74" spans="1:17">
      <c r="A74" t="s">
        <v>124</v>
      </c>
      <c r="B74">
        <v>26030115</v>
      </c>
      <c r="C74">
        <v>0</v>
      </c>
      <c r="F74">
        <v>0</v>
      </c>
      <c r="H74">
        <v>0</v>
      </c>
      <c r="L74">
        <v>0</v>
      </c>
      <c r="M74" t="s">
        <v>24</v>
      </c>
      <c r="N74" s="16"/>
      <c r="Q74" t="s">
        <v>413</v>
      </c>
    </row>
    <row r="75" spans="1:17">
      <c r="A75" s="18" t="s">
        <v>127</v>
      </c>
      <c r="B75">
        <v>26175673</v>
      </c>
      <c r="C75">
        <v>0</v>
      </c>
      <c r="F75">
        <v>0</v>
      </c>
      <c r="H75" s="4">
        <v>0</v>
      </c>
      <c r="K75" t="s">
        <v>20</v>
      </c>
      <c r="L75">
        <v>1</v>
      </c>
      <c r="M75" t="s">
        <v>24</v>
      </c>
      <c r="N75" s="16" t="s">
        <v>39</v>
      </c>
      <c r="Q75" t="s">
        <v>417</v>
      </c>
    </row>
    <row r="76" spans="1:17">
      <c r="A76" t="s">
        <v>131</v>
      </c>
      <c r="B76">
        <v>430334</v>
      </c>
      <c r="C76">
        <v>0</v>
      </c>
      <c r="F76">
        <v>0</v>
      </c>
      <c r="H76">
        <v>0</v>
      </c>
      <c r="K76" t="s">
        <v>423</v>
      </c>
      <c r="L76">
        <v>1</v>
      </c>
      <c r="M76" t="s">
        <v>24</v>
      </c>
      <c r="N76" s="16"/>
      <c r="Q76" t="s">
        <v>424</v>
      </c>
    </row>
    <row r="77" spans="1:17">
      <c r="A77" s="18" t="s">
        <v>132</v>
      </c>
      <c r="B77">
        <v>3355907</v>
      </c>
      <c r="C77">
        <v>0</v>
      </c>
      <c r="F77">
        <v>0</v>
      </c>
      <c r="H77">
        <v>0</v>
      </c>
      <c r="M77" t="s">
        <v>24</v>
      </c>
      <c r="N77" s="16"/>
      <c r="P77" t="s">
        <v>511</v>
      </c>
      <c r="Q77" t="s">
        <v>425</v>
      </c>
    </row>
    <row r="78" spans="1:17">
      <c r="A78" t="s">
        <v>133</v>
      </c>
      <c r="B78">
        <v>24930003</v>
      </c>
      <c r="C78">
        <v>0</v>
      </c>
      <c r="F78">
        <v>0</v>
      </c>
      <c r="H78" s="5">
        <v>0</v>
      </c>
      <c r="K78" t="s">
        <v>25</v>
      </c>
      <c r="L78">
        <v>1</v>
      </c>
      <c r="M78" t="s">
        <v>24</v>
      </c>
      <c r="N78" s="16"/>
      <c r="Q78" t="s">
        <v>426</v>
      </c>
    </row>
    <row r="79" spans="1:17">
      <c r="A79" s="18" t="s">
        <v>134</v>
      </c>
      <c r="B79">
        <v>9569890</v>
      </c>
      <c r="C79">
        <v>0</v>
      </c>
      <c r="F79">
        <v>0</v>
      </c>
      <c r="G79" t="s">
        <v>1736</v>
      </c>
      <c r="H79">
        <v>0</v>
      </c>
      <c r="M79" t="s">
        <v>24</v>
      </c>
      <c r="N79" s="16"/>
      <c r="Q79" t="s">
        <v>427</v>
      </c>
    </row>
    <row r="80" spans="1:17">
      <c r="A80" t="s">
        <v>138</v>
      </c>
      <c r="B80">
        <v>23106761</v>
      </c>
      <c r="C80">
        <v>0</v>
      </c>
      <c r="F80">
        <v>0</v>
      </c>
      <c r="H80">
        <v>0</v>
      </c>
      <c r="K80" t="s">
        <v>437</v>
      </c>
      <c r="L80">
        <v>0</v>
      </c>
      <c r="M80" t="s">
        <v>24</v>
      </c>
      <c r="N80" s="16"/>
      <c r="Q80" t="s">
        <v>438</v>
      </c>
    </row>
    <row r="81" spans="1:17">
      <c r="A81" s="18" t="s">
        <v>139</v>
      </c>
      <c r="B81">
        <v>23580131</v>
      </c>
      <c r="C81">
        <v>0</v>
      </c>
      <c r="F81">
        <v>0</v>
      </c>
      <c r="H81">
        <v>0</v>
      </c>
      <c r="K81" t="s">
        <v>47</v>
      </c>
      <c r="L81">
        <v>1</v>
      </c>
      <c r="M81" t="s">
        <v>24</v>
      </c>
      <c r="N81" s="16"/>
      <c r="P81" t="s">
        <v>439</v>
      </c>
      <c r="Q81" t="s">
        <v>439</v>
      </c>
    </row>
    <row r="82" spans="1:17">
      <c r="A82" t="s">
        <v>140</v>
      </c>
      <c r="B82">
        <v>24731434</v>
      </c>
      <c r="C82">
        <v>0</v>
      </c>
      <c r="F82">
        <v>0</v>
      </c>
      <c r="H82">
        <v>0</v>
      </c>
      <c r="L82">
        <v>1</v>
      </c>
      <c r="M82" t="s">
        <v>24</v>
      </c>
      <c r="N82" s="16" t="s">
        <v>440</v>
      </c>
      <c r="P82" t="s">
        <v>511</v>
      </c>
      <c r="Q82" t="s">
        <v>441</v>
      </c>
    </row>
    <row r="83" spans="1:17">
      <c r="A83" s="18" t="s">
        <v>142</v>
      </c>
      <c r="B83">
        <v>16621608</v>
      </c>
      <c r="C83">
        <v>0</v>
      </c>
      <c r="F83">
        <v>0</v>
      </c>
      <c r="G83" t="s">
        <v>1738</v>
      </c>
      <c r="H83" s="4">
        <v>0</v>
      </c>
      <c r="K83" t="s">
        <v>25</v>
      </c>
      <c r="L83">
        <v>1</v>
      </c>
      <c r="M83" t="s">
        <v>24</v>
      </c>
      <c r="N83" s="16"/>
      <c r="Q83" t="s">
        <v>448</v>
      </c>
    </row>
    <row r="84" spans="1:17">
      <c r="A84" s="18" t="s">
        <v>149</v>
      </c>
      <c r="B84">
        <v>19899642</v>
      </c>
      <c r="C84">
        <v>0</v>
      </c>
      <c r="F84">
        <v>0</v>
      </c>
      <c r="H84">
        <v>0</v>
      </c>
      <c r="K84" t="s">
        <v>25</v>
      </c>
      <c r="L84">
        <v>1</v>
      </c>
      <c r="M84" t="s">
        <v>24</v>
      </c>
      <c r="N84" s="16"/>
      <c r="Q84" t="s">
        <v>460</v>
      </c>
    </row>
    <row r="85" spans="1:17">
      <c r="A85" s="18" t="s">
        <v>155</v>
      </c>
      <c r="B85">
        <v>24728394</v>
      </c>
      <c r="C85">
        <v>0</v>
      </c>
      <c r="F85">
        <v>0</v>
      </c>
      <c r="H85" s="4">
        <v>0</v>
      </c>
      <c r="M85" t="s">
        <v>24</v>
      </c>
      <c r="N85" s="16"/>
      <c r="Q85" t="s">
        <v>472</v>
      </c>
    </row>
    <row r="86" spans="1:17">
      <c r="A86" s="18" t="s">
        <v>157</v>
      </c>
      <c r="B86">
        <v>15253095</v>
      </c>
      <c r="C86">
        <v>0</v>
      </c>
      <c r="F86">
        <v>0</v>
      </c>
      <c r="H86" s="4">
        <v>0</v>
      </c>
      <c r="N86" s="16"/>
      <c r="Q86" t="s">
        <v>475</v>
      </c>
    </row>
    <row r="87" spans="1:17">
      <c r="A87" s="18" t="s">
        <v>158</v>
      </c>
      <c r="B87">
        <v>19684502</v>
      </c>
      <c r="C87">
        <v>0</v>
      </c>
      <c r="F87">
        <v>0</v>
      </c>
      <c r="H87">
        <v>0</v>
      </c>
      <c r="M87" t="s">
        <v>477</v>
      </c>
      <c r="N87" s="16"/>
      <c r="Q87" t="s">
        <v>476</v>
      </c>
    </row>
    <row r="88" spans="1:17">
      <c r="A88" t="s">
        <v>159</v>
      </c>
      <c r="B88">
        <v>9005271</v>
      </c>
      <c r="C88">
        <v>0</v>
      </c>
      <c r="F88">
        <v>0</v>
      </c>
      <c r="H88" s="2">
        <v>0</v>
      </c>
      <c r="K88" t="s">
        <v>478</v>
      </c>
      <c r="L88">
        <v>1</v>
      </c>
      <c r="M88" t="s">
        <v>24</v>
      </c>
      <c r="N88" s="16"/>
      <c r="Q88" t="s">
        <v>479</v>
      </c>
    </row>
    <row r="89" spans="1:17">
      <c r="A89" t="s">
        <v>161</v>
      </c>
      <c r="B89">
        <v>21236639</v>
      </c>
      <c r="C89">
        <v>0</v>
      </c>
      <c r="F89">
        <v>0</v>
      </c>
      <c r="H89">
        <v>0</v>
      </c>
      <c r="M89" t="s">
        <v>24</v>
      </c>
      <c r="N89" s="16"/>
      <c r="Q89" t="s">
        <v>424</v>
      </c>
    </row>
    <row r="90" spans="1:17">
      <c r="A90" t="s">
        <v>162</v>
      </c>
      <c r="B90">
        <v>22134452</v>
      </c>
      <c r="C90">
        <v>0</v>
      </c>
      <c r="F90">
        <v>0</v>
      </c>
      <c r="H90">
        <v>0</v>
      </c>
      <c r="M90" t="s">
        <v>24</v>
      </c>
      <c r="N90" s="16"/>
      <c r="Q90" t="s">
        <v>485</v>
      </c>
    </row>
    <row r="91" spans="1:17">
      <c r="A91" t="s">
        <v>168</v>
      </c>
      <c r="B91">
        <v>22928800</v>
      </c>
      <c r="C91">
        <v>0</v>
      </c>
      <c r="F91">
        <v>0</v>
      </c>
      <c r="H91">
        <v>0</v>
      </c>
      <c r="M91" t="s">
        <v>24</v>
      </c>
      <c r="N91" s="16"/>
    </row>
    <row r="92" spans="1:17">
      <c r="A92" t="s">
        <v>169</v>
      </c>
      <c r="B92">
        <v>23762467</v>
      </c>
      <c r="C92">
        <v>0</v>
      </c>
      <c r="F92">
        <v>0</v>
      </c>
      <c r="H92">
        <v>0</v>
      </c>
      <c r="N92" s="16"/>
      <c r="P92" t="s">
        <v>509</v>
      </c>
      <c r="Q92" t="s">
        <v>495</v>
      </c>
    </row>
    <row r="93" spans="1:17">
      <c r="A93" t="s">
        <v>172</v>
      </c>
      <c r="B93">
        <v>8486800</v>
      </c>
      <c r="C93">
        <v>0</v>
      </c>
      <c r="F93">
        <v>0</v>
      </c>
      <c r="G93" t="s">
        <v>1740</v>
      </c>
      <c r="H93">
        <v>0</v>
      </c>
      <c r="M93" t="s">
        <v>24</v>
      </c>
      <c r="N93" s="16"/>
      <c r="Q93" t="s">
        <v>502</v>
      </c>
    </row>
    <row r="94" spans="1:17">
      <c r="A94" s="18" t="s">
        <v>174</v>
      </c>
      <c r="B94">
        <v>8731549</v>
      </c>
      <c r="C94">
        <v>0</v>
      </c>
      <c r="F94">
        <v>0</v>
      </c>
      <c r="H94">
        <v>0</v>
      </c>
      <c r="K94" t="s">
        <v>506</v>
      </c>
      <c r="L94">
        <v>1</v>
      </c>
      <c r="M94" t="s">
        <v>24</v>
      </c>
      <c r="N94" s="16" t="s">
        <v>24</v>
      </c>
      <c r="P94" t="s">
        <v>508</v>
      </c>
      <c r="Q94" t="s">
        <v>512</v>
      </c>
    </row>
    <row r="95" spans="1:17">
      <c r="A95" s="18" t="s">
        <v>178</v>
      </c>
      <c r="B95">
        <v>10150543</v>
      </c>
      <c r="C95">
        <v>0</v>
      </c>
      <c r="F95">
        <v>0</v>
      </c>
      <c r="H95">
        <v>0</v>
      </c>
      <c r="K95" t="s">
        <v>523</v>
      </c>
      <c r="L95">
        <v>0</v>
      </c>
      <c r="N95" s="16"/>
      <c r="Q95" t="s">
        <v>524</v>
      </c>
    </row>
    <row r="96" spans="1:17">
      <c r="A96" t="s">
        <v>182</v>
      </c>
      <c r="B96">
        <v>24274245</v>
      </c>
      <c r="C96">
        <v>0</v>
      </c>
      <c r="F96">
        <v>0</v>
      </c>
      <c r="H96">
        <v>0</v>
      </c>
      <c r="N96" s="16"/>
      <c r="Q96" t="s">
        <v>534</v>
      </c>
    </row>
    <row r="97" spans="1:17">
      <c r="A97" t="s">
        <v>183</v>
      </c>
      <c r="B97">
        <v>19011595</v>
      </c>
      <c r="C97">
        <v>0</v>
      </c>
      <c r="F97">
        <v>0</v>
      </c>
      <c r="H97" s="5">
        <v>0</v>
      </c>
      <c r="N97" s="16"/>
      <c r="Q97" t="s">
        <v>535</v>
      </c>
    </row>
    <row r="98" spans="1:17">
      <c r="A98" t="s">
        <v>187</v>
      </c>
      <c r="B98">
        <v>9874904</v>
      </c>
      <c r="C98">
        <v>0</v>
      </c>
      <c r="F98">
        <v>0</v>
      </c>
      <c r="H98">
        <v>0</v>
      </c>
      <c r="K98" t="s">
        <v>47</v>
      </c>
      <c r="L98">
        <v>1</v>
      </c>
      <c r="M98" t="s">
        <v>545</v>
      </c>
      <c r="N98" s="16"/>
      <c r="O98" t="s">
        <v>544</v>
      </c>
      <c r="Q98" t="s">
        <v>546</v>
      </c>
    </row>
    <row r="99" spans="1:17">
      <c r="A99" t="s">
        <v>188</v>
      </c>
      <c r="B99">
        <v>24922040</v>
      </c>
      <c r="C99">
        <v>0</v>
      </c>
      <c r="F99">
        <v>0</v>
      </c>
      <c r="H99">
        <v>0</v>
      </c>
      <c r="K99" t="s">
        <v>547</v>
      </c>
      <c r="L99">
        <v>1</v>
      </c>
      <c r="M99" t="s">
        <v>492</v>
      </c>
      <c r="N99" s="16"/>
      <c r="Q99" t="s">
        <v>548</v>
      </c>
    </row>
    <row r="100" spans="1:17">
      <c r="A100" t="s">
        <v>195</v>
      </c>
      <c r="B100">
        <v>18716996</v>
      </c>
      <c r="C100">
        <v>0</v>
      </c>
      <c r="F100">
        <v>0</v>
      </c>
      <c r="H100">
        <v>0</v>
      </c>
      <c r="L100">
        <v>1</v>
      </c>
      <c r="N100" s="16"/>
      <c r="Q100" t="s">
        <v>563</v>
      </c>
    </row>
    <row r="101" spans="1:17">
      <c r="A101" t="s">
        <v>201</v>
      </c>
      <c r="B101">
        <v>20420716</v>
      </c>
      <c r="C101">
        <v>0</v>
      </c>
      <c r="F101">
        <v>0</v>
      </c>
      <c r="H101">
        <v>0</v>
      </c>
      <c r="L101">
        <v>0</v>
      </c>
      <c r="N101" s="16"/>
      <c r="Q101" t="s">
        <v>577</v>
      </c>
    </row>
    <row r="102" spans="1:17">
      <c r="A102" s="18" t="s">
        <v>205</v>
      </c>
      <c r="B102">
        <v>24983475</v>
      </c>
      <c r="C102">
        <v>0</v>
      </c>
      <c r="F102">
        <v>0</v>
      </c>
      <c r="H102">
        <v>0</v>
      </c>
      <c r="K102" t="s">
        <v>585</v>
      </c>
      <c r="L102">
        <v>0</v>
      </c>
      <c r="M102" t="s">
        <v>24</v>
      </c>
      <c r="N102" s="16"/>
      <c r="Q102" t="s">
        <v>586</v>
      </c>
    </row>
    <row r="103" spans="1:17">
      <c r="A103" s="18" t="s">
        <v>209</v>
      </c>
      <c r="B103">
        <v>22397512</v>
      </c>
      <c r="C103">
        <v>0</v>
      </c>
      <c r="F103">
        <v>0</v>
      </c>
      <c r="H103">
        <v>0</v>
      </c>
      <c r="K103" t="s">
        <v>379</v>
      </c>
      <c r="L103">
        <v>0</v>
      </c>
      <c r="N103" s="16"/>
      <c r="Q103" t="s">
        <v>598</v>
      </c>
    </row>
    <row r="104" spans="1:17">
      <c r="A104" t="s">
        <v>212</v>
      </c>
      <c r="B104">
        <v>10645738</v>
      </c>
      <c r="C104">
        <v>0</v>
      </c>
      <c r="F104">
        <v>0</v>
      </c>
      <c r="H104">
        <v>0</v>
      </c>
      <c r="J104" t="s">
        <v>1147</v>
      </c>
      <c r="K104" t="s">
        <v>603</v>
      </c>
      <c r="N104" s="16" t="s">
        <v>604</v>
      </c>
      <c r="Q104" t="s">
        <v>516</v>
      </c>
    </row>
    <row r="105" spans="1:17">
      <c r="A105" t="s">
        <v>213</v>
      </c>
      <c r="B105">
        <v>19062168</v>
      </c>
      <c r="C105">
        <v>0</v>
      </c>
      <c r="F105">
        <v>0</v>
      </c>
      <c r="H105" s="2">
        <v>0</v>
      </c>
      <c r="K105" t="s">
        <v>376</v>
      </c>
      <c r="L105">
        <v>1</v>
      </c>
      <c r="N105" s="16"/>
      <c r="P105" t="s">
        <v>510</v>
      </c>
      <c r="Q105" t="s">
        <v>605</v>
      </c>
    </row>
    <row r="106" spans="1:17">
      <c r="A106" t="s">
        <v>224</v>
      </c>
      <c r="B106">
        <v>16553222</v>
      </c>
      <c r="C106">
        <v>0</v>
      </c>
      <c r="F106">
        <v>0</v>
      </c>
      <c r="H106">
        <v>0</v>
      </c>
      <c r="K106" t="s">
        <v>625</v>
      </c>
      <c r="N106" s="16"/>
      <c r="Q106" t="s">
        <v>626</v>
      </c>
    </row>
    <row r="107" spans="1:17">
      <c r="A107" s="66" t="s">
        <v>245</v>
      </c>
      <c r="B107">
        <v>22656682</v>
      </c>
      <c r="C107">
        <v>0</v>
      </c>
      <c r="F107">
        <v>0</v>
      </c>
      <c r="H107">
        <v>0</v>
      </c>
      <c r="K107" t="s">
        <v>668</v>
      </c>
      <c r="L107">
        <v>0</v>
      </c>
      <c r="N107" s="16"/>
      <c r="Q107" t="s">
        <v>669</v>
      </c>
    </row>
    <row r="108" spans="1:17">
      <c r="A108" s="66" t="s">
        <v>246</v>
      </c>
      <c r="B108">
        <v>18308907</v>
      </c>
      <c r="C108">
        <v>0</v>
      </c>
      <c r="F108">
        <v>0</v>
      </c>
      <c r="H108">
        <v>0</v>
      </c>
      <c r="K108" t="s">
        <v>671</v>
      </c>
      <c r="L108">
        <v>1</v>
      </c>
      <c r="M108" t="s">
        <v>24</v>
      </c>
      <c r="N108" s="16"/>
      <c r="Q108" t="s">
        <v>670</v>
      </c>
    </row>
    <row r="109" spans="1:17">
      <c r="A109" t="s">
        <v>254</v>
      </c>
      <c r="B109">
        <v>25689716</v>
      </c>
      <c r="C109">
        <v>0</v>
      </c>
      <c r="F109">
        <v>0</v>
      </c>
      <c r="H109">
        <v>0</v>
      </c>
      <c r="M109" t="s">
        <v>689</v>
      </c>
      <c r="N109" s="16"/>
      <c r="Q109" t="s">
        <v>688</v>
      </c>
    </row>
    <row r="110" spans="1:17">
      <c r="A110" t="s">
        <v>255</v>
      </c>
      <c r="B110">
        <v>22736575</v>
      </c>
      <c r="C110">
        <v>0</v>
      </c>
      <c r="F110">
        <v>0</v>
      </c>
      <c r="H110">
        <v>0</v>
      </c>
      <c r="N110" s="16"/>
      <c r="Q110" t="s">
        <v>690</v>
      </c>
    </row>
    <row r="111" spans="1:17">
      <c r="A111" t="s">
        <v>260</v>
      </c>
      <c r="B111">
        <v>21248419</v>
      </c>
      <c r="C111">
        <v>0</v>
      </c>
      <c r="F111">
        <v>0</v>
      </c>
      <c r="H111">
        <v>0</v>
      </c>
      <c r="N111" s="16"/>
      <c r="Q111" t="s">
        <v>697</v>
      </c>
    </row>
    <row r="112" spans="1:17">
      <c r="A112" t="s">
        <v>261</v>
      </c>
      <c r="B112">
        <v>11919251</v>
      </c>
      <c r="C112">
        <v>0</v>
      </c>
      <c r="F112">
        <v>0</v>
      </c>
      <c r="H112">
        <v>0</v>
      </c>
      <c r="N112" s="16"/>
      <c r="Q112" t="s">
        <v>698</v>
      </c>
    </row>
    <row r="113" spans="1:17">
      <c r="A113" s="18" t="s">
        <v>262</v>
      </c>
      <c r="B113">
        <v>26174294</v>
      </c>
      <c r="C113">
        <v>0</v>
      </c>
      <c r="F113">
        <v>0</v>
      </c>
      <c r="H113">
        <v>0</v>
      </c>
      <c r="K113" t="s">
        <v>699</v>
      </c>
      <c r="L113">
        <v>0</v>
      </c>
      <c r="N113" s="16" t="s">
        <v>56</v>
      </c>
      <c r="Q113" t="s">
        <v>700</v>
      </c>
    </row>
    <row r="114" spans="1:17">
      <c r="A114" s="18" t="s">
        <v>264</v>
      </c>
      <c r="B114">
        <v>25780370</v>
      </c>
      <c r="C114">
        <v>0</v>
      </c>
      <c r="F114">
        <v>0</v>
      </c>
      <c r="H114">
        <v>0</v>
      </c>
      <c r="K114" t="s">
        <v>376</v>
      </c>
      <c r="L114">
        <v>1</v>
      </c>
      <c r="N114" s="16"/>
      <c r="Q114" t="s">
        <v>704</v>
      </c>
    </row>
    <row r="115" spans="1:17">
      <c r="A115" t="s">
        <v>266</v>
      </c>
      <c r="B115">
        <v>23937084</v>
      </c>
      <c r="C115">
        <v>0</v>
      </c>
      <c r="F115">
        <v>0</v>
      </c>
      <c r="H115">
        <v>0</v>
      </c>
      <c r="M115" t="s">
        <v>24</v>
      </c>
      <c r="N115" s="16"/>
      <c r="Q115" t="s">
        <v>707</v>
      </c>
    </row>
    <row r="116" spans="1:17">
      <c r="A116" t="s">
        <v>268</v>
      </c>
      <c r="B116">
        <v>24491194</v>
      </c>
      <c r="C116">
        <v>0</v>
      </c>
      <c r="F116">
        <v>0</v>
      </c>
      <c r="H116">
        <v>0</v>
      </c>
      <c r="K116" t="s">
        <v>712</v>
      </c>
      <c r="L116">
        <v>0</v>
      </c>
      <c r="N116" s="16"/>
      <c r="P116" t="s">
        <v>713</v>
      </c>
      <c r="Q116" t="s">
        <v>714</v>
      </c>
    </row>
    <row r="117" spans="1:17">
      <c r="A117" s="18" t="s">
        <v>269</v>
      </c>
      <c r="B117">
        <v>21988078</v>
      </c>
      <c r="C117">
        <v>0</v>
      </c>
      <c r="F117">
        <v>0</v>
      </c>
      <c r="H117">
        <v>0</v>
      </c>
      <c r="N117" s="16"/>
      <c r="Q117" t="s">
        <v>715</v>
      </c>
    </row>
    <row r="118" spans="1:17">
      <c r="A118" t="s">
        <v>270</v>
      </c>
      <c r="B118">
        <v>16904506</v>
      </c>
      <c r="C118">
        <v>0</v>
      </c>
      <c r="F118">
        <v>0</v>
      </c>
      <c r="H118">
        <v>0</v>
      </c>
      <c r="N118" s="16"/>
      <c r="Q118" t="s">
        <v>716</v>
      </c>
    </row>
    <row r="119" spans="1:17">
      <c r="A119" s="18" t="s">
        <v>277</v>
      </c>
      <c r="B119">
        <v>22583520</v>
      </c>
      <c r="C119">
        <v>0</v>
      </c>
      <c r="F119">
        <v>0</v>
      </c>
      <c r="H119">
        <v>0</v>
      </c>
      <c r="N119" s="16"/>
      <c r="Q119" t="s">
        <v>728</v>
      </c>
    </row>
    <row r="120" spans="1:17">
      <c r="A120" s="32" t="s">
        <v>311</v>
      </c>
      <c r="B120">
        <v>11020103</v>
      </c>
      <c r="C120">
        <v>0</v>
      </c>
      <c r="F120">
        <v>0</v>
      </c>
      <c r="H120">
        <v>0</v>
      </c>
      <c r="K120" t="s">
        <v>809</v>
      </c>
      <c r="L120">
        <v>1</v>
      </c>
      <c r="M120" t="s">
        <v>810</v>
      </c>
      <c r="N120" s="16"/>
      <c r="Q120" t="s">
        <v>811</v>
      </c>
    </row>
    <row r="121" spans="1:17">
      <c r="A121" t="s">
        <v>331</v>
      </c>
      <c r="B121">
        <v>7182853</v>
      </c>
      <c r="C121">
        <v>0</v>
      </c>
      <c r="F121">
        <v>0</v>
      </c>
      <c r="H121">
        <v>0</v>
      </c>
      <c r="Q121" t="s">
        <v>862</v>
      </c>
    </row>
    <row r="122" spans="1:17">
      <c r="A122" t="s">
        <v>340</v>
      </c>
      <c r="B122">
        <v>27235161</v>
      </c>
      <c r="C122">
        <v>0</v>
      </c>
      <c r="F122">
        <v>0</v>
      </c>
      <c r="H122">
        <v>0</v>
      </c>
      <c r="K122" t="s">
        <v>881</v>
      </c>
      <c r="L122">
        <v>0</v>
      </c>
      <c r="M122" t="s">
        <v>492</v>
      </c>
      <c r="N122" t="s">
        <v>42</v>
      </c>
      <c r="Q122" t="s">
        <v>882</v>
      </c>
    </row>
    <row r="123" spans="1:17">
      <c r="A123" s="18" t="s">
        <v>343</v>
      </c>
      <c r="B123">
        <v>10759055</v>
      </c>
      <c r="C123">
        <v>0</v>
      </c>
      <c r="F123">
        <v>0</v>
      </c>
      <c r="H123">
        <v>0</v>
      </c>
      <c r="K123" t="s">
        <v>24</v>
      </c>
      <c r="L123">
        <v>0</v>
      </c>
      <c r="Q123" t="s">
        <v>893</v>
      </c>
    </row>
    <row r="124" spans="1:17">
      <c r="A124" t="s">
        <v>344</v>
      </c>
      <c r="B124">
        <v>1262517</v>
      </c>
      <c r="C124">
        <v>0</v>
      </c>
      <c r="F124">
        <v>0</v>
      </c>
      <c r="H124">
        <v>0</v>
      </c>
      <c r="K124" t="s">
        <v>896</v>
      </c>
      <c r="L124">
        <v>1</v>
      </c>
      <c r="P124" t="s">
        <v>895</v>
      </c>
      <c r="Q124" t="s">
        <v>894</v>
      </c>
    </row>
    <row r="125" spans="1:17">
      <c r="A125" t="s">
        <v>346</v>
      </c>
      <c r="B125">
        <v>21969463</v>
      </c>
      <c r="C125">
        <v>0</v>
      </c>
      <c r="F125">
        <v>0</v>
      </c>
      <c r="H125">
        <v>0</v>
      </c>
      <c r="L125">
        <v>1</v>
      </c>
      <c r="Q125" t="s">
        <v>900</v>
      </c>
    </row>
    <row r="126" spans="1:17">
      <c r="A126" t="s">
        <v>348</v>
      </c>
      <c r="B126">
        <v>18930375</v>
      </c>
      <c r="C126">
        <v>0</v>
      </c>
      <c r="F126">
        <v>0</v>
      </c>
      <c r="H126">
        <v>0</v>
      </c>
      <c r="K126" t="s">
        <v>904</v>
      </c>
      <c r="L126">
        <v>1</v>
      </c>
      <c r="M126" t="s">
        <v>1159</v>
      </c>
      <c r="P126" t="s">
        <v>903</v>
      </c>
      <c r="Q126" t="s">
        <v>905</v>
      </c>
    </row>
    <row r="127" spans="1:17">
      <c r="A127" t="s">
        <v>362</v>
      </c>
      <c r="B127">
        <v>22893802</v>
      </c>
      <c r="C127">
        <v>0</v>
      </c>
      <c r="F127">
        <v>0</v>
      </c>
      <c r="H127">
        <v>0</v>
      </c>
      <c r="M127" t="s">
        <v>933</v>
      </c>
      <c r="Q127" t="s">
        <v>932</v>
      </c>
    </row>
    <row r="128" spans="1:17">
      <c r="A128" t="s">
        <v>282</v>
      </c>
      <c r="B128">
        <v>26237266</v>
      </c>
      <c r="C128">
        <v>1</v>
      </c>
      <c r="D128" s="45" t="s">
        <v>1782</v>
      </c>
      <c r="E128" s="36" t="s">
        <v>1765</v>
      </c>
      <c r="F128" s="2">
        <v>0</v>
      </c>
      <c r="H128">
        <v>1</v>
      </c>
      <c r="I128" t="s">
        <v>741</v>
      </c>
      <c r="J128" t="s">
        <v>1161</v>
      </c>
      <c r="K128" t="s">
        <v>740</v>
      </c>
      <c r="L128">
        <v>1</v>
      </c>
      <c r="N128" s="16"/>
    </row>
    <row r="129" spans="1:17">
      <c r="A129" t="s">
        <v>281</v>
      </c>
      <c r="B129">
        <v>18498263</v>
      </c>
      <c r="C129">
        <v>1</v>
      </c>
      <c r="D129" s="44" t="s">
        <v>1780</v>
      </c>
      <c r="E129" s="36" t="s">
        <v>1764</v>
      </c>
      <c r="F129" s="2">
        <v>0</v>
      </c>
      <c r="G129" t="s">
        <v>1751</v>
      </c>
      <c r="H129">
        <v>1</v>
      </c>
      <c r="I129" t="s">
        <v>739</v>
      </c>
      <c r="J129" t="s">
        <v>1147</v>
      </c>
      <c r="K129" t="s">
        <v>736</v>
      </c>
      <c r="L129">
        <v>1</v>
      </c>
      <c r="M129" t="s">
        <v>738</v>
      </c>
      <c r="N129" s="16"/>
    </row>
    <row r="130" spans="1:17">
      <c r="A130" s="18" t="s">
        <v>332</v>
      </c>
      <c r="B130">
        <v>6691477</v>
      </c>
      <c r="C130">
        <v>1</v>
      </c>
      <c r="D130" s="44" t="s">
        <v>1785</v>
      </c>
      <c r="F130">
        <v>0</v>
      </c>
      <c r="H130" s="2">
        <v>1</v>
      </c>
      <c r="I130" t="s">
        <v>863</v>
      </c>
      <c r="K130" t="s">
        <v>819</v>
      </c>
      <c r="L130">
        <v>1</v>
      </c>
      <c r="M130" t="s">
        <v>455</v>
      </c>
      <c r="Q130" t="s">
        <v>864</v>
      </c>
    </row>
    <row r="131" spans="1:17">
      <c r="A131" t="s">
        <v>87</v>
      </c>
      <c r="B131">
        <v>26184460</v>
      </c>
      <c r="C131">
        <v>1</v>
      </c>
      <c r="D131" s="45" t="s">
        <v>1773</v>
      </c>
      <c r="E131" s="36" t="s">
        <v>1755</v>
      </c>
      <c r="F131">
        <v>0</v>
      </c>
      <c r="G131" t="s">
        <v>1731</v>
      </c>
      <c r="H131">
        <v>1</v>
      </c>
      <c r="I131" t="s">
        <v>38</v>
      </c>
      <c r="J131" t="s">
        <v>1144</v>
      </c>
      <c r="K131" t="s">
        <v>25</v>
      </c>
      <c r="L131">
        <v>1</v>
      </c>
      <c r="N131" s="16" t="s">
        <v>39</v>
      </c>
    </row>
    <row r="132" spans="1:17">
      <c r="A132" t="s">
        <v>147</v>
      </c>
      <c r="B132">
        <v>9836062</v>
      </c>
      <c r="C132">
        <v>0</v>
      </c>
      <c r="E132" s="36" t="s">
        <v>1757</v>
      </c>
      <c r="F132" s="2">
        <v>0</v>
      </c>
      <c r="G132" t="s">
        <v>1739</v>
      </c>
      <c r="H132">
        <v>1</v>
      </c>
      <c r="I132" t="s">
        <v>66</v>
      </c>
      <c r="J132" t="s">
        <v>1177</v>
      </c>
      <c r="K132" t="s">
        <v>25</v>
      </c>
      <c r="L132">
        <v>1</v>
      </c>
      <c r="M132" t="s">
        <v>455</v>
      </c>
      <c r="N132" s="16" t="s">
        <v>24</v>
      </c>
      <c r="O132" t="s">
        <v>456</v>
      </c>
    </row>
    <row r="133" spans="1:17">
      <c r="A133" t="s">
        <v>319</v>
      </c>
      <c r="B133">
        <v>2313538</v>
      </c>
      <c r="C133">
        <v>0</v>
      </c>
      <c r="E133" s="36" t="s">
        <v>1768</v>
      </c>
      <c r="F133" s="2">
        <v>0</v>
      </c>
      <c r="H133" s="2">
        <v>1</v>
      </c>
      <c r="I133" t="s">
        <v>831</v>
      </c>
      <c r="J133" t="s">
        <v>1192</v>
      </c>
      <c r="K133" t="s">
        <v>819</v>
      </c>
      <c r="L133">
        <v>1</v>
      </c>
      <c r="M133" t="s">
        <v>455</v>
      </c>
    </row>
    <row r="134" spans="1:17">
      <c r="A134" s="18" t="s">
        <v>206</v>
      </c>
      <c r="B134">
        <v>23764335</v>
      </c>
      <c r="C134">
        <v>0</v>
      </c>
      <c r="D134" s="44">
        <v>0</v>
      </c>
      <c r="E134" s="36" t="s">
        <v>1758</v>
      </c>
      <c r="F134">
        <v>0</v>
      </c>
      <c r="G134" t="s">
        <v>1742</v>
      </c>
      <c r="H134" s="2">
        <v>1</v>
      </c>
      <c r="I134" t="s">
        <v>588</v>
      </c>
      <c r="J134" t="s">
        <v>1147</v>
      </c>
      <c r="K134" t="s">
        <v>587</v>
      </c>
      <c r="L134">
        <v>1</v>
      </c>
      <c r="M134" t="s">
        <v>590</v>
      </c>
      <c r="N134" s="16"/>
      <c r="Q134" t="s">
        <v>589</v>
      </c>
    </row>
    <row r="135" spans="1:17">
      <c r="A135" t="s">
        <v>234</v>
      </c>
      <c r="B135">
        <v>7936952</v>
      </c>
      <c r="C135">
        <v>0</v>
      </c>
      <c r="F135" s="34">
        <v>0</v>
      </c>
      <c r="H135" s="2" t="s">
        <v>23</v>
      </c>
      <c r="N135" s="16"/>
      <c r="Q135" t="s">
        <v>648</v>
      </c>
    </row>
    <row r="136" spans="1:17">
      <c r="A136" t="s">
        <v>258</v>
      </c>
      <c r="B136">
        <v>21093682</v>
      </c>
      <c r="C136" s="53" t="s">
        <v>1796</v>
      </c>
      <c r="D136" s="44" t="s">
        <v>1745</v>
      </c>
      <c r="E136" s="36" t="s">
        <v>1745</v>
      </c>
      <c r="F136" s="2">
        <v>1</v>
      </c>
      <c r="G136" t="s">
        <v>1748</v>
      </c>
      <c r="H136">
        <v>0</v>
      </c>
      <c r="K136" t="s">
        <v>693</v>
      </c>
      <c r="N136" s="16"/>
      <c r="Q136" t="s">
        <v>516</v>
      </c>
    </row>
    <row r="137" spans="1:17">
      <c r="A137" t="s">
        <v>120</v>
      </c>
      <c r="B137">
        <v>27214523</v>
      </c>
      <c r="C137">
        <v>1</v>
      </c>
      <c r="D137" s="45" t="s">
        <v>1775</v>
      </c>
      <c r="E137" s="36" t="s">
        <v>1760</v>
      </c>
      <c r="F137" s="2">
        <v>1</v>
      </c>
      <c r="H137">
        <v>0</v>
      </c>
      <c r="I137" t="s">
        <v>403</v>
      </c>
      <c r="J137" t="s">
        <v>1192</v>
      </c>
      <c r="K137" t="s">
        <v>405</v>
      </c>
      <c r="L137">
        <v>1</v>
      </c>
      <c r="M137" t="s">
        <v>406</v>
      </c>
      <c r="N137" s="16" t="s">
        <v>404</v>
      </c>
      <c r="Q137" t="s">
        <v>407</v>
      </c>
    </row>
    <row r="138" spans="1:17">
      <c r="A138" t="s">
        <v>252</v>
      </c>
      <c r="B138">
        <v>25893970</v>
      </c>
      <c r="C138">
        <v>1</v>
      </c>
      <c r="D138" s="44" t="s">
        <v>1745</v>
      </c>
      <c r="E138" s="36" t="s">
        <v>1745</v>
      </c>
      <c r="F138" s="2">
        <v>1</v>
      </c>
      <c r="G138" t="s">
        <v>1748</v>
      </c>
      <c r="H138">
        <v>0</v>
      </c>
      <c r="I138" t="s">
        <v>682</v>
      </c>
      <c r="K138" t="s">
        <v>514</v>
      </c>
      <c r="L138">
        <v>1</v>
      </c>
      <c r="M138" t="s">
        <v>683</v>
      </c>
      <c r="N138" s="16" t="s">
        <v>24</v>
      </c>
      <c r="O138" t="s">
        <v>24</v>
      </c>
      <c r="Q138" t="s">
        <v>684</v>
      </c>
    </row>
    <row r="139" spans="1:17">
      <c r="A139" t="s">
        <v>241</v>
      </c>
      <c r="B139">
        <v>22687547</v>
      </c>
      <c r="C139">
        <v>1</v>
      </c>
      <c r="D139" s="44" t="s">
        <v>1779</v>
      </c>
      <c r="E139" s="36" t="s">
        <v>1745</v>
      </c>
      <c r="F139" s="2">
        <v>1</v>
      </c>
      <c r="G139" t="s">
        <v>1745</v>
      </c>
      <c r="H139" s="2">
        <v>0</v>
      </c>
      <c r="I139" t="s">
        <v>661</v>
      </c>
      <c r="K139" t="s">
        <v>659</v>
      </c>
      <c r="L139">
        <v>1</v>
      </c>
      <c r="M139" t="s">
        <v>492</v>
      </c>
      <c r="N139" s="16" t="s">
        <v>24</v>
      </c>
      <c r="O139" t="s">
        <v>24</v>
      </c>
      <c r="Q139" t="s">
        <v>660</v>
      </c>
    </row>
    <row r="140" spans="1:17">
      <c r="A140" s="18" t="s">
        <v>316</v>
      </c>
      <c r="B140">
        <v>2365895</v>
      </c>
      <c r="C140">
        <v>1</v>
      </c>
      <c r="D140" s="45" t="s">
        <v>1784</v>
      </c>
      <c r="F140" s="34">
        <v>1</v>
      </c>
      <c r="H140">
        <v>0</v>
      </c>
      <c r="I140" t="s">
        <v>825</v>
      </c>
      <c r="J140" t="s">
        <v>1172</v>
      </c>
      <c r="K140" t="s">
        <v>822</v>
      </c>
      <c r="L140">
        <v>0</v>
      </c>
      <c r="M140" t="s">
        <v>823</v>
      </c>
      <c r="Q140" t="s">
        <v>824</v>
      </c>
    </row>
    <row r="141" spans="1:17">
      <c r="A141" s="32" t="s">
        <v>317</v>
      </c>
      <c r="B141">
        <v>1984709</v>
      </c>
      <c r="C141">
        <v>1</v>
      </c>
      <c r="D141" s="45" t="s">
        <v>1784</v>
      </c>
      <c r="E141" s="36" t="s">
        <v>1767</v>
      </c>
      <c r="F141" s="2">
        <v>1</v>
      </c>
      <c r="H141" s="2">
        <v>0</v>
      </c>
      <c r="I141" t="s">
        <v>538</v>
      </c>
      <c r="J141" t="s">
        <v>538</v>
      </c>
      <c r="K141" t="s">
        <v>822</v>
      </c>
      <c r="L141">
        <v>0</v>
      </c>
      <c r="M141" t="s">
        <v>826</v>
      </c>
      <c r="P141" t="s">
        <v>827</v>
      </c>
      <c r="Q141" t="s">
        <v>828</v>
      </c>
    </row>
    <row r="142" spans="1:17">
      <c r="A142" t="s">
        <v>271</v>
      </c>
      <c r="B142">
        <v>24786361</v>
      </c>
      <c r="C142">
        <v>1</v>
      </c>
      <c r="D142" s="44" t="s">
        <v>1781</v>
      </c>
      <c r="E142" s="36" t="s">
        <v>1763</v>
      </c>
      <c r="F142" s="2">
        <v>1</v>
      </c>
      <c r="G142" t="s">
        <v>1750</v>
      </c>
      <c r="H142" s="2">
        <v>0</v>
      </c>
      <c r="I142" t="s">
        <v>719</v>
      </c>
      <c r="K142" t="s">
        <v>25</v>
      </c>
      <c r="L142">
        <v>1</v>
      </c>
      <c r="N142" s="16"/>
      <c r="O142" t="s">
        <v>717</v>
      </c>
      <c r="Q142" t="s">
        <v>718</v>
      </c>
    </row>
    <row r="143" spans="1:17">
      <c r="A143" t="s">
        <v>233</v>
      </c>
      <c r="B143">
        <v>9403392</v>
      </c>
      <c r="C143">
        <v>1</v>
      </c>
      <c r="D143" s="45" t="s">
        <v>1777</v>
      </c>
      <c r="F143" s="2">
        <v>1</v>
      </c>
      <c r="G143" t="s">
        <v>1746</v>
      </c>
      <c r="H143" s="2">
        <v>0</v>
      </c>
      <c r="I143" t="s">
        <v>647</v>
      </c>
      <c r="K143" t="s">
        <v>644</v>
      </c>
      <c r="M143" t="s">
        <v>645</v>
      </c>
      <c r="N143" s="16"/>
      <c r="Q143" t="s">
        <v>646</v>
      </c>
    </row>
    <row r="144" spans="1:17">
      <c r="A144" s="18" t="s">
        <v>240</v>
      </c>
      <c r="B144">
        <v>25180439</v>
      </c>
      <c r="C144">
        <v>1</v>
      </c>
      <c r="D144" s="44" t="s">
        <v>1778</v>
      </c>
      <c r="E144" s="36" t="s">
        <v>1761</v>
      </c>
      <c r="F144" s="2">
        <v>1</v>
      </c>
      <c r="G144" t="s">
        <v>1744</v>
      </c>
      <c r="H144" s="2">
        <v>0</v>
      </c>
      <c r="J144" t="s">
        <v>1167</v>
      </c>
      <c r="K144" t="s">
        <v>659</v>
      </c>
      <c r="L144">
        <v>1</v>
      </c>
      <c r="M144" t="s">
        <v>658</v>
      </c>
      <c r="N144" s="16" t="s">
        <v>24</v>
      </c>
      <c r="Q144" t="s">
        <v>660</v>
      </c>
    </row>
    <row r="145" spans="1:17">
      <c r="A145" t="s">
        <v>242</v>
      </c>
      <c r="B145">
        <v>26110112</v>
      </c>
      <c r="C145">
        <v>1</v>
      </c>
      <c r="E145" s="36" t="s">
        <v>1745</v>
      </c>
      <c r="F145" s="2">
        <v>1</v>
      </c>
      <c r="G145" t="s">
        <v>1745</v>
      </c>
      <c r="H145" s="3">
        <v>0</v>
      </c>
      <c r="J145" t="s">
        <v>1158</v>
      </c>
      <c r="K145" t="s">
        <v>659</v>
      </c>
      <c r="L145">
        <v>1</v>
      </c>
      <c r="N145" s="16" t="s">
        <v>56</v>
      </c>
      <c r="Q145" t="s">
        <v>516</v>
      </c>
    </row>
    <row r="146" spans="1:17">
      <c r="A146" s="66" t="s">
        <v>354</v>
      </c>
      <c r="B146">
        <v>26042021</v>
      </c>
      <c r="C146">
        <v>1</v>
      </c>
      <c r="D146" s="44" t="s">
        <v>1745</v>
      </c>
      <c r="E146" s="36" t="s">
        <v>1769</v>
      </c>
      <c r="F146" s="2">
        <v>1</v>
      </c>
      <c r="G146" t="s">
        <v>1753</v>
      </c>
      <c r="H146">
        <v>0</v>
      </c>
      <c r="K146" t="s">
        <v>693</v>
      </c>
      <c r="Q146" t="s">
        <v>916</v>
      </c>
    </row>
    <row r="147" spans="1:17">
      <c r="A147" s="66" t="s">
        <v>76</v>
      </c>
      <c r="B147">
        <v>20083372</v>
      </c>
      <c r="C147">
        <v>0</v>
      </c>
      <c r="D147" s="44" t="s">
        <v>1772</v>
      </c>
      <c r="E147" s="36" t="s">
        <v>1754</v>
      </c>
      <c r="F147">
        <v>1</v>
      </c>
      <c r="H147">
        <v>0</v>
      </c>
      <c r="I147" t="s">
        <v>24</v>
      </c>
      <c r="J147" t="s">
        <v>24</v>
      </c>
      <c r="K147" t="s">
        <v>24</v>
      </c>
      <c r="L147">
        <v>1</v>
      </c>
      <c r="M147" t="s">
        <v>24</v>
      </c>
      <c r="N147" s="16" t="s">
        <v>24</v>
      </c>
      <c r="O147" t="s">
        <v>24</v>
      </c>
      <c r="Q147" t="s">
        <v>14</v>
      </c>
    </row>
    <row r="148" spans="1:17">
      <c r="A148" s="66" t="s">
        <v>286</v>
      </c>
      <c r="B148">
        <v>24452880</v>
      </c>
      <c r="C148">
        <v>0</v>
      </c>
      <c r="D148" s="44" t="s">
        <v>1783</v>
      </c>
      <c r="E148" s="36" t="s">
        <v>1766</v>
      </c>
      <c r="F148" s="2">
        <v>1</v>
      </c>
      <c r="H148">
        <v>0</v>
      </c>
      <c r="I148" t="s">
        <v>749</v>
      </c>
      <c r="K148" t="s">
        <v>25</v>
      </c>
      <c r="L148">
        <v>1</v>
      </c>
      <c r="M148" t="s">
        <v>24</v>
      </c>
      <c r="N148" s="16"/>
      <c r="Q148" t="s">
        <v>424</v>
      </c>
    </row>
    <row r="149" spans="1:17">
      <c r="A149" s="66" t="s">
        <v>366</v>
      </c>
      <c r="B149">
        <v>9465143</v>
      </c>
      <c r="C149" s="52" t="s">
        <v>1796</v>
      </c>
      <c r="F149">
        <v>1</v>
      </c>
      <c r="H149">
        <v>1</v>
      </c>
      <c r="I149" t="s">
        <v>940</v>
      </c>
      <c r="J149" t="s">
        <v>1147</v>
      </c>
      <c r="K149" t="s">
        <v>25</v>
      </c>
      <c r="L149">
        <v>1</v>
      </c>
      <c r="M149" t="s">
        <v>939</v>
      </c>
    </row>
    <row r="150" spans="1:17">
      <c r="A150" t="s">
        <v>119</v>
      </c>
      <c r="B150">
        <v>24330891</v>
      </c>
      <c r="C150" s="35" t="s">
        <v>1796</v>
      </c>
      <c r="F150">
        <v>1</v>
      </c>
      <c r="H150">
        <v>1</v>
      </c>
      <c r="I150" t="s">
        <v>401</v>
      </c>
      <c r="J150" t="s">
        <v>1180</v>
      </c>
      <c r="K150" t="s">
        <v>402</v>
      </c>
      <c r="L150">
        <v>1</v>
      </c>
      <c r="M150" t="s">
        <v>400</v>
      </c>
      <c r="N150" s="16" t="s">
        <v>24</v>
      </c>
    </row>
    <row r="151" spans="1:17">
      <c r="A151" s="18" t="s">
        <v>79</v>
      </c>
      <c r="B151">
        <v>10217920</v>
      </c>
      <c r="C151">
        <v>1</v>
      </c>
      <c r="F151" s="2">
        <v>1</v>
      </c>
      <c r="G151" t="s">
        <v>1730</v>
      </c>
      <c r="H151">
        <v>1</v>
      </c>
      <c r="I151" t="s">
        <v>23</v>
      </c>
      <c r="K151" t="s">
        <v>25</v>
      </c>
      <c r="L151">
        <v>1</v>
      </c>
      <c r="M151" t="s">
        <v>23</v>
      </c>
      <c r="N151" s="16"/>
    </row>
    <row r="152" spans="1:17">
      <c r="A152" s="18" t="s">
        <v>237</v>
      </c>
      <c r="B152">
        <v>20144193</v>
      </c>
      <c r="C152">
        <v>1</v>
      </c>
      <c r="F152">
        <v>1</v>
      </c>
      <c r="H152" s="2">
        <v>1</v>
      </c>
      <c r="I152" t="s">
        <v>23</v>
      </c>
      <c r="K152" t="s">
        <v>523</v>
      </c>
      <c r="L152">
        <v>0</v>
      </c>
      <c r="M152" t="s">
        <v>654</v>
      </c>
      <c r="N152" s="16" t="s">
        <v>24</v>
      </c>
      <c r="Q152" t="s">
        <v>655</v>
      </c>
    </row>
    <row r="153" spans="1:17">
      <c r="A153" s="18" t="s">
        <v>238</v>
      </c>
      <c r="B153">
        <v>19756511</v>
      </c>
      <c r="C153">
        <v>1</v>
      </c>
      <c r="F153">
        <v>1</v>
      </c>
      <c r="H153" s="2">
        <v>1</v>
      </c>
      <c r="I153" t="s">
        <v>23</v>
      </c>
      <c r="K153" t="s">
        <v>523</v>
      </c>
      <c r="L153">
        <v>0</v>
      </c>
      <c r="M153" t="s">
        <v>654</v>
      </c>
      <c r="N153" s="16" t="s">
        <v>24</v>
      </c>
      <c r="Q153" t="s">
        <v>656</v>
      </c>
    </row>
    <row r="154" spans="1:17">
      <c r="A154" s="18" t="s">
        <v>151</v>
      </c>
      <c r="B154">
        <v>26220415</v>
      </c>
      <c r="C154">
        <v>1</v>
      </c>
      <c r="F154">
        <v>1</v>
      </c>
      <c r="H154">
        <v>1</v>
      </c>
      <c r="I154" t="s">
        <v>465</v>
      </c>
      <c r="J154" t="s">
        <v>1153</v>
      </c>
      <c r="K154" t="s">
        <v>466</v>
      </c>
      <c r="L154">
        <v>1</v>
      </c>
      <c r="M154" t="s">
        <v>465</v>
      </c>
      <c r="N154" s="16" t="s">
        <v>24</v>
      </c>
      <c r="Q154" t="s">
        <v>467</v>
      </c>
    </row>
    <row r="155" spans="1:17">
      <c r="A155" s="18" t="s">
        <v>218</v>
      </c>
      <c r="B155">
        <v>24625622</v>
      </c>
      <c r="C155">
        <v>1</v>
      </c>
      <c r="F155">
        <v>1</v>
      </c>
      <c r="H155">
        <v>1</v>
      </c>
      <c r="I155" t="s">
        <v>614</v>
      </c>
      <c r="J155" t="s">
        <v>1142</v>
      </c>
      <c r="K155" t="s">
        <v>615</v>
      </c>
      <c r="L155">
        <v>1</v>
      </c>
      <c r="M155" t="s">
        <v>11</v>
      </c>
      <c r="N155" s="16"/>
      <c r="O155" t="s">
        <v>13</v>
      </c>
    </row>
    <row r="156" spans="1:17">
      <c r="A156" s="66" t="s">
        <v>198</v>
      </c>
      <c r="B156">
        <v>25470729</v>
      </c>
      <c r="C156">
        <v>1</v>
      </c>
      <c r="F156">
        <v>1</v>
      </c>
      <c r="H156" s="5">
        <v>1</v>
      </c>
      <c r="I156" t="s">
        <v>570</v>
      </c>
      <c r="J156" t="s">
        <v>1147</v>
      </c>
      <c r="K156" t="s">
        <v>25</v>
      </c>
      <c r="L156">
        <v>1</v>
      </c>
      <c r="N156" s="16"/>
    </row>
    <row r="157" spans="1:17">
      <c r="A157" t="s">
        <v>129</v>
      </c>
      <c r="B157">
        <v>23803518</v>
      </c>
      <c r="C157">
        <v>1</v>
      </c>
      <c r="F157">
        <v>1</v>
      </c>
      <c r="H157">
        <v>1</v>
      </c>
      <c r="I157" t="s">
        <v>31</v>
      </c>
      <c r="J157" t="s">
        <v>1143</v>
      </c>
      <c r="N157" s="16"/>
    </row>
    <row r="158" spans="1:17">
      <c r="A158" t="s">
        <v>192</v>
      </c>
      <c r="B158">
        <v>10807961</v>
      </c>
      <c r="C158">
        <v>1</v>
      </c>
      <c r="F158">
        <v>1</v>
      </c>
      <c r="H158">
        <v>1</v>
      </c>
      <c r="I158" t="s">
        <v>31</v>
      </c>
      <c r="J158" t="s">
        <v>1157</v>
      </c>
      <c r="K158" t="s">
        <v>25</v>
      </c>
      <c r="L158">
        <v>1</v>
      </c>
      <c r="M158" t="s">
        <v>557</v>
      </c>
      <c r="N158" s="16" t="s">
        <v>33</v>
      </c>
    </row>
    <row r="159" spans="1:17">
      <c r="A159" t="s">
        <v>248</v>
      </c>
      <c r="B159">
        <v>26254798</v>
      </c>
      <c r="C159">
        <v>1</v>
      </c>
      <c r="F159">
        <v>1</v>
      </c>
      <c r="H159">
        <v>1</v>
      </c>
      <c r="I159" t="s">
        <v>31</v>
      </c>
      <c r="J159" t="s">
        <v>1157</v>
      </c>
      <c r="K159" t="s">
        <v>591</v>
      </c>
      <c r="L159">
        <v>1</v>
      </c>
      <c r="M159" t="s">
        <v>675</v>
      </c>
      <c r="N159" s="16"/>
    </row>
    <row r="160" spans="1:17">
      <c r="A160" t="s">
        <v>336</v>
      </c>
      <c r="B160">
        <v>9460740</v>
      </c>
      <c r="C160">
        <v>1</v>
      </c>
      <c r="F160">
        <v>1</v>
      </c>
      <c r="H160">
        <v>1</v>
      </c>
      <c r="I160" t="s">
        <v>31</v>
      </c>
      <c r="J160" t="s">
        <v>1157</v>
      </c>
      <c r="K160" t="s">
        <v>819</v>
      </c>
      <c r="L160">
        <v>1</v>
      </c>
      <c r="M160" t="s">
        <v>873</v>
      </c>
      <c r="N160" t="s">
        <v>24</v>
      </c>
      <c r="O160" t="s">
        <v>24</v>
      </c>
    </row>
    <row r="161" spans="1:17">
      <c r="A161" s="18" t="s">
        <v>135</v>
      </c>
      <c r="B161">
        <v>24695267</v>
      </c>
      <c r="C161">
        <v>1</v>
      </c>
      <c r="F161">
        <v>1</v>
      </c>
      <c r="H161">
        <v>1</v>
      </c>
      <c r="I161" t="s">
        <v>429</v>
      </c>
      <c r="J161" t="s">
        <v>1173</v>
      </c>
      <c r="K161" t="s">
        <v>412</v>
      </c>
      <c r="L161">
        <v>1</v>
      </c>
      <c r="M161" t="s">
        <v>428</v>
      </c>
      <c r="N161" s="16"/>
    </row>
    <row r="162" spans="1:17">
      <c r="A162" s="18" t="s">
        <v>337</v>
      </c>
      <c r="B162">
        <v>11853357</v>
      </c>
      <c r="C162">
        <v>1</v>
      </c>
      <c r="F162">
        <v>1</v>
      </c>
      <c r="H162">
        <v>1</v>
      </c>
      <c r="I162" t="s">
        <v>874</v>
      </c>
      <c r="J162" t="s">
        <v>1172</v>
      </c>
      <c r="K162" t="s">
        <v>25</v>
      </c>
      <c r="L162">
        <v>1</v>
      </c>
      <c r="M162" t="s">
        <v>875</v>
      </c>
      <c r="N162" t="s">
        <v>24</v>
      </c>
      <c r="O162" t="s">
        <v>24</v>
      </c>
    </row>
    <row r="163" spans="1:17">
      <c r="A163" s="18" t="s">
        <v>125</v>
      </c>
      <c r="B163">
        <v>22950039</v>
      </c>
      <c r="C163">
        <v>1</v>
      </c>
      <c r="F163">
        <v>1</v>
      </c>
      <c r="H163">
        <v>1</v>
      </c>
      <c r="I163" t="s">
        <v>414</v>
      </c>
      <c r="J163" t="s">
        <v>1149</v>
      </c>
      <c r="K163" t="s">
        <v>20</v>
      </c>
      <c r="L163">
        <v>1</v>
      </c>
      <c r="M163" t="s">
        <v>415</v>
      </c>
      <c r="N163" s="16"/>
    </row>
    <row r="164" spans="1:17">
      <c r="A164" s="18" t="s">
        <v>111</v>
      </c>
      <c r="B164">
        <v>10378168</v>
      </c>
      <c r="C164">
        <v>1</v>
      </c>
      <c r="F164">
        <v>1</v>
      </c>
      <c r="G164" t="s">
        <v>1734</v>
      </c>
      <c r="H164" s="4">
        <v>1</v>
      </c>
      <c r="I164" t="s">
        <v>383</v>
      </c>
      <c r="J164" t="s">
        <v>1143</v>
      </c>
      <c r="K164" t="s">
        <v>25</v>
      </c>
      <c r="L164">
        <v>1</v>
      </c>
      <c r="M164" t="s">
        <v>382</v>
      </c>
      <c r="N164" s="16"/>
    </row>
    <row r="165" spans="1:17">
      <c r="A165" t="s">
        <v>272</v>
      </c>
      <c r="B165">
        <v>16720800</v>
      </c>
      <c r="C165">
        <v>1</v>
      </c>
      <c r="F165">
        <v>1</v>
      </c>
      <c r="H165">
        <v>1</v>
      </c>
      <c r="I165" t="s">
        <v>720</v>
      </c>
      <c r="J165" t="s">
        <v>1172</v>
      </c>
      <c r="K165" t="s">
        <v>721</v>
      </c>
      <c r="L165">
        <v>1</v>
      </c>
      <c r="N165" s="16"/>
    </row>
    <row r="166" spans="1:17">
      <c r="A166" s="18" t="s">
        <v>330</v>
      </c>
      <c r="B166">
        <v>25735018</v>
      </c>
      <c r="C166">
        <v>1</v>
      </c>
      <c r="F166">
        <v>1</v>
      </c>
      <c r="H166">
        <v>1</v>
      </c>
      <c r="I166" t="s">
        <v>860</v>
      </c>
      <c r="J166" t="s">
        <v>1154</v>
      </c>
      <c r="K166" t="s">
        <v>835</v>
      </c>
      <c r="L166">
        <v>1</v>
      </c>
      <c r="M166" t="s">
        <v>858</v>
      </c>
      <c r="N166" t="s">
        <v>24</v>
      </c>
      <c r="O166" t="s">
        <v>24</v>
      </c>
      <c r="P166" t="s">
        <v>859</v>
      </c>
    </row>
    <row r="167" spans="1:17">
      <c r="A167" s="18" t="s">
        <v>361</v>
      </c>
      <c r="B167">
        <v>7802106</v>
      </c>
      <c r="C167">
        <v>1</v>
      </c>
      <c r="F167">
        <v>1</v>
      </c>
      <c r="H167">
        <v>1</v>
      </c>
      <c r="I167" t="s">
        <v>931</v>
      </c>
      <c r="J167" t="s">
        <v>1154</v>
      </c>
      <c r="K167" t="s">
        <v>819</v>
      </c>
      <c r="L167">
        <v>1</v>
      </c>
      <c r="M167" t="s">
        <v>930</v>
      </c>
    </row>
    <row r="168" spans="1:17">
      <c r="A168" t="s">
        <v>312</v>
      </c>
      <c r="B168">
        <v>26029852</v>
      </c>
      <c r="C168">
        <v>1</v>
      </c>
      <c r="F168">
        <v>1</v>
      </c>
      <c r="H168">
        <v>1</v>
      </c>
      <c r="I168" t="s">
        <v>812</v>
      </c>
      <c r="J168" t="s">
        <v>1154</v>
      </c>
      <c r="K168" t="s">
        <v>1194</v>
      </c>
      <c r="L168">
        <v>1</v>
      </c>
      <c r="M168" t="s">
        <v>492</v>
      </c>
      <c r="N168" s="16" t="s">
        <v>24</v>
      </c>
      <c r="O168" t="s">
        <v>24</v>
      </c>
      <c r="P168" t="s">
        <v>24</v>
      </c>
    </row>
    <row r="169" spans="1:17">
      <c r="A169" t="s">
        <v>259</v>
      </c>
      <c r="B169">
        <v>22468823</v>
      </c>
      <c r="C169">
        <v>1</v>
      </c>
      <c r="D169" s="44" t="s">
        <v>1745</v>
      </c>
      <c r="E169" s="36" t="s">
        <v>1745</v>
      </c>
      <c r="F169" s="2">
        <v>1</v>
      </c>
      <c r="G169" t="s">
        <v>1748</v>
      </c>
      <c r="H169" s="2">
        <v>1</v>
      </c>
      <c r="I169" t="s">
        <v>695</v>
      </c>
      <c r="J169" t="s">
        <v>1172</v>
      </c>
      <c r="K169" t="s">
        <v>27</v>
      </c>
      <c r="L169">
        <v>0</v>
      </c>
      <c r="M169" t="s">
        <v>694</v>
      </c>
      <c r="N169" s="16"/>
      <c r="Q169" t="s">
        <v>696</v>
      </c>
    </row>
    <row r="170" spans="1:17">
      <c r="A170" t="s">
        <v>130</v>
      </c>
      <c r="B170">
        <v>18423611</v>
      </c>
      <c r="C170">
        <v>1</v>
      </c>
      <c r="F170">
        <v>1</v>
      </c>
      <c r="H170" s="2">
        <v>1</v>
      </c>
      <c r="I170" t="s">
        <v>421</v>
      </c>
      <c r="J170" t="s">
        <v>1151</v>
      </c>
      <c r="K170" t="s">
        <v>420</v>
      </c>
      <c r="L170">
        <v>0</v>
      </c>
      <c r="M170" t="s">
        <v>23</v>
      </c>
      <c r="N170" s="16"/>
      <c r="Q170" t="s">
        <v>422</v>
      </c>
    </row>
    <row r="171" spans="1:17">
      <c r="A171" s="18" t="s">
        <v>197</v>
      </c>
      <c r="B171">
        <v>16139487</v>
      </c>
      <c r="C171">
        <v>1</v>
      </c>
      <c r="F171">
        <v>1</v>
      </c>
      <c r="H171">
        <v>1</v>
      </c>
      <c r="I171" t="s">
        <v>566</v>
      </c>
      <c r="J171" t="s">
        <v>569</v>
      </c>
      <c r="K171" t="s">
        <v>567</v>
      </c>
      <c r="L171">
        <v>1</v>
      </c>
      <c r="M171" t="s">
        <v>568</v>
      </c>
      <c r="N171" s="16" t="s">
        <v>24</v>
      </c>
    </row>
    <row r="172" spans="1:17">
      <c r="A172" t="s">
        <v>243</v>
      </c>
      <c r="B172">
        <v>15027792</v>
      </c>
      <c r="C172">
        <v>1</v>
      </c>
      <c r="F172">
        <v>1</v>
      </c>
      <c r="H172">
        <v>1</v>
      </c>
      <c r="I172" t="s">
        <v>662</v>
      </c>
      <c r="J172" t="s">
        <v>1172</v>
      </c>
      <c r="K172" t="s">
        <v>1174</v>
      </c>
      <c r="L172">
        <v>1</v>
      </c>
      <c r="M172" t="s">
        <v>665</v>
      </c>
      <c r="N172" s="16" t="s">
        <v>663</v>
      </c>
      <c r="P172" t="s">
        <v>664</v>
      </c>
    </row>
    <row r="173" spans="1:17">
      <c r="A173" s="18" t="s">
        <v>350</v>
      </c>
      <c r="B173">
        <v>23517445</v>
      </c>
      <c r="C173">
        <v>1</v>
      </c>
      <c r="F173">
        <v>1</v>
      </c>
      <c r="H173">
        <v>1</v>
      </c>
      <c r="I173" t="s">
        <v>909</v>
      </c>
      <c r="J173" t="s">
        <v>1157</v>
      </c>
      <c r="K173" t="s">
        <v>25</v>
      </c>
      <c r="L173">
        <v>1</v>
      </c>
      <c r="M173" t="s">
        <v>908</v>
      </c>
    </row>
    <row r="174" spans="1:17">
      <c r="A174" s="32" t="s">
        <v>228</v>
      </c>
      <c r="B174">
        <v>19091328</v>
      </c>
      <c r="C174">
        <v>1</v>
      </c>
      <c r="F174">
        <v>1</v>
      </c>
      <c r="H174">
        <v>1</v>
      </c>
      <c r="I174" t="s">
        <v>636</v>
      </c>
      <c r="J174" t="s">
        <v>1158</v>
      </c>
      <c r="K174" t="s">
        <v>591</v>
      </c>
      <c r="L174">
        <v>1</v>
      </c>
      <c r="M174" t="s">
        <v>637</v>
      </c>
      <c r="N174" s="16" t="s">
        <v>56</v>
      </c>
    </row>
    <row r="175" spans="1:17">
      <c r="A175" s="32" t="s">
        <v>222</v>
      </c>
      <c r="B175">
        <v>7654154</v>
      </c>
      <c r="C175">
        <v>1</v>
      </c>
      <c r="F175">
        <v>1</v>
      </c>
      <c r="H175">
        <v>1</v>
      </c>
      <c r="I175" t="s">
        <v>621</v>
      </c>
      <c r="J175" t="s">
        <v>1147</v>
      </c>
      <c r="K175" t="s">
        <v>25</v>
      </c>
      <c r="L175">
        <v>1</v>
      </c>
      <c r="N175" s="16"/>
    </row>
    <row r="176" spans="1:17">
      <c r="A176" t="s">
        <v>102</v>
      </c>
      <c r="B176">
        <v>27236589</v>
      </c>
      <c r="C176">
        <v>1</v>
      </c>
      <c r="F176">
        <v>1</v>
      </c>
      <c r="H176">
        <v>1</v>
      </c>
      <c r="I176" t="s">
        <v>72</v>
      </c>
      <c r="J176" t="s">
        <v>1148</v>
      </c>
      <c r="K176" t="s">
        <v>25</v>
      </c>
      <c r="L176">
        <v>1</v>
      </c>
      <c r="M176" t="s">
        <v>71</v>
      </c>
      <c r="N176" s="16"/>
    </row>
    <row r="177" spans="1:16">
      <c r="A177" t="s">
        <v>123</v>
      </c>
      <c r="B177">
        <v>24724093</v>
      </c>
      <c r="C177">
        <v>1</v>
      </c>
      <c r="F177">
        <v>1</v>
      </c>
      <c r="H177">
        <v>1</v>
      </c>
      <c r="I177" t="s">
        <v>411</v>
      </c>
      <c r="J177" t="s">
        <v>1192</v>
      </c>
      <c r="K177" t="s">
        <v>412</v>
      </c>
      <c r="L177">
        <v>1</v>
      </c>
      <c r="M177" t="s">
        <v>1155</v>
      </c>
      <c r="N177" s="16" t="s">
        <v>56</v>
      </c>
    </row>
    <row r="178" spans="1:16">
      <c r="A178" t="s">
        <v>288</v>
      </c>
      <c r="B178">
        <v>16055312</v>
      </c>
      <c r="C178">
        <v>1</v>
      </c>
      <c r="F178">
        <v>1</v>
      </c>
      <c r="H178">
        <v>1</v>
      </c>
      <c r="I178" t="s">
        <v>851</v>
      </c>
      <c r="J178" t="s">
        <v>780</v>
      </c>
      <c r="K178" t="s">
        <v>752</v>
      </c>
      <c r="L178">
        <v>0</v>
      </c>
      <c r="M178" t="s">
        <v>751</v>
      </c>
      <c r="N178" s="16" t="s">
        <v>753</v>
      </c>
      <c r="P178" t="s">
        <v>754</v>
      </c>
    </row>
    <row r="179" spans="1:16">
      <c r="A179" t="s">
        <v>207</v>
      </c>
      <c r="B179">
        <v>8827652</v>
      </c>
      <c r="C179">
        <v>1</v>
      </c>
      <c r="F179">
        <v>1</v>
      </c>
      <c r="H179">
        <v>1</v>
      </c>
      <c r="I179" t="s">
        <v>920</v>
      </c>
      <c r="J179" t="s">
        <v>1165</v>
      </c>
      <c r="K179" t="s">
        <v>591</v>
      </c>
      <c r="L179">
        <v>1</v>
      </c>
      <c r="M179" t="s">
        <v>1156</v>
      </c>
      <c r="N179" s="16"/>
      <c r="O179" t="s">
        <v>592</v>
      </c>
      <c r="P179" t="s">
        <v>593</v>
      </c>
    </row>
    <row r="180" spans="1:16">
      <c r="A180" t="s">
        <v>191</v>
      </c>
      <c r="B180">
        <v>15027789</v>
      </c>
      <c r="C180">
        <v>1</v>
      </c>
      <c r="F180">
        <v>1</v>
      </c>
      <c r="H180">
        <v>1</v>
      </c>
      <c r="I180" t="s">
        <v>554</v>
      </c>
      <c r="J180" t="s">
        <v>555</v>
      </c>
      <c r="K180" t="s">
        <v>25</v>
      </c>
      <c r="L180">
        <v>1</v>
      </c>
      <c r="M180" t="s">
        <v>555</v>
      </c>
      <c r="N180" s="16" t="s">
        <v>24</v>
      </c>
      <c r="O180" t="s">
        <v>556</v>
      </c>
      <c r="P180" t="s">
        <v>510</v>
      </c>
    </row>
    <row r="181" spans="1:16">
      <c r="A181" t="s">
        <v>77</v>
      </c>
      <c r="B181">
        <v>23823533</v>
      </c>
      <c r="C181">
        <v>1</v>
      </c>
      <c r="F181">
        <v>1</v>
      </c>
      <c r="H181">
        <v>1</v>
      </c>
      <c r="I181" t="s">
        <v>15</v>
      </c>
      <c r="J181" t="s">
        <v>1192</v>
      </c>
      <c r="K181" t="s">
        <v>17</v>
      </c>
      <c r="L181">
        <v>1</v>
      </c>
      <c r="M181" t="s">
        <v>16</v>
      </c>
      <c r="N181" s="16"/>
    </row>
    <row r="182" spans="1:16">
      <c r="A182" s="32" t="s">
        <v>322</v>
      </c>
      <c r="B182">
        <v>26481979</v>
      </c>
      <c r="C182">
        <v>1</v>
      </c>
      <c r="F182">
        <v>1</v>
      </c>
      <c r="H182">
        <v>1</v>
      </c>
      <c r="I182" t="s">
        <v>21</v>
      </c>
      <c r="J182" t="s">
        <v>1163</v>
      </c>
      <c r="K182" t="s">
        <v>819</v>
      </c>
      <c r="L182">
        <v>1</v>
      </c>
      <c r="M182" t="s">
        <v>837</v>
      </c>
      <c r="N182" t="s">
        <v>836</v>
      </c>
    </row>
    <row r="183" spans="1:16">
      <c r="A183" t="s">
        <v>294</v>
      </c>
      <c r="B183">
        <v>21724666</v>
      </c>
      <c r="C183">
        <v>1</v>
      </c>
      <c r="F183">
        <v>1</v>
      </c>
      <c r="H183">
        <v>1</v>
      </c>
      <c r="I183" t="s">
        <v>771</v>
      </c>
      <c r="J183" t="s">
        <v>1146</v>
      </c>
      <c r="K183" t="s">
        <v>768</v>
      </c>
      <c r="L183">
        <v>0</v>
      </c>
      <c r="M183" t="s">
        <v>769</v>
      </c>
      <c r="N183" s="16" t="s">
        <v>56</v>
      </c>
      <c r="O183" t="s">
        <v>24</v>
      </c>
      <c r="P183" t="s">
        <v>770</v>
      </c>
    </row>
    <row r="184" spans="1:16">
      <c r="A184" t="s">
        <v>153</v>
      </c>
      <c r="B184">
        <v>9821567</v>
      </c>
      <c r="C184">
        <v>1</v>
      </c>
      <c r="F184">
        <v>1</v>
      </c>
      <c r="H184">
        <v>1</v>
      </c>
      <c r="I184" t="s">
        <v>468</v>
      </c>
      <c r="J184" t="s">
        <v>1162</v>
      </c>
      <c r="K184" t="s">
        <v>25</v>
      </c>
      <c r="L184">
        <v>1</v>
      </c>
      <c r="M184" t="s">
        <v>11</v>
      </c>
      <c r="N184" s="16" t="s">
        <v>24</v>
      </c>
      <c r="O184" t="s">
        <v>13</v>
      </c>
    </row>
    <row r="185" spans="1:16">
      <c r="A185" s="18" t="s">
        <v>295</v>
      </c>
      <c r="B185">
        <v>25150386</v>
      </c>
      <c r="C185">
        <v>1</v>
      </c>
      <c r="F185">
        <v>1</v>
      </c>
      <c r="H185">
        <v>1</v>
      </c>
      <c r="I185" t="s">
        <v>773</v>
      </c>
      <c r="J185" t="s">
        <v>1192</v>
      </c>
      <c r="K185" t="s">
        <v>762</v>
      </c>
      <c r="L185">
        <v>1</v>
      </c>
      <c r="M185" t="s">
        <v>772</v>
      </c>
      <c r="N185" s="16" t="s">
        <v>33</v>
      </c>
    </row>
    <row r="186" spans="1:16">
      <c r="A186" s="18" t="s">
        <v>148</v>
      </c>
      <c r="B186">
        <v>16891562</v>
      </c>
      <c r="C186">
        <v>1</v>
      </c>
      <c r="F186">
        <v>1</v>
      </c>
      <c r="H186">
        <v>1</v>
      </c>
      <c r="I186" t="s">
        <v>457</v>
      </c>
      <c r="J186" t="s">
        <v>1147</v>
      </c>
      <c r="K186" t="s">
        <v>459</v>
      </c>
      <c r="L186">
        <v>0</v>
      </c>
      <c r="M186" t="s">
        <v>458</v>
      </c>
      <c r="N186" s="16"/>
    </row>
    <row r="187" spans="1:16">
      <c r="A187" s="18" t="s">
        <v>326</v>
      </c>
      <c r="B187">
        <v>16891587</v>
      </c>
      <c r="C187">
        <v>1</v>
      </c>
      <c r="F187">
        <v>1</v>
      </c>
      <c r="H187">
        <v>1</v>
      </c>
      <c r="I187" t="s">
        <v>457</v>
      </c>
      <c r="J187" t="s">
        <v>1147</v>
      </c>
      <c r="K187" t="s">
        <v>847</v>
      </c>
      <c r="L187">
        <v>1</v>
      </c>
      <c r="M187" t="s">
        <v>848</v>
      </c>
      <c r="N187" t="s">
        <v>56</v>
      </c>
      <c r="O187" t="s">
        <v>24</v>
      </c>
    </row>
    <row r="188" spans="1:16">
      <c r="A188" s="32" t="s">
        <v>355</v>
      </c>
      <c r="B188">
        <v>19703322</v>
      </c>
      <c r="C188">
        <v>1</v>
      </c>
      <c r="F188">
        <v>1</v>
      </c>
      <c r="H188">
        <v>1</v>
      </c>
      <c r="I188" t="s">
        <v>457</v>
      </c>
      <c r="J188" t="s">
        <v>1147</v>
      </c>
      <c r="K188" t="s">
        <v>819</v>
      </c>
      <c r="L188">
        <v>1</v>
      </c>
      <c r="N188" t="s">
        <v>917</v>
      </c>
    </row>
    <row r="189" spans="1:16">
      <c r="A189" s="18" t="s">
        <v>136</v>
      </c>
      <c r="B189" s="18">
        <v>19359452</v>
      </c>
      <c r="C189">
        <v>1</v>
      </c>
      <c r="F189">
        <v>1</v>
      </c>
      <c r="H189">
        <v>1</v>
      </c>
      <c r="I189" t="s">
        <v>430</v>
      </c>
      <c r="J189" t="s">
        <v>1164</v>
      </c>
      <c r="K189" t="s">
        <v>25</v>
      </c>
      <c r="L189">
        <v>1</v>
      </c>
      <c r="M189" t="s">
        <v>432</v>
      </c>
      <c r="N189" s="16" t="s">
        <v>431</v>
      </c>
    </row>
    <row r="190" spans="1:16">
      <c r="A190" s="18" t="s">
        <v>356</v>
      </c>
      <c r="B190" s="18">
        <v>25516381</v>
      </c>
      <c r="C190">
        <v>1</v>
      </c>
      <c r="F190">
        <v>1</v>
      </c>
      <c r="H190">
        <v>1</v>
      </c>
      <c r="I190" t="s">
        <v>919</v>
      </c>
      <c r="J190" t="s">
        <v>1192</v>
      </c>
      <c r="K190" t="s">
        <v>819</v>
      </c>
      <c r="L190">
        <v>1</v>
      </c>
      <c r="M190" t="s">
        <v>918</v>
      </c>
      <c r="N190" t="s">
        <v>24</v>
      </c>
      <c r="O190" t="s">
        <v>921</v>
      </c>
    </row>
    <row r="191" spans="1:16">
      <c r="A191" t="s">
        <v>249</v>
      </c>
      <c r="B191">
        <v>23148782</v>
      </c>
      <c r="C191">
        <v>1</v>
      </c>
      <c r="F191">
        <v>1</v>
      </c>
      <c r="H191">
        <v>1</v>
      </c>
      <c r="I191" t="s">
        <v>676</v>
      </c>
      <c r="J191" t="s">
        <v>1157</v>
      </c>
      <c r="K191" t="s">
        <v>591</v>
      </c>
      <c r="L191">
        <v>1</v>
      </c>
      <c r="M191" t="s">
        <v>677</v>
      </c>
      <c r="N191" s="16"/>
    </row>
    <row r="192" spans="1:16">
      <c r="A192" t="s">
        <v>98</v>
      </c>
      <c r="B192">
        <v>3989520</v>
      </c>
      <c r="C192">
        <v>1</v>
      </c>
      <c r="F192">
        <v>1</v>
      </c>
      <c r="H192">
        <v>1</v>
      </c>
      <c r="I192" t="s">
        <v>1179</v>
      </c>
      <c r="J192" t="s">
        <v>1142</v>
      </c>
      <c r="K192" t="s">
        <v>25</v>
      </c>
      <c r="L192">
        <v>1</v>
      </c>
      <c r="M192" t="s">
        <v>67</v>
      </c>
      <c r="N192" s="16" t="s">
        <v>12</v>
      </c>
    </row>
    <row r="193" spans="1:17">
      <c r="A193" t="s">
        <v>100</v>
      </c>
      <c r="B193">
        <v>15820703</v>
      </c>
      <c r="C193">
        <v>1</v>
      </c>
      <c r="D193" s="44" t="s">
        <v>1774</v>
      </c>
      <c r="E193" s="36" t="s">
        <v>1756</v>
      </c>
      <c r="F193">
        <v>1</v>
      </c>
      <c r="G193" t="s">
        <v>1733</v>
      </c>
      <c r="H193">
        <v>1</v>
      </c>
      <c r="I193" t="s">
        <v>1179</v>
      </c>
      <c r="J193" t="s">
        <v>1142</v>
      </c>
      <c r="K193" t="s">
        <v>25</v>
      </c>
      <c r="L193">
        <v>1</v>
      </c>
      <c r="M193" t="s">
        <v>69</v>
      </c>
      <c r="N193" s="16" t="s">
        <v>56</v>
      </c>
    </row>
    <row r="194" spans="1:17">
      <c r="A194" t="s">
        <v>345</v>
      </c>
      <c r="B194">
        <v>26522237</v>
      </c>
      <c r="C194">
        <v>1</v>
      </c>
      <c r="F194">
        <v>1</v>
      </c>
      <c r="H194" s="2">
        <v>1</v>
      </c>
      <c r="I194" t="s">
        <v>1179</v>
      </c>
      <c r="J194" t="s">
        <v>1142</v>
      </c>
      <c r="K194" t="s">
        <v>591</v>
      </c>
      <c r="L194">
        <v>1</v>
      </c>
      <c r="M194" t="s">
        <v>897</v>
      </c>
      <c r="N194" t="s">
        <v>24</v>
      </c>
      <c r="O194" t="s">
        <v>898</v>
      </c>
      <c r="Q194" t="s">
        <v>899</v>
      </c>
    </row>
    <row r="195" spans="1:17">
      <c r="A195" t="s">
        <v>296</v>
      </c>
      <c r="B195">
        <v>24342149</v>
      </c>
      <c r="C195">
        <v>1</v>
      </c>
      <c r="F195">
        <v>1</v>
      </c>
      <c r="H195" s="2">
        <v>1</v>
      </c>
      <c r="I195" t="s">
        <v>775</v>
      </c>
      <c r="J195" t="s">
        <v>1164</v>
      </c>
      <c r="K195" t="s">
        <v>762</v>
      </c>
      <c r="L195">
        <v>1</v>
      </c>
      <c r="M195" t="s">
        <v>774</v>
      </c>
      <c r="N195" s="16" t="s">
        <v>33</v>
      </c>
      <c r="Q195" t="s">
        <v>776</v>
      </c>
    </row>
    <row r="196" spans="1:17">
      <c r="A196" t="s">
        <v>365</v>
      </c>
      <c r="B196">
        <v>17392739</v>
      </c>
      <c r="C196">
        <v>1</v>
      </c>
      <c r="F196">
        <v>1</v>
      </c>
      <c r="H196">
        <v>1</v>
      </c>
      <c r="I196" t="s">
        <v>938</v>
      </c>
      <c r="J196" t="s">
        <v>1153</v>
      </c>
      <c r="K196" t="s">
        <v>25</v>
      </c>
      <c r="L196">
        <v>1</v>
      </c>
      <c r="M196" t="s">
        <v>938</v>
      </c>
      <c r="O196" t="s">
        <v>565</v>
      </c>
    </row>
    <row r="197" spans="1:17">
      <c r="A197" t="s">
        <v>263</v>
      </c>
      <c r="B197">
        <v>23684979</v>
      </c>
      <c r="C197">
        <v>1</v>
      </c>
      <c r="D197" s="44" t="s">
        <v>1780</v>
      </c>
      <c r="E197" s="36" t="s">
        <v>1762</v>
      </c>
      <c r="F197">
        <v>1</v>
      </c>
      <c r="G197" t="s">
        <v>1749</v>
      </c>
      <c r="H197">
        <v>1</v>
      </c>
      <c r="I197" t="s">
        <v>703</v>
      </c>
      <c r="J197" t="s">
        <v>1163</v>
      </c>
      <c r="K197" t="s">
        <v>25</v>
      </c>
      <c r="L197">
        <v>1</v>
      </c>
      <c r="M197" t="s">
        <v>701</v>
      </c>
      <c r="N197" s="16" t="s">
        <v>702</v>
      </c>
    </row>
    <row r="198" spans="1:17">
      <c r="A198" s="32" t="s">
        <v>321</v>
      </c>
      <c r="B198">
        <v>22595028</v>
      </c>
      <c r="C198">
        <v>1</v>
      </c>
      <c r="F198">
        <v>1</v>
      </c>
      <c r="H198">
        <v>1</v>
      </c>
      <c r="I198" t="s">
        <v>834</v>
      </c>
      <c r="J198" t="s">
        <v>1192</v>
      </c>
      <c r="K198" t="s">
        <v>835</v>
      </c>
      <c r="L198">
        <v>1</v>
      </c>
      <c r="M198" t="s">
        <v>778</v>
      </c>
    </row>
    <row r="199" spans="1:17">
      <c r="A199" t="s">
        <v>357</v>
      </c>
      <c r="B199">
        <v>21174249</v>
      </c>
      <c r="C199">
        <v>1</v>
      </c>
      <c r="F199" s="2">
        <v>1</v>
      </c>
      <c r="H199">
        <v>1</v>
      </c>
      <c r="I199" t="s">
        <v>28</v>
      </c>
      <c r="J199" t="s">
        <v>28</v>
      </c>
      <c r="K199" t="s">
        <v>878</v>
      </c>
      <c r="L199">
        <v>1</v>
      </c>
      <c r="M199" t="s">
        <v>922</v>
      </c>
    </row>
    <row r="200" spans="1:17">
      <c r="A200" t="s">
        <v>186</v>
      </c>
      <c r="B200">
        <v>24156759</v>
      </c>
      <c r="C200">
        <v>1</v>
      </c>
      <c r="F200" s="2">
        <v>1</v>
      </c>
      <c r="H200" s="2">
        <v>1</v>
      </c>
      <c r="I200" t="s">
        <v>541</v>
      </c>
      <c r="K200" t="s">
        <v>542</v>
      </c>
      <c r="L200">
        <v>0</v>
      </c>
      <c r="M200" t="s">
        <v>492</v>
      </c>
      <c r="N200" s="16"/>
      <c r="Q200" t="s">
        <v>543</v>
      </c>
    </row>
    <row r="201" spans="1:17">
      <c r="A201" s="18" t="s">
        <v>279</v>
      </c>
      <c r="B201">
        <v>19703319</v>
      </c>
      <c r="C201">
        <v>1</v>
      </c>
      <c r="F201">
        <v>1</v>
      </c>
      <c r="H201">
        <v>1</v>
      </c>
      <c r="I201" t="s">
        <v>733</v>
      </c>
      <c r="J201" t="s">
        <v>1147</v>
      </c>
      <c r="K201" t="s">
        <v>25</v>
      </c>
      <c r="L201">
        <v>1</v>
      </c>
      <c r="M201" t="s">
        <v>732</v>
      </c>
      <c r="N201" s="16"/>
      <c r="Q201" t="s">
        <v>734</v>
      </c>
    </row>
    <row r="202" spans="1:17">
      <c r="A202" t="s">
        <v>75</v>
      </c>
      <c r="B202">
        <v>25444643</v>
      </c>
      <c r="C202">
        <v>1</v>
      </c>
      <c r="F202">
        <v>1</v>
      </c>
      <c r="H202">
        <v>1</v>
      </c>
      <c r="I202" t="s">
        <v>11</v>
      </c>
      <c r="J202" t="s">
        <v>1142</v>
      </c>
      <c r="K202" t="s">
        <v>10</v>
      </c>
      <c r="L202">
        <v>1</v>
      </c>
      <c r="M202" t="s">
        <v>11</v>
      </c>
      <c r="N202" s="16" t="s">
        <v>12</v>
      </c>
      <c r="O202" t="s">
        <v>13</v>
      </c>
    </row>
    <row r="203" spans="1:17">
      <c r="A203" t="s">
        <v>126</v>
      </c>
      <c r="B203">
        <v>24950747</v>
      </c>
      <c r="C203">
        <v>1</v>
      </c>
      <c r="F203">
        <v>1</v>
      </c>
      <c r="H203">
        <v>1</v>
      </c>
      <c r="I203" t="s">
        <v>11</v>
      </c>
      <c r="J203" t="s">
        <v>1142</v>
      </c>
      <c r="K203" t="s">
        <v>416</v>
      </c>
      <c r="L203">
        <v>0</v>
      </c>
      <c r="M203" t="s">
        <v>11</v>
      </c>
      <c r="N203" s="16"/>
      <c r="Q203" t="s">
        <v>1193</v>
      </c>
    </row>
    <row r="204" spans="1:17">
      <c r="A204" t="s">
        <v>152</v>
      </c>
      <c r="B204">
        <v>10066999</v>
      </c>
      <c r="C204">
        <v>1</v>
      </c>
      <c r="F204">
        <v>1</v>
      </c>
      <c r="H204">
        <v>1</v>
      </c>
      <c r="I204" t="s">
        <v>11</v>
      </c>
      <c r="J204" t="s">
        <v>1162</v>
      </c>
      <c r="K204" t="s">
        <v>25</v>
      </c>
      <c r="L204">
        <v>1</v>
      </c>
      <c r="M204" t="s">
        <v>11</v>
      </c>
      <c r="N204" s="16" t="s">
        <v>24</v>
      </c>
      <c r="O204" t="s">
        <v>13</v>
      </c>
    </row>
    <row r="205" spans="1:17">
      <c r="A205" t="s">
        <v>231</v>
      </c>
      <c r="B205">
        <v>8547457</v>
      </c>
      <c r="C205">
        <v>1</v>
      </c>
      <c r="F205">
        <v>1</v>
      </c>
      <c r="H205">
        <v>1</v>
      </c>
      <c r="I205" t="s">
        <v>11</v>
      </c>
      <c r="J205" t="s">
        <v>1142</v>
      </c>
      <c r="K205" t="s">
        <v>591</v>
      </c>
      <c r="L205">
        <v>1</v>
      </c>
      <c r="M205" t="s">
        <v>11</v>
      </c>
      <c r="N205" s="16"/>
      <c r="O205" t="s">
        <v>13</v>
      </c>
    </row>
    <row r="206" spans="1:17">
      <c r="A206" t="s">
        <v>274</v>
      </c>
      <c r="B206">
        <v>23792855</v>
      </c>
      <c r="C206">
        <v>1</v>
      </c>
      <c r="F206">
        <v>1</v>
      </c>
      <c r="H206">
        <v>1</v>
      </c>
      <c r="I206" t="s">
        <v>11</v>
      </c>
      <c r="J206" t="s">
        <v>1142</v>
      </c>
      <c r="K206" t="s">
        <v>25</v>
      </c>
      <c r="L206">
        <v>1</v>
      </c>
      <c r="M206" t="s">
        <v>723</v>
      </c>
      <c r="N206" s="16" t="s">
        <v>24</v>
      </c>
      <c r="O206" t="s">
        <v>724</v>
      </c>
    </row>
    <row r="207" spans="1:17">
      <c r="A207" t="s">
        <v>225</v>
      </c>
      <c r="B207">
        <v>18313695</v>
      </c>
      <c r="C207">
        <v>1</v>
      </c>
      <c r="F207">
        <v>1</v>
      </c>
      <c r="H207">
        <v>1</v>
      </c>
      <c r="I207" t="s">
        <v>627</v>
      </c>
      <c r="J207" t="s">
        <v>1142</v>
      </c>
      <c r="K207" t="s">
        <v>628</v>
      </c>
      <c r="L207">
        <v>1</v>
      </c>
      <c r="M207" t="s">
        <v>629</v>
      </c>
      <c r="N207" s="16" t="s">
        <v>24</v>
      </c>
      <c r="O207" t="s">
        <v>630</v>
      </c>
      <c r="Q207" t="s">
        <v>631</v>
      </c>
    </row>
    <row r="208" spans="1:17">
      <c r="A208" t="s">
        <v>112</v>
      </c>
      <c r="B208">
        <v>23673864</v>
      </c>
      <c r="C208">
        <v>1</v>
      </c>
      <c r="F208" s="2">
        <v>1</v>
      </c>
      <c r="G208" t="s">
        <v>1735</v>
      </c>
      <c r="H208" s="2">
        <v>1</v>
      </c>
      <c r="I208" t="s">
        <v>384</v>
      </c>
      <c r="K208" t="s">
        <v>386</v>
      </c>
      <c r="M208" t="s">
        <v>385</v>
      </c>
      <c r="N208" s="16" t="s">
        <v>44</v>
      </c>
      <c r="Q208" t="s">
        <v>387</v>
      </c>
    </row>
    <row r="209" spans="1:17">
      <c r="A209" t="s">
        <v>156</v>
      </c>
      <c r="B209">
        <v>12450636</v>
      </c>
      <c r="C209">
        <v>1</v>
      </c>
      <c r="F209">
        <v>1</v>
      </c>
      <c r="H209">
        <v>1</v>
      </c>
      <c r="I209" t="s">
        <v>473</v>
      </c>
      <c r="J209" t="s">
        <v>1184</v>
      </c>
      <c r="K209" t="s">
        <v>471</v>
      </c>
      <c r="L209">
        <v>0</v>
      </c>
      <c r="M209" t="s">
        <v>474</v>
      </c>
      <c r="N209" s="16" t="s">
        <v>24</v>
      </c>
      <c r="O209" t="s">
        <v>24</v>
      </c>
    </row>
    <row r="210" spans="1:17">
      <c r="A210" s="18" t="s">
        <v>103</v>
      </c>
      <c r="B210">
        <v>22200095</v>
      </c>
      <c r="C210">
        <v>1</v>
      </c>
      <c r="F210">
        <v>1</v>
      </c>
      <c r="H210">
        <v>1</v>
      </c>
      <c r="I210" t="s">
        <v>74</v>
      </c>
      <c r="J210" t="s">
        <v>1147</v>
      </c>
      <c r="K210" t="s">
        <v>25</v>
      </c>
      <c r="N210" s="16"/>
    </row>
    <row r="211" spans="1:17">
      <c r="A211" t="s">
        <v>290</v>
      </c>
      <c r="B211">
        <v>1355475</v>
      </c>
      <c r="C211" s="3">
        <v>1</v>
      </c>
      <c r="D211" s="44" t="s">
        <v>66</v>
      </c>
      <c r="F211" s="2">
        <v>1</v>
      </c>
      <c r="H211" s="2">
        <v>1</v>
      </c>
      <c r="I211" t="s">
        <v>66</v>
      </c>
      <c r="J211" t="s">
        <v>1142</v>
      </c>
      <c r="K211" t="s">
        <v>759</v>
      </c>
      <c r="L211">
        <v>1</v>
      </c>
      <c r="M211" t="s">
        <v>760</v>
      </c>
      <c r="N211" s="16"/>
      <c r="O211" t="s">
        <v>758</v>
      </c>
      <c r="Q211" t="s">
        <v>761</v>
      </c>
    </row>
    <row r="212" spans="1:17">
      <c r="A212" t="s">
        <v>298</v>
      </c>
      <c r="B212">
        <v>26645315</v>
      </c>
      <c r="C212">
        <v>1</v>
      </c>
      <c r="F212">
        <v>1</v>
      </c>
      <c r="H212">
        <v>1</v>
      </c>
      <c r="I212" t="s">
        <v>781</v>
      </c>
      <c r="J212" t="s">
        <v>1147</v>
      </c>
      <c r="K212" t="s">
        <v>783</v>
      </c>
      <c r="L212">
        <v>1</v>
      </c>
      <c r="M212" t="s">
        <v>782</v>
      </c>
      <c r="N212" s="16" t="s">
        <v>24</v>
      </c>
      <c r="Q212" t="s">
        <v>784</v>
      </c>
    </row>
    <row r="213" spans="1:17">
      <c r="A213" s="18" t="s">
        <v>352</v>
      </c>
      <c r="B213">
        <v>25244677</v>
      </c>
      <c r="C213">
        <v>1</v>
      </c>
      <c r="F213">
        <v>1</v>
      </c>
      <c r="H213">
        <v>1</v>
      </c>
      <c r="I213" t="s">
        <v>913</v>
      </c>
      <c r="J213" t="s">
        <v>1164</v>
      </c>
      <c r="K213" t="s">
        <v>865</v>
      </c>
      <c r="L213">
        <v>0</v>
      </c>
      <c r="M213" t="s">
        <v>30</v>
      </c>
      <c r="P213" t="s">
        <v>912</v>
      </c>
    </row>
    <row r="214" spans="1:17">
      <c r="A214" s="18" t="s">
        <v>358</v>
      </c>
      <c r="B214" s="18">
        <v>26892753</v>
      </c>
      <c r="C214">
        <v>1</v>
      </c>
      <c r="F214">
        <v>1</v>
      </c>
      <c r="H214">
        <v>1</v>
      </c>
      <c r="I214" t="s">
        <v>924</v>
      </c>
      <c r="J214" t="s">
        <v>1196</v>
      </c>
      <c r="K214" t="s">
        <v>819</v>
      </c>
      <c r="L214">
        <v>1</v>
      </c>
      <c r="M214" t="s">
        <v>923</v>
      </c>
      <c r="N214" t="s">
        <v>24</v>
      </c>
      <c r="O214" t="s">
        <v>24</v>
      </c>
      <c r="P214" t="s">
        <v>925</v>
      </c>
    </row>
    <row r="215" spans="1:17">
      <c r="A215" s="18" t="s">
        <v>278</v>
      </c>
      <c r="B215" s="18">
        <v>25959594</v>
      </c>
      <c r="C215">
        <v>1</v>
      </c>
      <c r="F215">
        <v>1</v>
      </c>
      <c r="H215">
        <v>1</v>
      </c>
      <c r="I215" t="s">
        <v>730</v>
      </c>
      <c r="J215" t="s">
        <v>1192</v>
      </c>
      <c r="K215" t="s">
        <v>25</v>
      </c>
      <c r="L215">
        <v>1</v>
      </c>
      <c r="M215" t="s">
        <v>729</v>
      </c>
      <c r="N215" s="16" t="s">
        <v>731</v>
      </c>
    </row>
    <row r="216" spans="1:17">
      <c r="A216" t="s">
        <v>297</v>
      </c>
      <c r="B216">
        <v>18590795</v>
      </c>
      <c r="C216">
        <v>1</v>
      </c>
      <c r="F216">
        <v>1</v>
      </c>
      <c r="H216">
        <v>1</v>
      </c>
      <c r="I216" t="s">
        <v>779</v>
      </c>
      <c r="J216" t="s">
        <v>1192</v>
      </c>
      <c r="K216" t="s">
        <v>25</v>
      </c>
      <c r="L216">
        <v>1</v>
      </c>
      <c r="M216" t="s">
        <v>778</v>
      </c>
      <c r="N216" s="16" t="s">
        <v>777</v>
      </c>
    </row>
    <row r="217" spans="1:17">
      <c r="A217" t="s">
        <v>334</v>
      </c>
      <c r="B217">
        <v>25154707</v>
      </c>
      <c r="C217">
        <v>1</v>
      </c>
      <c r="F217">
        <v>1</v>
      </c>
      <c r="H217">
        <v>1</v>
      </c>
      <c r="I217" t="s">
        <v>870</v>
      </c>
      <c r="J217" t="s">
        <v>1192</v>
      </c>
      <c r="K217" t="s">
        <v>25</v>
      </c>
      <c r="L217">
        <v>1</v>
      </c>
      <c r="M217" t="s">
        <v>869</v>
      </c>
      <c r="N217" t="s">
        <v>56</v>
      </c>
      <c r="Q217" t="s">
        <v>871</v>
      </c>
    </row>
    <row r="218" spans="1:17">
      <c r="A218" t="s">
        <v>335</v>
      </c>
      <c r="B218">
        <v>24886789</v>
      </c>
      <c r="C218">
        <v>1</v>
      </c>
      <c r="F218">
        <v>1</v>
      </c>
      <c r="H218">
        <v>1</v>
      </c>
      <c r="I218" t="s">
        <v>870</v>
      </c>
      <c r="J218" t="s">
        <v>1192</v>
      </c>
      <c r="K218" t="s">
        <v>25</v>
      </c>
      <c r="L218">
        <v>1</v>
      </c>
      <c r="M218" t="s">
        <v>872</v>
      </c>
      <c r="N218" t="s">
        <v>56</v>
      </c>
    </row>
    <row r="219" spans="1:17">
      <c r="A219" t="s">
        <v>200</v>
      </c>
      <c r="B219">
        <v>21443892</v>
      </c>
      <c r="C219">
        <v>1</v>
      </c>
      <c r="F219">
        <v>1</v>
      </c>
      <c r="H219" s="2">
        <v>1</v>
      </c>
      <c r="I219" t="s">
        <v>574</v>
      </c>
      <c r="J219" t="s">
        <v>1147</v>
      </c>
      <c r="K219" t="s">
        <v>575</v>
      </c>
      <c r="L219">
        <v>0</v>
      </c>
      <c r="M219" t="s">
        <v>23</v>
      </c>
      <c r="N219" s="16" t="s">
        <v>573</v>
      </c>
      <c r="Q219" t="s">
        <v>576</v>
      </c>
    </row>
    <row r="220" spans="1:17">
      <c r="A220" t="s">
        <v>121</v>
      </c>
      <c r="B220">
        <v>12607144</v>
      </c>
      <c r="C220">
        <v>1</v>
      </c>
      <c r="F220">
        <v>1</v>
      </c>
      <c r="H220">
        <v>1</v>
      </c>
      <c r="I220" t="s">
        <v>408</v>
      </c>
      <c r="K220" t="s">
        <v>25</v>
      </c>
      <c r="L220">
        <v>1</v>
      </c>
      <c r="N220" s="16"/>
    </row>
    <row r="221" spans="1:17">
      <c r="A221" t="s">
        <v>194</v>
      </c>
      <c r="B221">
        <v>12775293</v>
      </c>
      <c r="C221">
        <v>1</v>
      </c>
      <c r="F221">
        <v>1</v>
      </c>
      <c r="H221">
        <v>1</v>
      </c>
      <c r="I221" t="s">
        <v>562</v>
      </c>
      <c r="J221" t="s">
        <v>1147</v>
      </c>
      <c r="K221" t="s">
        <v>560</v>
      </c>
      <c r="L221">
        <v>0</v>
      </c>
      <c r="M221" t="s">
        <v>561</v>
      </c>
      <c r="N221" s="16" t="s">
        <v>24</v>
      </c>
    </row>
    <row r="222" spans="1:17">
      <c r="A222" t="s">
        <v>143</v>
      </c>
      <c r="B222">
        <v>18800372</v>
      </c>
      <c r="C222">
        <v>1</v>
      </c>
      <c r="F222">
        <v>1</v>
      </c>
      <c r="H222">
        <v>1</v>
      </c>
      <c r="I222" t="s">
        <v>450</v>
      </c>
      <c r="J222" t="s">
        <v>1147</v>
      </c>
      <c r="K222" t="s">
        <v>25</v>
      </c>
      <c r="L222">
        <v>1</v>
      </c>
      <c r="M222" t="s">
        <v>449</v>
      </c>
      <c r="N222" s="16"/>
    </row>
    <row r="223" spans="1:17">
      <c r="A223" t="s">
        <v>83</v>
      </c>
      <c r="B223">
        <v>23496805</v>
      </c>
      <c r="C223">
        <v>1</v>
      </c>
      <c r="F223">
        <v>1</v>
      </c>
      <c r="H223">
        <v>1</v>
      </c>
      <c r="I223" t="s">
        <v>32</v>
      </c>
      <c r="J223" t="s">
        <v>1164</v>
      </c>
      <c r="K223" t="s">
        <v>25</v>
      </c>
      <c r="L223">
        <v>1</v>
      </c>
      <c r="M223" t="s">
        <v>30</v>
      </c>
      <c r="N223" s="16"/>
    </row>
    <row r="224" spans="1:17">
      <c r="A224" t="s">
        <v>84</v>
      </c>
      <c r="B224">
        <v>8770439</v>
      </c>
      <c r="C224">
        <v>1</v>
      </c>
      <c r="F224" s="2">
        <v>1</v>
      </c>
      <c r="H224">
        <v>1</v>
      </c>
      <c r="I224" t="s">
        <v>35</v>
      </c>
      <c r="J224" t="s">
        <v>1143</v>
      </c>
      <c r="K224" t="s">
        <v>25</v>
      </c>
      <c r="L224">
        <v>1</v>
      </c>
      <c r="M224" t="s">
        <v>34</v>
      </c>
      <c r="N224" s="16" t="s">
        <v>33</v>
      </c>
      <c r="O224" t="s">
        <v>33</v>
      </c>
    </row>
    <row r="225" spans="1:17">
      <c r="A225" t="s">
        <v>163</v>
      </c>
      <c r="B225">
        <v>18806234</v>
      </c>
      <c r="C225">
        <v>1</v>
      </c>
      <c r="F225">
        <v>1</v>
      </c>
      <c r="H225">
        <v>1</v>
      </c>
      <c r="I225" t="s">
        <v>486</v>
      </c>
      <c r="K225" t="s">
        <v>487</v>
      </c>
      <c r="L225">
        <v>0</v>
      </c>
      <c r="N225" s="16"/>
    </row>
    <row r="226" spans="1:17">
      <c r="A226" s="32" t="s">
        <v>181</v>
      </c>
      <c r="B226">
        <v>24717141</v>
      </c>
      <c r="C226">
        <v>1</v>
      </c>
      <c r="F226">
        <v>1</v>
      </c>
      <c r="H226">
        <v>1</v>
      </c>
      <c r="I226" t="s">
        <v>528</v>
      </c>
      <c r="J226" t="s">
        <v>1175</v>
      </c>
      <c r="K226" t="s">
        <v>25</v>
      </c>
      <c r="L226">
        <v>1</v>
      </c>
      <c r="M226" t="s">
        <v>532</v>
      </c>
      <c r="N226" s="16" t="s">
        <v>24</v>
      </c>
      <c r="O226" t="s">
        <v>530</v>
      </c>
      <c r="Q226" t="s">
        <v>533</v>
      </c>
    </row>
    <row r="227" spans="1:17">
      <c r="A227" s="32" t="s">
        <v>180</v>
      </c>
      <c r="B227">
        <v>24005546</v>
      </c>
      <c r="C227">
        <v>1</v>
      </c>
      <c r="F227">
        <v>1</v>
      </c>
      <c r="H227">
        <v>1</v>
      </c>
      <c r="I227" t="s">
        <v>528</v>
      </c>
      <c r="J227" t="s">
        <v>1176</v>
      </c>
      <c r="K227" t="s">
        <v>25</v>
      </c>
      <c r="L227">
        <v>1</v>
      </c>
      <c r="M227" t="s">
        <v>529</v>
      </c>
      <c r="N227" s="16" t="s">
        <v>24</v>
      </c>
      <c r="O227" t="s">
        <v>530</v>
      </c>
      <c r="Q227" t="s">
        <v>531</v>
      </c>
    </row>
    <row r="228" spans="1:17">
      <c r="A228" t="s">
        <v>313</v>
      </c>
      <c r="B228">
        <v>25847622</v>
      </c>
      <c r="C228">
        <v>1</v>
      </c>
      <c r="F228">
        <v>1</v>
      </c>
      <c r="H228">
        <v>1</v>
      </c>
      <c r="I228" t="s">
        <v>815</v>
      </c>
      <c r="J228" t="s">
        <v>1147</v>
      </c>
      <c r="K228" t="s">
        <v>1195</v>
      </c>
      <c r="L228">
        <v>1</v>
      </c>
      <c r="M228" t="s">
        <v>813</v>
      </c>
      <c r="N228" s="16" t="s">
        <v>24</v>
      </c>
      <c r="O228" t="s">
        <v>24</v>
      </c>
      <c r="P228" t="s">
        <v>814</v>
      </c>
    </row>
    <row r="229" spans="1:17">
      <c r="A229" s="32" t="s">
        <v>114</v>
      </c>
      <c r="B229">
        <v>24766521</v>
      </c>
      <c r="C229">
        <v>1</v>
      </c>
      <c r="F229">
        <v>1</v>
      </c>
      <c r="H229">
        <v>1</v>
      </c>
      <c r="I229" t="s">
        <v>394</v>
      </c>
      <c r="J229" t="s">
        <v>1147</v>
      </c>
      <c r="K229" t="s">
        <v>25</v>
      </c>
      <c r="M229" t="s">
        <v>393</v>
      </c>
      <c r="N229" s="16"/>
    </row>
    <row r="230" spans="1:17">
      <c r="A230" s="3" t="s">
        <v>235</v>
      </c>
      <c r="B230" s="3">
        <v>24015254</v>
      </c>
      <c r="C230">
        <v>1</v>
      </c>
      <c r="F230">
        <v>1</v>
      </c>
      <c r="H230">
        <v>1</v>
      </c>
      <c r="I230" t="s">
        <v>652</v>
      </c>
      <c r="K230" t="s">
        <v>591</v>
      </c>
      <c r="L230">
        <v>1</v>
      </c>
      <c r="M230" t="s">
        <v>653</v>
      </c>
      <c r="N230" s="16" t="s">
        <v>24</v>
      </c>
    </row>
    <row r="231" spans="1:17">
      <c r="A231" t="s">
        <v>364</v>
      </c>
      <c r="B231">
        <v>15962694</v>
      </c>
      <c r="C231">
        <v>1</v>
      </c>
      <c r="F231">
        <v>1</v>
      </c>
      <c r="H231">
        <v>1</v>
      </c>
      <c r="I231" t="s">
        <v>936</v>
      </c>
      <c r="J231" t="s">
        <v>1147</v>
      </c>
      <c r="K231" t="s">
        <v>25</v>
      </c>
      <c r="L231">
        <v>1</v>
      </c>
      <c r="M231" t="s">
        <v>935</v>
      </c>
      <c r="Q231" t="s">
        <v>937</v>
      </c>
    </row>
    <row r="232" spans="1:17">
      <c r="A232" t="s">
        <v>105</v>
      </c>
      <c r="B232">
        <v>17352380</v>
      </c>
      <c r="C232">
        <v>1</v>
      </c>
      <c r="F232">
        <v>1</v>
      </c>
      <c r="H232">
        <v>1</v>
      </c>
      <c r="I232" t="s">
        <v>73</v>
      </c>
      <c r="J232" t="s">
        <v>1147</v>
      </c>
      <c r="K232" t="s">
        <v>25</v>
      </c>
      <c r="M232" t="s">
        <v>371</v>
      </c>
      <c r="N232" s="16"/>
      <c r="Q232" t="s">
        <v>372</v>
      </c>
    </row>
    <row r="233" spans="1:17">
      <c r="A233" t="s">
        <v>144</v>
      </c>
      <c r="B233">
        <v>17698081</v>
      </c>
      <c r="C233">
        <v>1</v>
      </c>
      <c r="F233">
        <v>1</v>
      </c>
      <c r="H233">
        <v>1</v>
      </c>
      <c r="I233" t="s">
        <v>73</v>
      </c>
      <c r="J233" t="s">
        <v>1147</v>
      </c>
      <c r="K233" t="s">
        <v>25</v>
      </c>
      <c r="L233">
        <v>1</v>
      </c>
      <c r="M233" t="s">
        <v>451</v>
      </c>
      <c r="N233" s="16" t="s">
        <v>56</v>
      </c>
    </row>
    <row r="234" spans="1:17">
      <c r="A234" t="s">
        <v>166</v>
      </c>
      <c r="B234">
        <v>26106539</v>
      </c>
      <c r="C234">
        <v>1</v>
      </c>
      <c r="F234">
        <v>1</v>
      </c>
      <c r="H234">
        <v>1</v>
      </c>
      <c r="I234" t="s">
        <v>73</v>
      </c>
      <c r="J234" t="s">
        <v>1147</v>
      </c>
      <c r="K234" t="s">
        <v>391</v>
      </c>
      <c r="L234">
        <v>1</v>
      </c>
      <c r="M234" t="s">
        <v>492</v>
      </c>
      <c r="N234" s="16" t="s">
        <v>491</v>
      </c>
    </row>
    <row r="235" spans="1:17">
      <c r="A235" t="s">
        <v>176</v>
      </c>
      <c r="B235">
        <v>9464211</v>
      </c>
      <c r="C235">
        <v>1</v>
      </c>
      <c r="F235">
        <v>1</v>
      </c>
      <c r="H235">
        <v>1</v>
      </c>
      <c r="I235" t="s">
        <v>73</v>
      </c>
      <c r="J235" t="s">
        <v>1147</v>
      </c>
      <c r="K235" t="s">
        <v>518</v>
      </c>
      <c r="L235">
        <v>0</v>
      </c>
      <c r="M235" t="s">
        <v>519</v>
      </c>
      <c r="N235" s="16"/>
      <c r="P235" t="s">
        <v>520</v>
      </c>
    </row>
    <row r="236" spans="1:17">
      <c r="A236" t="s">
        <v>227</v>
      </c>
      <c r="B236">
        <v>17853136</v>
      </c>
      <c r="C236">
        <v>1</v>
      </c>
      <c r="F236">
        <v>1</v>
      </c>
      <c r="H236">
        <v>1</v>
      </c>
      <c r="I236" t="s">
        <v>73</v>
      </c>
      <c r="J236" t="s">
        <v>1147</v>
      </c>
      <c r="K236" t="s">
        <v>634</v>
      </c>
      <c r="L236">
        <v>1</v>
      </c>
      <c r="M236" t="s">
        <v>635</v>
      </c>
      <c r="N236" s="16"/>
    </row>
    <row r="237" spans="1:17">
      <c r="A237" s="18" t="s">
        <v>363</v>
      </c>
      <c r="B237">
        <v>16445942</v>
      </c>
      <c r="C237">
        <v>1</v>
      </c>
      <c r="F237">
        <v>1</v>
      </c>
      <c r="H237">
        <v>1</v>
      </c>
      <c r="I237" t="s">
        <v>73</v>
      </c>
      <c r="J237" t="s">
        <v>1147</v>
      </c>
      <c r="K237" t="s">
        <v>25</v>
      </c>
      <c r="L237">
        <v>1</v>
      </c>
      <c r="M237" t="s">
        <v>934</v>
      </c>
      <c r="Q237" t="s">
        <v>937</v>
      </c>
    </row>
    <row r="238" spans="1:17">
      <c r="A238" t="s">
        <v>167</v>
      </c>
      <c r="B238">
        <v>21047644</v>
      </c>
      <c r="C238">
        <v>1</v>
      </c>
      <c r="F238">
        <v>1</v>
      </c>
      <c r="H238">
        <v>1</v>
      </c>
      <c r="I238" t="s">
        <v>493</v>
      </c>
      <c r="J238" t="s">
        <v>1147</v>
      </c>
      <c r="K238" t="s">
        <v>20</v>
      </c>
      <c r="L238">
        <v>1</v>
      </c>
      <c r="N238" s="16" t="s">
        <v>56</v>
      </c>
      <c r="Q238" t="s">
        <v>494</v>
      </c>
    </row>
    <row r="239" spans="1:17">
      <c r="A239" s="66" t="s">
        <v>214</v>
      </c>
      <c r="B239">
        <v>23877970</v>
      </c>
      <c r="C239">
        <v>1</v>
      </c>
      <c r="F239">
        <v>1</v>
      </c>
      <c r="H239">
        <v>1</v>
      </c>
      <c r="I239" t="s">
        <v>493</v>
      </c>
      <c r="J239" t="s">
        <v>1147</v>
      </c>
      <c r="K239" t="s">
        <v>376</v>
      </c>
      <c r="L239">
        <v>1</v>
      </c>
      <c r="M239" t="s">
        <v>606</v>
      </c>
      <c r="N239" s="16" t="s">
        <v>24</v>
      </c>
      <c r="O239" t="s">
        <v>24</v>
      </c>
      <c r="P239" t="s">
        <v>607</v>
      </c>
    </row>
    <row r="240" spans="1:17">
      <c r="A240" s="32" t="s">
        <v>221</v>
      </c>
      <c r="B240">
        <v>2266215</v>
      </c>
      <c r="C240">
        <v>1</v>
      </c>
      <c r="F240">
        <v>1</v>
      </c>
      <c r="H240">
        <v>1</v>
      </c>
      <c r="I240" t="s">
        <v>620</v>
      </c>
      <c r="J240" t="s">
        <v>1163</v>
      </c>
      <c r="K240" t="s">
        <v>591</v>
      </c>
      <c r="L240">
        <v>1</v>
      </c>
      <c r="M240" t="s">
        <v>619</v>
      </c>
      <c r="N240" s="16"/>
    </row>
    <row r="241" spans="1:17">
      <c r="A241" t="s">
        <v>338</v>
      </c>
      <c r="B241">
        <v>24245929</v>
      </c>
      <c r="C241">
        <v>1</v>
      </c>
      <c r="F241">
        <v>1</v>
      </c>
      <c r="H241">
        <v>1</v>
      </c>
      <c r="I241" t="s">
        <v>876</v>
      </c>
      <c r="J241" t="s">
        <v>1191</v>
      </c>
      <c r="K241" t="s">
        <v>878</v>
      </c>
      <c r="L241">
        <v>1</v>
      </c>
      <c r="M241" t="s">
        <v>1190</v>
      </c>
      <c r="N241" t="s">
        <v>24</v>
      </c>
      <c r="O241" t="s">
        <v>24</v>
      </c>
      <c r="P241" t="s">
        <v>877</v>
      </c>
    </row>
    <row r="242" spans="1:17">
      <c r="A242" t="s">
        <v>289</v>
      </c>
      <c r="B242">
        <v>21715297</v>
      </c>
      <c r="C242">
        <v>1</v>
      </c>
      <c r="F242">
        <v>1</v>
      </c>
      <c r="H242">
        <v>1</v>
      </c>
      <c r="I242" t="s">
        <v>755</v>
      </c>
      <c r="J242" t="s">
        <v>1147</v>
      </c>
      <c r="K242" t="s">
        <v>25</v>
      </c>
      <c r="L242">
        <v>1</v>
      </c>
      <c r="M242" t="s">
        <v>756</v>
      </c>
      <c r="N242" s="16" t="s">
        <v>24</v>
      </c>
      <c r="O242" t="s">
        <v>757</v>
      </c>
    </row>
    <row r="243" spans="1:17">
      <c r="A243" s="66" t="s">
        <v>208</v>
      </c>
      <c r="B243">
        <v>23445934</v>
      </c>
      <c r="C243">
        <v>1</v>
      </c>
      <c r="F243">
        <v>1</v>
      </c>
      <c r="H243">
        <v>1</v>
      </c>
      <c r="I243" t="s">
        <v>596</v>
      </c>
      <c r="J243" t="s">
        <v>1168</v>
      </c>
      <c r="K243" t="s">
        <v>594</v>
      </c>
      <c r="L243">
        <v>0</v>
      </c>
      <c r="M243" t="s">
        <v>597</v>
      </c>
      <c r="N243" s="16" t="s">
        <v>595</v>
      </c>
    </row>
    <row r="244" spans="1:17">
      <c r="A244" s="18" t="s">
        <v>333</v>
      </c>
      <c r="B244">
        <v>21489700</v>
      </c>
      <c r="C244">
        <v>1</v>
      </c>
      <c r="F244">
        <v>1</v>
      </c>
      <c r="H244">
        <v>1</v>
      </c>
      <c r="I244" t="s">
        <v>867</v>
      </c>
      <c r="J244" t="s">
        <v>1147</v>
      </c>
      <c r="K244" t="s">
        <v>25</v>
      </c>
      <c r="L244">
        <v>1</v>
      </c>
      <c r="M244" t="s">
        <v>868</v>
      </c>
      <c r="N244" t="s">
        <v>436</v>
      </c>
      <c r="O244" t="s">
        <v>866</v>
      </c>
    </row>
    <row r="245" spans="1:17">
      <c r="A245" s="5" t="s">
        <v>315</v>
      </c>
      <c r="B245" s="5">
        <v>21180658</v>
      </c>
      <c r="C245" s="5">
        <v>1</v>
      </c>
      <c r="D245" s="48"/>
      <c r="E245" s="39"/>
      <c r="F245" s="5">
        <v>1</v>
      </c>
      <c r="G245" s="5"/>
      <c r="H245" s="5">
        <v>1</v>
      </c>
      <c r="I245" s="5" t="s">
        <v>1178</v>
      </c>
      <c r="J245" s="5" t="s">
        <v>1142</v>
      </c>
      <c r="K245" s="5" t="s">
        <v>819</v>
      </c>
      <c r="L245" s="5">
        <v>1</v>
      </c>
      <c r="M245" s="5" t="s">
        <v>820</v>
      </c>
      <c r="N245" s="5"/>
      <c r="O245" s="5" t="s">
        <v>821</v>
      </c>
      <c r="P245" s="5"/>
      <c r="Q245" s="5" t="s">
        <v>818</v>
      </c>
    </row>
    <row r="246" spans="1:17">
      <c r="A246" s="18" t="s">
        <v>280</v>
      </c>
      <c r="B246">
        <v>17100516</v>
      </c>
      <c r="C246">
        <v>1</v>
      </c>
      <c r="F246">
        <v>1</v>
      </c>
      <c r="H246">
        <v>1</v>
      </c>
      <c r="I246" t="s">
        <v>735</v>
      </c>
      <c r="J246" t="s">
        <v>1154</v>
      </c>
      <c r="K246" t="s">
        <v>736</v>
      </c>
      <c r="L246">
        <v>1</v>
      </c>
      <c r="M246" t="s">
        <v>492</v>
      </c>
      <c r="N246" s="16" t="s">
        <v>24</v>
      </c>
      <c r="O246" t="s">
        <v>24</v>
      </c>
      <c r="P246" t="s">
        <v>737</v>
      </c>
    </row>
    <row r="247" spans="1:17">
      <c r="A247" s="13" t="s">
        <v>145</v>
      </c>
      <c r="B247" s="32">
        <v>11469166</v>
      </c>
      <c r="C247" s="32">
        <v>1</v>
      </c>
      <c r="D247" s="46"/>
      <c r="E247" s="37"/>
      <c r="F247" s="32">
        <v>1</v>
      </c>
      <c r="G247" s="32"/>
      <c r="H247">
        <v>1</v>
      </c>
      <c r="I247" t="s">
        <v>452</v>
      </c>
      <c r="K247" t="s">
        <v>25</v>
      </c>
      <c r="L247">
        <v>1</v>
      </c>
      <c r="M247" t="s">
        <v>24</v>
      </c>
      <c r="N247" s="16"/>
    </row>
    <row r="248" spans="1:17">
      <c r="A248" s="66" t="s">
        <v>190</v>
      </c>
      <c r="B248">
        <v>21898603</v>
      </c>
      <c r="C248">
        <v>1</v>
      </c>
      <c r="F248">
        <v>1</v>
      </c>
      <c r="H248">
        <v>1</v>
      </c>
      <c r="I248" t="s">
        <v>551</v>
      </c>
      <c r="J248" t="s">
        <v>1172</v>
      </c>
      <c r="K248" t="s">
        <v>25</v>
      </c>
      <c r="L248">
        <v>1</v>
      </c>
      <c r="M248" t="s">
        <v>492</v>
      </c>
      <c r="N248" s="16" t="s">
        <v>24</v>
      </c>
      <c r="O248" t="s">
        <v>24</v>
      </c>
      <c r="P248" t="s">
        <v>552</v>
      </c>
      <c r="Q248" t="s">
        <v>553</v>
      </c>
    </row>
    <row r="249" spans="1:17">
      <c r="A249" s="66" t="s">
        <v>203</v>
      </c>
      <c r="B249">
        <v>23978082</v>
      </c>
      <c r="C249">
        <v>1</v>
      </c>
      <c r="F249">
        <v>1</v>
      </c>
      <c r="H249">
        <v>1</v>
      </c>
      <c r="I249" t="s">
        <v>581</v>
      </c>
      <c r="J249" t="s">
        <v>1147</v>
      </c>
      <c r="K249" t="s">
        <v>567</v>
      </c>
      <c r="L249">
        <v>1</v>
      </c>
      <c r="M249" t="s">
        <v>580</v>
      </c>
      <c r="N249" s="16"/>
    </row>
    <row r="250" spans="1:17">
      <c r="A250" s="18" t="s">
        <v>253</v>
      </c>
      <c r="B250">
        <v>25093599</v>
      </c>
      <c r="C250">
        <v>1</v>
      </c>
      <c r="F250">
        <v>1</v>
      </c>
      <c r="H250">
        <v>1</v>
      </c>
      <c r="I250" t="s">
        <v>685</v>
      </c>
      <c r="J250" t="s">
        <v>1166</v>
      </c>
      <c r="K250" t="s">
        <v>686</v>
      </c>
      <c r="L250">
        <v>1</v>
      </c>
      <c r="M250" t="s">
        <v>687</v>
      </c>
      <c r="N250" s="16" t="s">
        <v>39</v>
      </c>
    </row>
    <row r="251" spans="1:17">
      <c r="A251" s="18" t="s">
        <v>210</v>
      </c>
      <c r="B251" s="18">
        <v>26011671</v>
      </c>
      <c r="C251">
        <v>1</v>
      </c>
      <c r="F251">
        <v>1</v>
      </c>
      <c r="H251" s="2">
        <v>1</v>
      </c>
      <c r="I251" t="s">
        <v>599</v>
      </c>
      <c r="J251" t="s">
        <v>1164</v>
      </c>
      <c r="K251" t="s">
        <v>498</v>
      </c>
      <c r="L251">
        <v>0</v>
      </c>
      <c r="M251" t="s">
        <v>600</v>
      </c>
      <c r="N251" s="16"/>
      <c r="Q251" t="s">
        <v>601</v>
      </c>
    </row>
    <row r="252" spans="1:17">
      <c r="A252" s="18" t="s">
        <v>302</v>
      </c>
      <c r="B252">
        <v>23672579</v>
      </c>
      <c r="C252">
        <v>1</v>
      </c>
      <c r="F252">
        <v>1</v>
      </c>
      <c r="H252">
        <v>1</v>
      </c>
      <c r="I252" t="s">
        <v>792</v>
      </c>
      <c r="J252" t="s">
        <v>23</v>
      </c>
      <c r="K252" t="s">
        <v>762</v>
      </c>
      <c r="L252">
        <v>1</v>
      </c>
      <c r="M252" t="s">
        <v>492</v>
      </c>
      <c r="N252" s="16" t="s">
        <v>24</v>
      </c>
      <c r="O252" t="s">
        <v>24</v>
      </c>
      <c r="P252" t="s">
        <v>793</v>
      </c>
    </row>
    <row r="253" spans="1:17">
      <c r="A253" s="18" t="s">
        <v>97</v>
      </c>
      <c r="B253">
        <v>19485102</v>
      </c>
      <c r="C253">
        <v>1</v>
      </c>
      <c r="F253">
        <v>1</v>
      </c>
      <c r="H253">
        <v>1</v>
      </c>
      <c r="I253" t="s">
        <v>64</v>
      </c>
      <c r="J253" t="s">
        <v>1173</v>
      </c>
      <c r="K253" t="s">
        <v>62</v>
      </c>
      <c r="L253">
        <v>0</v>
      </c>
      <c r="M253" t="s">
        <v>63</v>
      </c>
      <c r="N253" s="16" t="s">
        <v>56</v>
      </c>
      <c r="Q253" t="s">
        <v>65</v>
      </c>
    </row>
    <row r="254" spans="1:17">
      <c r="A254" t="s">
        <v>160</v>
      </c>
      <c r="B254">
        <v>23198722</v>
      </c>
      <c r="C254">
        <v>1</v>
      </c>
      <c r="F254">
        <v>1</v>
      </c>
      <c r="H254">
        <v>1</v>
      </c>
      <c r="I254" t="s">
        <v>484</v>
      </c>
      <c r="J254" t="s">
        <v>1161</v>
      </c>
      <c r="K254" t="s">
        <v>483</v>
      </c>
      <c r="L254">
        <v>1</v>
      </c>
      <c r="M254" t="s">
        <v>482</v>
      </c>
      <c r="N254" s="16" t="s">
        <v>480</v>
      </c>
      <c r="Q254" t="s">
        <v>481</v>
      </c>
    </row>
    <row r="255" spans="1:17">
      <c r="A255" s="18" t="s">
        <v>217</v>
      </c>
      <c r="B255">
        <v>26691304</v>
      </c>
      <c r="C255">
        <v>1</v>
      </c>
      <c r="F255">
        <v>1</v>
      </c>
      <c r="H255">
        <v>1</v>
      </c>
      <c r="I255" t="s">
        <v>612</v>
      </c>
      <c r="J255" t="s">
        <v>1147</v>
      </c>
      <c r="K255" t="s">
        <v>376</v>
      </c>
      <c r="L255">
        <v>1</v>
      </c>
      <c r="M255" t="s">
        <v>613</v>
      </c>
      <c r="N255" s="16"/>
    </row>
    <row r="256" spans="1:17">
      <c r="A256" s="18" t="s">
        <v>287</v>
      </c>
      <c r="B256">
        <v>27353125</v>
      </c>
      <c r="C256">
        <v>1</v>
      </c>
      <c r="F256">
        <v>1</v>
      </c>
      <c r="H256">
        <v>1</v>
      </c>
      <c r="I256" t="s">
        <v>612</v>
      </c>
      <c r="J256" t="s">
        <v>1147</v>
      </c>
      <c r="K256" t="s">
        <v>25</v>
      </c>
      <c r="L256">
        <v>1</v>
      </c>
      <c r="M256" t="s">
        <v>750</v>
      </c>
      <c r="N256" s="16"/>
    </row>
    <row r="257" spans="1:17">
      <c r="A257" s="18" t="s">
        <v>283</v>
      </c>
      <c r="B257">
        <v>27459209</v>
      </c>
      <c r="C257">
        <v>1</v>
      </c>
      <c r="F257">
        <v>1</v>
      </c>
      <c r="H257">
        <v>1</v>
      </c>
      <c r="I257" t="s">
        <v>742</v>
      </c>
      <c r="J257" t="s">
        <v>1188</v>
      </c>
      <c r="K257" t="s">
        <v>25</v>
      </c>
      <c r="L257">
        <v>1</v>
      </c>
      <c r="M257" t="s">
        <v>743</v>
      </c>
      <c r="N257" s="16" t="s">
        <v>24</v>
      </c>
      <c r="O257" t="s">
        <v>24</v>
      </c>
    </row>
    <row r="258" spans="1:17">
      <c r="A258" t="s">
        <v>314</v>
      </c>
      <c r="B258">
        <v>24686914</v>
      </c>
      <c r="C258">
        <v>1</v>
      </c>
      <c r="F258">
        <v>1</v>
      </c>
      <c r="H258">
        <v>1</v>
      </c>
      <c r="I258" t="s">
        <v>816</v>
      </c>
      <c r="J258" t="s">
        <v>1189</v>
      </c>
      <c r="K258" t="s">
        <v>25</v>
      </c>
      <c r="L258">
        <v>1</v>
      </c>
      <c r="M258" t="s">
        <v>817</v>
      </c>
    </row>
    <row r="259" spans="1:17">
      <c r="A259" t="s">
        <v>128</v>
      </c>
      <c r="B259">
        <v>15993948</v>
      </c>
      <c r="C259">
        <v>1</v>
      </c>
      <c r="F259">
        <v>1</v>
      </c>
      <c r="H259">
        <v>1</v>
      </c>
      <c r="I259" t="s">
        <v>418</v>
      </c>
      <c r="J259" t="s">
        <v>1150</v>
      </c>
      <c r="K259" t="s">
        <v>25</v>
      </c>
      <c r="L259">
        <v>1</v>
      </c>
      <c r="M259" t="s">
        <v>419</v>
      </c>
      <c r="N259" s="16"/>
    </row>
    <row r="260" spans="1:17">
      <c r="A260" t="s">
        <v>117</v>
      </c>
      <c r="B260">
        <v>27252673</v>
      </c>
      <c r="C260">
        <v>1</v>
      </c>
      <c r="F260">
        <v>1</v>
      </c>
      <c r="H260">
        <v>1</v>
      </c>
      <c r="I260" t="s">
        <v>397</v>
      </c>
      <c r="J260" t="s">
        <v>1183</v>
      </c>
      <c r="K260" t="s">
        <v>25</v>
      </c>
      <c r="L260">
        <v>1</v>
      </c>
      <c r="M260" t="s">
        <v>398</v>
      </c>
      <c r="N260" s="16"/>
    </row>
    <row r="261" spans="1:17">
      <c r="A261" t="s">
        <v>171</v>
      </c>
      <c r="B261">
        <v>18068725</v>
      </c>
      <c r="C261">
        <v>1</v>
      </c>
      <c r="F261">
        <v>1</v>
      </c>
      <c r="H261">
        <v>1</v>
      </c>
      <c r="I261" t="s">
        <v>397</v>
      </c>
      <c r="K261" t="s">
        <v>500</v>
      </c>
      <c r="L261">
        <v>1</v>
      </c>
      <c r="M261" t="s">
        <v>501</v>
      </c>
      <c r="N261" s="16"/>
    </row>
    <row r="262" spans="1:17">
      <c r="A262" t="s">
        <v>275</v>
      </c>
      <c r="B262">
        <v>27000639</v>
      </c>
      <c r="C262">
        <v>1</v>
      </c>
      <c r="F262">
        <v>1</v>
      </c>
      <c r="H262">
        <v>1</v>
      </c>
      <c r="I262" t="s">
        <v>726</v>
      </c>
      <c r="K262" t="s">
        <v>25</v>
      </c>
      <c r="L262">
        <v>1</v>
      </c>
      <c r="M262" t="s">
        <v>725</v>
      </c>
      <c r="N262" s="16"/>
    </row>
    <row r="263" spans="1:17">
      <c r="A263" s="32" t="s">
        <v>115</v>
      </c>
      <c r="B263">
        <v>27058006</v>
      </c>
      <c r="C263">
        <v>1</v>
      </c>
      <c r="F263">
        <v>1</v>
      </c>
      <c r="H263">
        <v>1</v>
      </c>
      <c r="I263" t="s">
        <v>390</v>
      </c>
      <c r="J263" t="s">
        <v>1147</v>
      </c>
      <c r="K263" t="s">
        <v>391</v>
      </c>
      <c r="L263">
        <v>1</v>
      </c>
      <c r="N263" s="16" t="s">
        <v>389</v>
      </c>
      <c r="Q263" t="s">
        <v>392</v>
      </c>
    </row>
    <row r="264" spans="1:17">
      <c r="A264" t="s">
        <v>303</v>
      </c>
      <c r="B264">
        <v>17436378</v>
      </c>
      <c r="C264">
        <v>1</v>
      </c>
      <c r="F264">
        <v>1</v>
      </c>
      <c r="H264">
        <v>1</v>
      </c>
      <c r="I264" t="s">
        <v>794</v>
      </c>
      <c r="J264" t="s">
        <v>1147</v>
      </c>
      <c r="K264" t="s">
        <v>591</v>
      </c>
      <c r="L264">
        <v>1</v>
      </c>
      <c r="M264" t="s">
        <v>795</v>
      </c>
      <c r="N264" s="16" t="s">
        <v>24</v>
      </c>
      <c r="O264" t="s">
        <v>24</v>
      </c>
    </row>
    <row r="265" spans="1:17">
      <c r="A265" s="32" t="s">
        <v>146</v>
      </c>
      <c r="B265" s="32">
        <v>17509537</v>
      </c>
      <c r="C265" s="32">
        <v>1</v>
      </c>
      <c r="D265" s="46"/>
      <c r="E265" s="37"/>
      <c r="F265" s="32">
        <v>1</v>
      </c>
      <c r="G265" s="32"/>
      <c r="H265">
        <v>1</v>
      </c>
      <c r="I265" t="s">
        <v>453</v>
      </c>
      <c r="J265" t="s">
        <v>1147</v>
      </c>
      <c r="K265" t="s">
        <v>25</v>
      </c>
      <c r="L265">
        <v>1</v>
      </c>
      <c r="M265" t="s">
        <v>454</v>
      </c>
      <c r="N265" s="16" t="s">
        <v>56</v>
      </c>
    </row>
    <row r="266" spans="1:17">
      <c r="A266" s="3" t="s">
        <v>236</v>
      </c>
      <c r="B266" s="3">
        <v>27594113</v>
      </c>
      <c r="C266">
        <v>1</v>
      </c>
      <c r="F266">
        <v>1</v>
      </c>
      <c r="H266" s="5">
        <v>1</v>
      </c>
      <c r="I266" t="s">
        <v>651</v>
      </c>
      <c r="K266" t="s">
        <v>591</v>
      </c>
      <c r="L266">
        <v>1</v>
      </c>
      <c r="M266" t="s">
        <v>650</v>
      </c>
      <c r="N266" s="16"/>
      <c r="Q266" t="s">
        <v>649</v>
      </c>
    </row>
    <row r="267" spans="1:17">
      <c r="A267" t="s">
        <v>141</v>
      </c>
      <c r="B267">
        <v>23540599</v>
      </c>
      <c r="C267">
        <v>1</v>
      </c>
      <c r="D267" s="44" t="s">
        <v>1776</v>
      </c>
      <c r="E267" s="36" t="s">
        <v>1759</v>
      </c>
      <c r="F267" s="2">
        <v>1</v>
      </c>
      <c r="G267" t="s">
        <v>1737</v>
      </c>
      <c r="H267" s="2">
        <v>1</v>
      </c>
      <c r="I267" t="s">
        <v>442</v>
      </c>
      <c r="J267" t="s">
        <v>1142</v>
      </c>
      <c r="K267" t="s">
        <v>443</v>
      </c>
      <c r="L267">
        <v>1</v>
      </c>
      <c r="M267" t="s">
        <v>444</v>
      </c>
      <c r="N267" s="16" t="s">
        <v>445</v>
      </c>
      <c r="O267" t="s">
        <v>446</v>
      </c>
      <c r="Q267" t="s">
        <v>447</v>
      </c>
    </row>
    <row r="268" spans="1:17">
      <c r="A268" s="32" t="s">
        <v>320</v>
      </c>
      <c r="B268">
        <v>24157540</v>
      </c>
      <c r="C268">
        <v>1</v>
      </c>
      <c r="F268">
        <v>1</v>
      </c>
      <c r="H268">
        <v>1</v>
      </c>
      <c r="I268" t="s">
        <v>832</v>
      </c>
      <c r="J268" t="s">
        <v>1192</v>
      </c>
      <c r="K268" t="s">
        <v>25</v>
      </c>
      <c r="L268">
        <v>1</v>
      </c>
      <c r="M268" t="s">
        <v>778</v>
      </c>
      <c r="N268" t="s">
        <v>24</v>
      </c>
      <c r="O268" t="s">
        <v>24</v>
      </c>
      <c r="P268" t="s">
        <v>833</v>
      </c>
    </row>
    <row r="269" spans="1:17">
      <c r="A269" t="s">
        <v>173</v>
      </c>
      <c r="B269">
        <v>20494591</v>
      </c>
      <c r="C269">
        <v>1</v>
      </c>
      <c r="F269">
        <v>1</v>
      </c>
      <c r="H269">
        <v>1</v>
      </c>
      <c r="I269" t="s">
        <v>505</v>
      </c>
      <c r="J269" t="s">
        <v>1147</v>
      </c>
      <c r="K269" t="s">
        <v>503</v>
      </c>
      <c r="L269">
        <v>0</v>
      </c>
      <c r="N269" s="16"/>
      <c r="Q269" t="s">
        <v>504</v>
      </c>
    </row>
    <row r="270" spans="1:17">
      <c r="A270" s="18" t="s">
        <v>104</v>
      </c>
      <c r="B270">
        <v>25915799</v>
      </c>
      <c r="C270">
        <v>1</v>
      </c>
      <c r="F270">
        <v>1</v>
      </c>
      <c r="H270">
        <v>1</v>
      </c>
      <c r="I270" t="s">
        <v>370</v>
      </c>
      <c r="J270" t="s">
        <v>1147</v>
      </c>
      <c r="K270" t="s">
        <v>369</v>
      </c>
      <c r="N270" s="16" t="s">
        <v>368</v>
      </c>
    </row>
    <row r="271" spans="1:17">
      <c r="A271" t="s">
        <v>193</v>
      </c>
      <c r="B271">
        <v>22193972</v>
      </c>
      <c r="C271">
        <v>1</v>
      </c>
      <c r="F271">
        <v>1</v>
      </c>
      <c r="H271">
        <v>1</v>
      </c>
      <c r="I271" t="s">
        <v>558</v>
      </c>
      <c r="J271" t="s">
        <v>1165</v>
      </c>
      <c r="K271" t="s">
        <v>25</v>
      </c>
      <c r="L271">
        <v>1</v>
      </c>
      <c r="M271" t="s">
        <v>1187</v>
      </c>
      <c r="N271" s="16" t="s">
        <v>24</v>
      </c>
      <c r="O271" t="s">
        <v>559</v>
      </c>
    </row>
    <row r="272" spans="1:17">
      <c r="A272" t="s">
        <v>305</v>
      </c>
      <c r="B272">
        <v>24245926</v>
      </c>
      <c r="C272">
        <v>1</v>
      </c>
      <c r="F272">
        <v>1</v>
      </c>
      <c r="H272">
        <v>1</v>
      </c>
      <c r="I272" t="s">
        <v>797</v>
      </c>
      <c r="J272" t="s">
        <v>1147</v>
      </c>
      <c r="K272" t="s">
        <v>514</v>
      </c>
      <c r="L272">
        <v>1</v>
      </c>
      <c r="N272" s="16"/>
      <c r="Q272" t="s">
        <v>799</v>
      </c>
    </row>
    <row r="273" spans="1:17">
      <c r="A273" t="s">
        <v>90</v>
      </c>
      <c r="B273">
        <v>23341282</v>
      </c>
      <c r="C273">
        <v>1</v>
      </c>
      <c r="F273">
        <v>1</v>
      </c>
      <c r="H273">
        <v>1</v>
      </c>
      <c r="I273" t="s">
        <v>46</v>
      </c>
      <c r="J273" t="s">
        <v>1143</v>
      </c>
      <c r="K273" t="s">
        <v>47</v>
      </c>
      <c r="L273">
        <v>1</v>
      </c>
      <c r="M273" t="s">
        <v>46</v>
      </c>
      <c r="N273" s="16" t="s">
        <v>12</v>
      </c>
      <c r="O273" t="s">
        <v>12</v>
      </c>
    </row>
    <row r="274" spans="1:17">
      <c r="A274" s="32" t="s">
        <v>91</v>
      </c>
      <c r="B274">
        <v>9870231</v>
      </c>
      <c r="C274">
        <v>1</v>
      </c>
      <c r="F274">
        <v>1</v>
      </c>
      <c r="H274">
        <v>1</v>
      </c>
      <c r="I274" t="s">
        <v>1182</v>
      </c>
      <c r="J274" t="s">
        <v>1181</v>
      </c>
      <c r="K274" t="s">
        <v>47</v>
      </c>
      <c r="L274">
        <v>1</v>
      </c>
      <c r="M274" t="s">
        <v>49</v>
      </c>
      <c r="N274" s="16" t="s">
        <v>12</v>
      </c>
      <c r="O274" t="s">
        <v>48</v>
      </c>
    </row>
    <row r="275" spans="1:17">
      <c r="A275" t="s">
        <v>154</v>
      </c>
      <c r="B275">
        <v>18037391</v>
      </c>
      <c r="C275">
        <v>1</v>
      </c>
      <c r="F275">
        <v>1</v>
      </c>
      <c r="H275" s="2">
        <v>1</v>
      </c>
      <c r="I275" t="s">
        <v>449</v>
      </c>
      <c r="K275" t="s">
        <v>471</v>
      </c>
      <c r="L275">
        <v>0</v>
      </c>
      <c r="M275" t="s">
        <v>24</v>
      </c>
      <c r="N275" s="16"/>
      <c r="O275" t="s">
        <v>23</v>
      </c>
      <c r="Q275" t="s">
        <v>470</v>
      </c>
    </row>
    <row r="276" spans="1:17">
      <c r="A276" t="s">
        <v>229</v>
      </c>
      <c r="B276">
        <v>21545724</v>
      </c>
      <c r="C276">
        <v>1</v>
      </c>
      <c r="F276">
        <v>1</v>
      </c>
      <c r="H276">
        <v>1</v>
      </c>
      <c r="I276" t="s">
        <v>609</v>
      </c>
      <c r="J276" t="s">
        <v>1158</v>
      </c>
      <c r="K276" t="s">
        <v>591</v>
      </c>
      <c r="L276">
        <v>1</v>
      </c>
      <c r="M276" t="s">
        <v>610</v>
      </c>
      <c r="N276" s="16" t="s">
        <v>42</v>
      </c>
      <c r="O276" t="s">
        <v>638</v>
      </c>
      <c r="Q276" t="s">
        <v>639</v>
      </c>
    </row>
    <row r="277" spans="1:17">
      <c r="A277" t="s">
        <v>292</v>
      </c>
      <c r="B277">
        <v>11848709</v>
      </c>
      <c r="C277">
        <v>1</v>
      </c>
      <c r="F277">
        <v>1</v>
      </c>
      <c r="H277">
        <v>1</v>
      </c>
      <c r="I277" t="s">
        <v>609</v>
      </c>
      <c r="J277" t="s">
        <v>1158</v>
      </c>
      <c r="K277" t="s">
        <v>471</v>
      </c>
      <c r="L277">
        <v>0</v>
      </c>
      <c r="M277" t="s">
        <v>610</v>
      </c>
      <c r="N277" s="16" t="s">
        <v>56</v>
      </c>
    </row>
    <row r="278" spans="1:17">
      <c r="A278" t="s">
        <v>325</v>
      </c>
      <c r="B278">
        <v>24936431</v>
      </c>
      <c r="C278">
        <v>1</v>
      </c>
      <c r="F278">
        <v>1</v>
      </c>
      <c r="H278">
        <v>1</v>
      </c>
      <c r="I278" t="s">
        <v>609</v>
      </c>
      <c r="J278" t="s">
        <v>1158</v>
      </c>
      <c r="K278" t="s">
        <v>591</v>
      </c>
      <c r="L278">
        <v>1</v>
      </c>
      <c r="M278" t="s">
        <v>845</v>
      </c>
      <c r="N278" t="s">
        <v>846</v>
      </c>
    </row>
    <row r="279" spans="1:17">
      <c r="A279" s="18" t="s">
        <v>351</v>
      </c>
      <c r="B279">
        <v>24354897</v>
      </c>
      <c r="C279">
        <v>1</v>
      </c>
      <c r="F279">
        <v>1</v>
      </c>
      <c r="H279">
        <v>1</v>
      </c>
      <c r="I279" t="s">
        <v>609</v>
      </c>
      <c r="J279" t="s">
        <v>1158</v>
      </c>
      <c r="K279" t="s">
        <v>910</v>
      </c>
      <c r="L279">
        <v>1</v>
      </c>
      <c r="M279" t="s">
        <v>610</v>
      </c>
      <c r="P279" t="s">
        <v>911</v>
      </c>
    </row>
    <row r="280" spans="1:17">
      <c r="A280" s="18" t="s">
        <v>353</v>
      </c>
      <c r="B280">
        <v>26447678</v>
      </c>
      <c r="C280">
        <v>1</v>
      </c>
      <c r="F280">
        <v>1</v>
      </c>
      <c r="H280">
        <v>1</v>
      </c>
      <c r="I280" t="s">
        <v>609</v>
      </c>
      <c r="J280" t="s">
        <v>1158</v>
      </c>
      <c r="K280" t="s">
        <v>25</v>
      </c>
      <c r="L280">
        <v>1</v>
      </c>
      <c r="M280" t="s">
        <v>610</v>
      </c>
      <c r="N280" t="s">
        <v>915</v>
      </c>
      <c r="O280" t="s">
        <v>914</v>
      </c>
    </row>
    <row r="281" spans="1:17">
      <c r="A281" s="18" t="s">
        <v>137</v>
      </c>
      <c r="B281">
        <v>18423610</v>
      </c>
      <c r="C281">
        <v>1</v>
      </c>
      <c r="F281">
        <v>1</v>
      </c>
      <c r="H281">
        <v>1</v>
      </c>
      <c r="I281" t="s">
        <v>433</v>
      </c>
      <c r="J281" t="s">
        <v>1152</v>
      </c>
      <c r="K281" t="s">
        <v>434</v>
      </c>
      <c r="L281">
        <v>0</v>
      </c>
      <c r="M281" t="s">
        <v>435</v>
      </c>
      <c r="N281" s="16" t="s">
        <v>436</v>
      </c>
    </row>
    <row r="282" spans="1:17">
      <c r="A282" s="18" t="s">
        <v>215</v>
      </c>
      <c r="B282">
        <v>27722837</v>
      </c>
      <c r="C282">
        <v>1</v>
      </c>
      <c r="F282">
        <v>1</v>
      </c>
      <c r="H282">
        <v>1</v>
      </c>
      <c r="I282" t="s">
        <v>608</v>
      </c>
      <c r="J282" t="s">
        <v>1158</v>
      </c>
      <c r="K282" t="s">
        <v>591</v>
      </c>
      <c r="L282">
        <v>1</v>
      </c>
      <c r="M282" t="s">
        <v>610</v>
      </c>
      <c r="N282" s="16" t="s">
        <v>39</v>
      </c>
      <c r="Q282" t="s">
        <v>611</v>
      </c>
    </row>
    <row r="283" spans="1:17">
      <c r="A283" s="66" t="s">
        <v>216</v>
      </c>
      <c r="B283">
        <v>26645740</v>
      </c>
      <c r="C283">
        <v>1</v>
      </c>
      <c r="F283">
        <v>1</v>
      </c>
      <c r="H283">
        <v>1</v>
      </c>
      <c r="I283" t="s">
        <v>608</v>
      </c>
      <c r="J283" t="s">
        <v>1158</v>
      </c>
      <c r="K283" t="s">
        <v>591</v>
      </c>
      <c r="L283">
        <v>1</v>
      </c>
      <c r="M283" t="s">
        <v>610</v>
      </c>
      <c r="N283" s="16" t="s">
        <v>39</v>
      </c>
      <c r="Q283" t="s">
        <v>611</v>
      </c>
    </row>
    <row r="284" spans="1:17">
      <c r="A284" s="18" t="s">
        <v>170</v>
      </c>
      <c r="B284">
        <v>24165904</v>
      </c>
      <c r="C284">
        <v>1</v>
      </c>
      <c r="F284">
        <v>1</v>
      </c>
      <c r="H284">
        <v>1</v>
      </c>
      <c r="I284" t="s">
        <v>497</v>
      </c>
      <c r="J284" t="s">
        <v>1198</v>
      </c>
      <c r="K284" t="s">
        <v>498</v>
      </c>
      <c r="L284">
        <v>0</v>
      </c>
      <c r="M284" t="s">
        <v>496</v>
      </c>
      <c r="N284" s="16" t="s">
        <v>499</v>
      </c>
    </row>
    <row r="285" spans="1:17">
      <c r="A285" t="s">
        <v>291</v>
      </c>
      <c r="B285">
        <v>23755991</v>
      </c>
      <c r="C285">
        <v>1</v>
      </c>
      <c r="F285">
        <v>1</v>
      </c>
      <c r="H285">
        <v>1</v>
      </c>
      <c r="I285" t="s">
        <v>764</v>
      </c>
      <c r="J285" t="s">
        <v>1160</v>
      </c>
      <c r="K285" t="s">
        <v>762</v>
      </c>
      <c r="L285">
        <v>1</v>
      </c>
      <c r="M285" t="s">
        <v>763</v>
      </c>
      <c r="N285" s="16"/>
    </row>
    <row r="286" spans="1:17">
      <c r="A286" s="18" t="s">
        <v>78</v>
      </c>
      <c r="B286">
        <v>26372003</v>
      </c>
      <c r="C286">
        <v>1</v>
      </c>
      <c r="F286">
        <v>1</v>
      </c>
      <c r="H286">
        <v>1</v>
      </c>
      <c r="J286" t="s">
        <v>1146</v>
      </c>
      <c r="K286" t="s">
        <v>20</v>
      </c>
      <c r="L286">
        <v>1</v>
      </c>
      <c r="M286" t="s">
        <v>19</v>
      </c>
      <c r="N286" s="16" t="s">
        <v>12</v>
      </c>
      <c r="O286" t="s">
        <v>12</v>
      </c>
    </row>
    <row r="287" spans="1:17">
      <c r="A287" t="s">
        <v>196</v>
      </c>
      <c r="B287">
        <v>17916253</v>
      </c>
      <c r="C287">
        <v>1</v>
      </c>
      <c r="F287">
        <v>1</v>
      </c>
      <c r="H287">
        <v>1</v>
      </c>
      <c r="J287" t="s">
        <v>1157</v>
      </c>
      <c r="K287" t="s">
        <v>560</v>
      </c>
      <c r="L287">
        <v>0</v>
      </c>
      <c r="M287" t="s">
        <v>564</v>
      </c>
      <c r="N287" s="16" t="s">
        <v>24</v>
      </c>
      <c r="O287" t="s">
        <v>565</v>
      </c>
    </row>
    <row r="288" spans="1:17">
      <c r="A288" s="18" t="s">
        <v>204</v>
      </c>
      <c r="B288">
        <v>20088647</v>
      </c>
      <c r="C288">
        <v>1</v>
      </c>
      <c r="F288" s="34">
        <v>1</v>
      </c>
      <c r="H288" s="2">
        <v>1</v>
      </c>
      <c r="K288" t="s">
        <v>583</v>
      </c>
      <c r="L288">
        <v>1</v>
      </c>
      <c r="M288" t="s">
        <v>23</v>
      </c>
      <c r="N288" s="16" t="s">
        <v>582</v>
      </c>
      <c r="Q288" t="s">
        <v>584</v>
      </c>
    </row>
    <row r="289" spans="1:17">
      <c r="A289" s="18" t="s">
        <v>211</v>
      </c>
      <c r="B289" s="18">
        <v>24025760</v>
      </c>
      <c r="C289">
        <v>1</v>
      </c>
      <c r="F289">
        <v>1</v>
      </c>
      <c r="H289" s="2">
        <v>1</v>
      </c>
      <c r="J289" t="s">
        <v>1164</v>
      </c>
      <c r="K289" t="s">
        <v>25</v>
      </c>
      <c r="L289">
        <v>1</v>
      </c>
      <c r="M289" t="s">
        <v>602</v>
      </c>
      <c r="N289" s="16" t="s">
        <v>33</v>
      </c>
    </row>
    <row r="290" spans="1:17">
      <c r="A290" t="s">
        <v>230</v>
      </c>
      <c r="B290">
        <v>18093809</v>
      </c>
      <c r="C290">
        <v>1</v>
      </c>
      <c r="F290">
        <v>1</v>
      </c>
      <c r="H290">
        <v>1</v>
      </c>
      <c r="J290" t="s">
        <v>642</v>
      </c>
      <c r="K290" t="s">
        <v>376</v>
      </c>
      <c r="L290">
        <v>1</v>
      </c>
      <c r="M290" t="s">
        <v>641</v>
      </c>
      <c r="N290" s="16" t="s">
        <v>56</v>
      </c>
      <c r="Q290" t="s">
        <v>640</v>
      </c>
    </row>
    <row r="291" spans="1:17">
      <c r="A291" s="12" t="s">
        <v>247</v>
      </c>
      <c r="B291" s="12">
        <v>25002839</v>
      </c>
      <c r="C291" s="12"/>
      <c r="D291" s="47"/>
      <c r="E291" s="38"/>
      <c r="F291" s="12">
        <v>1</v>
      </c>
      <c r="G291" s="12" t="s">
        <v>1743</v>
      </c>
      <c r="H291" s="12">
        <v>1</v>
      </c>
      <c r="I291" s="12" t="s">
        <v>673</v>
      </c>
      <c r="J291" s="12" t="s">
        <v>73</v>
      </c>
      <c r="K291" s="12" t="s">
        <v>672</v>
      </c>
      <c r="L291" s="12"/>
      <c r="M291" s="12"/>
      <c r="N291" s="17"/>
      <c r="O291" s="12" t="s">
        <v>674</v>
      </c>
      <c r="P291" s="12"/>
      <c r="Q291" s="12" t="s">
        <v>1410</v>
      </c>
    </row>
    <row r="292" spans="1:17">
      <c r="A292" s="12" t="s">
        <v>301</v>
      </c>
      <c r="B292" s="12">
        <v>20922362</v>
      </c>
      <c r="C292" s="12"/>
      <c r="D292" s="47"/>
      <c r="E292" s="38"/>
      <c r="F292" s="12">
        <v>1</v>
      </c>
      <c r="G292" s="12" t="s">
        <v>1752</v>
      </c>
      <c r="H292" s="12">
        <v>1</v>
      </c>
      <c r="I292" s="12" t="s">
        <v>11</v>
      </c>
      <c r="J292" s="12"/>
      <c r="K292" s="12" t="s">
        <v>789</v>
      </c>
      <c r="L292" s="12"/>
      <c r="M292" s="12"/>
      <c r="N292" s="17"/>
      <c r="O292" s="12" t="s">
        <v>790</v>
      </c>
      <c r="P292" s="12"/>
      <c r="Q292" s="12" t="s">
        <v>791</v>
      </c>
    </row>
    <row r="293" spans="1:17">
      <c r="A293" t="s">
        <v>239</v>
      </c>
      <c r="B293">
        <v>23367843</v>
      </c>
      <c r="C293">
        <v>0</v>
      </c>
      <c r="D293" s="44" t="s">
        <v>1795</v>
      </c>
      <c r="H293">
        <v>0</v>
      </c>
      <c r="N293" s="16"/>
      <c r="Q293" t="s">
        <v>657</v>
      </c>
    </row>
    <row r="294" spans="1:17" ht="17" thickBot="1"/>
    <row r="295" spans="1:17" ht="17" thickBot="1">
      <c r="A295" s="9"/>
      <c r="B295" s="10" t="s">
        <v>861</v>
      </c>
      <c r="C295" s="10"/>
      <c r="D295" s="49"/>
      <c r="E295" s="40"/>
      <c r="F295" s="10"/>
      <c r="G295" s="10"/>
      <c r="H295" s="11" t="s">
        <v>1729</v>
      </c>
      <c r="L295" s="14" t="s">
        <v>803</v>
      </c>
    </row>
    <row r="296" spans="1:17" ht="17" thickBot="1">
      <c r="A296" s="6" t="s">
        <v>469</v>
      </c>
      <c r="B296" s="7">
        <v>292</v>
      </c>
      <c r="C296" s="54">
        <f>SUM(C2:C293)</f>
        <v>154</v>
      </c>
      <c r="D296" s="50"/>
      <c r="E296" s="41"/>
      <c r="F296" s="8">
        <f>SUM(F2:F293)</f>
        <v>157</v>
      </c>
      <c r="G296" s="33"/>
      <c r="H296" s="8">
        <f>SUM(H2:H293)</f>
        <v>151</v>
      </c>
      <c r="L296" s="15">
        <f>SUM(L2:L293)</f>
        <v>168</v>
      </c>
    </row>
    <row r="297" spans="1:17" ht="17" thickBot="1"/>
    <row r="298" spans="1:17">
      <c r="A298" s="24" t="s">
        <v>1288</v>
      </c>
    </row>
    <row r="299" spans="1:17">
      <c r="A299" s="25" t="s">
        <v>1291</v>
      </c>
    </row>
    <row r="300" spans="1:17">
      <c r="A300" s="22" t="s">
        <v>1290</v>
      </c>
    </row>
    <row r="301" spans="1:17" ht="17" thickBot="1">
      <c r="A301" s="23" t="s">
        <v>1522</v>
      </c>
    </row>
  </sheetData>
  <sheetProtection password="DB7D" sheet="1" objects="1" scenarios="1"/>
  <dataConsolidate/>
  <phoneticPr fontId="11" type="noConversion"/>
  <pageMargins left="0.7" right="0.7" top="0.75" bottom="0.75" header="0.3" footer="0.3"/>
  <pageSetup paperSize="9" orientation="landscape" horizontalDpi="4294967292" verticalDpi="429496729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E25"/>
  <sheetViews>
    <sheetView workbookViewId="0">
      <selection activeCell="C26" sqref="C26"/>
    </sheetView>
  </sheetViews>
  <sheetFormatPr baseColWidth="10" defaultColWidth="11" defaultRowHeight="16"/>
  <cols>
    <col min="1" max="1" width="3.83203125" customWidth="1"/>
    <col min="2" max="2" width="40.33203125" customWidth="1"/>
    <col min="3" max="3" width="41.1640625" customWidth="1"/>
  </cols>
  <sheetData>
    <row r="1" spans="1:5" s="1" customFormat="1">
      <c r="B1" s="104" t="s">
        <v>1897</v>
      </c>
      <c r="C1" s="104" t="s">
        <v>1898</v>
      </c>
      <c r="D1" s="103"/>
      <c r="E1" s="103"/>
    </row>
    <row r="2" spans="1:5">
      <c r="A2">
        <v>1</v>
      </c>
      <c r="B2" s="99" t="s">
        <v>367</v>
      </c>
      <c r="C2" s="99" t="s">
        <v>367</v>
      </c>
      <c r="D2" s="98">
        <v>1</v>
      </c>
      <c r="E2" s="98"/>
    </row>
    <row r="3" spans="1:5">
      <c r="A3">
        <v>2</v>
      </c>
      <c r="B3" s="99" t="s">
        <v>0</v>
      </c>
      <c r="C3" s="99" t="s">
        <v>9</v>
      </c>
      <c r="D3" s="98">
        <v>1</v>
      </c>
      <c r="E3" s="98"/>
    </row>
    <row r="4" spans="1:5">
      <c r="A4">
        <v>3</v>
      </c>
      <c r="B4" s="99" t="s">
        <v>1794</v>
      </c>
      <c r="C4" s="99" t="s">
        <v>1794</v>
      </c>
      <c r="D4" s="98" t="s">
        <v>1900</v>
      </c>
      <c r="E4" s="98"/>
    </row>
    <row r="5" spans="1:5">
      <c r="A5">
        <v>4</v>
      </c>
      <c r="B5" s="100" t="s">
        <v>1810</v>
      </c>
      <c r="C5" s="98"/>
      <c r="D5" s="98">
        <v>0</v>
      </c>
      <c r="E5" s="98"/>
    </row>
    <row r="6" spans="1:5">
      <c r="A6">
        <v>5</v>
      </c>
      <c r="B6" s="101" t="s">
        <v>1789</v>
      </c>
      <c r="C6" s="101" t="s">
        <v>1789</v>
      </c>
      <c r="D6" s="98" t="s">
        <v>1900</v>
      </c>
      <c r="E6" s="98"/>
    </row>
    <row r="7" spans="1:5">
      <c r="A7">
        <v>6</v>
      </c>
      <c r="B7" s="102" t="s">
        <v>1770</v>
      </c>
      <c r="C7" s="102" t="s">
        <v>1770</v>
      </c>
      <c r="D7" s="98" t="s">
        <v>1900</v>
      </c>
      <c r="E7" s="98"/>
    </row>
    <row r="8" spans="1:5">
      <c r="A8">
        <v>7</v>
      </c>
      <c r="B8" s="99" t="s">
        <v>1727</v>
      </c>
      <c r="C8" s="99" t="s">
        <v>1727</v>
      </c>
      <c r="D8" s="98" t="s">
        <v>1900</v>
      </c>
      <c r="E8" s="98"/>
    </row>
    <row r="9" spans="1:5">
      <c r="A9">
        <v>8</v>
      </c>
      <c r="B9" s="99" t="s">
        <v>1728</v>
      </c>
      <c r="C9" s="99" t="s">
        <v>1728</v>
      </c>
      <c r="D9" s="98" t="s">
        <v>1900</v>
      </c>
      <c r="E9" s="98"/>
    </row>
    <row r="10" spans="1:5">
      <c r="A10">
        <v>9</v>
      </c>
      <c r="B10" s="99" t="s">
        <v>1</v>
      </c>
      <c r="C10" s="99" t="s">
        <v>1</v>
      </c>
      <c r="D10" s="98" t="s">
        <v>1900</v>
      </c>
      <c r="E10" s="98"/>
    </row>
    <row r="11" spans="1:5">
      <c r="A11">
        <v>10</v>
      </c>
      <c r="B11" s="105" t="s">
        <v>1237</v>
      </c>
      <c r="C11" s="105" t="s">
        <v>1237</v>
      </c>
      <c r="D11" s="105" t="s">
        <v>1237</v>
      </c>
      <c r="E11" s="98"/>
    </row>
    <row r="12" spans="1:5">
      <c r="A12">
        <v>11</v>
      </c>
      <c r="B12" s="105" t="s">
        <v>7</v>
      </c>
      <c r="C12" s="105" t="s">
        <v>40</v>
      </c>
      <c r="D12" s="105" t="s">
        <v>1899</v>
      </c>
      <c r="E12" s="98"/>
    </row>
    <row r="13" spans="1:5">
      <c r="A13">
        <v>12</v>
      </c>
      <c r="B13" s="105" t="s">
        <v>1119</v>
      </c>
      <c r="C13" s="105" t="s">
        <v>8</v>
      </c>
      <c r="D13" s="105" t="s">
        <v>1901</v>
      </c>
      <c r="E13" s="98"/>
    </row>
    <row r="14" spans="1:5">
      <c r="A14">
        <v>13</v>
      </c>
      <c r="B14" s="98"/>
      <c r="C14" s="99" t="s">
        <v>18</v>
      </c>
      <c r="D14" s="98"/>
      <c r="E14" s="98" t="s">
        <v>1902</v>
      </c>
    </row>
    <row r="15" spans="1:5">
      <c r="A15">
        <v>14</v>
      </c>
      <c r="B15" s="99" t="s">
        <v>6</v>
      </c>
      <c r="C15" s="98"/>
      <c r="D15" s="98"/>
      <c r="E15" s="103" t="s">
        <v>1903</v>
      </c>
    </row>
    <row r="16" spans="1:5">
      <c r="A16">
        <v>15</v>
      </c>
      <c r="B16" s="99" t="s">
        <v>1122</v>
      </c>
      <c r="C16" s="98"/>
      <c r="D16" s="98"/>
      <c r="E16" s="103" t="s">
        <v>1122</v>
      </c>
    </row>
    <row r="17" spans="1:5">
      <c r="A17">
        <v>16</v>
      </c>
      <c r="B17" s="99" t="s">
        <v>1120</v>
      </c>
      <c r="C17" s="98"/>
      <c r="D17" s="98"/>
      <c r="E17" s="98"/>
    </row>
    <row r="18" spans="1:5">
      <c r="A18">
        <v>17</v>
      </c>
      <c r="B18" s="99" t="s">
        <v>5</v>
      </c>
      <c r="C18" s="99" t="s">
        <v>5</v>
      </c>
      <c r="D18" s="103" t="s">
        <v>1904</v>
      </c>
      <c r="E18" s="98"/>
    </row>
    <row r="19" spans="1:5">
      <c r="A19">
        <v>18</v>
      </c>
      <c r="B19" s="99" t="s">
        <v>3</v>
      </c>
      <c r="C19" s="99" t="s">
        <v>3</v>
      </c>
      <c r="D19" s="98"/>
      <c r="E19" s="98" t="s">
        <v>1902</v>
      </c>
    </row>
    <row r="20" spans="1:5">
      <c r="A20">
        <v>19</v>
      </c>
      <c r="B20" s="99" t="s">
        <v>4</v>
      </c>
      <c r="C20" s="99" t="s">
        <v>4</v>
      </c>
      <c r="D20" s="98"/>
      <c r="E20" s="98" t="s">
        <v>1902</v>
      </c>
    </row>
    <row r="21" spans="1:5">
      <c r="A21">
        <v>20</v>
      </c>
      <c r="B21" s="98"/>
      <c r="C21" s="99" t="s">
        <v>507</v>
      </c>
      <c r="D21" s="98"/>
      <c r="E21" s="98" t="s">
        <v>1902</v>
      </c>
    </row>
    <row r="22" spans="1:5">
      <c r="A22">
        <v>21</v>
      </c>
      <c r="B22" s="99" t="s">
        <v>1650</v>
      </c>
      <c r="C22" s="98"/>
      <c r="D22" s="98"/>
      <c r="E22" s="98" t="s">
        <v>1902</v>
      </c>
    </row>
    <row r="23" spans="1:5">
      <c r="A23">
        <v>22</v>
      </c>
      <c r="B23" s="99" t="s">
        <v>2</v>
      </c>
      <c r="C23" s="99" t="s">
        <v>2</v>
      </c>
      <c r="D23" s="98" t="s">
        <v>1905</v>
      </c>
      <c r="E23" s="98"/>
    </row>
    <row r="24" spans="1:5">
      <c r="C24" s="3"/>
    </row>
    <row r="25" spans="1:5">
      <c r="C25" s="3"/>
    </row>
  </sheetData>
  <phoneticPr fontId="11" type="noConversion"/>
  <pageMargins left="0.7" right="0.7" top="0.75" bottom="0.75" header="0.3" footer="0.3"/>
  <pageSetup orientation="landscape"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V108"/>
  <sheetViews>
    <sheetView topLeftCell="A40" zoomScale="50" zoomScaleNormal="50" zoomScalePageLayoutView="50" workbookViewId="0">
      <selection activeCell="A100" sqref="A100"/>
    </sheetView>
  </sheetViews>
  <sheetFormatPr baseColWidth="10" defaultColWidth="11" defaultRowHeight="16"/>
  <cols>
    <col min="9" max="9" width="11" style="3"/>
  </cols>
  <sheetData>
    <row r="1" spans="1:22">
      <c r="A1" s="86" t="s">
        <v>367</v>
      </c>
      <c r="B1" s="87" t="s">
        <v>0</v>
      </c>
      <c r="C1" s="87" t="s">
        <v>1794</v>
      </c>
      <c r="D1" s="88" t="s">
        <v>1789</v>
      </c>
      <c r="E1" s="89" t="s">
        <v>1770</v>
      </c>
      <c r="F1" s="87" t="s">
        <v>1727</v>
      </c>
      <c r="G1" s="87" t="s">
        <v>1728</v>
      </c>
      <c r="H1" s="87" t="s">
        <v>1</v>
      </c>
      <c r="I1" s="107" t="s">
        <v>1906</v>
      </c>
      <c r="J1" s="87" t="s">
        <v>1237</v>
      </c>
      <c r="K1" s="87" t="s">
        <v>40</v>
      </c>
      <c r="L1" s="87" t="s">
        <v>1119</v>
      </c>
      <c r="M1" s="87"/>
      <c r="N1" s="87" t="s">
        <v>6</v>
      </c>
      <c r="O1" s="87" t="s">
        <v>1122</v>
      </c>
      <c r="P1" s="87" t="s">
        <v>1120</v>
      </c>
      <c r="Q1" s="87" t="s">
        <v>5</v>
      </c>
      <c r="R1" s="87" t="s">
        <v>3</v>
      </c>
      <c r="S1" s="87" t="s">
        <v>4</v>
      </c>
      <c r="T1" s="87"/>
      <c r="U1" s="87" t="s">
        <v>1650</v>
      </c>
      <c r="V1" s="90" t="s">
        <v>2</v>
      </c>
    </row>
    <row r="2" spans="1:22">
      <c r="A2" s="13" t="s">
        <v>1115</v>
      </c>
      <c r="B2" s="75">
        <v>22522023</v>
      </c>
      <c r="C2" s="75">
        <v>1</v>
      </c>
      <c r="D2" s="76" t="s">
        <v>1835</v>
      </c>
      <c r="E2" s="77"/>
      <c r="F2" s="75">
        <v>0</v>
      </c>
      <c r="G2" s="75"/>
      <c r="H2" s="75">
        <v>0</v>
      </c>
      <c r="I2" s="106">
        <v>2</v>
      </c>
      <c r="J2" s="75" t="s">
        <v>24</v>
      </c>
      <c r="K2" s="75" t="s">
        <v>1171</v>
      </c>
      <c r="L2" s="75" t="s">
        <v>1130</v>
      </c>
      <c r="M2" s="75"/>
      <c r="N2" s="75" t="s">
        <v>1495</v>
      </c>
      <c r="O2" s="75" t="s">
        <v>1539</v>
      </c>
      <c r="P2" s="75" t="s">
        <v>23</v>
      </c>
      <c r="Q2" s="75" t="s">
        <v>1799</v>
      </c>
      <c r="R2" s="75" t="s">
        <v>1131</v>
      </c>
      <c r="S2" s="75" t="s">
        <v>1132</v>
      </c>
      <c r="T2" s="75"/>
      <c r="U2" s="75"/>
      <c r="V2" s="85" t="s">
        <v>1798</v>
      </c>
    </row>
    <row r="3" spans="1:22">
      <c r="A3" s="13" t="s">
        <v>1114</v>
      </c>
      <c r="B3" s="75">
        <v>21843541</v>
      </c>
      <c r="C3" s="75">
        <v>1</v>
      </c>
      <c r="D3" s="76">
        <v>1</v>
      </c>
      <c r="E3" s="77" t="s">
        <v>1786</v>
      </c>
      <c r="F3" s="81">
        <v>1</v>
      </c>
      <c r="G3" s="75"/>
      <c r="H3" s="75">
        <v>0</v>
      </c>
      <c r="I3" s="106">
        <v>2</v>
      </c>
      <c r="J3" s="75" t="s">
        <v>1133</v>
      </c>
      <c r="K3" s="75" t="s">
        <v>1170</v>
      </c>
      <c r="L3" s="75" t="s">
        <v>1127</v>
      </c>
      <c r="M3" s="75"/>
      <c r="N3" s="75" t="s">
        <v>1543</v>
      </c>
      <c r="O3" s="75" t="s">
        <v>23</v>
      </c>
      <c r="P3" s="75" t="s">
        <v>23</v>
      </c>
      <c r="Q3" s="75" t="s">
        <v>23</v>
      </c>
      <c r="R3" s="75" t="s">
        <v>1134</v>
      </c>
      <c r="S3" s="75" t="s">
        <v>24</v>
      </c>
      <c r="T3" s="75"/>
      <c r="U3" s="75"/>
      <c r="V3" s="85" t="s">
        <v>1135</v>
      </c>
    </row>
    <row r="4" spans="1:22">
      <c r="A4" s="13" t="s">
        <v>1112</v>
      </c>
      <c r="B4" s="75">
        <v>20849863</v>
      </c>
      <c r="C4" s="75">
        <v>1</v>
      </c>
      <c r="D4" s="76">
        <v>1</v>
      </c>
      <c r="E4" s="77"/>
      <c r="F4" s="75">
        <v>0</v>
      </c>
      <c r="G4" s="75"/>
      <c r="H4" s="75">
        <v>0</v>
      </c>
      <c r="I4" s="106">
        <v>2</v>
      </c>
      <c r="J4" s="75" t="s">
        <v>1834</v>
      </c>
      <c r="K4" s="75" t="s">
        <v>24</v>
      </c>
      <c r="L4" s="75" t="s">
        <v>1127</v>
      </c>
      <c r="M4" s="75"/>
      <c r="N4" s="75" t="s">
        <v>1541</v>
      </c>
      <c r="O4" s="75" t="s">
        <v>23</v>
      </c>
      <c r="P4" s="75" t="s">
        <v>23</v>
      </c>
      <c r="Q4" s="75" t="s">
        <v>1813</v>
      </c>
      <c r="R4" s="75" t="s">
        <v>23</v>
      </c>
      <c r="S4" s="75" t="s">
        <v>1137</v>
      </c>
      <c r="T4" s="75"/>
      <c r="U4" s="75"/>
      <c r="V4" s="85" t="s">
        <v>424</v>
      </c>
    </row>
    <row r="5" spans="1:22">
      <c r="A5" s="13" t="s">
        <v>1111</v>
      </c>
      <c r="B5" s="75">
        <v>25585683</v>
      </c>
      <c r="C5" s="75">
        <v>1</v>
      </c>
      <c r="D5" s="76">
        <v>1</v>
      </c>
      <c r="E5" s="77"/>
      <c r="F5" s="75">
        <v>1</v>
      </c>
      <c r="G5" s="75"/>
      <c r="H5" s="78">
        <v>1</v>
      </c>
      <c r="I5" s="106">
        <v>2</v>
      </c>
      <c r="J5" s="75" t="s">
        <v>1220</v>
      </c>
      <c r="K5" s="75" t="s">
        <v>1232</v>
      </c>
      <c r="L5" s="75" t="s">
        <v>1138</v>
      </c>
      <c r="M5" s="75"/>
      <c r="N5" s="75" t="s">
        <v>1541</v>
      </c>
      <c r="O5" s="75" t="s">
        <v>23</v>
      </c>
      <c r="P5" s="75" t="s">
        <v>23</v>
      </c>
      <c r="Q5" s="75" t="s">
        <v>1139</v>
      </c>
      <c r="R5" s="75" t="s">
        <v>24</v>
      </c>
      <c r="S5" s="75" t="s">
        <v>1132</v>
      </c>
      <c r="T5" s="75"/>
      <c r="U5" s="75"/>
      <c r="V5" s="85"/>
    </row>
    <row r="6" spans="1:22">
      <c r="A6" s="13" t="s">
        <v>1110</v>
      </c>
      <c r="B6" s="75">
        <v>24808840</v>
      </c>
      <c r="C6" s="75">
        <v>1</v>
      </c>
      <c r="D6" s="76">
        <v>1</v>
      </c>
      <c r="E6" s="77"/>
      <c r="F6" s="75">
        <v>1</v>
      </c>
      <c r="G6" s="75"/>
      <c r="H6" s="78">
        <v>1</v>
      </c>
      <c r="I6" s="106">
        <v>2</v>
      </c>
      <c r="J6" s="75" t="s">
        <v>1220</v>
      </c>
      <c r="K6" s="75" t="s">
        <v>1169</v>
      </c>
      <c r="L6" s="75" t="s">
        <v>1127</v>
      </c>
      <c r="M6" s="75"/>
      <c r="N6" s="75" t="s">
        <v>1544</v>
      </c>
      <c r="O6" s="75" t="s">
        <v>803</v>
      </c>
      <c r="P6" s="75"/>
      <c r="Q6" s="75" t="s">
        <v>1140</v>
      </c>
      <c r="R6" s="75" t="s">
        <v>24</v>
      </c>
      <c r="S6" s="75"/>
      <c r="T6" s="75"/>
      <c r="U6" s="75"/>
      <c r="V6" s="85" t="s">
        <v>1141</v>
      </c>
    </row>
    <row r="7" spans="1:22">
      <c r="A7" s="13" t="s">
        <v>1105</v>
      </c>
      <c r="B7" s="75">
        <v>18568126</v>
      </c>
      <c r="C7" s="75">
        <v>1</v>
      </c>
      <c r="D7" s="76">
        <v>1</v>
      </c>
      <c r="E7" s="77"/>
      <c r="F7" s="75">
        <v>1</v>
      </c>
      <c r="G7" s="75"/>
      <c r="H7" s="75">
        <v>1</v>
      </c>
      <c r="I7" s="106">
        <v>2</v>
      </c>
      <c r="J7" s="75" t="s">
        <v>1206</v>
      </c>
      <c r="K7" s="75" t="s">
        <v>1207</v>
      </c>
      <c r="L7" s="75" t="s">
        <v>1127</v>
      </c>
      <c r="M7" s="75"/>
      <c r="N7" s="75" t="s">
        <v>1805</v>
      </c>
      <c r="O7" s="75" t="s">
        <v>23</v>
      </c>
      <c r="P7" s="75" t="s">
        <v>23</v>
      </c>
      <c r="Q7" s="75" t="s">
        <v>1205</v>
      </c>
      <c r="R7" s="75" t="s">
        <v>24</v>
      </c>
      <c r="S7" s="75" t="s">
        <v>1209</v>
      </c>
      <c r="T7" s="75"/>
      <c r="U7" s="75"/>
      <c r="V7" s="85"/>
    </row>
    <row r="8" spans="1:22">
      <c r="A8" s="13" t="s">
        <v>1104</v>
      </c>
      <c r="B8" s="75">
        <v>19412447</v>
      </c>
      <c r="C8" s="75">
        <v>1</v>
      </c>
      <c r="D8" s="76">
        <v>1</v>
      </c>
      <c r="E8" s="77"/>
      <c r="F8" s="75">
        <v>1</v>
      </c>
      <c r="G8" s="75"/>
      <c r="H8" s="75">
        <v>1</v>
      </c>
      <c r="I8" s="106">
        <v>2</v>
      </c>
      <c r="J8" s="75" t="s">
        <v>1206</v>
      </c>
      <c r="K8" s="75" t="s">
        <v>1207</v>
      </c>
      <c r="L8" s="75" t="s">
        <v>1127</v>
      </c>
      <c r="M8" s="75"/>
      <c r="N8" s="75" t="s">
        <v>1506</v>
      </c>
      <c r="O8" s="75" t="s">
        <v>23</v>
      </c>
      <c r="P8" s="75" t="s">
        <v>23</v>
      </c>
      <c r="Q8" s="75" t="s">
        <v>1205</v>
      </c>
      <c r="R8" s="75" t="s">
        <v>24</v>
      </c>
      <c r="S8" s="75" t="s">
        <v>1209</v>
      </c>
      <c r="T8" s="75"/>
      <c r="U8" s="75" t="s">
        <v>1208</v>
      </c>
      <c r="V8" s="85"/>
    </row>
    <row r="9" spans="1:22">
      <c r="A9" s="13" t="s">
        <v>1102</v>
      </c>
      <c r="B9" s="75">
        <v>24677338</v>
      </c>
      <c r="C9" s="75">
        <v>1</v>
      </c>
      <c r="D9" s="76" t="s">
        <v>1791</v>
      </c>
      <c r="E9" s="77" t="s">
        <v>1790</v>
      </c>
      <c r="F9" s="81">
        <v>1</v>
      </c>
      <c r="G9" s="75" t="s">
        <v>1747</v>
      </c>
      <c r="H9" s="78">
        <v>0</v>
      </c>
      <c r="I9" s="106">
        <v>2</v>
      </c>
      <c r="J9" s="75" t="s">
        <v>1215</v>
      </c>
      <c r="K9" s="75" t="s">
        <v>1216</v>
      </c>
      <c r="L9" s="75" t="s">
        <v>1127</v>
      </c>
      <c r="M9" s="75"/>
      <c r="N9" s="75" t="s">
        <v>24</v>
      </c>
      <c r="O9" s="75" t="s">
        <v>1539</v>
      </c>
      <c r="P9" s="75" t="s">
        <v>23</v>
      </c>
      <c r="Q9" s="75" t="s">
        <v>1694</v>
      </c>
      <c r="R9" s="75" t="s">
        <v>1213</v>
      </c>
      <c r="S9" s="75" t="s">
        <v>24</v>
      </c>
      <c r="T9" s="75"/>
      <c r="U9" s="75"/>
      <c r="V9" s="85" t="s">
        <v>1806</v>
      </c>
    </row>
    <row r="10" spans="1:22">
      <c r="A10" s="13" t="s">
        <v>1101</v>
      </c>
      <c r="B10" s="75">
        <v>26210936</v>
      </c>
      <c r="C10" s="75">
        <v>1</v>
      </c>
      <c r="D10" s="76">
        <v>1</v>
      </c>
      <c r="E10" s="77"/>
      <c r="F10" s="75">
        <v>1</v>
      </c>
      <c r="G10" s="75"/>
      <c r="H10" s="78">
        <v>1</v>
      </c>
      <c r="I10" s="106">
        <v>2</v>
      </c>
      <c r="J10" s="75" t="s">
        <v>1220</v>
      </c>
      <c r="K10" s="75" t="s">
        <v>1224</v>
      </c>
      <c r="L10" s="75" t="s">
        <v>1127</v>
      </c>
      <c r="M10" s="75"/>
      <c r="N10" s="75" t="s">
        <v>1217</v>
      </c>
      <c r="O10" s="75"/>
      <c r="P10" s="75"/>
      <c r="Q10" s="75" t="s">
        <v>1218</v>
      </c>
      <c r="R10" s="75" t="s">
        <v>1219</v>
      </c>
      <c r="S10" s="75"/>
      <c r="T10" s="75"/>
      <c r="U10" s="75" t="s">
        <v>1655</v>
      </c>
      <c r="V10" s="85" t="s">
        <v>1654</v>
      </c>
    </row>
    <row r="11" spans="1:22">
      <c r="A11" s="13" t="s">
        <v>1100</v>
      </c>
      <c r="B11" s="75">
        <v>21736515</v>
      </c>
      <c r="C11" s="75">
        <v>1</v>
      </c>
      <c r="D11" s="76">
        <v>1</v>
      </c>
      <c r="E11" s="77"/>
      <c r="F11" s="75">
        <v>1</v>
      </c>
      <c r="G11" s="75"/>
      <c r="H11" s="78">
        <v>1</v>
      </c>
      <c r="I11" s="106">
        <v>2</v>
      </c>
      <c r="J11" s="75" t="s">
        <v>1223</v>
      </c>
      <c r="K11" s="75" t="s">
        <v>1171</v>
      </c>
      <c r="L11" s="75" t="s">
        <v>1221</v>
      </c>
      <c r="M11" s="75"/>
      <c r="N11" s="75" t="s">
        <v>1488</v>
      </c>
      <c r="O11" s="75" t="s">
        <v>23</v>
      </c>
      <c r="P11" s="75" t="s">
        <v>23</v>
      </c>
      <c r="Q11" s="75" t="s">
        <v>1686</v>
      </c>
      <c r="R11" s="75"/>
      <c r="S11" s="75" t="s">
        <v>13</v>
      </c>
      <c r="T11" s="75"/>
      <c r="U11" s="75" t="s">
        <v>1222</v>
      </c>
      <c r="V11" s="85"/>
    </row>
    <row r="12" spans="1:22">
      <c r="A12" s="13" t="s">
        <v>1099</v>
      </c>
      <c r="B12" s="75">
        <v>16971540</v>
      </c>
      <c r="C12" s="75">
        <v>1</v>
      </c>
      <c r="D12" s="76">
        <v>1</v>
      </c>
      <c r="E12" s="77"/>
      <c r="F12" s="75">
        <v>1</v>
      </c>
      <c r="G12" s="75"/>
      <c r="H12" s="78">
        <v>1</v>
      </c>
      <c r="I12" s="106">
        <v>2</v>
      </c>
      <c r="J12" s="75" t="s">
        <v>1220</v>
      </c>
      <c r="K12" s="75" t="s">
        <v>1162</v>
      </c>
      <c r="L12" s="75" t="s">
        <v>1225</v>
      </c>
      <c r="M12" s="75"/>
      <c r="N12" s="75" t="s">
        <v>1501</v>
      </c>
      <c r="O12" s="75" t="s">
        <v>23</v>
      </c>
      <c r="P12" s="75" t="s">
        <v>23</v>
      </c>
      <c r="Q12" s="75" t="s">
        <v>1501</v>
      </c>
      <c r="R12" s="75" t="s">
        <v>24</v>
      </c>
      <c r="S12" s="75" t="s">
        <v>24</v>
      </c>
      <c r="T12" s="75"/>
      <c r="U12" s="75" t="s">
        <v>1226</v>
      </c>
      <c r="V12" s="85"/>
    </row>
    <row r="13" spans="1:22">
      <c r="A13" s="13" t="s">
        <v>1097</v>
      </c>
      <c r="B13" s="75">
        <v>25533726</v>
      </c>
      <c r="C13" s="75">
        <v>1</v>
      </c>
      <c r="D13" s="76">
        <v>1</v>
      </c>
      <c r="E13" s="77"/>
      <c r="F13" s="75">
        <v>1</v>
      </c>
      <c r="G13" s="75"/>
      <c r="H13" s="78">
        <v>1</v>
      </c>
      <c r="I13" s="106">
        <v>2</v>
      </c>
      <c r="J13" s="75" t="s">
        <v>1230</v>
      </c>
      <c r="K13" s="75" t="s">
        <v>1162</v>
      </c>
      <c r="L13" s="75" t="s">
        <v>1127</v>
      </c>
      <c r="M13" s="75"/>
      <c r="N13" s="75" t="s">
        <v>1541</v>
      </c>
      <c r="O13" s="75" t="s">
        <v>23</v>
      </c>
      <c r="P13" s="75" t="s">
        <v>23</v>
      </c>
      <c r="Q13" s="75" t="s">
        <v>1501</v>
      </c>
      <c r="R13" s="75" t="s">
        <v>1231</v>
      </c>
      <c r="S13" s="75" t="s">
        <v>23</v>
      </c>
      <c r="T13" s="75"/>
      <c r="U13" s="75"/>
      <c r="V13" s="85"/>
    </row>
    <row r="14" spans="1:22">
      <c r="A14" s="13" t="s">
        <v>1093</v>
      </c>
      <c r="B14" s="75">
        <v>21701068</v>
      </c>
      <c r="C14" s="75">
        <v>1</v>
      </c>
      <c r="D14" s="76"/>
      <c r="E14" s="77"/>
      <c r="F14" s="75">
        <v>1</v>
      </c>
      <c r="G14" s="75"/>
      <c r="H14" s="75">
        <v>1</v>
      </c>
      <c r="I14" s="106">
        <v>2</v>
      </c>
      <c r="J14" s="75" t="s">
        <v>1240</v>
      </c>
      <c r="K14" s="75" t="s">
        <v>1244</v>
      </c>
      <c r="L14" s="75"/>
      <c r="M14" s="75"/>
      <c r="N14" s="75" t="s">
        <v>1493</v>
      </c>
      <c r="O14" s="75"/>
      <c r="P14" s="75"/>
      <c r="Q14" s="75" t="s">
        <v>1239</v>
      </c>
      <c r="R14" s="75" t="s">
        <v>1243</v>
      </c>
      <c r="S14" s="75" t="s">
        <v>1242</v>
      </c>
      <c r="T14" s="75"/>
      <c r="U14" s="75"/>
      <c r="V14" s="85" t="s">
        <v>1241</v>
      </c>
    </row>
    <row r="15" spans="1:22">
      <c r="A15" s="13" t="s">
        <v>1092</v>
      </c>
      <c r="B15" s="75">
        <v>20403087</v>
      </c>
      <c r="C15" s="75">
        <v>1</v>
      </c>
      <c r="D15" s="76" t="s">
        <v>1827</v>
      </c>
      <c r="E15" s="77"/>
      <c r="F15" s="75">
        <v>0</v>
      </c>
      <c r="G15" s="75"/>
      <c r="H15" s="75">
        <v>0</v>
      </c>
      <c r="I15" s="106">
        <v>2</v>
      </c>
      <c r="J15" s="75" t="s">
        <v>1247</v>
      </c>
      <c r="K15" s="75" t="s">
        <v>1171</v>
      </c>
      <c r="L15" s="75" t="s">
        <v>1127</v>
      </c>
      <c r="M15" s="75"/>
      <c r="N15" s="75" t="s">
        <v>1495</v>
      </c>
      <c r="O15" s="75" t="s">
        <v>803</v>
      </c>
      <c r="P15" s="75" t="s">
        <v>23</v>
      </c>
      <c r="Q15" s="75" t="s">
        <v>1826</v>
      </c>
      <c r="R15" s="75" t="s">
        <v>1245</v>
      </c>
      <c r="S15" s="75" t="s">
        <v>1246</v>
      </c>
      <c r="T15" s="75"/>
      <c r="U15" s="75"/>
      <c r="V15" s="85" t="s">
        <v>424</v>
      </c>
    </row>
    <row r="16" spans="1:22">
      <c r="A16" s="13" t="s">
        <v>1091</v>
      </c>
      <c r="B16" s="75">
        <v>21194896</v>
      </c>
      <c r="C16" s="75">
        <v>1</v>
      </c>
      <c r="D16" s="76"/>
      <c r="E16" s="77"/>
      <c r="F16" s="75">
        <v>1</v>
      </c>
      <c r="G16" s="75"/>
      <c r="H16" s="75">
        <v>1</v>
      </c>
      <c r="I16" s="106">
        <v>2</v>
      </c>
      <c r="J16" s="75" t="s">
        <v>1253</v>
      </c>
      <c r="K16" s="75" t="s">
        <v>1251</v>
      </c>
      <c r="L16" s="75" t="s">
        <v>1127</v>
      </c>
      <c r="M16" s="75"/>
      <c r="N16" s="75" t="s">
        <v>1507</v>
      </c>
      <c r="O16" s="75" t="s">
        <v>23</v>
      </c>
      <c r="P16" s="75" t="s">
        <v>23</v>
      </c>
      <c r="Q16" s="75" t="s">
        <v>1250</v>
      </c>
      <c r="R16" s="75"/>
      <c r="S16" s="75" t="s">
        <v>1252</v>
      </c>
      <c r="T16" s="75"/>
      <c r="U16" s="75" t="s">
        <v>1249</v>
      </c>
      <c r="V16" s="85"/>
    </row>
    <row r="17" spans="1:22">
      <c r="A17" s="13" t="s">
        <v>1089</v>
      </c>
      <c r="B17" s="75">
        <v>18700055</v>
      </c>
      <c r="C17" s="75">
        <v>1</v>
      </c>
      <c r="D17" s="76"/>
      <c r="E17" s="77"/>
      <c r="F17" s="75">
        <v>1</v>
      </c>
      <c r="G17" s="75"/>
      <c r="H17" s="84">
        <v>1</v>
      </c>
      <c r="I17" s="106">
        <v>2</v>
      </c>
      <c r="J17" s="75" t="s">
        <v>1258</v>
      </c>
      <c r="K17" s="75" t="s">
        <v>1251</v>
      </c>
      <c r="L17" s="75" t="s">
        <v>1127</v>
      </c>
      <c r="M17" s="75"/>
      <c r="N17" s="75" t="s">
        <v>1707</v>
      </c>
      <c r="O17" s="75" t="s">
        <v>23</v>
      </c>
      <c r="P17" s="75" t="s">
        <v>23</v>
      </c>
      <c r="Q17" s="75" t="s">
        <v>1257</v>
      </c>
      <c r="R17" s="75" t="s">
        <v>24</v>
      </c>
      <c r="S17" s="75" t="s">
        <v>1132</v>
      </c>
      <c r="T17" s="75"/>
      <c r="U17" s="75"/>
      <c r="V17" s="85"/>
    </row>
    <row r="18" spans="1:22">
      <c r="A18" s="13" t="s">
        <v>1088</v>
      </c>
      <c r="B18" s="75">
        <v>21976046</v>
      </c>
      <c r="C18" s="75">
        <v>1</v>
      </c>
      <c r="D18" s="76" t="s">
        <v>1827</v>
      </c>
      <c r="E18" s="77"/>
      <c r="F18" s="75">
        <v>0</v>
      </c>
      <c r="G18" s="75"/>
      <c r="H18" s="75">
        <v>0</v>
      </c>
      <c r="I18" s="106">
        <v>2</v>
      </c>
      <c r="J18" s="75" t="s">
        <v>1220</v>
      </c>
      <c r="K18" s="75" t="s">
        <v>24</v>
      </c>
      <c r="L18" s="75" t="s">
        <v>1127</v>
      </c>
      <c r="M18" s="75"/>
      <c r="N18" s="75" t="s">
        <v>1507</v>
      </c>
      <c r="O18" s="75" t="s">
        <v>23</v>
      </c>
      <c r="P18" s="75" t="s">
        <v>23</v>
      </c>
      <c r="Q18" s="75" t="s">
        <v>1833</v>
      </c>
      <c r="R18" s="75" t="s">
        <v>1259</v>
      </c>
      <c r="S18" s="75" t="s">
        <v>1132</v>
      </c>
      <c r="T18" s="75"/>
      <c r="U18" s="75"/>
      <c r="V18" s="85" t="s">
        <v>1260</v>
      </c>
    </row>
    <row r="19" spans="1:22">
      <c r="A19" s="13" t="s">
        <v>1087</v>
      </c>
      <c r="B19" s="75">
        <v>18635156</v>
      </c>
      <c r="C19" s="75">
        <v>1</v>
      </c>
      <c r="D19" s="76"/>
      <c r="E19" s="77"/>
      <c r="F19" s="75">
        <v>1</v>
      </c>
      <c r="G19" s="75"/>
      <c r="H19" s="75">
        <v>1</v>
      </c>
      <c r="I19" s="106">
        <v>2</v>
      </c>
      <c r="J19" s="75" t="s">
        <v>1253</v>
      </c>
      <c r="K19" s="75" t="s">
        <v>1147</v>
      </c>
      <c r="L19" s="75" t="s">
        <v>1127</v>
      </c>
      <c r="M19" s="75"/>
      <c r="N19" s="75" t="s">
        <v>1507</v>
      </c>
      <c r="O19" s="75" t="s">
        <v>23</v>
      </c>
      <c r="P19" s="75" t="s">
        <v>23</v>
      </c>
      <c r="Q19" s="75" t="s">
        <v>1584</v>
      </c>
      <c r="R19" s="75" t="s">
        <v>24</v>
      </c>
      <c r="S19" s="75" t="s">
        <v>1261</v>
      </c>
      <c r="T19" s="75"/>
      <c r="U19" s="75" t="s">
        <v>1262</v>
      </c>
      <c r="V19" s="85"/>
    </row>
    <row r="20" spans="1:22">
      <c r="A20" s="13" t="s">
        <v>1086</v>
      </c>
      <c r="B20" s="75">
        <v>16555237</v>
      </c>
      <c r="C20" s="75">
        <v>1</v>
      </c>
      <c r="D20" s="76" t="s">
        <v>1824</v>
      </c>
      <c r="E20" s="77"/>
      <c r="F20" s="75">
        <v>1</v>
      </c>
      <c r="G20" s="75"/>
      <c r="H20" s="75">
        <v>1</v>
      </c>
      <c r="I20" s="106">
        <v>2</v>
      </c>
      <c r="J20" s="75" t="s">
        <v>1263</v>
      </c>
      <c r="K20" s="75" t="s">
        <v>1264</v>
      </c>
      <c r="L20" s="75" t="s">
        <v>1265</v>
      </c>
      <c r="M20" s="75"/>
      <c r="N20" s="75" t="s">
        <v>1495</v>
      </c>
      <c r="O20" s="75" t="s">
        <v>23</v>
      </c>
      <c r="P20" s="75" t="s">
        <v>23</v>
      </c>
      <c r="Q20" s="75" t="s">
        <v>1267</v>
      </c>
      <c r="R20" s="75" t="s">
        <v>1266</v>
      </c>
      <c r="S20" s="75" t="s">
        <v>13</v>
      </c>
      <c r="T20" s="75"/>
      <c r="U20" s="75"/>
      <c r="V20" s="85"/>
    </row>
    <row r="21" spans="1:22">
      <c r="A21" s="13" t="s">
        <v>1084</v>
      </c>
      <c r="B21" s="75">
        <v>22713910</v>
      </c>
      <c r="C21" s="75">
        <v>1</v>
      </c>
      <c r="D21" s="76" t="s">
        <v>1827</v>
      </c>
      <c r="E21" s="77"/>
      <c r="F21" s="75">
        <v>0</v>
      </c>
      <c r="G21" s="75"/>
      <c r="H21" s="75">
        <v>0</v>
      </c>
      <c r="I21" s="106">
        <v>2</v>
      </c>
      <c r="J21" s="75" t="s">
        <v>23</v>
      </c>
      <c r="K21" s="75"/>
      <c r="L21" s="75" t="s">
        <v>1127</v>
      </c>
      <c r="M21" s="75"/>
      <c r="N21" s="75" t="s">
        <v>1505</v>
      </c>
      <c r="O21" s="75" t="s">
        <v>803</v>
      </c>
      <c r="P21" s="75" t="s">
        <v>23</v>
      </c>
      <c r="Q21" s="75" t="s">
        <v>1825</v>
      </c>
      <c r="R21" s="75" t="s">
        <v>1272</v>
      </c>
      <c r="S21" s="75" t="s">
        <v>1270</v>
      </c>
      <c r="T21" s="75"/>
      <c r="U21" s="75" t="s">
        <v>1271</v>
      </c>
      <c r="V21" s="85"/>
    </row>
    <row r="22" spans="1:22">
      <c r="A22" s="13" t="s">
        <v>1083</v>
      </c>
      <c r="B22" s="75">
        <v>21925525</v>
      </c>
      <c r="C22" s="75">
        <v>1</v>
      </c>
      <c r="D22" s="76" t="s">
        <v>1831</v>
      </c>
      <c r="E22" s="77"/>
      <c r="F22" s="75">
        <v>0</v>
      </c>
      <c r="G22" s="75"/>
      <c r="H22" s="78">
        <v>0</v>
      </c>
      <c r="I22" s="106">
        <v>2</v>
      </c>
      <c r="J22" s="75" t="s">
        <v>1273</v>
      </c>
      <c r="K22" s="75" t="s">
        <v>1212</v>
      </c>
      <c r="L22" s="75" t="s">
        <v>1127</v>
      </c>
      <c r="M22" s="75"/>
      <c r="N22" s="75" t="s">
        <v>1829</v>
      </c>
      <c r="O22" s="75"/>
      <c r="P22" s="75"/>
      <c r="Q22" s="75" t="s">
        <v>1830</v>
      </c>
      <c r="R22" s="75"/>
      <c r="S22" s="75"/>
      <c r="T22" s="75"/>
      <c r="U22" s="75"/>
      <c r="V22" s="85" t="s">
        <v>1488</v>
      </c>
    </row>
    <row r="23" spans="1:22">
      <c r="A23" s="13" t="s">
        <v>1082</v>
      </c>
      <c r="B23" s="75">
        <v>23011267</v>
      </c>
      <c r="C23" s="75">
        <v>1</v>
      </c>
      <c r="D23" s="76" t="s">
        <v>1836</v>
      </c>
      <c r="E23" s="77"/>
      <c r="F23" s="75">
        <v>0</v>
      </c>
      <c r="G23" s="75"/>
      <c r="H23" s="75">
        <v>0</v>
      </c>
      <c r="I23" s="106">
        <v>2</v>
      </c>
      <c r="J23" s="75" t="s">
        <v>1275</v>
      </c>
      <c r="K23" s="75" t="s">
        <v>1162</v>
      </c>
      <c r="L23" s="75" t="s">
        <v>1127</v>
      </c>
      <c r="M23" s="75"/>
      <c r="N23" s="75" t="s">
        <v>1500</v>
      </c>
      <c r="O23" s="75"/>
      <c r="P23" s="75"/>
      <c r="Q23" s="75" t="s">
        <v>1275</v>
      </c>
      <c r="R23" s="75" t="s">
        <v>1274</v>
      </c>
      <c r="S23" s="75"/>
      <c r="T23" s="75"/>
      <c r="U23" s="75"/>
      <c r="V23" s="85" t="s">
        <v>1124</v>
      </c>
    </row>
    <row r="24" spans="1:22">
      <c r="A24" s="13" t="s">
        <v>1078</v>
      </c>
      <c r="B24" s="75">
        <v>22108759</v>
      </c>
      <c r="C24" s="75">
        <v>1</v>
      </c>
      <c r="D24" s="76"/>
      <c r="E24" s="77"/>
      <c r="F24" s="75">
        <v>1</v>
      </c>
      <c r="G24" s="75"/>
      <c r="H24" s="75">
        <v>1</v>
      </c>
      <c r="I24" s="106">
        <v>2</v>
      </c>
      <c r="J24" s="75" t="s">
        <v>73</v>
      </c>
      <c r="K24" s="75" t="s">
        <v>1147</v>
      </c>
      <c r="L24" s="75" t="s">
        <v>1282</v>
      </c>
      <c r="M24" s="75"/>
      <c r="N24" s="75" t="s">
        <v>1500</v>
      </c>
      <c r="O24" s="75" t="s">
        <v>1539</v>
      </c>
      <c r="P24" s="75" t="s">
        <v>23</v>
      </c>
      <c r="Q24" s="75" t="s">
        <v>1512</v>
      </c>
      <c r="R24" s="75" t="s">
        <v>1284</v>
      </c>
      <c r="S24" s="75" t="s">
        <v>24</v>
      </c>
      <c r="T24" s="75"/>
      <c r="U24" s="75"/>
      <c r="V24" s="85" t="s">
        <v>1283</v>
      </c>
    </row>
    <row r="25" spans="1:22">
      <c r="A25" s="13" t="s">
        <v>1077</v>
      </c>
      <c r="B25" s="75">
        <v>23382811</v>
      </c>
      <c r="C25" s="75">
        <v>1</v>
      </c>
      <c r="D25" s="76">
        <v>1</v>
      </c>
      <c r="E25" s="77"/>
      <c r="F25" s="75">
        <v>0</v>
      </c>
      <c r="G25" s="75"/>
      <c r="H25" s="78">
        <v>0</v>
      </c>
      <c r="I25" s="106">
        <v>2</v>
      </c>
      <c r="J25" s="75" t="s">
        <v>1286</v>
      </c>
      <c r="K25" s="75" t="s">
        <v>1142</v>
      </c>
      <c r="L25" s="75" t="s">
        <v>1285</v>
      </c>
      <c r="M25" s="75"/>
      <c r="N25" s="75" t="s">
        <v>1488</v>
      </c>
      <c r="O25" s="75" t="s">
        <v>23</v>
      </c>
      <c r="P25" s="75"/>
      <c r="Q25" s="75" t="s">
        <v>1800</v>
      </c>
      <c r="R25" s="75" t="s">
        <v>1287</v>
      </c>
      <c r="S25" s="75"/>
      <c r="T25" s="75"/>
      <c r="U25" s="75"/>
      <c r="V25" s="85"/>
    </row>
    <row r="26" spans="1:22">
      <c r="A26" s="13" t="s">
        <v>1076</v>
      </c>
      <c r="B26" s="75">
        <v>25979764</v>
      </c>
      <c r="C26" s="75">
        <v>1</v>
      </c>
      <c r="D26" s="76"/>
      <c r="E26" s="77"/>
      <c r="F26" s="81">
        <v>1</v>
      </c>
      <c r="G26" s="75"/>
      <c r="H26" s="81">
        <v>1</v>
      </c>
      <c r="I26" s="106">
        <v>2</v>
      </c>
      <c r="J26" s="75" t="s">
        <v>1293</v>
      </c>
      <c r="K26" s="75" t="s">
        <v>23</v>
      </c>
      <c r="L26" s="75" t="s">
        <v>1127</v>
      </c>
      <c r="M26" s="75"/>
      <c r="N26" s="75" t="s">
        <v>1487</v>
      </c>
      <c r="O26" s="75"/>
      <c r="P26" s="75"/>
      <c r="Q26" s="75" t="s">
        <v>1293</v>
      </c>
      <c r="R26" s="75" t="s">
        <v>1292</v>
      </c>
      <c r="S26" s="75"/>
      <c r="T26" s="75"/>
      <c r="U26" s="75"/>
      <c r="V26" s="85" t="s">
        <v>1294</v>
      </c>
    </row>
    <row r="27" spans="1:22">
      <c r="A27" s="13" t="s">
        <v>1074</v>
      </c>
      <c r="B27" s="75">
        <v>27417516</v>
      </c>
      <c r="C27" s="75">
        <v>1</v>
      </c>
      <c r="D27" s="76">
        <v>1</v>
      </c>
      <c r="E27" s="77"/>
      <c r="F27" s="75">
        <v>1</v>
      </c>
      <c r="G27" s="75"/>
      <c r="H27" s="75">
        <v>1</v>
      </c>
      <c r="I27" s="106">
        <v>2</v>
      </c>
      <c r="J27" s="75" t="s">
        <v>1296</v>
      </c>
      <c r="K27" s="75" t="s">
        <v>1166</v>
      </c>
      <c r="L27" s="75" t="s">
        <v>1127</v>
      </c>
      <c r="M27" s="75"/>
      <c r="N27" s="75" t="s">
        <v>1542</v>
      </c>
      <c r="O27" s="75"/>
      <c r="P27" s="75"/>
      <c r="Q27" s="75" t="s">
        <v>1297</v>
      </c>
      <c r="R27" s="75" t="s">
        <v>1298</v>
      </c>
      <c r="S27" s="75"/>
      <c r="T27" s="75"/>
      <c r="U27" s="75"/>
      <c r="V27" s="85" t="s">
        <v>1299</v>
      </c>
    </row>
    <row r="28" spans="1:22">
      <c r="A28" s="13" t="s">
        <v>1072</v>
      </c>
      <c r="B28" s="75">
        <v>25309354</v>
      </c>
      <c r="C28" s="75">
        <v>1</v>
      </c>
      <c r="D28" s="76" t="s">
        <v>1838</v>
      </c>
      <c r="E28" s="77"/>
      <c r="F28" s="75">
        <v>0</v>
      </c>
      <c r="G28" s="75"/>
      <c r="H28" s="75">
        <v>0</v>
      </c>
      <c r="I28" s="106">
        <v>2</v>
      </c>
      <c r="J28" s="75" t="s">
        <v>1708</v>
      </c>
      <c r="K28" s="75" t="s">
        <v>1212</v>
      </c>
      <c r="L28" s="75" t="s">
        <v>1127</v>
      </c>
      <c r="M28" s="75"/>
      <c r="N28" s="75" t="s">
        <v>1488</v>
      </c>
      <c r="O28" s="75"/>
      <c r="P28" s="75"/>
      <c r="Q28" s="75" t="s">
        <v>1301</v>
      </c>
      <c r="R28" s="75"/>
      <c r="S28" s="75"/>
      <c r="T28" s="75"/>
      <c r="U28" s="75"/>
      <c r="V28" s="85" t="s">
        <v>1302</v>
      </c>
    </row>
    <row r="29" spans="1:22">
      <c r="A29" s="13" t="s">
        <v>1071</v>
      </c>
      <c r="B29" s="75">
        <v>21918506</v>
      </c>
      <c r="C29" s="75">
        <v>1</v>
      </c>
      <c r="D29" s="76">
        <v>1</v>
      </c>
      <c r="E29" s="77"/>
      <c r="F29" s="75">
        <v>1</v>
      </c>
      <c r="G29" s="75"/>
      <c r="H29" s="75">
        <v>1</v>
      </c>
      <c r="I29" s="106">
        <v>2</v>
      </c>
      <c r="J29" s="75" t="s">
        <v>1306</v>
      </c>
      <c r="K29" s="75" t="s">
        <v>1232</v>
      </c>
      <c r="L29" s="75" t="s">
        <v>1127</v>
      </c>
      <c r="M29" s="75"/>
      <c r="N29" s="75" t="s">
        <v>1487</v>
      </c>
      <c r="O29" s="75" t="s">
        <v>803</v>
      </c>
      <c r="P29" s="75" t="s">
        <v>23</v>
      </c>
      <c r="Q29" s="75" t="s">
        <v>1305</v>
      </c>
      <c r="R29" s="75"/>
      <c r="S29" s="75" t="s">
        <v>1304</v>
      </c>
      <c r="T29" s="75"/>
      <c r="U29" s="75"/>
      <c r="V29" s="85"/>
    </row>
    <row r="30" spans="1:22">
      <c r="A30" s="13" t="s">
        <v>1070</v>
      </c>
      <c r="B30" s="75">
        <v>24675061</v>
      </c>
      <c r="C30" s="75">
        <v>1</v>
      </c>
      <c r="D30" s="76"/>
      <c r="E30" s="77"/>
      <c r="F30" s="75">
        <v>1</v>
      </c>
      <c r="G30" s="75"/>
      <c r="H30" s="75">
        <v>1</v>
      </c>
      <c r="I30" s="106">
        <v>2</v>
      </c>
      <c r="J30" s="75" t="s">
        <v>1307</v>
      </c>
      <c r="K30" s="75" t="s">
        <v>1224</v>
      </c>
      <c r="L30" s="75" t="s">
        <v>1127</v>
      </c>
      <c r="M30" s="75"/>
      <c r="N30" s="75" t="s">
        <v>1498</v>
      </c>
      <c r="O30" s="75"/>
      <c r="P30" s="75"/>
      <c r="Q30" s="75" t="s">
        <v>1516</v>
      </c>
      <c r="R30" s="75" t="s">
        <v>1308</v>
      </c>
      <c r="S30" s="75" t="s">
        <v>1309</v>
      </c>
      <c r="T30" s="75"/>
      <c r="U30" s="75"/>
      <c r="V30" s="85"/>
    </row>
    <row r="31" spans="1:22">
      <c r="A31" s="13" t="s">
        <v>1069</v>
      </c>
      <c r="B31" s="75">
        <v>25750029</v>
      </c>
      <c r="C31" s="75">
        <v>1</v>
      </c>
      <c r="D31" s="76"/>
      <c r="E31" s="77"/>
      <c r="F31" s="75">
        <v>1</v>
      </c>
      <c r="G31" s="75"/>
      <c r="H31" s="75">
        <v>1</v>
      </c>
      <c r="I31" s="106">
        <v>2</v>
      </c>
      <c r="J31" s="75" t="s">
        <v>1585</v>
      </c>
      <c r="K31" s="75" t="s">
        <v>1216</v>
      </c>
      <c r="L31" s="75" t="s">
        <v>1127</v>
      </c>
      <c r="M31" s="75"/>
      <c r="N31" s="75" t="s">
        <v>1310</v>
      </c>
      <c r="O31" s="75" t="s">
        <v>803</v>
      </c>
      <c r="P31" s="75"/>
      <c r="Q31" s="75" t="s">
        <v>1311</v>
      </c>
      <c r="R31" s="75"/>
      <c r="S31" s="75"/>
      <c r="T31" s="75"/>
      <c r="U31" s="75"/>
      <c r="V31" s="85"/>
    </row>
    <row r="32" spans="1:22">
      <c r="A32" s="13" t="s">
        <v>1065</v>
      </c>
      <c r="B32" s="75">
        <v>25746511</v>
      </c>
      <c r="C32" s="75">
        <v>1</v>
      </c>
      <c r="D32" s="76"/>
      <c r="E32" s="77"/>
      <c r="F32" s="75">
        <v>1</v>
      </c>
      <c r="G32" s="75"/>
      <c r="H32" s="75">
        <v>1</v>
      </c>
      <c r="I32" s="106">
        <v>2</v>
      </c>
      <c r="J32" s="75" t="s">
        <v>1317</v>
      </c>
      <c r="K32" s="75" t="s">
        <v>1166</v>
      </c>
      <c r="L32" s="75" t="s">
        <v>1127</v>
      </c>
      <c r="M32" s="75"/>
      <c r="N32" s="75" t="s">
        <v>1487</v>
      </c>
      <c r="O32" s="75"/>
      <c r="P32" s="75"/>
      <c r="Q32" s="75" t="s">
        <v>1316</v>
      </c>
      <c r="R32" s="75"/>
      <c r="S32" s="75"/>
      <c r="T32" s="75"/>
      <c r="U32" s="75"/>
      <c r="V32" s="85"/>
    </row>
    <row r="33" spans="1:22">
      <c r="A33" s="13" t="s">
        <v>1063</v>
      </c>
      <c r="B33" s="75">
        <v>22701407</v>
      </c>
      <c r="C33" s="75">
        <v>1</v>
      </c>
      <c r="D33" s="76"/>
      <c r="E33" s="77"/>
      <c r="F33" s="75">
        <v>1</v>
      </c>
      <c r="G33" s="75"/>
      <c r="H33" s="75">
        <v>1</v>
      </c>
      <c r="I33" s="106">
        <v>2</v>
      </c>
      <c r="J33" s="75" t="s">
        <v>1258</v>
      </c>
      <c r="K33" s="75" t="s">
        <v>1147</v>
      </c>
      <c r="L33" s="75" t="s">
        <v>1321</v>
      </c>
      <c r="M33" s="75"/>
      <c r="N33" s="75" t="s">
        <v>1495</v>
      </c>
      <c r="O33" s="75"/>
      <c r="P33" s="75"/>
      <c r="Q33" s="75" t="s">
        <v>1681</v>
      </c>
      <c r="R33" s="75"/>
      <c r="S33" s="75"/>
      <c r="T33" s="75"/>
      <c r="U33" s="75"/>
      <c r="V33" s="85"/>
    </row>
    <row r="34" spans="1:22">
      <c r="A34" s="13" t="s">
        <v>1060</v>
      </c>
      <c r="B34" s="75">
        <v>21285873</v>
      </c>
      <c r="C34" s="75">
        <v>1</v>
      </c>
      <c r="D34" s="76"/>
      <c r="E34" s="77"/>
      <c r="F34" s="75">
        <v>1</v>
      </c>
      <c r="G34" s="75"/>
      <c r="H34" s="75">
        <v>1</v>
      </c>
      <c r="I34" s="106">
        <v>2</v>
      </c>
      <c r="J34" s="75" t="s">
        <v>1329</v>
      </c>
      <c r="K34" s="75" t="s">
        <v>1169</v>
      </c>
      <c r="L34" s="75" t="s">
        <v>1127</v>
      </c>
      <c r="M34" s="75"/>
      <c r="N34" s="75" t="s">
        <v>1541</v>
      </c>
      <c r="O34" s="75" t="s">
        <v>803</v>
      </c>
      <c r="P34" s="75"/>
      <c r="Q34" s="75" t="s">
        <v>1328</v>
      </c>
      <c r="R34" s="75"/>
      <c r="S34" s="75" t="s">
        <v>1132</v>
      </c>
      <c r="T34" s="75"/>
      <c r="U34" s="75"/>
      <c r="V34" s="85"/>
    </row>
    <row r="35" spans="1:22">
      <c r="A35" s="13" t="s">
        <v>1058</v>
      </c>
      <c r="B35" s="75">
        <v>15677425</v>
      </c>
      <c r="C35" s="75">
        <v>1</v>
      </c>
      <c r="D35" s="76"/>
      <c r="E35" s="77"/>
      <c r="F35" s="75">
        <v>1</v>
      </c>
      <c r="G35" s="75"/>
      <c r="H35" s="75">
        <v>1</v>
      </c>
      <c r="I35" s="106">
        <v>2</v>
      </c>
      <c r="J35" s="75" t="s">
        <v>1586</v>
      </c>
      <c r="K35" s="75" t="s">
        <v>1147</v>
      </c>
      <c r="L35" s="75" t="s">
        <v>1127</v>
      </c>
      <c r="M35" s="75"/>
      <c r="N35" s="75" t="s">
        <v>1334</v>
      </c>
      <c r="O35" s="75"/>
      <c r="P35" s="75"/>
      <c r="Q35" s="75"/>
      <c r="R35" s="75" t="s">
        <v>1335</v>
      </c>
      <c r="S35" s="75"/>
      <c r="T35" s="75"/>
      <c r="U35" s="75"/>
      <c r="V35" s="85"/>
    </row>
    <row r="36" spans="1:22">
      <c r="A36" s="13" t="s">
        <v>1057</v>
      </c>
      <c r="B36" s="75">
        <v>22659471</v>
      </c>
      <c r="C36" s="75">
        <v>1</v>
      </c>
      <c r="D36" s="76"/>
      <c r="E36" s="77"/>
      <c r="F36" s="75">
        <v>1</v>
      </c>
      <c r="G36" s="75"/>
      <c r="H36" s="75">
        <v>1</v>
      </c>
      <c r="I36" s="106">
        <v>2</v>
      </c>
      <c r="J36" s="75" t="s">
        <v>1336</v>
      </c>
      <c r="K36" s="75" t="s">
        <v>1224</v>
      </c>
      <c r="L36" s="75" t="s">
        <v>1127</v>
      </c>
      <c r="M36" s="75"/>
      <c r="N36" s="75" t="s">
        <v>1498</v>
      </c>
      <c r="O36" s="75" t="s">
        <v>803</v>
      </c>
      <c r="P36" s="75"/>
      <c r="Q36" s="75" t="s">
        <v>1337</v>
      </c>
      <c r="R36" s="75" t="s">
        <v>1338</v>
      </c>
      <c r="S36" s="75"/>
      <c r="T36" s="75"/>
      <c r="U36" s="75"/>
      <c r="V36" s="85"/>
    </row>
    <row r="37" spans="1:22">
      <c r="A37" s="13" t="s">
        <v>1055</v>
      </c>
      <c r="B37" s="75">
        <v>20700523</v>
      </c>
      <c r="C37" s="75">
        <v>1</v>
      </c>
      <c r="D37" s="76"/>
      <c r="E37" s="77"/>
      <c r="F37" s="75">
        <v>1</v>
      </c>
      <c r="G37" s="75"/>
      <c r="H37" s="75">
        <v>1</v>
      </c>
      <c r="I37" s="106">
        <v>2</v>
      </c>
      <c r="J37" s="75" t="s">
        <v>1342</v>
      </c>
      <c r="K37" s="75" t="s">
        <v>1224</v>
      </c>
      <c r="L37" s="75" t="s">
        <v>1127</v>
      </c>
      <c r="M37" s="75"/>
      <c r="N37" s="75" t="s">
        <v>1498</v>
      </c>
      <c r="O37" s="75" t="s">
        <v>803</v>
      </c>
      <c r="P37" s="75"/>
      <c r="Q37" s="75" t="s">
        <v>1341</v>
      </c>
      <c r="R37" s="75"/>
      <c r="S37" s="75"/>
      <c r="T37" s="75"/>
      <c r="U37" s="75"/>
      <c r="V37" s="85"/>
    </row>
    <row r="38" spans="1:22">
      <c r="A38" s="13" t="s">
        <v>1053</v>
      </c>
      <c r="B38" s="75">
        <v>26655446</v>
      </c>
      <c r="C38" s="75">
        <v>1</v>
      </c>
      <c r="D38" s="76" t="s">
        <v>1843</v>
      </c>
      <c r="E38" s="77"/>
      <c r="F38" s="75">
        <v>0</v>
      </c>
      <c r="G38" s="75"/>
      <c r="H38" s="75">
        <v>0</v>
      </c>
      <c r="I38" s="106">
        <v>2</v>
      </c>
      <c r="J38" s="75" t="s">
        <v>1346</v>
      </c>
      <c r="K38" s="75"/>
      <c r="L38" s="75" t="s">
        <v>1138</v>
      </c>
      <c r="M38" s="75"/>
      <c r="N38" s="75" t="s">
        <v>1493</v>
      </c>
      <c r="O38" s="75" t="s">
        <v>23</v>
      </c>
      <c r="P38" s="75" t="s">
        <v>23</v>
      </c>
      <c r="Q38" s="75"/>
      <c r="R38" s="75" t="s">
        <v>1345</v>
      </c>
      <c r="S38" s="75"/>
      <c r="T38" s="75"/>
      <c r="U38" s="75"/>
      <c r="V38" s="85" t="s">
        <v>1344</v>
      </c>
    </row>
    <row r="39" spans="1:22">
      <c r="A39" s="13" t="s">
        <v>1052</v>
      </c>
      <c r="B39" s="75">
        <v>24335837</v>
      </c>
      <c r="C39" s="75">
        <v>1</v>
      </c>
      <c r="D39" s="76">
        <v>1</v>
      </c>
      <c r="E39" s="77"/>
      <c r="F39" s="75">
        <v>1</v>
      </c>
      <c r="G39" s="75"/>
      <c r="H39" s="75">
        <v>1</v>
      </c>
      <c r="I39" s="106">
        <v>2</v>
      </c>
      <c r="J39" s="75" t="s">
        <v>1347</v>
      </c>
      <c r="K39" s="75" t="s">
        <v>1224</v>
      </c>
      <c r="L39" s="75" t="s">
        <v>1138</v>
      </c>
      <c r="M39" s="75"/>
      <c r="N39" s="75" t="s">
        <v>1499</v>
      </c>
      <c r="O39" s="75" t="s">
        <v>803</v>
      </c>
      <c r="P39" s="75" t="s">
        <v>23</v>
      </c>
      <c r="Q39" s="75" t="s">
        <v>1692</v>
      </c>
      <c r="R39" s="75" t="s">
        <v>1348</v>
      </c>
      <c r="S39" s="75" t="s">
        <v>1349</v>
      </c>
      <c r="T39" s="75"/>
      <c r="U39" s="75" t="s">
        <v>1350</v>
      </c>
      <c r="V39" s="85"/>
    </row>
    <row r="40" spans="1:22">
      <c r="A40" s="13" t="s">
        <v>1051</v>
      </c>
      <c r="B40" s="75">
        <v>16860405</v>
      </c>
      <c r="C40" s="75">
        <v>1</v>
      </c>
      <c r="D40" s="76">
        <v>1</v>
      </c>
      <c r="E40" s="77"/>
      <c r="F40" s="75">
        <v>1</v>
      </c>
      <c r="G40" s="75"/>
      <c r="H40" s="75">
        <v>1</v>
      </c>
      <c r="I40" s="106">
        <v>2</v>
      </c>
      <c r="J40" s="75" t="s">
        <v>1352</v>
      </c>
      <c r="K40" s="75" t="s">
        <v>1224</v>
      </c>
      <c r="L40" s="75" t="s">
        <v>1127</v>
      </c>
      <c r="M40" s="75"/>
      <c r="N40" s="75" t="s">
        <v>1487</v>
      </c>
      <c r="O40" s="75" t="s">
        <v>23</v>
      </c>
      <c r="P40" s="75" t="s">
        <v>23</v>
      </c>
      <c r="Q40" s="75" t="s">
        <v>1691</v>
      </c>
      <c r="R40" s="75"/>
      <c r="S40" s="75"/>
      <c r="T40" s="75"/>
      <c r="U40" s="75"/>
      <c r="V40" s="85" t="s">
        <v>1351</v>
      </c>
    </row>
    <row r="41" spans="1:22">
      <c r="A41" s="13" t="s">
        <v>1050</v>
      </c>
      <c r="B41" s="75">
        <v>17267088</v>
      </c>
      <c r="C41" s="75">
        <v>1</v>
      </c>
      <c r="D41" s="76"/>
      <c r="E41" s="77"/>
      <c r="F41" s="75">
        <v>1</v>
      </c>
      <c r="G41" s="75"/>
      <c r="H41" s="75">
        <v>1</v>
      </c>
      <c r="I41" s="106">
        <v>2</v>
      </c>
      <c r="J41" s="75" t="s">
        <v>1353</v>
      </c>
      <c r="K41" s="75" t="s">
        <v>1216</v>
      </c>
      <c r="L41" s="75" t="s">
        <v>1127</v>
      </c>
      <c r="M41" s="75"/>
      <c r="N41" s="75" t="s">
        <v>1487</v>
      </c>
      <c r="O41" s="75" t="s">
        <v>803</v>
      </c>
      <c r="P41" s="75" t="s">
        <v>23</v>
      </c>
      <c r="Q41" s="75" t="s">
        <v>1337</v>
      </c>
      <c r="R41" s="75" t="s">
        <v>1354</v>
      </c>
      <c r="S41" s="75"/>
      <c r="T41" s="75"/>
      <c r="U41" s="75"/>
      <c r="V41" s="85"/>
    </row>
    <row r="42" spans="1:22">
      <c r="A42" s="13" t="s">
        <v>1049</v>
      </c>
      <c r="B42" s="75">
        <v>27740964</v>
      </c>
      <c r="C42" s="75">
        <v>1</v>
      </c>
      <c r="D42" s="76"/>
      <c r="E42" s="77"/>
      <c r="F42" s="75">
        <v>1</v>
      </c>
      <c r="G42" s="75"/>
      <c r="H42" s="75">
        <v>1</v>
      </c>
      <c r="I42" s="106">
        <v>2</v>
      </c>
      <c r="J42" s="75" t="s">
        <v>1327</v>
      </c>
      <c r="K42" s="75" t="s">
        <v>1224</v>
      </c>
      <c r="L42" s="75" t="s">
        <v>1225</v>
      </c>
      <c r="M42" s="75"/>
      <c r="N42" s="75" t="s">
        <v>1541</v>
      </c>
      <c r="O42" s="75"/>
      <c r="P42" s="75"/>
      <c r="Q42" s="75" t="s">
        <v>1355</v>
      </c>
      <c r="R42" s="75"/>
      <c r="S42" s="75"/>
      <c r="T42" s="75"/>
      <c r="U42" s="75" t="s">
        <v>1356</v>
      </c>
      <c r="V42" s="85"/>
    </row>
    <row r="43" spans="1:22">
      <c r="A43" s="13" t="s">
        <v>1047</v>
      </c>
      <c r="B43" s="75">
        <v>27275520</v>
      </c>
      <c r="C43" s="75">
        <v>1</v>
      </c>
      <c r="D43" s="76"/>
      <c r="E43" s="77"/>
      <c r="F43" s="75">
        <v>1</v>
      </c>
      <c r="G43" s="75"/>
      <c r="H43" s="75">
        <v>1</v>
      </c>
      <c r="I43" s="106">
        <v>2</v>
      </c>
      <c r="J43" s="75" t="s">
        <v>1361</v>
      </c>
      <c r="K43" s="75" t="s">
        <v>1216</v>
      </c>
      <c r="L43" s="75" t="s">
        <v>1127</v>
      </c>
      <c r="M43" s="75"/>
      <c r="N43" s="75" t="s">
        <v>1487</v>
      </c>
      <c r="O43" s="75"/>
      <c r="P43" s="75"/>
      <c r="Q43" s="75" t="s">
        <v>1360</v>
      </c>
      <c r="R43" s="75" t="s">
        <v>24</v>
      </c>
      <c r="S43" s="75" t="s">
        <v>24</v>
      </c>
      <c r="T43" s="75"/>
      <c r="U43" s="75"/>
      <c r="V43" s="85"/>
    </row>
    <row r="44" spans="1:22">
      <c r="A44" s="13" t="s">
        <v>1043</v>
      </c>
      <c r="B44" s="75">
        <v>24239430</v>
      </c>
      <c r="C44" s="75">
        <v>1</v>
      </c>
      <c r="D44" s="76" t="s">
        <v>1852</v>
      </c>
      <c r="E44" s="77"/>
      <c r="F44" s="75">
        <v>0</v>
      </c>
      <c r="G44" s="75"/>
      <c r="H44" s="75">
        <v>0</v>
      </c>
      <c r="I44" s="106">
        <v>2</v>
      </c>
      <c r="J44" s="75" t="s">
        <v>1369</v>
      </c>
      <c r="K44" s="75"/>
      <c r="L44" s="75"/>
      <c r="M44" s="75"/>
      <c r="N44" s="75" t="s">
        <v>1367</v>
      </c>
      <c r="O44" s="75"/>
      <c r="P44" s="75"/>
      <c r="Q44" s="75" t="s">
        <v>1248</v>
      </c>
      <c r="R44" s="75" t="s">
        <v>24</v>
      </c>
      <c r="S44" s="75" t="s">
        <v>1368</v>
      </c>
      <c r="T44" s="75"/>
      <c r="U44" s="75" t="s">
        <v>1660</v>
      </c>
      <c r="V44" s="85" t="s">
        <v>1659</v>
      </c>
    </row>
    <row r="45" spans="1:22">
      <c r="A45" s="13" t="s">
        <v>1039</v>
      </c>
      <c r="B45" s="75">
        <v>12587183</v>
      </c>
      <c r="C45" s="75">
        <v>1</v>
      </c>
      <c r="D45" s="76">
        <v>1</v>
      </c>
      <c r="E45" s="77"/>
      <c r="F45" s="75">
        <v>1</v>
      </c>
      <c r="G45" s="75"/>
      <c r="H45" s="75">
        <v>1</v>
      </c>
      <c r="I45" s="106">
        <v>2</v>
      </c>
      <c r="J45" s="75" t="s">
        <v>1376</v>
      </c>
      <c r="K45" s="75" t="s">
        <v>1377</v>
      </c>
      <c r="L45" s="75"/>
      <c r="M45" s="75"/>
      <c r="N45" s="75" t="s">
        <v>1498</v>
      </c>
      <c r="O45" s="75"/>
      <c r="P45" s="75"/>
      <c r="Q45" s="75" t="s">
        <v>1682</v>
      </c>
      <c r="R45" s="75"/>
      <c r="S45" s="75"/>
      <c r="T45" s="75"/>
      <c r="U45" s="75"/>
      <c r="V45" s="85"/>
    </row>
    <row r="46" spans="1:22">
      <c r="A46" s="13" t="s">
        <v>1037</v>
      </c>
      <c r="B46" s="75">
        <v>19095221</v>
      </c>
      <c r="C46" s="75">
        <v>1</v>
      </c>
      <c r="D46" s="76" t="s">
        <v>1853</v>
      </c>
      <c r="E46" s="77"/>
      <c r="F46" s="75">
        <v>0</v>
      </c>
      <c r="G46" s="75"/>
      <c r="H46" s="75">
        <v>0</v>
      </c>
      <c r="I46" s="106">
        <v>2</v>
      </c>
      <c r="J46" s="75" t="s">
        <v>24</v>
      </c>
      <c r="K46" s="75" t="s">
        <v>24</v>
      </c>
      <c r="L46" s="75" t="s">
        <v>1127</v>
      </c>
      <c r="M46" s="75"/>
      <c r="N46" s="75" t="s">
        <v>1495</v>
      </c>
      <c r="O46" s="75"/>
      <c r="P46" s="75"/>
      <c r="Q46" s="75" t="s">
        <v>1382</v>
      </c>
      <c r="R46" s="75" t="s">
        <v>1380</v>
      </c>
      <c r="S46" s="75" t="s">
        <v>1381</v>
      </c>
      <c r="T46" s="75"/>
      <c r="U46" s="75"/>
      <c r="V46" s="85" t="s">
        <v>424</v>
      </c>
    </row>
    <row r="47" spans="1:22">
      <c r="A47" s="13" t="s">
        <v>1036</v>
      </c>
      <c r="B47" s="75">
        <v>23891637</v>
      </c>
      <c r="C47" s="75">
        <v>1</v>
      </c>
      <c r="D47" s="76">
        <v>1</v>
      </c>
      <c r="E47" s="77"/>
      <c r="F47" s="75">
        <v>1</v>
      </c>
      <c r="G47" s="75"/>
      <c r="H47" s="75">
        <v>1</v>
      </c>
      <c r="I47" s="106">
        <v>2</v>
      </c>
      <c r="J47" s="75" t="s">
        <v>1347</v>
      </c>
      <c r="K47" s="75" t="s">
        <v>1216</v>
      </c>
      <c r="L47" s="75" t="s">
        <v>1127</v>
      </c>
      <c r="M47" s="75"/>
      <c r="N47" s="75" t="s">
        <v>1714</v>
      </c>
      <c r="O47" s="75" t="s">
        <v>803</v>
      </c>
      <c r="P47" s="75"/>
      <c r="Q47" s="75" t="s">
        <v>1383</v>
      </c>
      <c r="R47" s="75" t="s">
        <v>1384</v>
      </c>
      <c r="S47" s="75" t="s">
        <v>1385</v>
      </c>
      <c r="T47" s="75"/>
      <c r="U47" s="75"/>
      <c r="V47" s="85"/>
    </row>
    <row r="48" spans="1:22">
      <c r="A48" s="13" t="s">
        <v>1032</v>
      </c>
      <c r="B48" s="75">
        <v>26642920</v>
      </c>
      <c r="C48" s="75">
        <v>1</v>
      </c>
      <c r="D48" s="76">
        <v>1</v>
      </c>
      <c r="E48" s="77"/>
      <c r="F48" s="75">
        <v>1</v>
      </c>
      <c r="G48" s="75"/>
      <c r="H48" s="78">
        <v>1</v>
      </c>
      <c r="I48" s="106">
        <v>2</v>
      </c>
      <c r="J48" s="75" t="s">
        <v>1220</v>
      </c>
      <c r="K48" s="75" t="s">
        <v>1216</v>
      </c>
      <c r="L48" s="75" t="s">
        <v>1389</v>
      </c>
      <c r="M48" s="75"/>
      <c r="N48" s="75" t="s">
        <v>1488</v>
      </c>
      <c r="O48" s="75"/>
      <c r="P48" s="75"/>
      <c r="Q48" s="75" t="s">
        <v>1715</v>
      </c>
      <c r="R48" s="75"/>
      <c r="S48" s="75"/>
      <c r="T48" s="75"/>
      <c r="U48" s="75"/>
      <c r="V48" s="85"/>
    </row>
    <row r="49" spans="1:22">
      <c r="A49" s="13" t="s">
        <v>1031</v>
      </c>
      <c r="B49" s="75">
        <v>26611866</v>
      </c>
      <c r="C49" s="75">
        <v>1</v>
      </c>
      <c r="D49" s="76"/>
      <c r="E49" s="77"/>
      <c r="F49" s="75">
        <v>1</v>
      </c>
      <c r="G49" s="75"/>
      <c r="H49" s="81">
        <v>1</v>
      </c>
      <c r="I49" s="106">
        <v>2</v>
      </c>
      <c r="J49" s="75" t="s">
        <v>1393</v>
      </c>
      <c r="K49" s="75" t="s">
        <v>1390</v>
      </c>
      <c r="L49" s="75" t="s">
        <v>1127</v>
      </c>
      <c r="M49" s="75"/>
      <c r="N49" s="75" t="s">
        <v>1487</v>
      </c>
      <c r="O49" s="75" t="s">
        <v>803</v>
      </c>
      <c r="P49" s="75" t="s">
        <v>23</v>
      </c>
      <c r="Q49" s="75" t="s">
        <v>1716</v>
      </c>
      <c r="R49" s="75" t="s">
        <v>1391</v>
      </c>
      <c r="S49" s="75"/>
      <c r="T49" s="75"/>
      <c r="U49" s="75"/>
      <c r="V49" s="85" t="s">
        <v>1392</v>
      </c>
    </row>
    <row r="50" spans="1:22">
      <c r="A50" s="13" t="s">
        <v>1029</v>
      </c>
      <c r="B50" s="75">
        <v>25882722</v>
      </c>
      <c r="C50" s="75">
        <v>1</v>
      </c>
      <c r="D50" s="76" t="s">
        <v>1847</v>
      </c>
      <c r="E50" s="77"/>
      <c r="F50" s="75">
        <v>1</v>
      </c>
      <c r="G50" s="75"/>
      <c r="H50" s="75">
        <v>1</v>
      </c>
      <c r="I50" s="106">
        <v>2</v>
      </c>
      <c r="J50" s="75" t="s">
        <v>1398</v>
      </c>
      <c r="K50" s="75" t="s">
        <v>1216</v>
      </c>
      <c r="L50" s="75" t="s">
        <v>1396</v>
      </c>
      <c r="M50" s="75"/>
      <c r="N50" s="75" t="s">
        <v>1498</v>
      </c>
      <c r="O50" s="75" t="s">
        <v>803</v>
      </c>
      <c r="P50" s="75" t="s">
        <v>23</v>
      </c>
      <c r="Q50" s="75" t="s">
        <v>1518</v>
      </c>
      <c r="R50" s="75"/>
      <c r="S50" s="75" t="s">
        <v>1397</v>
      </c>
      <c r="T50" s="75"/>
      <c r="U50" s="75"/>
      <c r="V50" s="85"/>
    </row>
    <row r="51" spans="1:22">
      <c r="A51" s="13" t="s">
        <v>1028</v>
      </c>
      <c r="B51" s="75">
        <v>25976074</v>
      </c>
      <c r="C51" s="75">
        <v>1</v>
      </c>
      <c r="D51" s="76"/>
      <c r="E51" s="77"/>
      <c r="F51" s="75">
        <v>1</v>
      </c>
      <c r="G51" s="75"/>
      <c r="H51" s="75">
        <v>1</v>
      </c>
      <c r="I51" s="106">
        <v>2</v>
      </c>
      <c r="J51" s="75" t="s">
        <v>1399</v>
      </c>
      <c r="K51" s="75" t="s">
        <v>1216</v>
      </c>
      <c r="L51" s="75" t="s">
        <v>1127</v>
      </c>
      <c r="M51" s="75"/>
      <c r="N51" s="75" t="s">
        <v>1487</v>
      </c>
      <c r="O51" s="75" t="s">
        <v>803</v>
      </c>
      <c r="P51" s="75" t="s">
        <v>23</v>
      </c>
      <c r="Q51" s="75" t="s">
        <v>1677</v>
      </c>
      <c r="R51" s="75" t="s">
        <v>1400</v>
      </c>
      <c r="S51" s="75"/>
      <c r="T51" s="75"/>
      <c r="U51" s="75"/>
      <c r="V51" s="85"/>
    </row>
    <row r="52" spans="1:22">
      <c r="A52" s="13" t="s">
        <v>1027</v>
      </c>
      <c r="B52" s="75">
        <v>26650043</v>
      </c>
      <c r="C52" s="75">
        <v>1</v>
      </c>
      <c r="D52" s="76">
        <v>1</v>
      </c>
      <c r="E52" s="77"/>
      <c r="F52" s="75">
        <v>1</v>
      </c>
      <c r="G52" s="75"/>
      <c r="H52" s="75">
        <v>1</v>
      </c>
      <c r="I52" s="106">
        <v>2</v>
      </c>
      <c r="J52" s="75" t="s">
        <v>1401</v>
      </c>
      <c r="K52" s="75" t="s">
        <v>1169</v>
      </c>
      <c r="L52" s="75" t="s">
        <v>1127</v>
      </c>
      <c r="M52" s="75"/>
      <c r="N52" s="75" t="s">
        <v>1487</v>
      </c>
      <c r="O52" s="75"/>
      <c r="P52" s="75"/>
      <c r="Q52" s="75" t="s">
        <v>1676</v>
      </c>
      <c r="R52" s="75" t="s">
        <v>1402</v>
      </c>
      <c r="S52" s="75"/>
      <c r="T52" s="75"/>
      <c r="U52" s="75"/>
      <c r="V52" s="85"/>
    </row>
    <row r="53" spans="1:22">
      <c r="A53" s="13" t="s">
        <v>1026</v>
      </c>
      <c r="B53" s="75">
        <v>22176467</v>
      </c>
      <c r="C53" s="75">
        <v>1</v>
      </c>
      <c r="D53" s="76" t="s">
        <v>1855</v>
      </c>
      <c r="E53" s="77"/>
      <c r="F53" s="75">
        <v>0</v>
      </c>
      <c r="G53" s="75"/>
      <c r="H53" s="78">
        <v>0</v>
      </c>
      <c r="I53" s="106">
        <v>2</v>
      </c>
      <c r="J53" s="75" t="s">
        <v>1404</v>
      </c>
      <c r="K53" s="75" t="s">
        <v>1212</v>
      </c>
      <c r="L53" s="75" t="s">
        <v>1127</v>
      </c>
      <c r="M53" s="75"/>
      <c r="N53" s="75" t="s">
        <v>1488</v>
      </c>
      <c r="O53" s="75" t="s">
        <v>803</v>
      </c>
      <c r="P53" s="75"/>
      <c r="Q53" s="75" t="s">
        <v>1403</v>
      </c>
      <c r="R53" s="75"/>
      <c r="S53" s="75"/>
      <c r="T53" s="75"/>
      <c r="U53" s="75"/>
      <c r="V53" s="85"/>
    </row>
    <row r="54" spans="1:22">
      <c r="A54" s="13" t="s">
        <v>1025</v>
      </c>
      <c r="B54" s="75">
        <v>11331084</v>
      </c>
      <c r="C54" s="75">
        <v>1</v>
      </c>
      <c r="D54" s="76"/>
      <c r="E54" s="77"/>
      <c r="F54" s="75">
        <v>1</v>
      </c>
      <c r="G54" s="75"/>
      <c r="H54" s="81">
        <v>1</v>
      </c>
      <c r="I54" s="106">
        <v>2</v>
      </c>
      <c r="J54" s="75" t="s">
        <v>1405</v>
      </c>
      <c r="K54" s="75" t="s">
        <v>1216</v>
      </c>
      <c r="L54" s="75" t="s">
        <v>1127</v>
      </c>
      <c r="M54" s="75"/>
      <c r="N54" s="75" t="s">
        <v>1498</v>
      </c>
      <c r="O54" s="75" t="s">
        <v>803</v>
      </c>
      <c r="P54" s="75" t="s">
        <v>23</v>
      </c>
      <c r="Q54" s="75" t="s">
        <v>1406</v>
      </c>
      <c r="R54" s="75"/>
      <c r="S54" s="75"/>
      <c r="T54" s="75"/>
      <c r="U54" s="75"/>
      <c r="V54" s="85"/>
    </row>
    <row r="55" spans="1:22">
      <c r="A55" s="13" t="s">
        <v>1024</v>
      </c>
      <c r="B55" s="75">
        <v>19167197</v>
      </c>
      <c r="C55" s="75">
        <v>1</v>
      </c>
      <c r="D55" s="76" t="s">
        <v>1856</v>
      </c>
      <c r="E55" s="77"/>
      <c r="F55" s="75">
        <v>0</v>
      </c>
      <c r="G55" s="75"/>
      <c r="H55" s="75">
        <v>0</v>
      </c>
      <c r="I55" s="106">
        <v>2</v>
      </c>
      <c r="J55" s="75" t="s">
        <v>1407</v>
      </c>
      <c r="K55" s="75" t="s">
        <v>1264</v>
      </c>
      <c r="L55" s="75" t="s">
        <v>1127</v>
      </c>
      <c r="M55" s="75"/>
      <c r="N55" s="75" t="s">
        <v>1507</v>
      </c>
      <c r="O55" s="75" t="s">
        <v>803</v>
      </c>
      <c r="P55" s="75" t="s">
        <v>23</v>
      </c>
      <c r="Q55" s="75" t="s">
        <v>1248</v>
      </c>
      <c r="R55" s="75"/>
      <c r="S55" s="75" t="s">
        <v>1408</v>
      </c>
      <c r="T55" s="75"/>
      <c r="U55" s="75" t="s">
        <v>1664</v>
      </c>
      <c r="V55" s="85" t="s">
        <v>1663</v>
      </c>
    </row>
    <row r="56" spans="1:22">
      <c r="A56" s="13" t="s">
        <v>1023</v>
      </c>
      <c r="B56" s="75">
        <v>17886167</v>
      </c>
      <c r="C56" s="75">
        <v>1</v>
      </c>
      <c r="D56" s="76"/>
      <c r="E56" s="77"/>
      <c r="F56" s="75">
        <v>1</v>
      </c>
      <c r="G56" s="75"/>
      <c r="H56" s="84">
        <v>1</v>
      </c>
      <c r="I56" s="106">
        <v>2</v>
      </c>
      <c r="J56" s="75" t="s">
        <v>1347</v>
      </c>
      <c r="K56" s="75" t="s">
        <v>1216</v>
      </c>
      <c r="L56" s="75" t="s">
        <v>1127</v>
      </c>
      <c r="M56" s="75"/>
      <c r="N56" s="75" t="s">
        <v>1507</v>
      </c>
      <c r="O56" s="75" t="s">
        <v>1539</v>
      </c>
      <c r="P56" s="75"/>
      <c r="Q56" s="75" t="s">
        <v>1409</v>
      </c>
      <c r="R56" s="75"/>
      <c r="S56" s="75"/>
      <c r="T56" s="75"/>
      <c r="U56" s="75"/>
      <c r="V56" s="85"/>
    </row>
    <row r="57" spans="1:22">
      <c r="A57" s="13" t="s">
        <v>1021</v>
      </c>
      <c r="B57" s="75">
        <v>24988461</v>
      </c>
      <c r="C57" s="75">
        <v>1</v>
      </c>
      <c r="D57" s="76">
        <v>1</v>
      </c>
      <c r="E57" s="77"/>
      <c r="F57" s="75">
        <v>1</v>
      </c>
      <c r="G57" s="75"/>
      <c r="H57" s="75">
        <v>1</v>
      </c>
      <c r="I57" s="106">
        <v>2</v>
      </c>
      <c r="J57" s="75" t="s">
        <v>1415</v>
      </c>
      <c r="K57" s="75" t="s">
        <v>1224</v>
      </c>
      <c r="L57" s="75" t="s">
        <v>1127</v>
      </c>
      <c r="M57" s="75"/>
      <c r="N57" s="75" t="s">
        <v>1487</v>
      </c>
      <c r="O57" s="75" t="s">
        <v>803</v>
      </c>
      <c r="P57" s="75" t="s">
        <v>23</v>
      </c>
      <c r="Q57" s="75" t="s">
        <v>1675</v>
      </c>
      <c r="R57" s="75"/>
      <c r="S57" s="75"/>
      <c r="T57" s="75"/>
      <c r="U57" s="75"/>
      <c r="V57" s="85"/>
    </row>
    <row r="58" spans="1:22">
      <c r="A58" s="13" t="s">
        <v>1020</v>
      </c>
      <c r="B58" s="75">
        <v>18339410</v>
      </c>
      <c r="C58" s="75">
        <v>1</v>
      </c>
      <c r="D58" s="76">
        <v>1</v>
      </c>
      <c r="E58" s="77"/>
      <c r="F58" s="75">
        <v>1</v>
      </c>
      <c r="G58" s="75"/>
      <c r="H58" s="78">
        <v>1</v>
      </c>
      <c r="I58" s="106">
        <v>2</v>
      </c>
      <c r="J58" s="75" t="s">
        <v>1697</v>
      </c>
      <c r="K58" s="75" t="s">
        <v>1417</v>
      </c>
      <c r="L58" s="75" t="s">
        <v>1127</v>
      </c>
      <c r="M58" s="75"/>
      <c r="N58" s="75" t="s">
        <v>1541</v>
      </c>
      <c r="O58" s="75"/>
      <c r="P58" s="75"/>
      <c r="Q58" s="75" t="s">
        <v>1416</v>
      </c>
      <c r="R58" s="75"/>
      <c r="S58" s="75"/>
      <c r="T58" s="75"/>
      <c r="U58" s="75"/>
      <c r="V58" s="85"/>
    </row>
    <row r="59" spans="1:22">
      <c r="A59" s="13" t="s">
        <v>1019</v>
      </c>
      <c r="B59" s="75">
        <v>23474020</v>
      </c>
      <c r="C59" s="75">
        <v>1</v>
      </c>
      <c r="D59" s="76"/>
      <c r="E59" s="77"/>
      <c r="F59" s="75">
        <v>1</v>
      </c>
      <c r="G59" s="75"/>
      <c r="H59" s="78">
        <v>1</v>
      </c>
      <c r="I59" s="106">
        <v>2</v>
      </c>
      <c r="J59" s="75" t="s">
        <v>1419</v>
      </c>
      <c r="K59" s="75" t="s">
        <v>1216</v>
      </c>
      <c r="L59" s="75" t="s">
        <v>1127</v>
      </c>
      <c r="M59" s="75"/>
      <c r="N59" s="75" t="s">
        <v>1487</v>
      </c>
      <c r="O59" s="75"/>
      <c r="P59" s="75"/>
      <c r="Q59" s="75" t="s">
        <v>1418</v>
      </c>
      <c r="R59" s="75"/>
      <c r="S59" s="75"/>
      <c r="T59" s="75"/>
      <c r="U59" s="75" t="s">
        <v>1666</v>
      </c>
      <c r="V59" s="85" t="s">
        <v>1665</v>
      </c>
    </row>
    <row r="60" spans="1:22">
      <c r="A60" s="13" t="s">
        <v>1017</v>
      </c>
      <c r="B60" s="75">
        <v>20844476</v>
      </c>
      <c r="C60" s="75">
        <v>1</v>
      </c>
      <c r="D60" s="76">
        <v>1</v>
      </c>
      <c r="E60" s="77"/>
      <c r="F60" s="75">
        <v>1</v>
      </c>
      <c r="G60" s="75"/>
      <c r="H60" s="78">
        <v>1</v>
      </c>
      <c r="I60" s="106">
        <v>2</v>
      </c>
      <c r="J60" s="75" t="s">
        <v>1220</v>
      </c>
      <c r="K60" s="75" t="s">
        <v>1422</v>
      </c>
      <c r="L60" s="75" t="s">
        <v>1127</v>
      </c>
      <c r="M60" s="75"/>
      <c r="N60" s="75" t="s">
        <v>1488</v>
      </c>
      <c r="O60" s="75"/>
      <c r="P60" s="75"/>
      <c r="Q60" s="75" t="s">
        <v>1501</v>
      </c>
      <c r="R60" s="75"/>
      <c r="S60" s="75" t="s">
        <v>1123</v>
      </c>
      <c r="T60" s="75"/>
      <c r="U60" s="75" t="s">
        <v>1423</v>
      </c>
      <c r="V60" s="85"/>
    </row>
    <row r="61" spans="1:22">
      <c r="A61" s="13" t="s">
        <v>1015</v>
      </c>
      <c r="B61" s="75">
        <v>25430781</v>
      </c>
      <c r="C61" s="75">
        <v>1</v>
      </c>
      <c r="D61" s="76">
        <v>1</v>
      </c>
      <c r="E61" s="77"/>
      <c r="F61" s="75">
        <v>1</v>
      </c>
      <c r="G61" s="75"/>
      <c r="H61" s="78">
        <v>1</v>
      </c>
      <c r="I61" s="106">
        <v>2</v>
      </c>
      <c r="J61" s="75" t="s">
        <v>1426</v>
      </c>
      <c r="K61" s="75" t="s">
        <v>1216</v>
      </c>
      <c r="L61" s="75" t="s">
        <v>1127</v>
      </c>
      <c r="M61" s="75"/>
      <c r="N61" s="75" t="s">
        <v>1488</v>
      </c>
      <c r="O61" s="75" t="s">
        <v>803</v>
      </c>
      <c r="P61" s="75" t="s">
        <v>23</v>
      </c>
      <c r="Q61" s="75" t="s">
        <v>1427</v>
      </c>
      <c r="R61" s="75" t="s">
        <v>1428</v>
      </c>
      <c r="S61" s="75"/>
      <c r="T61" s="75"/>
      <c r="U61" s="75" t="s">
        <v>1425</v>
      </c>
      <c r="V61" s="85"/>
    </row>
    <row r="62" spans="1:22">
      <c r="A62" s="13" t="s">
        <v>1013</v>
      </c>
      <c r="B62" s="75">
        <v>24583372</v>
      </c>
      <c r="C62" s="75">
        <v>1</v>
      </c>
      <c r="D62" s="76"/>
      <c r="E62" s="77"/>
      <c r="F62" s="75">
        <v>1</v>
      </c>
      <c r="G62" s="75"/>
      <c r="H62" s="75">
        <v>1</v>
      </c>
      <c r="I62" s="106">
        <v>2</v>
      </c>
      <c r="J62" s="75" t="s">
        <v>1327</v>
      </c>
      <c r="K62" s="75" t="s">
        <v>1216</v>
      </c>
      <c r="L62" s="75" t="s">
        <v>1433</v>
      </c>
      <c r="M62" s="75"/>
      <c r="N62" s="75" t="s">
        <v>1431</v>
      </c>
      <c r="O62" s="75" t="s">
        <v>803</v>
      </c>
      <c r="P62" s="75"/>
      <c r="Q62" s="75" t="s">
        <v>1432</v>
      </c>
      <c r="R62" s="75" t="s">
        <v>1434</v>
      </c>
      <c r="S62" s="75"/>
      <c r="T62" s="75"/>
      <c r="U62" s="75"/>
      <c r="V62" s="85"/>
    </row>
    <row r="63" spans="1:22">
      <c r="A63" s="13" t="s">
        <v>1011</v>
      </c>
      <c r="B63" s="75">
        <v>20599458</v>
      </c>
      <c r="C63" s="75">
        <v>1</v>
      </c>
      <c r="D63" s="76">
        <v>1</v>
      </c>
      <c r="E63" s="77"/>
      <c r="F63" s="75">
        <v>1</v>
      </c>
      <c r="G63" s="75"/>
      <c r="H63" s="78">
        <v>1</v>
      </c>
      <c r="I63" s="106">
        <v>2</v>
      </c>
      <c r="J63" s="75" t="s">
        <v>1220</v>
      </c>
      <c r="K63" s="75" t="s">
        <v>1212</v>
      </c>
      <c r="L63" s="75" t="s">
        <v>1127</v>
      </c>
      <c r="M63" s="75"/>
      <c r="N63" s="75" t="s">
        <v>1501</v>
      </c>
      <c r="O63" s="75"/>
      <c r="P63" s="75"/>
      <c r="Q63" s="75" t="s">
        <v>1438</v>
      </c>
      <c r="R63" s="75"/>
      <c r="S63" s="75"/>
      <c r="T63" s="75"/>
      <c r="U63" s="75" t="s">
        <v>1439</v>
      </c>
      <c r="V63" s="85"/>
    </row>
    <row r="64" spans="1:22">
      <c r="A64" s="13" t="s">
        <v>1010</v>
      </c>
      <c r="B64" s="75">
        <v>25002839</v>
      </c>
      <c r="C64" s="75">
        <v>1</v>
      </c>
      <c r="D64" s="76"/>
      <c r="E64" s="77"/>
      <c r="F64" s="75">
        <v>1</v>
      </c>
      <c r="G64" s="75"/>
      <c r="H64" s="78">
        <v>1</v>
      </c>
      <c r="I64" s="106">
        <v>2</v>
      </c>
      <c r="J64" s="75" t="s">
        <v>1587</v>
      </c>
      <c r="K64" s="75" t="s">
        <v>1216</v>
      </c>
      <c r="L64" s="75" t="s">
        <v>672</v>
      </c>
      <c r="M64" s="75"/>
      <c r="N64" s="75" t="s">
        <v>1504</v>
      </c>
      <c r="O64" s="75"/>
      <c r="P64" s="79"/>
      <c r="Q64" s="75" t="s">
        <v>674</v>
      </c>
      <c r="R64" s="75"/>
      <c r="S64" s="75" t="s">
        <v>1410</v>
      </c>
      <c r="T64" s="75"/>
      <c r="U64" s="75"/>
      <c r="V64" s="85" t="s">
        <v>1410</v>
      </c>
    </row>
    <row r="65" spans="1:22">
      <c r="A65" s="13" t="s">
        <v>1007</v>
      </c>
      <c r="B65" s="75">
        <v>8731522</v>
      </c>
      <c r="C65" s="75">
        <v>1</v>
      </c>
      <c r="D65" s="76">
        <v>1</v>
      </c>
      <c r="E65" s="77"/>
      <c r="F65" s="75">
        <v>1</v>
      </c>
      <c r="G65" s="75"/>
      <c r="H65" s="75">
        <v>1</v>
      </c>
      <c r="I65" s="106">
        <v>2</v>
      </c>
      <c r="J65" s="75"/>
      <c r="K65" s="75"/>
      <c r="L65" s="75" t="s">
        <v>1234</v>
      </c>
      <c r="M65" s="75"/>
      <c r="N65" s="75" t="s">
        <v>1446</v>
      </c>
      <c r="O65" s="75" t="s">
        <v>803</v>
      </c>
      <c r="P65" s="75"/>
      <c r="Q65" s="75" t="s">
        <v>1447</v>
      </c>
      <c r="R65" s="75"/>
      <c r="S65" s="75"/>
      <c r="T65" s="75"/>
      <c r="U65" s="75"/>
      <c r="V65" s="85" t="s">
        <v>1448</v>
      </c>
    </row>
    <row r="66" spans="1:22">
      <c r="A66" s="13" t="s">
        <v>1005</v>
      </c>
      <c r="B66" s="75">
        <v>24925360</v>
      </c>
      <c r="C66" s="75">
        <v>1</v>
      </c>
      <c r="D66" s="76">
        <v>1</v>
      </c>
      <c r="E66" s="77"/>
      <c r="F66" s="75">
        <v>1</v>
      </c>
      <c r="G66" s="75"/>
      <c r="H66" s="78">
        <v>1</v>
      </c>
      <c r="I66" s="106">
        <v>2</v>
      </c>
      <c r="J66" s="75" t="s">
        <v>1455</v>
      </c>
      <c r="K66" s="75" t="s">
        <v>1216</v>
      </c>
      <c r="L66" s="75" t="s">
        <v>1127</v>
      </c>
      <c r="M66" s="75"/>
      <c r="N66" s="75" t="s">
        <v>1488</v>
      </c>
      <c r="O66" s="75" t="s">
        <v>803</v>
      </c>
      <c r="P66" s="75" t="s">
        <v>23</v>
      </c>
      <c r="Q66" s="75" t="s">
        <v>1454</v>
      </c>
      <c r="R66" s="75" t="s">
        <v>1456</v>
      </c>
      <c r="S66" s="75" t="s">
        <v>24</v>
      </c>
      <c r="T66" s="75"/>
      <c r="U66" s="75"/>
      <c r="V66" s="85" t="s">
        <v>1457</v>
      </c>
    </row>
    <row r="67" spans="1:22">
      <c r="A67" s="13" t="s">
        <v>1004</v>
      </c>
      <c r="B67" s="75">
        <v>24657739</v>
      </c>
      <c r="C67" s="75">
        <v>1</v>
      </c>
      <c r="D67" s="76"/>
      <c r="E67" s="77"/>
      <c r="F67" s="75">
        <v>1</v>
      </c>
      <c r="G67" s="75"/>
      <c r="H67" s="75">
        <v>1</v>
      </c>
      <c r="I67" s="106">
        <v>2</v>
      </c>
      <c r="J67" s="75" t="s">
        <v>1460</v>
      </c>
      <c r="K67" s="75" t="s">
        <v>1216</v>
      </c>
      <c r="L67" s="75" t="s">
        <v>1229</v>
      </c>
      <c r="M67" s="75"/>
      <c r="N67" s="75" t="s">
        <v>1487</v>
      </c>
      <c r="O67" s="75" t="s">
        <v>803</v>
      </c>
      <c r="P67" s="75"/>
      <c r="Q67" s="75" t="s">
        <v>1458</v>
      </c>
      <c r="R67" s="75"/>
      <c r="S67" s="75" t="s">
        <v>1459</v>
      </c>
      <c r="T67" s="75"/>
      <c r="U67" s="75" t="s">
        <v>1461</v>
      </c>
      <c r="V67" s="85"/>
    </row>
    <row r="68" spans="1:22">
      <c r="A68" s="13" t="s">
        <v>1003</v>
      </c>
      <c r="B68" s="75">
        <v>24887568</v>
      </c>
      <c r="C68" s="75">
        <v>1</v>
      </c>
      <c r="D68" s="76"/>
      <c r="E68" s="77"/>
      <c r="F68" s="75">
        <v>1</v>
      </c>
      <c r="G68" s="75"/>
      <c r="H68" s="75">
        <v>1</v>
      </c>
      <c r="I68" s="106">
        <v>2</v>
      </c>
      <c r="J68" s="75" t="s">
        <v>1464</v>
      </c>
      <c r="K68" s="75" t="s">
        <v>1216</v>
      </c>
      <c r="L68" s="75" t="s">
        <v>1127</v>
      </c>
      <c r="M68" s="75"/>
      <c r="N68" s="75" t="s">
        <v>1462</v>
      </c>
      <c r="O68" s="75" t="s">
        <v>803</v>
      </c>
      <c r="P68" s="75" t="s">
        <v>23</v>
      </c>
      <c r="Q68" s="75" t="s">
        <v>1465</v>
      </c>
      <c r="R68" s="75"/>
      <c r="S68" s="75" t="s">
        <v>1463</v>
      </c>
      <c r="T68" s="75"/>
      <c r="U68" s="75"/>
      <c r="V68" s="85"/>
    </row>
    <row r="69" spans="1:22">
      <c r="A69" s="13" t="s">
        <v>1001</v>
      </c>
      <c r="B69" s="75">
        <v>21377492</v>
      </c>
      <c r="C69" s="75">
        <v>1</v>
      </c>
      <c r="D69" s="76">
        <v>1</v>
      </c>
      <c r="E69" s="77"/>
      <c r="F69" s="75">
        <v>1</v>
      </c>
      <c r="G69" s="75"/>
      <c r="H69" s="75">
        <v>1</v>
      </c>
      <c r="I69" s="106">
        <v>2</v>
      </c>
      <c r="J69" s="75" t="s">
        <v>1303</v>
      </c>
      <c r="K69" s="75" t="s">
        <v>1212</v>
      </c>
      <c r="L69" s="75" t="s">
        <v>1468</v>
      </c>
      <c r="M69" s="75"/>
      <c r="N69" s="75" t="s">
        <v>1498</v>
      </c>
      <c r="O69" s="75" t="s">
        <v>803</v>
      </c>
      <c r="P69" s="75"/>
      <c r="Q69" s="75" t="s">
        <v>1469</v>
      </c>
      <c r="R69" s="75" t="s">
        <v>436</v>
      </c>
      <c r="S69" s="75"/>
      <c r="T69" s="75"/>
      <c r="U69" s="75"/>
      <c r="V69" s="85"/>
    </row>
    <row r="70" spans="1:22">
      <c r="A70" s="13" t="s">
        <v>1000</v>
      </c>
      <c r="B70" s="75">
        <v>22659580</v>
      </c>
      <c r="C70" s="75">
        <v>1</v>
      </c>
      <c r="D70" s="76"/>
      <c r="E70" s="77"/>
      <c r="F70" s="75">
        <v>1</v>
      </c>
      <c r="G70" s="75"/>
      <c r="H70" s="75">
        <v>1</v>
      </c>
      <c r="I70" s="106">
        <v>2</v>
      </c>
      <c r="J70" s="75" t="s">
        <v>1470</v>
      </c>
      <c r="K70" s="75" t="s">
        <v>1147</v>
      </c>
      <c r="L70" s="75" t="s">
        <v>1138</v>
      </c>
      <c r="M70" s="75"/>
      <c r="N70" s="75" t="s">
        <v>1498</v>
      </c>
      <c r="O70" s="75" t="s">
        <v>803</v>
      </c>
      <c r="P70" s="75"/>
      <c r="Q70" s="75" t="s">
        <v>1511</v>
      </c>
      <c r="R70" s="75"/>
      <c r="S70" s="75" t="s">
        <v>1374</v>
      </c>
      <c r="T70" s="75"/>
      <c r="U70" s="75" t="s">
        <v>1471</v>
      </c>
      <c r="V70" s="85"/>
    </row>
    <row r="71" spans="1:22">
      <c r="A71" s="13" t="s">
        <v>999</v>
      </c>
      <c r="B71" s="75">
        <v>26066724</v>
      </c>
      <c r="C71" s="75">
        <v>1</v>
      </c>
      <c r="D71" s="76"/>
      <c r="E71" s="77"/>
      <c r="F71" s="75">
        <v>1</v>
      </c>
      <c r="G71" s="75"/>
      <c r="H71" s="75">
        <v>1</v>
      </c>
      <c r="I71" s="106">
        <v>2</v>
      </c>
      <c r="J71" s="75" t="s">
        <v>73</v>
      </c>
      <c r="K71" s="75" t="s">
        <v>1216</v>
      </c>
      <c r="L71" s="75" t="s">
        <v>1138</v>
      </c>
      <c r="M71" s="75"/>
      <c r="N71" s="75" t="s">
        <v>1495</v>
      </c>
      <c r="O71" s="75" t="s">
        <v>803</v>
      </c>
      <c r="P71" s="75"/>
      <c r="Q71" s="75" t="s">
        <v>1511</v>
      </c>
      <c r="R71" s="75"/>
      <c r="S71" s="75"/>
      <c r="T71" s="75"/>
      <c r="U71" s="75"/>
      <c r="V71" s="85"/>
    </row>
    <row r="72" spans="1:22">
      <c r="A72" s="13" t="s">
        <v>998</v>
      </c>
      <c r="B72" s="75">
        <v>27616342</v>
      </c>
      <c r="C72" s="75">
        <v>1</v>
      </c>
      <c r="D72" s="76"/>
      <c r="E72" s="77"/>
      <c r="F72" s="75">
        <v>1</v>
      </c>
      <c r="G72" s="75"/>
      <c r="H72" s="75">
        <v>1</v>
      </c>
      <c r="I72" s="106">
        <v>2</v>
      </c>
      <c r="J72" s="75" t="s">
        <v>1472</v>
      </c>
      <c r="K72" s="75" t="s">
        <v>1166</v>
      </c>
      <c r="L72" s="75" t="s">
        <v>1127</v>
      </c>
      <c r="M72" s="75"/>
      <c r="N72" s="75" t="s">
        <v>1487</v>
      </c>
      <c r="O72" s="75" t="s">
        <v>23</v>
      </c>
      <c r="P72" s="75"/>
      <c r="Q72" s="75" t="s">
        <v>1473</v>
      </c>
      <c r="R72" s="75" t="s">
        <v>1474</v>
      </c>
      <c r="S72" s="75"/>
      <c r="T72" s="75"/>
      <c r="U72" s="75"/>
      <c r="V72" s="85"/>
    </row>
    <row r="73" spans="1:22">
      <c r="A73" s="13" t="s">
        <v>997</v>
      </c>
      <c r="B73" s="75">
        <v>18391192</v>
      </c>
      <c r="C73" s="75">
        <v>1</v>
      </c>
      <c r="D73" s="76">
        <v>1</v>
      </c>
      <c r="E73" s="77"/>
      <c r="F73" s="75">
        <v>1</v>
      </c>
      <c r="G73" s="75"/>
      <c r="H73" s="78">
        <v>1</v>
      </c>
      <c r="I73" s="106">
        <v>2</v>
      </c>
      <c r="J73" s="75" t="s">
        <v>1475</v>
      </c>
      <c r="K73" s="75" t="s">
        <v>1216</v>
      </c>
      <c r="L73" s="75" t="s">
        <v>1138</v>
      </c>
      <c r="M73" s="75"/>
      <c r="N73" s="75" t="s">
        <v>1489</v>
      </c>
      <c r="O73" s="75"/>
      <c r="P73" s="75"/>
      <c r="Q73" s="75" t="s">
        <v>1501</v>
      </c>
      <c r="R73" s="75"/>
      <c r="S73" s="75"/>
      <c r="T73" s="75"/>
      <c r="U73" s="75"/>
      <c r="V73" s="85"/>
    </row>
    <row r="74" spans="1:22">
      <c r="A74" s="13" t="s">
        <v>996</v>
      </c>
      <c r="B74" s="75">
        <v>19167702</v>
      </c>
      <c r="C74" s="75">
        <v>1</v>
      </c>
      <c r="D74" s="76" t="s">
        <v>1848</v>
      </c>
      <c r="E74" s="77"/>
      <c r="F74" s="75">
        <v>1</v>
      </c>
      <c r="G74" s="75"/>
      <c r="H74" s="78">
        <v>1</v>
      </c>
      <c r="I74" s="106">
        <v>2</v>
      </c>
      <c r="J74" s="75" t="s">
        <v>22</v>
      </c>
      <c r="K74" s="75" t="s">
        <v>1142</v>
      </c>
      <c r="L74" s="75" t="s">
        <v>1127</v>
      </c>
      <c r="M74" s="75"/>
      <c r="N74" s="75" t="s">
        <v>1488</v>
      </c>
      <c r="O74" s="75"/>
      <c r="P74" s="75"/>
      <c r="Q74" s="75"/>
      <c r="R74" s="75"/>
      <c r="S74" s="75"/>
      <c r="T74" s="75"/>
      <c r="U74" s="75"/>
      <c r="V74" s="85" t="s">
        <v>424</v>
      </c>
    </row>
    <row r="75" spans="1:22">
      <c r="A75" s="13" t="s">
        <v>995</v>
      </c>
      <c r="B75" s="75">
        <v>25309317</v>
      </c>
      <c r="C75" s="75">
        <v>1</v>
      </c>
      <c r="D75" s="76"/>
      <c r="E75" s="77"/>
      <c r="F75" s="75">
        <v>1</v>
      </c>
      <c r="G75" s="75"/>
      <c r="H75" s="75">
        <v>1</v>
      </c>
      <c r="I75" s="106">
        <v>2</v>
      </c>
      <c r="J75" s="75" t="s">
        <v>1478</v>
      </c>
      <c r="K75" s="75" t="s">
        <v>1216</v>
      </c>
      <c r="L75" s="75" t="s">
        <v>1138</v>
      </c>
      <c r="M75" s="75"/>
      <c r="N75" s="75" t="s">
        <v>1489</v>
      </c>
      <c r="O75" s="75"/>
      <c r="P75" s="75"/>
      <c r="Q75" s="75" t="s">
        <v>1477</v>
      </c>
      <c r="R75" s="75" t="s">
        <v>1476</v>
      </c>
      <c r="S75" s="75"/>
      <c r="T75" s="75"/>
      <c r="U75" s="75"/>
      <c r="V75" s="85"/>
    </row>
    <row r="76" spans="1:22">
      <c r="A76" s="13" t="s">
        <v>994</v>
      </c>
      <c r="B76" s="75">
        <v>20838777</v>
      </c>
      <c r="C76" s="75">
        <v>1</v>
      </c>
      <c r="D76" s="76">
        <v>1</v>
      </c>
      <c r="E76" s="77"/>
      <c r="F76" s="75">
        <v>1</v>
      </c>
      <c r="G76" s="75"/>
      <c r="H76" s="75">
        <v>1</v>
      </c>
      <c r="I76" s="106">
        <v>2</v>
      </c>
      <c r="J76" s="75" t="s">
        <v>1481</v>
      </c>
      <c r="K76" s="75" t="s">
        <v>1482</v>
      </c>
      <c r="L76" s="75" t="s">
        <v>1479</v>
      </c>
      <c r="M76" s="75"/>
      <c r="N76" s="75" t="s">
        <v>1488</v>
      </c>
      <c r="O76" s="75" t="s">
        <v>1539</v>
      </c>
      <c r="P76" s="75"/>
      <c r="Q76" s="75" t="s">
        <v>1239</v>
      </c>
      <c r="R76" s="75"/>
      <c r="S76" s="75" t="s">
        <v>1123</v>
      </c>
      <c r="T76" s="75"/>
      <c r="U76" s="75" t="s">
        <v>1480</v>
      </c>
      <c r="V76" s="85"/>
    </row>
    <row r="77" spans="1:22">
      <c r="A77" s="13" t="s">
        <v>992</v>
      </c>
      <c r="B77" s="75">
        <v>26160034</v>
      </c>
      <c r="C77" s="75">
        <v>1</v>
      </c>
      <c r="D77" s="76">
        <v>1</v>
      </c>
      <c r="E77" s="77"/>
      <c r="F77" s="75">
        <v>1</v>
      </c>
      <c r="G77" s="75"/>
      <c r="H77" s="75">
        <v>1</v>
      </c>
      <c r="I77" s="106">
        <v>2</v>
      </c>
      <c r="J77" s="75" t="s">
        <v>1220</v>
      </c>
      <c r="K77" s="75"/>
      <c r="L77" s="75" t="s">
        <v>1127</v>
      </c>
      <c r="M77" s="75"/>
      <c r="N77" s="75" t="s">
        <v>1487</v>
      </c>
      <c r="O77" s="75"/>
      <c r="P77" s="75"/>
      <c r="Q77" s="75" t="s">
        <v>1508</v>
      </c>
      <c r="R77" s="75" t="s">
        <v>1519</v>
      </c>
      <c r="S77" s="75"/>
      <c r="T77" s="75"/>
      <c r="U77" s="75"/>
      <c r="V77" s="85"/>
    </row>
    <row r="78" spans="1:22">
      <c r="A78" s="13" t="s">
        <v>991</v>
      </c>
      <c r="B78" s="75">
        <v>23624119</v>
      </c>
      <c r="C78" s="75">
        <v>1</v>
      </c>
      <c r="D78" s="76">
        <v>1</v>
      </c>
      <c r="E78" s="77"/>
      <c r="F78" s="75">
        <v>1</v>
      </c>
      <c r="G78" s="75"/>
      <c r="H78" s="75">
        <v>1</v>
      </c>
      <c r="I78" s="106">
        <v>2</v>
      </c>
      <c r="J78" s="75" t="s">
        <v>24</v>
      </c>
      <c r="K78" s="75"/>
      <c r="L78" s="75" t="s">
        <v>1138</v>
      </c>
      <c r="M78" s="75"/>
      <c r="N78" s="75" t="s">
        <v>1498</v>
      </c>
      <c r="O78" s="75"/>
      <c r="P78" s="75"/>
      <c r="Q78" s="75" t="s">
        <v>1521</v>
      </c>
      <c r="R78" s="75"/>
      <c r="S78" s="75" t="s">
        <v>1132</v>
      </c>
      <c r="T78" s="75"/>
      <c r="U78" s="75"/>
      <c r="V78" s="85" t="s">
        <v>1279</v>
      </c>
    </row>
    <row r="79" spans="1:22">
      <c r="A79" s="13" t="s">
        <v>989</v>
      </c>
      <c r="B79" s="75">
        <v>25575638</v>
      </c>
      <c r="C79" s="80">
        <v>1</v>
      </c>
      <c r="D79" s="76" t="s">
        <v>1823</v>
      </c>
      <c r="E79" s="77"/>
      <c r="F79" s="75">
        <v>0</v>
      </c>
      <c r="G79" s="75"/>
      <c r="H79" s="78">
        <v>0</v>
      </c>
      <c r="I79" s="106">
        <v>2</v>
      </c>
      <c r="J79" s="75" t="s">
        <v>24</v>
      </c>
      <c r="K79" s="75"/>
      <c r="L79" s="75" t="s">
        <v>1523</v>
      </c>
      <c r="M79" s="75"/>
      <c r="N79" s="75" t="s">
        <v>1488</v>
      </c>
      <c r="O79" s="75" t="s">
        <v>803</v>
      </c>
      <c r="P79" s="75" t="s">
        <v>23</v>
      </c>
      <c r="Q79" s="75" t="s">
        <v>1524</v>
      </c>
      <c r="R79" s="75"/>
      <c r="S79" s="75"/>
      <c r="T79" s="75"/>
      <c r="U79" s="75"/>
      <c r="V79" s="85" t="s">
        <v>1279</v>
      </c>
    </row>
    <row r="80" spans="1:22">
      <c r="A80" s="13" t="s">
        <v>988</v>
      </c>
      <c r="B80" s="75">
        <v>9676829</v>
      </c>
      <c r="C80" s="75">
        <v>1</v>
      </c>
      <c r="D80" s="76">
        <v>1</v>
      </c>
      <c r="E80" s="77"/>
      <c r="F80" s="75">
        <v>1</v>
      </c>
      <c r="G80" s="75"/>
      <c r="H80" s="75">
        <v>1</v>
      </c>
      <c r="I80" s="106">
        <v>2</v>
      </c>
      <c r="J80" s="75" t="s">
        <v>1220</v>
      </c>
      <c r="K80" s="75" t="s">
        <v>1216</v>
      </c>
      <c r="L80" s="75" t="s">
        <v>1127</v>
      </c>
      <c r="M80" s="75"/>
      <c r="N80" s="75" t="s">
        <v>1525</v>
      </c>
      <c r="O80" s="75" t="s">
        <v>803</v>
      </c>
      <c r="P80" s="75"/>
      <c r="Q80" s="75" t="s">
        <v>1526</v>
      </c>
      <c r="R80" s="75"/>
      <c r="S80" s="75"/>
      <c r="T80" s="75"/>
      <c r="U80" s="75"/>
      <c r="V80" s="85"/>
    </row>
    <row r="81" spans="1:22">
      <c r="A81" s="13" t="s">
        <v>986</v>
      </c>
      <c r="B81" s="75">
        <v>22842072</v>
      </c>
      <c r="C81" s="75">
        <v>1</v>
      </c>
      <c r="D81" s="76">
        <v>1</v>
      </c>
      <c r="E81" s="77"/>
      <c r="F81" s="75">
        <v>1</v>
      </c>
      <c r="G81" s="75"/>
      <c r="H81" s="75">
        <v>1</v>
      </c>
      <c r="I81" s="106">
        <v>2</v>
      </c>
      <c r="J81" s="75" t="s">
        <v>1529</v>
      </c>
      <c r="K81" s="75" t="s">
        <v>1417</v>
      </c>
      <c r="L81" s="75" t="s">
        <v>1130</v>
      </c>
      <c r="M81" s="75"/>
      <c r="N81" s="75" t="s">
        <v>1530</v>
      </c>
      <c r="O81" s="75" t="s">
        <v>803</v>
      </c>
      <c r="P81" s="75"/>
      <c r="Q81" s="75" t="s">
        <v>1531</v>
      </c>
      <c r="R81" s="75"/>
      <c r="S81" s="75" t="s">
        <v>1532</v>
      </c>
      <c r="T81" s="75"/>
      <c r="U81" s="75"/>
      <c r="V81" s="85"/>
    </row>
    <row r="82" spans="1:22">
      <c r="A82" s="13" t="s">
        <v>983</v>
      </c>
      <c r="B82" s="75">
        <v>25449394</v>
      </c>
      <c r="C82" s="75">
        <v>1</v>
      </c>
      <c r="D82" s="76">
        <v>1</v>
      </c>
      <c r="E82" s="77"/>
      <c r="F82" s="75">
        <v>1</v>
      </c>
      <c r="G82" s="75"/>
      <c r="H82" s="78">
        <v>1</v>
      </c>
      <c r="I82" s="106">
        <v>2</v>
      </c>
      <c r="J82" s="75" t="s">
        <v>1404</v>
      </c>
      <c r="K82" s="75" t="s">
        <v>1212</v>
      </c>
      <c r="L82" s="75" t="s">
        <v>1127</v>
      </c>
      <c r="M82" s="75"/>
      <c r="N82" s="75" t="s">
        <v>1488</v>
      </c>
      <c r="O82" s="75" t="s">
        <v>1539</v>
      </c>
      <c r="P82" s="75" t="s">
        <v>23</v>
      </c>
      <c r="Q82" s="75" t="s">
        <v>1547</v>
      </c>
      <c r="R82" s="75"/>
      <c r="S82" s="75"/>
      <c r="T82" s="75"/>
      <c r="U82" s="75"/>
      <c r="V82" s="85"/>
    </row>
    <row r="83" spans="1:22">
      <c r="A83" s="13" t="s">
        <v>982</v>
      </c>
      <c r="B83" s="75">
        <v>26225843</v>
      </c>
      <c r="C83" s="75">
        <v>1</v>
      </c>
      <c r="D83" s="76">
        <v>1</v>
      </c>
      <c r="E83" s="77"/>
      <c r="F83" s="75">
        <v>1</v>
      </c>
      <c r="G83" s="75"/>
      <c r="H83" s="75">
        <v>1</v>
      </c>
      <c r="I83" s="106">
        <v>2</v>
      </c>
      <c r="J83" s="75" t="s">
        <v>1206</v>
      </c>
      <c r="K83" s="75" t="s">
        <v>1552</v>
      </c>
      <c r="L83" s="75" t="s">
        <v>1127</v>
      </c>
      <c r="M83" s="75"/>
      <c r="N83" s="75" t="s">
        <v>1495</v>
      </c>
      <c r="O83" s="75" t="s">
        <v>803</v>
      </c>
      <c r="P83" s="75"/>
      <c r="Q83" s="75" t="s">
        <v>1550</v>
      </c>
      <c r="R83" s="75" t="s">
        <v>1551</v>
      </c>
      <c r="S83" s="75"/>
      <c r="T83" s="75"/>
      <c r="U83" s="75" t="s">
        <v>1549</v>
      </c>
      <c r="V83" s="85" t="s">
        <v>1548</v>
      </c>
    </row>
    <row r="84" spans="1:22">
      <c r="A84" s="13" t="s">
        <v>981</v>
      </c>
      <c r="B84" s="75">
        <v>15036608</v>
      </c>
      <c r="C84" s="75">
        <v>1</v>
      </c>
      <c r="D84" s="76">
        <v>1</v>
      </c>
      <c r="E84" s="77"/>
      <c r="F84" s="75">
        <v>1</v>
      </c>
      <c r="G84" s="75"/>
      <c r="H84" s="75">
        <v>1</v>
      </c>
      <c r="I84" s="106">
        <v>2</v>
      </c>
      <c r="J84" s="75" t="s">
        <v>1553</v>
      </c>
      <c r="K84" s="75" t="s">
        <v>1552</v>
      </c>
      <c r="L84" s="75" t="s">
        <v>1229</v>
      </c>
      <c r="M84" s="75"/>
      <c r="N84" s="75" t="s">
        <v>1498</v>
      </c>
      <c r="O84" s="75" t="s">
        <v>803</v>
      </c>
      <c r="P84" s="75"/>
      <c r="Q84" s="75" t="s">
        <v>1682</v>
      </c>
      <c r="R84" s="75"/>
      <c r="S84" s="75"/>
      <c r="T84" s="75"/>
      <c r="U84" s="75"/>
      <c r="V84" s="85"/>
    </row>
    <row r="85" spans="1:22">
      <c r="A85" s="13" t="s">
        <v>974</v>
      </c>
      <c r="B85" s="75">
        <v>17027033</v>
      </c>
      <c r="C85" s="75">
        <v>1</v>
      </c>
      <c r="D85" s="76">
        <v>1</v>
      </c>
      <c r="E85" s="77"/>
      <c r="F85" s="75">
        <v>1</v>
      </c>
      <c r="G85" s="75"/>
      <c r="H85" s="75">
        <v>1</v>
      </c>
      <c r="I85" s="106">
        <v>2</v>
      </c>
      <c r="J85" s="75" t="s">
        <v>1569</v>
      </c>
      <c r="K85" s="75" t="s">
        <v>1216</v>
      </c>
      <c r="L85" s="75" t="s">
        <v>1568</v>
      </c>
      <c r="M85" s="75"/>
      <c r="N85" s="75" t="s">
        <v>1541</v>
      </c>
      <c r="O85" s="75"/>
      <c r="P85" s="75"/>
      <c r="Q85" s="75" t="s">
        <v>1570</v>
      </c>
      <c r="R85" s="75"/>
      <c r="S85" s="75" t="s">
        <v>1132</v>
      </c>
      <c r="T85" s="75"/>
      <c r="U85" s="75"/>
      <c r="V85" s="85"/>
    </row>
    <row r="86" spans="1:22">
      <c r="A86" s="13" t="s">
        <v>971</v>
      </c>
      <c r="B86" s="75">
        <v>25533441</v>
      </c>
      <c r="C86" s="75">
        <v>1</v>
      </c>
      <c r="D86" s="76"/>
      <c r="E86" s="77"/>
      <c r="F86" s="75">
        <v>1</v>
      </c>
      <c r="G86" s="75"/>
      <c r="H86" s="75">
        <v>1</v>
      </c>
      <c r="I86" s="106">
        <v>2</v>
      </c>
      <c r="J86" s="75" t="s">
        <v>1464</v>
      </c>
      <c r="K86" s="75" t="s">
        <v>1216</v>
      </c>
      <c r="L86" s="75" t="s">
        <v>1130</v>
      </c>
      <c r="M86" s="75"/>
      <c r="N86" s="75" t="s">
        <v>1487</v>
      </c>
      <c r="O86" s="75" t="s">
        <v>803</v>
      </c>
      <c r="P86" s="75"/>
      <c r="Q86" s="75" t="s">
        <v>1580</v>
      </c>
      <c r="R86" s="75" t="s">
        <v>1579</v>
      </c>
      <c r="S86" s="75" t="s">
        <v>1209</v>
      </c>
      <c r="T86" s="75"/>
      <c r="U86" s="75" t="s">
        <v>1578</v>
      </c>
      <c r="V86" s="85"/>
    </row>
    <row r="87" spans="1:22">
      <c r="A87" s="13" t="s">
        <v>970</v>
      </c>
      <c r="B87" s="75">
        <v>27297027</v>
      </c>
      <c r="C87" s="75">
        <v>1</v>
      </c>
      <c r="D87" s="76">
        <v>1</v>
      </c>
      <c r="E87" s="77"/>
      <c r="F87" s="75">
        <v>1</v>
      </c>
      <c r="G87" s="75"/>
      <c r="H87" s="75">
        <v>1</v>
      </c>
      <c r="I87" s="106">
        <v>2</v>
      </c>
      <c r="J87" s="75" t="s">
        <v>1588</v>
      </c>
      <c r="K87" s="75" t="s">
        <v>1216</v>
      </c>
      <c r="L87" s="75" t="s">
        <v>1127</v>
      </c>
      <c r="M87" s="75"/>
      <c r="N87" s="75" t="s">
        <v>1498</v>
      </c>
      <c r="O87" s="75"/>
      <c r="P87" s="75"/>
      <c r="Q87" s="75" t="s">
        <v>1583</v>
      </c>
      <c r="R87" s="75" t="s">
        <v>1582</v>
      </c>
      <c r="S87" s="75"/>
      <c r="T87" s="75"/>
      <c r="U87" s="75" t="s">
        <v>1581</v>
      </c>
      <c r="V87" s="85"/>
    </row>
    <row r="88" spans="1:22">
      <c r="A88" s="13" t="s">
        <v>969</v>
      </c>
      <c r="B88" s="75">
        <v>24667363</v>
      </c>
      <c r="C88" s="75">
        <v>1</v>
      </c>
      <c r="D88" s="76">
        <v>1</v>
      </c>
      <c r="E88" s="77"/>
      <c r="F88" s="75">
        <v>1</v>
      </c>
      <c r="G88" s="75"/>
      <c r="H88" s="75">
        <v>1</v>
      </c>
      <c r="I88" s="106">
        <v>2</v>
      </c>
      <c r="J88" s="75" t="s">
        <v>1588</v>
      </c>
      <c r="K88" s="75" t="s">
        <v>1216</v>
      </c>
      <c r="L88" s="75" t="s">
        <v>1127</v>
      </c>
      <c r="M88" s="75"/>
      <c r="N88" s="75" t="s">
        <v>1501</v>
      </c>
      <c r="O88" s="75" t="s">
        <v>1539</v>
      </c>
      <c r="P88" s="75"/>
      <c r="Q88" s="75" t="s">
        <v>1589</v>
      </c>
      <c r="R88" s="75" t="s">
        <v>1213</v>
      </c>
      <c r="S88" s="75"/>
      <c r="T88" s="75"/>
      <c r="U88" s="75"/>
      <c r="V88" s="85"/>
    </row>
    <row r="89" spans="1:22">
      <c r="A89" s="13" t="s">
        <v>968</v>
      </c>
      <c r="B89" s="75">
        <v>17031709</v>
      </c>
      <c r="C89" s="75">
        <v>1</v>
      </c>
      <c r="D89" s="76">
        <v>1</v>
      </c>
      <c r="E89" s="77"/>
      <c r="F89" s="75">
        <v>1</v>
      </c>
      <c r="G89" s="75"/>
      <c r="H89" s="78">
        <v>1</v>
      </c>
      <c r="I89" s="106">
        <v>2</v>
      </c>
      <c r="J89" s="75" t="s">
        <v>1227</v>
      </c>
      <c r="K89" s="75" t="s">
        <v>1216</v>
      </c>
      <c r="L89" s="75" t="s">
        <v>1127</v>
      </c>
      <c r="M89" s="75"/>
      <c r="N89" s="75" t="s">
        <v>1487</v>
      </c>
      <c r="O89" s="75" t="s">
        <v>803</v>
      </c>
      <c r="P89" s="75"/>
      <c r="Q89" s="75" t="s">
        <v>1501</v>
      </c>
      <c r="R89" s="75"/>
      <c r="S89" s="75" t="s">
        <v>1132</v>
      </c>
      <c r="T89" s="75"/>
      <c r="U89" s="75" t="s">
        <v>1590</v>
      </c>
      <c r="V89" s="85"/>
    </row>
    <row r="90" spans="1:22">
      <c r="A90" s="13" t="s">
        <v>967</v>
      </c>
      <c r="B90" s="75">
        <v>25451096</v>
      </c>
      <c r="C90" s="75">
        <v>1</v>
      </c>
      <c r="D90" s="76" t="s">
        <v>1787</v>
      </c>
      <c r="E90" s="77" t="s">
        <v>1771</v>
      </c>
      <c r="F90" s="81">
        <v>0</v>
      </c>
      <c r="G90" s="75"/>
      <c r="H90" s="81">
        <v>1</v>
      </c>
      <c r="I90" s="106">
        <v>2</v>
      </c>
      <c r="J90" s="75" t="s">
        <v>1593</v>
      </c>
      <c r="K90" s="75" t="s">
        <v>1377</v>
      </c>
      <c r="L90" s="75" t="s">
        <v>1127</v>
      </c>
      <c r="M90" s="75"/>
      <c r="N90" s="75" t="s">
        <v>1594</v>
      </c>
      <c r="O90" s="75" t="s">
        <v>803</v>
      </c>
      <c r="P90" s="75"/>
      <c r="Q90" s="75" t="s">
        <v>1592</v>
      </c>
      <c r="R90" s="75" t="s">
        <v>1591</v>
      </c>
      <c r="S90" s="75"/>
      <c r="T90" s="75"/>
      <c r="U90" s="75" t="s">
        <v>1581</v>
      </c>
      <c r="V90" s="85"/>
    </row>
    <row r="91" spans="1:22">
      <c r="A91" s="13" t="s">
        <v>965</v>
      </c>
      <c r="B91" s="75">
        <v>24975424</v>
      </c>
      <c r="C91" s="75">
        <v>1</v>
      </c>
      <c r="D91" s="76" t="s">
        <v>1788</v>
      </c>
      <c r="E91" s="77" t="s">
        <v>23</v>
      </c>
      <c r="F91" s="75">
        <v>1</v>
      </c>
      <c r="G91" s="75"/>
      <c r="H91" s="75">
        <v>1</v>
      </c>
      <c r="I91" s="106">
        <v>2</v>
      </c>
      <c r="J91" s="75" t="s">
        <v>1398</v>
      </c>
      <c r="K91" s="75" t="s">
        <v>1216</v>
      </c>
      <c r="L91" s="75" t="s">
        <v>1127</v>
      </c>
      <c r="M91" s="75"/>
      <c r="N91" s="75" t="s">
        <v>1487</v>
      </c>
      <c r="O91" s="75" t="s">
        <v>803</v>
      </c>
      <c r="P91" s="75"/>
      <c r="Q91" s="75" t="s">
        <v>1599</v>
      </c>
      <c r="R91" s="75"/>
      <c r="S91" s="75" t="s">
        <v>1132</v>
      </c>
      <c r="T91" s="75"/>
      <c r="U91" s="75" t="s">
        <v>1598</v>
      </c>
      <c r="V91" s="85"/>
    </row>
    <row r="92" spans="1:22">
      <c r="A92" s="13" t="s">
        <v>964</v>
      </c>
      <c r="B92" s="75">
        <v>26538448</v>
      </c>
      <c r="C92" s="75">
        <v>1</v>
      </c>
      <c r="D92" s="76" t="s">
        <v>1788</v>
      </c>
      <c r="E92" s="77" t="s">
        <v>23</v>
      </c>
      <c r="F92" s="75">
        <v>1</v>
      </c>
      <c r="G92" s="75"/>
      <c r="H92" s="75">
        <v>1</v>
      </c>
      <c r="I92" s="106">
        <v>2</v>
      </c>
      <c r="J92" s="75" t="s">
        <v>1601</v>
      </c>
      <c r="K92" s="75"/>
      <c r="L92" s="75" t="s">
        <v>1600</v>
      </c>
      <c r="M92" s="75"/>
      <c r="N92" s="75" t="s">
        <v>1495</v>
      </c>
      <c r="O92" s="75" t="s">
        <v>1539</v>
      </c>
      <c r="P92" s="75"/>
      <c r="Q92" s="75" t="s">
        <v>1720</v>
      </c>
      <c r="R92" s="75"/>
      <c r="S92" s="75"/>
      <c r="T92" s="75"/>
      <c r="U92" s="75"/>
      <c r="V92" s="85"/>
    </row>
    <row r="93" spans="1:22">
      <c r="A93" s="13" t="s">
        <v>963</v>
      </c>
      <c r="B93" s="75">
        <v>22516520</v>
      </c>
      <c r="C93" s="75">
        <v>1</v>
      </c>
      <c r="D93" s="76" t="s">
        <v>1788</v>
      </c>
      <c r="E93" s="77" t="s">
        <v>23</v>
      </c>
      <c r="F93" s="75">
        <v>1</v>
      </c>
      <c r="G93" s="75"/>
      <c r="H93" s="75">
        <v>1</v>
      </c>
      <c r="I93" s="106">
        <v>2</v>
      </c>
      <c r="J93" s="75" t="s">
        <v>1220</v>
      </c>
      <c r="K93" s="75" t="s">
        <v>1162</v>
      </c>
      <c r="L93" s="75" t="s">
        <v>1229</v>
      </c>
      <c r="M93" s="75"/>
      <c r="N93" s="75" t="s">
        <v>1488</v>
      </c>
      <c r="O93" s="75" t="s">
        <v>803</v>
      </c>
      <c r="P93" s="75"/>
      <c r="Q93" s="75" t="s">
        <v>1501</v>
      </c>
      <c r="R93" s="75" t="s">
        <v>1602</v>
      </c>
      <c r="S93" s="75" t="s">
        <v>1132</v>
      </c>
      <c r="T93" s="75"/>
      <c r="U93" s="75"/>
      <c r="V93" s="85"/>
    </row>
    <row r="94" spans="1:22">
      <c r="A94" s="13" t="s">
        <v>962</v>
      </c>
      <c r="B94" s="75">
        <v>26019008</v>
      </c>
      <c r="C94" s="75">
        <v>1</v>
      </c>
      <c r="D94" s="76"/>
      <c r="E94" s="77"/>
      <c r="F94" s="75">
        <v>1</v>
      </c>
      <c r="G94" s="75"/>
      <c r="H94" s="81">
        <v>1</v>
      </c>
      <c r="I94" s="106">
        <v>2</v>
      </c>
      <c r="J94" s="75" t="s">
        <v>1604</v>
      </c>
      <c r="K94" s="75" t="s">
        <v>1216</v>
      </c>
      <c r="L94" s="75" t="s">
        <v>1603</v>
      </c>
      <c r="M94" s="75"/>
      <c r="N94" s="75" t="s">
        <v>1487</v>
      </c>
      <c r="O94" s="75" t="s">
        <v>803</v>
      </c>
      <c r="P94" s="75"/>
      <c r="Q94" s="75" t="s">
        <v>1605</v>
      </c>
      <c r="R94" s="75"/>
      <c r="S94" s="75"/>
      <c r="T94" s="75"/>
      <c r="U94" s="75"/>
      <c r="V94" s="85"/>
    </row>
    <row r="95" spans="1:22">
      <c r="A95" s="13" t="s">
        <v>961</v>
      </c>
      <c r="B95" s="75">
        <v>22776621</v>
      </c>
      <c r="C95" s="75">
        <v>1</v>
      </c>
      <c r="D95" s="76">
        <v>1</v>
      </c>
      <c r="E95" s="77"/>
      <c r="F95" s="75">
        <v>1</v>
      </c>
      <c r="G95" s="75"/>
      <c r="H95" s="75">
        <v>1</v>
      </c>
      <c r="I95" s="106">
        <v>2</v>
      </c>
      <c r="J95" s="75" t="s">
        <v>1607</v>
      </c>
      <c r="K95" s="75" t="s">
        <v>1216</v>
      </c>
      <c r="L95" s="75" t="s">
        <v>1130</v>
      </c>
      <c r="M95" s="75"/>
      <c r="N95" s="75" t="s">
        <v>1541</v>
      </c>
      <c r="O95" s="75" t="s">
        <v>1539</v>
      </c>
      <c r="P95" s="75"/>
      <c r="Q95" s="75" t="s">
        <v>1689</v>
      </c>
      <c r="R95" s="75"/>
      <c r="S95" s="75" t="s">
        <v>1606</v>
      </c>
      <c r="T95" s="75"/>
      <c r="U95" s="75"/>
      <c r="V95" s="85"/>
    </row>
    <row r="96" spans="1:22">
      <c r="A96" s="13" t="s">
        <v>960</v>
      </c>
      <c r="B96" s="75">
        <v>17254618</v>
      </c>
      <c r="C96" s="75">
        <v>1</v>
      </c>
      <c r="D96" s="76">
        <v>1</v>
      </c>
      <c r="E96" s="77"/>
      <c r="F96" s="75">
        <v>1</v>
      </c>
      <c r="G96" s="75"/>
      <c r="H96" s="75">
        <v>1</v>
      </c>
      <c r="I96" s="106">
        <v>2</v>
      </c>
      <c r="J96" s="75" t="s">
        <v>1609</v>
      </c>
      <c r="K96" s="75" t="s">
        <v>1216</v>
      </c>
      <c r="L96" s="75" t="s">
        <v>1608</v>
      </c>
      <c r="M96" s="75"/>
      <c r="N96" s="75" t="s">
        <v>1498</v>
      </c>
      <c r="O96" s="75" t="s">
        <v>803</v>
      </c>
      <c r="P96" s="75"/>
      <c r="Q96" s="75" t="s">
        <v>1682</v>
      </c>
      <c r="R96" s="75"/>
      <c r="S96" s="75"/>
      <c r="T96" s="75"/>
      <c r="U96" s="75"/>
      <c r="V96" s="85"/>
    </row>
    <row r="97" spans="1:22">
      <c r="A97" s="13" t="s">
        <v>958</v>
      </c>
      <c r="B97" s="75">
        <v>25659132</v>
      </c>
      <c r="C97" s="75">
        <v>1</v>
      </c>
      <c r="D97" s="76" t="s">
        <v>1865</v>
      </c>
      <c r="E97" s="77"/>
      <c r="F97" s="75">
        <v>0</v>
      </c>
      <c r="G97" s="75"/>
      <c r="H97" s="75">
        <v>0</v>
      </c>
      <c r="I97" s="106">
        <v>2</v>
      </c>
      <c r="J97" s="75" t="s">
        <v>1615</v>
      </c>
      <c r="K97" s="75"/>
      <c r="L97" s="75" t="s">
        <v>1130</v>
      </c>
      <c r="M97" s="75"/>
      <c r="N97" s="75" t="s">
        <v>1612</v>
      </c>
      <c r="O97" s="75" t="s">
        <v>803</v>
      </c>
      <c r="P97" s="75"/>
      <c r="Q97" s="75" t="s">
        <v>1613</v>
      </c>
      <c r="R97" s="75"/>
      <c r="S97" s="75" t="s">
        <v>1381</v>
      </c>
      <c r="T97" s="75"/>
      <c r="U97" s="75" t="s">
        <v>440</v>
      </c>
      <c r="V97" s="85" t="s">
        <v>424</v>
      </c>
    </row>
    <row r="98" spans="1:22">
      <c r="A98" s="13" t="s">
        <v>957</v>
      </c>
      <c r="B98" s="75">
        <v>11006431</v>
      </c>
      <c r="C98" s="75">
        <v>1</v>
      </c>
      <c r="D98" s="76"/>
      <c r="E98" s="77"/>
      <c r="F98" s="75">
        <v>1</v>
      </c>
      <c r="G98" s="75"/>
      <c r="H98" s="75">
        <v>1</v>
      </c>
      <c r="I98" s="106">
        <v>2</v>
      </c>
      <c r="J98" s="75" t="s">
        <v>1586</v>
      </c>
      <c r="K98" s="75" t="s">
        <v>1147</v>
      </c>
      <c r="L98" s="75"/>
      <c r="M98" s="75"/>
      <c r="N98" s="75" t="s">
        <v>1721</v>
      </c>
      <c r="O98" s="75"/>
      <c r="P98" s="75"/>
      <c r="Q98" s="75" t="s">
        <v>1617</v>
      </c>
      <c r="R98" s="75" t="s">
        <v>1616</v>
      </c>
      <c r="S98" s="75"/>
      <c r="T98" s="75"/>
      <c r="U98" s="75"/>
      <c r="V98" s="85"/>
    </row>
    <row r="99" spans="1:22">
      <c r="A99" s="13" t="s">
        <v>955</v>
      </c>
      <c r="B99" s="75">
        <v>18577419</v>
      </c>
      <c r="C99" s="75">
        <v>1</v>
      </c>
      <c r="D99" s="76"/>
      <c r="E99" s="77"/>
      <c r="F99" s="75">
        <v>1</v>
      </c>
      <c r="G99" s="75"/>
      <c r="H99" s="82">
        <v>1</v>
      </c>
      <c r="I99" s="106">
        <v>2</v>
      </c>
      <c r="J99" s="75" t="s">
        <v>22</v>
      </c>
      <c r="K99" s="75" t="s">
        <v>24</v>
      </c>
      <c r="L99" s="75" t="s">
        <v>1130</v>
      </c>
      <c r="M99" s="75"/>
      <c r="N99" s="75" t="s">
        <v>1619</v>
      </c>
      <c r="O99" s="75" t="s">
        <v>803</v>
      </c>
      <c r="P99" s="75"/>
      <c r="Q99" s="75" t="s">
        <v>1722</v>
      </c>
      <c r="R99" s="75"/>
      <c r="S99" s="75"/>
      <c r="T99" s="75"/>
      <c r="U99" s="75" t="s">
        <v>1620</v>
      </c>
      <c r="V99" s="85" t="s">
        <v>424</v>
      </c>
    </row>
    <row r="100" spans="1:22">
      <c r="A100" s="13" t="s">
        <v>954</v>
      </c>
      <c r="B100" s="75">
        <v>26277823</v>
      </c>
      <c r="C100" s="80">
        <v>1</v>
      </c>
      <c r="D100" s="76" t="s">
        <v>1863</v>
      </c>
      <c r="E100" s="77"/>
      <c r="F100" s="75">
        <v>0</v>
      </c>
      <c r="G100" s="75"/>
      <c r="H100" s="75">
        <v>0</v>
      </c>
      <c r="I100" s="106">
        <v>2</v>
      </c>
      <c r="J100" s="75" t="s">
        <v>1421</v>
      </c>
      <c r="K100" s="75"/>
      <c r="L100" s="75" t="s">
        <v>1621</v>
      </c>
      <c r="M100" s="75"/>
      <c r="N100" s="75" t="s">
        <v>1545</v>
      </c>
      <c r="O100" s="75" t="s">
        <v>803</v>
      </c>
      <c r="P100" s="75" t="s">
        <v>23</v>
      </c>
      <c r="Q100" s="75" t="s">
        <v>1670</v>
      </c>
      <c r="R100" s="75"/>
      <c r="S100" s="75" t="s">
        <v>1622</v>
      </c>
      <c r="T100" s="75"/>
      <c r="U100" s="75" t="s">
        <v>1623</v>
      </c>
      <c r="V100" s="85" t="s">
        <v>1279</v>
      </c>
    </row>
    <row r="101" spans="1:22">
      <c r="A101" s="13" t="s">
        <v>952</v>
      </c>
      <c r="B101" s="75">
        <v>24519098</v>
      </c>
      <c r="C101" s="75">
        <v>1</v>
      </c>
      <c r="D101" s="76">
        <v>1</v>
      </c>
      <c r="E101" s="77"/>
      <c r="F101" s="75">
        <v>1</v>
      </c>
      <c r="G101" s="75"/>
      <c r="H101" s="81">
        <v>1</v>
      </c>
      <c r="I101" s="106">
        <v>2</v>
      </c>
      <c r="J101" s="75" t="s">
        <v>1626</v>
      </c>
      <c r="K101" s="75" t="s">
        <v>1251</v>
      </c>
      <c r="L101" s="75" t="s">
        <v>1229</v>
      </c>
      <c r="M101" s="75"/>
      <c r="N101" s="75" t="s">
        <v>1498</v>
      </c>
      <c r="O101" s="75"/>
      <c r="P101" s="75"/>
      <c r="Q101" s="75" t="s">
        <v>1667</v>
      </c>
      <c r="R101" s="75" t="s">
        <v>436</v>
      </c>
      <c r="S101" s="75" t="s">
        <v>1625</v>
      </c>
      <c r="T101" s="75"/>
      <c r="U101" s="75"/>
      <c r="V101" s="85" t="s">
        <v>1279</v>
      </c>
    </row>
    <row r="102" spans="1:22">
      <c r="A102" s="13" t="s">
        <v>947</v>
      </c>
      <c r="B102" s="75">
        <v>17957211</v>
      </c>
      <c r="C102" s="75">
        <v>1</v>
      </c>
      <c r="D102" s="76">
        <v>1</v>
      </c>
      <c r="E102" s="77"/>
      <c r="F102" s="75">
        <v>1</v>
      </c>
      <c r="G102" s="75"/>
      <c r="H102" s="78">
        <v>1</v>
      </c>
      <c r="I102" s="106">
        <v>2</v>
      </c>
      <c r="J102" s="75" t="s">
        <v>1220</v>
      </c>
      <c r="K102" s="75" t="s">
        <v>1216</v>
      </c>
      <c r="L102" s="75" t="s">
        <v>1127</v>
      </c>
      <c r="M102" s="75"/>
      <c r="N102" s="75" t="s">
        <v>1487</v>
      </c>
      <c r="O102" s="75" t="s">
        <v>803</v>
      </c>
      <c r="P102" s="75"/>
      <c r="Q102" s="75" t="s">
        <v>1501</v>
      </c>
      <c r="R102" s="75" t="s">
        <v>1636</v>
      </c>
      <c r="S102" s="75"/>
      <c r="T102" s="75"/>
      <c r="U102" s="75" t="s">
        <v>1549</v>
      </c>
      <c r="V102" s="85"/>
    </row>
    <row r="103" spans="1:22">
      <c r="A103" s="13" t="s">
        <v>946</v>
      </c>
      <c r="B103" s="75">
        <v>22927935</v>
      </c>
      <c r="C103" s="75">
        <v>1</v>
      </c>
      <c r="D103" s="76">
        <v>1</v>
      </c>
      <c r="E103" s="77"/>
      <c r="F103" s="75">
        <v>1</v>
      </c>
      <c r="G103" s="75"/>
      <c r="H103" s="75">
        <v>1</v>
      </c>
      <c r="I103" s="106">
        <v>2</v>
      </c>
      <c r="J103" s="75" t="s">
        <v>1220</v>
      </c>
      <c r="K103" s="75" t="s">
        <v>1216</v>
      </c>
      <c r="L103" s="75" t="s">
        <v>1138</v>
      </c>
      <c r="M103" s="75"/>
      <c r="N103" s="75" t="s">
        <v>1541</v>
      </c>
      <c r="O103" s="75" t="s">
        <v>1638</v>
      </c>
      <c r="P103" s="75"/>
      <c r="Q103" s="75" t="s">
        <v>1501</v>
      </c>
      <c r="R103" s="75"/>
      <c r="S103" s="75" t="s">
        <v>1637</v>
      </c>
      <c r="T103" s="75"/>
      <c r="U103" s="75"/>
      <c r="V103" s="85"/>
    </row>
    <row r="104" spans="1:22">
      <c r="A104" s="13" t="s">
        <v>945</v>
      </c>
      <c r="B104" s="75">
        <v>26888649</v>
      </c>
      <c r="C104" s="75">
        <v>1</v>
      </c>
      <c r="D104" s="76" t="s">
        <v>1803</v>
      </c>
      <c r="E104" s="77"/>
      <c r="F104" s="75">
        <v>0</v>
      </c>
      <c r="G104" s="75"/>
      <c r="H104" s="78">
        <v>0</v>
      </c>
      <c r="I104" s="106">
        <v>2</v>
      </c>
      <c r="J104" s="75" t="s">
        <v>23</v>
      </c>
      <c r="K104" s="75"/>
      <c r="L104" s="75" t="s">
        <v>1639</v>
      </c>
      <c r="M104" s="75"/>
      <c r="N104" s="75" t="s">
        <v>1319</v>
      </c>
      <c r="O104" s="75"/>
      <c r="P104" s="75"/>
      <c r="Q104" s="75" t="s">
        <v>1669</v>
      </c>
      <c r="R104" s="75"/>
      <c r="S104" s="75"/>
      <c r="T104" s="75"/>
      <c r="U104" s="75"/>
      <c r="V104" s="85" t="s">
        <v>1640</v>
      </c>
    </row>
    <row r="105" spans="1:22">
      <c r="A105" s="13" t="s">
        <v>944</v>
      </c>
      <c r="B105" s="75">
        <v>22137886</v>
      </c>
      <c r="C105" s="75">
        <v>1</v>
      </c>
      <c r="D105" s="76" t="s">
        <v>1803</v>
      </c>
      <c r="E105" s="77"/>
      <c r="F105" s="75">
        <v>0</v>
      </c>
      <c r="G105" s="75"/>
      <c r="H105" s="78">
        <v>0</v>
      </c>
      <c r="I105" s="106">
        <v>2</v>
      </c>
      <c r="J105" s="75" t="s">
        <v>1220</v>
      </c>
      <c r="K105" s="75" t="s">
        <v>1216</v>
      </c>
      <c r="L105" s="75" t="s">
        <v>1642</v>
      </c>
      <c r="M105" s="75"/>
      <c r="N105" s="75" t="s">
        <v>24</v>
      </c>
      <c r="O105" s="75"/>
      <c r="P105" s="75"/>
      <c r="Q105" s="75" t="s">
        <v>1501</v>
      </c>
      <c r="R105" s="75" t="s">
        <v>1643</v>
      </c>
      <c r="S105" s="75" t="s">
        <v>1381</v>
      </c>
      <c r="T105" s="75"/>
      <c r="U105" s="75" t="s">
        <v>1641</v>
      </c>
      <c r="V105" s="85" t="s">
        <v>1644</v>
      </c>
    </row>
    <row r="106" spans="1:22">
      <c r="A106" s="13" t="s">
        <v>943</v>
      </c>
      <c r="B106" s="75">
        <v>18534828</v>
      </c>
      <c r="C106" s="75">
        <v>1</v>
      </c>
      <c r="D106" s="76" t="s">
        <v>1803</v>
      </c>
      <c r="E106" s="77"/>
      <c r="F106" s="75">
        <v>0</v>
      </c>
      <c r="G106" s="75"/>
      <c r="H106" s="75">
        <v>0</v>
      </c>
      <c r="I106" s="106">
        <v>2</v>
      </c>
      <c r="J106" s="75" t="s">
        <v>1421</v>
      </c>
      <c r="K106" s="75"/>
      <c r="L106" s="75" t="s">
        <v>1130</v>
      </c>
      <c r="M106" s="75"/>
      <c r="N106" s="75" t="s">
        <v>1495</v>
      </c>
      <c r="O106" s="75"/>
      <c r="P106" s="75"/>
      <c r="Q106" s="75" t="s">
        <v>1646</v>
      </c>
      <c r="R106" s="75"/>
      <c r="S106" s="75"/>
      <c r="T106" s="75"/>
      <c r="U106" s="75" t="s">
        <v>1645</v>
      </c>
      <c r="V106" s="85" t="s">
        <v>1260</v>
      </c>
    </row>
    <row r="107" spans="1:22">
      <c r="A107" s="13" t="s">
        <v>942</v>
      </c>
      <c r="B107" s="75">
        <v>23318688</v>
      </c>
      <c r="C107" s="75">
        <v>1</v>
      </c>
      <c r="D107" s="83" t="s">
        <v>1803</v>
      </c>
      <c r="E107" s="77"/>
      <c r="F107" s="81">
        <v>1</v>
      </c>
      <c r="G107" s="75"/>
      <c r="H107" s="81">
        <v>0</v>
      </c>
      <c r="I107" s="106">
        <v>2</v>
      </c>
      <c r="J107" s="75" t="s">
        <v>1725</v>
      </c>
      <c r="K107" s="75" t="s">
        <v>1216</v>
      </c>
      <c r="L107" s="75" t="s">
        <v>1130</v>
      </c>
      <c r="M107" s="75"/>
      <c r="N107" s="75" t="s">
        <v>1495</v>
      </c>
      <c r="O107" s="75" t="s">
        <v>803</v>
      </c>
      <c r="P107" s="75"/>
      <c r="Q107" s="75" t="s">
        <v>1724</v>
      </c>
      <c r="R107" s="75"/>
      <c r="S107" s="75" t="s">
        <v>1648</v>
      </c>
      <c r="T107" s="75"/>
      <c r="U107" s="75" t="s">
        <v>1647</v>
      </c>
      <c r="V107" s="85" t="s">
        <v>1698</v>
      </c>
    </row>
    <row r="108" spans="1:22">
      <c r="A108" s="13" t="s">
        <v>941</v>
      </c>
      <c r="B108" s="75">
        <v>22421563</v>
      </c>
      <c r="C108" s="75">
        <v>1</v>
      </c>
      <c r="D108" s="83" t="s">
        <v>1803</v>
      </c>
      <c r="E108" s="77"/>
      <c r="F108" s="81">
        <v>1</v>
      </c>
      <c r="G108" s="75"/>
      <c r="H108" s="81">
        <v>0</v>
      </c>
      <c r="I108" s="106">
        <v>2</v>
      </c>
      <c r="J108" s="75" t="s">
        <v>1726</v>
      </c>
      <c r="K108" s="75" t="s">
        <v>1216</v>
      </c>
      <c r="L108" s="75" t="s">
        <v>1130</v>
      </c>
      <c r="M108" s="75"/>
      <c r="N108" s="75" t="s">
        <v>1495</v>
      </c>
      <c r="O108" s="75" t="s">
        <v>803</v>
      </c>
      <c r="P108" s="75"/>
      <c r="Q108" s="75" t="s">
        <v>1723</v>
      </c>
      <c r="R108" s="75"/>
      <c r="S108" s="75" t="s">
        <v>1649</v>
      </c>
      <c r="T108" s="75"/>
      <c r="U108" s="75"/>
      <c r="V108" s="85" t="s">
        <v>1698</v>
      </c>
    </row>
  </sheetData>
  <sheetProtection password="DB7D" sheet="1" objects="1" scenarios="1"/>
  <pageMargins left="0.7" right="0.7" top="0.75" bottom="0.75" header="0.3" footer="0.3"/>
  <pageSetup paperSize="9" orientation="landscape"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030A0"/>
  </sheetPr>
  <dimension ref="A1:V158"/>
  <sheetViews>
    <sheetView topLeftCell="A52" zoomScale="50" zoomScaleNormal="50" zoomScalePageLayoutView="50" workbookViewId="0">
      <selection activeCell="A158" sqref="A158"/>
    </sheetView>
  </sheetViews>
  <sheetFormatPr baseColWidth="10" defaultColWidth="11" defaultRowHeight="16"/>
  <cols>
    <col min="1" max="1" width="27.1640625" customWidth="1"/>
  </cols>
  <sheetData>
    <row r="1" spans="1:22">
      <c r="A1" s="86" t="s">
        <v>367</v>
      </c>
      <c r="B1" s="87" t="s">
        <v>9</v>
      </c>
      <c r="C1" s="87" t="s">
        <v>1794</v>
      </c>
      <c r="D1" s="88" t="s">
        <v>1789</v>
      </c>
      <c r="E1" s="89" t="s">
        <v>1770</v>
      </c>
      <c r="F1" s="87" t="s">
        <v>1727</v>
      </c>
      <c r="G1" s="87" t="s">
        <v>1728</v>
      </c>
      <c r="H1" s="87" t="s">
        <v>1</v>
      </c>
      <c r="I1" s="107" t="s">
        <v>1906</v>
      </c>
      <c r="J1" s="87" t="s">
        <v>1237</v>
      </c>
      <c r="K1" s="87" t="s">
        <v>40</v>
      </c>
      <c r="L1" s="87" t="s">
        <v>8</v>
      </c>
      <c r="M1" s="87" t="s">
        <v>18</v>
      </c>
      <c r="N1" s="87"/>
      <c r="O1" s="87"/>
      <c r="P1" s="87"/>
      <c r="Q1" s="87" t="s">
        <v>5</v>
      </c>
      <c r="R1" s="87" t="s">
        <v>3</v>
      </c>
      <c r="S1" s="87" t="s">
        <v>4</v>
      </c>
      <c r="T1" s="87" t="s">
        <v>507</v>
      </c>
      <c r="U1" s="87"/>
      <c r="V1" s="90" t="s">
        <v>2</v>
      </c>
    </row>
    <row r="2" spans="1:22">
      <c r="A2" s="13" t="s">
        <v>366</v>
      </c>
      <c r="B2" s="75">
        <v>9465143</v>
      </c>
      <c r="C2" s="80" t="s">
        <v>1796</v>
      </c>
      <c r="D2" s="76"/>
      <c r="E2" s="77"/>
      <c r="F2" s="75">
        <v>1</v>
      </c>
      <c r="G2" s="75"/>
      <c r="H2" s="75">
        <v>1</v>
      </c>
      <c r="I2" s="106">
        <v>1</v>
      </c>
      <c r="J2" s="75" t="s">
        <v>940</v>
      </c>
      <c r="K2" s="75" t="s">
        <v>1147</v>
      </c>
      <c r="L2" s="75" t="s">
        <v>25</v>
      </c>
      <c r="M2" s="75">
        <v>1</v>
      </c>
      <c r="N2" s="75"/>
      <c r="O2" s="75"/>
      <c r="P2" s="75"/>
      <c r="Q2" s="75" t="s">
        <v>939</v>
      </c>
      <c r="R2" s="75"/>
      <c r="S2" s="75"/>
      <c r="T2" s="75"/>
      <c r="U2" s="75"/>
      <c r="V2" s="85"/>
    </row>
    <row r="3" spans="1:22">
      <c r="A3" s="13" t="s">
        <v>119</v>
      </c>
      <c r="B3" s="75">
        <v>24330891</v>
      </c>
      <c r="C3" s="93" t="s">
        <v>1796</v>
      </c>
      <c r="D3" s="76"/>
      <c r="E3" s="77"/>
      <c r="F3" s="75">
        <v>1</v>
      </c>
      <c r="G3" s="75"/>
      <c r="H3" s="75">
        <v>1</v>
      </c>
      <c r="I3" s="106">
        <v>1</v>
      </c>
      <c r="J3" s="75" t="s">
        <v>401</v>
      </c>
      <c r="K3" s="75" t="s">
        <v>1180</v>
      </c>
      <c r="L3" s="75" t="s">
        <v>402</v>
      </c>
      <c r="M3" s="75">
        <v>1</v>
      </c>
      <c r="N3" s="75"/>
      <c r="O3" s="75"/>
      <c r="P3" s="75"/>
      <c r="Q3" s="75" t="s">
        <v>400</v>
      </c>
      <c r="R3" s="79" t="s">
        <v>24</v>
      </c>
      <c r="S3" s="75"/>
      <c r="T3" s="75"/>
      <c r="U3" s="75"/>
      <c r="V3" s="85"/>
    </row>
    <row r="4" spans="1:22">
      <c r="A4" s="13" t="s">
        <v>258</v>
      </c>
      <c r="B4" s="75">
        <v>21093682</v>
      </c>
      <c r="C4" s="80" t="s">
        <v>1796</v>
      </c>
      <c r="D4" s="76" t="s">
        <v>1745</v>
      </c>
      <c r="E4" s="77" t="s">
        <v>1745</v>
      </c>
      <c r="F4" s="81">
        <v>1</v>
      </c>
      <c r="G4" s="75" t="s">
        <v>1748</v>
      </c>
      <c r="H4" s="75">
        <v>0</v>
      </c>
      <c r="I4" s="106">
        <v>1</v>
      </c>
      <c r="J4" s="75"/>
      <c r="K4" s="75"/>
      <c r="L4" s="75" t="s">
        <v>693</v>
      </c>
      <c r="M4" s="75"/>
      <c r="N4" s="75"/>
      <c r="O4" s="75"/>
      <c r="P4" s="75"/>
      <c r="Q4" s="75"/>
      <c r="R4" s="79"/>
      <c r="S4" s="75"/>
      <c r="T4" s="75"/>
      <c r="U4" s="75"/>
      <c r="V4" s="85" t="s">
        <v>516</v>
      </c>
    </row>
    <row r="5" spans="1:22">
      <c r="A5" s="13" t="s">
        <v>79</v>
      </c>
      <c r="B5" s="75">
        <v>10217920</v>
      </c>
      <c r="C5" s="75">
        <v>1</v>
      </c>
      <c r="D5" s="76"/>
      <c r="E5" s="77"/>
      <c r="F5" s="81">
        <v>1</v>
      </c>
      <c r="G5" s="75" t="s">
        <v>1730</v>
      </c>
      <c r="H5" s="75">
        <v>1</v>
      </c>
      <c r="I5" s="106">
        <v>1</v>
      </c>
      <c r="J5" s="75" t="s">
        <v>23</v>
      </c>
      <c r="K5" s="75"/>
      <c r="L5" s="75" t="s">
        <v>25</v>
      </c>
      <c r="M5" s="75">
        <v>1</v>
      </c>
      <c r="N5" s="75"/>
      <c r="O5" s="75"/>
      <c r="P5" s="75"/>
      <c r="Q5" s="75" t="s">
        <v>23</v>
      </c>
      <c r="R5" s="79"/>
      <c r="S5" s="75"/>
      <c r="T5" s="75"/>
      <c r="U5" s="75"/>
      <c r="V5" s="85"/>
    </row>
    <row r="6" spans="1:22">
      <c r="A6" s="13" t="s">
        <v>237</v>
      </c>
      <c r="B6" s="75">
        <v>20144193</v>
      </c>
      <c r="C6" s="75">
        <v>1</v>
      </c>
      <c r="D6" s="76"/>
      <c r="E6" s="77"/>
      <c r="F6" s="75">
        <v>1</v>
      </c>
      <c r="G6" s="75"/>
      <c r="H6" s="81">
        <v>1</v>
      </c>
      <c r="I6" s="106">
        <v>1</v>
      </c>
      <c r="J6" s="75" t="s">
        <v>23</v>
      </c>
      <c r="K6" s="75"/>
      <c r="L6" s="75" t="s">
        <v>523</v>
      </c>
      <c r="M6" s="75">
        <v>0</v>
      </c>
      <c r="N6" s="75"/>
      <c r="O6" s="75"/>
      <c r="P6" s="75"/>
      <c r="Q6" s="75" t="s">
        <v>654</v>
      </c>
      <c r="R6" s="79" t="s">
        <v>24</v>
      </c>
      <c r="S6" s="75"/>
      <c r="T6" s="75"/>
      <c r="U6" s="75"/>
      <c r="V6" s="85" t="s">
        <v>655</v>
      </c>
    </row>
    <row r="7" spans="1:22">
      <c r="A7" s="13" t="s">
        <v>238</v>
      </c>
      <c r="B7" s="75">
        <v>19756511</v>
      </c>
      <c r="C7" s="75">
        <v>1</v>
      </c>
      <c r="D7" s="76"/>
      <c r="E7" s="77"/>
      <c r="F7" s="75">
        <v>1</v>
      </c>
      <c r="G7" s="75"/>
      <c r="H7" s="81">
        <v>1</v>
      </c>
      <c r="I7" s="106">
        <v>1</v>
      </c>
      <c r="J7" s="75" t="s">
        <v>23</v>
      </c>
      <c r="K7" s="75"/>
      <c r="L7" s="75" t="s">
        <v>523</v>
      </c>
      <c r="M7" s="75">
        <v>0</v>
      </c>
      <c r="N7" s="75"/>
      <c r="O7" s="75"/>
      <c r="P7" s="75"/>
      <c r="Q7" s="75" t="s">
        <v>654</v>
      </c>
      <c r="R7" s="79" t="s">
        <v>24</v>
      </c>
      <c r="S7" s="75"/>
      <c r="T7" s="75"/>
      <c r="U7" s="75"/>
      <c r="V7" s="85" t="s">
        <v>656</v>
      </c>
    </row>
    <row r="8" spans="1:22">
      <c r="A8" s="13" t="s">
        <v>120</v>
      </c>
      <c r="B8" s="75">
        <v>27214523</v>
      </c>
      <c r="C8" s="75">
        <v>1</v>
      </c>
      <c r="D8" s="83" t="s">
        <v>1775</v>
      </c>
      <c r="E8" s="77" t="s">
        <v>1760</v>
      </c>
      <c r="F8" s="81">
        <v>1</v>
      </c>
      <c r="G8" s="75"/>
      <c r="H8" s="75">
        <v>0</v>
      </c>
      <c r="I8" s="106">
        <v>1</v>
      </c>
      <c r="J8" s="75" t="s">
        <v>403</v>
      </c>
      <c r="K8" s="75" t="s">
        <v>1192</v>
      </c>
      <c r="L8" s="75" t="s">
        <v>405</v>
      </c>
      <c r="M8" s="75">
        <v>1</v>
      </c>
      <c r="N8" s="75"/>
      <c r="O8" s="75"/>
      <c r="P8" s="75"/>
      <c r="Q8" s="75" t="s">
        <v>406</v>
      </c>
      <c r="R8" s="79" t="s">
        <v>404</v>
      </c>
      <c r="S8" s="75"/>
      <c r="T8" s="75"/>
      <c r="U8" s="75"/>
      <c r="V8" s="85" t="s">
        <v>407</v>
      </c>
    </row>
    <row r="9" spans="1:22">
      <c r="A9" s="13" t="s">
        <v>151</v>
      </c>
      <c r="B9" s="75">
        <v>26220415</v>
      </c>
      <c r="C9" s="75">
        <v>1</v>
      </c>
      <c r="D9" s="76"/>
      <c r="E9" s="77"/>
      <c r="F9" s="75">
        <v>1</v>
      </c>
      <c r="G9" s="75"/>
      <c r="H9" s="75">
        <v>1</v>
      </c>
      <c r="I9" s="106">
        <v>1</v>
      </c>
      <c r="J9" s="75" t="s">
        <v>465</v>
      </c>
      <c r="K9" s="75" t="s">
        <v>1153</v>
      </c>
      <c r="L9" s="75" t="s">
        <v>466</v>
      </c>
      <c r="M9" s="75">
        <v>1</v>
      </c>
      <c r="N9" s="75"/>
      <c r="O9" s="75"/>
      <c r="P9" s="75"/>
      <c r="Q9" s="75" t="s">
        <v>465</v>
      </c>
      <c r="R9" s="79" t="s">
        <v>24</v>
      </c>
      <c r="S9" s="75"/>
      <c r="T9" s="75"/>
      <c r="U9" s="75"/>
      <c r="V9" s="85" t="s">
        <v>467</v>
      </c>
    </row>
    <row r="10" spans="1:22">
      <c r="A10" s="13" t="s">
        <v>218</v>
      </c>
      <c r="B10" s="75">
        <v>24625622</v>
      </c>
      <c r="C10" s="75">
        <v>1</v>
      </c>
      <c r="D10" s="76"/>
      <c r="E10" s="77"/>
      <c r="F10" s="75">
        <v>1</v>
      </c>
      <c r="G10" s="75"/>
      <c r="H10" s="75">
        <v>1</v>
      </c>
      <c r="I10" s="106">
        <v>1</v>
      </c>
      <c r="J10" s="75" t="s">
        <v>614</v>
      </c>
      <c r="K10" s="75" t="s">
        <v>1142</v>
      </c>
      <c r="L10" s="75" t="s">
        <v>615</v>
      </c>
      <c r="M10" s="75">
        <v>1</v>
      </c>
      <c r="N10" s="75"/>
      <c r="O10" s="75"/>
      <c r="P10" s="75"/>
      <c r="Q10" s="75" t="s">
        <v>11</v>
      </c>
      <c r="R10" s="79"/>
      <c r="S10" s="75" t="s">
        <v>13</v>
      </c>
      <c r="T10" s="75"/>
      <c r="U10" s="75"/>
      <c r="V10" s="85"/>
    </row>
    <row r="11" spans="1:22">
      <c r="A11" s="13" t="s">
        <v>198</v>
      </c>
      <c r="B11" s="75">
        <v>25470729</v>
      </c>
      <c r="C11" s="75">
        <v>1</v>
      </c>
      <c r="D11" s="76"/>
      <c r="E11" s="77"/>
      <c r="F11" s="75">
        <v>1</v>
      </c>
      <c r="G11" s="75"/>
      <c r="H11" s="91">
        <v>1</v>
      </c>
      <c r="I11" s="106">
        <v>1</v>
      </c>
      <c r="J11" s="75" t="s">
        <v>570</v>
      </c>
      <c r="K11" s="75" t="s">
        <v>1147</v>
      </c>
      <c r="L11" s="75" t="s">
        <v>25</v>
      </c>
      <c r="M11" s="75">
        <v>1</v>
      </c>
      <c r="N11" s="75"/>
      <c r="O11" s="75"/>
      <c r="P11" s="75"/>
      <c r="Q11" s="75"/>
      <c r="R11" s="79"/>
      <c r="S11" s="75"/>
      <c r="T11" s="75"/>
      <c r="U11" s="75"/>
      <c r="V11" s="85"/>
    </row>
    <row r="12" spans="1:22">
      <c r="A12" s="13" t="s">
        <v>129</v>
      </c>
      <c r="B12" s="75">
        <v>23803518</v>
      </c>
      <c r="C12" s="75">
        <v>1</v>
      </c>
      <c r="D12" s="76"/>
      <c r="E12" s="77"/>
      <c r="F12" s="75">
        <v>1</v>
      </c>
      <c r="G12" s="75"/>
      <c r="H12" s="75">
        <v>1</v>
      </c>
      <c r="I12" s="106">
        <v>1</v>
      </c>
      <c r="J12" s="75" t="s">
        <v>31</v>
      </c>
      <c r="K12" s="75" t="s">
        <v>1143</v>
      </c>
      <c r="L12" s="75"/>
      <c r="M12" s="75"/>
      <c r="N12" s="75"/>
      <c r="O12" s="75"/>
      <c r="P12" s="75"/>
      <c r="Q12" s="75"/>
      <c r="R12" s="79"/>
      <c r="S12" s="75"/>
      <c r="T12" s="75"/>
      <c r="U12" s="75"/>
      <c r="V12" s="85"/>
    </row>
    <row r="13" spans="1:22">
      <c r="A13" s="13" t="s">
        <v>192</v>
      </c>
      <c r="B13" s="75">
        <v>10807961</v>
      </c>
      <c r="C13" s="75">
        <v>1</v>
      </c>
      <c r="D13" s="76"/>
      <c r="E13" s="77"/>
      <c r="F13" s="75">
        <v>1</v>
      </c>
      <c r="G13" s="75"/>
      <c r="H13" s="75">
        <v>1</v>
      </c>
      <c r="I13" s="106">
        <v>1</v>
      </c>
      <c r="J13" s="75" t="s">
        <v>31</v>
      </c>
      <c r="K13" s="75" t="s">
        <v>1157</v>
      </c>
      <c r="L13" s="75" t="s">
        <v>25</v>
      </c>
      <c r="M13" s="75">
        <v>1</v>
      </c>
      <c r="N13" s="75"/>
      <c r="O13" s="75"/>
      <c r="P13" s="75"/>
      <c r="Q13" s="75" t="s">
        <v>557</v>
      </c>
      <c r="R13" s="79" t="s">
        <v>33</v>
      </c>
      <c r="S13" s="75"/>
      <c r="T13" s="75"/>
      <c r="U13" s="75"/>
      <c r="V13" s="85"/>
    </row>
    <row r="14" spans="1:22">
      <c r="A14" s="13" t="s">
        <v>248</v>
      </c>
      <c r="B14" s="75">
        <v>26254798</v>
      </c>
      <c r="C14" s="75">
        <v>1</v>
      </c>
      <c r="D14" s="76"/>
      <c r="E14" s="77"/>
      <c r="F14" s="75">
        <v>1</v>
      </c>
      <c r="G14" s="75"/>
      <c r="H14" s="75">
        <v>1</v>
      </c>
      <c r="I14" s="106">
        <v>1</v>
      </c>
      <c r="J14" s="75" t="s">
        <v>31</v>
      </c>
      <c r="K14" s="75" t="s">
        <v>1157</v>
      </c>
      <c r="L14" s="75" t="s">
        <v>591</v>
      </c>
      <c r="M14" s="75">
        <v>1</v>
      </c>
      <c r="N14" s="75"/>
      <c r="O14" s="75"/>
      <c r="P14" s="75"/>
      <c r="Q14" s="75" t="s">
        <v>675</v>
      </c>
      <c r="R14" s="79"/>
      <c r="S14" s="75"/>
      <c r="T14" s="75"/>
      <c r="U14" s="75"/>
      <c r="V14" s="85"/>
    </row>
    <row r="15" spans="1:22">
      <c r="A15" s="13" t="s">
        <v>336</v>
      </c>
      <c r="B15" s="75">
        <v>9460740</v>
      </c>
      <c r="C15" s="75">
        <v>1</v>
      </c>
      <c r="D15" s="76"/>
      <c r="E15" s="77"/>
      <c r="F15" s="75">
        <v>1</v>
      </c>
      <c r="G15" s="75"/>
      <c r="H15" s="75">
        <v>1</v>
      </c>
      <c r="I15" s="106">
        <v>1</v>
      </c>
      <c r="J15" s="75" t="s">
        <v>31</v>
      </c>
      <c r="K15" s="75" t="s">
        <v>1157</v>
      </c>
      <c r="L15" s="75" t="s">
        <v>819</v>
      </c>
      <c r="M15" s="75">
        <v>1</v>
      </c>
      <c r="N15" s="75"/>
      <c r="O15" s="75"/>
      <c r="P15" s="75"/>
      <c r="Q15" s="75" t="s">
        <v>873</v>
      </c>
      <c r="R15" s="75" t="s">
        <v>24</v>
      </c>
      <c r="S15" s="75" t="s">
        <v>24</v>
      </c>
      <c r="T15" s="75"/>
      <c r="U15" s="75"/>
      <c r="V15" s="85"/>
    </row>
    <row r="16" spans="1:22">
      <c r="A16" s="13" t="s">
        <v>135</v>
      </c>
      <c r="B16" s="75">
        <v>24695267</v>
      </c>
      <c r="C16" s="75">
        <v>1</v>
      </c>
      <c r="D16" s="76"/>
      <c r="E16" s="77"/>
      <c r="F16" s="75">
        <v>1</v>
      </c>
      <c r="G16" s="75"/>
      <c r="H16" s="75">
        <v>1</v>
      </c>
      <c r="I16" s="106">
        <v>1</v>
      </c>
      <c r="J16" s="75" t="s">
        <v>429</v>
      </c>
      <c r="K16" s="75" t="s">
        <v>1173</v>
      </c>
      <c r="L16" s="75" t="s">
        <v>412</v>
      </c>
      <c r="M16" s="75">
        <v>1</v>
      </c>
      <c r="N16" s="75"/>
      <c r="O16" s="75"/>
      <c r="P16" s="75"/>
      <c r="Q16" s="75" t="s">
        <v>428</v>
      </c>
      <c r="R16" s="79"/>
      <c r="S16" s="75"/>
      <c r="T16" s="75"/>
      <c r="U16" s="75"/>
      <c r="V16" s="85"/>
    </row>
    <row r="17" spans="1:22">
      <c r="A17" s="13" t="s">
        <v>337</v>
      </c>
      <c r="B17" s="75">
        <v>11853357</v>
      </c>
      <c r="C17" s="75">
        <v>1</v>
      </c>
      <c r="D17" s="76"/>
      <c r="E17" s="77"/>
      <c r="F17" s="75">
        <v>1</v>
      </c>
      <c r="G17" s="75"/>
      <c r="H17" s="75">
        <v>1</v>
      </c>
      <c r="I17" s="106">
        <v>1</v>
      </c>
      <c r="J17" s="75" t="s">
        <v>874</v>
      </c>
      <c r="K17" s="75" t="s">
        <v>1172</v>
      </c>
      <c r="L17" s="75" t="s">
        <v>25</v>
      </c>
      <c r="M17" s="75">
        <v>1</v>
      </c>
      <c r="N17" s="75"/>
      <c r="O17" s="75"/>
      <c r="P17" s="75"/>
      <c r="Q17" s="75" t="s">
        <v>875</v>
      </c>
      <c r="R17" s="75" t="s">
        <v>24</v>
      </c>
      <c r="S17" s="75" t="s">
        <v>24</v>
      </c>
      <c r="T17" s="75"/>
      <c r="U17" s="75"/>
      <c r="V17" s="85"/>
    </row>
    <row r="18" spans="1:22">
      <c r="A18" s="13" t="s">
        <v>125</v>
      </c>
      <c r="B18" s="75">
        <v>22950039</v>
      </c>
      <c r="C18" s="75">
        <v>1</v>
      </c>
      <c r="D18" s="76"/>
      <c r="E18" s="77"/>
      <c r="F18" s="75">
        <v>1</v>
      </c>
      <c r="G18" s="75"/>
      <c r="H18" s="75">
        <v>1</v>
      </c>
      <c r="I18" s="106">
        <v>1</v>
      </c>
      <c r="J18" s="75" t="s">
        <v>414</v>
      </c>
      <c r="K18" s="75" t="s">
        <v>1149</v>
      </c>
      <c r="L18" s="75" t="s">
        <v>20</v>
      </c>
      <c r="M18" s="75">
        <v>1</v>
      </c>
      <c r="N18" s="75"/>
      <c r="O18" s="75"/>
      <c r="P18" s="75"/>
      <c r="Q18" s="75" t="s">
        <v>415</v>
      </c>
      <c r="R18" s="79"/>
      <c r="S18" s="75"/>
      <c r="T18" s="75"/>
      <c r="U18" s="75"/>
      <c r="V18" s="85"/>
    </row>
    <row r="19" spans="1:22">
      <c r="A19" s="13" t="s">
        <v>111</v>
      </c>
      <c r="B19" s="75">
        <v>10378168</v>
      </c>
      <c r="C19" s="75">
        <v>1</v>
      </c>
      <c r="D19" s="76"/>
      <c r="E19" s="77"/>
      <c r="F19" s="75">
        <v>1</v>
      </c>
      <c r="G19" s="75" t="s">
        <v>1734</v>
      </c>
      <c r="H19" s="84">
        <v>1</v>
      </c>
      <c r="I19" s="106">
        <v>1</v>
      </c>
      <c r="J19" s="75" t="s">
        <v>383</v>
      </c>
      <c r="K19" s="75" t="s">
        <v>1143</v>
      </c>
      <c r="L19" s="75" t="s">
        <v>25</v>
      </c>
      <c r="M19" s="75">
        <v>1</v>
      </c>
      <c r="N19" s="75"/>
      <c r="O19" s="75"/>
      <c r="P19" s="75"/>
      <c r="Q19" s="75" t="s">
        <v>382</v>
      </c>
      <c r="R19" s="79"/>
      <c r="S19" s="75"/>
      <c r="T19" s="75"/>
      <c r="U19" s="75"/>
      <c r="V19" s="85"/>
    </row>
    <row r="20" spans="1:22">
      <c r="A20" s="13" t="s">
        <v>272</v>
      </c>
      <c r="B20" s="75">
        <v>16720800</v>
      </c>
      <c r="C20" s="75">
        <v>1</v>
      </c>
      <c r="D20" s="76"/>
      <c r="E20" s="77"/>
      <c r="F20" s="75">
        <v>1</v>
      </c>
      <c r="G20" s="75"/>
      <c r="H20" s="75">
        <v>1</v>
      </c>
      <c r="I20" s="106">
        <v>1</v>
      </c>
      <c r="J20" s="75" t="s">
        <v>720</v>
      </c>
      <c r="K20" s="75" t="s">
        <v>1172</v>
      </c>
      <c r="L20" s="75" t="s">
        <v>721</v>
      </c>
      <c r="M20" s="75">
        <v>1</v>
      </c>
      <c r="N20" s="75"/>
      <c r="O20" s="75"/>
      <c r="P20" s="75"/>
      <c r="Q20" s="75"/>
      <c r="R20" s="79"/>
      <c r="S20" s="75"/>
      <c r="T20" s="75"/>
      <c r="U20" s="75"/>
      <c r="V20" s="85"/>
    </row>
    <row r="21" spans="1:22">
      <c r="A21" s="13" t="s">
        <v>330</v>
      </c>
      <c r="B21" s="75">
        <v>25735018</v>
      </c>
      <c r="C21" s="75">
        <v>1</v>
      </c>
      <c r="D21" s="76"/>
      <c r="E21" s="77"/>
      <c r="F21" s="75">
        <v>1</v>
      </c>
      <c r="G21" s="75"/>
      <c r="H21" s="75">
        <v>1</v>
      </c>
      <c r="I21" s="106">
        <v>1</v>
      </c>
      <c r="J21" s="75" t="s">
        <v>860</v>
      </c>
      <c r="K21" s="75" t="s">
        <v>1154</v>
      </c>
      <c r="L21" s="75" t="s">
        <v>835</v>
      </c>
      <c r="M21" s="75">
        <v>1</v>
      </c>
      <c r="N21" s="75"/>
      <c r="O21" s="75"/>
      <c r="P21" s="75"/>
      <c r="Q21" s="75" t="s">
        <v>858</v>
      </c>
      <c r="R21" s="75" t="s">
        <v>24</v>
      </c>
      <c r="S21" s="75" t="s">
        <v>24</v>
      </c>
      <c r="T21" s="75" t="s">
        <v>859</v>
      </c>
      <c r="U21" s="75"/>
      <c r="V21" s="85"/>
    </row>
    <row r="22" spans="1:22">
      <c r="A22" s="13" t="s">
        <v>361</v>
      </c>
      <c r="B22" s="75">
        <v>7802106</v>
      </c>
      <c r="C22" s="75">
        <v>1</v>
      </c>
      <c r="D22" s="76"/>
      <c r="E22" s="77"/>
      <c r="F22" s="75">
        <v>1</v>
      </c>
      <c r="G22" s="75"/>
      <c r="H22" s="75">
        <v>1</v>
      </c>
      <c r="I22" s="106">
        <v>1</v>
      </c>
      <c r="J22" s="75" t="s">
        <v>931</v>
      </c>
      <c r="K22" s="75" t="s">
        <v>1154</v>
      </c>
      <c r="L22" s="75" t="s">
        <v>819</v>
      </c>
      <c r="M22" s="75">
        <v>1</v>
      </c>
      <c r="N22" s="75"/>
      <c r="O22" s="75"/>
      <c r="P22" s="75"/>
      <c r="Q22" s="75" t="s">
        <v>930</v>
      </c>
      <c r="R22" s="75"/>
      <c r="S22" s="75"/>
      <c r="T22" s="75"/>
      <c r="U22" s="75"/>
      <c r="V22" s="85"/>
    </row>
    <row r="23" spans="1:22">
      <c r="A23" s="13" t="s">
        <v>312</v>
      </c>
      <c r="B23" s="75">
        <v>26029852</v>
      </c>
      <c r="C23" s="75">
        <v>1</v>
      </c>
      <c r="D23" s="76"/>
      <c r="E23" s="77"/>
      <c r="F23" s="75">
        <v>1</v>
      </c>
      <c r="G23" s="75"/>
      <c r="H23" s="75">
        <v>1</v>
      </c>
      <c r="I23" s="106">
        <v>1</v>
      </c>
      <c r="J23" s="75" t="s">
        <v>812</v>
      </c>
      <c r="K23" s="75" t="s">
        <v>1154</v>
      </c>
      <c r="L23" s="75" t="s">
        <v>1194</v>
      </c>
      <c r="M23" s="75">
        <v>1</v>
      </c>
      <c r="N23" s="75"/>
      <c r="O23" s="75"/>
      <c r="P23" s="75"/>
      <c r="Q23" s="75" t="s">
        <v>492</v>
      </c>
      <c r="R23" s="79" t="s">
        <v>24</v>
      </c>
      <c r="S23" s="75" t="s">
        <v>24</v>
      </c>
      <c r="T23" s="75" t="s">
        <v>24</v>
      </c>
      <c r="U23" s="75"/>
      <c r="V23" s="85"/>
    </row>
    <row r="24" spans="1:22">
      <c r="A24" s="13" t="s">
        <v>259</v>
      </c>
      <c r="B24" s="75">
        <v>22468823</v>
      </c>
      <c r="C24" s="75">
        <v>1</v>
      </c>
      <c r="D24" s="76" t="s">
        <v>1745</v>
      </c>
      <c r="E24" s="77" t="s">
        <v>1745</v>
      </c>
      <c r="F24" s="81">
        <v>1</v>
      </c>
      <c r="G24" s="75" t="s">
        <v>1748</v>
      </c>
      <c r="H24" s="81">
        <v>1</v>
      </c>
      <c r="I24" s="106">
        <v>1</v>
      </c>
      <c r="J24" s="75" t="s">
        <v>695</v>
      </c>
      <c r="K24" s="75" t="s">
        <v>1172</v>
      </c>
      <c r="L24" s="75" t="s">
        <v>27</v>
      </c>
      <c r="M24" s="75">
        <v>0</v>
      </c>
      <c r="N24" s="75"/>
      <c r="O24" s="75"/>
      <c r="P24" s="75"/>
      <c r="Q24" s="75" t="s">
        <v>694</v>
      </c>
      <c r="R24" s="79"/>
      <c r="S24" s="75"/>
      <c r="T24" s="75"/>
      <c r="U24" s="75"/>
      <c r="V24" s="85" t="s">
        <v>696</v>
      </c>
    </row>
    <row r="25" spans="1:22">
      <c r="A25" s="13" t="s">
        <v>130</v>
      </c>
      <c r="B25" s="75">
        <v>18423611</v>
      </c>
      <c r="C25" s="75">
        <v>1</v>
      </c>
      <c r="D25" s="76"/>
      <c r="E25" s="77"/>
      <c r="F25" s="75">
        <v>1</v>
      </c>
      <c r="G25" s="75"/>
      <c r="H25" s="81">
        <v>1</v>
      </c>
      <c r="I25" s="106">
        <v>1</v>
      </c>
      <c r="J25" s="75" t="s">
        <v>421</v>
      </c>
      <c r="K25" s="75" t="s">
        <v>1151</v>
      </c>
      <c r="L25" s="75" t="s">
        <v>420</v>
      </c>
      <c r="M25" s="75">
        <v>0</v>
      </c>
      <c r="N25" s="75"/>
      <c r="O25" s="75"/>
      <c r="P25" s="75"/>
      <c r="Q25" s="75" t="s">
        <v>23</v>
      </c>
      <c r="R25" s="79"/>
      <c r="S25" s="75"/>
      <c r="T25" s="75"/>
      <c r="U25" s="75"/>
      <c r="V25" s="85" t="s">
        <v>422</v>
      </c>
    </row>
    <row r="26" spans="1:22">
      <c r="A26" s="13" t="s">
        <v>197</v>
      </c>
      <c r="B26" s="75">
        <v>16139487</v>
      </c>
      <c r="C26" s="75">
        <v>1</v>
      </c>
      <c r="D26" s="76"/>
      <c r="E26" s="77"/>
      <c r="F26" s="75">
        <v>1</v>
      </c>
      <c r="G26" s="75"/>
      <c r="H26" s="75">
        <v>1</v>
      </c>
      <c r="I26" s="106">
        <v>1</v>
      </c>
      <c r="J26" s="75" t="s">
        <v>566</v>
      </c>
      <c r="K26" s="75" t="s">
        <v>569</v>
      </c>
      <c r="L26" s="75" t="s">
        <v>567</v>
      </c>
      <c r="M26" s="75">
        <v>1</v>
      </c>
      <c r="N26" s="75"/>
      <c r="O26" s="75"/>
      <c r="P26" s="75"/>
      <c r="Q26" s="75" t="s">
        <v>568</v>
      </c>
      <c r="R26" s="79" t="s">
        <v>24</v>
      </c>
      <c r="S26" s="75"/>
      <c r="T26" s="75"/>
      <c r="U26" s="75"/>
      <c r="V26" s="85"/>
    </row>
    <row r="27" spans="1:22">
      <c r="A27" s="13" t="s">
        <v>243</v>
      </c>
      <c r="B27" s="75">
        <v>15027792</v>
      </c>
      <c r="C27" s="75">
        <v>1</v>
      </c>
      <c r="D27" s="76"/>
      <c r="E27" s="77"/>
      <c r="F27" s="75">
        <v>1</v>
      </c>
      <c r="G27" s="75"/>
      <c r="H27" s="75">
        <v>1</v>
      </c>
      <c r="I27" s="106">
        <v>1</v>
      </c>
      <c r="J27" s="75" t="s">
        <v>662</v>
      </c>
      <c r="K27" s="75" t="s">
        <v>1172</v>
      </c>
      <c r="L27" s="75" t="s">
        <v>1174</v>
      </c>
      <c r="M27" s="75">
        <v>1</v>
      </c>
      <c r="N27" s="75"/>
      <c r="O27" s="75"/>
      <c r="P27" s="75"/>
      <c r="Q27" s="75" t="s">
        <v>665</v>
      </c>
      <c r="R27" s="79" t="s">
        <v>663</v>
      </c>
      <c r="S27" s="75"/>
      <c r="T27" s="75" t="s">
        <v>664</v>
      </c>
      <c r="U27" s="75"/>
      <c r="V27" s="85"/>
    </row>
    <row r="28" spans="1:22">
      <c r="A28" s="13" t="s">
        <v>350</v>
      </c>
      <c r="B28" s="75">
        <v>23517445</v>
      </c>
      <c r="C28" s="75">
        <v>1</v>
      </c>
      <c r="D28" s="76"/>
      <c r="E28" s="77"/>
      <c r="F28" s="75">
        <v>1</v>
      </c>
      <c r="G28" s="75"/>
      <c r="H28" s="75">
        <v>1</v>
      </c>
      <c r="I28" s="106">
        <v>1</v>
      </c>
      <c r="J28" s="75" t="s">
        <v>909</v>
      </c>
      <c r="K28" s="75" t="s">
        <v>1157</v>
      </c>
      <c r="L28" s="75" t="s">
        <v>25</v>
      </c>
      <c r="M28" s="75">
        <v>1</v>
      </c>
      <c r="N28" s="75"/>
      <c r="O28" s="75"/>
      <c r="P28" s="75"/>
      <c r="Q28" s="75" t="s">
        <v>908</v>
      </c>
      <c r="R28" s="75"/>
      <c r="S28" s="75"/>
      <c r="T28" s="75"/>
      <c r="U28" s="75"/>
      <c r="V28" s="85"/>
    </row>
    <row r="29" spans="1:22">
      <c r="A29" s="13" t="s">
        <v>228</v>
      </c>
      <c r="B29" s="75">
        <v>19091328</v>
      </c>
      <c r="C29" s="75">
        <v>1</v>
      </c>
      <c r="D29" s="76"/>
      <c r="E29" s="77"/>
      <c r="F29" s="75">
        <v>1</v>
      </c>
      <c r="G29" s="75"/>
      <c r="H29" s="75">
        <v>1</v>
      </c>
      <c r="I29" s="106">
        <v>1</v>
      </c>
      <c r="J29" s="75" t="s">
        <v>636</v>
      </c>
      <c r="K29" s="75" t="s">
        <v>1158</v>
      </c>
      <c r="L29" s="75" t="s">
        <v>591</v>
      </c>
      <c r="M29" s="75">
        <v>1</v>
      </c>
      <c r="N29" s="75"/>
      <c r="O29" s="75"/>
      <c r="P29" s="75"/>
      <c r="Q29" s="75" t="s">
        <v>637</v>
      </c>
      <c r="R29" s="79" t="s">
        <v>56</v>
      </c>
      <c r="S29" s="75"/>
      <c r="T29" s="75"/>
      <c r="U29" s="75"/>
      <c r="V29" s="85"/>
    </row>
    <row r="30" spans="1:22">
      <c r="A30" s="13" t="s">
        <v>282</v>
      </c>
      <c r="B30" s="75">
        <v>26237266</v>
      </c>
      <c r="C30" s="75">
        <v>1</v>
      </c>
      <c r="D30" s="83" t="s">
        <v>1782</v>
      </c>
      <c r="E30" s="77" t="s">
        <v>1765</v>
      </c>
      <c r="F30" s="81">
        <v>0</v>
      </c>
      <c r="G30" s="75"/>
      <c r="H30" s="75">
        <v>1</v>
      </c>
      <c r="I30" s="106">
        <v>1</v>
      </c>
      <c r="J30" s="75" t="s">
        <v>741</v>
      </c>
      <c r="K30" s="75" t="s">
        <v>1161</v>
      </c>
      <c r="L30" s="75" t="s">
        <v>740</v>
      </c>
      <c r="M30" s="75">
        <v>1</v>
      </c>
      <c r="N30" s="75"/>
      <c r="O30" s="75"/>
      <c r="P30" s="75"/>
      <c r="Q30" s="75"/>
      <c r="R30" s="79"/>
      <c r="S30" s="75"/>
      <c r="T30" s="75"/>
      <c r="U30" s="75"/>
      <c r="V30" s="85"/>
    </row>
    <row r="31" spans="1:22">
      <c r="A31" s="13" t="s">
        <v>222</v>
      </c>
      <c r="B31" s="75">
        <v>7654154</v>
      </c>
      <c r="C31" s="75">
        <v>1</v>
      </c>
      <c r="D31" s="76"/>
      <c r="E31" s="77"/>
      <c r="F31" s="75">
        <v>1</v>
      </c>
      <c r="G31" s="75"/>
      <c r="H31" s="75">
        <v>1</v>
      </c>
      <c r="I31" s="106">
        <v>1</v>
      </c>
      <c r="J31" s="75" t="s">
        <v>621</v>
      </c>
      <c r="K31" s="75" t="s">
        <v>1147</v>
      </c>
      <c r="L31" s="75" t="s">
        <v>25</v>
      </c>
      <c r="M31" s="75">
        <v>1</v>
      </c>
      <c r="N31" s="75"/>
      <c r="O31" s="75"/>
      <c r="P31" s="75"/>
      <c r="Q31" s="75"/>
      <c r="R31" s="79"/>
      <c r="S31" s="75"/>
      <c r="T31" s="75"/>
      <c r="U31" s="75"/>
      <c r="V31" s="85"/>
    </row>
    <row r="32" spans="1:22">
      <c r="A32" s="13" t="s">
        <v>102</v>
      </c>
      <c r="B32" s="75">
        <v>27236589</v>
      </c>
      <c r="C32" s="75">
        <v>1</v>
      </c>
      <c r="D32" s="76"/>
      <c r="E32" s="77"/>
      <c r="F32" s="75">
        <v>1</v>
      </c>
      <c r="G32" s="75"/>
      <c r="H32" s="75">
        <v>1</v>
      </c>
      <c r="I32" s="106">
        <v>1</v>
      </c>
      <c r="J32" s="75" t="s">
        <v>72</v>
      </c>
      <c r="K32" s="75" t="s">
        <v>1148</v>
      </c>
      <c r="L32" s="75" t="s">
        <v>25</v>
      </c>
      <c r="M32" s="75">
        <v>1</v>
      </c>
      <c r="N32" s="75"/>
      <c r="O32" s="75"/>
      <c r="P32" s="75"/>
      <c r="Q32" s="75" t="s">
        <v>71</v>
      </c>
      <c r="R32" s="79"/>
      <c r="S32" s="75"/>
      <c r="T32" s="75"/>
      <c r="U32" s="75"/>
      <c r="V32" s="85"/>
    </row>
    <row r="33" spans="1:22">
      <c r="A33" s="13" t="s">
        <v>123</v>
      </c>
      <c r="B33" s="75">
        <v>24724093</v>
      </c>
      <c r="C33" s="75">
        <v>1</v>
      </c>
      <c r="D33" s="76"/>
      <c r="E33" s="77"/>
      <c r="F33" s="75">
        <v>1</v>
      </c>
      <c r="G33" s="75"/>
      <c r="H33" s="75">
        <v>1</v>
      </c>
      <c r="I33" s="106">
        <v>1</v>
      </c>
      <c r="J33" s="75" t="s">
        <v>411</v>
      </c>
      <c r="K33" s="75" t="s">
        <v>1192</v>
      </c>
      <c r="L33" s="75" t="s">
        <v>412</v>
      </c>
      <c r="M33" s="75">
        <v>1</v>
      </c>
      <c r="N33" s="75"/>
      <c r="O33" s="75"/>
      <c r="P33" s="75"/>
      <c r="Q33" s="75" t="s">
        <v>1155</v>
      </c>
      <c r="R33" s="79" t="s">
        <v>56</v>
      </c>
      <c r="S33" s="75"/>
      <c r="T33" s="75"/>
      <c r="U33" s="75"/>
      <c r="V33" s="85"/>
    </row>
    <row r="34" spans="1:22">
      <c r="A34" s="13" t="s">
        <v>288</v>
      </c>
      <c r="B34" s="75">
        <v>16055312</v>
      </c>
      <c r="C34" s="75">
        <v>1</v>
      </c>
      <c r="D34" s="76"/>
      <c r="E34" s="77"/>
      <c r="F34" s="75">
        <v>1</v>
      </c>
      <c r="G34" s="75"/>
      <c r="H34" s="75">
        <v>1</v>
      </c>
      <c r="I34" s="106">
        <v>1</v>
      </c>
      <c r="J34" s="75" t="s">
        <v>851</v>
      </c>
      <c r="K34" s="75" t="s">
        <v>780</v>
      </c>
      <c r="L34" s="75" t="s">
        <v>752</v>
      </c>
      <c r="M34" s="75">
        <v>0</v>
      </c>
      <c r="N34" s="75"/>
      <c r="O34" s="75"/>
      <c r="P34" s="75"/>
      <c r="Q34" s="75" t="s">
        <v>751</v>
      </c>
      <c r="R34" s="79" t="s">
        <v>753</v>
      </c>
      <c r="S34" s="75"/>
      <c r="T34" s="75" t="s">
        <v>754</v>
      </c>
      <c r="U34" s="75"/>
      <c r="V34" s="85"/>
    </row>
    <row r="35" spans="1:22">
      <c r="A35" s="13" t="s">
        <v>207</v>
      </c>
      <c r="B35" s="75">
        <v>8827652</v>
      </c>
      <c r="C35" s="75">
        <v>1</v>
      </c>
      <c r="D35" s="76"/>
      <c r="E35" s="77"/>
      <c r="F35" s="75">
        <v>1</v>
      </c>
      <c r="G35" s="75"/>
      <c r="H35" s="75">
        <v>1</v>
      </c>
      <c r="I35" s="106">
        <v>1</v>
      </c>
      <c r="J35" s="75" t="s">
        <v>920</v>
      </c>
      <c r="K35" s="75" t="s">
        <v>1165</v>
      </c>
      <c r="L35" s="75" t="s">
        <v>591</v>
      </c>
      <c r="M35" s="75">
        <v>1</v>
      </c>
      <c r="N35" s="75"/>
      <c r="O35" s="75"/>
      <c r="P35" s="75"/>
      <c r="Q35" s="75" t="s">
        <v>1156</v>
      </c>
      <c r="R35" s="79"/>
      <c r="S35" s="75" t="s">
        <v>592</v>
      </c>
      <c r="T35" s="75" t="s">
        <v>593</v>
      </c>
      <c r="U35" s="75"/>
      <c r="V35" s="85"/>
    </row>
    <row r="36" spans="1:22">
      <c r="A36" s="13" t="s">
        <v>191</v>
      </c>
      <c r="B36" s="75">
        <v>15027789</v>
      </c>
      <c r="C36" s="75">
        <v>1</v>
      </c>
      <c r="D36" s="76"/>
      <c r="E36" s="77"/>
      <c r="F36" s="75">
        <v>1</v>
      </c>
      <c r="G36" s="75"/>
      <c r="H36" s="75">
        <v>1</v>
      </c>
      <c r="I36" s="106">
        <v>1</v>
      </c>
      <c r="J36" s="75" t="s">
        <v>554</v>
      </c>
      <c r="K36" s="75" t="s">
        <v>555</v>
      </c>
      <c r="L36" s="75" t="s">
        <v>25</v>
      </c>
      <c r="M36" s="75">
        <v>1</v>
      </c>
      <c r="N36" s="75"/>
      <c r="O36" s="75"/>
      <c r="P36" s="75"/>
      <c r="Q36" s="75" t="s">
        <v>555</v>
      </c>
      <c r="R36" s="79" t="s">
        <v>24</v>
      </c>
      <c r="S36" s="75" t="s">
        <v>556</v>
      </c>
      <c r="T36" s="75" t="s">
        <v>510</v>
      </c>
      <c r="U36" s="75"/>
      <c r="V36" s="85"/>
    </row>
    <row r="37" spans="1:22">
      <c r="A37" s="13" t="s">
        <v>77</v>
      </c>
      <c r="B37" s="75">
        <v>23823533</v>
      </c>
      <c r="C37" s="75">
        <v>1</v>
      </c>
      <c r="D37" s="76"/>
      <c r="E37" s="77"/>
      <c r="F37" s="75">
        <v>1</v>
      </c>
      <c r="G37" s="75"/>
      <c r="H37" s="75">
        <v>1</v>
      </c>
      <c r="I37" s="106">
        <v>1</v>
      </c>
      <c r="J37" s="75" t="s">
        <v>15</v>
      </c>
      <c r="K37" s="75" t="s">
        <v>1192</v>
      </c>
      <c r="L37" s="75" t="s">
        <v>17</v>
      </c>
      <c r="M37" s="75">
        <v>1</v>
      </c>
      <c r="N37" s="75"/>
      <c r="O37" s="75"/>
      <c r="P37" s="75"/>
      <c r="Q37" s="75" t="s">
        <v>16</v>
      </c>
      <c r="R37" s="79"/>
      <c r="S37" s="75"/>
      <c r="T37" s="75"/>
      <c r="U37" s="75"/>
      <c r="V37" s="85"/>
    </row>
    <row r="38" spans="1:22">
      <c r="A38" s="13" t="s">
        <v>322</v>
      </c>
      <c r="B38" s="75">
        <v>26481979</v>
      </c>
      <c r="C38" s="75">
        <v>1</v>
      </c>
      <c r="D38" s="76"/>
      <c r="E38" s="77"/>
      <c r="F38" s="75">
        <v>1</v>
      </c>
      <c r="G38" s="75"/>
      <c r="H38" s="75">
        <v>1</v>
      </c>
      <c r="I38" s="106">
        <v>1</v>
      </c>
      <c r="J38" s="75" t="s">
        <v>21</v>
      </c>
      <c r="K38" s="75" t="s">
        <v>1163</v>
      </c>
      <c r="L38" s="75" t="s">
        <v>819</v>
      </c>
      <c r="M38" s="75">
        <v>1</v>
      </c>
      <c r="N38" s="75"/>
      <c r="O38" s="75"/>
      <c r="P38" s="75"/>
      <c r="Q38" s="75" t="s">
        <v>837</v>
      </c>
      <c r="R38" s="75" t="s">
        <v>836</v>
      </c>
      <c r="S38" s="75"/>
      <c r="T38" s="75"/>
      <c r="U38" s="75"/>
      <c r="V38" s="85"/>
    </row>
    <row r="39" spans="1:22">
      <c r="A39" s="13" t="s">
        <v>294</v>
      </c>
      <c r="B39" s="75">
        <v>21724666</v>
      </c>
      <c r="C39" s="75">
        <v>1</v>
      </c>
      <c r="D39" s="76"/>
      <c r="E39" s="77"/>
      <c r="F39" s="75">
        <v>1</v>
      </c>
      <c r="G39" s="75"/>
      <c r="H39" s="75">
        <v>1</v>
      </c>
      <c r="I39" s="106">
        <v>1</v>
      </c>
      <c r="J39" s="75" t="s">
        <v>771</v>
      </c>
      <c r="K39" s="75" t="s">
        <v>1146</v>
      </c>
      <c r="L39" s="75" t="s">
        <v>768</v>
      </c>
      <c r="M39" s="75">
        <v>0</v>
      </c>
      <c r="N39" s="75"/>
      <c r="O39" s="75"/>
      <c r="P39" s="75"/>
      <c r="Q39" s="75" t="s">
        <v>769</v>
      </c>
      <c r="R39" s="79" t="s">
        <v>56</v>
      </c>
      <c r="S39" s="75" t="s">
        <v>24</v>
      </c>
      <c r="T39" s="75" t="s">
        <v>770</v>
      </c>
      <c r="U39" s="75"/>
      <c r="V39" s="85"/>
    </row>
    <row r="40" spans="1:22">
      <c r="A40" s="13" t="s">
        <v>153</v>
      </c>
      <c r="B40" s="75">
        <v>9821567</v>
      </c>
      <c r="C40" s="75">
        <v>1</v>
      </c>
      <c r="D40" s="76"/>
      <c r="E40" s="77"/>
      <c r="F40" s="75">
        <v>1</v>
      </c>
      <c r="G40" s="75"/>
      <c r="H40" s="75">
        <v>1</v>
      </c>
      <c r="I40" s="106">
        <v>1</v>
      </c>
      <c r="J40" s="75" t="s">
        <v>468</v>
      </c>
      <c r="K40" s="75" t="s">
        <v>1162</v>
      </c>
      <c r="L40" s="75" t="s">
        <v>25</v>
      </c>
      <c r="M40" s="75">
        <v>1</v>
      </c>
      <c r="N40" s="75"/>
      <c r="O40" s="75"/>
      <c r="P40" s="75"/>
      <c r="Q40" s="75" t="s">
        <v>11</v>
      </c>
      <c r="R40" s="79" t="s">
        <v>24</v>
      </c>
      <c r="S40" s="75" t="s">
        <v>13</v>
      </c>
      <c r="T40" s="75"/>
      <c r="U40" s="75"/>
      <c r="V40" s="85"/>
    </row>
    <row r="41" spans="1:22">
      <c r="A41" s="13" t="s">
        <v>295</v>
      </c>
      <c r="B41" s="75">
        <v>25150386</v>
      </c>
      <c r="C41" s="75">
        <v>1</v>
      </c>
      <c r="D41" s="76"/>
      <c r="E41" s="77"/>
      <c r="F41" s="75">
        <v>1</v>
      </c>
      <c r="G41" s="75"/>
      <c r="H41" s="75">
        <v>1</v>
      </c>
      <c r="I41" s="106">
        <v>1</v>
      </c>
      <c r="J41" s="75" t="s">
        <v>773</v>
      </c>
      <c r="K41" s="75" t="s">
        <v>1192</v>
      </c>
      <c r="L41" s="75" t="s">
        <v>762</v>
      </c>
      <c r="M41" s="75">
        <v>1</v>
      </c>
      <c r="N41" s="75"/>
      <c r="O41" s="75"/>
      <c r="P41" s="75"/>
      <c r="Q41" s="75" t="s">
        <v>772</v>
      </c>
      <c r="R41" s="79" t="s">
        <v>33</v>
      </c>
      <c r="S41" s="75"/>
      <c r="T41" s="75"/>
      <c r="U41" s="75"/>
      <c r="V41" s="85"/>
    </row>
    <row r="42" spans="1:22">
      <c r="A42" s="13" t="s">
        <v>148</v>
      </c>
      <c r="B42" s="75">
        <v>16891562</v>
      </c>
      <c r="C42" s="75">
        <v>1</v>
      </c>
      <c r="D42" s="76"/>
      <c r="E42" s="77"/>
      <c r="F42" s="75">
        <v>1</v>
      </c>
      <c r="G42" s="75"/>
      <c r="H42" s="75">
        <v>1</v>
      </c>
      <c r="I42" s="106">
        <v>1</v>
      </c>
      <c r="J42" s="75" t="s">
        <v>457</v>
      </c>
      <c r="K42" s="75" t="s">
        <v>1147</v>
      </c>
      <c r="L42" s="75" t="s">
        <v>459</v>
      </c>
      <c r="M42" s="75">
        <v>0</v>
      </c>
      <c r="N42" s="75"/>
      <c r="O42" s="75"/>
      <c r="P42" s="75"/>
      <c r="Q42" s="75" t="s">
        <v>458</v>
      </c>
      <c r="R42" s="79"/>
      <c r="S42" s="75"/>
      <c r="T42" s="75"/>
      <c r="U42" s="75"/>
      <c r="V42" s="85"/>
    </row>
    <row r="43" spans="1:22">
      <c r="A43" s="13" t="s">
        <v>326</v>
      </c>
      <c r="B43" s="75">
        <v>16891587</v>
      </c>
      <c r="C43" s="75">
        <v>1</v>
      </c>
      <c r="D43" s="76"/>
      <c r="E43" s="77"/>
      <c r="F43" s="75">
        <v>1</v>
      </c>
      <c r="G43" s="75"/>
      <c r="H43" s="75">
        <v>1</v>
      </c>
      <c r="I43" s="106">
        <v>1</v>
      </c>
      <c r="J43" s="75" t="s">
        <v>457</v>
      </c>
      <c r="K43" s="75" t="s">
        <v>1147</v>
      </c>
      <c r="L43" s="75" t="s">
        <v>847</v>
      </c>
      <c r="M43" s="75">
        <v>1</v>
      </c>
      <c r="N43" s="75"/>
      <c r="O43" s="75"/>
      <c r="P43" s="75"/>
      <c r="Q43" s="75" t="s">
        <v>848</v>
      </c>
      <c r="R43" s="75" t="s">
        <v>56</v>
      </c>
      <c r="S43" s="75" t="s">
        <v>24</v>
      </c>
      <c r="T43" s="75"/>
      <c r="U43" s="75"/>
      <c r="V43" s="85"/>
    </row>
    <row r="44" spans="1:22">
      <c r="A44" s="13" t="s">
        <v>355</v>
      </c>
      <c r="B44" s="75">
        <v>19703322</v>
      </c>
      <c r="C44" s="75">
        <v>1</v>
      </c>
      <c r="D44" s="76"/>
      <c r="E44" s="77"/>
      <c r="F44" s="75">
        <v>1</v>
      </c>
      <c r="G44" s="75"/>
      <c r="H44" s="75">
        <v>1</v>
      </c>
      <c r="I44" s="106">
        <v>1</v>
      </c>
      <c r="J44" s="75" t="s">
        <v>457</v>
      </c>
      <c r="K44" s="75" t="s">
        <v>1147</v>
      </c>
      <c r="L44" s="75" t="s">
        <v>819</v>
      </c>
      <c r="M44" s="75">
        <v>1</v>
      </c>
      <c r="N44" s="75"/>
      <c r="O44" s="75"/>
      <c r="P44" s="75"/>
      <c r="Q44" s="75"/>
      <c r="R44" s="75" t="s">
        <v>917</v>
      </c>
      <c r="S44" s="75"/>
      <c r="T44" s="75"/>
      <c r="U44" s="75"/>
      <c r="V44" s="85"/>
    </row>
    <row r="45" spans="1:22">
      <c r="A45" s="13" t="s">
        <v>136</v>
      </c>
      <c r="B45" s="75">
        <v>19359452</v>
      </c>
      <c r="C45" s="75">
        <v>1</v>
      </c>
      <c r="D45" s="76"/>
      <c r="E45" s="77"/>
      <c r="F45" s="75">
        <v>1</v>
      </c>
      <c r="G45" s="75"/>
      <c r="H45" s="75">
        <v>1</v>
      </c>
      <c r="I45" s="106">
        <v>1</v>
      </c>
      <c r="J45" s="75" t="s">
        <v>430</v>
      </c>
      <c r="K45" s="75" t="s">
        <v>1164</v>
      </c>
      <c r="L45" s="75" t="s">
        <v>25</v>
      </c>
      <c r="M45" s="75">
        <v>1</v>
      </c>
      <c r="N45" s="75"/>
      <c r="O45" s="75"/>
      <c r="P45" s="75"/>
      <c r="Q45" s="75" t="s">
        <v>432</v>
      </c>
      <c r="R45" s="79" t="s">
        <v>431</v>
      </c>
      <c r="S45" s="75"/>
      <c r="T45" s="75"/>
      <c r="U45" s="75"/>
      <c r="V45" s="85"/>
    </row>
    <row r="46" spans="1:22">
      <c r="A46" s="13" t="s">
        <v>356</v>
      </c>
      <c r="B46" s="75">
        <v>25516381</v>
      </c>
      <c r="C46" s="75">
        <v>1</v>
      </c>
      <c r="D46" s="76"/>
      <c r="E46" s="77"/>
      <c r="F46" s="75">
        <v>1</v>
      </c>
      <c r="G46" s="75"/>
      <c r="H46" s="75">
        <v>1</v>
      </c>
      <c r="I46" s="106">
        <v>1</v>
      </c>
      <c r="J46" s="75" t="s">
        <v>919</v>
      </c>
      <c r="K46" s="75" t="s">
        <v>1192</v>
      </c>
      <c r="L46" s="75" t="s">
        <v>819</v>
      </c>
      <c r="M46" s="75">
        <v>1</v>
      </c>
      <c r="N46" s="75"/>
      <c r="O46" s="75"/>
      <c r="P46" s="75"/>
      <c r="Q46" s="75" t="s">
        <v>918</v>
      </c>
      <c r="R46" s="75" t="s">
        <v>24</v>
      </c>
      <c r="S46" s="75" t="s">
        <v>921</v>
      </c>
      <c r="T46" s="75"/>
      <c r="U46" s="75"/>
      <c r="V46" s="85"/>
    </row>
    <row r="47" spans="1:22">
      <c r="A47" s="13" t="s">
        <v>249</v>
      </c>
      <c r="B47" s="75">
        <v>23148782</v>
      </c>
      <c r="C47" s="75">
        <v>1</v>
      </c>
      <c r="D47" s="76"/>
      <c r="E47" s="77"/>
      <c r="F47" s="75">
        <v>1</v>
      </c>
      <c r="G47" s="75"/>
      <c r="H47" s="75">
        <v>1</v>
      </c>
      <c r="I47" s="106">
        <v>1</v>
      </c>
      <c r="J47" s="75" t="s">
        <v>676</v>
      </c>
      <c r="K47" s="75" t="s">
        <v>1157</v>
      </c>
      <c r="L47" s="75" t="s">
        <v>591</v>
      </c>
      <c r="M47" s="75">
        <v>1</v>
      </c>
      <c r="N47" s="75"/>
      <c r="O47" s="75"/>
      <c r="P47" s="75"/>
      <c r="Q47" s="75" t="s">
        <v>677</v>
      </c>
      <c r="R47" s="79"/>
      <c r="S47" s="75"/>
      <c r="T47" s="75"/>
      <c r="U47" s="75"/>
      <c r="V47" s="85"/>
    </row>
    <row r="48" spans="1:22">
      <c r="A48" s="13" t="s">
        <v>98</v>
      </c>
      <c r="B48" s="75">
        <v>3989520</v>
      </c>
      <c r="C48" s="75">
        <v>1</v>
      </c>
      <c r="D48" s="76"/>
      <c r="E48" s="77"/>
      <c r="F48" s="75">
        <v>1</v>
      </c>
      <c r="G48" s="75"/>
      <c r="H48" s="75">
        <v>1</v>
      </c>
      <c r="I48" s="106">
        <v>1</v>
      </c>
      <c r="J48" s="75" t="s">
        <v>1179</v>
      </c>
      <c r="K48" s="75" t="s">
        <v>1142</v>
      </c>
      <c r="L48" s="75" t="s">
        <v>25</v>
      </c>
      <c r="M48" s="75">
        <v>1</v>
      </c>
      <c r="N48" s="75"/>
      <c r="O48" s="75"/>
      <c r="P48" s="75"/>
      <c r="Q48" s="75" t="s">
        <v>67</v>
      </c>
      <c r="R48" s="79" t="s">
        <v>12</v>
      </c>
      <c r="S48" s="75"/>
      <c r="T48" s="75"/>
      <c r="U48" s="75"/>
      <c r="V48" s="85"/>
    </row>
    <row r="49" spans="1:22">
      <c r="A49" s="13" t="s">
        <v>100</v>
      </c>
      <c r="B49" s="75">
        <v>15820703</v>
      </c>
      <c r="C49" s="75">
        <v>1</v>
      </c>
      <c r="D49" s="76" t="s">
        <v>1774</v>
      </c>
      <c r="E49" s="77" t="s">
        <v>1756</v>
      </c>
      <c r="F49" s="75">
        <v>1</v>
      </c>
      <c r="G49" s="75" t="s">
        <v>1733</v>
      </c>
      <c r="H49" s="75">
        <v>1</v>
      </c>
      <c r="I49" s="106">
        <v>1</v>
      </c>
      <c r="J49" s="75" t="s">
        <v>1179</v>
      </c>
      <c r="K49" s="75" t="s">
        <v>1142</v>
      </c>
      <c r="L49" s="75" t="s">
        <v>25</v>
      </c>
      <c r="M49" s="75">
        <v>1</v>
      </c>
      <c r="N49" s="75"/>
      <c r="O49" s="75"/>
      <c r="P49" s="75"/>
      <c r="Q49" s="75" t="s">
        <v>69</v>
      </c>
      <c r="R49" s="79" t="s">
        <v>56</v>
      </c>
      <c r="S49" s="75"/>
      <c r="T49" s="75"/>
      <c r="U49" s="75"/>
      <c r="V49" s="85"/>
    </row>
    <row r="50" spans="1:22">
      <c r="A50" s="13" t="s">
        <v>345</v>
      </c>
      <c r="B50" s="75">
        <v>26522237</v>
      </c>
      <c r="C50" s="75">
        <v>1</v>
      </c>
      <c r="D50" s="76"/>
      <c r="E50" s="77"/>
      <c r="F50" s="75">
        <v>1</v>
      </c>
      <c r="G50" s="75"/>
      <c r="H50" s="81">
        <v>1</v>
      </c>
      <c r="I50" s="106">
        <v>1</v>
      </c>
      <c r="J50" s="75" t="s">
        <v>1179</v>
      </c>
      <c r="K50" s="75" t="s">
        <v>1142</v>
      </c>
      <c r="L50" s="75" t="s">
        <v>591</v>
      </c>
      <c r="M50" s="75">
        <v>1</v>
      </c>
      <c r="N50" s="75"/>
      <c r="O50" s="75"/>
      <c r="P50" s="75"/>
      <c r="Q50" s="75" t="s">
        <v>897</v>
      </c>
      <c r="R50" s="75" t="s">
        <v>24</v>
      </c>
      <c r="S50" s="75" t="s">
        <v>898</v>
      </c>
      <c r="T50" s="75"/>
      <c r="U50" s="75"/>
      <c r="V50" s="85" t="s">
        <v>899</v>
      </c>
    </row>
    <row r="51" spans="1:22">
      <c r="A51" s="13" t="s">
        <v>296</v>
      </c>
      <c r="B51" s="75">
        <v>24342149</v>
      </c>
      <c r="C51" s="75">
        <v>1</v>
      </c>
      <c r="D51" s="76"/>
      <c r="E51" s="77"/>
      <c r="F51" s="75">
        <v>1</v>
      </c>
      <c r="G51" s="75"/>
      <c r="H51" s="81">
        <v>1</v>
      </c>
      <c r="I51" s="106">
        <v>1</v>
      </c>
      <c r="J51" s="75" t="s">
        <v>775</v>
      </c>
      <c r="K51" s="75" t="s">
        <v>1164</v>
      </c>
      <c r="L51" s="75" t="s">
        <v>762</v>
      </c>
      <c r="M51" s="75">
        <v>1</v>
      </c>
      <c r="N51" s="75"/>
      <c r="O51" s="75"/>
      <c r="P51" s="75"/>
      <c r="Q51" s="75" t="s">
        <v>774</v>
      </c>
      <c r="R51" s="79" t="s">
        <v>33</v>
      </c>
      <c r="S51" s="75"/>
      <c r="T51" s="75"/>
      <c r="U51" s="75"/>
      <c r="V51" s="85" t="s">
        <v>776</v>
      </c>
    </row>
    <row r="52" spans="1:22">
      <c r="A52" s="13" t="s">
        <v>365</v>
      </c>
      <c r="B52" s="75">
        <v>17392739</v>
      </c>
      <c r="C52" s="75">
        <v>1</v>
      </c>
      <c r="D52" s="76"/>
      <c r="E52" s="77"/>
      <c r="F52" s="75">
        <v>1</v>
      </c>
      <c r="G52" s="75"/>
      <c r="H52" s="75">
        <v>1</v>
      </c>
      <c r="I52" s="106">
        <v>1</v>
      </c>
      <c r="J52" s="75" t="s">
        <v>938</v>
      </c>
      <c r="K52" s="75" t="s">
        <v>1153</v>
      </c>
      <c r="L52" s="75" t="s">
        <v>25</v>
      </c>
      <c r="M52" s="75">
        <v>1</v>
      </c>
      <c r="N52" s="75"/>
      <c r="O52" s="75"/>
      <c r="P52" s="75"/>
      <c r="Q52" s="75" t="s">
        <v>938</v>
      </c>
      <c r="R52" s="75"/>
      <c r="S52" s="75" t="s">
        <v>565</v>
      </c>
      <c r="T52" s="75"/>
      <c r="U52" s="75"/>
      <c r="V52" s="85"/>
    </row>
    <row r="53" spans="1:22">
      <c r="A53" s="13" t="s">
        <v>252</v>
      </c>
      <c r="B53" s="75">
        <v>25893970</v>
      </c>
      <c r="C53" s="75">
        <v>1</v>
      </c>
      <c r="D53" s="76" t="s">
        <v>1745</v>
      </c>
      <c r="E53" s="77" t="s">
        <v>1745</v>
      </c>
      <c r="F53" s="81">
        <v>1</v>
      </c>
      <c r="G53" s="75" t="s">
        <v>1748</v>
      </c>
      <c r="H53" s="75">
        <v>0</v>
      </c>
      <c r="I53" s="106">
        <v>1</v>
      </c>
      <c r="J53" s="75" t="s">
        <v>682</v>
      </c>
      <c r="K53" s="75"/>
      <c r="L53" s="75" t="s">
        <v>514</v>
      </c>
      <c r="M53" s="75">
        <v>1</v>
      </c>
      <c r="N53" s="75"/>
      <c r="O53" s="75"/>
      <c r="P53" s="75"/>
      <c r="Q53" s="75" t="s">
        <v>683</v>
      </c>
      <c r="R53" s="79" t="s">
        <v>24</v>
      </c>
      <c r="S53" s="75" t="s">
        <v>24</v>
      </c>
      <c r="T53" s="75"/>
      <c r="U53" s="75"/>
      <c r="V53" s="85" t="s">
        <v>684</v>
      </c>
    </row>
    <row r="54" spans="1:22">
      <c r="A54" s="13" t="s">
        <v>263</v>
      </c>
      <c r="B54" s="75">
        <v>23684979</v>
      </c>
      <c r="C54" s="75">
        <v>1</v>
      </c>
      <c r="D54" s="76" t="s">
        <v>1780</v>
      </c>
      <c r="E54" s="77" t="s">
        <v>1762</v>
      </c>
      <c r="F54" s="75">
        <v>1</v>
      </c>
      <c r="G54" s="75" t="s">
        <v>1749</v>
      </c>
      <c r="H54" s="75">
        <v>1</v>
      </c>
      <c r="I54" s="106">
        <v>1</v>
      </c>
      <c r="J54" s="75" t="s">
        <v>703</v>
      </c>
      <c r="K54" s="75" t="s">
        <v>1163</v>
      </c>
      <c r="L54" s="75" t="s">
        <v>25</v>
      </c>
      <c r="M54" s="75">
        <v>1</v>
      </c>
      <c r="N54" s="75"/>
      <c r="O54" s="75"/>
      <c r="P54" s="75"/>
      <c r="Q54" s="75" t="s">
        <v>701</v>
      </c>
      <c r="R54" s="79" t="s">
        <v>702</v>
      </c>
      <c r="S54" s="75"/>
      <c r="T54" s="75"/>
      <c r="U54" s="75"/>
      <c r="V54" s="85"/>
    </row>
    <row r="55" spans="1:22">
      <c r="A55" s="13" t="s">
        <v>281</v>
      </c>
      <c r="B55" s="75">
        <v>18498263</v>
      </c>
      <c r="C55" s="75">
        <v>1</v>
      </c>
      <c r="D55" s="76" t="s">
        <v>1780</v>
      </c>
      <c r="E55" s="77" t="s">
        <v>1764</v>
      </c>
      <c r="F55" s="81">
        <v>0</v>
      </c>
      <c r="G55" s="75" t="s">
        <v>1751</v>
      </c>
      <c r="H55" s="75">
        <v>1</v>
      </c>
      <c r="I55" s="106">
        <v>1</v>
      </c>
      <c r="J55" s="75" t="s">
        <v>739</v>
      </c>
      <c r="K55" s="75" t="s">
        <v>1147</v>
      </c>
      <c r="L55" s="75" t="s">
        <v>736</v>
      </c>
      <c r="M55" s="75">
        <v>1</v>
      </c>
      <c r="N55" s="75"/>
      <c r="O55" s="75"/>
      <c r="P55" s="75"/>
      <c r="Q55" s="75" t="s">
        <v>738</v>
      </c>
      <c r="R55" s="79"/>
      <c r="S55" s="75"/>
      <c r="T55" s="75"/>
      <c r="U55" s="75"/>
      <c r="V55" s="85"/>
    </row>
    <row r="56" spans="1:22">
      <c r="A56" s="13" t="s">
        <v>321</v>
      </c>
      <c r="B56" s="75">
        <v>22595028</v>
      </c>
      <c r="C56" s="75">
        <v>1</v>
      </c>
      <c r="D56" s="76"/>
      <c r="E56" s="77"/>
      <c r="F56" s="75">
        <v>1</v>
      </c>
      <c r="G56" s="75"/>
      <c r="H56" s="75">
        <v>1</v>
      </c>
      <c r="I56" s="106">
        <v>1</v>
      </c>
      <c r="J56" s="75" t="s">
        <v>834</v>
      </c>
      <c r="K56" s="75" t="s">
        <v>1192</v>
      </c>
      <c r="L56" s="75" t="s">
        <v>835</v>
      </c>
      <c r="M56" s="75">
        <v>1</v>
      </c>
      <c r="N56" s="75"/>
      <c r="O56" s="75"/>
      <c r="P56" s="75"/>
      <c r="Q56" s="75" t="s">
        <v>778</v>
      </c>
      <c r="R56" s="75"/>
      <c r="S56" s="75"/>
      <c r="T56" s="75"/>
      <c r="U56" s="75"/>
      <c r="V56" s="85"/>
    </row>
    <row r="57" spans="1:22">
      <c r="A57" s="13" t="s">
        <v>357</v>
      </c>
      <c r="B57" s="75">
        <v>21174249</v>
      </c>
      <c r="C57" s="75">
        <v>1</v>
      </c>
      <c r="D57" s="76"/>
      <c r="E57" s="77"/>
      <c r="F57" s="81">
        <v>1</v>
      </c>
      <c r="G57" s="75"/>
      <c r="H57" s="75">
        <v>1</v>
      </c>
      <c r="I57" s="106">
        <v>1</v>
      </c>
      <c r="J57" s="75" t="s">
        <v>28</v>
      </c>
      <c r="K57" s="75" t="s">
        <v>28</v>
      </c>
      <c r="L57" s="75" t="s">
        <v>878</v>
      </c>
      <c r="M57" s="75">
        <v>1</v>
      </c>
      <c r="N57" s="75"/>
      <c r="O57" s="75"/>
      <c r="P57" s="75"/>
      <c r="Q57" s="75" t="s">
        <v>922</v>
      </c>
      <c r="R57" s="75"/>
      <c r="S57" s="75"/>
      <c r="T57" s="75"/>
      <c r="U57" s="75"/>
      <c r="V57" s="85"/>
    </row>
    <row r="58" spans="1:22">
      <c r="A58" s="13" t="s">
        <v>186</v>
      </c>
      <c r="B58" s="75">
        <v>24156759</v>
      </c>
      <c r="C58" s="75">
        <v>1</v>
      </c>
      <c r="D58" s="76"/>
      <c r="E58" s="77"/>
      <c r="F58" s="81">
        <v>1</v>
      </c>
      <c r="G58" s="75"/>
      <c r="H58" s="81">
        <v>1</v>
      </c>
      <c r="I58" s="106">
        <v>1</v>
      </c>
      <c r="J58" s="75" t="s">
        <v>541</v>
      </c>
      <c r="K58" s="75"/>
      <c r="L58" s="75" t="s">
        <v>542</v>
      </c>
      <c r="M58" s="75">
        <v>0</v>
      </c>
      <c r="N58" s="75"/>
      <c r="O58" s="75"/>
      <c r="P58" s="75"/>
      <c r="Q58" s="75" t="s">
        <v>492</v>
      </c>
      <c r="R58" s="79"/>
      <c r="S58" s="75"/>
      <c r="T58" s="75"/>
      <c r="U58" s="75"/>
      <c r="V58" s="85" t="s">
        <v>543</v>
      </c>
    </row>
    <row r="59" spans="1:22">
      <c r="A59" s="13" t="s">
        <v>279</v>
      </c>
      <c r="B59" s="75">
        <v>19703319</v>
      </c>
      <c r="C59" s="75">
        <v>1</v>
      </c>
      <c r="D59" s="76"/>
      <c r="E59" s="77"/>
      <c r="F59" s="75">
        <v>1</v>
      </c>
      <c r="G59" s="75"/>
      <c r="H59" s="75">
        <v>1</v>
      </c>
      <c r="I59" s="106">
        <v>1</v>
      </c>
      <c r="J59" s="75" t="s">
        <v>733</v>
      </c>
      <c r="K59" s="75" t="s">
        <v>1147</v>
      </c>
      <c r="L59" s="75" t="s">
        <v>25</v>
      </c>
      <c r="M59" s="75">
        <v>1</v>
      </c>
      <c r="N59" s="75"/>
      <c r="O59" s="75"/>
      <c r="P59" s="75"/>
      <c r="Q59" s="75" t="s">
        <v>732</v>
      </c>
      <c r="R59" s="79"/>
      <c r="S59" s="75"/>
      <c r="T59" s="75"/>
      <c r="U59" s="75"/>
      <c r="V59" s="85" t="s">
        <v>734</v>
      </c>
    </row>
    <row r="60" spans="1:22">
      <c r="A60" s="13" t="s">
        <v>75</v>
      </c>
      <c r="B60" s="75">
        <v>25444643</v>
      </c>
      <c r="C60" s="75">
        <v>1</v>
      </c>
      <c r="D60" s="76"/>
      <c r="E60" s="77"/>
      <c r="F60" s="75">
        <v>1</v>
      </c>
      <c r="G60" s="75"/>
      <c r="H60" s="75">
        <v>1</v>
      </c>
      <c r="I60" s="106">
        <v>1</v>
      </c>
      <c r="J60" s="75" t="s">
        <v>11</v>
      </c>
      <c r="K60" s="75" t="s">
        <v>1142</v>
      </c>
      <c r="L60" s="75" t="s">
        <v>10</v>
      </c>
      <c r="M60" s="75">
        <v>1</v>
      </c>
      <c r="N60" s="75"/>
      <c r="O60" s="75"/>
      <c r="P60" s="75"/>
      <c r="Q60" s="75" t="s">
        <v>11</v>
      </c>
      <c r="R60" s="79" t="s">
        <v>12</v>
      </c>
      <c r="S60" s="75" t="s">
        <v>13</v>
      </c>
      <c r="T60" s="75"/>
      <c r="U60" s="75"/>
      <c r="V60" s="85"/>
    </row>
    <row r="61" spans="1:22">
      <c r="A61" s="13" t="s">
        <v>126</v>
      </c>
      <c r="B61" s="75">
        <v>24950747</v>
      </c>
      <c r="C61" s="75">
        <v>1</v>
      </c>
      <c r="D61" s="76"/>
      <c r="E61" s="77"/>
      <c r="F61" s="75">
        <v>1</v>
      </c>
      <c r="G61" s="75"/>
      <c r="H61" s="75">
        <v>1</v>
      </c>
      <c r="I61" s="106">
        <v>1</v>
      </c>
      <c r="J61" s="75" t="s">
        <v>11</v>
      </c>
      <c r="K61" s="75" t="s">
        <v>1142</v>
      </c>
      <c r="L61" s="75" t="s">
        <v>416</v>
      </c>
      <c r="M61" s="75">
        <v>0</v>
      </c>
      <c r="N61" s="75"/>
      <c r="O61" s="75"/>
      <c r="P61" s="75"/>
      <c r="Q61" s="75" t="s">
        <v>11</v>
      </c>
      <c r="R61" s="79"/>
      <c r="S61" s="75"/>
      <c r="T61" s="75"/>
      <c r="U61" s="75"/>
      <c r="V61" s="85" t="s">
        <v>1193</v>
      </c>
    </row>
    <row r="62" spans="1:22">
      <c r="A62" s="13" t="s">
        <v>152</v>
      </c>
      <c r="B62" s="75">
        <v>10066999</v>
      </c>
      <c r="C62" s="75">
        <v>1</v>
      </c>
      <c r="D62" s="76"/>
      <c r="E62" s="77"/>
      <c r="F62" s="75">
        <v>1</v>
      </c>
      <c r="G62" s="75"/>
      <c r="H62" s="75">
        <v>1</v>
      </c>
      <c r="I62" s="106">
        <v>1</v>
      </c>
      <c r="J62" s="75" t="s">
        <v>11</v>
      </c>
      <c r="K62" s="75" t="s">
        <v>1162</v>
      </c>
      <c r="L62" s="75" t="s">
        <v>25</v>
      </c>
      <c r="M62" s="75">
        <v>1</v>
      </c>
      <c r="N62" s="75"/>
      <c r="O62" s="75"/>
      <c r="P62" s="75"/>
      <c r="Q62" s="75" t="s">
        <v>11</v>
      </c>
      <c r="R62" s="79" t="s">
        <v>24</v>
      </c>
      <c r="S62" s="75" t="s">
        <v>13</v>
      </c>
      <c r="T62" s="75"/>
      <c r="U62" s="75"/>
      <c r="V62" s="85"/>
    </row>
    <row r="63" spans="1:22">
      <c r="A63" s="13" t="s">
        <v>231</v>
      </c>
      <c r="B63" s="75">
        <v>8547457</v>
      </c>
      <c r="C63" s="75">
        <v>1</v>
      </c>
      <c r="D63" s="76"/>
      <c r="E63" s="77"/>
      <c r="F63" s="75">
        <v>1</v>
      </c>
      <c r="G63" s="75"/>
      <c r="H63" s="75">
        <v>1</v>
      </c>
      <c r="I63" s="106">
        <v>1</v>
      </c>
      <c r="J63" s="75" t="s">
        <v>11</v>
      </c>
      <c r="K63" s="75" t="s">
        <v>1142</v>
      </c>
      <c r="L63" s="75" t="s">
        <v>591</v>
      </c>
      <c r="M63" s="75">
        <v>1</v>
      </c>
      <c r="N63" s="75"/>
      <c r="O63" s="75"/>
      <c r="P63" s="75"/>
      <c r="Q63" s="75" t="s">
        <v>11</v>
      </c>
      <c r="R63" s="79"/>
      <c r="S63" s="75" t="s">
        <v>13</v>
      </c>
      <c r="T63" s="75"/>
      <c r="U63" s="75"/>
      <c r="V63" s="85"/>
    </row>
    <row r="64" spans="1:22">
      <c r="A64" s="13" t="s">
        <v>274</v>
      </c>
      <c r="B64" s="75">
        <v>23792855</v>
      </c>
      <c r="C64" s="75">
        <v>1</v>
      </c>
      <c r="D64" s="76"/>
      <c r="E64" s="77"/>
      <c r="F64" s="75">
        <v>1</v>
      </c>
      <c r="G64" s="75"/>
      <c r="H64" s="75">
        <v>1</v>
      </c>
      <c r="I64" s="106">
        <v>1</v>
      </c>
      <c r="J64" s="75" t="s">
        <v>11</v>
      </c>
      <c r="K64" s="75" t="s">
        <v>1142</v>
      </c>
      <c r="L64" s="75" t="s">
        <v>25</v>
      </c>
      <c r="M64" s="75">
        <v>1</v>
      </c>
      <c r="N64" s="75"/>
      <c r="O64" s="75"/>
      <c r="P64" s="75"/>
      <c r="Q64" s="75" t="s">
        <v>723</v>
      </c>
      <c r="R64" s="79" t="s">
        <v>24</v>
      </c>
      <c r="S64" s="75" t="s">
        <v>724</v>
      </c>
      <c r="T64" s="75"/>
      <c r="U64" s="75"/>
      <c r="V64" s="85"/>
    </row>
    <row r="65" spans="1:22">
      <c r="A65" s="13" t="s">
        <v>225</v>
      </c>
      <c r="B65" s="75">
        <v>18313695</v>
      </c>
      <c r="C65" s="75">
        <v>1</v>
      </c>
      <c r="D65" s="76"/>
      <c r="E65" s="77"/>
      <c r="F65" s="75">
        <v>1</v>
      </c>
      <c r="G65" s="75"/>
      <c r="H65" s="75">
        <v>1</v>
      </c>
      <c r="I65" s="106">
        <v>1</v>
      </c>
      <c r="J65" s="75" t="s">
        <v>627</v>
      </c>
      <c r="K65" s="75" t="s">
        <v>1142</v>
      </c>
      <c r="L65" s="75" t="s">
        <v>628</v>
      </c>
      <c r="M65" s="75">
        <v>1</v>
      </c>
      <c r="N65" s="75"/>
      <c r="O65" s="75"/>
      <c r="P65" s="75"/>
      <c r="Q65" s="75" t="s">
        <v>629</v>
      </c>
      <c r="R65" s="79" t="s">
        <v>24</v>
      </c>
      <c r="S65" s="75" t="s">
        <v>630</v>
      </c>
      <c r="T65" s="75"/>
      <c r="U65" s="75"/>
      <c r="V65" s="85" t="s">
        <v>631</v>
      </c>
    </row>
    <row r="66" spans="1:22">
      <c r="A66" s="13" t="s">
        <v>112</v>
      </c>
      <c r="B66" s="75">
        <v>23673864</v>
      </c>
      <c r="C66" s="75">
        <v>1</v>
      </c>
      <c r="D66" s="76"/>
      <c r="E66" s="77"/>
      <c r="F66" s="81">
        <v>1</v>
      </c>
      <c r="G66" s="75" t="s">
        <v>1735</v>
      </c>
      <c r="H66" s="81">
        <v>1</v>
      </c>
      <c r="I66" s="106">
        <v>1</v>
      </c>
      <c r="J66" s="75" t="s">
        <v>384</v>
      </c>
      <c r="K66" s="75"/>
      <c r="L66" s="75" t="s">
        <v>386</v>
      </c>
      <c r="M66" s="75"/>
      <c r="N66" s="75"/>
      <c r="O66" s="75"/>
      <c r="P66" s="75"/>
      <c r="Q66" s="75" t="s">
        <v>385</v>
      </c>
      <c r="R66" s="79" t="s">
        <v>44</v>
      </c>
      <c r="S66" s="75"/>
      <c r="T66" s="75"/>
      <c r="U66" s="75"/>
      <c r="V66" s="85" t="s">
        <v>387</v>
      </c>
    </row>
    <row r="67" spans="1:22">
      <c r="A67" s="13" t="s">
        <v>156</v>
      </c>
      <c r="B67" s="75">
        <v>12450636</v>
      </c>
      <c r="C67" s="75">
        <v>1</v>
      </c>
      <c r="D67" s="76"/>
      <c r="E67" s="77"/>
      <c r="F67" s="75">
        <v>1</v>
      </c>
      <c r="G67" s="75"/>
      <c r="H67" s="75">
        <v>1</v>
      </c>
      <c r="I67" s="106">
        <v>1</v>
      </c>
      <c r="J67" s="75" t="s">
        <v>473</v>
      </c>
      <c r="K67" s="75" t="s">
        <v>1184</v>
      </c>
      <c r="L67" s="75" t="s">
        <v>471</v>
      </c>
      <c r="M67" s="75">
        <v>0</v>
      </c>
      <c r="N67" s="75"/>
      <c r="O67" s="75"/>
      <c r="P67" s="75"/>
      <c r="Q67" s="75" t="s">
        <v>474</v>
      </c>
      <c r="R67" s="79" t="s">
        <v>24</v>
      </c>
      <c r="S67" s="75" t="s">
        <v>24</v>
      </c>
      <c r="T67" s="75"/>
      <c r="U67" s="75"/>
      <c r="V67" s="85"/>
    </row>
    <row r="68" spans="1:22">
      <c r="A68" s="13" t="s">
        <v>103</v>
      </c>
      <c r="B68" s="75">
        <v>22200095</v>
      </c>
      <c r="C68" s="75">
        <v>1</v>
      </c>
      <c r="D68" s="76"/>
      <c r="E68" s="77"/>
      <c r="F68" s="75">
        <v>1</v>
      </c>
      <c r="G68" s="75"/>
      <c r="H68" s="75">
        <v>1</v>
      </c>
      <c r="I68" s="106">
        <v>1</v>
      </c>
      <c r="J68" s="75" t="s">
        <v>74</v>
      </c>
      <c r="K68" s="75" t="s">
        <v>1147</v>
      </c>
      <c r="L68" s="75" t="s">
        <v>25</v>
      </c>
      <c r="M68" s="75"/>
      <c r="N68" s="75"/>
      <c r="O68" s="75"/>
      <c r="P68" s="75"/>
      <c r="Q68" s="75"/>
      <c r="R68" s="79"/>
      <c r="S68" s="75"/>
      <c r="T68" s="75"/>
      <c r="U68" s="75"/>
      <c r="V68" s="85"/>
    </row>
    <row r="69" spans="1:22">
      <c r="A69" s="13" t="s">
        <v>290</v>
      </c>
      <c r="B69" s="75">
        <v>1355475</v>
      </c>
      <c r="C69" s="75">
        <v>1</v>
      </c>
      <c r="D69" s="76" t="s">
        <v>66</v>
      </c>
      <c r="E69" s="77"/>
      <c r="F69" s="81">
        <v>1</v>
      </c>
      <c r="G69" s="75"/>
      <c r="H69" s="81">
        <v>1</v>
      </c>
      <c r="I69" s="106">
        <v>1</v>
      </c>
      <c r="J69" s="75" t="s">
        <v>66</v>
      </c>
      <c r="K69" s="75" t="s">
        <v>1142</v>
      </c>
      <c r="L69" s="75" t="s">
        <v>759</v>
      </c>
      <c r="M69" s="75">
        <v>1</v>
      </c>
      <c r="N69" s="75"/>
      <c r="O69" s="75"/>
      <c r="P69" s="75"/>
      <c r="Q69" s="75" t="s">
        <v>760</v>
      </c>
      <c r="R69" s="79"/>
      <c r="S69" s="75" t="s">
        <v>758</v>
      </c>
      <c r="T69" s="75"/>
      <c r="U69" s="75"/>
      <c r="V69" s="85" t="s">
        <v>761</v>
      </c>
    </row>
    <row r="70" spans="1:22">
      <c r="A70" s="13" t="s">
        <v>298</v>
      </c>
      <c r="B70" s="75">
        <v>26645315</v>
      </c>
      <c r="C70" s="75">
        <v>1</v>
      </c>
      <c r="D70" s="76"/>
      <c r="E70" s="77"/>
      <c r="F70" s="75">
        <v>1</v>
      </c>
      <c r="G70" s="75"/>
      <c r="H70" s="75">
        <v>1</v>
      </c>
      <c r="I70" s="106">
        <v>1</v>
      </c>
      <c r="J70" s="75" t="s">
        <v>781</v>
      </c>
      <c r="K70" s="75" t="s">
        <v>1147</v>
      </c>
      <c r="L70" s="75" t="s">
        <v>783</v>
      </c>
      <c r="M70" s="75">
        <v>1</v>
      </c>
      <c r="N70" s="75"/>
      <c r="O70" s="75"/>
      <c r="P70" s="75"/>
      <c r="Q70" s="75" t="s">
        <v>782</v>
      </c>
      <c r="R70" s="79" t="s">
        <v>24</v>
      </c>
      <c r="S70" s="75"/>
      <c r="T70" s="75"/>
      <c r="U70" s="75"/>
      <c r="V70" s="85" t="s">
        <v>784</v>
      </c>
    </row>
    <row r="71" spans="1:22">
      <c r="A71" s="13" t="s">
        <v>352</v>
      </c>
      <c r="B71" s="75">
        <v>25244677</v>
      </c>
      <c r="C71" s="75">
        <v>1</v>
      </c>
      <c r="D71" s="76"/>
      <c r="E71" s="77"/>
      <c r="F71" s="75">
        <v>1</v>
      </c>
      <c r="G71" s="75"/>
      <c r="H71" s="75">
        <v>1</v>
      </c>
      <c r="I71" s="106">
        <v>1</v>
      </c>
      <c r="J71" s="75" t="s">
        <v>913</v>
      </c>
      <c r="K71" s="75" t="s">
        <v>1164</v>
      </c>
      <c r="L71" s="75" t="s">
        <v>865</v>
      </c>
      <c r="M71" s="75">
        <v>0</v>
      </c>
      <c r="N71" s="75"/>
      <c r="O71" s="75"/>
      <c r="P71" s="75"/>
      <c r="Q71" s="75" t="s">
        <v>30</v>
      </c>
      <c r="R71" s="75"/>
      <c r="S71" s="75"/>
      <c r="T71" s="75" t="s">
        <v>912</v>
      </c>
      <c r="U71" s="75"/>
      <c r="V71" s="85"/>
    </row>
    <row r="72" spans="1:22">
      <c r="A72" s="13" t="s">
        <v>358</v>
      </c>
      <c r="B72" s="75">
        <v>26892753</v>
      </c>
      <c r="C72" s="75">
        <v>1</v>
      </c>
      <c r="D72" s="76"/>
      <c r="E72" s="77"/>
      <c r="F72" s="75">
        <v>1</v>
      </c>
      <c r="G72" s="75"/>
      <c r="H72" s="75">
        <v>1</v>
      </c>
      <c r="I72" s="106">
        <v>1</v>
      </c>
      <c r="J72" s="75" t="s">
        <v>924</v>
      </c>
      <c r="K72" s="75" t="s">
        <v>1196</v>
      </c>
      <c r="L72" s="75" t="s">
        <v>819</v>
      </c>
      <c r="M72" s="75">
        <v>1</v>
      </c>
      <c r="N72" s="75"/>
      <c r="O72" s="75"/>
      <c r="P72" s="75"/>
      <c r="Q72" s="75" t="s">
        <v>923</v>
      </c>
      <c r="R72" s="75" t="s">
        <v>24</v>
      </c>
      <c r="S72" s="75" t="s">
        <v>24</v>
      </c>
      <c r="T72" s="75" t="s">
        <v>925</v>
      </c>
      <c r="U72" s="75"/>
      <c r="V72" s="85"/>
    </row>
    <row r="73" spans="1:22">
      <c r="A73" s="13" t="s">
        <v>278</v>
      </c>
      <c r="B73" s="75">
        <v>25959594</v>
      </c>
      <c r="C73" s="75">
        <v>1</v>
      </c>
      <c r="D73" s="76"/>
      <c r="E73" s="77"/>
      <c r="F73" s="75">
        <v>1</v>
      </c>
      <c r="G73" s="75"/>
      <c r="H73" s="75">
        <v>1</v>
      </c>
      <c r="I73" s="106">
        <v>1</v>
      </c>
      <c r="J73" s="75" t="s">
        <v>730</v>
      </c>
      <c r="K73" s="75" t="s">
        <v>1192</v>
      </c>
      <c r="L73" s="75" t="s">
        <v>25</v>
      </c>
      <c r="M73" s="75">
        <v>1</v>
      </c>
      <c r="N73" s="75"/>
      <c r="O73" s="75"/>
      <c r="P73" s="75"/>
      <c r="Q73" s="75" t="s">
        <v>729</v>
      </c>
      <c r="R73" s="79" t="s">
        <v>731</v>
      </c>
      <c r="S73" s="75"/>
      <c r="T73" s="75"/>
      <c r="U73" s="75"/>
      <c r="V73" s="85"/>
    </row>
    <row r="74" spans="1:22">
      <c r="A74" s="13" t="s">
        <v>297</v>
      </c>
      <c r="B74" s="75">
        <v>18590795</v>
      </c>
      <c r="C74" s="75">
        <v>1</v>
      </c>
      <c r="D74" s="76"/>
      <c r="E74" s="77"/>
      <c r="F74" s="75">
        <v>1</v>
      </c>
      <c r="G74" s="75"/>
      <c r="H74" s="75">
        <v>1</v>
      </c>
      <c r="I74" s="106">
        <v>1</v>
      </c>
      <c r="J74" s="75" t="s">
        <v>779</v>
      </c>
      <c r="K74" s="75" t="s">
        <v>1192</v>
      </c>
      <c r="L74" s="75" t="s">
        <v>25</v>
      </c>
      <c r="M74" s="75">
        <v>1</v>
      </c>
      <c r="N74" s="75"/>
      <c r="O74" s="75"/>
      <c r="P74" s="75"/>
      <c r="Q74" s="75" t="s">
        <v>778</v>
      </c>
      <c r="R74" s="79" t="s">
        <v>777</v>
      </c>
      <c r="S74" s="75"/>
      <c r="T74" s="75"/>
      <c r="U74" s="75"/>
      <c r="V74" s="85"/>
    </row>
    <row r="75" spans="1:22">
      <c r="A75" s="13" t="s">
        <v>334</v>
      </c>
      <c r="B75" s="75">
        <v>25154707</v>
      </c>
      <c r="C75" s="75">
        <v>1</v>
      </c>
      <c r="D75" s="76"/>
      <c r="E75" s="77"/>
      <c r="F75" s="75">
        <v>1</v>
      </c>
      <c r="G75" s="75"/>
      <c r="H75" s="75">
        <v>1</v>
      </c>
      <c r="I75" s="106">
        <v>1</v>
      </c>
      <c r="J75" s="75" t="s">
        <v>870</v>
      </c>
      <c r="K75" s="75" t="s">
        <v>1192</v>
      </c>
      <c r="L75" s="75" t="s">
        <v>25</v>
      </c>
      <c r="M75" s="75">
        <v>1</v>
      </c>
      <c r="N75" s="75"/>
      <c r="O75" s="75"/>
      <c r="P75" s="75"/>
      <c r="Q75" s="75" t="s">
        <v>869</v>
      </c>
      <c r="R75" s="75" t="s">
        <v>56</v>
      </c>
      <c r="S75" s="75"/>
      <c r="T75" s="75"/>
      <c r="U75" s="75"/>
      <c r="V75" s="85" t="s">
        <v>871</v>
      </c>
    </row>
    <row r="76" spans="1:22">
      <c r="A76" s="13" t="s">
        <v>335</v>
      </c>
      <c r="B76" s="75">
        <v>24886789</v>
      </c>
      <c r="C76" s="75">
        <v>1</v>
      </c>
      <c r="D76" s="76"/>
      <c r="E76" s="77"/>
      <c r="F76" s="75">
        <v>1</v>
      </c>
      <c r="G76" s="75"/>
      <c r="H76" s="75">
        <v>1</v>
      </c>
      <c r="I76" s="106">
        <v>1</v>
      </c>
      <c r="J76" s="75" t="s">
        <v>870</v>
      </c>
      <c r="K76" s="75" t="s">
        <v>1192</v>
      </c>
      <c r="L76" s="75" t="s">
        <v>25</v>
      </c>
      <c r="M76" s="75">
        <v>1</v>
      </c>
      <c r="N76" s="75"/>
      <c r="O76" s="75"/>
      <c r="P76" s="75"/>
      <c r="Q76" s="75" t="s">
        <v>872</v>
      </c>
      <c r="R76" s="75" t="s">
        <v>56</v>
      </c>
      <c r="S76" s="75"/>
      <c r="T76" s="75"/>
      <c r="U76" s="75"/>
      <c r="V76" s="85"/>
    </row>
    <row r="77" spans="1:22">
      <c r="A77" s="13" t="s">
        <v>200</v>
      </c>
      <c r="B77" s="75">
        <v>21443892</v>
      </c>
      <c r="C77" s="75">
        <v>1</v>
      </c>
      <c r="D77" s="76"/>
      <c r="E77" s="77"/>
      <c r="F77" s="75">
        <v>1</v>
      </c>
      <c r="G77" s="75"/>
      <c r="H77" s="81">
        <v>1</v>
      </c>
      <c r="I77" s="106">
        <v>1</v>
      </c>
      <c r="J77" s="75" t="s">
        <v>574</v>
      </c>
      <c r="K77" s="75" t="s">
        <v>1147</v>
      </c>
      <c r="L77" s="75" t="s">
        <v>575</v>
      </c>
      <c r="M77" s="75">
        <v>0</v>
      </c>
      <c r="N77" s="75"/>
      <c r="O77" s="75"/>
      <c r="P77" s="75"/>
      <c r="Q77" s="75" t="s">
        <v>23</v>
      </c>
      <c r="R77" s="79" t="s">
        <v>573</v>
      </c>
      <c r="S77" s="75"/>
      <c r="T77" s="75"/>
      <c r="U77" s="75"/>
      <c r="V77" s="85" t="s">
        <v>576</v>
      </c>
    </row>
    <row r="78" spans="1:22">
      <c r="A78" s="13" t="s">
        <v>121</v>
      </c>
      <c r="B78" s="75">
        <v>12607144</v>
      </c>
      <c r="C78" s="75">
        <v>1</v>
      </c>
      <c r="D78" s="76"/>
      <c r="E78" s="77"/>
      <c r="F78" s="75">
        <v>1</v>
      </c>
      <c r="G78" s="75"/>
      <c r="H78" s="75">
        <v>1</v>
      </c>
      <c r="I78" s="106">
        <v>1</v>
      </c>
      <c r="J78" s="75" t="s">
        <v>408</v>
      </c>
      <c r="K78" s="75"/>
      <c r="L78" s="75" t="s">
        <v>25</v>
      </c>
      <c r="M78" s="75">
        <v>1</v>
      </c>
      <c r="N78" s="75"/>
      <c r="O78" s="75"/>
      <c r="P78" s="75"/>
      <c r="Q78" s="75"/>
      <c r="R78" s="79"/>
      <c r="S78" s="75"/>
      <c r="T78" s="75"/>
      <c r="U78" s="75"/>
      <c r="V78" s="85"/>
    </row>
    <row r="79" spans="1:22">
      <c r="A79" s="13" t="s">
        <v>194</v>
      </c>
      <c r="B79" s="75">
        <v>12775293</v>
      </c>
      <c r="C79" s="75">
        <v>1</v>
      </c>
      <c r="D79" s="76"/>
      <c r="E79" s="77"/>
      <c r="F79" s="75">
        <v>1</v>
      </c>
      <c r="G79" s="75"/>
      <c r="H79" s="75">
        <v>1</v>
      </c>
      <c r="I79" s="106">
        <v>1</v>
      </c>
      <c r="J79" s="75" t="s">
        <v>562</v>
      </c>
      <c r="K79" s="75" t="s">
        <v>1147</v>
      </c>
      <c r="L79" s="75" t="s">
        <v>560</v>
      </c>
      <c r="M79" s="75">
        <v>0</v>
      </c>
      <c r="N79" s="75"/>
      <c r="O79" s="75"/>
      <c r="P79" s="75"/>
      <c r="Q79" s="75" t="s">
        <v>561</v>
      </c>
      <c r="R79" s="79" t="s">
        <v>24</v>
      </c>
      <c r="S79" s="75"/>
      <c r="T79" s="75"/>
      <c r="U79" s="75"/>
      <c r="V79" s="85"/>
    </row>
    <row r="80" spans="1:22">
      <c r="A80" s="13" t="s">
        <v>143</v>
      </c>
      <c r="B80" s="75">
        <v>18800372</v>
      </c>
      <c r="C80" s="75">
        <v>1</v>
      </c>
      <c r="D80" s="76"/>
      <c r="E80" s="77"/>
      <c r="F80" s="75">
        <v>1</v>
      </c>
      <c r="G80" s="75"/>
      <c r="H80" s="75">
        <v>1</v>
      </c>
      <c r="I80" s="106">
        <v>1</v>
      </c>
      <c r="J80" s="75" t="s">
        <v>450</v>
      </c>
      <c r="K80" s="75" t="s">
        <v>1147</v>
      </c>
      <c r="L80" s="75" t="s">
        <v>25</v>
      </c>
      <c r="M80" s="75">
        <v>1</v>
      </c>
      <c r="N80" s="75"/>
      <c r="O80" s="75"/>
      <c r="P80" s="75"/>
      <c r="Q80" s="75" t="s">
        <v>449</v>
      </c>
      <c r="R80" s="79"/>
      <c r="S80" s="75"/>
      <c r="T80" s="75"/>
      <c r="U80" s="75"/>
      <c r="V80" s="85"/>
    </row>
    <row r="81" spans="1:22">
      <c r="A81" s="13" t="s">
        <v>83</v>
      </c>
      <c r="B81" s="75">
        <v>23496805</v>
      </c>
      <c r="C81" s="75">
        <v>1</v>
      </c>
      <c r="D81" s="76"/>
      <c r="E81" s="77"/>
      <c r="F81" s="75">
        <v>1</v>
      </c>
      <c r="G81" s="75"/>
      <c r="H81" s="75">
        <v>1</v>
      </c>
      <c r="I81" s="106">
        <v>1</v>
      </c>
      <c r="J81" s="75" t="s">
        <v>32</v>
      </c>
      <c r="K81" s="75" t="s">
        <v>1164</v>
      </c>
      <c r="L81" s="75" t="s">
        <v>25</v>
      </c>
      <c r="M81" s="75">
        <v>1</v>
      </c>
      <c r="N81" s="75"/>
      <c r="O81" s="75"/>
      <c r="P81" s="75"/>
      <c r="Q81" s="75" t="s">
        <v>30</v>
      </c>
      <c r="R81" s="79"/>
      <c r="S81" s="75"/>
      <c r="T81" s="75"/>
      <c r="U81" s="75"/>
      <c r="V81" s="85"/>
    </row>
    <row r="82" spans="1:22">
      <c r="A82" s="13" t="s">
        <v>84</v>
      </c>
      <c r="B82" s="75">
        <v>8770439</v>
      </c>
      <c r="C82" s="75">
        <v>1</v>
      </c>
      <c r="D82" s="76"/>
      <c r="E82" s="77"/>
      <c r="F82" s="81">
        <v>1</v>
      </c>
      <c r="G82" s="75"/>
      <c r="H82" s="75">
        <v>1</v>
      </c>
      <c r="I82" s="106">
        <v>1</v>
      </c>
      <c r="J82" s="75" t="s">
        <v>35</v>
      </c>
      <c r="K82" s="75" t="s">
        <v>1143</v>
      </c>
      <c r="L82" s="75" t="s">
        <v>25</v>
      </c>
      <c r="M82" s="75">
        <v>1</v>
      </c>
      <c r="N82" s="75"/>
      <c r="O82" s="75"/>
      <c r="P82" s="75"/>
      <c r="Q82" s="75" t="s">
        <v>34</v>
      </c>
      <c r="R82" s="79" t="s">
        <v>33</v>
      </c>
      <c r="S82" s="75" t="s">
        <v>33</v>
      </c>
      <c r="T82" s="75"/>
      <c r="U82" s="75"/>
      <c r="V82" s="85"/>
    </row>
    <row r="83" spans="1:22">
      <c r="A83" s="13" t="s">
        <v>163</v>
      </c>
      <c r="B83" s="75">
        <v>18806234</v>
      </c>
      <c r="C83" s="75">
        <v>1</v>
      </c>
      <c r="D83" s="76"/>
      <c r="E83" s="77"/>
      <c r="F83" s="75">
        <v>1</v>
      </c>
      <c r="G83" s="75"/>
      <c r="H83" s="75">
        <v>1</v>
      </c>
      <c r="I83" s="106">
        <v>1</v>
      </c>
      <c r="J83" s="75" t="s">
        <v>486</v>
      </c>
      <c r="K83" s="75"/>
      <c r="L83" s="75" t="s">
        <v>487</v>
      </c>
      <c r="M83" s="75">
        <v>0</v>
      </c>
      <c r="N83" s="75"/>
      <c r="O83" s="75"/>
      <c r="P83" s="75"/>
      <c r="Q83" s="75"/>
      <c r="R83" s="79"/>
      <c r="S83" s="75"/>
      <c r="T83" s="75"/>
      <c r="U83" s="75"/>
      <c r="V83" s="85"/>
    </row>
    <row r="84" spans="1:22">
      <c r="A84" s="13" t="s">
        <v>181</v>
      </c>
      <c r="B84" s="75">
        <v>24717141</v>
      </c>
      <c r="C84" s="75">
        <v>1</v>
      </c>
      <c r="D84" s="76"/>
      <c r="E84" s="77"/>
      <c r="F84" s="75">
        <v>1</v>
      </c>
      <c r="G84" s="75"/>
      <c r="H84" s="75">
        <v>1</v>
      </c>
      <c r="I84" s="106">
        <v>1</v>
      </c>
      <c r="J84" s="75" t="s">
        <v>528</v>
      </c>
      <c r="K84" s="75" t="s">
        <v>1175</v>
      </c>
      <c r="L84" s="75" t="s">
        <v>25</v>
      </c>
      <c r="M84" s="75">
        <v>1</v>
      </c>
      <c r="N84" s="75"/>
      <c r="O84" s="75"/>
      <c r="P84" s="75"/>
      <c r="Q84" s="75" t="s">
        <v>532</v>
      </c>
      <c r="R84" s="79" t="s">
        <v>24</v>
      </c>
      <c r="S84" s="75" t="s">
        <v>530</v>
      </c>
      <c r="T84" s="75"/>
      <c r="U84" s="75"/>
      <c r="V84" s="85" t="s">
        <v>533</v>
      </c>
    </row>
    <row r="85" spans="1:22">
      <c r="A85" s="13" t="s">
        <v>180</v>
      </c>
      <c r="B85" s="75">
        <v>24005546</v>
      </c>
      <c r="C85" s="75">
        <v>1</v>
      </c>
      <c r="D85" s="76"/>
      <c r="E85" s="77"/>
      <c r="F85" s="75">
        <v>1</v>
      </c>
      <c r="G85" s="75"/>
      <c r="H85" s="75">
        <v>1</v>
      </c>
      <c r="I85" s="106">
        <v>1</v>
      </c>
      <c r="J85" s="75" t="s">
        <v>528</v>
      </c>
      <c r="K85" s="75" t="s">
        <v>1176</v>
      </c>
      <c r="L85" s="75" t="s">
        <v>25</v>
      </c>
      <c r="M85" s="75">
        <v>1</v>
      </c>
      <c r="N85" s="75"/>
      <c r="O85" s="75"/>
      <c r="P85" s="75"/>
      <c r="Q85" s="75" t="s">
        <v>529</v>
      </c>
      <c r="R85" s="79" t="s">
        <v>24</v>
      </c>
      <c r="S85" s="75" t="s">
        <v>530</v>
      </c>
      <c r="T85" s="75"/>
      <c r="U85" s="75"/>
      <c r="V85" s="85" t="s">
        <v>531</v>
      </c>
    </row>
    <row r="86" spans="1:22">
      <c r="A86" s="13" t="s">
        <v>313</v>
      </c>
      <c r="B86" s="75">
        <v>25847622</v>
      </c>
      <c r="C86" s="75">
        <v>1</v>
      </c>
      <c r="D86" s="76"/>
      <c r="E86" s="77"/>
      <c r="F86" s="75">
        <v>1</v>
      </c>
      <c r="G86" s="75"/>
      <c r="H86" s="75">
        <v>1</v>
      </c>
      <c r="I86" s="106">
        <v>1</v>
      </c>
      <c r="J86" s="75" t="s">
        <v>815</v>
      </c>
      <c r="K86" s="75" t="s">
        <v>1147</v>
      </c>
      <c r="L86" s="75" t="s">
        <v>1195</v>
      </c>
      <c r="M86" s="75">
        <v>1</v>
      </c>
      <c r="N86" s="75"/>
      <c r="O86" s="75"/>
      <c r="P86" s="75"/>
      <c r="Q86" s="75" t="s">
        <v>813</v>
      </c>
      <c r="R86" s="79" t="s">
        <v>24</v>
      </c>
      <c r="S86" s="75" t="s">
        <v>24</v>
      </c>
      <c r="T86" s="75" t="s">
        <v>814</v>
      </c>
      <c r="U86" s="75"/>
      <c r="V86" s="85"/>
    </row>
    <row r="87" spans="1:22">
      <c r="A87" s="13" t="s">
        <v>114</v>
      </c>
      <c r="B87" s="75">
        <v>24766521</v>
      </c>
      <c r="C87" s="75">
        <v>1</v>
      </c>
      <c r="D87" s="76"/>
      <c r="E87" s="77"/>
      <c r="F87" s="75">
        <v>1</v>
      </c>
      <c r="G87" s="75"/>
      <c r="H87" s="75">
        <v>1</v>
      </c>
      <c r="I87" s="106">
        <v>1</v>
      </c>
      <c r="J87" s="75" t="s">
        <v>394</v>
      </c>
      <c r="K87" s="75" t="s">
        <v>1147</v>
      </c>
      <c r="L87" s="75" t="s">
        <v>25</v>
      </c>
      <c r="M87" s="75"/>
      <c r="N87" s="75"/>
      <c r="O87" s="75"/>
      <c r="P87" s="75"/>
      <c r="Q87" s="75" t="s">
        <v>393</v>
      </c>
      <c r="R87" s="79"/>
      <c r="S87" s="75"/>
      <c r="T87" s="75"/>
      <c r="U87" s="75"/>
      <c r="V87" s="85"/>
    </row>
    <row r="88" spans="1:22">
      <c r="A88" s="13" t="s">
        <v>235</v>
      </c>
      <c r="B88" s="75">
        <v>24015254</v>
      </c>
      <c r="C88" s="75">
        <v>1</v>
      </c>
      <c r="D88" s="76"/>
      <c r="E88" s="77"/>
      <c r="F88" s="75">
        <v>1</v>
      </c>
      <c r="G88" s="75"/>
      <c r="H88" s="75">
        <v>1</v>
      </c>
      <c r="I88" s="106">
        <v>1</v>
      </c>
      <c r="J88" s="75" t="s">
        <v>652</v>
      </c>
      <c r="K88" s="75"/>
      <c r="L88" s="75" t="s">
        <v>591</v>
      </c>
      <c r="M88" s="75">
        <v>1</v>
      </c>
      <c r="N88" s="75"/>
      <c r="O88" s="75"/>
      <c r="P88" s="75"/>
      <c r="Q88" s="75" t="s">
        <v>653</v>
      </c>
      <c r="R88" s="79" t="s">
        <v>24</v>
      </c>
      <c r="S88" s="75"/>
      <c r="T88" s="75"/>
      <c r="U88" s="75"/>
      <c r="V88" s="85"/>
    </row>
    <row r="89" spans="1:22">
      <c r="A89" s="13" t="s">
        <v>241</v>
      </c>
      <c r="B89" s="75">
        <v>22687547</v>
      </c>
      <c r="C89" s="75">
        <v>1</v>
      </c>
      <c r="D89" s="76" t="s">
        <v>1779</v>
      </c>
      <c r="E89" s="77" t="s">
        <v>1745</v>
      </c>
      <c r="F89" s="81">
        <v>1</v>
      </c>
      <c r="G89" s="75" t="s">
        <v>1745</v>
      </c>
      <c r="H89" s="81">
        <v>0</v>
      </c>
      <c r="I89" s="106">
        <v>1</v>
      </c>
      <c r="J89" s="75" t="s">
        <v>661</v>
      </c>
      <c r="K89" s="75"/>
      <c r="L89" s="75" t="s">
        <v>659</v>
      </c>
      <c r="M89" s="75">
        <v>1</v>
      </c>
      <c r="N89" s="75"/>
      <c r="O89" s="75"/>
      <c r="P89" s="75"/>
      <c r="Q89" s="75" t="s">
        <v>492</v>
      </c>
      <c r="R89" s="79" t="s">
        <v>24</v>
      </c>
      <c r="S89" s="75" t="s">
        <v>24</v>
      </c>
      <c r="T89" s="75"/>
      <c r="U89" s="75"/>
      <c r="V89" s="85" t="s">
        <v>660</v>
      </c>
    </row>
    <row r="90" spans="1:22">
      <c r="A90" s="13" t="s">
        <v>364</v>
      </c>
      <c r="B90" s="75">
        <v>15962694</v>
      </c>
      <c r="C90" s="75">
        <v>1</v>
      </c>
      <c r="D90" s="76"/>
      <c r="E90" s="77"/>
      <c r="F90" s="75">
        <v>1</v>
      </c>
      <c r="G90" s="75"/>
      <c r="H90" s="75">
        <v>1</v>
      </c>
      <c r="I90" s="106">
        <v>1</v>
      </c>
      <c r="J90" s="75" t="s">
        <v>936</v>
      </c>
      <c r="K90" s="75" t="s">
        <v>1147</v>
      </c>
      <c r="L90" s="75" t="s">
        <v>25</v>
      </c>
      <c r="M90" s="75">
        <v>1</v>
      </c>
      <c r="N90" s="75"/>
      <c r="O90" s="75"/>
      <c r="P90" s="75"/>
      <c r="Q90" s="75" t="s">
        <v>935</v>
      </c>
      <c r="R90" s="75"/>
      <c r="S90" s="75"/>
      <c r="T90" s="75"/>
      <c r="U90" s="75"/>
      <c r="V90" s="85" t="s">
        <v>937</v>
      </c>
    </row>
    <row r="91" spans="1:22">
      <c r="A91" s="13" t="s">
        <v>105</v>
      </c>
      <c r="B91" s="75">
        <v>17352380</v>
      </c>
      <c r="C91" s="75">
        <v>1</v>
      </c>
      <c r="D91" s="76"/>
      <c r="E91" s="77"/>
      <c r="F91" s="75">
        <v>1</v>
      </c>
      <c r="G91" s="75"/>
      <c r="H91" s="75">
        <v>1</v>
      </c>
      <c r="I91" s="106">
        <v>1</v>
      </c>
      <c r="J91" s="75" t="s">
        <v>73</v>
      </c>
      <c r="K91" s="75" t="s">
        <v>1147</v>
      </c>
      <c r="L91" s="75" t="s">
        <v>25</v>
      </c>
      <c r="M91" s="75"/>
      <c r="N91" s="75"/>
      <c r="O91" s="75"/>
      <c r="P91" s="75"/>
      <c r="Q91" s="75" t="s">
        <v>371</v>
      </c>
      <c r="R91" s="79"/>
      <c r="S91" s="75"/>
      <c r="T91" s="75"/>
      <c r="U91" s="75"/>
      <c r="V91" s="85" t="s">
        <v>372</v>
      </c>
    </row>
    <row r="92" spans="1:22">
      <c r="A92" s="13" t="s">
        <v>144</v>
      </c>
      <c r="B92" s="75">
        <v>17698081</v>
      </c>
      <c r="C92" s="75">
        <v>1</v>
      </c>
      <c r="D92" s="76"/>
      <c r="E92" s="77"/>
      <c r="F92" s="75">
        <v>1</v>
      </c>
      <c r="G92" s="75"/>
      <c r="H92" s="75">
        <v>1</v>
      </c>
      <c r="I92" s="106">
        <v>1</v>
      </c>
      <c r="J92" s="75" t="s">
        <v>73</v>
      </c>
      <c r="K92" s="75" t="s">
        <v>1147</v>
      </c>
      <c r="L92" s="75" t="s">
        <v>25</v>
      </c>
      <c r="M92" s="75">
        <v>1</v>
      </c>
      <c r="N92" s="75"/>
      <c r="O92" s="75"/>
      <c r="P92" s="75"/>
      <c r="Q92" s="75" t="s">
        <v>451</v>
      </c>
      <c r="R92" s="79" t="s">
        <v>56</v>
      </c>
      <c r="S92" s="75"/>
      <c r="T92" s="75"/>
      <c r="U92" s="75"/>
      <c r="V92" s="85"/>
    </row>
    <row r="93" spans="1:22">
      <c r="A93" s="13" t="s">
        <v>166</v>
      </c>
      <c r="B93" s="75">
        <v>26106539</v>
      </c>
      <c r="C93" s="75">
        <v>1</v>
      </c>
      <c r="D93" s="76"/>
      <c r="E93" s="77"/>
      <c r="F93" s="75">
        <v>1</v>
      </c>
      <c r="G93" s="75"/>
      <c r="H93" s="75">
        <v>1</v>
      </c>
      <c r="I93" s="106">
        <v>1</v>
      </c>
      <c r="J93" s="75" t="s">
        <v>73</v>
      </c>
      <c r="K93" s="75" t="s">
        <v>1147</v>
      </c>
      <c r="L93" s="75" t="s">
        <v>391</v>
      </c>
      <c r="M93" s="75">
        <v>1</v>
      </c>
      <c r="N93" s="75"/>
      <c r="O93" s="75"/>
      <c r="P93" s="75"/>
      <c r="Q93" s="75" t="s">
        <v>492</v>
      </c>
      <c r="R93" s="79" t="s">
        <v>491</v>
      </c>
      <c r="S93" s="75"/>
      <c r="T93" s="75"/>
      <c r="U93" s="75"/>
      <c r="V93" s="85"/>
    </row>
    <row r="94" spans="1:22">
      <c r="A94" s="13" t="s">
        <v>176</v>
      </c>
      <c r="B94" s="75">
        <v>9464211</v>
      </c>
      <c r="C94" s="75">
        <v>1</v>
      </c>
      <c r="D94" s="76"/>
      <c r="E94" s="77"/>
      <c r="F94" s="75">
        <v>1</v>
      </c>
      <c r="G94" s="75"/>
      <c r="H94" s="75">
        <v>1</v>
      </c>
      <c r="I94" s="106">
        <v>1</v>
      </c>
      <c r="J94" s="75" t="s">
        <v>73</v>
      </c>
      <c r="K94" s="75" t="s">
        <v>1147</v>
      </c>
      <c r="L94" s="75" t="s">
        <v>518</v>
      </c>
      <c r="M94" s="75">
        <v>0</v>
      </c>
      <c r="N94" s="75"/>
      <c r="O94" s="75"/>
      <c r="P94" s="75"/>
      <c r="Q94" s="75" t="s">
        <v>519</v>
      </c>
      <c r="R94" s="79"/>
      <c r="S94" s="75"/>
      <c r="T94" s="75" t="s">
        <v>520</v>
      </c>
      <c r="U94" s="75"/>
      <c r="V94" s="85"/>
    </row>
    <row r="95" spans="1:22">
      <c r="A95" s="13" t="s">
        <v>227</v>
      </c>
      <c r="B95" s="75">
        <v>17853136</v>
      </c>
      <c r="C95" s="75">
        <v>1</v>
      </c>
      <c r="D95" s="76"/>
      <c r="E95" s="77"/>
      <c r="F95" s="75">
        <v>1</v>
      </c>
      <c r="G95" s="75"/>
      <c r="H95" s="75">
        <v>1</v>
      </c>
      <c r="I95" s="106">
        <v>1</v>
      </c>
      <c r="J95" s="75" t="s">
        <v>73</v>
      </c>
      <c r="K95" s="75" t="s">
        <v>1147</v>
      </c>
      <c r="L95" s="75" t="s">
        <v>634</v>
      </c>
      <c r="M95" s="75">
        <v>1</v>
      </c>
      <c r="N95" s="75"/>
      <c r="O95" s="75"/>
      <c r="P95" s="75"/>
      <c r="Q95" s="75" t="s">
        <v>635</v>
      </c>
      <c r="R95" s="79"/>
      <c r="S95" s="75"/>
      <c r="T95" s="75"/>
      <c r="U95" s="75"/>
      <c r="V95" s="85"/>
    </row>
    <row r="96" spans="1:22">
      <c r="A96" s="13" t="s">
        <v>363</v>
      </c>
      <c r="B96" s="75">
        <v>16445942</v>
      </c>
      <c r="C96" s="75">
        <v>1</v>
      </c>
      <c r="D96" s="76"/>
      <c r="E96" s="77"/>
      <c r="F96" s="75">
        <v>1</v>
      </c>
      <c r="G96" s="75"/>
      <c r="H96" s="75">
        <v>1</v>
      </c>
      <c r="I96" s="106">
        <v>1</v>
      </c>
      <c r="J96" s="75" t="s">
        <v>73</v>
      </c>
      <c r="K96" s="75" t="s">
        <v>1147</v>
      </c>
      <c r="L96" s="75" t="s">
        <v>25</v>
      </c>
      <c r="M96" s="75">
        <v>1</v>
      </c>
      <c r="N96" s="75"/>
      <c r="O96" s="75"/>
      <c r="P96" s="75"/>
      <c r="Q96" s="75" t="s">
        <v>934</v>
      </c>
      <c r="R96" s="75"/>
      <c r="S96" s="75"/>
      <c r="T96" s="75"/>
      <c r="U96" s="75"/>
      <c r="V96" s="85" t="s">
        <v>937</v>
      </c>
    </row>
    <row r="97" spans="1:22">
      <c r="A97" s="13" t="s">
        <v>167</v>
      </c>
      <c r="B97" s="75">
        <v>21047644</v>
      </c>
      <c r="C97" s="75">
        <v>1</v>
      </c>
      <c r="D97" s="76"/>
      <c r="E97" s="77"/>
      <c r="F97" s="75">
        <v>1</v>
      </c>
      <c r="G97" s="75"/>
      <c r="H97" s="75">
        <v>1</v>
      </c>
      <c r="I97" s="106">
        <v>1</v>
      </c>
      <c r="J97" s="75" t="s">
        <v>493</v>
      </c>
      <c r="K97" s="75" t="s">
        <v>1147</v>
      </c>
      <c r="L97" s="75" t="s">
        <v>20</v>
      </c>
      <c r="M97" s="75">
        <v>1</v>
      </c>
      <c r="N97" s="75"/>
      <c r="O97" s="75"/>
      <c r="P97" s="75"/>
      <c r="Q97" s="75"/>
      <c r="R97" s="79" t="s">
        <v>56</v>
      </c>
      <c r="S97" s="75"/>
      <c r="T97" s="75"/>
      <c r="U97" s="75"/>
      <c r="V97" s="85" t="s">
        <v>494</v>
      </c>
    </row>
    <row r="98" spans="1:22">
      <c r="A98" s="13" t="s">
        <v>214</v>
      </c>
      <c r="B98" s="75">
        <v>23877970</v>
      </c>
      <c r="C98" s="75">
        <v>1</v>
      </c>
      <c r="D98" s="76"/>
      <c r="E98" s="77"/>
      <c r="F98" s="75">
        <v>1</v>
      </c>
      <c r="G98" s="75"/>
      <c r="H98" s="75">
        <v>1</v>
      </c>
      <c r="I98" s="106">
        <v>1</v>
      </c>
      <c r="J98" s="75" t="s">
        <v>493</v>
      </c>
      <c r="K98" s="75" t="s">
        <v>1147</v>
      </c>
      <c r="L98" s="75" t="s">
        <v>376</v>
      </c>
      <c r="M98" s="75">
        <v>1</v>
      </c>
      <c r="N98" s="75"/>
      <c r="O98" s="75"/>
      <c r="P98" s="75"/>
      <c r="Q98" s="75" t="s">
        <v>606</v>
      </c>
      <c r="R98" s="79" t="s">
        <v>24</v>
      </c>
      <c r="S98" s="75" t="s">
        <v>24</v>
      </c>
      <c r="T98" s="75" t="s">
        <v>607</v>
      </c>
      <c r="U98" s="75"/>
      <c r="V98" s="85"/>
    </row>
    <row r="99" spans="1:22">
      <c r="A99" s="13" t="s">
        <v>221</v>
      </c>
      <c r="B99" s="75">
        <v>2266215</v>
      </c>
      <c r="C99" s="75">
        <v>1</v>
      </c>
      <c r="D99" s="76"/>
      <c r="E99" s="77"/>
      <c r="F99" s="75">
        <v>1</v>
      </c>
      <c r="G99" s="75"/>
      <c r="H99" s="75">
        <v>1</v>
      </c>
      <c r="I99" s="106">
        <v>1</v>
      </c>
      <c r="J99" s="75" t="s">
        <v>620</v>
      </c>
      <c r="K99" s="75" t="s">
        <v>1163</v>
      </c>
      <c r="L99" s="75" t="s">
        <v>591</v>
      </c>
      <c r="M99" s="75">
        <v>1</v>
      </c>
      <c r="N99" s="75"/>
      <c r="O99" s="75"/>
      <c r="P99" s="75"/>
      <c r="Q99" s="75" t="s">
        <v>619</v>
      </c>
      <c r="R99" s="79"/>
      <c r="S99" s="75"/>
      <c r="T99" s="75"/>
      <c r="U99" s="75"/>
      <c r="V99" s="85"/>
    </row>
    <row r="100" spans="1:22">
      <c r="A100" s="13" t="s">
        <v>338</v>
      </c>
      <c r="B100" s="75">
        <v>24245929</v>
      </c>
      <c r="C100" s="75">
        <v>1</v>
      </c>
      <c r="D100" s="76"/>
      <c r="E100" s="77"/>
      <c r="F100" s="75">
        <v>1</v>
      </c>
      <c r="G100" s="75"/>
      <c r="H100" s="75">
        <v>1</v>
      </c>
      <c r="I100" s="106">
        <v>1</v>
      </c>
      <c r="J100" s="75" t="s">
        <v>876</v>
      </c>
      <c r="K100" s="75" t="s">
        <v>1191</v>
      </c>
      <c r="L100" s="75" t="s">
        <v>878</v>
      </c>
      <c r="M100" s="75">
        <v>1</v>
      </c>
      <c r="N100" s="75"/>
      <c r="O100" s="75"/>
      <c r="P100" s="75"/>
      <c r="Q100" s="75" t="s">
        <v>1190</v>
      </c>
      <c r="R100" s="75" t="s">
        <v>24</v>
      </c>
      <c r="S100" s="75" t="s">
        <v>24</v>
      </c>
      <c r="T100" s="75" t="s">
        <v>877</v>
      </c>
      <c r="U100" s="75"/>
      <c r="V100" s="85"/>
    </row>
    <row r="101" spans="1:22">
      <c r="A101" s="13" t="s">
        <v>289</v>
      </c>
      <c r="B101" s="75">
        <v>21715297</v>
      </c>
      <c r="C101" s="75">
        <v>1</v>
      </c>
      <c r="D101" s="76"/>
      <c r="E101" s="77"/>
      <c r="F101" s="75">
        <v>1</v>
      </c>
      <c r="G101" s="75"/>
      <c r="H101" s="75">
        <v>1</v>
      </c>
      <c r="I101" s="106">
        <v>1</v>
      </c>
      <c r="J101" s="75" t="s">
        <v>755</v>
      </c>
      <c r="K101" s="75" t="s">
        <v>1147</v>
      </c>
      <c r="L101" s="75" t="s">
        <v>25</v>
      </c>
      <c r="M101" s="75">
        <v>1</v>
      </c>
      <c r="N101" s="75"/>
      <c r="O101" s="75"/>
      <c r="P101" s="75"/>
      <c r="Q101" s="75" t="s">
        <v>756</v>
      </c>
      <c r="R101" s="79" t="s">
        <v>24</v>
      </c>
      <c r="S101" s="75" t="s">
        <v>757</v>
      </c>
      <c r="T101" s="75"/>
      <c r="U101" s="75"/>
      <c r="V101" s="85"/>
    </row>
    <row r="102" spans="1:22">
      <c r="A102" s="13" t="s">
        <v>208</v>
      </c>
      <c r="B102" s="75">
        <v>23445934</v>
      </c>
      <c r="C102" s="75">
        <v>1</v>
      </c>
      <c r="D102" s="76"/>
      <c r="E102" s="77"/>
      <c r="F102" s="75">
        <v>1</v>
      </c>
      <c r="G102" s="75"/>
      <c r="H102" s="75">
        <v>1</v>
      </c>
      <c r="I102" s="106">
        <v>1</v>
      </c>
      <c r="J102" s="75" t="s">
        <v>596</v>
      </c>
      <c r="K102" s="75" t="s">
        <v>1168</v>
      </c>
      <c r="L102" s="75" t="s">
        <v>594</v>
      </c>
      <c r="M102" s="75">
        <v>0</v>
      </c>
      <c r="N102" s="75"/>
      <c r="O102" s="75"/>
      <c r="P102" s="75"/>
      <c r="Q102" s="75" t="s">
        <v>597</v>
      </c>
      <c r="R102" s="79" t="s">
        <v>595</v>
      </c>
      <c r="S102" s="75"/>
      <c r="T102" s="75"/>
      <c r="U102" s="75"/>
      <c r="V102" s="85"/>
    </row>
    <row r="103" spans="1:22">
      <c r="A103" s="13" t="s">
        <v>333</v>
      </c>
      <c r="B103" s="75">
        <v>21489700</v>
      </c>
      <c r="C103" s="75">
        <v>1</v>
      </c>
      <c r="D103" s="76"/>
      <c r="E103" s="77"/>
      <c r="F103" s="75">
        <v>1</v>
      </c>
      <c r="G103" s="75"/>
      <c r="H103" s="75">
        <v>1</v>
      </c>
      <c r="I103" s="106">
        <v>1</v>
      </c>
      <c r="J103" s="75" t="s">
        <v>867</v>
      </c>
      <c r="K103" s="75" t="s">
        <v>1147</v>
      </c>
      <c r="L103" s="75" t="s">
        <v>25</v>
      </c>
      <c r="M103" s="75">
        <v>1</v>
      </c>
      <c r="N103" s="75"/>
      <c r="O103" s="75"/>
      <c r="P103" s="75"/>
      <c r="Q103" s="75" t="s">
        <v>868</v>
      </c>
      <c r="R103" s="75" t="s">
        <v>436</v>
      </c>
      <c r="S103" s="75" t="s">
        <v>866</v>
      </c>
      <c r="T103" s="75"/>
      <c r="U103" s="75"/>
      <c r="V103" s="85"/>
    </row>
    <row r="104" spans="1:22">
      <c r="A104" s="95" t="s">
        <v>315</v>
      </c>
      <c r="B104" s="91">
        <v>21180658</v>
      </c>
      <c r="C104" s="91">
        <v>1</v>
      </c>
      <c r="D104" s="96"/>
      <c r="E104" s="97"/>
      <c r="F104" s="91">
        <v>1</v>
      </c>
      <c r="G104" s="91"/>
      <c r="H104" s="91">
        <v>1</v>
      </c>
      <c r="I104" s="106">
        <v>1</v>
      </c>
      <c r="J104" s="91" t="s">
        <v>1178</v>
      </c>
      <c r="K104" s="91" t="s">
        <v>1142</v>
      </c>
      <c r="L104" s="91" t="s">
        <v>819</v>
      </c>
      <c r="M104" s="91">
        <v>1</v>
      </c>
      <c r="N104" s="91"/>
      <c r="O104" s="91"/>
      <c r="P104" s="91"/>
      <c r="Q104" s="91" t="s">
        <v>820</v>
      </c>
      <c r="R104" s="91"/>
      <c r="S104" s="91" t="s">
        <v>821</v>
      </c>
      <c r="T104" s="91"/>
      <c r="U104" s="91"/>
      <c r="V104" s="92" t="s">
        <v>818</v>
      </c>
    </row>
    <row r="105" spans="1:22">
      <c r="A105" s="13" t="s">
        <v>280</v>
      </c>
      <c r="B105" s="75">
        <v>17100516</v>
      </c>
      <c r="C105" s="75">
        <v>1</v>
      </c>
      <c r="D105" s="76"/>
      <c r="E105" s="77"/>
      <c r="F105" s="75">
        <v>1</v>
      </c>
      <c r="G105" s="75"/>
      <c r="H105" s="75">
        <v>1</v>
      </c>
      <c r="I105" s="106">
        <v>1</v>
      </c>
      <c r="J105" s="75" t="s">
        <v>735</v>
      </c>
      <c r="K105" s="75" t="s">
        <v>1154</v>
      </c>
      <c r="L105" s="75" t="s">
        <v>736</v>
      </c>
      <c r="M105" s="75">
        <v>1</v>
      </c>
      <c r="N105" s="75"/>
      <c r="O105" s="75"/>
      <c r="P105" s="75"/>
      <c r="Q105" s="75" t="s">
        <v>492</v>
      </c>
      <c r="R105" s="79" t="s">
        <v>24</v>
      </c>
      <c r="S105" s="75" t="s">
        <v>24</v>
      </c>
      <c r="T105" s="75" t="s">
        <v>737</v>
      </c>
      <c r="U105" s="75"/>
      <c r="V105" s="85"/>
    </row>
    <row r="106" spans="1:22">
      <c r="A106" s="13" t="s">
        <v>145</v>
      </c>
      <c r="B106" s="75">
        <v>11469166</v>
      </c>
      <c r="C106" s="75">
        <v>1</v>
      </c>
      <c r="D106" s="76"/>
      <c r="E106" s="77"/>
      <c r="F106" s="75">
        <v>1</v>
      </c>
      <c r="G106" s="75"/>
      <c r="H106" s="75">
        <v>1</v>
      </c>
      <c r="I106" s="106">
        <v>1</v>
      </c>
      <c r="J106" s="75" t="s">
        <v>452</v>
      </c>
      <c r="K106" s="75"/>
      <c r="L106" s="75" t="s">
        <v>25</v>
      </c>
      <c r="M106" s="75">
        <v>1</v>
      </c>
      <c r="N106" s="75"/>
      <c r="O106" s="75"/>
      <c r="P106" s="75"/>
      <c r="Q106" s="75" t="s">
        <v>24</v>
      </c>
      <c r="R106" s="79"/>
      <c r="S106" s="75"/>
      <c r="T106" s="75"/>
      <c r="U106" s="75"/>
      <c r="V106" s="85"/>
    </row>
    <row r="107" spans="1:22">
      <c r="A107" s="13" t="s">
        <v>190</v>
      </c>
      <c r="B107" s="75">
        <v>21898603</v>
      </c>
      <c r="C107" s="75">
        <v>1</v>
      </c>
      <c r="D107" s="76"/>
      <c r="E107" s="77"/>
      <c r="F107" s="75">
        <v>1</v>
      </c>
      <c r="G107" s="75"/>
      <c r="H107" s="75">
        <v>1</v>
      </c>
      <c r="I107" s="106">
        <v>1</v>
      </c>
      <c r="J107" s="75" t="s">
        <v>551</v>
      </c>
      <c r="K107" s="75" t="s">
        <v>1172</v>
      </c>
      <c r="L107" s="75" t="s">
        <v>25</v>
      </c>
      <c r="M107" s="75">
        <v>1</v>
      </c>
      <c r="N107" s="75"/>
      <c r="O107" s="75"/>
      <c r="P107" s="75"/>
      <c r="Q107" s="75" t="s">
        <v>492</v>
      </c>
      <c r="R107" s="79" t="s">
        <v>24</v>
      </c>
      <c r="S107" s="75" t="s">
        <v>24</v>
      </c>
      <c r="T107" s="75" t="s">
        <v>552</v>
      </c>
      <c r="U107" s="75"/>
      <c r="V107" s="85" t="s">
        <v>553</v>
      </c>
    </row>
    <row r="108" spans="1:22">
      <c r="A108" s="13" t="s">
        <v>316</v>
      </c>
      <c r="B108" s="75">
        <v>2365895</v>
      </c>
      <c r="C108" s="75">
        <v>1</v>
      </c>
      <c r="D108" s="83" t="s">
        <v>1784</v>
      </c>
      <c r="E108" s="77"/>
      <c r="F108" s="94">
        <v>1</v>
      </c>
      <c r="G108" s="75"/>
      <c r="H108" s="75">
        <v>0</v>
      </c>
      <c r="I108" s="106">
        <v>1</v>
      </c>
      <c r="J108" s="75" t="s">
        <v>825</v>
      </c>
      <c r="K108" s="75" t="s">
        <v>1172</v>
      </c>
      <c r="L108" s="75" t="s">
        <v>822</v>
      </c>
      <c r="M108" s="75">
        <v>0</v>
      </c>
      <c r="N108" s="75"/>
      <c r="O108" s="75"/>
      <c r="P108" s="75"/>
      <c r="Q108" s="75" t="s">
        <v>823</v>
      </c>
      <c r="R108" s="75"/>
      <c r="S108" s="75"/>
      <c r="T108" s="75"/>
      <c r="U108" s="75"/>
      <c r="V108" s="85" t="s">
        <v>824</v>
      </c>
    </row>
    <row r="109" spans="1:22">
      <c r="A109" s="13" t="s">
        <v>203</v>
      </c>
      <c r="B109" s="75">
        <v>23978082</v>
      </c>
      <c r="C109" s="75">
        <v>1</v>
      </c>
      <c r="D109" s="76"/>
      <c r="E109" s="77"/>
      <c r="F109" s="75">
        <v>1</v>
      </c>
      <c r="G109" s="75"/>
      <c r="H109" s="75">
        <v>1</v>
      </c>
      <c r="I109" s="106">
        <v>1</v>
      </c>
      <c r="J109" s="75" t="s">
        <v>581</v>
      </c>
      <c r="K109" s="75" t="s">
        <v>1147</v>
      </c>
      <c r="L109" s="75" t="s">
        <v>567</v>
      </c>
      <c r="M109" s="75">
        <v>1</v>
      </c>
      <c r="N109" s="75"/>
      <c r="O109" s="75"/>
      <c r="P109" s="75"/>
      <c r="Q109" s="75" t="s">
        <v>580</v>
      </c>
      <c r="R109" s="79"/>
      <c r="S109" s="75"/>
      <c r="T109" s="75"/>
      <c r="U109" s="75"/>
      <c r="V109" s="85"/>
    </row>
    <row r="110" spans="1:22">
      <c r="A110" s="13" t="s">
        <v>253</v>
      </c>
      <c r="B110" s="75">
        <v>25093599</v>
      </c>
      <c r="C110" s="75">
        <v>1</v>
      </c>
      <c r="D110" s="76"/>
      <c r="E110" s="77"/>
      <c r="F110" s="75">
        <v>1</v>
      </c>
      <c r="G110" s="75"/>
      <c r="H110" s="75">
        <v>1</v>
      </c>
      <c r="I110" s="106">
        <v>1</v>
      </c>
      <c r="J110" s="75" t="s">
        <v>685</v>
      </c>
      <c r="K110" s="75" t="s">
        <v>1166</v>
      </c>
      <c r="L110" s="75" t="s">
        <v>686</v>
      </c>
      <c r="M110" s="75">
        <v>1</v>
      </c>
      <c r="N110" s="75"/>
      <c r="O110" s="75"/>
      <c r="P110" s="75"/>
      <c r="Q110" s="75" t="s">
        <v>687</v>
      </c>
      <c r="R110" s="79" t="s">
        <v>39</v>
      </c>
      <c r="S110" s="75"/>
      <c r="T110" s="75"/>
      <c r="U110" s="75"/>
      <c r="V110" s="85"/>
    </row>
    <row r="111" spans="1:22">
      <c r="A111" s="13" t="s">
        <v>210</v>
      </c>
      <c r="B111" s="75">
        <v>26011671</v>
      </c>
      <c r="C111" s="75">
        <v>1</v>
      </c>
      <c r="D111" s="76"/>
      <c r="E111" s="77"/>
      <c r="F111" s="75">
        <v>1</v>
      </c>
      <c r="G111" s="75"/>
      <c r="H111" s="81">
        <v>1</v>
      </c>
      <c r="I111" s="106">
        <v>1</v>
      </c>
      <c r="J111" s="75" t="s">
        <v>599</v>
      </c>
      <c r="K111" s="75" t="s">
        <v>1164</v>
      </c>
      <c r="L111" s="75" t="s">
        <v>498</v>
      </c>
      <c r="M111" s="75">
        <v>0</v>
      </c>
      <c r="N111" s="75"/>
      <c r="O111" s="75"/>
      <c r="P111" s="75"/>
      <c r="Q111" s="75" t="s">
        <v>600</v>
      </c>
      <c r="R111" s="79"/>
      <c r="S111" s="75"/>
      <c r="T111" s="75"/>
      <c r="U111" s="75"/>
      <c r="V111" s="85" t="s">
        <v>601</v>
      </c>
    </row>
    <row r="112" spans="1:22">
      <c r="A112" s="13" t="s">
        <v>302</v>
      </c>
      <c r="B112" s="75">
        <v>23672579</v>
      </c>
      <c r="C112" s="75">
        <v>1</v>
      </c>
      <c r="D112" s="76"/>
      <c r="E112" s="77"/>
      <c r="F112" s="75">
        <v>1</v>
      </c>
      <c r="G112" s="75"/>
      <c r="H112" s="75">
        <v>1</v>
      </c>
      <c r="I112" s="106">
        <v>1</v>
      </c>
      <c r="J112" s="75" t="s">
        <v>792</v>
      </c>
      <c r="K112" s="75" t="s">
        <v>23</v>
      </c>
      <c r="L112" s="75" t="s">
        <v>762</v>
      </c>
      <c r="M112" s="75">
        <v>1</v>
      </c>
      <c r="N112" s="75"/>
      <c r="O112" s="75"/>
      <c r="P112" s="75"/>
      <c r="Q112" s="75" t="s">
        <v>492</v>
      </c>
      <c r="R112" s="79" t="s">
        <v>24</v>
      </c>
      <c r="S112" s="75" t="s">
        <v>24</v>
      </c>
      <c r="T112" s="75" t="s">
        <v>793</v>
      </c>
      <c r="U112" s="75"/>
      <c r="V112" s="85"/>
    </row>
    <row r="113" spans="1:22">
      <c r="A113" s="13" t="s">
        <v>332</v>
      </c>
      <c r="B113" s="75">
        <v>6691477</v>
      </c>
      <c r="C113" s="75">
        <v>1</v>
      </c>
      <c r="D113" s="76" t="s">
        <v>1785</v>
      </c>
      <c r="E113" s="77"/>
      <c r="F113" s="75">
        <v>0</v>
      </c>
      <c r="G113" s="75"/>
      <c r="H113" s="81">
        <v>1</v>
      </c>
      <c r="I113" s="106">
        <v>1</v>
      </c>
      <c r="J113" s="75" t="s">
        <v>863</v>
      </c>
      <c r="K113" s="75"/>
      <c r="L113" s="75" t="s">
        <v>819</v>
      </c>
      <c r="M113" s="75">
        <v>1</v>
      </c>
      <c r="N113" s="75"/>
      <c r="O113" s="75"/>
      <c r="P113" s="75"/>
      <c r="Q113" s="75" t="s">
        <v>455</v>
      </c>
      <c r="R113" s="75"/>
      <c r="S113" s="75"/>
      <c r="T113" s="75"/>
      <c r="U113" s="75"/>
      <c r="V113" s="85" t="s">
        <v>864</v>
      </c>
    </row>
    <row r="114" spans="1:22">
      <c r="A114" s="13" t="s">
        <v>97</v>
      </c>
      <c r="B114" s="75">
        <v>19485102</v>
      </c>
      <c r="C114" s="75">
        <v>1</v>
      </c>
      <c r="D114" s="76"/>
      <c r="E114" s="77"/>
      <c r="F114" s="75">
        <v>1</v>
      </c>
      <c r="G114" s="75"/>
      <c r="H114" s="75">
        <v>1</v>
      </c>
      <c r="I114" s="106">
        <v>1</v>
      </c>
      <c r="J114" s="75" t="s">
        <v>64</v>
      </c>
      <c r="K114" s="75" t="s">
        <v>1173</v>
      </c>
      <c r="L114" s="75" t="s">
        <v>62</v>
      </c>
      <c r="M114" s="75">
        <v>0</v>
      </c>
      <c r="N114" s="75"/>
      <c r="O114" s="75"/>
      <c r="P114" s="75"/>
      <c r="Q114" s="75" t="s">
        <v>63</v>
      </c>
      <c r="R114" s="79" t="s">
        <v>56</v>
      </c>
      <c r="S114" s="75"/>
      <c r="T114" s="75"/>
      <c r="U114" s="75"/>
      <c r="V114" s="85" t="s">
        <v>65</v>
      </c>
    </row>
    <row r="115" spans="1:22">
      <c r="A115" s="13" t="s">
        <v>160</v>
      </c>
      <c r="B115" s="75">
        <v>23198722</v>
      </c>
      <c r="C115" s="75">
        <v>1</v>
      </c>
      <c r="D115" s="76"/>
      <c r="E115" s="77"/>
      <c r="F115" s="75">
        <v>1</v>
      </c>
      <c r="G115" s="75"/>
      <c r="H115" s="75">
        <v>1</v>
      </c>
      <c r="I115" s="106">
        <v>1</v>
      </c>
      <c r="J115" s="75" t="s">
        <v>484</v>
      </c>
      <c r="K115" s="75" t="s">
        <v>1161</v>
      </c>
      <c r="L115" s="75" t="s">
        <v>483</v>
      </c>
      <c r="M115" s="75">
        <v>1</v>
      </c>
      <c r="N115" s="75"/>
      <c r="O115" s="75"/>
      <c r="P115" s="75"/>
      <c r="Q115" s="75" t="s">
        <v>482</v>
      </c>
      <c r="R115" s="79" t="s">
        <v>480</v>
      </c>
      <c r="S115" s="75"/>
      <c r="T115" s="75"/>
      <c r="U115" s="75"/>
      <c r="V115" s="85" t="s">
        <v>481</v>
      </c>
    </row>
    <row r="116" spans="1:22">
      <c r="A116" s="13" t="s">
        <v>317</v>
      </c>
      <c r="B116" s="75">
        <v>1984709</v>
      </c>
      <c r="C116" s="75">
        <v>1</v>
      </c>
      <c r="D116" s="83" t="s">
        <v>1784</v>
      </c>
      <c r="E116" s="77" t="s">
        <v>1767</v>
      </c>
      <c r="F116" s="81">
        <v>1</v>
      </c>
      <c r="G116" s="75"/>
      <c r="H116" s="81">
        <v>0</v>
      </c>
      <c r="I116" s="106">
        <v>1</v>
      </c>
      <c r="J116" s="75" t="s">
        <v>538</v>
      </c>
      <c r="K116" s="75" t="s">
        <v>538</v>
      </c>
      <c r="L116" s="75" t="s">
        <v>822</v>
      </c>
      <c r="M116" s="75">
        <v>0</v>
      </c>
      <c r="N116" s="75"/>
      <c r="O116" s="75"/>
      <c r="P116" s="75"/>
      <c r="Q116" s="75" t="s">
        <v>826</v>
      </c>
      <c r="R116" s="75"/>
      <c r="S116" s="75"/>
      <c r="T116" s="75" t="s">
        <v>827</v>
      </c>
      <c r="U116" s="75"/>
      <c r="V116" s="85" t="s">
        <v>828</v>
      </c>
    </row>
    <row r="117" spans="1:22">
      <c r="A117" s="13" t="s">
        <v>217</v>
      </c>
      <c r="B117" s="75">
        <v>26691304</v>
      </c>
      <c r="C117" s="75">
        <v>1</v>
      </c>
      <c r="D117" s="76"/>
      <c r="E117" s="77"/>
      <c r="F117" s="75">
        <v>1</v>
      </c>
      <c r="G117" s="75"/>
      <c r="H117" s="75">
        <v>1</v>
      </c>
      <c r="I117" s="106">
        <v>1</v>
      </c>
      <c r="J117" s="75" t="s">
        <v>612</v>
      </c>
      <c r="K117" s="75" t="s">
        <v>1147</v>
      </c>
      <c r="L117" s="75" t="s">
        <v>376</v>
      </c>
      <c r="M117" s="75">
        <v>1</v>
      </c>
      <c r="N117" s="75"/>
      <c r="O117" s="75"/>
      <c r="P117" s="75"/>
      <c r="Q117" s="75" t="s">
        <v>613</v>
      </c>
      <c r="R117" s="79"/>
      <c r="S117" s="75"/>
      <c r="T117" s="75"/>
      <c r="U117" s="75"/>
      <c r="V117" s="85"/>
    </row>
    <row r="118" spans="1:22">
      <c r="A118" s="13" t="s">
        <v>287</v>
      </c>
      <c r="B118" s="75">
        <v>27353125</v>
      </c>
      <c r="C118" s="75">
        <v>1</v>
      </c>
      <c r="D118" s="76"/>
      <c r="E118" s="77"/>
      <c r="F118" s="75">
        <v>1</v>
      </c>
      <c r="G118" s="75"/>
      <c r="H118" s="75">
        <v>1</v>
      </c>
      <c r="I118" s="106">
        <v>1</v>
      </c>
      <c r="J118" s="75" t="s">
        <v>612</v>
      </c>
      <c r="K118" s="75" t="s">
        <v>1147</v>
      </c>
      <c r="L118" s="75" t="s">
        <v>25</v>
      </c>
      <c r="M118" s="75">
        <v>1</v>
      </c>
      <c r="N118" s="75"/>
      <c r="O118" s="75"/>
      <c r="P118" s="75"/>
      <c r="Q118" s="75" t="s">
        <v>750</v>
      </c>
      <c r="R118" s="79"/>
      <c r="S118" s="75"/>
      <c r="T118" s="75"/>
      <c r="U118" s="75"/>
      <c r="V118" s="85"/>
    </row>
    <row r="119" spans="1:22">
      <c r="A119" s="13" t="s">
        <v>283</v>
      </c>
      <c r="B119" s="75">
        <v>27459209</v>
      </c>
      <c r="C119" s="75">
        <v>1</v>
      </c>
      <c r="D119" s="76"/>
      <c r="E119" s="77"/>
      <c r="F119" s="75">
        <v>1</v>
      </c>
      <c r="G119" s="75"/>
      <c r="H119" s="75">
        <v>1</v>
      </c>
      <c r="I119" s="106">
        <v>1</v>
      </c>
      <c r="J119" s="75" t="s">
        <v>742</v>
      </c>
      <c r="K119" s="75" t="s">
        <v>1188</v>
      </c>
      <c r="L119" s="75" t="s">
        <v>25</v>
      </c>
      <c r="M119" s="75">
        <v>1</v>
      </c>
      <c r="N119" s="75"/>
      <c r="O119" s="75"/>
      <c r="P119" s="75"/>
      <c r="Q119" s="75" t="s">
        <v>743</v>
      </c>
      <c r="R119" s="79" t="s">
        <v>24</v>
      </c>
      <c r="S119" s="75" t="s">
        <v>24</v>
      </c>
      <c r="T119" s="75"/>
      <c r="U119" s="75"/>
      <c r="V119" s="85"/>
    </row>
    <row r="120" spans="1:22">
      <c r="A120" s="13" t="s">
        <v>314</v>
      </c>
      <c r="B120" s="75">
        <v>24686914</v>
      </c>
      <c r="C120" s="75">
        <v>1</v>
      </c>
      <c r="D120" s="76"/>
      <c r="E120" s="77"/>
      <c r="F120" s="75">
        <v>1</v>
      </c>
      <c r="G120" s="75"/>
      <c r="H120" s="75">
        <v>1</v>
      </c>
      <c r="I120" s="106">
        <v>1</v>
      </c>
      <c r="J120" s="75" t="s">
        <v>816</v>
      </c>
      <c r="K120" s="75" t="s">
        <v>1189</v>
      </c>
      <c r="L120" s="75" t="s">
        <v>25</v>
      </c>
      <c r="M120" s="75">
        <v>1</v>
      </c>
      <c r="N120" s="75"/>
      <c r="O120" s="75"/>
      <c r="P120" s="75"/>
      <c r="Q120" s="75" t="s">
        <v>817</v>
      </c>
      <c r="R120" s="75"/>
      <c r="S120" s="75"/>
      <c r="T120" s="75"/>
      <c r="U120" s="75"/>
      <c r="V120" s="85"/>
    </row>
    <row r="121" spans="1:22">
      <c r="A121" s="13" t="s">
        <v>128</v>
      </c>
      <c r="B121" s="75">
        <v>15993948</v>
      </c>
      <c r="C121" s="75">
        <v>1</v>
      </c>
      <c r="D121" s="76"/>
      <c r="E121" s="77"/>
      <c r="F121" s="75">
        <v>1</v>
      </c>
      <c r="G121" s="75"/>
      <c r="H121" s="75">
        <v>1</v>
      </c>
      <c r="I121" s="106">
        <v>1</v>
      </c>
      <c r="J121" s="75" t="s">
        <v>418</v>
      </c>
      <c r="K121" s="75" t="s">
        <v>1150</v>
      </c>
      <c r="L121" s="75" t="s">
        <v>25</v>
      </c>
      <c r="M121" s="75">
        <v>1</v>
      </c>
      <c r="N121" s="75"/>
      <c r="O121" s="75"/>
      <c r="P121" s="75"/>
      <c r="Q121" s="75" t="s">
        <v>419</v>
      </c>
      <c r="R121" s="79"/>
      <c r="S121" s="75"/>
      <c r="T121" s="75"/>
      <c r="U121" s="75"/>
      <c r="V121" s="85"/>
    </row>
    <row r="122" spans="1:22">
      <c r="A122" s="13" t="s">
        <v>117</v>
      </c>
      <c r="B122" s="75">
        <v>27252673</v>
      </c>
      <c r="C122" s="75">
        <v>1</v>
      </c>
      <c r="D122" s="76"/>
      <c r="E122" s="77"/>
      <c r="F122" s="75">
        <v>1</v>
      </c>
      <c r="G122" s="75"/>
      <c r="H122" s="75">
        <v>1</v>
      </c>
      <c r="I122" s="106">
        <v>1</v>
      </c>
      <c r="J122" s="75" t="s">
        <v>397</v>
      </c>
      <c r="K122" s="75" t="s">
        <v>1183</v>
      </c>
      <c r="L122" s="75" t="s">
        <v>25</v>
      </c>
      <c r="M122" s="75">
        <v>1</v>
      </c>
      <c r="N122" s="75"/>
      <c r="O122" s="75"/>
      <c r="P122" s="75"/>
      <c r="Q122" s="75" t="s">
        <v>398</v>
      </c>
      <c r="R122" s="79"/>
      <c r="S122" s="75"/>
      <c r="T122" s="75"/>
      <c r="U122" s="75"/>
      <c r="V122" s="85"/>
    </row>
    <row r="123" spans="1:22">
      <c r="A123" s="13" t="s">
        <v>171</v>
      </c>
      <c r="B123" s="75">
        <v>18068725</v>
      </c>
      <c r="C123" s="75">
        <v>1</v>
      </c>
      <c r="D123" s="76"/>
      <c r="E123" s="77"/>
      <c r="F123" s="75">
        <v>1</v>
      </c>
      <c r="G123" s="75"/>
      <c r="H123" s="75">
        <v>1</v>
      </c>
      <c r="I123" s="106">
        <v>1</v>
      </c>
      <c r="J123" s="75" t="s">
        <v>397</v>
      </c>
      <c r="K123" s="75"/>
      <c r="L123" s="75" t="s">
        <v>500</v>
      </c>
      <c r="M123" s="75">
        <v>1</v>
      </c>
      <c r="N123" s="75"/>
      <c r="O123" s="75"/>
      <c r="P123" s="75"/>
      <c r="Q123" s="75" t="s">
        <v>501</v>
      </c>
      <c r="R123" s="79"/>
      <c r="S123" s="75"/>
      <c r="T123" s="75"/>
      <c r="U123" s="75"/>
      <c r="V123" s="85"/>
    </row>
    <row r="124" spans="1:22">
      <c r="A124" s="13" t="s">
        <v>275</v>
      </c>
      <c r="B124" s="75">
        <v>27000639</v>
      </c>
      <c r="C124" s="75">
        <v>1</v>
      </c>
      <c r="D124" s="76"/>
      <c r="E124" s="77"/>
      <c r="F124" s="75">
        <v>1</v>
      </c>
      <c r="G124" s="75"/>
      <c r="H124" s="75">
        <v>1</v>
      </c>
      <c r="I124" s="106">
        <v>1</v>
      </c>
      <c r="J124" s="75" t="s">
        <v>726</v>
      </c>
      <c r="K124" s="75"/>
      <c r="L124" s="75" t="s">
        <v>25</v>
      </c>
      <c r="M124" s="75">
        <v>1</v>
      </c>
      <c r="N124" s="75"/>
      <c r="O124" s="75"/>
      <c r="P124" s="75"/>
      <c r="Q124" s="75" t="s">
        <v>725</v>
      </c>
      <c r="R124" s="79"/>
      <c r="S124" s="75"/>
      <c r="T124" s="75"/>
      <c r="U124" s="75"/>
      <c r="V124" s="85"/>
    </row>
    <row r="125" spans="1:22">
      <c r="A125" s="13" t="s">
        <v>115</v>
      </c>
      <c r="B125" s="75">
        <v>27058006</v>
      </c>
      <c r="C125" s="75">
        <v>1</v>
      </c>
      <c r="D125" s="76"/>
      <c r="E125" s="77"/>
      <c r="F125" s="75">
        <v>1</v>
      </c>
      <c r="G125" s="75"/>
      <c r="H125" s="75">
        <v>1</v>
      </c>
      <c r="I125" s="106">
        <v>1</v>
      </c>
      <c r="J125" s="75" t="s">
        <v>390</v>
      </c>
      <c r="K125" s="75" t="s">
        <v>1147</v>
      </c>
      <c r="L125" s="75" t="s">
        <v>391</v>
      </c>
      <c r="M125" s="75">
        <v>1</v>
      </c>
      <c r="N125" s="75"/>
      <c r="O125" s="75"/>
      <c r="P125" s="75"/>
      <c r="Q125" s="75"/>
      <c r="R125" s="79" t="s">
        <v>389</v>
      </c>
      <c r="S125" s="75"/>
      <c r="T125" s="75"/>
      <c r="U125" s="75"/>
      <c r="V125" s="85" t="s">
        <v>392</v>
      </c>
    </row>
    <row r="126" spans="1:22">
      <c r="A126" s="13" t="s">
        <v>303</v>
      </c>
      <c r="B126" s="75">
        <v>17436378</v>
      </c>
      <c r="C126" s="75">
        <v>1</v>
      </c>
      <c r="D126" s="76"/>
      <c r="E126" s="77"/>
      <c r="F126" s="75">
        <v>1</v>
      </c>
      <c r="G126" s="75"/>
      <c r="H126" s="75">
        <v>1</v>
      </c>
      <c r="I126" s="106">
        <v>1</v>
      </c>
      <c r="J126" s="75" t="s">
        <v>794</v>
      </c>
      <c r="K126" s="75" t="s">
        <v>1147</v>
      </c>
      <c r="L126" s="75" t="s">
        <v>591</v>
      </c>
      <c r="M126" s="75">
        <v>1</v>
      </c>
      <c r="N126" s="75"/>
      <c r="O126" s="75"/>
      <c r="P126" s="75"/>
      <c r="Q126" s="75" t="s">
        <v>795</v>
      </c>
      <c r="R126" s="79" t="s">
        <v>24</v>
      </c>
      <c r="S126" s="75" t="s">
        <v>24</v>
      </c>
      <c r="T126" s="75"/>
      <c r="U126" s="75"/>
      <c r="V126" s="85"/>
    </row>
    <row r="127" spans="1:22">
      <c r="A127" s="13" t="s">
        <v>87</v>
      </c>
      <c r="B127" s="75">
        <v>26184460</v>
      </c>
      <c r="C127" s="75">
        <v>1</v>
      </c>
      <c r="D127" s="83" t="s">
        <v>1773</v>
      </c>
      <c r="E127" s="77" t="s">
        <v>1755</v>
      </c>
      <c r="F127" s="75">
        <v>0</v>
      </c>
      <c r="G127" s="75" t="s">
        <v>1731</v>
      </c>
      <c r="H127" s="75">
        <v>1</v>
      </c>
      <c r="I127" s="106">
        <v>1</v>
      </c>
      <c r="J127" s="75" t="s">
        <v>38</v>
      </c>
      <c r="K127" s="75" t="s">
        <v>1144</v>
      </c>
      <c r="L127" s="75" t="s">
        <v>25</v>
      </c>
      <c r="M127" s="75">
        <v>1</v>
      </c>
      <c r="N127" s="75"/>
      <c r="O127" s="75"/>
      <c r="P127" s="75"/>
      <c r="Q127" s="75"/>
      <c r="R127" s="79" t="s">
        <v>39</v>
      </c>
      <c r="S127" s="75"/>
      <c r="T127" s="75"/>
      <c r="U127" s="75"/>
      <c r="V127" s="85"/>
    </row>
    <row r="128" spans="1:22">
      <c r="A128" s="13" t="s">
        <v>146</v>
      </c>
      <c r="B128" s="75">
        <v>17509537</v>
      </c>
      <c r="C128" s="75">
        <v>1</v>
      </c>
      <c r="D128" s="76"/>
      <c r="E128" s="77"/>
      <c r="F128" s="75">
        <v>1</v>
      </c>
      <c r="G128" s="75"/>
      <c r="H128" s="75">
        <v>1</v>
      </c>
      <c r="I128" s="106">
        <v>1</v>
      </c>
      <c r="J128" s="75" t="s">
        <v>453</v>
      </c>
      <c r="K128" s="75" t="s">
        <v>1147</v>
      </c>
      <c r="L128" s="75" t="s">
        <v>25</v>
      </c>
      <c r="M128" s="75">
        <v>1</v>
      </c>
      <c r="N128" s="75"/>
      <c r="O128" s="75"/>
      <c r="P128" s="75"/>
      <c r="Q128" s="75" t="s">
        <v>454</v>
      </c>
      <c r="R128" s="79" t="s">
        <v>56</v>
      </c>
      <c r="S128" s="75"/>
      <c r="T128" s="75"/>
      <c r="U128" s="75"/>
      <c r="V128" s="85"/>
    </row>
    <row r="129" spans="1:22">
      <c r="A129" s="13" t="s">
        <v>271</v>
      </c>
      <c r="B129" s="75">
        <v>24786361</v>
      </c>
      <c r="C129" s="75">
        <v>1</v>
      </c>
      <c r="D129" s="76" t="s">
        <v>1781</v>
      </c>
      <c r="E129" s="77" t="s">
        <v>1763</v>
      </c>
      <c r="F129" s="81">
        <v>1</v>
      </c>
      <c r="G129" s="75" t="s">
        <v>1750</v>
      </c>
      <c r="H129" s="81">
        <v>0</v>
      </c>
      <c r="I129" s="106">
        <v>1</v>
      </c>
      <c r="J129" s="75" t="s">
        <v>719</v>
      </c>
      <c r="K129" s="75"/>
      <c r="L129" s="75" t="s">
        <v>25</v>
      </c>
      <c r="M129" s="75">
        <v>1</v>
      </c>
      <c r="N129" s="75"/>
      <c r="O129" s="75"/>
      <c r="P129" s="75"/>
      <c r="Q129" s="75"/>
      <c r="R129" s="79"/>
      <c r="S129" s="75" t="s">
        <v>717</v>
      </c>
      <c r="T129" s="75"/>
      <c r="U129" s="75"/>
      <c r="V129" s="85" t="s">
        <v>718</v>
      </c>
    </row>
    <row r="130" spans="1:22">
      <c r="A130" s="13" t="s">
        <v>233</v>
      </c>
      <c r="B130" s="75">
        <v>9403392</v>
      </c>
      <c r="C130" s="75">
        <v>1</v>
      </c>
      <c r="D130" s="83" t="s">
        <v>1777</v>
      </c>
      <c r="E130" s="77"/>
      <c r="F130" s="81">
        <v>1</v>
      </c>
      <c r="G130" s="75" t="s">
        <v>1746</v>
      </c>
      <c r="H130" s="81">
        <v>0</v>
      </c>
      <c r="I130" s="106">
        <v>1</v>
      </c>
      <c r="J130" s="75" t="s">
        <v>647</v>
      </c>
      <c r="K130" s="75"/>
      <c r="L130" s="75" t="s">
        <v>644</v>
      </c>
      <c r="M130" s="75"/>
      <c r="N130" s="75"/>
      <c r="O130" s="75"/>
      <c r="P130" s="75"/>
      <c r="Q130" s="75" t="s">
        <v>645</v>
      </c>
      <c r="R130" s="79"/>
      <c r="S130" s="75"/>
      <c r="T130" s="75"/>
      <c r="U130" s="75"/>
      <c r="V130" s="85" t="s">
        <v>646</v>
      </c>
    </row>
    <row r="131" spans="1:22">
      <c r="A131" s="13" t="s">
        <v>236</v>
      </c>
      <c r="B131" s="75">
        <v>27594113</v>
      </c>
      <c r="C131" s="75">
        <v>1</v>
      </c>
      <c r="D131" s="76"/>
      <c r="E131" s="77"/>
      <c r="F131" s="75">
        <v>1</v>
      </c>
      <c r="G131" s="75"/>
      <c r="H131" s="91">
        <v>1</v>
      </c>
      <c r="I131" s="106">
        <v>1</v>
      </c>
      <c r="J131" s="75" t="s">
        <v>651</v>
      </c>
      <c r="K131" s="75"/>
      <c r="L131" s="75" t="s">
        <v>591</v>
      </c>
      <c r="M131" s="75">
        <v>1</v>
      </c>
      <c r="N131" s="75"/>
      <c r="O131" s="75"/>
      <c r="P131" s="75"/>
      <c r="Q131" s="75" t="s">
        <v>650</v>
      </c>
      <c r="R131" s="79"/>
      <c r="S131" s="75"/>
      <c r="T131" s="75"/>
      <c r="U131" s="75"/>
      <c r="V131" s="85" t="s">
        <v>649</v>
      </c>
    </row>
    <row r="132" spans="1:22">
      <c r="A132" s="13" t="s">
        <v>141</v>
      </c>
      <c r="B132" s="75">
        <v>23540599</v>
      </c>
      <c r="C132" s="75">
        <v>1</v>
      </c>
      <c r="D132" s="76" t="s">
        <v>1776</v>
      </c>
      <c r="E132" s="77" t="s">
        <v>1759</v>
      </c>
      <c r="F132" s="81">
        <v>1</v>
      </c>
      <c r="G132" s="75" t="s">
        <v>1737</v>
      </c>
      <c r="H132" s="81">
        <v>1</v>
      </c>
      <c r="I132" s="106">
        <v>1</v>
      </c>
      <c r="J132" s="75" t="s">
        <v>442</v>
      </c>
      <c r="K132" s="75" t="s">
        <v>1142</v>
      </c>
      <c r="L132" s="75" t="s">
        <v>443</v>
      </c>
      <c r="M132" s="75">
        <v>1</v>
      </c>
      <c r="N132" s="75"/>
      <c r="O132" s="75"/>
      <c r="P132" s="75"/>
      <c r="Q132" s="75" t="s">
        <v>444</v>
      </c>
      <c r="R132" s="79" t="s">
        <v>445</v>
      </c>
      <c r="S132" s="75" t="s">
        <v>446</v>
      </c>
      <c r="T132" s="75"/>
      <c r="U132" s="75"/>
      <c r="V132" s="85" t="s">
        <v>447</v>
      </c>
    </row>
    <row r="133" spans="1:22">
      <c r="A133" s="13" t="s">
        <v>320</v>
      </c>
      <c r="B133" s="75">
        <v>24157540</v>
      </c>
      <c r="C133" s="75">
        <v>1</v>
      </c>
      <c r="D133" s="76"/>
      <c r="E133" s="77"/>
      <c r="F133" s="75">
        <v>1</v>
      </c>
      <c r="G133" s="75"/>
      <c r="H133" s="75">
        <v>1</v>
      </c>
      <c r="I133" s="106">
        <v>1</v>
      </c>
      <c r="J133" s="75" t="s">
        <v>832</v>
      </c>
      <c r="K133" s="75" t="s">
        <v>1192</v>
      </c>
      <c r="L133" s="75" t="s">
        <v>25</v>
      </c>
      <c r="M133" s="75">
        <v>1</v>
      </c>
      <c r="N133" s="75"/>
      <c r="O133" s="75"/>
      <c r="P133" s="75"/>
      <c r="Q133" s="75" t="s">
        <v>778</v>
      </c>
      <c r="R133" s="75" t="s">
        <v>24</v>
      </c>
      <c r="S133" s="75" t="s">
        <v>24</v>
      </c>
      <c r="T133" s="75" t="s">
        <v>833</v>
      </c>
      <c r="U133" s="75"/>
      <c r="V133" s="85"/>
    </row>
    <row r="134" spans="1:22">
      <c r="A134" s="13" t="s">
        <v>173</v>
      </c>
      <c r="B134" s="75">
        <v>20494591</v>
      </c>
      <c r="C134" s="75">
        <v>1</v>
      </c>
      <c r="D134" s="76"/>
      <c r="E134" s="77"/>
      <c r="F134" s="75">
        <v>1</v>
      </c>
      <c r="G134" s="75"/>
      <c r="H134" s="75">
        <v>1</v>
      </c>
      <c r="I134" s="106">
        <v>1</v>
      </c>
      <c r="J134" s="75" t="s">
        <v>505</v>
      </c>
      <c r="K134" s="75" t="s">
        <v>1147</v>
      </c>
      <c r="L134" s="75" t="s">
        <v>503</v>
      </c>
      <c r="M134" s="75">
        <v>0</v>
      </c>
      <c r="N134" s="75"/>
      <c r="O134" s="75"/>
      <c r="P134" s="75"/>
      <c r="Q134" s="75"/>
      <c r="R134" s="79"/>
      <c r="S134" s="75"/>
      <c r="T134" s="75"/>
      <c r="U134" s="75"/>
      <c r="V134" s="85" t="s">
        <v>504</v>
      </c>
    </row>
    <row r="135" spans="1:22">
      <c r="A135" s="13" t="s">
        <v>104</v>
      </c>
      <c r="B135" s="75">
        <v>25915799</v>
      </c>
      <c r="C135" s="75">
        <v>1</v>
      </c>
      <c r="D135" s="76"/>
      <c r="E135" s="77"/>
      <c r="F135" s="75">
        <v>1</v>
      </c>
      <c r="G135" s="75"/>
      <c r="H135" s="75">
        <v>1</v>
      </c>
      <c r="I135" s="106">
        <v>1</v>
      </c>
      <c r="J135" s="75" t="s">
        <v>370</v>
      </c>
      <c r="K135" s="75" t="s">
        <v>1147</v>
      </c>
      <c r="L135" s="75" t="s">
        <v>369</v>
      </c>
      <c r="M135" s="75"/>
      <c r="N135" s="75"/>
      <c r="O135" s="75"/>
      <c r="P135" s="75"/>
      <c r="Q135" s="75"/>
      <c r="R135" s="79" t="s">
        <v>368</v>
      </c>
      <c r="S135" s="75"/>
      <c r="T135" s="75"/>
      <c r="U135" s="75"/>
      <c r="V135" s="85"/>
    </row>
    <row r="136" spans="1:22">
      <c r="A136" s="13" t="s">
        <v>193</v>
      </c>
      <c r="B136" s="75">
        <v>22193972</v>
      </c>
      <c r="C136" s="75">
        <v>1</v>
      </c>
      <c r="D136" s="76"/>
      <c r="E136" s="77"/>
      <c r="F136" s="75">
        <v>1</v>
      </c>
      <c r="G136" s="75"/>
      <c r="H136" s="75">
        <v>1</v>
      </c>
      <c r="I136" s="106">
        <v>1</v>
      </c>
      <c r="J136" s="75" t="s">
        <v>558</v>
      </c>
      <c r="K136" s="75" t="s">
        <v>1165</v>
      </c>
      <c r="L136" s="75" t="s">
        <v>25</v>
      </c>
      <c r="M136" s="75">
        <v>1</v>
      </c>
      <c r="N136" s="75"/>
      <c r="O136" s="75"/>
      <c r="P136" s="75"/>
      <c r="Q136" s="75" t="s">
        <v>1187</v>
      </c>
      <c r="R136" s="79" t="s">
        <v>24</v>
      </c>
      <c r="S136" s="75" t="s">
        <v>559</v>
      </c>
      <c r="T136" s="75"/>
      <c r="U136" s="75"/>
      <c r="V136" s="85"/>
    </row>
    <row r="137" spans="1:22">
      <c r="A137" s="13" t="s">
        <v>305</v>
      </c>
      <c r="B137" s="75">
        <v>24245926</v>
      </c>
      <c r="C137" s="75">
        <v>1</v>
      </c>
      <c r="D137" s="76"/>
      <c r="E137" s="77"/>
      <c r="F137" s="75">
        <v>1</v>
      </c>
      <c r="G137" s="75"/>
      <c r="H137" s="75">
        <v>1</v>
      </c>
      <c r="I137" s="106">
        <v>1</v>
      </c>
      <c r="J137" s="75" t="s">
        <v>797</v>
      </c>
      <c r="K137" s="75" t="s">
        <v>1147</v>
      </c>
      <c r="L137" s="75" t="s">
        <v>514</v>
      </c>
      <c r="M137" s="75">
        <v>1</v>
      </c>
      <c r="N137" s="75"/>
      <c r="O137" s="75"/>
      <c r="P137" s="75"/>
      <c r="Q137" s="75"/>
      <c r="R137" s="79"/>
      <c r="S137" s="75"/>
      <c r="T137" s="75"/>
      <c r="U137" s="75"/>
      <c r="V137" s="85" t="s">
        <v>799</v>
      </c>
    </row>
    <row r="138" spans="1:22">
      <c r="A138" s="13" t="s">
        <v>90</v>
      </c>
      <c r="B138" s="75">
        <v>23341282</v>
      </c>
      <c r="C138" s="75">
        <v>1</v>
      </c>
      <c r="D138" s="76"/>
      <c r="E138" s="77"/>
      <c r="F138" s="75">
        <v>1</v>
      </c>
      <c r="G138" s="75"/>
      <c r="H138" s="75">
        <v>1</v>
      </c>
      <c r="I138" s="106">
        <v>1</v>
      </c>
      <c r="J138" s="75" t="s">
        <v>46</v>
      </c>
      <c r="K138" s="75" t="s">
        <v>1143</v>
      </c>
      <c r="L138" s="75" t="s">
        <v>47</v>
      </c>
      <c r="M138" s="75">
        <v>1</v>
      </c>
      <c r="N138" s="75"/>
      <c r="O138" s="75"/>
      <c r="P138" s="75"/>
      <c r="Q138" s="75" t="s">
        <v>46</v>
      </c>
      <c r="R138" s="79" t="s">
        <v>12</v>
      </c>
      <c r="S138" s="75" t="s">
        <v>12</v>
      </c>
      <c r="T138" s="75"/>
      <c r="U138" s="75"/>
      <c r="V138" s="85"/>
    </row>
    <row r="139" spans="1:22">
      <c r="A139" s="13" t="s">
        <v>91</v>
      </c>
      <c r="B139" s="75">
        <v>9870231</v>
      </c>
      <c r="C139" s="75">
        <v>1</v>
      </c>
      <c r="D139" s="76"/>
      <c r="E139" s="77"/>
      <c r="F139" s="75">
        <v>1</v>
      </c>
      <c r="G139" s="75"/>
      <c r="H139" s="75">
        <v>1</v>
      </c>
      <c r="I139" s="106">
        <v>1</v>
      </c>
      <c r="J139" s="75" t="s">
        <v>1182</v>
      </c>
      <c r="K139" s="75" t="s">
        <v>1181</v>
      </c>
      <c r="L139" s="75" t="s">
        <v>47</v>
      </c>
      <c r="M139" s="75">
        <v>1</v>
      </c>
      <c r="N139" s="75"/>
      <c r="O139" s="75"/>
      <c r="P139" s="75"/>
      <c r="Q139" s="75" t="s">
        <v>49</v>
      </c>
      <c r="R139" s="79" t="s">
        <v>12</v>
      </c>
      <c r="S139" s="75" t="s">
        <v>48</v>
      </c>
      <c r="T139" s="75"/>
      <c r="U139" s="75"/>
      <c r="V139" s="85"/>
    </row>
    <row r="140" spans="1:22">
      <c r="A140" s="13" t="s">
        <v>154</v>
      </c>
      <c r="B140" s="75">
        <v>18037391</v>
      </c>
      <c r="C140" s="75">
        <v>1</v>
      </c>
      <c r="D140" s="76"/>
      <c r="E140" s="77"/>
      <c r="F140" s="75">
        <v>1</v>
      </c>
      <c r="G140" s="75"/>
      <c r="H140" s="81">
        <v>1</v>
      </c>
      <c r="I140" s="106">
        <v>1</v>
      </c>
      <c r="J140" s="75" t="s">
        <v>449</v>
      </c>
      <c r="K140" s="75"/>
      <c r="L140" s="75" t="s">
        <v>471</v>
      </c>
      <c r="M140" s="75">
        <v>0</v>
      </c>
      <c r="N140" s="75"/>
      <c r="O140" s="75"/>
      <c r="P140" s="75"/>
      <c r="Q140" s="75" t="s">
        <v>24</v>
      </c>
      <c r="R140" s="79"/>
      <c r="S140" s="75" t="s">
        <v>23</v>
      </c>
      <c r="T140" s="75"/>
      <c r="U140" s="75"/>
      <c r="V140" s="85" t="s">
        <v>470</v>
      </c>
    </row>
    <row r="141" spans="1:22">
      <c r="A141" s="13" t="s">
        <v>229</v>
      </c>
      <c r="B141" s="75">
        <v>21545724</v>
      </c>
      <c r="C141" s="75">
        <v>1</v>
      </c>
      <c r="D141" s="76"/>
      <c r="E141" s="77"/>
      <c r="F141" s="75">
        <v>1</v>
      </c>
      <c r="G141" s="75"/>
      <c r="H141" s="75">
        <v>1</v>
      </c>
      <c r="I141" s="106">
        <v>1</v>
      </c>
      <c r="J141" s="75" t="s">
        <v>609</v>
      </c>
      <c r="K141" s="75" t="s">
        <v>1158</v>
      </c>
      <c r="L141" s="75" t="s">
        <v>591</v>
      </c>
      <c r="M141" s="75">
        <v>1</v>
      </c>
      <c r="N141" s="75"/>
      <c r="O141" s="75"/>
      <c r="P141" s="75"/>
      <c r="Q141" s="75" t="s">
        <v>610</v>
      </c>
      <c r="R141" s="79" t="s">
        <v>42</v>
      </c>
      <c r="S141" s="75" t="s">
        <v>638</v>
      </c>
      <c r="T141" s="75"/>
      <c r="U141" s="75"/>
      <c r="V141" s="85" t="s">
        <v>639</v>
      </c>
    </row>
    <row r="142" spans="1:22">
      <c r="A142" s="13" t="s">
        <v>292</v>
      </c>
      <c r="B142" s="75">
        <v>11848709</v>
      </c>
      <c r="C142" s="75">
        <v>1</v>
      </c>
      <c r="D142" s="76"/>
      <c r="E142" s="77"/>
      <c r="F142" s="75">
        <v>1</v>
      </c>
      <c r="G142" s="75"/>
      <c r="H142" s="75">
        <v>1</v>
      </c>
      <c r="I142" s="106">
        <v>1</v>
      </c>
      <c r="J142" s="75" t="s">
        <v>609</v>
      </c>
      <c r="K142" s="75" t="s">
        <v>1158</v>
      </c>
      <c r="L142" s="75" t="s">
        <v>471</v>
      </c>
      <c r="M142" s="75">
        <v>0</v>
      </c>
      <c r="N142" s="75"/>
      <c r="O142" s="75"/>
      <c r="P142" s="75"/>
      <c r="Q142" s="75" t="s">
        <v>610</v>
      </c>
      <c r="R142" s="79" t="s">
        <v>56</v>
      </c>
      <c r="S142" s="75"/>
      <c r="T142" s="75"/>
      <c r="U142" s="75"/>
      <c r="V142" s="85"/>
    </row>
    <row r="143" spans="1:22">
      <c r="A143" s="13" t="s">
        <v>325</v>
      </c>
      <c r="B143" s="75">
        <v>24936431</v>
      </c>
      <c r="C143" s="75">
        <v>1</v>
      </c>
      <c r="D143" s="76"/>
      <c r="E143" s="77"/>
      <c r="F143" s="75">
        <v>1</v>
      </c>
      <c r="G143" s="75"/>
      <c r="H143" s="75">
        <v>1</v>
      </c>
      <c r="I143" s="106">
        <v>1</v>
      </c>
      <c r="J143" s="75" t="s">
        <v>609</v>
      </c>
      <c r="K143" s="75" t="s">
        <v>1158</v>
      </c>
      <c r="L143" s="75" t="s">
        <v>591</v>
      </c>
      <c r="M143" s="75">
        <v>1</v>
      </c>
      <c r="N143" s="75"/>
      <c r="O143" s="75"/>
      <c r="P143" s="75"/>
      <c r="Q143" s="75" t="s">
        <v>845</v>
      </c>
      <c r="R143" s="75" t="s">
        <v>846</v>
      </c>
      <c r="S143" s="75"/>
      <c r="T143" s="75"/>
      <c r="U143" s="75"/>
      <c r="V143" s="85"/>
    </row>
    <row r="144" spans="1:22">
      <c r="A144" s="13" t="s">
        <v>351</v>
      </c>
      <c r="B144" s="75">
        <v>24354897</v>
      </c>
      <c r="C144" s="75">
        <v>1</v>
      </c>
      <c r="D144" s="76"/>
      <c r="E144" s="77"/>
      <c r="F144" s="75">
        <v>1</v>
      </c>
      <c r="G144" s="75"/>
      <c r="H144" s="75">
        <v>1</v>
      </c>
      <c r="I144" s="106">
        <v>1</v>
      </c>
      <c r="J144" s="75" t="s">
        <v>609</v>
      </c>
      <c r="K144" s="75" t="s">
        <v>1158</v>
      </c>
      <c r="L144" s="75" t="s">
        <v>910</v>
      </c>
      <c r="M144" s="75">
        <v>1</v>
      </c>
      <c r="N144" s="75"/>
      <c r="O144" s="75"/>
      <c r="P144" s="75"/>
      <c r="Q144" s="75" t="s">
        <v>610</v>
      </c>
      <c r="R144" s="75"/>
      <c r="S144" s="75"/>
      <c r="T144" s="75" t="s">
        <v>911</v>
      </c>
      <c r="U144" s="75"/>
      <c r="V144" s="85"/>
    </row>
    <row r="145" spans="1:22">
      <c r="A145" s="13" t="s">
        <v>353</v>
      </c>
      <c r="B145" s="75">
        <v>26447678</v>
      </c>
      <c r="C145" s="75">
        <v>1</v>
      </c>
      <c r="D145" s="76"/>
      <c r="E145" s="77"/>
      <c r="F145" s="75">
        <v>1</v>
      </c>
      <c r="G145" s="75"/>
      <c r="H145" s="75">
        <v>1</v>
      </c>
      <c r="I145" s="106">
        <v>1</v>
      </c>
      <c r="J145" s="75" t="s">
        <v>609</v>
      </c>
      <c r="K145" s="75" t="s">
        <v>1158</v>
      </c>
      <c r="L145" s="75" t="s">
        <v>25</v>
      </c>
      <c r="M145" s="75">
        <v>1</v>
      </c>
      <c r="N145" s="75"/>
      <c r="O145" s="75"/>
      <c r="P145" s="75"/>
      <c r="Q145" s="75" t="s">
        <v>610</v>
      </c>
      <c r="R145" s="75" t="s">
        <v>915</v>
      </c>
      <c r="S145" s="75" t="s">
        <v>914</v>
      </c>
      <c r="T145" s="75"/>
      <c r="U145" s="75"/>
      <c r="V145" s="85"/>
    </row>
    <row r="146" spans="1:22">
      <c r="A146" s="13" t="s">
        <v>137</v>
      </c>
      <c r="B146" s="75">
        <v>18423610</v>
      </c>
      <c r="C146" s="75">
        <v>1</v>
      </c>
      <c r="D146" s="76"/>
      <c r="E146" s="77"/>
      <c r="F146" s="75">
        <v>1</v>
      </c>
      <c r="G146" s="75"/>
      <c r="H146" s="75">
        <v>1</v>
      </c>
      <c r="I146" s="106">
        <v>1</v>
      </c>
      <c r="J146" s="75" t="s">
        <v>433</v>
      </c>
      <c r="K146" s="75" t="s">
        <v>1152</v>
      </c>
      <c r="L146" s="75" t="s">
        <v>434</v>
      </c>
      <c r="M146" s="75">
        <v>0</v>
      </c>
      <c r="N146" s="75"/>
      <c r="O146" s="75"/>
      <c r="P146" s="75"/>
      <c r="Q146" s="75" t="s">
        <v>435</v>
      </c>
      <c r="R146" s="79" t="s">
        <v>436</v>
      </c>
      <c r="S146" s="75"/>
      <c r="T146" s="75"/>
      <c r="U146" s="75"/>
      <c r="V146" s="85"/>
    </row>
    <row r="147" spans="1:22">
      <c r="A147" s="13" t="s">
        <v>215</v>
      </c>
      <c r="B147" s="75">
        <v>27722837</v>
      </c>
      <c r="C147" s="75">
        <v>1</v>
      </c>
      <c r="D147" s="76"/>
      <c r="E147" s="77"/>
      <c r="F147" s="75">
        <v>1</v>
      </c>
      <c r="G147" s="75"/>
      <c r="H147" s="75">
        <v>1</v>
      </c>
      <c r="I147" s="106">
        <v>1</v>
      </c>
      <c r="J147" s="75" t="s">
        <v>608</v>
      </c>
      <c r="K147" s="75" t="s">
        <v>1158</v>
      </c>
      <c r="L147" s="75" t="s">
        <v>591</v>
      </c>
      <c r="M147" s="75">
        <v>1</v>
      </c>
      <c r="N147" s="75"/>
      <c r="O147" s="75"/>
      <c r="P147" s="75"/>
      <c r="Q147" s="75" t="s">
        <v>610</v>
      </c>
      <c r="R147" s="79" t="s">
        <v>39</v>
      </c>
      <c r="S147" s="75"/>
      <c r="T147" s="75"/>
      <c r="U147" s="75"/>
      <c r="V147" s="85" t="s">
        <v>611</v>
      </c>
    </row>
    <row r="148" spans="1:22">
      <c r="A148" s="13" t="s">
        <v>216</v>
      </c>
      <c r="B148" s="75">
        <v>26645740</v>
      </c>
      <c r="C148" s="75">
        <v>1</v>
      </c>
      <c r="D148" s="76"/>
      <c r="E148" s="77"/>
      <c r="F148" s="75">
        <v>1</v>
      </c>
      <c r="G148" s="75"/>
      <c r="H148" s="75">
        <v>1</v>
      </c>
      <c r="I148" s="106">
        <v>1</v>
      </c>
      <c r="J148" s="75" t="s">
        <v>608</v>
      </c>
      <c r="K148" s="75" t="s">
        <v>1158</v>
      </c>
      <c r="L148" s="75" t="s">
        <v>591</v>
      </c>
      <c r="M148" s="75">
        <v>1</v>
      </c>
      <c r="N148" s="75"/>
      <c r="O148" s="75"/>
      <c r="P148" s="75"/>
      <c r="Q148" s="75" t="s">
        <v>610</v>
      </c>
      <c r="R148" s="79" t="s">
        <v>39</v>
      </c>
      <c r="S148" s="75"/>
      <c r="T148" s="75"/>
      <c r="U148" s="75"/>
      <c r="V148" s="85" t="s">
        <v>611</v>
      </c>
    </row>
    <row r="149" spans="1:22">
      <c r="A149" s="13" t="s">
        <v>170</v>
      </c>
      <c r="B149" s="75">
        <v>24165904</v>
      </c>
      <c r="C149" s="75">
        <v>1</v>
      </c>
      <c r="D149" s="76"/>
      <c r="E149" s="77"/>
      <c r="F149" s="75">
        <v>1</v>
      </c>
      <c r="G149" s="75"/>
      <c r="H149" s="75">
        <v>1</v>
      </c>
      <c r="I149" s="106">
        <v>1</v>
      </c>
      <c r="J149" s="75" t="s">
        <v>497</v>
      </c>
      <c r="K149" s="75" t="s">
        <v>1198</v>
      </c>
      <c r="L149" s="75" t="s">
        <v>498</v>
      </c>
      <c r="M149" s="75">
        <v>0</v>
      </c>
      <c r="N149" s="75"/>
      <c r="O149" s="75"/>
      <c r="P149" s="75"/>
      <c r="Q149" s="75" t="s">
        <v>496</v>
      </c>
      <c r="R149" s="79" t="s">
        <v>499</v>
      </c>
      <c r="S149" s="75"/>
      <c r="T149" s="75"/>
      <c r="U149" s="75"/>
      <c r="V149" s="85"/>
    </row>
    <row r="150" spans="1:22">
      <c r="A150" s="13" t="s">
        <v>291</v>
      </c>
      <c r="B150" s="75">
        <v>23755991</v>
      </c>
      <c r="C150" s="75">
        <v>1</v>
      </c>
      <c r="D150" s="76"/>
      <c r="E150" s="77"/>
      <c r="F150" s="75">
        <v>1</v>
      </c>
      <c r="G150" s="75"/>
      <c r="H150" s="75">
        <v>1</v>
      </c>
      <c r="I150" s="106">
        <v>1</v>
      </c>
      <c r="J150" s="75" t="s">
        <v>764</v>
      </c>
      <c r="K150" s="75" t="s">
        <v>1160</v>
      </c>
      <c r="L150" s="75" t="s">
        <v>762</v>
      </c>
      <c r="M150" s="75">
        <v>1</v>
      </c>
      <c r="N150" s="75"/>
      <c r="O150" s="75"/>
      <c r="P150" s="75"/>
      <c r="Q150" s="75" t="s">
        <v>763</v>
      </c>
      <c r="R150" s="79"/>
      <c r="S150" s="75"/>
      <c r="T150" s="75"/>
      <c r="U150" s="75"/>
      <c r="V150" s="85"/>
    </row>
    <row r="151" spans="1:22">
      <c r="A151" s="13" t="s">
        <v>78</v>
      </c>
      <c r="B151" s="75">
        <v>26372003</v>
      </c>
      <c r="C151" s="75">
        <v>1</v>
      </c>
      <c r="D151" s="76"/>
      <c r="E151" s="77"/>
      <c r="F151" s="75">
        <v>1</v>
      </c>
      <c r="G151" s="75"/>
      <c r="H151" s="75">
        <v>1</v>
      </c>
      <c r="I151" s="106">
        <v>1</v>
      </c>
      <c r="J151" s="75"/>
      <c r="K151" s="75" t="s">
        <v>1146</v>
      </c>
      <c r="L151" s="75" t="s">
        <v>20</v>
      </c>
      <c r="M151" s="75">
        <v>1</v>
      </c>
      <c r="N151" s="75"/>
      <c r="O151" s="75"/>
      <c r="P151" s="75"/>
      <c r="Q151" s="75" t="s">
        <v>19</v>
      </c>
      <c r="R151" s="79" t="s">
        <v>12</v>
      </c>
      <c r="S151" s="75" t="s">
        <v>12</v>
      </c>
      <c r="T151" s="75"/>
      <c r="U151" s="75"/>
      <c r="V151" s="85"/>
    </row>
    <row r="152" spans="1:22">
      <c r="A152" s="13" t="s">
        <v>196</v>
      </c>
      <c r="B152" s="75">
        <v>17916253</v>
      </c>
      <c r="C152" s="75">
        <v>1</v>
      </c>
      <c r="D152" s="76"/>
      <c r="E152" s="77"/>
      <c r="F152" s="75">
        <v>1</v>
      </c>
      <c r="G152" s="75"/>
      <c r="H152" s="75">
        <v>1</v>
      </c>
      <c r="I152" s="106">
        <v>1</v>
      </c>
      <c r="J152" s="75"/>
      <c r="K152" s="75" t="s">
        <v>1157</v>
      </c>
      <c r="L152" s="75" t="s">
        <v>560</v>
      </c>
      <c r="M152" s="75">
        <v>0</v>
      </c>
      <c r="N152" s="75"/>
      <c r="O152" s="75"/>
      <c r="P152" s="75"/>
      <c r="Q152" s="75" t="s">
        <v>564</v>
      </c>
      <c r="R152" s="79" t="s">
        <v>24</v>
      </c>
      <c r="S152" s="75" t="s">
        <v>565</v>
      </c>
      <c r="T152" s="75"/>
      <c r="U152" s="75"/>
      <c r="V152" s="85"/>
    </row>
    <row r="153" spans="1:22">
      <c r="A153" s="13" t="s">
        <v>204</v>
      </c>
      <c r="B153" s="75">
        <v>20088647</v>
      </c>
      <c r="C153" s="75">
        <v>1</v>
      </c>
      <c r="D153" s="76"/>
      <c r="E153" s="77"/>
      <c r="F153" s="94">
        <v>1</v>
      </c>
      <c r="G153" s="75"/>
      <c r="H153" s="81">
        <v>1</v>
      </c>
      <c r="I153" s="106">
        <v>1</v>
      </c>
      <c r="J153" s="75"/>
      <c r="K153" s="75"/>
      <c r="L153" s="75" t="s">
        <v>583</v>
      </c>
      <c r="M153" s="75">
        <v>1</v>
      </c>
      <c r="N153" s="75"/>
      <c r="O153" s="75"/>
      <c r="P153" s="75"/>
      <c r="Q153" s="75" t="s">
        <v>23</v>
      </c>
      <c r="R153" s="79" t="s">
        <v>582</v>
      </c>
      <c r="S153" s="75"/>
      <c r="T153" s="75"/>
      <c r="U153" s="75"/>
      <c r="V153" s="85" t="s">
        <v>584</v>
      </c>
    </row>
    <row r="154" spans="1:22">
      <c r="A154" s="13" t="s">
        <v>211</v>
      </c>
      <c r="B154" s="75">
        <v>24025760</v>
      </c>
      <c r="C154" s="75">
        <v>1</v>
      </c>
      <c r="D154" s="76"/>
      <c r="E154" s="77"/>
      <c r="F154" s="75">
        <v>1</v>
      </c>
      <c r="G154" s="75"/>
      <c r="H154" s="81">
        <v>1</v>
      </c>
      <c r="I154" s="106">
        <v>1</v>
      </c>
      <c r="J154" s="75"/>
      <c r="K154" s="75" t="s">
        <v>1164</v>
      </c>
      <c r="L154" s="75" t="s">
        <v>25</v>
      </c>
      <c r="M154" s="75">
        <v>1</v>
      </c>
      <c r="N154" s="75"/>
      <c r="O154" s="75"/>
      <c r="P154" s="75"/>
      <c r="Q154" s="75" t="s">
        <v>602</v>
      </c>
      <c r="R154" s="79" t="s">
        <v>33</v>
      </c>
      <c r="S154" s="75"/>
      <c r="T154" s="75"/>
      <c r="U154" s="75"/>
      <c r="V154" s="85"/>
    </row>
    <row r="155" spans="1:22">
      <c r="A155" s="13" t="s">
        <v>230</v>
      </c>
      <c r="B155" s="75">
        <v>18093809</v>
      </c>
      <c r="C155" s="75">
        <v>1</v>
      </c>
      <c r="D155" s="76"/>
      <c r="E155" s="77"/>
      <c r="F155" s="75">
        <v>1</v>
      </c>
      <c r="G155" s="75"/>
      <c r="H155" s="75">
        <v>1</v>
      </c>
      <c r="I155" s="106">
        <v>1</v>
      </c>
      <c r="J155" s="75"/>
      <c r="K155" s="75" t="s">
        <v>642</v>
      </c>
      <c r="L155" s="75" t="s">
        <v>376</v>
      </c>
      <c r="M155" s="75">
        <v>1</v>
      </c>
      <c r="N155" s="75"/>
      <c r="O155" s="75"/>
      <c r="P155" s="75"/>
      <c r="Q155" s="75" t="s">
        <v>641</v>
      </c>
      <c r="R155" s="79" t="s">
        <v>56</v>
      </c>
      <c r="S155" s="75"/>
      <c r="T155" s="75"/>
      <c r="U155" s="75"/>
      <c r="V155" s="85" t="s">
        <v>640</v>
      </c>
    </row>
    <row r="156" spans="1:22">
      <c r="A156" s="13" t="s">
        <v>240</v>
      </c>
      <c r="B156" s="75">
        <v>25180439</v>
      </c>
      <c r="C156" s="75">
        <v>1</v>
      </c>
      <c r="D156" s="76" t="s">
        <v>1778</v>
      </c>
      <c r="E156" s="77" t="s">
        <v>1761</v>
      </c>
      <c r="F156" s="81">
        <v>1</v>
      </c>
      <c r="G156" s="75" t="s">
        <v>1744</v>
      </c>
      <c r="H156" s="81">
        <v>0</v>
      </c>
      <c r="I156" s="106">
        <v>1</v>
      </c>
      <c r="J156" s="75"/>
      <c r="K156" s="75" t="s">
        <v>1167</v>
      </c>
      <c r="L156" s="75" t="s">
        <v>659</v>
      </c>
      <c r="M156" s="75">
        <v>1</v>
      </c>
      <c r="N156" s="75"/>
      <c r="O156" s="75"/>
      <c r="P156" s="75"/>
      <c r="Q156" s="75" t="s">
        <v>658</v>
      </c>
      <c r="R156" s="79" t="s">
        <v>24</v>
      </c>
      <c r="S156" s="75"/>
      <c r="T156" s="75"/>
      <c r="U156" s="75"/>
      <c r="V156" s="85" t="s">
        <v>660</v>
      </c>
    </row>
    <row r="157" spans="1:22">
      <c r="A157" s="13" t="s">
        <v>242</v>
      </c>
      <c r="B157" s="75">
        <v>26110112</v>
      </c>
      <c r="C157" s="75">
        <v>1</v>
      </c>
      <c r="D157" s="76"/>
      <c r="E157" s="77" t="s">
        <v>1745</v>
      </c>
      <c r="F157" s="81">
        <v>1</v>
      </c>
      <c r="G157" s="75" t="s">
        <v>1745</v>
      </c>
      <c r="H157" s="75">
        <v>0</v>
      </c>
      <c r="I157" s="106">
        <v>1</v>
      </c>
      <c r="J157" s="75"/>
      <c r="K157" s="75" t="s">
        <v>1158</v>
      </c>
      <c r="L157" s="75" t="s">
        <v>659</v>
      </c>
      <c r="M157" s="75">
        <v>1</v>
      </c>
      <c r="N157" s="75"/>
      <c r="O157" s="75"/>
      <c r="P157" s="75"/>
      <c r="Q157" s="75"/>
      <c r="R157" s="79" t="s">
        <v>56</v>
      </c>
      <c r="S157" s="75"/>
      <c r="T157" s="75"/>
      <c r="U157" s="75"/>
      <c r="V157" s="85" t="s">
        <v>516</v>
      </c>
    </row>
    <row r="158" spans="1:22">
      <c r="A158" s="13" t="s">
        <v>354</v>
      </c>
      <c r="B158" s="75">
        <v>26042021</v>
      </c>
      <c r="C158" s="75">
        <v>1</v>
      </c>
      <c r="D158" s="76" t="s">
        <v>1745</v>
      </c>
      <c r="E158" s="77" t="s">
        <v>1769</v>
      </c>
      <c r="F158" s="81">
        <v>1</v>
      </c>
      <c r="G158" s="75" t="s">
        <v>1753</v>
      </c>
      <c r="H158" s="75">
        <v>0</v>
      </c>
      <c r="I158" s="106">
        <v>1</v>
      </c>
      <c r="J158" s="75"/>
      <c r="K158" s="75"/>
      <c r="L158" s="75" t="s">
        <v>693</v>
      </c>
      <c r="M158" s="75"/>
      <c r="N158" s="75"/>
      <c r="O158" s="75"/>
      <c r="P158" s="75"/>
      <c r="Q158" s="75"/>
      <c r="R158" s="75"/>
      <c r="S158" s="75"/>
      <c r="T158" s="75"/>
      <c r="U158" s="75"/>
      <c r="V158" s="85" t="s">
        <v>916</v>
      </c>
    </row>
  </sheetData>
  <sheetProtection password="DB7D" sheet="1" objects="1" scenarios="1"/>
  <pageMargins left="0.7" right="0.7" top="0.75" bottom="0.75" header="0.3" footer="0.3"/>
  <pageSetup paperSize="9" orientation="landscape"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V266"/>
  <sheetViews>
    <sheetView topLeftCell="A230" zoomScale="58" zoomScaleNormal="58" zoomScalePageLayoutView="58" workbookViewId="0">
      <selection activeCell="A96" sqref="A96"/>
    </sheetView>
  </sheetViews>
  <sheetFormatPr baseColWidth="10" defaultColWidth="11" defaultRowHeight="16"/>
  <cols>
    <col min="1" max="1" width="21" customWidth="1"/>
    <col min="3" max="3" width="6" customWidth="1"/>
    <col min="4" max="4" width="7" customWidth="1"/>
    <col min="5" max="5" width="9" customWidth="1"/>
    <col min="6" max="7" width="12.33203125" customWidth="1"/>
    <col min="8" max="8" width="7" customWidth="1"/>
    <col min="9" max="9" width="5.6640625" customWidth="1"/>
    <col min="10" max="10" width="20" customWidth="1"/>
    <col min="11" max="11" width="22.33203125" customWidth="1"/>
    <col min="12" max="12" width="20.6640625" customWidth="1"/>
    <col min="13" max="13" width="10" customWidth="1"/>
    <col min="14" max="14" width="9.33203125" customWidth="1"/>
    <col min="15" max="15" width="7.5" customWidth="1"/>
    <col min="16" max="16" width="9" customWidth="1"/>
    <col min="17" max="17" width="25.5" customWidth="1"/>
    <col min="18" max="18" width="18.33203125" customWidth="1"/>
    <col min="19" max="19" width="23.33203125" customWidth="1"/>
    <col min="20" max="20" width="25" customWidth="1"/>
    <col min="21" max="21" width="15.33203125" customWidth="1"/>
  </cols>
  <sheetData>
    <row r="1" spans="1:22">
      <c r="A1" s="87" t="s">
        <v>367</v>
      </c>
      <c r="B1" s="87" t="s">
        <v>0</v>
      </c>
      <c r="C1" s="87" t="s">
        <v>1794</v>
      </c>
      <c r="D1" s="88" t="s">
        <v>1789</v>
      </c>
      <c r="E1" s="89" t="s">
        <v>1770</v>
      </c>
      <c r="F1" s="87" t="s">
        <v>1727</v>
      </c>
      <c r="G1" s="87" t="s">
        <v>1728</v>
      </c>
      <c r="H1" s="87" t="s">
        <v>1</v>
      </c>
      <c r="I1" s="107" t="s">
        <v>1906</v>
      </c>
      <c r="J1" s="87" t="s">
        <v>1237</v>
      </c>
      <c r="K1" s="87" t="s">
        <v>40</v>
      </c>
      <c r="L1" s="68" t="s">
        <v>1908</v>
      </c>
      <c r="M1" s="87" t="s">
        <v>1907</v>
      </c>
      <c r="N1" s="87" t="s">
        <v>6</v>
      </c>
      <c r="O1" s="87" t="s">
        <v>1122</v>
      </c>
      <c r="P1" s="87" t="s">
        <v>1120</v>
      </c>
      <c r="Q1" s="87" t="s">
        <v>5</v>
      </c>
      <c r="R1" s="87" t="s">
        <v>3</v>
      </c>
      <c r="S1" s="87" t="s">
        <v>4</v>
      </c>
      <c r="T1" s="87" t="s">
        <v>507</v>
      </c>
      <c r="U1" s="87" t="s">
        <v>1650</v>
      </c>
      <c r="V1" s="87" t="s">
        <v>1909</v>
      </c>
    </row>
    <row r="2" spans="1:22">
      <c r="A2" s="75" t="s">
        <v>366</v>
      </c>
      <c r="B2" s="75">
        <v>9465143</v>
      </c>
      <c r="C2" s="80" t="s">
        <v>1796</v>
      </c>
      <c r="D2" s="76"/>
      <c r="E2" s="77"/>
      <c r="F2" s="75">
        <v>1</v>
      </c>
      <c r="G2" s="75"/>
      <c r="H2" s="75">
        <v>1</v>
      </c>
      <c r="I2" s="106">
        <v>1</v>
      </c>
      <c r="J2" s="75" t="s">
        <v>940</v>
      </c>
      <c r="K2" s="75" t="s">
        <v>1147</v>
      </c>
      <c r="L2" s="75" t="s">
        <v>25</v>
      </c>
      <c r="M2" s="75">
        <v>1</v>
      </c>
      <c r="N2" s="75"/>
      <c r="O2" s="75"/>
      <c r="P2" s="75"/>
      <c r="Q2" s="75" t="s">
        <v>939</v>
      </c>
      <c r="R2" s="75"/>
      <c r="S2" s="75"/>
      <c r="T2" s="75"/>
      <c r="U2" s="75"/>
      <c r="V2" s="75"/>
    </row>
    <row r="3" spans="1:22">
      <c r="A3" s="75" t="s">
        <v>119</v>
      </c>
      <c r="B3" s="75">
        <v>24330891</v>
      </c>
      <c r="C3" s="93" t="s">
        <v>1796</v>
      </c>
      <c r="D3" s="76"/>
      <c r="E3" s="77"/>
      <c r="F3" s="75">
        <v>1</v>
      </c>
      <c r="G3" s="75"/>
      <c r="H3" s="75">
        <v>1</v>
      </c>
      <c r="I3" s="106">
        <v>1</v>
      </c>
      <c r="J3" s="75" t="s">
        <v>401</v>
      </c>
      <c r="K3" s="75" t="s">
        <v>1180</v>
      </c>
      <c r="L3" s="75" t="s">
        <v>402</v>
      </c>
      <c r="M3" s="75">
        <v>1</v>
      </c>
      <c r="N3" s="75"/>
      <c r="O3" s="75"/>
      <c r="P3" s="75"/>
      <c r="Q3" s="75" t="s">
        <v>400</v>
      </c>
      <c r="R3" s="79" t="s">
        <v>24</v>
      </c>
      <c r="S3" s="75"/>
      <c r="T3" s="75"/>
      <c r="U3" s="75"/>
      <c r="V3" s="75"/>
    </row>
    <row r="4" spans="1:22">
      <c r="A4" s="75" t="s">
        <v>258</v>
      </c>
      <c r="B4" s="75">
        <v>21093682</v>
      </c>
      <c r="C4" s="80" t="s">
        <v>1796</v>
      </c>
      <c r="D4" s="76" t="s">
        <v>1745</v>
      </c>
      <c r="E4" s="77" t="s">
        <v>1745</v>
      </c>
      <c r="F4" s="81">
        <v>1</v>
      </c>
      <c r="G4" s="75" t="s">
        <v>1748</v>
      </c>
      <c r="H4" s="75">
        <v>0</v>
      </c>
      <c r="I4" s="106">
        <v>1</v>
      </c>
      <c r="J4" s="75"/>
      <c r="K4" s="75"/>
      <c r="L4" s="75" t="s">
        <v>693</v>
      </c>
      <c r="M4" s="75"/>
      <c r="N4" s="75"/>
      <c r="O4" s="75"/>
      <c r="P4" s="75"/>
      <c r="Q4" s="75"/>
      <c r="R4" s="79"/>
      <c r="S4" s="75"/>
      <c r="T4" s="75"/>
      <c r="U4" s="75"/>
      <c r="V4" s="75" t="s">
        <v>516</v>
      </c>
    </row>
    <row r="5" spans="1:22">
      <c r="A5" s="75" t="s">
        <v>79</v>
      </c>
      <c r="B5" s="75">
        <v>10217920</v>
      </c>
      <c r="C5" s="75">
        <v>1</v>
      </c>
      <c r="D5" s="76"/>
      <c r="E5" s="77"/>
      <c r="F5" s="81">
        <v>1</v>
      </c>
      <c r="G5" s="75" t="s">
        <v>1730</v>
      </c>
      <c r="H5" s="75">
        <v>1</v>
      </c>
      <c r="I5" s="106">
        <v>1</v>
      </c>
      <c r="J5" s="75" t="s">
        <v>23</v>
      </c>
      <c r="K5" s="75"/>
      <c r="L5" s="75" t="s">
        <v>25</v>
      </c>
      <c r="M5" s="75">
        <v>1</v>
      </c>
      <c r="N5" s="75"/>
      <c r="O5" s="75"/>
      <c r="P5" s="75"/>
      <c r="Q5" s="75" t="s">
        <v>23</v>
      </c>
      <c r="R5" s="79"/>
      <c r="S5" s="75"/>
      <c r="T5" s="75"/>
      <c r="U5" s="75"/>
      <c r="V5" s="75"/>
    </row>
    <row r="6" spans="1:22">
      <c r="A6" s="75" t="s">
        <v>237</v>
      </c>
      <c r="B6" s="75">
        <v>20144193</v>
      </c>
      <c r="C6" s="75">
        <v>1</v>
      </c>
      <c r="D6" s="76"/>
      <c r="E6" s="77"/>
      <c r="F6" s="75">
        <v>1</v>
      </c>
      <c r="G6" s="75"/>
      <c r="H6" s="81">
        <v>1</v>
      </c>
      <c r="I6" s="106">
        <v>1</v>
      </c>
      <c r="J6" s="75" t="s">
        <v>23</v>
      </c>
      <c r="K6" s="75"/>
      <c r="L6" s="75" t="s">
        <v>523</v>
      </c>
      <c r="M6" s="75">
        <v>0</v>
      </c>
      <c r="N6" s="75"/>
      <c r="O6" s="75"/>
      <c r="P6" s="75"/>
      <c r="Q6" s="75" t="s">
        <v>654</v>
      </c>
      <c r="R6" s="79" t="s">
        <v>24</v>
      </c>
      <c r="S6" s="75"/>
      <c r="T6" s="75"/>
      <c r="U6" s="75"/>
      <c r="V6" s="75" t="s">
        <v>655</v>
      </c>
    </row>
    <row r="7" spans="1:22">
      <c r="A7" s="75" t="s">
        <v>238</v>
      </c>
      <c r="B7" s="75">
        <v>19756511</v>
      </c>
      <c r="C7" s="75">
        <v>1</v>
      </c>
      <c r="D7" s="76"/>
      <c r="E7" s="77"/>
      <c r="F7" s="75">
        <v>1</v>
      </c>
      <c r="G7" s="75"/>
      <c r="H7" s="81">
        <v>1</v>
      </c>
      <c r="I7" s="106">
        <v>1</v>
      </c>
      <c r="J7" s="75" t="s">
        <v>23</v>
      </c>
      <c r="K7" s="75"/>
      <c r="L7" s="75" t="s">
        <v>523</v>
      </c>
      <c r="M7" s="75">
        <v>0</v>
      </c>
      <c r="N7" s="75"/>
      <c r="O7" s="75"/>
      <c r="P7" s="75"/>
      <c r="Q7" s="75" t="s">
        <v>654</v>
      </c>
      <c r="R7" s="79" t="s">
        <v>24</v>
      </c>
      <c r="S7" s="75"/>
      <c r="T7" s="75"/>
      <c r="U7" s="75"/>
      <c r="V7" s="75" t="s">
        <v>656</v>
      </c>
    </row>
    <row r="8" spans="1:22">
      <c r="A8" s="75" t="s">
        <v>120</v>
      </c>
      <c r="B8" s="75">
        <v>27214523</v>
      </c>
      <c r="C8" s="75">
        <v>1</v>
      </c>
      <c r="D8" s="83" t="s">
        <v>1775</v>
      </c>
      <c r="E8" s="77" t="s">
        <v>1760</v>
      </c>
      <c r="F8" s="81">
        <v>1</v>
      </c>
      <c r="G8" s="75"/>
      <c r="H8" s="75">
        <v>0</v>
      </c>
      <c r="I8" s="106">
        <v>1</v>
      </c>
      <c r="J8" s="75" t="s">
        <v>403</v>
      </c>
      <c r="K8" s="75" t="s">
        <v>1192</v>
      </c>
      <c r="L8" s="75" t="s">
        <v>405</v>
      </c>
      <c r="M8" s="75">
        <v>1</v>
      </c>
      <c r="N8" s="75"/>
      <c r="O8" s="75"/>
      <c r="P8" s="75"/>
      <c r="Q8" s="75" t="s">
        <v>406</v>
      </c>
      <c r="R8" s="79" t="s">
        <v>404</v>
      </c>
      <c r="S8" s="75"/>
      <c r="T8" s="75"/>
      <c r="U8" s="75"/>
      <c r="V8" s="75" t="s">
        <v>407</v>
      </c>
    </row>
    <row r="9" spans="1:22">
      <c r="A9" s="75" t="s">
        <v>151</v>
      </c>
      <c r="B9" s="75">
        <v>26220415</v>
      </c>
      <c r="C9" s="75">
        <v>1</v>
      </c>
      <c r="D9" s="76"/>
      <c r="E9" s="77"/>
      <c r="F9" s="75">
        <v>1</v>
      </c>
      <c r="G9" s="75"/>
      <c r="H9" s="75">
        <v>1</v>
      </c>
      <c r="I9" s="106">
        <v>1</v>
      </c>
      <c r="J9" s="75" t="s">
        <v>465</v>
      </c>
      <c r="K9" s="75" t="s">
        <v>1153</v>
      </c>
      <c r="L9" s="75" t="s">
        <v>466</v>
      </c>
      <c r="M9" s="75">
        <v>1</v>
      </c>
      <c r="N9" s="75"/>
      <c r="O9" s="75"/>
      <c r="P9" s="75"/>
      <c r="Q9" s="75" t="s">
        <v>465</v>
      </c>
      <c r="R9" s="79" t="s">
        <v>24</v>
      </c>
      <c r="S9" s="75"/>
      <c r="T9" s="75"/>
      <c r="U9" s="75"/>
      <c r="V9" s="75" t="s">
        <v>467</v>
      </c>
    </row>
    <row r="10" spans="1:22">
      <c r="A10" s="75" t="s">
        <v>218</v>
      </c>
      <c r="B10" s="75">
        <v>24625622</v>
      </c>
      <c r="C10" s="75">
        <v>1</v>
      </c>
      <c r="D10" s="76"/>
      <c r="E10" s="77"/>
      <c r="F10" s="75">
        <v>1</v>
      </c>
      <c r="G10" s="75"/>
      <c r="H10" s="75">
        <v>1</v>
      </c>
      <c r="I10" s="106">
        <v>1</v>
      </c>
      <c r="J10" s="75" t="s">
        <v>614</v>
      </c>
      <c r="K10" s="75" t="s">
        <v>1142</v>
      </c>
      <c r="L10" s="75" t="s">
        <v>615</v>
      </c>
      <c r="M10" s="75">
        <v>1</v>
      </c>
      <c r="N10" s="75"/>
      <c r="O10" s="75"/>
      <c r="P10" s="75"/>
      <c r="Q10" s="75" t="s">
        <v>11</v>
      </c>
      <c r="R10" s="79"/>
      <c r="S10" s="75" t="s">
        <v>13</v>
      </c>
      <c r="T10" s="75"/>
      <c r="U10" s="75"/>
      <c r="V10" s="75"/>
    </row>
    <row r="11" spans="1:22">
      <c r="A11" s="75" t="s">
        <v>198</v>
      </c>
      <c r="B11" s="75">
        <v>25470729</v>
      </c>
      <c r="C11" s="75">
        <v>1</v>
      </c>
      <c r="D11" s="76"/>
      <c r="E11" s="77"/>
      <c r="F11" s="75">
        <v>1</v>
      </c>
      <c r="G11" s="75"/>
      <c r="H11" s="91">
        <v>1</v>
      </c>
      <c r="I11" s="106">
        <v>1</v>
      </c>
      <c r="J11" s="75" t="s">
        <v>570</v>
      </c>
      <c r="K11" s="75" t="s">
        <v>1147</v>
      </c>
      <c r="L11" s="75" t="s">
        <v>25</v>
      </c>
      <c r="M11" s="75">
        <v>1</v>
      </c>
      <c r="N11" s="75"/>
      <c r="O11" s="75"/>
      <c r="P11" s="75"/>
      <c r="Q11" s="75"/>
      <c r="R11" s="79"/>
      <c r="S11" s="75"/>
      <c r="T11" s="75"/>
      <c r="U11" s="75"/>
      <c r="V11" s="75"/>
    </row>
    <row r="12" spans="1:22">
      <c r="A12" s="75" t="s">
        <v>129</v>
      </c>
      <c r="B12" s="75">
        <v>23803518</v>
      </c>
      <c r="C12" s="75">
        <v>1</v>
      </c>
      <c r="D12" s="76"/>
      <c r="E12" s="77"/>
      <c r="F12" s="75">
        <v>1</v>
      </c>
      <c r="G12" s="75"/>
      <c r="H12" s="75">
        <v>1</v>
      </c>
      <c r="I12" s="106">
        <v>1</v>
      </c>
      <c r="J12" s="75" t="s">
        <v>31</v>
      </c>
      <c r="K12" s="75" t="s">
        <v>1143</v>
      </c>
      <c r="L12" s="75"/>
      <c r="M12" s="75"/>
      <c r="N12" s="75"/>
      <c r="O12" s="75"/>
      <c r="P12" s="75"/>
      <c r="Q12" s="75"/>
      <c r="R12" s="79"/>
      <c r="S12" s="75"/>
      <c r="T12" s="75"/>
      <c r="U12" s="75"/>
      <c r="V12" s="75"/>
    </row>
    <row r="13" spans="1:22">
      <c r="A13" s="75" t="s">
        <v>192</v>
      </c>
      <c r="B13" s="75">
        <v>10807961</v>
      </c>
      <c r="C13" s="75">
        <v>1</v>
      </c>
      <c r="D13" s="76"/>
      <c r="E13" s="77"/>
      <c r="F13" s="75">
        <v>1</v>
      </c>
      <c r="G13" s="75"/>
      <c r="H13" s="75">
        <v>1</v>
      </c>
      <c r="I13" s="106">
        <v>1</v>
      </c>
      <c r="J13" s="75" t="s">
        <v>31</v>
      </c>
      <c r="K13" s="75" t="s">
        <v>1157</v>
      </c>
      <c r="L13" s="75" t="s">
        <v>25</v>
      </c>
      <c r="M13" s="75">
        <v>1</v>
      </c>
      <c r="N13" s="75"/>
      <c r="O13" s="75"/>
      <c r="P13" s="75"/>
      <c r="Q13" s="75" t="s">
        <v>557</v>
      </c>
      <c r="R13" s="79" t="s">
        <v>33</v>
      </c>
      <c r="S13" s="75"/>
      <c r="T13" s="75"/>
      <c r="U13" s="75"/>
      <c r="V13" s="75"/>
    </row>
    <row r="14" spans="1:22">
      <c r="A14" s="75" t="s">
        <v>248</v>
      </c>
      <c r="B14" s="75">
        <v>26254798</v>
      </c>
      <c r="C14" s="75">
        <v>1</v>
      </c>
      <c r="D14" s="76"/>
      <c r="E14" s="77"/>
      <c r="F14" s="75">
        <v>1</v>
      </c>
      <c r="G14" s="75"/>
      <c r="H14" s="75">
        <v>1</v>
      </c>
      <c r="I14" s="106">
        <v>1</v>
      </c>
      <c r="J14" s="75" t="s">
        <v>31</v>
      </c>
      <c r="K14" s="75" t="s">
        <v>1157</v>
      </c>
      <c r="L14" s="75" t="s">
        <v>591</v>
      </c>
      <c r="M14" s="75">
        <v>1</v>
      </c>
      <c r="N14" s="75"/>
      <c r="O14" s="75"/>
      <c r="P14" s="75"/>
      <c r="Q14" s="75" t="s">
        <v>675</v>
      </c>
      <c r="R14" s="79"/>
      <c r="S14" s="75"/>
      <c r="T14" s="75"/>
      <c r="U14" s="75"/>
      <c r="V14" s="75"/>
    </row>
    <row r="15" spans="1:22">
      <c r="A15" s="75" t="s">
        <v>336</v>
      </c>
      <c r="B15" s="75">
        <v>9460740</v>
      </c>
      <c r="C15" s="75">
        <v>1</v>
      </c>
      <c r="D15" s="76"/>
      <c r="E15" s="77"/>
      <c r="F15" s="75">
        <v>1</v>
      </c>
      <c r="G15" s="75"/>
      <c r="H15" s="75">
        <v>1</v>
      </c>
      <c r="I15" s="106">
        <v>1</v>
      </c>
      <c r="J15" s="75" t="s">
        <v>31</v>
      </c>
      <c r="K15" s="75" t="s">
        <v>1157</v>
      </c>
      <c r="L15" s="75" t="s">
        <v>819</v>
      </c>
      <c r="M15" s="75">
        <v>1</v>
      </c>
      <c r="N15" s="75"/>
      <c r="O15" s="75"/>
      <c r="P15" s="75"/>
      <c r="Q15" s="75" t="s">
        <v>873</v>
      </c>
      <c r="R15" s="75" t="s">
        <v>24</v>
      </c>
      <c r="S15" s="75" t="s">
        <v>24</v>
      </c>
      <c r="T15" s="75"/>
      <c r="U15" s="75"/>
      <c r="V15" s="75"/>
    </row>
    <row r="16" spans="1:22">
      <c r="A16" s="75" t="s">
        <v>135</v>
      </c>
      <c r="B16" s="75">
        <v>24695267</v>
      </c>
      <c r="C16" s="75">
        <v>1</v>
      </c>
      <c r="D16" s="76"/>
      <c r="E16" s="77"/>
      <c r="F16" s="75">
        <v>1</v>
      </c>
      <c r="G16" s="75"/>
      <c r="H16" s="75">
        <v>1</v>
      </c>
      <c r="I16" s="106">
        <v>1</v>
      </c>
      <c r="J16" s="75" t="s">
        <v>429</v>
      </c>
      <c r="K16" s="75" t="s">
        <v>1173</v>
      </c>
      <c r="L16" s="75" t="s">
        <v>412</v>
      </c>
      <c r="M16" s="75">
        <v>1</v>
      </c>
      <c r="N16" s="75"/>
      <c r="O16" s="75"/>
      <c r="P16" s="75"/>
      <c r="Q16" s="75" t="s">
        <v>428</v>
      </c>
      <c r="R16" s="79"/>
      <c r="S16" s="75"/>
      <c r="T16" s="75"/>
      <c r="U16" s="75"/>
      <c r="V16" s="75"/>
    </row>
    <row r="17" spans="1:22">
      <c r="A17" s="75" t="s">
        <v>337</v>
      </c>
      <c r="B17" s="75">
        <v>11853357</v>
      </c>
      <c r="C17" s="75">
        <v>1</v>
      </c>
      <c r="D17" s="76"/>
      <c r="E17" s="77"/>
      <c r="F17" s="75">
        <v>1</v>
      </c>
      <c r="G17" s="75"/>
      <c r="H17" s="75">
        <v>1</v>
      </c>
      <c r="I17" s="106">
        <v>1</v>
      </c>
      <c r="J17" s="75" t="s">
        <v>874</v>
      </c>
      <c r="K17" s="75" t="s">
        <v>1172</v>
      </c>
      <c r="L17" s="75" t="s">
        <v>25</v>
      </c>
      <c r="M17" s="75">
        <v>1</v>
      </c>
      <c r="N17" s="75"/>
      <c r="O17" s="75"/>
      <c r="P17" s="75"/>
      <c r="Q17" s="75" t="s">
        <v>875</v>
      </c>
      <c r="R17" s="75" t="s">
        <v>24</v>
      </c>
      <c r="S17" s="75" t="s">
        <v>24</v>
      </c>
      <c r="T17" s="75"/>
      <c r="U17" s="75"/>
      <c r="V17" s="75"/>
    </row>
    <row r="18" spans="1:22">
      <c r="A18" s="75" t="s">
        <v>125</v>
      </c>
      <c r="B18" s="75">
        <v>22950039</v>
      </c>
      <c r="C18" s="75">
        <v>1</v>
      </c>
      <c r="D18" s="76"/>
      <c r="E18" s="77"/>
      <c r="F18" s="75">
        <v>1</v>
      </c>
      <c r="G18" s="75"/>
      <c r="H18" s="75">
        <v>1</v>
      </c>
      <c r="I18" s="106">
        <v>1</v>
      </c>
      <c r="J18" s="75" t="s">
        <v>414</v>
      </c>
      <c r="K18" s="75" t="s">
        <v>1149</v>
      </c>
      <c r="L18" s="75" t="s">
        <v>20</v>
      </c>
      <c r="M18" s="75">
        <v>1</v>
      </c>
      <c r="N18" s="75"/>
      <c r="O18" s="75"/>
      <c r="P18" s="75"/>
      <c r="Q18" s="75" t="s">
        <v>415</v>
      </c>
      <c r="R18" s="79"/>
      <c r="S18" s="75"/>
      <c r="T18" s="75"/>
      <c r="U18" s="75"/>
      <c r="V18" s="75"/>
    </row>
    <row r="19" spans="1:22">
      <c r="A19" s="75" t="s">
        <v>111</v>
      </c>
      <c r="B19" s="75">
        <v>10378168</v>
      </c>
      <c r="C19" s="75">
        <v>1</v>
      </c>
      <c r="D19" s="76"/>
      <c r="E19" s="77"/>
      <c r="F19" s="75">
        <v>1</v>
      </c>
      <c r="G19" s="75" t="s">
        <v>1734</v>
      </c>
      <c r="H19" s="84">
        <v>1</v>
      </c>
      <c r="I19" s="106">
        <v>1</v>
      </c>
      <c r="J19" s="75" t="s">
        <v>383</v>
      </c>
      <c r="K19" s="75" t="s">
        <v>1143</v>
      </c>
      <c r="L19" s="75" t="s">
        <v>25</v>
      </c>
      <c r="M19" s="75">
        <v>1</v>
      </c>
      <c r="N19" s="75"/>
      <c r="O19" s="75"/>
      <c r="P19" s="75"/>
      <c r="Q19" s="75" t="s">
        <v>382</v>
      </c>
      <c r="R19" s="79"/>
      <c r="S19" s="75"/>
      <c r="T19" s="75"/>
      <c r="U19" s="75"/>
      <c r="V19" s="75"/>
    </row>
    <row r="20" spans="1:22">
      <c r="A20" s="75" t="s">
        <v>272</v>
      </c>
      <c r="B20" s="75">
        <v>16720800</v>
      </c>
      <c r="C20" s="75">
        <v>1</v>
      </c>
      <c r="D20" s="76"/>
      <c r="E20" s="77"/>
      <c r="F20" s="75">
        <v>1</v>
      </c>
      <c r="G20" s="75"/>
      <c r="H20" s="75">
        <v>1</v>
      </c>
      <c r="I20" s="106">
        <v>1</v>
      </c>
      <c r="J20" s="75" t="s">
        <v>720</v>
      </c>
      <c r="K20" s="75" t="s">
        <v>1172</v>
      </c>
      <c r="L20" s="75" t="s">
        <v>721</v>
      </c>
      <c r="M20" s="75">
        <v>1</v>
      </c>
      <c r="N20" s="75"/>
      <c r="O20" s="75"/>
      <c r="P20" s="75"/>
      <c r="Q20" s="75"/>
      <c r="R20" s="79"/>
      <c r="S20" s="75"/>
      <c r="T20" s="75"/>
      <c r="U20" s="75"/>
      <c r="V20" s="75"/>
    </row>
    <row r="21" spans="1:22">
      <c r="A21" s="75" t="s">
        <v>330</v>
      </c>
      <c r="B21" s="75">
        <v>25735018</v>
      </c>
      <c r="C21" s="75">
        <v>1</v>
      </c>
      <c r="D21" s="76"/>
      <c r="E21" s="77"/>
      <c r="F21" s="75">
        <v>1</v>
      </c>
      <c r="G21" s="75"/>
      <c r="H21" s="75">
        <v>1</v>
      </c>
      <c r="I21" s="106">
        <v>1</v>
      </c>
      <c r="J21" s="75" t="s">
        <v>860</v>
      </c>
      <c r="K21" s="75" t="s">
        <v>1154</v>
      </c>
      <c r="L21" s="75" t="s">
        <v>835</v>
      </c>
      <c r="M21" s="75">
        <v>1</v>
      </c>
      <c r="N21" s="75"/>
      <c r="O21" s="75"/>
      <c r="P21" s="75"/>
      <c r="Q21" s="75" t="s">
        <v>858</v>
      </c>
      <c r="R21" s="75" t="s">
        <v>24</v>
      </c>
      <c r="S21" s="75" t="s">
        <v>24</v>
      </c>
      <c r="T21" s="75" t="s">
        <v>859</v>
      </c>
      <c r="U21" s="75"/>
      <c r="V21" s="75"/>
    </row>
    <row r="22" spans="1:22">
      <c r="A22" s="75" t="s">
        <v>361</v>
      </c>
      <c r="B22" s="75">
        <v>7802106</v>
      </c>
      <c r="C22" s="75">
        <v>1</v>
      </c>
      <c r="D22" s="76"/>
      <c r="E22" s="77"/>
      <c r="F22" s="75">
        <v>1</v>
      </c>
      <c r="G22" s="75"/>
      <c r="H22" s="75">
        <v>1</v>
      </c>
      <c r="I22" s="106">
        <v>1</v>
      </c>
      <c r="J22" s="75" t="s">
        <v>931</v>
      </c>
      <c r="K22" s="75" t="s">
        <v>1154</v>
      </c>
      <c r="L22" s="75" t="s">
        <v>819</v>
      </c>
      <c r="M22" s="75">
        <v>1</v>
      </c>
      <c r="N22" s="75"/>
      <c r="O22" s="75"/>
      <c r="P22" s="75"/>
      <c r="Q22" s="75" t="s">
        <v>930</v>
      </c>
      <c r="R22" s="75"/>
      <c r="S22" s="75"/>
      <c r="T22" s="75"/>
      <c r="U22" s="75"/>
      <c r="V22" s="75"/>
    </row>
    <row r="23" spans="1:22">
      <c r="A23" s="75" t="s">
        <v>312</v>
      </c>
      <c r="B23" s="75">
        <v>26029852</v>
      </c>
      <c r="C23" s="75">
        <v>1</v>
      </c>
      <c r="D23" s="76"/>
      <c r="E23" s="77"/>
      <c r="F23" s="75">
        <v>1</v>
      </c>
      <c r="G23" s="75"/>
      <c r="H23" s="75">
        <v>1</v>
      </c>
      <c r="I23" s="106">
        <v>1</v>
      </c>
      <c r="J23" s="75" t="s">
        <v>812</v>
      </c>
      <c r="K23" s="75" t="s">
        <v>1154</v>
      </c>
      <c r="L23" s="75" t="s">
        <v>1194</v>
      </c>
      <c r="M23" s="75">
        <v>1</v>
      </c>
      <c r="N23" s="75"/>
      <c r="O23" s="75"/>
      <c r="P23" s="75"/>
      <c r="Q23" s="75" t="s">
        <v>492</v>
      </c>
      <c r="R23" s="79" t="s">
        <v>24</v>
      </c>
      <c r="S23" s="75" t="s">
        <v>24</v>
      </c>
      <c r="T23" s="75" t="s">
        <v>24</v>
      </c>
      <c r="U23" s="75"/>
      <c r="V23" s="75"/>
    </row>
    <row r="24" spans="1:22">
      <c r="A24" s="75" t="s">
        <v>259</v>
      </c>
      <c r="B24" s="75">
        <v>22468823</v>
      </c>
      <c r="C24" s="75">
        <v>1</v>
      </c>
      <c r="D24" s="76" t="s">
        <v>1745</v>
      </c>
      <c r="E24" s="77" t="s">
        <v>1745</v>
      </c>
      <c r="F24" s="81">
        <v>1</v>
      </c>
      <c r="G24" s="75" t="s">
        <v>1748</v>
      </c>
      <c r="H24" s="81">
        <v>1</v>
      </c>
      <c r="I24" s="106">
        <v>1</v>
      </c>
      <c r="J24" s="75" t="s">
        <v>695</v>
      </c>
      <c r="K24" s="75" t="s">
        <v>1172</v>
      </c>
      <c r="L24" s="75" t="s">
        <v>27</v>
      </c>
      <c r="M24" s="75">
        <v>0</v>
      </c>
      <c r="N24" s="75"/>
      <c r="O24" s="75"/>
      <c r="P24" s="75"/>
      <c r="Q24" s="75" t="s">
        <v>694</v>
      </c>
      <c r="R24" s="79"/>
      <c r="S24" s="75"/>
      <c r="T24" s="75"/>
      <c r="U24" s="75"/>
      <c r="V24" s="75" t="s">
        <v>696</v>
      </c>
    </row>
    <row r="25" spans="1:22">
      <c r="A25" s="75" t="s">
        <v>130</v>
      </c>
      <c r="B25" s="75">
        <v>18423611</v>
      </c>
      <c r="C25" s="75">
        <v>1</v>
      </c>
      <c r="D25" s="76"/>
      <c r="E25" s="77"/>
      <c r="F25" s="75">
        <v>1</v>
      </c>
      <c r="G25" s="75"/>
      <c r="H25" s="81">
        <v>1</v>
      </c>
      <c r="I25" s="106">
        <v>1</v>
      </c>
      <c r="J25" s="75" t="s">
        <v>421</v>
      </c>
      <c r="K25" s="75" t="s">
        <v>1151</v>
      </c>
      <c r="L25" s="75" t="s">
        <v>420</v>
      </c>
      <c r="M25" s="75">
        <v>0</v>
      </c>
      <c r="N25" s="75"/>
      <c r="O25" s="75"/>
      <c r="P25" s="75"/>
      <c r="Q25" s="75" t="s">
        <v>23</v>
      </c>
      <c r="R25" s="79"/>
      <c r="S25" s="75"/>
      <c r="T25" s="75"/>
      <c r="U25" s="75"/>
      <c r="V25" s="75" t="s">
        <v>422</v>
      </c>
    </row>
    <row r="26" spans="1:22">
      <c r="A26" s="75" t="s">
        <v>197</v>
      </c>
      <c r="B26" s="75">
        <v>16139487</v>
      </c>
      <c r="C26" s="75">
        <v>1</v>
      </c>
      <c r="D26" s="76"/>
      <c r="E26" s="77"/>
      <c r="F26" s="75">
        <v>1</v>
      </c>
      <c r="G26" s="75"/>
      <c r="H26" s="75">
        <v>1</v>
      </c>
      <c r="I26" s="106">
        <v>1</v>
      </c>
      <c r="J26" s="75" t="s">
        <v>566</v>
      </c>
      <c r="K26" s="75" t="s">
        <v>569</v>
      </c>
      <c r="L26" s="75" t="s">
        <v>567</v>
      </c>
      <c r="M26" s="75">
        <v>1</v>
      </c>
      <c r="N26" s="75"/>
      <c r="O26" s="75"/>
      <c r="P26" s="75"/>
      <c r="Q26" s="75" t="s">
        <v>568</v>
      </c>
      <c r="R26" s="79" t="s">
        <v>24</v>
      </c>
      <c r="S26" s="75"/>
      <c r="T26" s="75"/>
      <c r="U26" s="75"/>
      <c r="V26" s="75"/>
    </row>
    <row r="27" spans="1:22">
      <c r="A27" s="75" t="s">
        <v>243</v>
      </c>
      <c r="B27" s="75">
        <v>15027792</v>
      </c>
      <c r="C27" s="75">
        <v>1</v>
      </c>
      <c r="D27" s="76"/>
      <c r="E27" s="77"/>
      <c r="F27" s="75">
        <v>1</v>
      </c>
      <c r="G27" s="75"/>
      <c r="H27" s="75">
        <v>1</v>
      </c>
      <c r="I27" s="106">
        <v>1</v>
      </c>
      <c r="J27" s="75" t="s">
        <v>662</v>
      </c>
      <c r="K27" s="75" t="s">
        <v>1172</v>
      </c>
      <c r="L27" s="75" t="s">
        <v>1174</v>
      </c>
      <c r="M27" s="75">
        <v>1</v>
      </c>
      <c r="N27" s="75"/>
      <c r="O27" s="75"/>
      <c r="P27" s="75"/>
      <c r="Q27" s="75" t="s">
        <v>665</v>
      </c>
      <c r="R27" s="79" t="s">
        <v>663</v>
      </c>
      <c r="S27" s="75"/>
      <c r="T27" s="75" t="s">
        <v>664</v>
      </c>
      <c r="U27" s="75"/>
      <c r="V27" s="75"/>
    </row>
    <row r="28" spans="1:22">
      <c r="A28" s="75" t="s">
        <v>350</v>
      </c>
      <c r="B28" s="75">
        <v>23517445</v>
      </c>
      <c r="C28" s="75">
        <v>1</v>
      </c>
      <c r="D28" s="76"/>
      <c r="E28" s="77"/>
      <c r="F28" s="75">
        <v>1</v>
      </c>
      <c r="G28" s="75"/>
      <c r="H28" s="75">
        <v>1</v>
      </c>
      <c r="I28" s="106">
        <v>1</v>
      </c>
      <c r="J28" s="75" t="s">
        <v>909</v>
      </c>
      <c r="K28" s="75" t="s">
        <v>1157</v>
      </c>
      <c r="L28" s="75" t="s">
        <v>25</v>
      </c>
      <c r="M28" s="75">
        <v>1</v>
      </c>
      <c r="N28" s="75"/>
      <c r="O28" s="75"/>
      <c r="P28" s="75"/>
      <c r="Q28" s="75" t="s">
        <v>908</v>
      </c>
      <c r="R28" s="75"/>
      <c r="S28" s="75"/>
      <c r="T28" s="75"/>
      <c r="U28" s="75"/>
      <c r="V28" s="75"/>
    </row>
    <row r="29" spans="1:22">
      <c r="A29" s="75" t="s">
        <v>228</v>
      </c>
      <c r="B29" s="75">
        <v>19091328</v>
      </c>
      <c r="C29" s="75">
        <v>1</v>
      </c>
      <c r="D29" s="76"/>
      <c r="E29" s="77"/>
      <c r="F29" s="75">
        <v>1</v>
      </c>
      <c r="G29" s="75"/>
      <c r="H29" s="75">
        <v>1</v>
      </c>
      <c r="I29" s="106">
        <v>1</v>
      </c>
      <c r="J29" s="75" t="s">
        <v>636</v>
      </c>
      <c r="K29" s="75" t="s">
        <v>1158</v>
      </c>
      <c r="L29" s="75" t="s">
        <v>591</v>
      </c>
      <c r="M29" s="75">
        <v>1</v>
      </c>
      <c r="N29" s="75"/>
      <c r="O29" s="75"/>
      <c r="P29" s="75"/>
      <c r="Q29" s="75" t="s">
        <v>637</v>
      </c>
      <c r="R29" s="79" t="s">
        <v>56</v>
      </c>
      <c r="S29" s="75"/>
      <c r="T29" s="75"/>
      <c r="U29" s="75"/>
      <c r="V29" s="75"/>
    </row>
    <row r="30" spans="1:22">
      <c r="A30" s="75" t="s">
        <v>282</v>
      </c>
      <c r="B30" s="75">
        <v>26237266</v>
      </c>
      <c r="C30" s="75">
        <v>1</v>
      </c>
      <c r="D30" s="83" t="s">
        <v>1782</v>
      </c>
      <c r="E30" s="77" t="s">
        <v>1765</v>
      </c>
      <c r="F30" s="81">
        <v>0</v>
      </c>
      <c r="G30" s="75"/>
      <c r="H30" s="75">
        <v>1</v>
      </c>
      <c r="I30" s="106">
        <v>1</v>
      </c>
      <c r="J30" s="75" t="s">
        <v>741</v>
      </c>
      <c r="K30" s="75" t="s">
        <v>1161</v>
      </c>
      <c r="L30" s="75" t="s">
        <v>740</v>
      </c>
      <c r="M30" s="75">
        <v>1</v>
      </c>
      <c r="N30" s="75"/>
      <c r="O30" s="75"/>
      <c r="P30" s="75"/>
      <c r="Q30" s="75"/>
      <c r="R30" s="79"/>
      <c r="S30" s="75"/>
      <c r="T30" s="75"/>
      <c r="U30" s="75"/>
      <c r="V30" s="75"/>
    </row>
    <row r="31" spans="1:22">
      <c r="A31" s="75" t="s">
        <v>222</v>
      </c>
      <c r="B31" s="75">
        <v>7654154</v>
      </c>
      <c r="C31" s="75">
        <v>1</v>
      </c>
      <c r="D31" s="76"/>
      <c r="E31" s="77"/>
      <c r="F31" s="75">
        <v>1</v>
      </c>
      <c r="G31" s="75"/>
      <c r="H31" s="75">
        <v>1</v>
      </c>
      <c r="I31" s="106">
        <v>1</v>
      </c>
      <c r="J31" s="75" t="s">
        <v>621</v>
      </c>
      <c r="K31" s="75" t="s">
        <v>1147</v>
      </c>
      <c r="L31" s="75" t="s">
        <v>25</v>
      </c>
      <c r="M31" s="75">
        <v>1</v>
      </c>
      <c r="N31" s="75"/>
      <c r="O31" s="75"/>
      <c r="P31" s="75"/>
      <c r="Q31" s="75"/>
      <c r="R31" s="79"/>
      <c r="S31" s="75"/>
      <c r="T31" s="75"/>
      <c r="U31" s="75"/>
      <c r="V31" s="75"/>
    </row>
    <row r="32" spans="1:22">
      <c r="A32" s="75" t="s">
        <v>102</v>
      </c>
      <c r="B32" s="75">
        <v>27236589</v>
      </c>
      <c r="C32" s="75">
        <v>1</v>
      </c>
      <c r="D32" s="76"/>
      <c r="E32" s="77"/>
      <c r="F32" s="75">
        <v>1</v>
      </c>
      <c r="G32" s="75"/>
      <c r="H32" s="75">
        <v>1</v>
      </c>
      <c r="I32" s="106">
        <v>1</v>
      </c>
      <c r="J32" s="75" t="s">
        <v>72</v>
      </c>
      <c r="K32" s="75" t="s">
        <v>1148</v>
      </c>
      <c r="L32" s="75" t="s">
        <v>25</v>
      </c>
      <c r="M32" s="75">
        <v>1</v>
      </c>
      <c r="N32" s="75"/>
      <c r="O32" s="75"/>
      <c r="P32" s="75"/>
      <c r="Q32" s="75" t="s">
        <v>71</v>
      </c>
      <c r="R32" s="79"/>
      <c r="S32" s="75"/>
      <c r="T32" s="75"/>
      <c r="U32" s="75"/>
      <c r="V32" s="75"/>
    </row>
    <row r="33" spans="1:22">
      <c r="A33" s="75" t="s">
        <v>123</v>
      </c>
      <c r="B33" s="75">
        <v>24724093</v>
      </c>
      <c r="C33" s="75">
        <v>1</v>
      </c>
      <c r="D33" s="76"/>
      <c r="E33" s="77"/>
      <c r="F33" s="75">
        <v>1</v>
      </c>
      <c r="G33" s="75"/>
      <c r="H33" s="75">
        <v>1</v>
      </c>
      <c r="I33" s="106">
        <v>1</v>
      </c>
      <c r="J33" s="75" t="s">
        <v>411</v>
      </c>
      <c r="K33" s="75" t="s">
        <v>1192</v>
      </c>
      <c r="L33" s="75" t="s">
        <v>412</v>
      </c>
      <c r="M33" s="75">
        <v>1</v>
      </c>
      <c r="N33" s="75"/>
      <c r="O33" s="75"/>
      <c r="P33" s="75"/>
      <c r="Q33" s="75" t="s">
        <v>1155</v>
      </c>
      <c r="R33" s="79" t="s">
        <v>56</v>
      </c>
      <c r="S33" s="75"/>
      <c r="T33" s="75"/>
      <c r="U33" s="75"/>
      <c r="V33" s="75"/>
    </row>
    <row r="34" spans="1:22">
      <c r="A34" s="75" t="s">
        <v>288</v>
      </c>
      <c r="B34" s="75">
        <v>16055312</v>
      </c>
      <c r="C34" s="75">
        <v>1</v>
      </c>
      <c r="D34" s="76"/>
      <c r="E34" s="77"/>
      <c r="F34" s="75">
        <v>1</v>
      </c>
      <c r="G34" s="75"/>
      <c r="H34" s="75">
        <v>1</v>
      </c>
      <c r="I34" s="106">
        <v>1</v>
      </c>
      <c r="J34" s="75" t="s">
        <v>851</v>
      </c>
      <c r="K34" s="75" t="s">
        <v>780</v>
      </c>
      <c r="L34" s="75" t="s">
        <v>752</v>
      </c>
      <c r="M34" s="75">
        <v>0</v>
      </c>
      <c r="N34" s="75"/>
      <c r="O34" s="75"/>
      <c r="P34" s="75"/>
      <c r="Q34" s="75" t="s">
        <v>751</v>
      </c>
      <c r="R34" s="79" t="s">
        <v>753</v>
      </c>
      <c r="S34" s="75"/>
      <c r="T34" s="75" t="s">
        <v>754</v>
      </c>
      <c r="U34" s="75"/>
      <c r="V34" s="75"/>
    </row>
    <row r="35" spans="1:22">
      <c r="A35" s="75" t="s">
        <v>207</v>
      </c>
      <c r="B35" s="75">
        <v>8827652</v>
      </c>
      <c r="C35" s="75">
        <v>1</v>
      </c>
      <c r="D35" s="76"/>
      <c r="E35" s="77"/>
      <c r="F35" s="75">
        <v>1</v>
      </c>
      <c r="G35" s="75"/>
      <c r="H35" s="75">
        <v>1</v>
      </c>
      <c r="I35" s="106">
        <v>1</v>
      </c>
      <c r="J35" s="75" t="s">
        <v>920</v>
      </c>
      <c r="K35" s="75" t="s">
        <v>1165</v>
      </c>
      <c r="L35" s="75" t="s">
        <v>591</v>
      </c>
      <c r="M35" s="75">
        <v>1</v>
      </c>
      <c r="N35" s="75"/>
      <c r="O35" s="75"/>
      <c r="P35" s="75"/>
      <c r="Q35" s="75" t="s">
        <v>1156</v>
      </c>
      <c r="R35" s="79"/>
      <c r="S35" s="75" t="s">
        <v>592</v>
      </c>
      <c r="T35" s="75" t="s">
        <v>593</v>
      </c>
      <c r="U35" s="75"/>
      <c r="V35" s="75"/>
    </row>
    <row r="36" spans="1:22">
      <c r="A36" s="75" t="s">
        <v>191</v>
      </c>
      <c r="B36" s="75">
        <v>15027789</v>
      </c>
      <c r="C36" s="75">
        <v>1</v>
      </c>
      <c r="D36" s="76"/>
      <c r="E36" s="77"/>
      <c r="F36" s="75">
        <v>1</v>
      </c>
      <c r="G36" s="75"/>
      <c r="H36" s="75">
        <v>1</v>
      </c>
      <c r="I36" s="106">
        <v>1</v>
      </c>
      <c r="J36" s="75" t="s">
        <v>554</v>
      </c>
      <c r="K36" s="75" t="s">
        <v>555</v>
      </c>
      <c r="L36" s="75" t="s">
        <v>25</v>
      </c>
      <c r="M36" s="75">
        <v>1</v>
      </c>
      <c r="N36" s="75"/>
      <c r="O36" s="75"/>
      <c r="P36" s="75"/>
      <c r="Q36" s="75" t="s">
        <v>555</v>
      </c>
      <c r="R36" s="79" t="s">
        <v>24</v>
      </c>
      <c r="S36" s="75" t="s">
        <v>556</v>
      </c>
      <c r="T36" s="75" t="s">
        <v>510</v>
      </c>
      <c r="U36" s="75"/>
      <c r="V36" s="75"/>
    </row>
    <row r="37" spans="1:22">
      <c r="A37" s="75" t="s">
        <v>77</v>
      </c>
      <c r="B37" s="75">
        <v>23823533</v>
      </c>
      <c r="C37" s="75">
        <v>1</v>
      </c>
      <c r="D37" s="76"/>
      <c r="E37" s="77"/>
      <c r="F37" s="75">
        <v>1</v>
      </c>
      <c r="G37" s="75"/>
      <c r="H37" s="75">
        <v>1</v>
      </c>
      <c r="I37" s="106">
        <v>1</v>
      </c>
      <c r="J37" s="75" t="s">
        <v>15</v>
      </c>
      <c r="K37" s="75" t="s">
        <v>1192</v>
      </c>
      <c r="L37" s="75" t="s">
        <v>17</v>
      </c>
      <c r="M37" s="75">
        <v>1</v>
      </c>
      <c r="N37" s="75"/>
      <c r="O37" s="75"/>
      <c r="P37" s="75"/>
      <c r="Q37" s="75" t="s">
        <v>16</v>
      </c>
      <c r="R37" s="79"/>
      <c r="S37" s="75"/>
      <c r="T37" s="75"/>
      <c r="U37" s="75"/>
      <c r="V37" s="75"/>
    </row>
    <row r="38" spans="1:22">
      <c r="A38" s="75" t="s">
        <v>322</v>
      </c>
      <c r="B38" s="75">
        <v>26481979</v>
      </c>
      <c r="C38" s="75">
        <v>1</v>
      </c>
      <c r="D38" s="76"/>
      <c r="E38" s="77"/>
      <c r="F38" s="75">
        <v>1</v>
      </c>
      <c r="G38" s="75"/>
      <c r="H38" s="75">
        <v>1</v>
      </c>
      <c r="I38" s="106">
        <v>1</v>
      </c>
      <c r="J38" s="75" t="s">
        <v>21</v>
      </c>
      <c r="K38" s="75" t="s">
        <v>1163</v>
      </c>
      <c r="L38" s="75" t="s">
        <v>819</v>
      </c>
      <c r="M38" s="75">
        <v>1</v>
      </c>
      <c r="N38" s="75"/>
      <c r="O38" s="75"/>
      <c r="P38" s="75"/>
      <c r="Q38" s="75" t="s">
        <v>837</v>
      </c>
      <c r="R38" s="75" t="s">
        <v>836</v>
      </c>
      <c r="S38" s="75"/>
      <c r="T38" s="75"/>
      <c r="U38" s="75"/>
      <c r="V38" s="75"/>
    </row>
    <row r="39" spans="1:22">
      <c r="A39" s="75" t="s">
        <v>294</v>
      </c>
      <c r="B39" s="75">
        <v>21724666</v>
      </c>
      <c r="C39" s="75">
        <v>1</v>
      </c>
      <c r="D39" s="76"/>
      <c r="E39" s="77"/>
      <c r="F39" s="75">
        <v>1</v>
      </c>
      <c r="G39" s="75"/>
      <c r="H39" s="75">
        <v>1</v>
      </c>
      <c r="I39" s="106">
        <v>1</v>
      </c>
      <c r="J39" s="75" t="s">
        <v>771</v>
      </c>
      <c r="K39" s="75" t="s">
        <v>1146</v>
      </c>
      <c r="L39" s="75" t="s">
        <v>768</v>
      </c>
      <c r="M39" s="75">
        <v>0</v>
      </c>
      <c r="N39" s="75"/>
      <c r="O39" s="75"/>
      <c r="P39" s="75"/>
      <c r="Q39" s="75" t="s">
        <v>769</v>
      </c>
      <c r="R39" s="79" t="s">
        <v>56</v>
      </c>
      <c r="S39" s="75" t="s">
        <v>24</v>
      </c>
      <c r="T39" s="75" t="s">
        <v>770</v>
      </c>
      <c r="U39" s="75"/>
      <c r="V39" s="75"/>
    </row>
    <row r="40" spans="1:22">
      <c r="A40" s="75" t="s">
        <v>153</v>
      </c>
      <c r="B40" s="75">
        <v>9821567</v>
      </c>
      <c r="C40" s="75">
        <v>1</v>
      </c>
      <c r="D40" s="76"/>
      <c r="E40" s="77"/>
      <c r="F40" s="75">
        <v>1</v>
      </c>
      <c r="G40" s="75"/>
      <c r="H40" s="75">
        <v>1</v>
      </c>
      <c r="I40" s="106">
        <v>1</v>
      </c>
      <c r="J40" s="75" t="s">
        <v>468</v>
      </c>
      <c r="K40" s="75" t="s">
        <v>1162</v>
      </c>
      <c r="L40" s="75" t="s">
        <v>25</v>
      </c>
      <c r="M40" s="75">
        <v>1</v>
      </c>
      <c r="N40" s="75"/>
      <c r="O40" s="75"/>
      <c r="P40" s="75"/>
      <c r="Q40" s="75" t="s">
        <v>11</v>
      </c>
      <c r="R40" s="79" t="s">
        <v>24</v>
      </c>
      <c r="S40" s="75" t="s">
        <v>13</v>
      </c>
      <c r="T40" s="75"/>
      <c r="U40" s="75"/>
      <c r="V40" s="75"/>
    </row>
    <row r="41" spans="1:22">
      <c r="A41" s="75" t="s">
        <v>295</v>
      </c>
      <c r="B41" s="75">
        <v>25150386</v>
      </c>
      <c r="C41" s="75">
        <v>1</v>
      </c>
      <c r="D41" s="76"/>
      <c r="E41" s="77"/>
      <c r="F41" s="75">
        <v>1</v>
      </c>
      <c r="G41" s="75"/>
      <c r="H41" s="75">
        <v>1</v>
      </c>
      <c r="I41" s="106">
        <v>1</v>
      </c>
      <c r="J41" s="75" t="s">
        <v>773</v>
      </c>
      <c r="K41" s="75" t="s">
        <v>1192</v>
      </c>
      <c r="L41" s="75" t="s">
        <v>762</v>
      </c>
      <c r="M41" s="75">
        <v>1</v>
      </c>
      <c r="N41" s="75"/>
      <c r="O41" s="75"/>
      <c r="P41" s="75"/>
      <c r="Q41" s="75" t="s">
        <v>772</v>
      </c>
      <c r="R41" s="79" t="s">
        <v>33</v>
      </c>
      <c r="S41" s="75"/>
      <c r="T41" s="75"/>
      <c r="U41" s="75"/>
      <c r="V41" s="75"/>
    </row>
    <row r="42" spans="1:22">
      <c r="A42" s="75" t="s">
        <v>148</v>
      </c>
      <c r="B42" s="75">
        <v>16891562</v>
      </c>
      <c r="C42" s="75">
        <v>1</v>
      </c>
      <c r="D42" s="76"/>
      <c r="E42" s="77"/>
      <c r="F42" s="75">
        <v>1</v>
      </c>
      <c r="G42" s="75"/>
      <c r="H42" s="75">
        <v>1</v>
      </c>
      <c r="I42" s="106">
        <v>1</v>
      </c>
      <c r="J42" s="75" t="s">
        <v>457</v>
      </c>
      <c r="K42" s="75" t="s">
        <v>1147</v>
      </c>
      <c r="L42" s="75" t="s">
        <v>459</v>
      </c>
      <c r="M42" s="75">
        <v>0</v>
      </c>
      <c r="N42" s="75"/>
      <c r="O42" s="75"/>
      <c r="P42" s="75"/>
      <c r="Q42" s="75" t="s">
        <v>458</v>
      </c>
      <c r="R42" s="79"/>
      <c r="S42" s="75"/>
      <c r="T42" s="75"/>
      <c r="U42" s="75"/>
      <c r="V42" s="75"/>
    </row>
    <row r="43" spans="1:22">
      <c r="A43" s="75" t="s">
        <v>326</v>
      </c>
      <c r="B43" s="75">
        <v>16891587</v>
      </c>
      <c r="C43" s="75">
        <v>1</v>
      </c>
      <c r="D43" s="76"/>
      <c r="E43" s="77"/>
      <c r="F43" s="75">
        <v>1</v>
      </c>
      <c r="G43" s="75"/>
      <c r="H43" s="75">
        <v>1</v>
      </c>
      <c r="I43" s="106">
        <v>1</v>
      </c>
      <c r="J43" s="75" t="s">
        <v>457</v>
      </c>
      <c r="K43" s="75" t="s">
        <v>1147</v>
      </c>
      <c r="L43" s="75" t="s">
        <v>847</v>
      </c>
      <c r="M43" s="75">
        <v>1</v>
      </c>
      <c r="N43" s="75"/>
      <c r="O43" s="75"/>
      <c r="P43" s="75"/>
      <c r="Q43" s="75" t="s">
        <v>848</v>
      </c>
      <c r="R43" s="75" t="s">
        <v>56</v>
      </c>
      <c r="S43" s="75" t="s">
        <v>24</v>
      </c>
      <c r="T43" s="75"/>
      <c r="U43" s="75"/>
      <c r="V43" s="75"/>
    </row>
    <row r="44" spans="1:22">
      <c r="A44" s="75" t="s">
        <v>355</v>
      </c>
      <c r="B44" s="75">
        <v>19703322</v>
      </c>
      <c r="C44" s="75">
        <v>1</v>
      </c>
      <c r="D44" s="76"/>
      <c r="E44" s="77"/>
      <c r="F44" s="75">
        <v>1</v>
      </c>
      <c r="G44" s="75"/>
      <c r="H44" s="75">
        <v>1</v>
      </c>
      <c r="I44" s="106">
        <v>1</v>
      </c>
      <c r="J44" s="75" t="s">
        <v>457</v>
      </c>
      <c r="K44" s="75" t="s">
        <v>1147</v>
      </c>
      <c r="L44" s="75" t="s">
        <v>819</v>
      </c>
      <c r="M44" s="75">
        <v>1</v>
      </c>
      <c r="N44" s="75"/>
      <c r="O44" s="75"/>
      <c r="P44" s="75"/>
      <c r="Q44" s="75"/>
      <c r="R44" s="75" t="s">
        <v>917</v>
      </c>
      <c r="S44" s="75"/>
      <c r="T44" s="75"/>
      <c r="U44" s="75"/>
      <c r="V44" s="75"/>
    </row>
    <row r="45" spans="1:22">
      <c r="A45" s="75" t="s">
        <v>136</v>
      </c>
      <c r="B45" s="75">
        <v>19359452</v>
      </c>
      <c r="C45" s="75">
        <v>1</v>
      </c>
      <c r="D45" s="76"/>
      <c r="E45" s="77"/>
      <c r="F45" s="75">
        <v>1</v>
      </c>
      <c r="G45" s="75"/>
      <c r="H45" s="75">
        <v>1</v>
      </c>
      <c r="I45" s="106">
        <v>1</v>
      </c>
      <c r="J45" s="75" t="s">
        <v>430</v>
      </c>
      <c r="K45" s="75" t="s">
        <v>1164</v>
      </c>
      <c r="L45" s="75" t="s">
        <v>25</v>
      </c>
      <c r="M45" s="75">
        <v>1</v>
      </c>
      <c r="N45" s="75"/>
      <c r="O45" s="75"/>
      <c r="P45" s="75"/>
      <c r="Q45" s="75" t="s">
        <v>432</v>
      </c>
      <c r="R45" s="79" t="s">
        <v>431</v>
      </c>
      <c r="S45" s="75"/>
      <c r="T45" s="75"/>
      <c r="U45" s="75"/>
      <c r="V45" s="75"/>
    </row>
    <row r="46" spans="1:22">
      <c r="A46" s="75" t="s">
        <v>356</v>
      </c>
      <c r="B46" s="75">
        <v>25516381</v>
      </c>
      <c r="C46" s="75">
        <v>1</v>
      </c>
      <c r="D46" s="76"/>
      <c r="E46" s="77"/>
      <c r="F46" s="75">
        <v>1</v>
      </c>
      <c r="G46" s="75"/>
      <c r="H46" s="75">
        <v>1</v>
      </c>
      <c r="I46" s="106">
        <v>1</v>
      </c>
      <c r="J46" s="75" t="s">
        <v>919</v>
      </c>
      <c r="K46" s="75" t="s">
        <v>1192</v>
      </c>
      <c r="L46" s="75" t="s">
        <v>819</v>
      </c>
      <c r="M46" s="75">
        <v>1</v>
      </c>
      <c r="N46" s="75"/>
      <c r="O46" s="75"/>
      <c r="P46" s="75"/>
      <c r="Q46" s="75" t="s">
        <v>918</v>
      </c>
      <c r="R46" s="75" t="s">
        <v>24</v>
      </c>
      <c r="S46" s="75" t="s">
        <v>921</v>
      </c>
      <c r="T46" s="75"/>
      <c r="U46" s="75"/>
      <c r="V46" s="75"/>
    </row>
    <row r="47" spans="1:22">
      <c r="A47" s="75" t="s">
        <v>249</v>
      </c>
      <c r="B47" s="75">
        <v>23148782</v>
      </c>
      <c r="C47" s="75">
        <v>1</v>
      </c>
      <c r="D47" s="76"/>
      <c r="E47" s="77"/>
      <c r="F47" s="75">
        <v>1</v>
      </c>
      <c r="G47" s="75"/>
      <c r="H47" s="75">
        <v>1</v>
      </c>
      <c r="I47" s="106">
        <v>1</v>
      </c>
      <c r="J47" s="75" t="s">
        <v>676</v>
      </c>
      <c r="K47" s="75" t="s">
        <v>1157</v>
      </c>
      <c r="L47" s="75" t="s">
        <v>591</v>
      </c>
      <c r="M47" s="75">
        <v>1</v>
      </c>
      <c r="N47" s="75"/>
      <c r="O47" s="75"/>
      <c r="P47" s="75"/>
      <c r="Q47" s="75" t="s">
        <v>677</v>
      </c>
      <c r="R47" s="79"/>
      <c r="S47" s="75"/>
      <c r="T47" s="75"/>
      <c r="U47" s="75"/>
      <c r="V47" s="75"/>
    </row>
    <row r="48" spans="1:22">
      <c r="A48" s="75" t="s">
        <v>98</v>
      </c>
      <c r="B48" s="75">
        <v>3989520</v>
      </c>
      <c r="C48" s="75">
        <v>1</v>
      </c>
      <c r="D48" s="76"/>
      <c r="E48" s="77"/>
      <c r="F48" s="75">
        <v>1</v>
      </c>
      <c r="G48" s="75"/>
      <c r="H48" s="75">
        <v>1</v>
      </c>
      <c r="I48" s="106">
        <v>1</v>
      </c>
      <c r="J48" s="75" t="s">
        <v>1179</v>
      </c>
      <c r="K48" s="75" t="s">
        <v>1142</v>
      </c>
      <c r="L48" s="75" t="s">
        <v>25</v>
      </c>
      <c r="M48" s="75">
        <v>1</v>
      </c>
      <c r="N48" s="75"/>
      <c r="O48" s="75"/>
      <c r="P48" s="75"/>
      <c r="Q48" s="75" t="s">
        <v>67</v>
      </c>
      <c r="R48" s="79" t="s">
        <v>12</v>
      </c>
      <c r="S48" s="75"/>
      <c r="T48" s="75"/>
      <c r="U48" s="75"/>
      <c r="V48" s="75"/>
    </row>
    <row r="49" spans="1:22">
      <c r="A49" s="75" t="s">
        <v>100</v>
      </c>
      <c r="B49" s="75">
        <v>15820703</v>
      </c>
      <c r="C49" s="75">
        <v>1</v>
      </c>
      <c r="D49" s="76" t="s">
        <v>1774</v>
      </c>
      <c r="E49" s="77" t="s">
        <v>1756</v>
      </c>
      <c r="F49" s="75">
        <v>1</v>
      </c>
      <c r="G49" s="75" t="s">
        <v>1733</v>
      </c>
      <c r="H49" s="75">
        <v>1</v>
      </c>
      <c r="I49" s="106">
        <v>1</v>
      </c>
      <c r="J49" s="75" t="s">
        <v>1179</v>
      </c>
      <c r="K49" s="75" t="s">
        <v>1142</v>
      </c>
      <c r="L49" s="75" t="s">
        <v>25</v>
      </c>
      <c r="M49" s="75">
        <v>1</v>
      </c>
      <c r="N49" s="75"/>
      <c r="O49" s="75"/>
      <c r="P49" s="75"/>
      <c r="Q49" s="75" t="s">
        <v>69</v>
      </c>
      <c r="R49" s="79" t="s">
        <v>56</v>
      </c>
      <c r="S49" s="75"/>
      <c r="T49" s="75"/>
      <c r="U49" s="75"/>
      <c r="V49" s="75"/>
    </row>
    <row r="50" spans="1:22">
      <c r="A50" s="75" t="s">
        <v>345</v>
      </c>
      <c r="B50" s="75">
        <v>26522237</v>
      </c>
      <c r="C50" s="75">
        <v>1</v>
      </c>
      <c r="D50" s="76"/>
      <c r="E50" s="77"/>
      <c r="F50" s="75">
        <v>1</v>
      </c>
      <c r="G50" s="75"/>
      <c r="H50" s="81">
        <v>1</v>
      </c>
      <c r="I50" s="106">
        <v>1</v>
      </c>
      <c r="J50" s="75" t="s">
        <v>1179</v>
      </c>
      <c r="K50" s="75" t="s">
        <v>1142</v>
      </c>
      <c r="L50" s="75" t="s">
        <v>591</v>
      </c>
      <c r="M50" s="75">
        <v>1</v>
      </c>
      <c r="N50" s="75"/>
      <c r="O50" s="75"/>
      <c r="P50" s="75"/>
      <c r="Q50" s="75" t="s">
        <v>897</v>
      </c>
      <c r="R50" s="75" t="s">
        <v>24</v>
      </c>
      <c r="S50" s="75" t="s">
        <v>898</v>
      </c>
      <c r="T50" s="75"/>
      <c r="U50" s="75"/>
      <c r="V50" s="75" t="s">
        <v>899</v>
      </c>
    </row>
    <row r="51" spans="1:22">
      <c r="A51" s="75" t="s">
        <v>296</v>
      </c>
      <c r="B51" s="75">
        <v>24342149</v>
      </c>
      <c r="C51" s="75">
        <v>1</v>
      </c>
      <c r="D51" s="76"/>
      <c r="E51" s="77"/>
      <c r="F51" s="75">
        <v>1</v>
      </c>
      <c r="G51" s="75"/>
      <c r="H51" s="81">
        <v>1</v>
      </c>
      <c r="I51" s="106">
        <v>1</v>
      </c>
      <c r="J51" s="75" t="s">
        <v>775</v>
      </c>
      <c r="K51" s="75" t="s">
        <v>1164</v>
      </c>
      <c r="L51" s="75" t="s">
        <v>762</v>
      </c>
      <c r="M51" s="75">
        <v>1</v>
      </c>
      <c r="N51" s="75"/>
      <c r="O51" s="75"/>
      <c r="P51" s="75"/>
      <c r="Q51" s="75" t="s">
        <v>774</v>
      </c>
      <c r="R51" s="79" t="s">
        <v>33</v>
      </c>
      <c r="S51" s="75"/>
      <c r="T51" s="75"/>
      <c r="U51" s="75"/>
      <c r="V51" s="75" t="s">
        <v>776</v>
      </c>
    </row>
    <row r="52" spans="1:22">
      <c r="A52" s="75" t="s">
        <v>365</v>
      </c>
      <c r="B52" s="75">
        <v>17392739</v>
      </c>
      <c r="C52" s="75">
        <v>1</v>
      </c>
      <c r="D52" s="76"/>
      <c r="E52" s="77"/>
      <c r="F52" s="75">
        <v>1</v>
      </c>
      <c r="G52" s="75"/>
      <c r="H52" s="75">
        <v>1</v>
      </c>
      <c r="I52" s="106">
        <v>1</v>
      </c>
      <c r="J52" s="75" t="s">
        <v>938</v>
      </c>
      <c r="K52" s="75" t="s">
        <v>1153</v>
      </c>
      <c r="L52" s="75" t="s">
        <v>25</v>
      </c>
      <c r="M52" s="75">
        <v>1</v>
      </c>
      <c r="N52" s="75"/>
      <c r="O52" s="75"/>
      <c r="P52" s="75"/>
      <c r="Q52" s="75" t="s">
        <v>938</v>
      </c>
      <c r="R52" s="75"/>
      <c r="S52" s="75" t="s">
        <v>565</v>
      </c>
      <c r="T52" s="75"/>
      <c r="U52" s="75"/>
      <c r="V52" s="75"/>
    </row>
    <row r="53" spans="1:22">
      <c r="A53" s="75" t="s">
        <v>252</v>
      </c>
      <c r="B53" s="75">
        <v>25893970</v>
      </c>
      <c r="C53" s="75">
        <v>1</v>
      </c>
      <c r="D53" s="76" t="s">
        <v>1745</v>
      </c>
      <c r="E53" s="77" t="s">
        <v>1745</v>
      </c>
      <c r="F53" s="81">
        <v>1</v>
      </c>
      <c r="G53" s="75" t="s">
        <v>1748</v>
      </c>
      <c r="H53" s="75">
        <v>0</v>
      </c>
      <c r="I53" s="106">
        <v>1</v>
      </c>
      <c r="J53" s="75" t="s">
        <v>682</v>
      </c>
      <c r="K53" s="75"/>
      <c r="L53" s="75" t="s">
        <v>514</v>
      </c>
      <c r="M53" s="75">
        <v>1</v>
      </c>
      <c r="N53" s="75"/>
      <c r="O53" s="75"/>
      <c r="P53" s="75"/>
      <c r="Q53" s="75" t="s">
        <v>683</v>
      </c>
      <c r="R53" s="79" t="s">
        <v>24</v>
      </c>
      <c r="S53" s="75" t="s">
        <v>24</v>
      </c>
      <c r="T53" s="75"/>
      <c r="U53" s="75"/>
      <c r="V53" s="75" t="s">
        <v>684</v>
      </c>
    </row>
    <row r="54" spans="1:22">
      <c r="A54" s="75" t="s">
        <v>263</v>
      </c>
      <c r="B54" s="75">
        <v>23684979</v>
      </c>
      <c r="C54" s="75">
        <v>1</v>
      </c>
      <c r="D54" s="76" t="s">
        <v>1780</v>
      </c>
      <c r="E54" s="77" t="s">
        <v>1762</v>
      </c>
      <c r="F54" s="75">
        <v>1</v>
      </c>
      <c r="G54" s="75" t="s">
        <v>1749</v>
      </c>
      <c r="H54" s="75">
        <v>1</v>
      </c>
      <c r="I54" s="106">
        <v>1</v>
      </c>
      <c r="J54" s="75" t="s">
        <v>703</v>
      </c>
      <c r="K54" s="75" t="s">
        <v>1163</v>
      </c>
      <c r="L54" s="75" t="s">
        <v>25</v>
      </c>
      <c r="M54" s="75">
        <v>1</v>
      </c>
      <c r="N54" s="75"/>
      <c r="O54" s="75"/>
      <c r="P54" s="75"/>
      <c r="Q54" s="75" t="s">
        <v>701</v>
      </c>
      <c r="R54" s="79" t="s">
        <v>702</v>
      </c>
      <c r="S54" s="75"/>
      <c r="T54" s="75"/>
      <c r="U54" s="75"/>
      <c r="V54" s="75"/>
    </row>
    <row r="55" spans="1:22">
      <c r="A55" s="75" t="s">
        <v>281</v>
      </c>
      <c r="B55" s="75">
        <v>18498263</v>
      </c>
      <c r="C55" s="75">
        <v>1</v>
      </c>
      <c r="D55" s="76" t="s">
        <v>1780</v>
      </c>
      <c r="E55" s="77" t="s">
        <v>1764</v>
      </c>
      <c r="F55" s="81">
        <v>0</v>
      </c>
      <c r="G55" s="75" t="s">
        <v>1751</v>
      </c>
      <c r="H55" s="75">
        <v>1</v>
      </c>
      <c r="I55" s="106">
        <v>1</v>
      </c>
      <c r="J55" s="75" t="s">
        <v>739</v>
      </c>
      <c r="K55" s="75" t="s">
        <v>1147</v>
      </c>
      <c r="L55" s="75" t="s">
        <v>736</v>
      </c>
      <c r="M55" s="75">
        <v>1</v>
      </c>
      <c r="N55" s="75"/>
      <c r="O55" s="75"/>
      <c r="P55" s="75"/>
      <c r="Q55" s="75" t="s">
        <v>738</v>
      </c>
      <c r="R55" s="79"/>
      <c r="S55" s="75"/>
      <c r="T55" s="75"/>
      <c r="U55" s="75"/>
      <c r="V55" s="75"/>
    </row>
    <row r="56" spans="1:22">
      <c r="A56" s="75" t="s">
        <v>321</v>
      </c>
      <c r="B56" s="75">
        <v>22595028</v>
      </c>
      <c r="C56" s="75">
        <v>1</v>
      </c>
      <c r="D56" s="76"/>
      <c r="E56" s="77"/>
      <c r="F56" s="75">
        <v>1</v>
      </c>
      <c r="G56" s="75"/>
      <c r="H56" s="75">
        <v>1</v>
      </c>
      <c r="I56" s="106">
        <v>1</v>
      </c>
      <c r="J56" s="75" t="s">
        <v>834</v>
      </c>
      <c r="K56" s="75" t="s">
        <v>1192</v>
      </c>
      <c r="L56" s="75" t="s">
        <v>835</v>
      </c>
      <c r="M56" s="75">
        <v>1</v>
      </c>
      <c r="N56" s="75"/>
      <c r="O56" s="75"/>
      <c r="P56" s="75"/>
      <c r="Q56" s="75" t="s">
        <v>778</v>
      </c>
      <c r="R56" s="75"/>
      <c r="S56" s="75"/>
      <c r="T56" s="75"/>
      <c r="U56" s="75"/>
      <c r="V56" s="75"/>
    </row>
    <row r="57" spans="1:22">
      <c r="A57" s="75" t="s">
        <v>357</v>
      </c>
      <c r="B57" s="75">
        <v>21174249</v>
      </c>
      <c r="C57" s="75">
        <v>1</v>
      </c>
      <c r="D57" s="76"/>
      <c r="E57" s="77"/>
      <c r="F57" s="81">
        <v>1</v>
      </c>
      <c r="G57" s="75"/>
      <c r="H57" s="75">
        <v>1</v>
      </c>
      <c r="I57" s="106">
        <v>1</v>
      </c>
      <c r="J57" s="75" t="s">
        <v>28</v>
      </c>
      <c r="K57" s="75" t="s">
        <v>28</v>
      </c>
      <c r="L57" s="75" t="s">
        <v>878</v>
      </c>
      <c r="M57" s="75">
        <v>1</v>
      </c>
      <c r="N57" s="75"/>
      <c r="O57" s="75"/>
      <c r="P57" s="75"/>
      <c r="Q57" s="75" t="s">
        <v>922</v>
      </c>
      <c r="R57" s="75"/>
      <c r="S57" s="75"/>
      <c r="T57" s="75"/>
      <c r="U57" s="75"/>
      <c r="V57" s="75"/>
    </row>
    <row r="58" spans="1:22">
      <c r="A58" s="75" t="s">
        <v>186</v>
      </c>
      <c r="B58" s="75">
        <v>24156759</v>
      </c>
      <c r="C58" s="75">
        <v>1</v>
      </c>
      <c r="D58" s="76"/>
      <c r="E58" s="77"/>
      <c r="F58" s="81">
        <v>1</v>
      </c>
      <c r="G58" s="75"/>
      <c r="H58" s="81">
        <v>1</v>
      </c>
      <c r="I58" s="106">
        <v>1</v>
      </c>
      <c r="J58" s="75" t="s">
        <v>541</v>
      </c>
      <c r="K58" s="75"/>
      <c r="L58" s="75" t="s">
        <v>542</v>
      </c>
      <c r="M58" s="75">
        <v>0</v>
      </c>
      <c r="N58" s="75"/>
      <c r="O58" s="75"/>
      <c r="P58" s="75"/>
      <c r="Q58" s="75" t="s">
        <v>492</v>
      </c>
      <c r="R58" s="79"/>
      <c r="S58" s="75"/>
      <c r="T58" s="75"/>
      <c r="U58" s="75"/>
      <c r="V58" s="75" t="s">
        <v>543</v>
      </c>
    </row>
    <row r="59" spans="1:22">
      <c r="A59" s="75" t="s">
        <v>279</v>
      </c>
      <c r="B59" s="75">
        <v>19703319</v>
      </c>
      <c r="C59" s="75">
        <v>1</v>
      </c>
      <c r="D59" s="76"/>
      <c r="E59" s="77"/>
      <c r="F59" s="75">
        <v>1</v>
      </c>
      <c r="G59" s="75"/>
      <c r="H59" s="75">
        <v>1</v>
      </c>
      <c r="I59" s="106">
        <v>1</v>
      </c>
      <c r="J59" s="75" t="s">
        <v>733</v>
      </c>
      <c r="K59" s="75" t="s">
        <v>1147</v>
      </c>
      <c r="L59" s="75" t="s">
        <v>25</v>
      </c>
      <c r="M59" s="75">
        <v>1</v>
      </c>
      <c r="N59" s="75"/>
      <c r="O59" s="75"/>
      <c r="P59" s="75"/>
      <c r="Q59" s="75" t="s">
        <v>732</v>
      </c>
      <c r="R59" s="79"/>
      <c r="S59" s="75"/>
      <c r="T59" s="75"/>
      <c r="U59" s="75"/>
      <c r="V59" s="75" t="s">
        <v>734</v>
      </c>
    </row>
    <row r="60" spans="1:22">
      <c r="A60" s="75" t="s">
        <v>75</v>
      </c>
      <c r="B60" s="75">
        <v>25444643</v>
      </c>
      <c r="C60" s="75">
        <v>1</v>
      </c>
      <c r="D60" s="76"/>
      <c r="E60" s="77"/>
      <c r="F60" s="75">
        <v>1</v>
      </c>
      <c r="G60" s="75"/>
      <c r="H60" s="75">
        <v>1</v>
      </c>
      <c r="I60" s="106">
        <v>1</v>
      </c>
      <c r="J60" s="75" t="s">
        <v>11</v>
      </c>
      <c r="K60" s="75" t="s">
        <v>1142</v>
      </c>
      <c r="L60" s="75" t="s">
        <v>10</v>
      </c>
      <c r="M60" s="75">
        <v>1</v>
      </c>
      <c r="N60" s="75"/>
      <c r="O60" s="75"/>
      <c r="P60" s="75"/>
      <c r="Q60" s="75" t="s">
        <v>11</v>
      </c>
      <c r="R60" s="79" t="s">
        <v>12</v>
      </c>
      <c r="S60" s="75" t="s">
        <v>13</v>
      </c>
      <c r="T60" s="75"/>
      <c r="U60" s="75"/>
      <c r="V60" s="75"/>
    </row>
    <row r="61" spans="1:22">
      <c r="A61" s="75" t="s">
        <v>126</v>
      </c>
      <c r="B61" s="75">
        <v>24950747</v>
      </c>
      <c r="C61" s="75">
        <v>1</v>
      </c>
      <c r="D61" s="76"/>
      <c r="E61" s="77"/>
      <c r="F61" s="75">
        <v>1</v>
      </c>
      <c r="G61" s="75"/>
      <c r="H61" s="75">
        <v>1</v>
      </c>
      <c r="I61" s="106">
        <v>1</v>
      </c>
      <c r="J61" s="75" t="s">
        <v>11</v>
      </c>
      <c r="K61" s="75" t="s">
        <v>1142</v>
      </c>
      <c r="L61" s="75" t="s">
        <v>416</v>
      </c>
      <c r="M61" s="75">
        <v>0</v>
      </c>
      <c r="N61" s="75"/>
      <c r="O61" s="75"/>
      <c r="P61" s="75"/>
      <c r="Q61" s="75" t="s">
        <v>11</v>
      </c>
      <c r="R61" s="79"/>
      <c r="S61" s="75"/>
      <c r="T61" s="75"/>
      <c r="U61" s="75"/>
      <c r="V61" s="75" t="s">
        <v>1193</v>
      </c>
    </row>
    <row r="62" spans="1:22">
      <c r="A62" s="75" t="s">
        <v>152</v>
      </c>
      <c r="B62" s="75">
        <v>10066999</v>
      </c>
      <c r="C62" s="75">
        <v>1</v>
      </c>
      <c r="D62" s="76"/>
      <c r="E62" s="77"/>
      <c r="F62" s="75">
        <v>1</v>
      </c>
      <c r="G62" s="75"/>
      <c r="H62" s="75">
        <v>1</v>
      </c>
      <c r="I62" s="106">
        <v>1</v>
      </c>
      <c r="J62" s="75" t="s">
        <v>11</v>
      </c>
      <c r="K62" s="75" t="s">
        <v>1162</v>
      </c>
      <c r="L62" s="75" t="s">
        <v>25</v>
      </c>
      <c r="M62" s="75">
        <v>1</v>
      </c>
      <c r="N62" s="75"/>
      <c r="O62" s="75"/>
      <c r="P62" s="75"/>
      <c r="Q62" s="75" t="s">
        <v>11</v>
      </c>
      <c r="R62" s="79" t="s">
        <v>24</v>
      </c>
      <c r="S62" s="75" t="s">
        <v>13</v>
      </c>
      <c r="T62" s="75"/>
      <c r="U62" s="75"/>
      <c r="V62" s="75"/>
    </row>
    <row r="63" spans="1:22">
      <c r="A63" s="75" t="s">
        <v>231</v>
      </c>
      <c r="B63" s="75">
        <v>8547457</v>
      </c>
      <c r="C63" s="75">
        <v>1</v>
      </c>
      <c r="D63" s="76"/>
      <c r="E63" s="77"/>
      <c r="F63" s="75">
        <v>1</v>
      </c>
      <c r="G63" s="75"/>
      <c r="H63" s="75">
        <v>1</v>
      </c>
      <c r="I63" s="106">
        <v>1</v>
      </c>
      <c r="J63" s="75" t="s">
        <v>11</v>
      </c>
      <c r="K63" s="75" t="s">
        <v>1142</v>
      </c>
      <c r="L63" s="75" t="s">
        <v>591</v>
      </c>
      <c r="M63" s="75">
        <v>1</v>
      </c>
      <c r="N63" s="75"/>
      <c r="O63" s="75"/>
      <c r="P63" s="75"/>
      <c r="Q63" s="75" t="s">
        <v>11</v>
      </c>
      <c r="R63" s="79"/>
      <c r="S63" s="75" t="s">
        <v>13</v>
      </c>
      <c r="T63" s="75"/>
      <c r="U63" s="75"/>
      <c r="V63" s="75"/>
    </row>
    <row r="64" spans="1:22">
      <c r="A64" s="75" t="s">
        <v>274</v>
      </c>
      <c r="B64" s="75">
        <v>23792855</v>
      </c>
      <c r="C64" s="75">
        <v>1</v>
      </c>
      <c r="D64" s="76"/>
      <c r="E64" s="77"/>
      <c r="F64" s="75">
        <v>1</v>
      </c>
      <c r="G64" s="75"/>
      <c r="H64" s="75">
        <v>1</v>
      </c>
      <c r="I64" s="106">
        <v>1</v>
      </c>
      <c r="J64" s="75" t="s">
        <v>11</v>
      </c>
      <c r="K64" s="75" t="s">
        <v>1142</v>
      </c>
      <c r="L64" s="75" t="s">
        <v>25</v>
      </c>
      <c r="M64" s="75">
        <v>1</v>
      </c>
      <c r="N64" s="75"/>
      <c r="O64" s="75"/>
      <c r="P64" s="75"/>
      <c r="Q64" s="75" t="s">
        <v>723</v>
      </c>
      <c r="R64" s="79" t="s">
        <v>24</v>
      </c>
      <c r="S64" s="75" t="s">
        <v>724</v>
      </c>
      <c r="T64" s="75"/>
      <c r="U64" s="75"/>
      <c r="V64" s="75"/>
    </row>
    <row r="65" spans="1:22">
      <c r="A65" s="75" t="s">
        <v>225</v>
      </c>
      <c r="B65" s="75">
        <v>18313695</v>
      </c>
      <c r="C65" s="75">
        <v>1</v>
      </c>
      <c r="D65" s="76"/>
      <c r="E65" s="77"/>
      <c r="F65" s="75">
        <v>1</v>
      </c>
      <c r="G65" s="75"/>
      <c r="H65" s="75">
        <v>1</v>
      </c>
      <c r="I65" s="106">
        <v>1</v>
      </c>
      <c r="J65" s="75" t="s">
        <v>627</v>
      </c>
      <c r="K65" s="75" t="s">
        <v>1142</v>
      </c>
      <c r="L65" s="75" t="s">
        <v>628</v>
      </c>
      <c r="M65" s="75">
        <v>1</v>
      </c>
      <c r="N65" s="75"/>
      <c r="O65" s="75"/>
      <c r="P65" s="75"/>
      <c r="Q65" s="75" t="s">
        <v>629</v>
      </c>
      <c r="R65" s="79" t="s">
        <v>24</v>
      </c>
      <c r="S65" s="75" t="s">
        <v>630</v>
      </c>
      <c r="T65" s="75"/>
      <c r="U65" s="75"/>
      <c r="V65" s="75" t="s">
        <v>631</v>
      </c>
    </row>
    <row r="66" spans="1:22">
      <c r="A66" s="75" t="s">
        <v>112</v>
      </c>
      <c r="B66" s="75">
        <v>23673864</v>
      </c>
      <c r="C66" s="75">
        <v>1</v>
      </c>
      <c r="D66" s="76"/>
      <c r="E66" s="77"/>
      <c r="F66" s="81">
        <v>1</v>
      </c>
      <c r="G66" s="75" t="s">
        <v>1735</v>
      </c>
      <c r="H66" s="81">
        <v>1</v>
      </c>
      <c r="I66" s="106">
        <v>1</v>
      </c>
      <c r="J66" s="75" t="s">
        <v>384</v>
      </c>
      <c r="K66" s="75"/>
      <c r="L66" s="75" t="s">
        <v>386</v>
      </c>
      <c r="M66" s="75"/>
      <c r="N66" s="75"/>
      <c r="O66" s="75"/>
      <c r="P66" s="75"/>
      <c r="Q66" s="75" t="s">
        <v>385</v>
      </c>
      <c r="R66" s="79" t="s">
        <v>44</v>
      </c>
      <c r="S66" s="75"/>
      <c r="T66" s="75"/>
      <c r="U66" s="75"/>
      <c r="V66" s="75" t="s">
        <v>387</v>
      </c>
    </row>
    <row r="67" spans="1:22">
      <c r="A67" s="75" t="s">
        <v>156</v>
      </c>
      <c r="B67" s="75">
        <v>12450636</v>
      </c>
      <c r="C67" s="75">
        <v>1</v>
      </c>
      <c r="D67" s="76"/>
      <c r="E67" s="77"/>
      <c r="F67" s="75">
        <v>1</v>
      </c>
      <c r="G67" s="75"/>
      <c r="H67" s="75">
        <v>1</v>
      </c>
      <c r="I67" s="106">
        <v>1</v>
      </c>
      <c r="J67" s="75" t="s">
        <v>473</v>
      </c>
      <c r="K67" s="75" t="s">
        <v>1184</v>
      </c>
      <c r="L67" s="75" t="s">
        <v>471</v>
      </c>
      <c r="M67" s="75">
        <v>0</v>
      </c>
      <c r="N67" s="75"/>
      <c r="O67" s="75"/>
      <c r="P67" s="75"/>
      <c r="Q67" s="75" t="s">
        <v>474</v>
      </c>
      <c r="R67" s="79" t="s">
        <v>24</v>
      </c>
      <c r="S67" s="75" t="s">
        <v>24</v>
      </c>
      <c r="T67" s="75"/>
      <c r="U67" s="75"/>
      <c r="V67" s="75"/>
    </row>
    <row r="68" spans="1:22">
      <c r="A68" s="75" t="s">
        <v>103</v>
      </c>
      <c r="B68" s="75">
        <v>22200095</v>
      </c>
      <c r="C68" s="75">
        <v>1</v>
      </c>
      <c r="D68" s="76"/>
      <c r="E68" s="77"/>
      <c r="F68" s="75">
        <v>1</v>
      </c>
      <c r="G68" s="75"/>
      <c r="H68" s="75">
        <v>1</v>
      </c>
      <c r="I68" s="106">
        <v>1</v>
      </c>
      <c r="J68" s="75" t="s">
        <v>74</v>
      </c>
      <c r="K68" s="75" t="s">
        <v>1147</v>
      </c>
      <c r="L68" s="75" t="s">
        <v>25</v>
      </c>
      <c r="M68" s="75"/>
      <c r="N68" s="75"/>
      <c r="O68" s="75"/>
      <c r="P68" s="75"/>
      <c r="Q68" s="75"/>
      <c r="R68" s="79"/>
      <c r="S68" s="75"/>
      <c r="T68" s="75"/>
      <c r="U68" s="75"/>
      <c r="V68" s="75"/>
    </row>
    <row r="69" spans="1:22">
      <c r="A69" s="75" t="s">
        <v>290</v>
      </c>
      <c r="B69" s="75">
        <v>1355475</v>
      </c>
      <c r="C69" s="75">
        <v>1</v>
      </c>
      <c r="D69" s="76" t="s">
        <v>66</v>
      </c>
      <c r="E69" s="77"/>
      <c r="F69" s="81">
        <v>1</v>
      </c>
      <c r="G69" s="75"/>
      <c r="H69" s="81">
        <v>1</v>
      </c>
      <c r="I69" s="106">
        <v>1</v>
      </c>
      <c r="J69" s="75" t="s">
        <v>66</v>
      </c>
      <c r="K69" s="75" t="s">
        <v>1142</v>
      </c>
      <c r="L69" s="75" t="s">
        <v>759</v>
      </c>
      <c r="M69" s="75">
        <v>1</v>
      </c>
      <c r="N69" s="75"/>
      <c r="O69" s="75"/>
      <c r="P69" s="75"/>
      <c r="Q69" s="75" t="s">
        <v>760</v>
      </c>
      <c r="R69" s="79"/>
      <c r="S69" s="75" t="s">
        <v>758</v>
      </c>
      <c r="T69" s="75"/>
      <c r="U69" s="75"/>
      <c r="V69" s="75" t="s">
        <v>761</v>
      </c>
    </row>
    <row r="70" spans="1:22">
      <c r="A70" s="75" t="s">
        <v>298</v>
      </c>
      <c r="B70" s="75">
        <v>26645315</v>
      </c>
      <c r="C70" s="75">
        <v>1</v>
      </c>
      <c r="D70" s="76"/>
      <c r="E70" s="77"/>
      <c r="F70" s="75">
        <v>1</v>
      </c>
      <c r="G70" s="75"/>
      <c r="H70" s="75">
        <v>1</v>
      </c>
      <c r="I70" s="106">
        <v>1</v>
      </c>
      <c r="J70" s="75" t="s">
        <v>781</v>
      </c>
      <c r="K70" s="75" t="s">
        <v>1147</v>
      </c>
      <c r="L70" s="75" t="s">
        <v>783</v>
      </c>
      <c r="M70" s="75">
        <v>1</v>
      </c>
      <c r="N70" s="75"/>
      <c r="O70" s="75"/>
      <c r="P70" s="75"/>
      <c r="Q70" s="75" t="s">
        <v>782</v>
      </c>
      <c r="R70" s="79" t="s">
        <v>24</v>
      </c>
      <c r="S70" s="75"/>
      <c r="T70" s="75"/>
      <c r="U70" s="75"/>
      <c r="V70" s="75" t="s">
        <v>784</v>
      </c>
    </row>
    <row r="71" spans="1:22">
      <c r="A71" s="75" t="s">
        <v>352</v>
      </c>
      <c r="B71" s="75">
        <v>25244677</v>
      </c>
      <c r="C71" s="75">
        <v>1</v>
      </c>
      <c r="D71" s="76"/>
      <c r="E71" s="77"/>
      <c r="F71" s="75">
        <v>1</v>
      </c>
      <c r="G71" s="75"/>
      <c r="H71" s="75">
        <v>1</v>
      </c>
      <c r="I71" s="106">
        <v>1</v>
      </c>
      <c r="J71" s="75" t="s">
        <v>913</v>
      </c>
      <c r="K71" s="75" t="s">
        <v>1164</v>
      </c>
      <c r="L71" s="75" t="s">
        <v>865</v>
      </c>
      <c r="M71" s="75">
        <v>0</v>
      </c>
      <c r="N71" s="75"/>
      <c r="O71" s="75"/>
      <c r="P71" s="75"/>
      <c r="Q71" s="75" t="s">
        <v>30</v>
      </c>
      <c r="R71" s="75"/>
      <c r="S71" s="75"/>
      <c r="T71" s="75" t="s">
        <v>912</v>
      </c>
      <c r="U71" s="75"/>
      <c r="V71" s="75"/>
    </row>
    <row r="72" spans="1:22">
      <c r="A72" s="75" t="s">
        <v>358</v>
      </c>
      <c r="B72" s="75">
        <v>26892753</v>
      </c>
      <c r="C72" s="75">
        <v>1</v>
      </c>
      <c r="D72" s="76"/>
      <c r="E72" s="77"/>
      <c r="F72" s="75">
        <v>1</v>
      </c>
      <c r="G72" s="75"/>
      <c r="H72" s="75">
        <v>1</v>
      </c>
      <c r="I72" s="106">
        <v>1</v>
      </c>
      <c r="J72" s="75" t="s">
        <v>924</v>
      </c>
      <c r="K72" s="75" t="s">
        <v>1196</v>
      </c>
      <c r="L72" s="75" t="s">
        <v>819</v>
      </c>
      <c r="M72" s="75">
        <v>1</v>
      </c>
      <c r="N72" s="75"/>
      <c r="O72" s="75"/>
      <c r="P72" s="75"/>
      <c r="Q72" s="75" t="s">
        <v>923</v>
      </c>
      <c r="R72" s="75" t="s">
        <v>24</v>
      </c>
      <c r="S72" s="75" t="s">
        <v>24</v>
      </c>
      <c r="T72" s="75" t="s">
        <v>925</v>
      </c>
      <c r="U72" s="75"/>
      <c r="V72" s="75"/>
    </row>
    <row r="73" spans="1:22">
      <c r="A73" s="75" t="s">
        <v>278</v>
      </c>
      <c r="B73" s="75">
        <v>25959594</v>
      </c>
      <c r="C73" s="75">
        <v>1</v>
      </c>
      <c r="D73" s="76"/>
      <c r="E73" s="77"/>
      <c r="F73" s="75">
        <v>1</v>
      </c>
      <c r="G73" s="75"/>
      <c r="H73" s="75">
        <v>1</v>
      </c>
      <c r="I73" s="106">
        <v>1</v>
      </c>
      <c r="J73" s="75" t="s">
        <v>730</v>
      </c>
      <c r="K73" s="75" t="s">
        <v>1192</v>
      </c>
      <c r="L73" s="75" t="s">
        <v>25</v>
      </c>
      <c r="M73" s="75">
        <v>1</v>
      </c>
      <c r="N73" s="75"/>
      <c r="O73" s="75"/>
      <c r="P73" s="75"/>
      <c r="Q73" s="75" t="s">
        <v>729</v>
      </c>
      <c r="R73" s="79" t="s">
        <v>731</v>
      </c>
      <c r="S73" s="75"/>
      <c r="T73" s="75"/>
      <c r="U73" s="75"/>
      <c r="V73" s="75"/>
    </row>
    <row r="74" spans="1:22">
      <c r="A74" s="75" t="s">
        <v>297</v>
      </c>
      <c r="B74" s="75">
        <v>18590795</v>
      </c>
      <c r="C74" s="75">
        <v>1</v>
      </c>
      <c r="D74" s="76"/>
      <c r="E74" s="77"/>
      <c r="F74" s="75">
        <v>1</v>
      </c>
      <c r="G74" s="75"/>
      <c r="H74" s="75">
        <v>1</v>
      </c>
      <c r="I74" s="106">
        <v>1</v>
      </c>
      <c r="J74" s="75" t="s">
        <v>779</v>
      </c>
      <c r="K74" s="75" t="s">
        <v>1192</v>
      </c>
      <c r="L74" s="75" t="s">
        <v>25</v>
      </c>
      <c r="M74" s="75">
        <v>1</v>
      </c>
      <c r="N74" s="75"/>
      <c r="O74" s="75"/>
      <c r="P74" s="75"/>
      <c r="Q74" s="75" t="s">
        <v>778</v>
      </c>
      <c r="R74" s="79" t="s">
        <v>777</v>
      </c>
      <c r="S74" s="75"/>
      <c r="T74" s="75"/>
      <c r="U74" s="75"/>
      <c r="V74" s="75"/>
    </row>
    <row r="75" spans="1:22">
      <c r="A75" s="75" t="s">
        <v>334</v>
      </c>
      <c r="B75" s="75">
        <v>25154707</v>
      </c>
      <c r="C75" s="75">
        <v>1</v>
      </c>
      <c r="D75" s="76"/>
      <c r="E75" s="77"/>
      <c r="F75" s="75">
        <v>1</v>
      </c>
      <c r="G75" s="75"/>
      <c r="H75" s="75">
        <v>1</v>
      </c>
      <c r="I75" s="106">
        <v>1</v>
      </c>
      <c r="J75" s="75" t="s">
        <v>870</v>
      </c>
      <c r="K75" s="75" t="s">
        <v>1192</v>
      </c>
      <c r="L75" s="75" t="s">
        <v>25</v>
      </c>
      <c r="M75" s="75">
        <v>1</v>
      </c>
      <c r="N75" s="75"/>
      <c r="O75" s="75"/>
      <c r="P75" s="75"/>
      <c r="Q75" s="75" t="s">
        <v>869</v>
      </c>
      <c r="R75" s="75" t="s">
        <v>56</v>
      </c>
      <c r="S75" s="75"/>
      <c r="T75" s="75"/>
      <c r="U75" s="75"/>
      <c r="V75" s="75" t="s">
        <v>871</v>
      </c>
    </row>
    <row r="76" spans="1:22">
      <c r="A76" s="75" t="s">
        <v>335</v>
      </c>
      <c r="B76" s="75">
        <v>24886789</v>
      </c>
      <c r="C76" s="75">
        <v>1</v>
      </c>
      <c r="D76" s="76"/>
      <c r="E76" s="77"/>
      <c r="F76" s="75">
        <v>1</v>
      </c>
      <c r="G76" s="75"/>
      <c r="H76" s="75">
        <v>1</v>
      </c>
      <c r="I76" s="106">
        <v>1</v>
      </c>
      <c r="J76" s="75" t="s">
        <v>870</v>
      </c>
      <c r="K76" s="75" t="s">
        <v>1192</v>
      </c>
      <c r="L76" s="75" t="s">
        <v>25</v>
      </c>
      <c r="M76" s="75">
        <v>1</v>
      </c>
      <c r="N76" s="75"/>
      <c r="O76" s="75"/>
      <c r="P76" s="75"/>
      <c r="Q76" s="75" t="s">
        <v>872</v>
      </c>
      <c r="R76" s="75" t="s">
        <v>56</v>
      </c>
      <c r="S76" s="75"/>
      <c r="T76" s="75"/>
      <c r="U76" s="75"/>
      <c r="V76" s="75"/>
    </row>
    <row r="77" spans="1:22">
      <c r="A77" s="75" t="s">
        <v>200</v>
      </c>
      <c r="B77" s="75">
        <v>21443892</v>
      </c>
      <c r="C77" s="75">
        <v>1</v>
      </c>
      <c r="D77" s="76"/>
      <c r="E77" s="77"/>
      <c r="F77" s="75">
        <v>1</v>
      </c>
      <c r="G77" s="75"/>
      <c r="H77" s="81">
        <v>1</v>
      </c>
      <c r="I77" s="106">
        <v>1</v>
      </c>
      <c r="J77" s="75" t="s">
        <v>574</v>
      </c>
      <c r="K77" s="75" t="s">
        <v>1147</v>
      </c>
      <c r="L77" s="75" t="s">
        <v>575</v>
      </c>
      <c r="M77" s="75">
        <v>0</v>
      </c>
      <c r="N77" s="75"/>
      <c r="O77" s="75"/>
      <c r="P77" s="75"/>
      <c r="Q77" s="75" t="s">
        <v>23</v>
      </c>
      <c r="R77" s="79" t="s">
        <v>573</v>
      </c>
      <c r="S77" s="75"/>
      <c r="T77" s="75"/>
      <c r="U77" s="75"/>
      <c r="V77" s="75" t="s">
        <v>576</v>
      </c>
    </row>
    <row r="78" spans="1:22">
      <c r="A78" s="75" t="s">
        <v>121</v>
      </c>
      <c r="B78" s="75">
        <v>12607144</v>
      </c>
      <c r="C78" s="75">
        <v>1</v>
      </c>
      <c r="D78" s="76"/>
      <c r="E78" s="77"/>
      <c r="F78" s="75">
        <v>1</v>
      </c>
      <c r="G78" s="75"/>
      <c r="H78" s="75">
        <v>1</v>
      </c>
      <c r="I78" s="106">
        <v>1</v>
      </c>
      <c r="J78" s="75" t="s">
        <v>408</v>
      </c>
      <c r="K78" s="75"/>
      <c r="L78" s="75" t="s">
        <v>25</v>
      </c>
      <c r="M78" s="75">
        <v>1</v>
      </c>
      <c r="N78" s="75"/>
      <c r="O78" s="75"/>
      <c r="P78" s="75"/>
      <c r="Q78" s="75"/>
      <c r="R78" s="79"/>
      <c r="S78" s="75"/>
      <c r="T78" s="75"/>
      <c r="U78" s="75"/>
      <c r="V78" s="75"/>
    </row>
    <row r="79" spans="1:22">
      <c r="A79" s="75" t="s">
        <v>194</v>
      </c>
      <c r="B79" s="75">
        <v>12775293</v>
      </c>
      <c r="C79" s="75">
        <v>1</v>
      </c>
      <c r="D79" s="76"/>
      <c r="E79" s="77"/>
      <c r="F79" s="75">
        <v>1</v>
      </c>
      <c r="G79" s="75"/>
      <c r="H79" s="75">
        <v>1</v>
      </c>
      <c r="I79" s="106">
        <v>1</v>
      </c>
      <c r="J79" s="75" t="s">
        <v>562</v>
      </c>
      <c r="K79" s="75" t="s">
        <v>1147</v>
      </c>
      <c r="L79" s="75" t="s">
        <v>560</v>
      </c>
      <c r="M79" s="75">
        <v>0</v>
      </c>
      <c r="N79" s="75"/>
      <c r="O79" s="75"/>
      <c r="P79" s="75"/>
      <c r="Q79" s="75" t="s">
        <v>561</v>
      </c>
      <c r="R79" s="79" t="s">
        <v>24</v>
      </c>
      <c r="S79" s="75"/>
      <c r="T79" s="75"/>
      <c r="U79" s="75"/>
      <c r="V79" s="75"/>
    </row>
    <row r="80" spans="1:22">
      <c r="A80" s="75" t="s">
        <v>143</v>
      </c>
      <c r="B80" s="75">
        <v>18800372</v>
      </c>
      <c r="C80" s="75">
        <v>1</v>
      </c>
      <c r="D80" s="76"/>
      <c r="E80" s="77"/>
      <c r="F80" s="75">
        <v>1</v>
      </c>
      <c r="G80" s="75"/>
      <c r="H80" s="75">
        <v>1</v>
      </c>
      <c r="I80" s="106">
        <v>1</v>
      </c>
      <c r="J80" s="75" t="s">
        <v>450</v>
      </c>
      <c r="K80" s="75" t="s">
        <v>1147</v>
      </c>
      <c r="L80" s="75" t="s">
        <v>25</v>
      </c>
      <c r="M80" s="75">
        <v>1</v>
      </c>
      <c r="N80" s="75"/>
      <c r="O80" s="75"/>
      <c r="P80" s="75"/>
      <c r="Q80" s="75" t="s">
        <v>449</v>
      </c>
      <c r="R80" s="79"/>
      <c r="S80" s="75"/>
      <c r="T80" s="75"/>
      <c r="U80" s="75"/>
      <c r="V80" s="75"/>
    </row>
    <row r="81" spans="1:22">
      <c r="A81" s="75" t="s">
        <v>83</v>
      </c>
      <c r="B81" s="75">
        <v>23496805</v>
      </c>
      <c r="C81" s="75">
        <v>1</v>
      </c>
      <c r="D81" s="76"/>
      <c r="E81" s="77"/>
      <c r="F81" s="75">
        <v>1</v>
      </c>
      <c r="G81" s="75"/>
      <c r="H81" s="75">
        <v>1</v>
      </c>
      <c r="I81" s="106">
        <v>1</v>
      </c>
      <c r="J81" s="75" t="s">
        <v>32</v>
      </c>
      <c r="K81" s="75" t="s">
        <v>1164</v>
      </c>
      <c r="L81" s="75" t="s">
        <v>25</v>
      </c>
      <c r="M81" s="75">
        <v>1</v>
      </c>
      <c r="N81" s="75"/>
      <c r="O81" s="75"/>
      <c r="P81" s="75"/>
      <c r="Q81" s="75" t="s">
        <v>30</v>
      </c>
      <c r="R81" s="79"/>
      <c r="S81" s="75"/>
      <c r="T81" s="75"/>
      <c r="U81" s="75"/>
      <c r="V81" s="75"/>
    </row>
    <row r="82" spans="1:22">
      <c r="A82" s="75" t="s">
        <v>84</v>
      </c>
      <c r="B82" s="75">
        <v>8770439</v>
      </c>
      <c r="C82" s="75">
        <v>1</v>
      </c>
      <c r="D82" s="76"/>
      <c r="E82" s="77"/>
      <c r="F82" s="81">
        <v>1</v>
      </c>
      <c r="G82" s="75"/>
      <c r="H82" s="75">
        <v>1</v>
      </c>
      <c r="I82" s="106">
        <v>1</v>
      </c>
      <c r="J82" s="75" t="s">
        <v>35</v>
      </c>
      <c r="K82" s="75" t="s">
        <v>1143</v>
      </c>
      <c r="L82" s="75" t="s">
        <v>25</v>
      </c>
      <c r="M82" s="75">
        <v>1</v>
      </c>
      <c r="N82" s="75"/>
      <c r="O82" s="75"/>
      <c r="P82" s="75"/>
      <c r="Q82" s="75" t="s">
        <v>34</v>
      </c>
      <c r="R82" s="79" t="s">
        <v>33</v>
      </c>
      <c r="S82" s="75" t="s">
        <v>33</v>
      </c>
      <c r="T82" s="75"/>
      <c r="U82" s="75"/>
      <c r="V82" s="75"/>
    </row>
    <row r="83" spans="1:22">
      <c r="A83" s="75" t="s">
        <v>163</v>
      </c>
      <c r="B83" s="75">
        <v>18806234</v>
      </c>
      <c r="C83" s="75">
        <v>1</v>
      </c>
      <c r="D83" s="76"/>
      <c r="E83" s="77"/>
      <c r="F83" s="75">
        <v>1</v>
      </c>
      <c r="G83" s="75"/>
      <c r="H83" s="75">
        <v>1</v>
      </c>
      <c r="I83" s="106">
        <v>1</v>
      </c>
      <c r="J83" s="75" t="s">
        <v>486</v>
      </c>
      <c r="K83" s="75"/>
      <c r="L83" s="75" t="s">
        <v>487</v>
      </c>
      <c r="M83" s="75">
        <v>0</v>
      </c>
      <c r="N83" s="75"/>
      <c r="O83" s="75"/>
      <c r="P83" s="75"/>
      <c r="Q83" s="75"/>
      <c r="R83" s="79"/>
      <c r="S83" s="75"/>
      <c r="T83" s="75"/>
      <c r="U83" s="75"/>
      <c r="V83" s="75"/>
    </row>
    <row r="84" spans="1:22">
      <c r="A84" s="75" t="s">
        <v>181</v>
      </c>
      <c r="B84" s="75">
        <v>24717141</v>
      </c>
      <c r="C84" s="75">
        <v>1</v>
      </c>
      <c r="D84" s="76"/>
      <c r="E84" s="77"/>
      <c r="F84" s="75">
        <v>1</v>
      </c>
      <c r="G84" s="75"/>
      <c r="H84" s="75">
        <v>1</v>
      </c>
      <c r="I84" s="106">
        <v>1</v>
      </c>
      <c r="J84" s="75" t="s">
        <v>528</v>
      </c>
      <c r="K84" s="75" t="s">
        <v>1175</v>
      </c>
      <c r="L84" s="75" t="s">
        <v>25</v>
      </c>
      <c r="M84" s="75">
        <v>1</v>
      </c>
      <c r="N84" s="75"/>
      <c r="O84" s="75"/>
      <c r="P84" s="75"/>
      <c r="Q84" s="75" t="s">
        <v>532</v>
      </c>
      <c r="R84" s="79" t="s">
        <v>24</v>
      </c>
      <c r="S84" s="75" t="s">
        <v>530</v>
      </c>
      <c r="T84" s="75"/>
      <c r="U84" s="75"/>
      <c r="V84" s="75" t="s">
        <v>533</v>
      </c>
    </row>
    <row r="85" spans="1:22">
      <c r="A85" s="75" t="s">
        <v>180</v>
      </c>
      <c r="B85" s="75">
        <v>24005546</v>
      </c>
      <c r="C85" s="75">
        <v>1</v>
      </c>
      <c r="D85" s="76"/>
      <c r="E85" s="77"/>
      <c r="F85" s="75">
        <v>1</v>
      </c>
      <c r="G85" s="75"/>
      <c r="H85" s="75">
        <v>1</v>
      </c>
      <c r="I85" s="106">
        <v>1</v>
      </c>
      <c r="J85" s="75" t="s">
        <v>528</v>
      </c>
      <c r="K85" s="75" t="s">
        <v>1176</v>
      </c>
      <c r="L85" s="75" t="s">
        <v>25</v>
      </c>
      <c r="M85" s="75">
        <v>1</v>
      </c>
      <c r="N85" s="75"/>
      <c r="O85" s="75"/>
      <c r="P85" s="75"/>
      <c r="Q85" s="75" t="s">
        <v>529</v>
      </c>
      <c r="R85" s="79" t="s">
        <v>24</v>
      </c>
      <c r="S85" s="75" t="s">
        <v>530</v>
      </c>
      <c r="T85" s="75"/>
      <c r="U85" s="75"/>
      <c r="V85" s="75" t="s">
        <v>531</v>
      </c>
    </row>
    <row r="86" spans="1:22">
      <c r="A86" s="75" t="s">
        <v>313</v>
      </c>
      <c r="B86" s="75">
        <v>25847622</v>
      </c>
      <c r="C86" s="75">
        <v>1</v>
      </c>
      <c r="D86" s="76"/>
      <c r="E86" s="77"/>
      <c r="F86" s="75">
        <v>1</v>
      </c>
      <c r="G86" s="75"/>
      <c r="H86" s="75">
        <v>1</v>
      </c>
      <c r="I86" s="106">
        <v>1</v>
      </c>
      <c r="J86" s="75" t="s">
        <v>815</v>
      </c>
      <c r="K86" s="75" t="s">
        <v>1147</v>
      </c>
      <c r="L86" s="75" t="s">
        <v>1195</v>
      </c>
      <c r="M86" s="75">
        <v>1</v>
      </c>
      <c r="N86" s="75"/>
      <c r="O86" s="75"/>
      <c r="P86" s="75"/>
      <c r="Q86" s="75" t="s">
        <v>813</v>
      </c>
      <c r="R86" s="79" t="s">
        <v>24</v>
      </c>
      <c r="S86" s="75" t="s">
        <v>24</v>
      </c>
      <c r="T86" s="75" t="s">
        <v>814</v>
      </c>
      <c r="U86" s="75"/>
      <c r="V86" s="75"/>
    </row>
    <row r="87" spans="1:22">
      <c r="A87" s="75" t="s">
        <v>114</v>
      </c>
      <c r="B87" s="75">
        <v>24766521</v>
      </c>
      <c r="C87" s="75">
        <v>1</v>
      </c>
      <c r="D87" s="76"/>
      <c r="E87" s="77"/>
      <c r="F87" s="75">
        <v>1</v>
      </c>
      <c r="G87" s="75"/>
      <c r="H87" s="75">
        <v>1</v>
      </c>
      <c r="I87" s="106">
        <v>1</v>
      </c>
      <c r="J87" s="75" t="s">
        <v>394</v>
      </c>
      <c r="K87" s="75" t="s">
        <v>1147</v>
      </c>
      <c r="L87" s="75" t="s">
        <v>25</v>
      </c>
      <c r="M87" s="75"/>
      <c r="N87" s="75"/>
      <c r="O87" s="75"/>
      <c r="P87" s="75"/>
      <c r="Q87" s="75" t="s">
        <v>393</v>
      </c>
      <c r="R87" s="79"/>
      <c r="S87" s="75"/>
      <c r="T87" s="75"/>
      <c r="U87" s="75"/>
      <c r="V87" s="75"/>
    </row>
    <row r="88" spans="1:22">
      <c r="A88" s="75" t="s">
        <v>235</v>
      </c>
      <c r="B88" s="75">
        <v>24015254</v>
      </c>
      <c r="C88" s="75">
        <v>1</v>
      </c>
      <c r="D88" s="76"/>
      <c r="E88" s="77"/>
      <c r="F88" s="75">
        <v>1</v>
      </c>
      <c r="G88" s="75"/>
      <c r="H88" s="75">
        <v>1</v>
      </c>
      <c r="I88" s="106">
        <v>1</v>
      </c>
      <c r="J88" s="75" t="s">
        <v>652</v>
      </c>
      <c r="K88" s="75"/>
      <c r="L88" s="75" t="s">
        <v>591</v>
      </c>
      <c r="M88" s="75">
        <v>1</v>
      </c>
      <c r="N88" s="75"/>
      <c r="O88" s="75"/>
      <c r="P88" s="75"/>
      <c r="Q88" s="75" t="s">
        <v>653</v>
      </c>
      <c r="R88" s="79" t="s">
        <v>24</v>
      </c>
      <c r="S88" s="75"/>
      <c r="T88" s="75"/>
      <c r="U88" s="75"/>
      <c r="V88" s="75"/>
    </row>
    <row r="89" spans="1:22">
      <c r="A89" s="75" t="s">
        <v>241</v>
      </c>
      <c r="B89" s="75">
        <v>22687547</v>
      </c>
      <c r="C89" s="75">
        <v>1</v>
      </c>
      <c r="D89" s="76" t="s">
        <v>1779</v>
      </c>
      <c r="E89" s="77" t="s">
        <v>1745</v>
      </c>
      <c r="F89" s="81">
        <v>1</v>
      </c>
      <c r="G89" s="75" t="s">
        <v>1745</v>
      </c>
      <c r="H89" s="81">
        <v>0</v>
      </c>
      <c r="I89" s="106">
        <v>1</v>
      </c>
      <c r="J89" s="75" t="s">
        <v>661</v>
      </c>
      <c r="K89" s="75"/>
      <c r="L89" s="75" t="s">
        <v>659</v>
      </c>
      <c r="M89" s="75">
        <v>1</v>
      </c>
      <c r="N89" s="75"/>
      <c r="O89" s="75"/>
      <c r="P89" s="75"/>
      <c r="Q89" s="75" t="s">
        <v>492</v>
      </c>
      <c r="R89" s="79" t="s">
        <v>24</v>
      </c>
      <c r="S89" s="75" t="s">
        <v>24</v>
      </c>
      <c r="T89" s="75"/>
      <c r="U89" s="75"/>
      <c r="V89" s="75" t="s">
        <v>660</v>
      </c>
    </row>
    <row r="90" spans="1:22">
      <c r="A90" s="75" t="s">
        <v>364</v>
      </c>
      <c r="B90" s="75">
        <v>15962694</v>
      </c>
      <c r="C90" s="75">
        <v>1</v>
      </c>
      <c r="D90" s="76"/>
      <c r="E90" s="77"/>
      <c r="F90" s="75">
        <v>1</v>
      </c>
      <c r="G90" s="75"/>
      <c r="H90" s="75">
        <v>1</v>
      </c>
      <c r="I90" s="106">
        <v>1</v>
      </c>
      <c r="J90" s="75" t="s">
        <v>936</v>
      </c>
      <c r="K90" s="75" t="s">
        <v>1147</v>
      </c>
      <c r="L90" s="75" t="s">
        <v>25</v>
      </c>
      <c r="M90" s="75">
        <v>1</v>
      </c>
      <c r="N90" s="75"/>
      <c r="O90" s="75"/>
      <c r="P90" s="75"/>
      <c r="Q90" s="75" t="s">
        <v>935</v>
      </c>
      <c r="R90" s="75"/>
      <c r="S90" s="75"/>
      <c r="T90" s="75"/>
      <c r="U90" s="75"/>
      <c r="V90" s="75" t="s">
        <v>937</v>
      </c>
    </row>
    <row r="91" spans="1:22">
      <c r="A91" s="75" t="s">
        <v>105</v>
      </c>
      <c r="B91" s="75">
        <v>17352380</v>
      </c>
      <c r="C91" s="75">
        <v>1</v>
      </c>
      <c r="D91" s="76"/>
      <c r="E91" s="77"/>
      <c r="F91" s="75">
        <v>1</v>
      </c>
      <c r="G91" s="75"/>
      <c r="H91" s="75">
        <v>1</v>
      </c>
      <c r="I91" s="106">
        <v>1</v>
      </c>
      <c r="J91" s="75" t="s">
        <v>73</v>
      </c>
      <c r="K91" s="75" t="s">
        <v>1147</v>
      </c>
      <c r="L91" s="75" t="s">
        <v>25</v>
      </c>
      <c r="M91" s="75"/>
      <c r="N91" s="75"/>
      <c r="O91" s="75"/>
      <c r="P91" s="75"/>
      <c r="Q91" s="75" t="s">
        <v>371</v>
      </c>
      <c r="R91" s="79"/>
      <c r="S91" s="75"/>
      <c r="T91" s="75"/>
      <c r="U91" s="75"/>
      <c r="V91" s="75" t="s">
        <v>372</v>
      </c>
    </row>
    <row r="92" spans="1:22">
      <c r="A92" s="75" t="s">
        <v>144</v>
      </c>
      <c r="B92" s="75">
        <v>17698081</v>
      </c>
      <c r="C92" s="75">
        <v>1</v>
      </c>
      <c r="D92" s="76"/>
      <c r="E92" s="77"/>
      <c r="F92" s="75">
        <v>1</v>
      </c>
      <c r="G92" s="75"/>
      <c r="H92" s="75">
        <v>1</v>
      </c>
      <c r="I92" s="106">
        <v>1</v>
      </c>
      <c r="J92" s="75" t="s">
        <v>73</v>
      </c>
      <c r="K92" s="75" t="s">
        <v>1147</v>
      </c>
      <c r="L92" s="75" t="s">
        <v>25</v>
      </c>
      <c r="M92" s="75">
        <v>1</v>
      </c>
      <c r="N92" s="75"/>
      <c r="O92" s="75"/>
      <c r="P92" s="75"/>
      <c r="Q92" s="75" t="s">
        <v>451</v>
      </c>
      <c r="R92" s="79" t="s">
        <v>56</v>
      </c>
      <c r="S92" s="75"/>
      <c r="T92" s="75"/>
      <c r="U92" s="75"/>
      <c r="V92" s="75"/>
    </row>
    <row r="93" spans="1:22">
      <c r="A93" s="75" t="s">
        <v>166</v>
      </c>
      <c r="B93" s="75">
        <v>26106539</v>
      </c>
      <c r="C93" s="75">
        <v>1</v>
      </c>
      <c r="D93" s="76"/>
      <c r="E93" s="77"/>
      <c r="F93" s="75">
        <v>1</v>
      </c>
      <c r="G93" s="75"/>
      <c r="H93" s="75">
        <v>1</v>
      </c>
      <c r="I93" s="106">
        <v>1</v>
      </c>
      <c r="J93" s="75" t="s">
        <v>73</v>
      </c>
      <c r="K93" s="75" t="s">
        <v>1147</v>
      </c>
      <c r="L93" s="75" t="s">
        <v>391</v>
      </c>
      <c r="M93" s="75">
        <v>1</v>
      </c>
      <c r="N93" s="75"/>
      <c r="O93" s="75"/>
      <c r="P93" s="75"/>
      <c r="Q93" s="75" t="s">
        <v>492</v>
      </c>
      <c r="R93" s="79" t="s">
        <v>491</v>
      </c>
      <c r="S93" s="75"/>
      <c r="T93" s="75"/>
      <c r="U93" s="75"/>
      <c r="V93" s="75"/>
    </row>
    <row r="94" spans="1:22">
      <c r="A94" s="75" t="s">
        <v>176</v>
      </c>
      <c r="B94" s="75">
        <v>9464211</v>
      </c>
      <c r="C94" s="75">
        <v>1</v>
      </c>
      <c r="D94" s="76"/>
      <c r="E94" s="77"/>
      <c r="F94" s="75">
        <v>1</v>
      </c>
      <c r="G94" s="75"/>
      <c r="H94" s="75">
        <v>1</v>
      </c>
      <c r="I94" s="106">
        <v>1</v>
      </c>
      <c r="J94" s="75" t="s">
        <v>73</v>
      </c>
      <c r="K94" s="75" t="s">
        <v>1147</v>
      </c>
      <c r="L94" s="75" t="s">
        <v>518</v>
      </c>
      <c r="M94" s="75">
        <v>0</v>
      </c>
      <c r="N94" s="75"/>
      <c r="O94" s="75"/>
      <c r="P94" s="75"/>
      <c r="Q94" s="75" t="s">
        <v>519</v>
      </c>
      <c r="R94" s="79"/>
      <c r="S94" s="75"/>
      <c r="T94" s="75" t="s">
        <v>520</v>
      </c>
      <c r="U94" s="75"/>
      <c r="V94" s="75"/>
    </row>
    <row r="95" spans="1:22">
      <c r="A95" s="75" t="s">
        <v>227</v>
      </c>
      <c r="B95" s="75">
        <v>17853136</v>
      </c>
      <c r="C95" s="75">
        <v>1</v>
      </c>
      <c r="D95" s="76"/>
      <c r="E95" s="77"/>
      <c r="F95" s="75">
        <v>1</v>
      </c>
      <c r="G95" s="75"/>
      <c r="H95" s="75">
        <v>1</v>
      </c>
      <c r="I95" s="106">
        <v>1</v>
      </c>
      <c r="J95" s="75" t="s">
        <v>73</v>
      </c>
      <c r="K95" s="75" t="s">
        <v>1147</v>
      </c>
      <c r="L95" s="75" t="s">
        <v>634</v>
      </c>
      <c r="M95" s="75">
        <v>1</v>
      </c>
      <c r="N95" s="75"/>
      <c r="O95" s="75"/>
      <c r="P95" s="75"/>
      <c r="Q95" s="75" t="s">
        <v>635</v>
      </c>
      <c r="R95" s="79"/>
      <c r="S95" s="75"/>
      <c r="T95" s="75"/>
      <c r="U95" s="75"/>
      <c r="V95" s="75"/>
    </row>
    <row r="96" spans="1:22">
      <c r="A96" s="75" t="s">
        <v>363</v>
      </c>
      <c r="B96" s="75">
        <v>16445942</v>
      </c>
      <c r="C96" s="75">
        <v>1</v>
      </c>
      <c r="D96" s="76"/>
      <c r="E96" s="77"/>
      <c r="F96" s="75">
        <v>1</v>
      </c>
      <c r="G96" s="75"/>
      <c r="H96" s="75">
        <v>1</v>
      </c>
      <c r="I96" s="106">
        <v>1</v>
      </c>
      <c r="J96" s="75" t="s">
        <v>73</v>
      </c>
      <c r="K96" s="75" t="s">
        <v>1147</v>
      </c>
      <c r="L96" s="75" t="s">
        <v>25</v>
      </c>
      <c r="M96" s="75">
        <v>1</v>
      </c>
      <c r="N96" s="75"/>
      <c r="O96" s="75"/>
      <c r="P96" s="75"/>
      <c r="Q96" s="75" t="s">
        <v>934</v>
      </c>
      <c r="R96" s="75"/>
      <c r="S96" s="75"/>
      <c r="T96" s="75"/>
      <c r="U96" s="75"/>
      <c r="V96" s="75" t="s">
        <v>937</v>
      </c>
    </row>
    <row r="97" spans="1:22">
      <c r="A97" s="75" t="s">
        <v>167</v>
      </c>
      <c r="B97" s="75">
        <v>21047644</v>
      </c>
      <c r="C97" s="75">
        <v>1</v>
      </c>
      <c r="D97" s="76"/>
      <c r="E97" s="77"/>
      <c r="F97" s="75">
        <v>1</v>
      </c>
      <c r="G97" s="75"/>
      <c r="H97" s="75">
        <v>1</v>
      </c>
      <c r="I97" s="106">
        <v>1</v>
      </c>
      <c r="J97" s="75" t="s">
        <v>493</v>
      </c>
      <c r="K97" s="75" t="s">
        <v>1147</v>
      </c>
      <c r="L97" s="75" t="s">
        <v>20</v>
      </c>
      <c r="M97" s="75">
        <v>1</v>
      </c>
      <c r="N97" s="75"/>
      <c r="O97" s="75"/>
      <c r="P97" s="75"/>
      <c r="Q97" s="75"/>
      <c r="R97" s="79" t="s">
        <v>56</v>
      </c>
      <c r="S97" s="75"/>
      <c r="T97" s="75"/>
      <c r="U97" s="75"/>
      <c r="V97" s="75" t="s">
        <v>494</v>
      </c>
    </row>
    <row r="98" spans="1:22">
      <c r="A98" s="75" t="s">
        <v>214</v>
      </c>
      <c r="B98" s="75">
        <v>23877970</v>
      </c>
      <c r="C98" s="75">
        <v>1</v>
      </c>
      <c r="D98" s="76"/>
      <c r="E98" s="77"/>
      <c r="F98" s="75">
        <v>1</v>
      </c>
      <c r="G98" s="75"/>
      <c r="H98" s="75">
        <v>1</v>
      </c>
      <c r="I98" s="106">
        <v>1</v>
      </c>
      <c r="J98" s="75" t="s">
        <v>493</v>
      </c>
      <c r="K98" s="75" t="s">
        <v>1147</v>
      </c>
      <c r="L98" s="75" t="s">
        <v>376</v>
      </c>
      <c r="M98" s="75">
        <v>1</v>
      </c>
      <c r="N98" s="75"/>
      <c r="O98" s="75"/>
      <c r="P98" s="75"/>
      <c r="Q98" s="75" t="s">
        <v>606</v>
      </c>
      <c r="R98" s="79" t="s">
        <v>24</v>
      </c>
      <c r="S98" s="75" t="s">
        <v>24</v>
      </c>
      <c r="T98" s="75" t="s">
        <v>607</v>
      </c>
      <c r="U98" s="75"/>
      <c r="V98" s="75"/>
    </row>
    <row r="99" spans="1:22">
      <c r="A99" s="75" t="s">
        <v>221</v>
      </c>
      <c r="B99" s="75">
        <v>2266215</v>
      </c>
      <c r="C99" s="75">
        <v>1</v>
      </c>
      <c r="D99" s="76"/>
      <c r="E99" s="77"/>
      <c r="F99" s="75">
        <v>1</v>
      </c>
      <c r="G99" s="75"/>
      <c r="H99" s="75">
        <v>1</v>
      </c>
      <c r="I99" s="106">
        <v>1</v>
      </c>
      <c r="J99" s="75" t="s">
        <v>620</v>
      </c>
      <c r="K99" s="75" t="s">
        <v>1163</v>
      </c>
      <c r="L99" s="75" t="s">
        <v>591</v>
      </c>
      <c r="M99" s="75">
        <v>1</v>
      </c>
      <c r="N99" s="75"/>
      <c r="O99" s="75"/>
      <c r="P99" s="75"/>
      <c r="Q99" s="75" t="s">
        <v>619</v>
      </c>
      <c r="R99" s="79"/>
      <c r="S99" s="75"/>
      <c r="T99" s="75"/>
      <c r="U99" s="75"/>
      <c r="V99" s="75"/>
    </row>
    <row r="100" spans="1:22">
      <c r="A100" s="75" t="s">
        <v>338</v>
      </c>
      <c r="B100" s="75">
        <v>24245929</v>
      </c>
      <c r="C100" s="75">
        <v>1</v>
      </c>
      <c r="D100" s="76"/>
      <c r="E100" s="77"/>
      <c r="F100" s="75">
        <v>1</v>
      </c>
      <c r="G100" s="75"/>
      <c r="H100" s="75">
        <v>1</v>
      </c>
      <c r="I100" s="106">
        <v>1</v>
      </c>
      <c r="J100" s="75" t="s">
        <v>876</v>
      </c>
      <c r="K100" s="75" t="s">
        <v>1191</v>
      </c>
      <c r="L100" s="75" t="s">
        <v>878</v>
      </c>
      <c r="M100" s="75">
        <v>1</v>
      </c>
      <c r="N100" s="75"/>
      <c r="O100" s="75"/>
      <c r="P100" s="75"/>
      <c r="Q100" s="75" t="s">
        <v>1190</v>
      </c>
      <c r="R100" s="75" t="s">
        <v>24</v>
      </c>
      <c r="S100" s="75" t="s">
        <v>24</v>
      </c>
      <c r="T100" s="75" t="s">
        <v>877</v>
      </c>
      <c r="U100" s="75"/>
      <c r="V100" s="75"/>
    </row>
    <row r="101" spans="1:22">
      <c r="A101" s="75" t="s">
        <v>289</v>
      </c>
      <c r="B101" s="75">
        <v>21715297</v>
      </c>
      <c r="C101" s="75">
        <v>1</v>
      </c>
      <c r="D101" s="76"/>
      <c r="E101" s="77"/>
      <c r="F101" s="75">
        <v>1</v>
      </c>
      <c r="G101" s="75"/>
      <c r="H101" s="75">
        <v>1</v>
      </c>
      <c r="I101" s="106">
        <v>1</v>
      </c>
      <c r="J101" s="75" t="s">
        <v>755</v>
      </c>
      <c r="K101" s="75" t="s">
        <v>1147</v>
      </c>
      <c r="L101" s="75" t="s">
        <v>25</v>
      </c>
      <c r="M101" s="75">
        <v>1</v>
      </c>
      <c r="N101" s="75"/>
      <c r="O101" s="75"/>
      <c r="P101" s="75"/>
      <c r="Q101" s="75" t="s">
        <v>756</v>
      </c>
      <c r="R101" s="79" t="s">
        <v>24</v>
      </c>
      <c r="S101" s="75" t="s">
        <v>757</v>
      </c>
      <c r="T101" s="75"/>
      <c r="U101" s="75"/>
      <c r="V101" s="75"/>
    </row>
    <row r="102" spans="1:22">
      <c r="A102" s="75" t="s">
        <v>208</v>
      </c>
      <c r="B102" s="75">
        <v>23445934</v>
      </c>
      <c r="C102" s="75">
        <v>1</v>
      </c>
      <c r="D102" s="76"/>
      <c r="E102" s="77"/>
      <c r="F102" s="75">
        <v>1</v>
      </c>
      <c r="G102" s="75"/>
      <c r="H102" s="75">
        <v>1</v>
      </c>
      <c r="I102" s="106">
        <v>1</v>
      </c>
      <c r="J102" s="75" t="s">
        <v>596</v>
      </c>
      <c r="K102" s="75" t="s">
        <v>1168</v>
      </c>
      <c r="L102" s="75" t="s">
        <v>594</v>
      </c>
      <c r="M102" s="75">
        <v>0</v>
      </c>
      <c r="N102" s="75"/>
      <c r="O102" s="75"/>
      <c r="P102" s="75"/>
      <c r="Q102" s="75" t="s">
        <v>597</v>
      </c>
      <c r="R102" s="79" t="s">
        <v>595</v>
      </c>
      <c r="S102" s="75"/>
      <c r="T102" s="75"/>
      <c r="U102" s="75"/>
      <c r="V102" s="75"/>
    </row>
    <row r="103" spans="1:22">
      <c r="A103" s="75" t="s">
        <v>333</v>
      </c>
      <c r="B103" s="75">
        <v>21489700</v>
      </c>
      <c r="C103" s="75">
        <v>1</v>
      </c>
      <c r="D103" s="76"/>
      <c r="E103" s="77"/>
      <c r="F103" s="75">
        <v>1</v>
      </c>
      <c r="G103" s="75"/>
      <c r="H103" s="75">
        <v>1</v>
      </c>
      <c r="I103" s="106">
        <v>1</v>
      </c>
      <c r="J103" s="75" t="s">
        <v>867</v>
      </c>
      <c r="K103" s="75" t="s">
        <v>1147</v>
      </c>
      <c r="L103" s="75" t="s">
        <v>25</v>
      </c>
      <c r="M103" s="75">
        <v>1</v>
      </c>
      <c r="N103" s="75"/>
      <c r="O103" s="75"/>
      <c r="P103" s="75"/>
      <c r="Q103" s="75" t="s">
        <v>868</v>
      </c>
      <c r="R103" s="75" t="s">
        <v>436</v>
      </c>
      <c r="S103" s="75" t="s">
        <v>866</v>
      </c>
      <c r="T103" s="75"/>
      <c r="U103" s="75"/>
      <c r="V103" s="75"/>
    </row>
    <row r="104" spans="1:22">
      <c r="A104" s="91" t="s">
        <v>315</v>
      </c>
      <c r="B104" s="91">
        <v>21180658</v>
      </c>
      <c r="C104" s="91">
        <v>1</v>
      </c>
      <c r="D104" s="96"/>
      <c r="E104" s="97"/>
      <c r="F104" s="91">
        <v>1</v>
      </c>
      <c r="G104" s="91"/>
      <c r="H104" s="91">
        <v>1</v>
      </c>
      <c r="I104" s="106">
        <v>1</v>
      </c>
      <c r="J104" s="91" t="s">
        <v>1178</v>
      </c>
      <c r="K104" s="91" t="s">
        <v>1142</v>
      </c>
      <c r="L104" s="91" t="s">
        <v>819</v>
      </c>
      <c r="M104" s="91">
        <v>1</v>
      </c>
      <c r="N104" s="91"/>
      <c r="O104" s="91"/>
      <c r="P104" s="91"/>
      <c r="Q104" s="91" t="s">
        <v>820</v>
      </c>
      <c r="R104" s="91"/>
      <c r="S104" s="91" t="s">
        <v>821</v>
      </c>
      <c r="T104" s="91"/>
      <c r="U104" s="91"/>
      <c r="V104" s="91" t="s">
        <v>818</v>
      </c>
    </row>
    <row r="105" spans="1:22">
      <c r="A105" s="75" t="s">
        <v>280</v>
      </c>
      <c r="B105" s="75">
        <v>17100516</v>
      </c>
      <c r="C105" s="75">
        <v>1</v>
      </c>
      <c r="D105" s="76"/>
      <c r="E105" s="77"/>
      <c r="F105" s="75">
        <v>1</v>
      </c>
      <c r="G105" s="75"/>
      <c r="H105" s="75">
        <v>1</v>
      </c>
      <c r="I105" s="106">
        <v>1</v>
      </c>
      <c r="J105" s="75" t="s">
        <v>735</v>
      </c>
      <c r="K105" s="75" t="s">
        <v>1154</v>
      </c>
      <c r="L105" s="75" t="s">
        <v>736</v>
      </c>
      <c r="M105" s="75">
        <v>1</v>
      </c>
      <c r="N105" s="75"/>
      <c r="O105" s="75"/>
      <c r="P105" s="75"/>
      <c r="Q105" s="75" t="s">
        <v>492</v>
      </c>
      <c r="R105" s="79" t="s">
        <v>24</v>
      </c>
      <c r="S105" s="75" t="s">
        <v>24</v>
      </c>
      <c r="T105" s="75" t="s">
        <v>737</v>
      </c>
      <c r="U105" s="75"/>
      <c r="V105" s="75"/>
    </row>
    <row r="106" spans="1:22">
      <c r="A106" s="75" t="s">
        <v>145</v>
      </c>
      <c r="B106" s="75">
        <v>11469166</v>
      </c>
      <c r="C106" s="75">
        <v>1</v>
      </c>
      <c r="D106" s="76"/>
      <c r="E106" s="77"/>
      <c r="F106" s="75">
        <v>1</v>
      </c>
      <c r="G106" s="75"/>
      <c r="H106" s="75">
        <v>1</v>
      </c>
      <c r="I106" s="106">
        <v>1</v>
      </c>
      <c r="J106" s="75" t="s">
        <v>452</v>
      </c>
      <c r="K106" s="75"/>
      <c r="L106" s="75" t="s">
        <v>25</v>
      </c>
      <c r="M106" s="75">
        <v>1</v>
      </c>
      <c r="N106" s="75"/>
      <c r="O106" s="75"/>
      <c r="P106" s="75"/>
      <c r="Q106" s="75" t="s">
        <v>24</v>
      </c>
      <c r="R106" s="79"/>
      <c r="S106" s="75"/>
      <c r="T106" s="75"/>
      <c r="U106" s="75"/>
      <c r="V106" s="75"/>
    </row>
    <row r="107" spans="1:22">
      <c r="A107" s="75" t="s">
        <v>190</v>
      </c>
      <c r="B107" s="75">
        <v>21898603</v>
      </c>
      <c r="C107" s="75">
        <v>1</v>
      </c>
      <c r="D107" s="76"/>
      <c r="E107" s="77"/>
      <c r="F107" s="75">
        <v>1</v>
      </c>
      <c r="G107" s="75"/>
      <c r="H107" s="75">
        <v>1</v>
      </c>
      <c r="I107" s="106">
        <v>1</v>
      </c>
      <c r="J107" s="75" t="s">
        <v>551</v>
      </c>
      <c r="K107" s="75" t="s">
        <v>1172</v>
      </c>
      <c r="L107" s="75" t="s">
        <v>25</v>
      </c>
      <c r="M107" s="75">
        <v>1</v>
      </c>
      <c r="N107" s="75"/>
      <c r="O107" s="75"/>
      <c r="P107" s="75"/>
      <c r="Q107" s="75" t="s">
        <v>492</v>
      </c>
      <c r="R107" s="79" t="s">
        <v>24</v>
      </c>
      <c r="S107" s="75" t="s">
        <v>24</v>
      </c>
      <c r="T107" s="75" t="s">
        <v>552</v>
      </c>
      <c r="U107" s="75"/>
      <c r="V107" s="75" t="s">
        <v>553</v>
      </c>
    </row>
    <row r="108" spans="1:22">
      <c r="A108" s="75" t="s">
        <v>316</v>
      </c>
      <c r="B108" s="75">
        <v>2365895</v>
      </c>
      <c r="C108" s="75">
        <v>1</v>
      </c>
      <c r="D108" s="83" t="s">
        <v>1784</v>
      </c>
      <c r="E108" s="77"/>
      <c r="F108" s="94">
        <v>1</v>
      </c>
      <c r="G108" s="75"/>
      <c r="H108" s="75">
        <v>0</v>
      </c>
      <c r="I108" s="106">
        <v>1</v>
      </c>
      <c r="J108" s="75" t="s">
        <v>825</v>
      </c>
      <c r="K108" s="75" t="s">
        <v>1172</v>
      </c>
      <c r="L108" s="75" t="s">
        <v>822</v>
      </c>
      <c r="M108" s="75">
        <v>0</v>
      </c>
      <c r="N108" s="75"/>
      <c r="O108" s="75"/>
      <c r="P108" s="75"/>
      <c r="Q108" s="75" t="s">
        <v>823</v>
      </c>
      <c r="R108" s="75"/>
      <c r="S108" s="75"/>
      <c r="T108" s="75"/>
      <c r="U108" s="75"/>
      <c r="V108" s="75" t="s">
        <v>824</v>
      </c>
    </row>
    <row r="109" spans="1:22">
      <c r="A109" s="75" t="s">
        <v>203</v>
      </c>
      <c r="B109" s="75">
        <v>23978082</v>
      </c>
      <c r="C109" s="75">
        <v>1</v>
      </c>
      <c r="D109" s="76"/>
      <c r="E109" s="77"/>
      <c r="F109" s="75">
        <v>1</v>
      </c>
      <c r="G109" s="75"/>
      <c r="H109" s="75">
        <v>1</v>
      </c>
      <c r="I109" s="106">
        <v>1</v>
      </c>
      <c r="J109" s="75" t="s">
        <v>581</v>
      </c>
      <c r="K109" s="75" t="s">
        <v>1147</v>
      </c>
      <c r="L109" s="75" t="s">
        <v>567</v>
      </c>
      <c r="M109" s="75">
        <v>1</v>
      </c>
      <c r="N109" s="75"/>
      <c r="O109" s="75"/>
      <c r="P109" s="75"/>
      <c r="Q109" s="75" t="s">
        <v>580</v>
      </c>
      <c r="R109" s="79"/>
      <c r="S109" s="75"/>
      <c r="T109" s="75"/>
      <c r="U109" s="75"/>
      <c r="V109" s="75"/>
    </row>
    <row r="110" spans="1:22">
      <c r="A110" s="75" t="s">
        <v>253</v>
      </c>
      <c r="B110" s="75">
        <v>25093599</v>
      </c>
      <c r="C110" s="75">
        <v>1</v>
      </c>
      <c r="D110" s="76"/>
      <c r="E110" s="77"/>
      <c r="F110" s="75">
        <v>1</v>
      </c>
      <c r="G110" s="75"/>
      <c r="H110" s="75">
        <v>1</v>
      </c>
      <c r="I110" s="106">
        <v>1</v>
      </c>
      <c r="J110" s="75" t="s">
        <v>685</v>
      </c>
      <c r="K110" s="75" t="s">
        <v>1166</v>
      </c>
      <c r="L110" s="75" t="s">
        <v>686</v>
      </c>
      <c r="M110" s="75">
        <v>1</v>
      </c>
      <c r="N110" s="75"/>
      <c r="O110" s="75"/>
      <c r="P110" s="75"/>
      <c r="Q110" s="75" t="s">
        <v>687</v>
      </c>
      <c r="R110" s="79" t="s">
        <v>39</v>
      </c>
      <c r="S110" s="75"/>
      <c r="T110" s="75"/>
      <c r="U110" s="75"/>
      <c r="V110" s="75"/>
    </row>
    <row r="111" spans="1:22">
      <c r="A111" s="75" t="s">
        <v>210</v>
      </c>
      <c r="B111" s="75">
        <v>26011671</v>
      </c>
      <c r="C111" s="75">
        <v>1</v>
      </c>
      <c r="D111" s="76"/>
      <c r="E111" s="77"/>
      <c r="F111" s="75">
        <v>1</v>
      </c>
      <c r="G111" s="75"/>
      <c r="H111" s="81">
        <v>1</v>
      </c>
      <c r="I111" s="106">
        <v>1</v>
      </c>
      <c r="J111" s="75" t="s">
        <v>599</v>
      </c>
      <c r="K111" s="75" t="s">
        <v>1164</v>
      </c>
      <c r="L111" s="75" t="s">
        <v>498</v>
      </c>
      <c r="M111" s="75">
        <v>0</v>
      </c>
      <c r="N111" s="75"/>
      <c r="O111" s="75"/>
      <c r="P111" s="75"/>
      <c r="Q111" s="75" t="s">
        <v>600</v>
      </c>
      <c r="R111" s="79"/>
      <c r="S111" s="75"/>
      <c r="T111" s="75"/>
      <c r="U111" s="75"/>
      <c r="V111" s="75" t="s">
        <v>601</v>
      </c>
    </row>
    <row r="112" spans="1:22">
      <c r="A112" s="75" t="s">
        <v>302</v>
      </c>
      <c r="B112" s="75">
        <v>23672579</v>
      </c>
      <c r="C112" s="75">
        <v>1</v>
      </c>
      <c r="D112" s="76"/>
      <c r="E112" s="77"/>
      <c r="F112" s="75">
        <v>1</v>
      </c>
      <c r="G112" s="75"/>
      <c r="H112" s="75">
        <v>1</v>
      </c>
      <c r="I112" s="106">
        <v>1</v>
      </c>
      <c r="J112" s="75" t="s">
        <v>792</v>
      </c>
      <c r="K112" s="75" t="s">
        <v>23</v>
      </c>
      <c r="L112" s="75" t="s">
        <v>762</v>
      </c>
      <c r="M112" s="75">
        <v>1</v>
      </c>
      <c r="N112" s="75"/>
      <c r="O112" s="75"/>
      <c r="P112" s="75"/>
      <c r="Q112" s="75" t="s">
        <v>492</v>
      </c>
      <c r="R112" s="79" t="s">
        <v>24</v>
      </c>
      <c r="S112" s="75" t="s">
        <v>24</v>
      </c>
      <c r="T112" s="75" t="s">
        <v>793</v>
      </c>
      <c r="U112" s="75"/>
      <c r="V112" s="75"/>
    </row>
    <row r="113" spans="1:22">
      <c r="A113" s="75" t="s">
        <v>332</v>
      </c>
      <c r="B113" s="75">
        <v>6691477</v>
      </c>
      <c r="C113" s="75">
        <v>1</v>
      </c>
      <c r="D113" s="76" t="s">
        <v>1785</v>
      </c>
      <c r="E113" s="77"/>
      <c r="F113" s="75">
        <v>0</v>
      </c>
      <c r="G113" s="75"/>
      <c r="H113" s="81">
        <v>1</v>
      </c>
      <c r="I113" s="106">
        <v>1</v>
      </c>
      <c r="J113" s="75" t="s">
        <v>863</v>
      </c>
      <c r="K113" s="75"/>
      <c r="L113" s="75" t="s">
        <v>819</v>
      </c>
      <c r="M113" s="75">
        <v>1</v>
      </c>
      <c r="N113" s="75"/>
      <c r="O113" s="75"/>
      <c r="P113" s="75"/>
      <c r="Q113" s="75" t="s">
        <v>455</v>
      </c>
      <c r="R113" s="75"/>
      <c r="S113" s="75"/>
      <c r="T113" s="75"/>
      <c r="U113" s="75"/>
      <c r="V113" s="75" t="s">
        <v>864</v>
      </c>
    </row>
    <row r="114" spans="1:22">
      <c r="A114" s="75" t="s">
        <v>97</v>
      </c>
      <c r="B114" s="75">
        <v>19485102</v>
      </c>
      <c r="C114" s="75">
        <v>1</v>
      </c>
      <c r="D114" s="76"/>
      <c r="E114" s="77"/>
      <c r="F114" s="75">
        <v>1</v>
      </c>
      <c r="G114" s="75"/>
      <c r="H114" s="75">
        <v>1</v>
      </c>
      <c r="I114" s="106">
        <v>1</v>
      </c>
      <c r="J114" s="75" t="s">
        <v>64</v>
      </c>
      <c r="K114" s="75" t="s">
        <v>1173</v>
      </c>
      <c r="L114" s="75" t="s">
        <v>62</v>
      </c>
      <c r="M114" s="75">
        <v>0</v>
      </c>
      <c r="N114" s="75"/>
      <c r="O114" s="75"/>
      <c r="P114" s="75"/>
      <c r="Q114" s="75" t="s">
        <v>63</v>
      </c>
      <c r="R114" s="79" t="s">
        <v>56</v>
      </c>
      <c r="S114" s="75"/>
      <c r="T114" s="75"/>
      <c r="U114" s="75"/>
      <c r="V114" s="75" t="s">
        <v>65</v>
      </c>
    </row>
    <row r="115" spans="1:22">
      <c r="A115" s="75" t="s">
        <v>160</v>
      </c>
      <c r="B115" s="75">
        <v>23198722</v>
      </c>
      <c r="C115" s="75">
        <v>1</v>
      </c>
      <c r="D115" s="76"/>
      <c r="E115" s="77"/>
      <c r="F115" s="75">
        <v>1</v>
      </c>
      <c r="G115" s="75"/>
      <c r="H115" s="75">
        <v>1</v>
      </c>
      <c r="I115" s="106">
        <v>1</v>
      </c>
      <c r="J115" s="75" t="s">
        <v>484</v>
      </c>
      <c r="K115" s="75" t="s">
        <v>1161</v>
      </c>
      <c r="L115" s="75" t="s">
        <v>483</v>
      </c>
      <c r="M115" s="75">
        <v>1</v>
      </c>
      <c r="N115" s="75"/>
      <c r="O115" s="75"/>
      <c r="P115" s="75"/>
      <c r="Q115" s="75" t="s">
        <v>482</v>
      </c>
      <c r="R115" s="79" t="s">
        <v>480</v>
      </c>
      <c r="S115" s="75"/>
      <c r="T115" s="75"/>
      <c r="U115" s="75"/>
      <c r="V115" s="75" t="s">
        <v>481</v>
      </c>
    </row>
    <row r="116" spans="1:22">
      <c r="A116" s="75" t="s">
        <v>317</v>
      </c>
      <c r="B116" s="75">
        <v>1984709</v>
      </c>
      <c r="C116" s="75">
        <v>1</v>
      </c>
      <c r="D116" s="83" t="s">
        <v>1784</v>
      </c>
      <c r="E116" s="77" t="s">
        <v>1767</v>
      </c>
      <c r="F116" s="81">
        <v>1</v>
      </c>
      <c r="G116" s="75"/>
      <c r="H116" s="81">
        <v>0</v>
      </c>
      <c r="I116" s="106">
        <v>1</v>
      </c>
      <c r="J116" s="75" t="s">
        <v>538</v>
      </c>
      <c r="K116" s="75" t="s">
        <v>538</v>
      </c>
      <c r="L116" s="75" t="s">
        <v>822</v>
      </c>
      <c r="M116" s="75">
        <v>0</v>
      </c>
      <c r="N116" s="75"/>
      <c r="O116" s="75"/>
      <c r="P116" s="75"/>
      <c r="Q116" s="75" t="s">
        <v>826</v>
      </c>
      <c r="R116" s="75"/>
      <c r="S116" s="75"/>
      <c r="T116" s="75" t="s">
        <v>827</v>
      </c>
      <c r="U116" s="75"/>
      <c r="V116" s="75" t="s">
        <v>828</v>
      </c>
    </row>
    <row r="117" spans="1:22">
      <c r="A117" s="75" t="s">
        <v>217</v>
      </c>
      <c r="B117" s="75">
        <v>26691304</v>
      </c>
      <c r="C117" s="75">
        <v>1</v>
      </c>
      <c r="D117" s="76"/>
      <c r="E117" s="77"/>
      <c r="F117" s="75">
        <v>1</v>
      </c>
      <c r="G117" s="75"/>
      <c r="H117" s="75">
        <v>1</v>
      </c>
      <c r="I117" s="106">
        <v>1</v>
      </c>
      <c r="J117" s="75" t="s">
        <v>612</v>
      </c>
      <c r="K117" s="75" t="s">
        <v>1147</v>
      </c>
      <c r="L117" s="75" t="s">
        <v>376</v>
      </c>
      <c r="M117" s="75">
        <v>1</v>
      </c>
      <c r="N117" s="75"/>
      <c r="O117" s="75"/>
      <c r="P117" s="75"/>
      <c r="Q117" s="75" t="s">
        <v>613</v>
      </c>
      <c r="R117" s="79"/>
      <c r="S117" s="75"/>
      <c r="T117" s="75"/>
      <c r="U117" s="75"/>
      <c r="V117" s="75"/>
    </row>
    <row r="118" spans="1:22">
      <c r="A118" s="75" t="s">
        <v>287</v>
      </c>
      <c r="B118" s="75">
        <v>27353125</v>
      </c>
      <c r="C118" s="75">
        <v>1</v>
      </c>
      <c r="D118" s="76"/>
      <c r="E118" s="77"/>
      <c r="F118" s="75">
        <v>1</v>
      </c>
      <c r="G118" s="75"/>
      <c r="H118" s="75">
        <v>1</v>
      </c>
      <c r="I118" s="106">
        <v>1</v>
      </c>
      <c r="J118" s="75" t="s">
        <v>612</v>
      </c>
      <c r="K118" s="75" t="s">
        <v>1147</v>
      </c>
      <c r="L118" s="75" t="s">
        <v>25</v>
      </c>
      <c r="M118" s="75">
        <v>1</v>
      </c>
      <c r="N118" s="75"/>
      <c r="O118" s="75"/>
      <c r="P118" s="75"/>
      <c r="Q118" s="75" t="s">
        <v>750</v>
      </c>
      <c r="R118" s="79"/>
      <c r="S118" s="75"/>
      <c r="T118" s="75"/>
      <c r="U118" s="75"/>
      <c r="V118" s="75"/>
    </row>
    <row r="119" spans="1:22">
      <c r="A119" s="75" t="s">
        <v>283</v>
      </c>
      <c r="B119" s="75">
        <v>27459209</v>
      </c>
      <c r="C119" s="75">
        <v>1</v>
      </c>
      <c r="D119" s="76"/>
      <c r="E119" s="77"/>
      <c r="F119" s="75">
        <v>1</v>
      </c>
      <c r="G119" s="75"/>
      <c r="H119" s="75">
        <v>1</v>
      </c>
      <c r="I119" s="106">
        <v>1</v>
      </c>
      <c r="J119" s="75" t="s">
        <v>742</v>
      </c>
      <c r="K119" s="75" t="s">
        <v>1188</v>
      </c>
      <c r="L119" s="75" t="s">
        <v>25</v>
      </c>
      <c r="M119" s="75">
        <v>1</v>
      </c>
      <c r="N119" s="75"/>
      <c r="O119" s="75"/>
      <c r="P119" s="75"/>
      <c r="Q119" s="75" t="s">
        <v>743</v>
      </c>
      <c r="R119" s="79" t="s">
        <v>24</v>
      </c>
      <c r="S119" s="75" t="s">
        <v>24</v>
      </c>
      <c r="T119" s="75"/>
      <c r="U119" s="75"/>
      <c r="V119" s="75"/>
    </row>
    <row r="120" spans="1:22">
      <c r="A120" s="75" t="s">
        <v>314</v>
      </c>
      <c r="B120" s="75">
        <v>24686914</v>
      </c>
      <c r="C120" s="75">
        <v>1</v>
      </c>
      <c r="D120" s="76"/>
      <c r="E120" s="77"/>
      <c r="F120" s="75">
        <v>1</v>
      </c>
      <c r="G120" s="75"/>
      <c r="H120" s="75">
        <v>1</v>
      </c>
      <c r="I120" s="106">
        <v>1</v>
      </c>
      <c r="J120" s="75" t="s">
        <v>816</v>
      </c>
      <c r="K120" s="75" t="s">
        <v>1189</v>
      </c>
      <c r="L120" s="75" t="s">
        <v>25</v>
      </c>
      <c r="M120" s="75">
        <v>1</v>
      </c>
      <c r="N120" s="75"/>
      <c r="O120" s="75"/>
      <c r="P120" s="75"/>
      <c r="Q120" s="75" t="s">
        <v>817</v>
      </c>
      <c r="R120" s="75"/>
      <c r="S120" s="75"/>
      <c r="T120" s="75"/>
      <c r="U120" s="75"/>
      <c r="V120" s="75"/>
    </row>
    <row r="121" spans="1:22">
      <c r="A121" s="75" t="s">
        <v>128</v>
      </c>
      <c r="B121" s="75">
        <v>15993948</v>
      </c>
      <c r="C121" s="75">
        <v>1</v>
      </c>
      <c r="D121" s="76"/>
      <c r="E121" s="77"/>
      <c r="F121" s="75">
        <v>1</v>
      </c>
      <c r="G121" s="75"/>
      <c r="H121" s="75">
        <v>1</v>
      </c>
      <c r="I121" s="106">
        <v>1</v>
      </c>
      <c r="J121" s="75" t="s">
        <v>418</v>
      </c>
      <c r="K121" s="75" t="s">
        <v>1150</v>
      </c>
      <c r="L121" s="75" t="s">
        <v>25</v>
      </c>
      <c r="M121" s="75">
        <v>1</v>
      </c>
      <c r="N121" s="75"/>
      <c r="O121" s="75"/>
      <c r="P121" s="75"/>
      <c r="Q121" s="75" t="s">
        <v>419</v>
      </c>
      <c r="R121" s="79"/>
      <c r="S121" s="75"/>
      <c r="T121" s="75"/>
      <c r="U121" s="75"/>
      <c r="V121" s="75"/>
    </row>
    <row r="122" spans="1:22">
      <c r="A122" s="75" t="s">
        <v>117</v>
      </c>
      <c r="B122" s="75">
        <v>27252673</v>
      </c>
      <c r="C122" s="75">
        <v>1</v>
      </c>
      <c r="D122" s="76"/>
      <c r="E122" s="77"/>
      <c r="F122" s="75">
        <v>1</v>
      </c>
      <c r="G122" s="75"/>
      <c r="H122" s="75">
        <v>1</v>
      </c>
      <c r="I122" s="106">
        <v>1</v>
      </c>
      <c r="J122" s="75" t="s">
        <v>397</v>
      </c>
      <c r="K122" s="75" t="s">
        <v>1183</v>
      </c>
      <c r="L122" s="75" t="s">
        <v>25</v>
      </c>
      <c r="M122" s="75">
        <v>1</v>
      </c>
      <c r="N122" s="75"/>
      <c r="O122" s="75"/>
      <c r="P122" s="75"/>
      <c r="Q122" s="75" t="s">
        <v>398</v>
      </c>
      <c r="R122" s="79"/>
      <c r="S122" s="75"/>
      <c r="T122" s="75"/>
      <c r="U122" s="75"/>
      <c r="V122" s="75"/>
    </row>
    <row r="123" spans="1:22">
      <c r="A123" s="75" t="s">
        <v>171</v>
      </c>
      <c r="B123" s="75">
        <v>18068725</v>
      </c>
      <c r="C123" s="75">
        <v>1</v>
      </c>
      <c r="D123" s="76"/>
      <c r="E123" s="77"/>
      <c r="F123" s="75">
        <v>1</v>
      </c>
      <c r="G123" s="75"/>
      <c r="H123" s="75">
        <v>1</v>
      </c>
      <c r="I123" s="106">
        <v>1</v>
      </c>
      <c r="J123" s="75" t="s">
        <v>397</v>
      </c>
      <c r="K123" s="75"/>
      <c r="L123" s="75" t="s">
        <v>500</v>
      </c>
      <c r="M123" s="75">
        <v>1</v>
      </c>
      <c r="N123" s="75"/>
      <c r="O123" s="75"/>
      <c r="P123" s="75"/>
      <c r="Q123" s="75" t="s">
        <v>501</v>
      </c>
      <c r="R123" s="79"/>
      <c r="S123" s="75"/>
      <c r="T123" s="75"/>
      <c r="U123" s="75"/>
      <c r="V123" s="75"/>
    </row>
    <row r="124" spans="1:22">
      <c r="A124" s="75" t="s">
        <v>275</v>
      </c>
      <c r="B124" s="75">
        <v>27000639</v>
      </c>
      <c r="C124" s="75">
        <v>1</v>
      </c>
      <c r="D124" s="76"/>
      <c r="E124" s="77"/>
      <c r="F124" s="75">
        <v>1</v>
      </c>
      <c r="G124" s="75"/>
      <c r="H124" s="75">
        <v>1</v>
      </c>
      <c r="I124" s="106">
        <v>1</v>
      </c>
      <c r="J124" s="75" t="s">
        <v>726</v>
      </c>
      <c r="K124" s="75"/>
      <c r="L124" s="75" t="s">
        <v>25</v>
      </c>
      <c r="M124" s="75">
        <v>1</v>
      </c>
      <c r="N124" s="75"/>
      <c r="O124" s="75"/>
      <c r="P124" s="75"/>
      <c r="Q124" s="75" t="s">
        <v>725</v>
      </c>
      <c r="R124" s="79"/>
      <c r="S124" s="75"/>
      <c r="T124" s="75"/>
      <c r="U124" s="75"/>
      <c r="V124" s="75"/>
    </row>
    <row r="125" spans="1:22">
      <c r="A125" s="75" t="s">
        <v>115</v>
      </c>
      <c r="B125" s="75">
        <v>27058006</v>
      </c>
      <c r="C125" s="75">
        <v>1</v>
      </c>
      <c r="D125" s="76"/>
      <c r="E125" s="77"/>
      <c r="F125" s="75">
        <v>1</v>
      </c>
      <c r="G125" s="75"/>
      <c r="H125" s="75">
        <v>1</v>
      </c>
      <c r="I125" s="106">
        <v>1</v>
      </c>
      <c r="J125" s="75" t="s">
        <v>390</v>
      </c>
      <c r="K125" s="75" t="s">
        <v>1147</v>
      </c>
      <c r="L125" s="75" t="s">
        <v>391</v>
      </c>
      <c r="M125" s="75">
        <v>1</v>
      </c>
      <c r="N125" s="75"/>
      <c r="O125" s="75"/>
      <c r="P125" s="75"/>
      <c r="Q125" s="75"/>
      <c r="R125" s="79" t="s">
        <v>389</v>
      </c>
      <c r="S125" s="75"/>
      <c r="T125" s="75"/>
      <c r="U125" s="75"/>
      <c r="V125" s="75" t="s">
        <v>392</v>
      </c>
    </row>
    <row r="126" spans="1:22">
      <c r="A126" s="75" t="s">
        <v>303</v>
      </c>
      <c r="B126" s="75">
        <v>17436378</v>
      </c>
      <c r="C126" s="75">
        <v>1</v>
      </c>
      <c r="D126" s="76"/>
      <c r="E126" s="77"/>
      <c r="F126" s="75">
        <v>1</v>
      </c>
      <c r="G126" s="75"/>
      <c r="H126" s="75">
        <v>1</v>
      </c>
      <c r="I126" s="106">
        <v>1</v>
      </c>
      <c r="J126" s="75" t="s">
        <v>794</v>
      </c>
      <c r="K126" s="75" t="s">
        <v>1147</v>
      </c>
      <c r="L126" s="75" t="s">
        <v>591</v>
      </c>
      <c r="M126" s="75">
        <v>1</v>
      </c>
      <c r="N126" s="75"/>
      <c r="O126" s="75"/>
      <c r="P126" s="75"/>
      <c r="Q126" s="75" t="s">
        <v>795</v>
      </c>
      <c r="R126" s="79" t="s">
        <v>24</v>
      </c>
      <c r="S126" s="75" t="s">
        <v>24</v>
      </c>
      <c r="T126" s="75"/>
      <c r="U126" s="75"/>
      <c r="V126" s="75"/>
    </row>
    <row r="127" spans="1:22">
      <c r="A127" s="75" t="s">
        <v>87</v>
      </c>
      <c r="B127" s="75">
        <v>26184460</v>
      </c>
      <c r="C127" s="75">
        <v>1</v>
      </c>
      <c r="D127" s="83" t="s">
        <v>1773</v>
      </c>
      <c r="E127" s="77" t="s">
        <v>1755</v>
      </c>
      <c r="F127" s="75">
        <v>0</v>
      </c>
      <c r="G127" s="75" t="s">
        <v>1731</v>
      </c>
      <c r="H127" s="75">
        <v>1</v>
      </c>
      <c r="I127" s="106">
        <v>1</v>
      </c>
      <c r="J127" s="75" t="s">
        <v>38</v>
      </c>
      <c r="K127" s="75" t="s">
        <v>1144</v>
      </c>
      <c r="L127" s="75" t="s">
        <v>25</v>
      </c>
      <c r="M127" s="75">
        <v>1</v>
      </c>
      <c r="N127" s="75"/>
      <c r="O127" s="75"/>
      <c r="P127" s="75"/>
      <c r="Q127" s="75"/>
      <c r="R127" s="79" t="s">
        <v>39</v>
      </c>
      <c r="S127" s="75"/>
      <c r="T127" s="75"/>
      <c r="U127" s="75"/>
      <c r="V127" s="75"/>
    </row>
    <row r="128" spans="1:22">
      <c r="A128" s="75" t="s">
        <v>146</v>
      </c>
      <c r="B128" s="75">
        <v>17509537</v>
      </c>
      <c r="C128" s="75">
        <v>1</v>
      </c>
      <c r="D128" s="76"/>
      <c r="E128" s="77"/>
      <c r="F128" s="75">
        <v>1</v>
      </c>
      <c r="G128" s="75"/>
      <c r="H128" s="75">
        <v>1</v>
      </c>
      <c r="I128" s="106">
        <v>1</v>
      </c>
      <c r="J128" s="75" t="s">
        <v>453</v>
      </c>
      <c r="K128" s="75" t="s">
        <v>1147</v>
      </c>
      <c r="L128" s="75" t="s">
        <v>25</v>
      </c>
      <c r="M128" s="75">
        <v>1</v>
      </c>
      <c r="N128" s="75"/>
      <c r="O128" s="75"/>
      <c r="P128" s="75"/>
      <c r="Q128" s="75" t="s">
        <v>454</v>
      </c>
      <c r="R128" s="79" t="s">
        <v>56</v>
      </c>
      <c r="S128" s="75"/>
      <c r="T128" s="75"/>
      <c r="U128" s="75"/>
      <c r="V128" s="75"/>
    </row>
    <row r="129" spans="1:22">
      <c r="A129" s="75" t="s">
        <v>271</v>
      </c>
      <c r="B129" s="75">
        <v>24786361</v>
      </c>
      <c r="C129" s="75">
        <v>1</v>
      </c>
      <c r="D129" s="76" t="s">
        <v>1781</v>
      </c>
      <c r="E129" s="77" t="s">
        <v>1763</v>
      </c>
      <c r="F129" s="81">
        <v>1</v>
      </c>
      <c r="G129" s="75" t="s">
        <v>1750</v>
      </c>
      <c r="H129" s="81">
        <v>0</v>
      </c>
      <c r="I129" s="106">
        <v>1</v>
      </c>
      <c r="J129" s="75" t="s">
        <v>719</v>
      </c>
      <c r="K129" s="75"/>
      <c r="L129" s="75" t="s">
        <v>25</v>
      </c>
      <c r="M129" s="75">
        <v>1</v>
      </c>
      <c r="N129" s="75"/>
      <c r="O129" s="75"/>
      <c r="P129" s="75"/>
      <c r="Q129" s="75"/>
      <c r="R129" s="79"/>
      <c r="S129" s="75" t="s">
        <v>717</v>
      </c>
      <c r="T129" s="75"/>
      <c r="U129" s="75"/>
      <c r="V129" s="75" t="s">
        <v>718</v>
      </c>
    </row>
    <row r="130" spans="1:22">
      <c r="A130" s="75" t="s">
        <v>233</v>
      </c>
      <c r="B130" s="75">
        <v>9403392</v>
      </c>
      <c r="C130" s="75">
        <v>1</v>
      </c>
      <c r="D130" s="83" t="s">
        <v>1777</v>
      </c>
      <c r="E130" s="77"/>
      <c r="F130" s="81">
        <v>1</v>
      </c>
      <c r="G130" s="75" t="s">
        <v>1746</v>
      </c>
      <c r="H130" s="81">
        <v>0</v>
      </c>
      <c r="I130" s="106">
        <v>1</v>
      </c>
      <c r="J130" s="75" t="s">
        <v>647</v>
      </c>
      <c r="K130" s="75"/>
      <c r="L130" s="75" t="s">
        <v>644</v>
      </c>
      <c r="M130" s="75"/>
      <c r="N130" s="75"/>
      <c r="O130" s="75"/>
      <c r="P130" s="75"/>
      <c r="Q130" s="75" t="s">
        <v>645</v>
      </c>
      <c r="R130" s="79"/>
      <c r="S130" s="75"/>
      <c r="T130" s="75"/>
      <c r="U130" s="75"/>
      <c r="V130" s="75" t="s">
        <v>646</v>
      </c>
    </row>
    <row r="131" spans="1:22">
      <c r="A131" s="75" t="s">
        <v>236</v>
      </c>
      <c r="B131" s="75">
        <v>27594113</v>
      </c>
      <c r="C131" s="75">
        <v>1</v>
      </c>
      <c r="D131" s="76"/>
      <c r="E131" s="77"/>
      <c r="F131" s="75">
        <v>1</v>
      </c>
      <c r="G131" s="75"/>
      <c r="H131" s="91">
        <v>1</v>
      </c>
      <c r="I131" s="106">
        <v>1</v>
      </c>
      <c r="J131" s="75" t="s">
        <v>651</v>
      </c>
      <c r="K131" s="75"/>
      <c r="L131" s="75" t="s">
        <v>591</v>
      </c>
      <c r="M131" s="75">
        <v>1</v>
      </c>
      <c r="N131" s="75"/>
      <c r="O131" s="75"/>
      <c r="P131" s="75"/>
      <c r="Q131" s="75" t="s">
        <v>650</v>
      </c>
      <c r="R131" s="79"/>
      <c r="S131" s="75"/>
      <c r="T131" s="75"/>
      <c r="U131" s="75"/>
      <c r="V131" s="75" t="s">
        <v>649</v>
      </c>
    </row>
    <row r="132" spans="1:22">
      <c r="A132" s="75" t="s">
        <v>141</v>
      </c>
      <c r="B132" s="75">
        <v>23540599</v>
      </c>
      <c r="C132" s="75">
        <v>1</v>
      </c>
      <c r="D132" s="76" t="s">
        <v>1776</v>
      </c>
      <c r="E132" s="77" t="s">
        <v>1759</v>
      </c>
      <c r="F132" s="81">
        <v>1</v>
      </c>
      <c r="G132" s="75" t="s">
        <v>1737</v>
      </c>
      <c r="H132" s="81">
        <v>1</v>
      </c>
      <c r="I132" s="106">
        <v>1</v>
      </c>
      <c r="J132" s="75" t="s">
        <v>442</v>
      </c>
      <c r="K132" s="75" t="s">
        <v>1142</v>
      </c>
      <c r="L132" s="75" t="s">
        <v>443</v>
      </c>
      <c r="M132" s="75">
        <v>1</v>
      </c>
      <c r="N132" s="75"/>
      <c r="O132" s="75"/>
      <c r="P132" s="75"/>
      <c r="Q132" s="75" t="s">
        <v>444</v>
      </c>
      <c r="R132" s="79" t="s">
        <v>445</v>
      </c>
      <c r="S132" s="75" t="s">
        <v>446</v>
      </c>
      <c r="T132" s="75"/>
      <c r="U132" s="75"/>
      <c r="V132" s="75" t="s">
        <v>447</v>
      </c>
    </row>
    <row r="133" spans="1:22">
      <c r="A133" s="75" t="s">
        <v>320</v>
      </c>
      <c r="B133" s="75">
        <v>24157540</v>
      </c>
      <c r="C133" s="75">
        <v>1</v>
      </c>
      <c r="D133" s="76"/>
      <c r="E133" s="77"/>
      <c r="F133" s="75">
        <v>1</v>
      </c>
      <c r="G133" s="75"/>
      <c r="H133" s="75">
        <v>1</v>
      </c>
      <c r="I133" s="106">
        <v>1</v>
      </c>
      <c r="J133" s="75" t="s">
        <v>832</v>
      </c>
      <c r="K133" s="75" t="s">
        <v>1192</v>
      </c>
      <c r="L133" s="75" t="s">
        <v>25</v>
      </c>
      <c r="M133" s="75">
        <v>1</v>
      </c>
      <c r="N133" s="75"/>
      <c r="O133" s="75"/>
      <c r="P133" s="75"/>
      <c r="Q133" s="75" t="s">
        <v>778</v>
      </c>
      <c r="R133" s="75" t="s">
        <v>24</v>
      </c>
      <c r="S133" s="75" t="s">
        <v>24</v>
      </c>
      <c r="T133" s="75" t="s">
        <v>833</v>
      </c>
      <c r="U133" s="75"/>
      <c r="V133" s="75"/>
    </row>
    <row r="134" spans="1:22">
      <c r="A134" s="75" t="s">
        <v>173</v>
      </c>
      <c r="B134" s="75">
        <v>20494591</v>
      </c>
      <c r="C134" s="75">
        <v>1</v>
      </c>
      <c r="D134" s="76"/>
      <c r="E134" s="77"/>
      <c r="F134" s="75">
        <v>1</v>
      </c>
      <c r="G134" s="75"/>
      <c r="H134" s="75">
        <v>1</v>
      </c>
      <c r="I134" s="106">
        <v>1</v>
      </c>
      <c r="J134" s="75" t="s">
        <v>505</v>
      </c>
      <c r="K134" s="75" t="s">
        <v>1147</v>
      </c>
      <c r="L134" s="75" t="s">
        <v>503</v>
      </c>
      <c r="M134" s="75">
        <v>0</v>
      </c>
      <c r="N134" s="75"/>
      <c r="O134" s="75"/>
      <c r="P134" s="75"/>
      <c r="Q134" s="75"/>
      <c r="R134" s="79"/>
      <c r="S134" s="75"/>
      <c r="T134" s="75"/>
      <c r="U134" s="75"/>
      <c r="V134" s="75" t="s">
        <v>504</v>
      </c>
    </row>
    <row r="135" spans="1:22">
      <c r="A135" s="75" t="s">
        <v>104</v>
      </c>
      <c r="B135" s="75">
        <v>25915799</v>
      </c>
      <c r="C135" s="75">
        <v>1</v>
      </c>
      <c r="D135" s="76"/>
      <c r="E135" s="77"/>
      <c r="F135" s="75">
        <v>1</v>
      </c>
      <c r="G135" s="75"/>
      <c r="H135" s="75">
        <v>1</v>
      </c>
      <c r="I135" s="106">
        <v>1</v>
      </c>
      <c r="J135" s="75" t="s">
        <v>370</v>
      </c>
      <c r="K135" s="75" t="s">
        <v>1147</v>
      </c>
      <c r="L135" s="75" t="s">
        <v>369</v>
      </c>
      <c r="M135" s="75"/>
      <c r="N135" s="75"/>
      <c r="O135" s="75"/>
      <c r="P135" s="75"/>
      <c r="Q135" s="75"/>
      <c r="R135" s="79" t="s">
        <v>368</v>
      </c>
      <c r="S135" s="75"/>
      <c r="T135" s="75"/>
      <c r="U135" s="75"/>
      <c r="V135" s="75"/>
    </row>
    <row r="136" spans="1:22">
      <c r="A136" s="75" t="s">
        <v>193</v>
      </c>
      <c r="B136" s="75">
        <v>22193972</v>
      </c>
      <c r="C136" s="75">
        <v>1</v>
      </c>
      <c r="D136" s="76"/>
      <c r="E136" s="77"/>
      <c r="F136" s="75">
        <v>1</v>
      </c>
      <c r="G136" s="75"/>
      <c r="H136" s="75">
        <v>1</v>
      </c>
      <c r="I136" s="106">
        <v>1</v>
      </c>
      <c r="J136" s="75" t="s">
        <v>558</v>
      </c>
      <c r="K136" s="75" t="s">
        <v>1165</v>
      </c>
      <c r="L136" s="75" t="s">
        <v>25</v>
      </c>
      <c r="M136" s="75">
        <v>1</v>
      </c>
      <c r="N136" s="75"/>
      <c r="O136" s="75"/>
      <c r="P136" s="75"/>
      <c r="Q136" s="75" t="s">
        <v>1187</v>
      </c>
      <c r="R136" s="79" t="s">
        <v>24</v>
      </c>
      <c r="S136" s="75" t="s">
        <v>559</v>
      </c>
      <c r="T136" s="75"/>
      <c r="U136" s="75"/>
      <c r="V136" s="75"/>
    </row>
    <row r="137" spans="1:22">
      <c r="A137" s="75" t="s">
        <v>305</v>
      </c>
      <c r="B137" s="75">
        <v>24245926</v>
      </c>
      <c r="C137" s="75">
        <v>1</v>
      </c>
      <c r="D137" s="76"/>
      <c r="E137" s="77"/>
      <c r="F137" s="75">
        <v>1</v>
      </c>
      <c r="G137" s="75"/>
      <c r="H137" s="75">
        <v>1</v>
      </c>
      <c r="I137" s="106">
        <v>1</v>
      </c>
      <c r="J137" s="75" t="s">
        <v>797</v>
      </c>
      <c r="K137" s="75" t="s">
        <v>1147</v>
      </c>
      <c r="L137" s="75" t="s">
        <v>514</v>
      </c>
      <c r="M137" s="75">
        <v>1</v>
      </c>
      <c r="N137" s="75"/>
      <c r="O137" s="75"/>
      <c r="P137" s="75"/>
      <c r="Q137" s="75"/>
      <c r="R137" s="79"/>
      <c r="S137" s="75"/>
      <c r="T137" s="75"/>
      <c r="U137" s="75"/>
      <c r="V137" s="75" t="s">
        <v>799</v>
      </c>
    </row>
    <row r="138" spans="1:22">
      <c r="A138" s="75" t="s">
        <v>90</v>
      </c>
      <c r="B138" s="75">
        <v>23341282</v>
      </c>
      <c r="C138" s="75">
        <v>1</v>
      </c>
      <c r="D138" s="76"/>
      <c r="E138" s="77"/>
      <c r="F138" s="75">
        <v>1</v>
      </c>
      <c r="G138" s="75"/>
      <c r="H138" s="75">
        <v>1</v>
      </c>
      <c r="I138" s="106">
        <v>1</v>
      </c>
      <c r="J138" s="75" t="s">
        <v>46</v>
      </c>
      <c r="K138" s="75" t="s">
        <v>1143</v>
      </c>
      <c r="L138" s="75" t="s">
        <v>47</v>
      </c>
      <c r="M138" s="75">
        <v>1</v>
      </c>
      <c r="N138" s="75"/>
      <c r="O138" s="75"/>
      <c r="P138" s="75"/>
      <c r="Q138" s="75" t="s">
        <v>46</v>
      </c>
      <c r="R138" s="79" t="s">
        <v>12</v>
      </c>
      <c r="S138" s="75" t="s">
        <v>12</v>
      </c>
      <c r="T138" s="75"/>
      <c r="U138" s="75"/>
      <c r="V138" s="75"/>
    </row>
    <row r="139" spans="1:22">
      <c r="A139" s="75" t="s">
        <v>91</v>
      </c>
      <c r="B139" s="75">
        <v>9870231</v>
      </c>
      <c r="C139" s="75">
        <v>1</v>
      </c>
      <c r="D139" s="76"/>
      <c r="E139" s="77"/>
      <c r="F139" s="75">
        <v>1</v>
      </c>
      <c r="G139" s="75"/>
      <c r="H139" s="75">
        <v>1</v>
      </c>
      <c r="I139" s="106">
        <v>1</v>
      </c>
      <c r="J139" s="75" t="s">
        <v>1182</v>
      </c>
      <c r="K139" s="75" t="s">
        <v>1181</v>
      </c>
      <c r="L139" s="75" t="s">
        <v>47</v>
      </c>
      <c r="M139" s="75">
        <v>1</v>
      </c>
      <c r="N139" s="75"/>
      <c r="O139" s="75"/>
      <c r="P139" s="75"/>
      <c r="Q139" s="75" t="s">
        <v>49</v>
      </c>
      <c r="R139" s="79" t="s">
        <v>12</v>
      </c>
      <c r="S139" s="75" t="s">
        <v>48</v>
      </c>
      <c r="T139" s="75"/>
      <c r="U139" s="75"/>
      <c r="V139" s="75"/>
    </row>
    <row r="140" spans="1:22">
      <c r="A140" s="75" t="s">
        <v>154</v>
      </c>
      <c r="B140" s="75">
        <v>18037391</v>
      </c>
      <c r="C140" s="75">
        <v>1</v>
      </c>
      <c r="D140" s="76"/>
      <c r="E140" s="77"/>
      <c r="F140" s="75">
        <v>1</v>
      </c>
      <c r="G140" s="75"/>
      <c r="H140" s="81">
        <v>1</v>
      </c>
      <c r="I140" s="106">
        <v>1</v>
      </c>
      <c r="J140" s="75" t="s">
        <v>449</v>
      </c>
      <c r="K140" s="75"/>
      <c r="L140" s="75" t="s">
        <v>471</v>
      </c>
      <c r="M140" s="75">
        <v>0</v>
      </c>
      <c r="N140" s="75"/>
      <c r="O140" s="75"/>
      <c r="P140" s="75"/>
      <c r="Q140" s="75" t="s">
        <v>24</v>
      </c>
      <c r="R140" s="79"/>
      <c r="S140" s="75" t="s">
        <v>23</v>
      </c>
      <c r="T140" s="75"/>
      <c r="U140" s="75"/>
      <c r="V140" s="75" t="s">
        <v>470</v>
      </c>
    </row>
    <row r="141" spans="1:22">
      <c r="A141" s="75" t="s">
        <v>229</v>
      </c>
      <c r="B141" s="75">
        <v>21545724</v>
      </c>
      <c r="C141" s="75">
        <v>1</v>
      </c>
      <c r="D141" s="76"/>
      <c r="E141" s="77"/>
      <c r="F141" s="75">
        <v>1</v>
      </c>
      <c r="G141" s="75"/>
      <c r="H141" s="75">
        <v>1</v>
      </c>
      <c r="I141" s="106">
        <v>1</v>
      </c>
      <c r="J141" s="75" t="s">
        <v>609</v>
      </c>
      <c r="K141" s="75" t="s">
        <v>1158</v>
      </c>
      <c r="L141" s="75" t="s">
        <v>591</v>
      </c>
      <c r="M141" s="75">
        <v>1</v>
      </c>
      <c r="N141" s="75"/>
      <c r="O141" s="75"/>
      <c r="P141" s="75"/>
      <c r="Q141" s="75" t="s">
        <v>610</v>
      </c>
      <c r="R141" s="79" t="s">
        <v>42</v>
      </c>
      <c r="S141" s="75" t="s">
        <v>638</v>
      </c>
      <c r="T141" s="75"/>
      <c r="U141" s="75"/>
      <c r="V141" s="75" t="s">
        <v>639</v>
      </c>
    </row>
    <row r="142" spans="1:22">
      <c r="A142" s="75" t="s">
        <v>292</v>
      </c>
      <c r="B142" s="75">
        <v>11848709</v>
      </c>
      <c r="C142" s="75">
        <v>1</v>
      </c>
      <c r="D142" s="76"/>
      <c r="E142" s="77"/>
      <c r="F142" s="75">
        <v>1</v>
      </c>
      <c r="G142" s="75"/>
      <c r="H142" s="75">
        <v>1</v>
      </c>
      <c r="I142" s="106">
        <v>1</v>
      </c>
      <c r="J142" s="75" t="s">
        <v>609</v>
      </c>
      <c r="K142" s="75" t="s">
        <v>1158</v>
      </c>
      <c r="L142" s="75" t="s">
        <v>471</v>
      </c>
      <c r="M142" s="75">
        <v>0</v>
      </c>
      <c r="N142" s="75"/>
      <c r="O142" s="75"/>
      <c r="P142" s="75"/>
      <c r="Q142" s="75" t="s">
        <v>610</v>
      </c>
      <c r="R142" s="79" t="s">
        <v>56</v>
      </c>
      <c r="S142" s="75"/>
      <c r="T142" s="75"/>
      <c r="U142" s="75"/>
      <c r="V142" s="75"/>
    </row>
    <row r="143" spans="1:22">
      <c r="A143" s="75" t="s">
        <v>325</v>
      </c>
      <c r="B143" s="75">
        <v>24936431</v>
      </c>
      <c r="C143" s="75">
        <v>1</v>
      </c>
      <c r="D143" s="76"/>
      <c r="E143" s="77"/>
      <c r="F143" s="75">
        <v>1</v>
      </c>
      <c r="G143" s="75"/>
      <c r="H143" s="75">
        <v>1</v>
      </c>
      <c r="I143" s="106">
        <v>1</v>
      </c>
      <c r="J143" s="75" t="s">
        <v>609</v>
      </c>
      <c r="K143" s="75" t="s">
        <v>1158</v>
      </c>
      <c r="L143" s="75" t="s">
        <v>591</v>
      </c>
      <c r="M143" s="75">
        <v>1</v>
      </c>
      <c r="N143" s="75"/>
      <c r="O143" s="75"/>
      <c r="P143" s="75"/>
      <c r="Q143" s="75" t="s">
        <v>845</v>
      </c>
      <c r="R143" s="75" t="s">
        <v>846</v>
      </c>
      <c r="S143" s="75"/>
      <c r="T143" s="75"/>
      <c r="U143" s="75"/>
      <c r="V143" s="75"/>
    </row>
    <row r="144" spans="1:22">
      <c r="A144" s="75" t="s">
        <v>351</v>
      </c>
      <c r="B144" s="75">
        <v>24354897</v>
      </c>
      <c r="C144" s="75">
        <v>1</v>
      </c>
      <c r="D144" s="76"/>
      <c r="E144" s="77"/>
      <c r="F144" s="75">
        <v>1</v>
      </c>
      <c r="G144" s="75"/>
      <c r="H144" s="75">
        <v>1</v>
      </c>
      <c r="I144" s="106">
        <v>1</v>
      </c>
      <c r="J144" s="75" t="s">
        <v>609</v>
      </c>
      <c r="K144" s="75" t="s">
        <v>1158</v>
      </c>
      <c r="L144" s="75" t="s">
        <v>910</v>
      </c>
      <c r="M144" s="75">
        <v>1</v>
      </c>
      <c r="N144" s="75"/>
      <c r="O144" s="75"/>
      <c r="P144" s="75"/>
      <c r="Q144" s="75" t="s">
        <v>610</v>
      </c>
      <c r="R144" s="75"/>
      <c r="S144" s="75"/>
      <c r="T144" s="75" t="s">
        <v>911</v>
      </c>
      <c r="U144" s="75"/>
      <c r="V144" s="75"/>
    </row>
    <row r="145" spans="1:22">
      <c r="A145" s="75" t="s">
        <v>353</v>
      </c>
      <c r="B145" s="75">
        <v>26447678</v>
      </c>
      <c r="C145" s="75">
        <v>1</v>
      </c>
      <c r="D145" s="76"/>
      <c r="E145" s="77"/>
      <c r="F145" s="75">
        <v>1</v>
      </c>
      <c r="G145" s="75"/>
      <c r="H145" s="75">
        <v>1</v>
      </c>
      <c r="I145" s="106">
        <v>1</v>
      </c>
      <c r="J145" s="75" t="s">
        <v>609</v>
      </c>
      <c r="K145" s="75" t="s">
        <v>1158</v>
      </c>
      <c r="L145" s="75" t="s">
        <v>25</v>
      </c>
      <c r="M145" s="75">
        <v>1</v>
      </c>
      <c r="N145" s="75"/>
      <c r="O145" s="75"/>
      <c r="P145" s="75"/>
      <c r="Q145" s="75" t="s">
        <v>610</v>
      </c>
      <c r="R145" s="75" t="s">
        <v>915</v>
      </c>
      <c r="S145" s="75" t="s">
        <v>914</v>
      </c>
      <c r="T145" s="75"/>
      <c r="U145" s="75"/>
      <c r="V145" s="75"/>
    </row>
    <row r="146" spans="1:22">
      <c r="A146" s="75" t="s">
        <v>137</v>
      </c>
      <c r="B146" s="75">
        <v>18423610</v>
      </c>
      <c r="C146" s="75">
        <v>1</v>
      </c>
      <c r="D146" s="76"/>
      <c r="E146" s="77"/>
      <c r="F146" s="75">
        <v>1</v>
      </c>
      <c r="G146" s="75"/>
      <c r="H146" s="75">
        <v>1</v>
      </c>
      <c r="I146" s="106">
        <v>1</v>
      </c>
      <c r="J146" s="75" t="s">
        <v>433</v>
      </c>
      <c r="K146" s="75" t="s">
        <v>1152</v>
      </c>
      <c r="L146" s="75" t="s">
        <v>434</v>
      </c>
      <c r="M146" s="75">
        <v>0</v>
      </c>
      <c r="N146" s="75"/>
      <c r="O146" s="75"/>
      <c r="P146" s="75"/>
      <c r="Q146" s="75" t="s">
        <v>435</v>
      </c>
      <c r="R146" s="79" t="s">
        <v>436</v>
      </c>
      <c r="S146" s="75"/>
      <c r="T146" s="75"/>
      <c r="U146" s="75"/>
      <c r="V146" s="75"/>
    </row>
    <row r="147" spans="1:22">
      <c r="A147" s="75" t="s">
        <v>215</v>
      </c>
      <c r="B147" s="75">
        <v>27722837</v>
      </c>
      <c r="C147" s="75">
        <v>1</v>
      </c>
      <c r="D147" s="76"/>
      <c r="E147" s="77"/>
      <c r="F147" s="75">
        <v>1</v>
      </c>
      <c r="G147" s="75"/>
      <c r="H147" s="75">
        <v>1</v>
      </c>
      <c r="I147" s="106">
        <v>1</v>
      </c>
      <c r="J147" s="75" t="s">
        <v>608</v>
      </c>
      <c r="K147" s="75" t="s">
        <v>1158</v>
      </c>
      <c r="L147" s="75" t="s">
        <v>591</v>
      </c>
      <c r="M147" s="75">
        <v>1</v>
      </c>
      <c r="N147" s="75"/>
      <c r="O147" s="75"/>
      <c r="P147" s="75"/>
      <c r="Q147" s="75" t="s">
        <v>610</v>
      </c>
      <c r="R147" s="79" t="s">
        <v>39</v>
      </c>
      <c r="S147" s="75"/>
      <c r="T147" s="75"/>
      <c r="U147" s="75"/>
      <c r="V147" s="75" t="s">
        <v>611</v>
      </c>
    </row>
    <row r="148" spans="1:22">
      <c r="A148" s="75" t="s">
        <v>216</v>
      </c>
      <c r="B148" s="75">
        <v>26645740</v>
      </c>
      <c r="C148" s="75">
        <v>1</v>
      </c>
      <c r="D148" s="76"/>
      <c r="E148" s="77"/>
      <c r="F148" s="75">
        <v>1</v>
      </c>
      <c r="G148" s="75"/>
      <c r="H148" s="75">
        <v>1</v>
      </c>
      <c r="I148" s="106">
        <v>1</v>
      </c>
      <c r="J148" s="75" t="s">
        <v>608</v>
      </c>
      <c r="K148" s="75" t="s">
        <v>1158</v>
      </c>
      <c r="L148" s="75" t="s">
        <v>591</v>
      </c>
      <c r="M148" s="75">
        <v>1</v>
      </c>
      <c r="N148" s="75"/>
      <c r="O148" s="75"/>
      <c r="P148" s="75"/>
      <c r="Q148" s="75" t="s">
        <v>610</v>
      </c>
      <c r="R148" s="79" t="s">
        <v>39</v>
      </c>
      <c r="S148" s="75"/>
      <c r="T148" s="75"/>
      <c r="U148" s="75"/>
      <c r="V148" s="75" t="s">
        <v>611</v>
      </c>
    </row>
    <row r="149" spans="1:22">
      <c r="A149" s="75" t="s">
        <v>170</v>
      </c>
      <c r="B149" s="75">
        <v>24165904</v>
      </c>
      <c r="C149" s="75">
        <v>1</v>
      </c>
      <c r="D149" s="76"/>
      <c r="E149" s="77"/>
      <c r="F149" s="75">
        <v>1</v>
      </c>
      <c r="G149" s="75"/>
      <c r="H149" s="75">
        <v>1</v>
      </c>
      <c r="I149" s="106">
        <v>1</v>
      </c>
      <c r="J149" s="75" t="s">
        <v>497</v>
      </c>
      <c r="K149" s="75" t="s">
        <v>1198</v>
      </c>
      <c r="L149" s="75" t="s">
        <v>498</v>
      </c>
      <c r="M149" s="75">
        <v>0</v>
      </c>
      <c r="N149" s="75"/>
      <c r="O149" s="75"/>
      <c r="P149" s="75"/>
      <c r="Q149" s="75" t="s">
        <v>496</v>
      </c>
      <c r="R149" s="79" t="s">
        <v>499</v>
      </c>
      <c r="S149" s="75"/>
      <c r="T149" s="75"/>
      <c r="U149" s="75"/>
      <c r="V149" s="75"/>
    </row>
    <row r="150" spans="1:22">
      <c r="A150" s="75" t="s">
        <v>291</v>
      </c>
      <c r="B150" s="75">
        <v>23755991</v>
      </c>
      <c r="C150" s="75">
        <v>1</v>
      </c>
      <c r="D150" s="76"/>
      <c r="E150" s="77"/>
      <c r="F150" s="75">
        <v>1</v>
      </c>
      <c r="G150" s="75"/>
      <c r="H150" s="75">
        <v>1</v>
      </c>
      <c r="I150" s="106">
        <v>1</v>
      </c>
      <c r="J150" s="75" t="s">
        <v>764</v>
      </c>
      <c r="K150" s="75" t="s">
        <v>1160</v>
      </c>
      <c r="L150" s="75" t="s">
        <v>762</v>
      </c>
      <c r="M150" s="75">
        <v>1</v>
      </c>
      <c r="N150" s="75"/>
      <c r="O150" s="75"/>
      <c r="P150" s="75"/>
      <c r="Q150" s="75" t="s">
        <v>763</v>
      </c>
      <c r="R150" s="79"/>
      <c r="S150" s="75"/>
      <c r="T150" s="75"/>
      <c r="U150" s="75"/>
      <c r="V150" s="75"/>
    </row>
    <row r="151" spans="1:22">
      <c r="A151" s="75" t="s">
        <v>78</v>
      </c>
      <c r="B151" s="75">
        <v>26372003</v>
      </c>
      <c r="C151" s="75">
        <v>1</v>
      </c>
      <c r="D151" s="76"/>
      <c r="E151" s="77"/>
      <c r="F151" s="75">
        <v>1</v>
      </c>
      <c r="G151" s="75"/>
      <c r="H151" s="75">
        <v>1</v>
      </c>
      <c r="I151" s="106">
        <v>1</v>
      </c>
      <c r="J151" s="75"/>
      <c r="K151" s="75" t="s">
        <v>1146</v>
      </c>
      <c r="L151" s="75" t="s">
        <v>20</v>
      </c>
      <c r="M151" s="75">
        <v>1</v>
      </c>
      <c r="N151" s="75"/>
      <c r="O151" s="75"/>
      <c r="P151" s="75"/>
      <c r="Q151" s="75" t="s">
        <v>19</v>
      </c>
      <c r="R151" s="79" t="s">
        <v>12</v>
      </c>
      <c r="S151" s="75" t="s">
        <v>12</v>
      </c>
      <c r="T151" s="75"/>
      <c r="U151" s="75"/>
      <c r="V151" s="75"/>
    </row>
    <row r="152" spans="1:22">
      <c r="A152" s="75" t="s">
        <v>196</v>
      </c>
      <c r="B152" s="75">
        <v>17916253</v>
      </c>
      <c r="C152" s="75">
        <v>1</v>
      </c>
      <c r="D152" s="76"/>
      <c r="E152" s="77"/>
      <c r="F152" s="75">
        <v>1</v>
      </c>
      <c r="G152" s="75"/>
      <c r="H152" s="75">
        <v>1</v>
      </c>
      <c r="I152" s="106">
        <v>1</v>
      </c>
      <c r="J152" s="75"/>
      <c r="K152" s="75" t="s">
        <v>1157</v>
      </c>
      <c r="L152" s="75" t="s">
        <v>560</v>
      </c>
      <c r="M152" s="75">
        <v>0</v>
      </c>
      <c r="N152" s="75"/>
      <c r="O152" s="75"/>
      <c r="P152" s="75"/>
      <c r="Q152" s="75" t="s">
        <v>564</v>
      </c>
      <c r="R152" s="79" t="s">
        <v>24</v>
      </c>
      <c r="S152" s="75" t="s">
        <v>565</v>
      </c>
      <c r="T152" s="75"/>
      <c r="U152" s="75"/>
      <c r="V152" s="75"/>
    </row>
    <row r="153" spans="1:22">
      <c r="A153" s="75" t="s">
        <v>204</v>
      </c>
      <c r="B153" s="75">
        <v>20088647</v>
      </c>
      <c r="C153" s="75">
        <v>1</v>
      </c>
      <c r="D153" s="76"/>
      <c r="E153" s="77"/>
      <c r="F153" s="94">
        <v>1</v>
      </c>
      <c r="G153" s="75"/>
      <c r="H153" s="81">
        <v>1</v>
      </c>
      <c r="I153" s="106">
        <v>1</v>
      </c>
      <c r="J153" s="75"/>
      <c r="K153" s="75"/>
      <c r="L153" s="75" t="s">
        <v>583</v>
      </c>
      <c r="M153" s="75">
        <v>1</v>
      </c>
      <c r="N153" s="75"/>
      <c r="O153" s="75"/>
      <c r="P153" s="75"/>
      <c r="Q153" s="75" t="s">
        <v>23</v>
      </c>
      <c r="R153" s="79" t="s">
        <v>582</v>
      </c>
      <c r="S153" s="75"/>
      <c r="T153" s="75"/>
      <c r="U153" s="75"/>
      <c r="V153" s="75" t="s">
        <v>584</v>
      </c>
    </row>
    <row r="154" spans="1:22">
      <c r="A154" s="75" t="s">
        <v>211</v>
      </c>
      <c r="B154" s="75">
        <v>24025760</v>
      </c>
      <c r="C154" s="75">
        <v>1</v>
      </c>
      <c r="D154" s="76"/>
      <c r="E154" s="77"/>
      <c r="F154" s="75">
        <v>1</v>
      </c>
      <c r="G154" s="75"/>
      <c r="H154" s="81">
        <v>1</v>
      </c>
      <c r="I154" s="106">
        <v>1</v>
      </c>
      <c r="J154" s="75"/>
      <c r="K154" s="75" t="s">
        <v>1164</v>
      </c>
      <c r="L154" s="75" t="s">
        <v>25</v>
      </c>
      <c r="M154" s="75">
        <v>1</v>
      </c>
      <c r="N154" s="75"/>
      <c r="O154" s="75"/>
      <c r="P154" s="75"/>
      <c r="Q154" s="75" t="s">
        <v>602</v>
      </c>
      <c r="R154" s="79" t="s">
        <v>33</v>
      </c>
      <c r="S154" s="75"/>
      <c r="T154" s="75"/>
      <c r="U154" s="75"/>
      <c r="V154" s="75"/>
    </row>
    <row r="155" spans="1:22">
      <c r="A155" s="75" t="s">
        <v>230</v>
      </c>
      <c r="B155" s="75">
        <v>18093809</v>
      </c>
      <c r="C155" s="75">
        <v>1</v>
      </c>
      <c r="D155" s="76"/>
      <c r="E155" s="77"/>
      <c r="F155" s="75">
        <v>1</v>
      </c>
      <c r="G155" s="75"/>
      <c r="H155" s="75">
        <v>1</v>
      </c>
      <c r="I155" s="106">
        <v>1</v>
      </c>
      <c r="J155" s="75"/>
      <c r="K155" s="75" t="s">
        <v>642</v>
      </c>
      <c r="L155" s="75" t="s">
        <v>376</v>
      </c>
      <c r="M155" s="75">
        <v>1</v>
      </c>
      <c r="N155" s="75"/>
      <c r="O155" s="75"/>
      <c r="P155" s="75"/>
      <c r="Q155" s="75" t="s">
        <v>641</v>
      </c>
      <c r="R155" s="79" t="s">
        <v>56</v>
      </c>
      <c r="S155" s="75"/>
      <c r="T155" s="75"/>
      <c r="U155" s="75"/>
      <c r="V155" s="75" t="s">
        <v>640</v>
      </c>
    </row>
    <row r="156" spans="1:22">
      <c r="A156" s="75" t="s">
        <v>240</v>
      </c>
      <c r="B156" s="75">
        <v>25180439</v>
      </c>
      <c r="C156" s="75">
        <v>1</v>
      </c>
      <c r="D156" s="76" t="s">
        <v>1778</v>
      </c>
      <c r="E156" s="77" t="s">
        <v>1761</v>
      </c>
      <c r="F156" s="81">
        <v>1</v>
      </c>
      <c r="G156" s="75" t="s">
        <v>1744</v>
      </c>
      <c r="H156" s="81">
        <v>0</v>
      </c>
      <c r="I156" s="106">
        <v>1</v>
      </c>
      <c r="J156" s="75"/>
      <c r="K156" s="75" t="s">
        <v>1167</v>
      </c>
      <c r="L156" s="75" t="s">
        <v>659</v>
      </c>
      <c r="M156" s="75">
        <v>1</v>
      </c>
      <c r="N156" s="75"/>
      <c r="O156" s="75"/>
      <c r="P156" s="75"/>
      <c r="Q156" s="75" t="s">
        <v>658</v>
      </c>
      <c r="R156" s="79" t="s">
        <v>24</v>
      </c>
      <c r="S156" s="75"/>
      <c r="T156" s="75"/>
      <c r="U156" s="75"/>
      <c r="V156" s="75" t="s">
        <v>660</v>
      </c>
    </row>
    <row r="157" spans="1:22">
      <c r="A157" s="75" t="s">
        <v>242</v>
      </c>
      <c r="B157" s="75">
        <v>26110112</v>
      </c>
      <c r="C157" s="75">
        <v>1</v>
      </c>
      <c r="D157" s="76"/>
      <c r="E157" s="77" t="s">
        <v>1745</v>
      </c>
      <c r="F157" s="81">
        <v>1</v>
      </c>
      <c r="G157" s="75" t="s">
        <v>1745</v>
      </c>
      <c r="H157" s="75">
        <v>0</v>
      </c>
      <c r="I157" s="106">
        <v>1</v>
      </c>
      <c r="J157" s="75"/>
      <c r="K157" s="75" t="s">
        <v>1158</v>
      </c>
      <c r="L157" s="75" t="s">
        <v>659</v>
      </c>
      <c r="M157" s="75">
        <v>1</v>
      </c>
      <c r="N157" s="75"/>
      <c r="O157" s="75"/>
      <c r="P157" s="75"/>
      <c r="Q157" s="75"/>
      <c r="R157" s="79" t="s">
        <v>56</v>
      </c>
      <c r="S157" s="75"/>
      <c r="T157" s="75"/>
      <c r="U157" s="75"/>
      <c r="V157" s="75" t="s">
        <v>516</v>
      </c>
    </row>
    <row r="158" spans="1:22">
      <c r="A158" s="75" t="s">
        <v>354</v>
      </c>
      <c r="B158" s="75">
        <v>26042021</v>
      </c>
      <c r="C158" s="75">
        <v>1</v>
      </c>
      <c r="D158" s="76" t="s">
        <v>1745</v>
      </c>
      <c r="E158" s="77" t="s">
        <v>1769</v>
      </c>
      <c r="F158" s="81">
        <v>1</v>
      </c>
      <c r="G158" s="75" t="s">
        <v>1753</v>
      </c>
      <c r="H158" s="75">
        <v>0</v>
      </c>
      <c r="I158" s="106">
        <v>1</v>
      </c>
      <c r="J158" s="75"/>
      <c r="K158" s="75"/>
      <c r="L158" s="75" t="s">
        <v>693</v>
      </c>
      <c r="M158" s="75"/>
      <c r="N158" s="75"/>
      <c r="O158" s="75"/>
      <c r="P158" s="75"/>
      <c r="Q158" s="75"/>
      <c r="R158" s="75"/>
      <c r="S158" s="75"/>
      <c r="T158" s="75"/>
      <c r="U158" s="75"/>
      <c r="V158" s="75" t="s">
        <v>916</v>
      </c>
    </row>
    <row r="159" spans="1:22">
      <c r="A159" s="75" t="s">
        <v>1115</v>
      </c>
      <c r="B159" s="75">
        <v>22522023</v>
      </c>
      <c r="C159" s="75">
        <v>1</v>
      </c>
      <c r="D159" s="76" t="s">
        <v>1835</v>
      </c>
      <c r="E159" s="77"/>
      <c r="F159" s="75">
        <v>0</v>
      </c>
      <c r="G159" s="75"/>
      <c r="H159" s="75">
        <v>0</v>
      </c>
      <c r="I159" s="106">
        <v>2</v>
      </c>
      <c r="J159" s="75" t="s">
        <v>24</v>
      </c>
      <c r="K159" s="75" t="s">
        <v>1171</v>
      </c>
      <c r="L159" s="75" t="s">
        <v>1130</v>
      </c>
      <c r="M159" s="75"/>
      <c r="N159" s="75" t="s">
        <v>1495</v>
      </c>
      <c r="O159" s="75" t="s">
        <v>1539</v>
      </c>
      <c r="P159" s="75" t="s">
        <v>23</v>
      </c>
      <c r="Q159" s="75" t="s">
        <v>1799</v>
      </c>
      <c r="R159" s="75" t="s">
        <v>1131</v>
      </c>
      <c r="S159" s="75" t="s">
        <v>1132</v>
      </c>
      <c r="T159" s="75"/>
      <c r="U159" s="75"/>
      <c r="V159" s="75" t="s">
        <v>1798</v>
      </c>
    </row>
    <row r="160" spans="1:22">
      <c r="A160" s="75" t="s">
        <v>1114</v>
      </c>
      <c r="B160" s="75">
        <v>21843541</v>
      </c>
      <c r="C160" s="75">
        <v>1</v>
      </c>
      <c r="D160" s="76">
        <v>1</v>
      </c>
      <c r="E160" s="77" t="s">
        <v>1786</v>
      </c>
      <c r="F160" s="81">
        <v>1</v>
      </c>
      <c r="G160" s="75"/>
      <c r="H160" s="75">
        <v>0</v>
      </c>
      <c r="I160" s="106">
        <v>2</v>
      </c>
      <c r="J160" s="75" t="s">
        <v>1133</v>
      </c>
      <c r="K160" s="75" t="s">
        <v>1170</v>
      </c>
      <c r="L160" s="75" t="s">
        <v>1127</v>
      </c>
      <c r="M160" s="75"/>
      <c r="N160" s="75" t="s">
        <v>1543</v>
      </c>
      <c r="O160" s="75" t="s">
        <v>23</v>
      </c>
      <c r="P160" s="75" t="s">
        <v>23</v>
      </c>
      <c r="Q160" s="75" t="s">
        <v>23</v>
      </c>
      <c r="R160" s="75" t="s">
        <v>1134</v>
      </c>
      <c r="S160" s="75" t="s">
        <v>24</v>
      </c>
      <c r="T160" s="75"/>
      <c r="U160" s="75"/>
      <c r="V160" s="75" t="s">
        <v>1135</v>
      </c>
    </row>
    <row r="161" spans="1:22">
      <c r="A161" s="75" t="s">
        <v>1112</v>
      </c>
      <c r="B161" s="75">
        <v>20849863</v>
      </c>
      <c r="C161" s="75">
        <v>1</v>
      </c>
      <c r="D161" s="76">
        <v>1</v>
      </c>
      <c r="E161" s="77"/>
      <c r="F161" s="75">
        <v>0</v>
      </c>
      <c r="G161" s="75"/>
      <c r="H161" s="75">
        <v>0</v>
      </c>
      <c r="I161" s="106">
        <v>2</v>
      </c>
      <c r="J161" s="75" t="s">
        <v>1834</v>
      </c>
      <c r="K161" s="75" t="s">
        <v>24</v>
      </c>
      <c r="L161" s="75" t="s">
        <v>1127</v>
      </c>
      <c r="M161" s="75"/>
      <c r="N161" s="75" t="s">
        <v>1541</v>
      </c>
      <c r="O161" s="75" t="s">
        <v>23</v>
      </c>
      <c r="P161" s="75" t="s">
        <v>23</v>
      </c>
      <c r="Q161" s="75" t="s">
        <v>1813</v>
      </c>
      <c r="R161" s="75" t="s">
        <v>23</v>
      </c>
      <c r="S161" s="75" t="s">
        <v>1137</v>
      </c>
      <c r="T161" s="75"/>
      <c r="U161" s="75"/>
      <c r="V161" s="75" t="s">
        <v>424</v>
      </c>
    </row>
    <row r="162" spans="1:22">
      <c r="A162" s="75" t="s">
        <v>1111</v>
      </c>
      <c r="B162" s="75">
        <v>25585683</v>
      </c>
      <c r="C162" s="75">
        <v>1</v>
      </c>
      <c r="D162" s="76">
        <v>1</v>
      </c>
      <c r="E162" s="77"/>
      <c r="F162" s="75">
        <v>1</v>
      </c>
      <c r="G162" s="75"/>
      <c r="H162" s="78">
        <v>1</v>
      </c>
      <c r="I162" s="106">
        <v>2</v>
      </c>
      <c r="J162" s="75" t="s">
        <v>1220</v>
      </c>
      <c r="K162" s="75" t="s">
        <v>1232</v>
      </c>
      <c r="L162" s="75" t="s">
        <v>1138</v>
      </c>
      <c r="M162" s="75"/>
      <c r="N162" s="75" t="s">
        <v>1541</v>
      </c>
      <c r="O162" s="75" t="s">
        <v>23</v>
      </c>
      <c r="P162" s="75" t="s">
        <v>23</v>
      </c>
      <c r="Q162" s="75" t="s">
        <v>1139</v>
      </c>
      <c r="R162" s="75" t="s">
        <v>24</v>
      </c>
      <c r="S162" s="75" t="s">
        <v>1132</v>
      </c>
      <c r="T162" s="75"/>
      <c r="U162" s="75"/>
      <c r="V162" s="75"/>
    </row>
    <row r="163" spans="1:22">
      <c r="A163" s="75" t="s">
        <v>1110</v>
      </c>
      <c r="B163" s="75">
        <v>24808840</v>
      </c>
      <c r="C163" s="75">
        <v>1</v>
      </c>
      <c r="D163" s="76">
        <v>1</v>
      </c>
      <c r="E163" s="77"/>
      <c r="F163" s="75">
        <v>1</v>
      </c>
      <c r="G163" s="75"/>
      <c r="H163" s="78">
        <v>1</v>
      </c>
      <c r="I163" s="106">
        <v>2</v>
      </c>
      <c r="J163" s="75" t="s">
        <v>1220</v>
      </c>
      <c r="K163" s="75" t="s">
        <v>1169</v>
      </c>
      <c r="L163" s="75" t="s">
        <v>1127</v>
      </c>
      <c r="M163" s="75"/>
      <c r="N163" s="75" t="s">
        <v>1544</v>
      </c>
      <c r="O163" s="75" t="s">
        <v>803</v>
      </c>
      <c r="P163" s="75"/>
      <c r="Q163" s="75" t="s">
        <v>1140</v>
      </c>
      <c r="R163" s="75" t="s">
        <v>24</v>
      </c>
      <c r="S163" s="75"/>
      <c r="T163" s="75"/>
      <c r="U163" s="75"/>
      <c r="V163" s="75" t="s">
        <v>1141</v>
      </c>
    </row>
    <row r="164" spans="1:22">
      <c r="A164" s="75" t="s">
        <v>1105</v>
      </c>
      <c r="B164" s="75">
        <v>18568126</v>
      </c>
      <c r="C164" s="75">
        <v>1</v>
      </c>
      <c r="D164" s="76">
        <v>1</v>
      </c>
      <c r="E164" s="77"/>
      <c r="F164" s="75">
        <v>1</v>
      </c>
      <c r="G164" s="75"/>
      <c r="H164" s="75">
        <v>1</v>
      </c>
      <c r="I164" s="106">
        <v>2</v>
      </c>
      <c r="J164" s="75" t="s">
        <v>1206</v>
      </c>
      <c r="K164" s="75" t="s">
        <v>1207</v>
      </c>
      <c r="L164" s="75" t="s">
        <v>1127</v>
      </c>
      <c r="M164" s="75"/>
      <c r="N164" s="75" t="s">
        <v>1805</v>
      </c>
      <c r="O164" s="75" t="s">
        <v>23</v>
      </c>
      <c r="P164" s="75" t="s">
        <v>23</v>
      </c>
      <c r="Q164" s="75" t="s">
        <v>1205</v>
      </c>
      <c r="R164" s="75" t="s">
        <v>24</v>
      </c>
      <c r="S164" s="75" t="s">
        <v>1209</v>
      </c>
      <c r="T164" s="75"/>
      <c r="U164" s="75"/>
      <c r="V164" s="75"/>
    </row>
    <row r="165" spans="1:22">
      <c r="A165" s="75" t="s">
        <v>1104</v>
      </c>
      <c r="B165" s="75">
        <v>19412447</v>
      </c>
      <c r="C165" s="75">
        <v>1</v>
      </c>
      <c r="D165" s="76">
        <v>1</v>
      </c>
      <c r="E165" s="77"/>
      <c r="F165" s="75">
        <v>1</v>
      </c>
      <c r="G165" s="75"/>
      <c r="H165" s="75">
        <v>1</v>
      </c>
      <c r="I165" s="106">
        <v>2</v>
      </c>
      <c r="J165" s="75" t="s">
        <v>1206</v>
      </c>
      <c r="K165" s="75" t="s">
        <v>1207</v>
      </c>
      <c r="L165" s="75" t="s">
        <v>1127</v>
      </c>
      <c r="M165" s="75"/>
      <c r="N165" s="75" t="s">
        <v>1506</v>
      </c>
      <c r="O165" s="75" t="s">
        <v>23</v>
      </c>
      <c r="P165" s="75" t="s">
        <v>23</v>
      </c>
      <c r="Q165" s="75" t="s">
        <v>1205</v>
      </c>
      <c r="R165" s="75" t="s">
        <v>24</v>
      </c>
      <c r="S165" s="75" t="s">
        <v>1209</v>
      </c>
      <c r="T165" s="75"/>
      <c r="U165" s="75" t="s">
        <v>1208</v>
      </c>
      <c r="V165" s="75"/>
    </row>
    <row r="166" spans="1:22">
      <c r="A166" s="75" t="s">
        <v>1102</v>
      </c>
      <c r="B166" s="75">
        <v>24677338</v>
      </c>
      <c r="C166" s="75">
        <v>1</v>
      </c>
      <c r="D166" s="76" t="s">
        <v>1791</v>
      </c>
      <c r="E166" s="77" t="s">
        <v>1790</v>
      </c>
      <c r="F166" s="81">
        <v>1</v>
      </c>
      <c r="G166" s="75" t="s">
        <v>1747</v>
      </c>
      <c r="H166" s="78">
        <v>0</v>
      </c>
      <c r="I166" s="106">
        <v>2</v>
      </c>
      <c r="J166" s="75" t="s">
        <v>1215</v>
      </c>
      <c r="K166" s="75" t="s">
        <v>1216</v>
      </c>
      <c r="L166" s="75" t="s">
        <v>1127</v>
      </c>
      <c r="M166" s="75"/>
      <c r="N166" s="75" t="s">
        <v>24</v>
      </c>
      <c r="O166" s="75" t="s">
        <v>1539</v>
      </c>
      <c r="P166" s="75" t="s">
        <v>23</v>
      </c>
      <c r="Q166" s="75" t="s">
        <v>1694</v>
      </c>
      <c r="R166" s="75" t="s">
        <v>1213</v>
      </c>
      <c r="S166" s="75" t="s">
        <v>24</v>
      </c>
      <c r="T166" s="75"/>
      <c r="U166" s="75"/>
      <c r="V166" s="75" t="s">
        <v>1806</v>
      </c>
    </row>
    <row r="167" spans="1:22">
      <c r="A167" s="75" t="s">
        <v>1101</v>
      </c>
      <c r="B167" s="75">
        <v>26210936</v>
      </c>
      <c r="C167" s="75">
        <v>1</v>
      </c>
      <c r="D167" s="76">
        <v>1</v>
      </c>
      <c r="E167" s="77"/>
      <c r="F167" s="75">
        <v>1</v>
      </c>
      <c r="G167" s="75"/>
      <c r="H167" s="78">
        <v>1</v>
      </c>
      <c r="I167" s="106">
        <v>2</v>
      </c>
      <c r="J167" s="75" t="s">
        <v>1220</v>
      </c>
      <c r="K167" s="75" t="s">
        <v>1224</v>
      </c>
      <c r="L167" s="75" t="s">
        <v>1127</v>
      </c>
      <c r="M167" s="75"/>
      <c r="N167" s="75" t="s">
        <v>1217</v>
      </c>
      <c r="O167" s="75"/>
      <c r="P167" s="75"/>
      <c r="Q167" s="75" t="s">
        <v>1218</v>
      </c>
      <c r="R167" s="75" t="s">
        <v>1219</v>
      </c>
      <c r="S167" s="75"/>
      <c r="T167" s="75"/>
      <c r="U167" s="75" t="s">
        <v>1655</v>
      </c>
      <c r="V167" s="75" t="s">
        <v>1654</v>
      </c>
    </row>
    <row r="168" spans="1:22">
      <c r="A168" s="75" t="s">
        <v>1100</v>
      </c>
      <c r="B168" s="75">
        <v>21736515</v>
      </c>
      <c r="C168" s="75">
        <v>1</v>
      </c>
      <c r="D168" s="76">
        <v>1</v>
      </c>
      <c r="E168" s="77"/>
      <c r="F168" s="75">
        <v>1</v>
      </c>
      <c r="G168" s="75"/>
      <c r="H168" s="78">
        <v>1</v>
      </c>
      <c r="I168" s="106">
        <v>2</v>
      </c>
      <c r="J168" s="75" t="s">
        <v>1223</v>
      </c>
      <c r="K168" s="75" t="s">
        <v>1171</v>
      </c>
      <c r="L168" s="75" t="s">
        <v>1221</v>
      </c>
      <c r="M168" s="75"/>
      <c r="N168" s="75" t="s">
        <v>1488</v>
      </c>
      <c r="O168" s="75" t="s">
        <v>23</v>
      </c>
      <c r="P168" s="75" t="s">
        <v>23</v>
      </c>
      <c r="Q168" s="75" t="s">
        <v>1686</v>
      </c>
      <c r="R168" s="75"/>
      <c r="S168" s="75" t="s">
        <v>13</v>
      </c>
      <c r="T168" s="75"/>
      <c r="U168" s="75" t="s">
        <v>1222</v>
      </c>
      <c r="V168" s="75"/>
    </row>
    <row r="169" spans="1:22">
      <c r="A169" s="75" t="s">
        <v>1099</v>
      </c>
      <c r="B169" s="75">
        <v>16971540</v>
      </c>
      <c r="C169" s="75">
        <v>1</v>
      </c>
      <c r="D169" s="76">
        <v>1</v>
      </c>
      <c r="E169" s="77"/>
      <c r="F169" s="75">
        <v>1</v>
      </c>
      <c r="G169" s="75"/>
      <c r="H169" s="78">
        <v>1</v>
      </c>
      <c r="I169" s="106">
        <v>2</v>
      </c>
      <c r="J169" s="75" t="s">
        <v>1220</v>
      </c>
      <c r="K169" s="75" t="s">
        <v>1162</v>
      </c>
      <c r="L169" s="75" t="s">
        <v>1225</v>
      </c>
      <c r="M169" s="75"/>
      <c r="N169" s="75" t="s">
        <v>1501</v>
      </c>
      <c r="O169" s="75" t="s">
        <v>23</v>
      </c>
      <c r="P169" s="75" t="s">
        <v>23</v>
      </c>
      <c r="Q169" s="75" t="s">
        <v>1501</v>
      </c>
      <c r="R169" s="75" t="s">
        <v>24</v>
      </c>
      <c r="S169" s="75" t="s">
        <v>24</v>
      </c>
      <c r="T169" s="75"/>
      <c r="U169" s="75" t="s">
        <v>1226</v>
      </c>
      <c r="V169" s="75"/>
    </row>
    <row r="170" spans="1:22">
      <c r="A170" s="75" t="s">
        <v>1097</v>
      </c>
      <c r="B170" s="75">
        <v>25533726</v>
      </c>
      <c r="C170" s="75">
        <v>1</v>
      </c>
      <c r="D170" s="76">
        <v>1</v>
      </c>
      <c r="E170" s="77"/>
      <c r="F170" s="75">
        <v>1</v>
      </c>
      <c r="G170" s="75"/>
      <c r="H170" s="78">
        <v>1</v>
      </c>
      <c r="I170" s="106">
        <v>2</v>
      </c>
      <c r="J170" s="75" t="s">
        <v>1230</v>
      </c>
      <c r="K170" s="75" t="s">
        <v>1162</v>
      </c>
      <c r="L170" s="75" t="s">
        <v>1127</v>
      </c>
      <c r="M170" s="75"/>
      <c r="N170" s="75" t="s">
        <v>1541</v>
      </c>
      <c r="O170" s="75" t="s">
        <v>23</v>
      </c>
      <c r="P170" s="75" t="s">
        <v>23</v>
      </c>
      <c r="Q170" s="75" t="s">
        <v>1501</v>
      </c>
      <c r="R170" s="75" t="s">
        <v>1231</v>
      </c>
      <c r="S170" s="75" t="s">
        <v>23</v>
      </c>
      <c r="T170" s="75"/>
      <c r="U170" s="75"/>
      <c r="V170" s="75"/>
    </row>
    <row r="171" spans="1:22">
      <c r="A171" s="75" t="s">
        <v>1093</v>
      </c>
      <c r="B171" s="75">
        <v>21701068</v>
      </c>
      <c r="C171" s="75">
        <v>1</v>
      </c>
      <c r="D171" s="76"/>
      <c r="E171" s="77"/>
      <c r="F171" s="75">
        <v>1</v>
      </c>
      <c r="G171" s="75"/>
      <c r="H171" s="75">
        <v>1</v>
      </c>
      <c r="I171" s="106">
        <v>2</v>
      </c>
      <c r="J171" s="75" t="s">
        <v>1240</v>
      </c>
      <c r="K171" s="75" t="s">
        <v>1244</v>
      </c>
      <c r="L171" s="75"/>
      <c r="M171" s="75"/>
      <c r="N171" s="75" t="s">
        <v>1493</v>
      </c>
      <c r="O171" s="75"/>
      <c r="P171" s="75"/>
      <c r="Q171" s="75" t="s">
        <v>1239</v>
      </c>
      <c r="R171" s="75" t="s">
        <v>1243</v>
      </c>
      <c r="S171" s="75" t="s">
        <v>1242</v>
      </c>
      <c r="T171" s="75"/>
      <c r="U171" s="75"/>
      <c r="V171" s="75" t="s">
        <v>1241</v>
      </c>
    </row>
    <row r="172" spans="1:22">
      <c r="A172" s="75" t="s">
        <v>1092</v>
      </c>
      <c r="B172" s="75">
        <v>20403087</v>
      </c>
      <c r="C172" s="75">
        <v>1</v>
      </c>
      <c r="D172" s="76" t="s">
        <v>1827</v>
      </c>
      <c r="E172" s="77"/>
      <c r="F172" s="75">
        <v>0</v>
      </c>
      <c r="G172" s="75"/>
      <c r="H172" s="75">
        <v>0</v>
      </c>
      <c r="I172" s="106">
        <v>2</v>
      </c>
      <c r="J172" s="75" t="s">
        <v>1247</v>
      </c>
      <c r="K172" s="75" t="s">
        <v>1171</v>
      </c>
      <c r="L172" s="75" t="s">
        <v>1127</v>
      </c>
      <c r="M172" s="75"/>
      <c r="N172" s="75" t="s">
        <v>1495</v>
      </c>
      <c r="O172" s="75" t="s">
        <v>803</v>
      </c>
      <c r="P172" s="75" t="s">
        <v>23</v>
      </c>
      <c r="Q172" s="75" t="s">
        <v>1826</v>
      </c>
      <c r="R172" s="75" t="s">
        <v>1245</v>
      </c>
      <c r="S172" s="75" t="s">
        <v>1246</v>
      </c>
      <c r="T172" s="75"/>
      <c r="U172" s="75"/>
      <c r="V172" s="75" t="s">
        <v>424</v>
      </c>
    </row>
    <row r="173" spans="1:22">
      <c r="A173" s="75" t="s">
        <v>1091</v>
      </c>
      <c r="B173" s="75">
        <v>21194896</v>
      </c>
      <c r="C173" s="75">
        <v>1</v>
      </c>
      <c r="D173" s="76"/>
      <c r="E173" s="77"/>
      <c r="F173" s="75">
        <v>1</v>
      </c>
      <c r="G173" s="75"/>
      <c r="H173" s="75">
        <v>1</v>
      </c>
      <c r="I173" s="106">
        <v>2</v>
      </c>
      <c r="J173" s="75" t="s">
        <v>1253</v>
      </c>
      <c r="K173" s="75" t="s">
        <v>1251</v>
      </c>
      <c r="L173" s="75" t="s">
        <v>1127</v>
      </c>
      <c r="M173" s="75"/>
      <c r="N173" s="75" t="s">
        <v>1507</v>
      </c>
      <c r="O173" s="75" t="s">
        <v>23</v>
      </c>
      <c r="P173" s="75" t="s">
        <v>23</v>
      </c>
      <c r="Q173" s="75" t="s">
        <v>1250</v>
      </c>
      <c r="R173" s="75"/>
      <c r="S173" s="75" t="s">
        <v>1252</v>
      </c>
      <c r="T173" s="75"/>
      <c r="U173" s="75" t="s">
        <v>1249</v>
      </c>
      <c r="V173" s="75"/>
    </row>
    <row r="174" spans="1:22">
      <c r="A174" s="75" t="s">
        <v>1089</v>
      </c>
      <c r="B174" s="75">
        <v>18700055</v>
      </c>
      <c r="C174" s="75">
        <v>1</v>
      </c>
      <c r="D174" s="76"/>
      <c r="E174" s="77"/>
      <c r="F174" s="75">
        <v>1</v>
      </c>
      <c r="G174" s="75"/>
      <c r="H174" s="84">
        <v>1</v>
      </c>
      <c r="I174" s="106">
        <v>2</v>
      </c>
      <c r="J174" s="75" t="s">
        <v>1258</v>
      </c>
      <c r="K174" s="75" t="s">
        <v>1251</v>
      </c>
      <c r="L174" s="75" t="s">
        <v>1127</v>
      </c>
      <c r="M174" s="75"/>
      <c r="N174" s="75" t="s">
        <v>1707</v>
      </c>
      <c r="O174" s="75" t="s">
        <v>23</v>
      </c>
      <c r="P174" s="75" t="s">
        <v>23</v>
      </c>
      <c r="Q174" s="75" t="s">
        <v>1257</v>
      </c>
      <c r="R174" s="75" t="s">
        <v>24</v>
      </c>
      <c r="S174" s="75" t="s">
        <v>1132</v>
      </c>
      <c r="T174" s="75"/>
      <c r="U174" s="75"/>
      <c r="V174" s="75"/>
    </row>
    <row r="175" spans="1:22">
      <c r="A175" s="75" t="s">
        <v>1088</v>
      </c>
      <c r="B175" s="75">
        <v>21976046</v>
      </c>
      <c r="C175" s="75">
        <v>1</v>
      </c>
      <c r="D175" s="76" t="s">
        <v>1827</v>
      </c>
      <c r="E175" s="77"/>
      <c r="F175" s="75">
        <v>0</v>
      </c>
      <c r="G175" s="75"/>
      <c r="H175" s="75">
        <v>0</v>
      </c>
      <c r="I175" s="106">
        <v>2</v>
      </c>
      <c r="J175" s="75" t="s">
        <v>1220</v>
      </c>
      <c r="K175" s="75" t="s">
        <v>24</v>
      </c>
      <c r="L175" s="75" t="s">
        <v>1127</v>
      </c>
      <c r="M175" s="75"/>
      <c r="N175" s="75" t="s">
        <v>1507</v>
      </c>
      <c r="O175" s="75" t="s">
        <v>23</v>
      </c>
      <c r="P175" s="75" t="s">
        <v>23</v>
      </c>
      <c r="Q175" s="75" t="s">
        <v>1833</v>
      </c>
      <c r="R175" s="75" t="s">
        <v>1259</v>
      </c>
      <c r="S175" s="75" t="s">
        <v>1132</v>
      </c>
      <c r="T175" s="75"/>
      <c r="U175" s="75"/>
      <c r="V175" s="75" t="s">
        <v>1260</v>
      </c>
    </row>
    <row r="176" spans="1:22">
      <c r="A176" s="75" t="s">
        <v>1087</v>
      </c>
      <c r="B176" s="75">
        <v>18635156</v>
      </c>
      <c r="C176" s="75">
        <v>1</v>
      </c>
      <c r="D176" s="76"/>
      <c r="E176" s="77"/>
      <c r="F176" s="75">
        <v>1</v>
      </c>
      <c r="G176" s="75"/>
      <c r="H176" s="75">
        <v>1</v>
      </c>
      <c r="I176" s="106">
        <v>2</v>
      </c>
      <c r="J176" s="75" t="s">
        <v>1253</v>
      </c>
      <c r="K176" s="75" t="s">
        <v>1147</v>
      </c>
      <c r="L176" s="75" t="s">
        <v>1127</v>
      </c>
      <c r="M176" s="75"/>
      <c r="N176" s="75" t="s">
        <v>1507</v>
      </c>
      <c r="O176" s="75" t="s">
        <v>23</v>
      </c>
      <c r="P176" s="75" t="s">
        <v>23</v>
      </c>
      <c r="Q176" s="75" t="s">
        <v>1584</v>
      </c>
      <c r="R176" s="75" t="s">
        <v>24</v>
      </c>
      <c r="S176" s="75" t="s">
        <v>1261</v>
      </c>
      <c r="T176" s="75"/>
      <c r="U176" s="75" t="s">
        <v>1262</v>
      </c>
      <c r="V176" s="75"/>
    </row>
    <row r="177" spans="1:22">
      <c r="A177" s="75" t="s">
        <v>1086</v>
      </c>
      <c r="B177" s="75">
        <v>16555237</v>
      </c>
      <c r="C177" s="75">
        <v>1</v>
      </c>
      <c r="D177" s="76" t="s">
        <v>1824</v>
      </c>
      <c r="E177" s="77"/>
      <c r="F177" s="75">
        <v>1</v>
      </c>
      <c r="G177" s="75"/>
      <c r="H177" s="75">
        <v>1</v>
      </c>
      <c r="I177" s="106">
        <v>2</v>
      </c>
      <c r="J177" s="75" t="s">
        <v>1263</v>
      </c>
      <c r="K177" s="75" t="s">
        <v>1264</v>
      </c>
      <c r="L177" s="75" t="s">
        <v>1265</v>
      </c>
      <c r="M177" s="75"/>
      <c r="N177" s="75" t="s">
        <v>1495</v>
      </c>
      <c r="O177" s="75" t="s">
        <v>23</v>
      </c>
      <c r="P177" s="75" t="s">
        <v>23</v>
      </c>
      <c r="Q177" s="75" t="s">
        <v>1267</v>
      </c>
      <c r="R177" s="75" t="s">
        <v>1266</v>
      </c>
      <c r="S177" s="75" t="s">
        <v>13</v>
      </c>
      <c r="T177" s="75"/>
      <c r="U177" s="75"/>
      <c r="V177" s="75"/>
    </row>
    <row r="178" spans="1:22">
      <c r="A178" s="75" t="s">
        <v>1084</v>
      </c>
      <c r="B178" s="75">
        <v>22713910</v>
      </c>
      <c r="C178" s="75">
        <v>1</v>
      </c>
      <c r="D178" s="76" t="s">
        <v>1827</v>
      </c>
      <c r="E178" s="77"/>
      <c r="F178" s="75">
        <v>0</v>
      </c>
      <c r="G178" s="75"/>
      <c r="H178" s="75">
        <v>0</v>
      </c>
      <c r="I178" s="106">
        <v>2</v>
      </c>
      <c r="J178" s="75" t="s">
        <v>23</v>
      </c>
      <c r="K178" s="75"/>
      <c r="L178" s="75" t="s">
        <v>1127</v>
      </c>
      <c r="M178" s="75"/>
      <c r="N178" s="75" t="s">
        <v>1505</v>
      </c>
      <c r="O178" s="75" t="s">
        <v>803</v>
      </c>
      <c r="P178" s="75" t="s">
        <v>23</v>
      </c>
      <c r="Q178" s="75" t="s">
        <v>1825</v>
      </c>
      <c r="R178" s="75" t="s">
        <v>1272</v>
      </c>
      <c r="S178" s="75" t="s">
        <v>1270</v>
      </c>
      <c r="T178" s="75"/>
      <c r="U178" s="75" t="s">
        <v>1271</v>
      </c>
      <c r="V178" s="75"/>
    </row>
    <row r="179" spans="1:22">
      <c r="A179" s="75" t="s">
        <v>1083</v>
      </c>
      <c r="B179" s="75">
        <v>21925525</v>
      </c>
      <c r="C179" s="75">
        <v>1</v>
      </c>
      <c r="D179" s="76" t="s">
        <v>1831</v>
      </c>
      <c r="E179" s="77"/>
      <c r="F179" s="75">
        <v>0</v>
      </c>
      <c r="G179" s="75"/>
      <c r="H179" s="78">
        <v>0</v>
      </c>
      <c r="I179" s="106">
        <v>2</v>
      </c>
      <c r="J179" s="75" t="s">
        <v>1273</v>
      </c>
      <c r="K179" s="75" t="s">
        <v>1212</v>
      </c>
      <c r="L179" s="75" t="s">
        <v>1127</v>
      </c>
      <c r="M179" s="75"/>
      <c r="N179" s="75" t="s">
        <v>1829</v>
      </c>
      <c r="O179" s="75"/>
      <c r="P179" s="75"/>
      <c r="Q179" s="75" t="s">
        <v>1830</v>
      </c>
      <c r="R179" s="75"/>
      <c r="S179" s="75"/>
      <c r="T179" s="75"/>
      <c r="U179" s="75"/>
      <c r="V179" s="75" t="s">
        <v>1488</v>
      </c>
    </row>
    <row r="180" spans="1:22">
      <c r="A180" s="75" t="s">
        <v>1082</v>
      </c>
      <c r="B180" s="75">
        <v>23011267</v>
      </c>
      <c r="C180" s="75">
        <v>1</v>
      </c>
      <c r="D180" s="76" t="s">
        <v>1836</v>
      </c>
      <c r="E180" s="77"/>
      <c r="F180" s="75">
        <v>0</v>
      </c>
      <c r="G180" s="75"/>
      <c r="H180" s="75">
        <v>0</v>
      </c>
      <c r="I180" s="106">
        <v>2</v>
      </c>
      <c r="J180" s="75" t="s">
        <v>1275</v>
      </c>
      <c r="K180" s="75" t="s">
        <v>1162</v>
      </c>
      <c r="L180" s="75" t="s">
        <v>1127</v>
      </c>
      <c r="M180" s="75"/>
      <c r="N180" s="75" t="s">
        <v>1500</v>
      </c>
      <c r="O180" s="75"/>
      <c r="P180" s="75"/>
      <c r="Q180" s="75" t="s">
        <v>1275</v>
      </c>
      <c r="R180" s="75" t="s">
        <v>1274</v>
      </c>
      <c r="S180" s="75"/>
      <c r="T180" s="75"/>
      <c r="U180" s="75"/>
      <c r="V180" s="75" t="s">
        <v>1124</v>
      </c>
    </row>
    <row r="181" spans="1:22">
      <c r="A181" s="75" t="s">
        <v>1078</v>
      </c>
      <c r="B181" s="75">
        <v>22108759</v>
      </c>
      <c r="C181" s="75">
        <v>1</v>
      </c>
      <c r="D181" s="76"/>
      <c r="E181" s="77"/>
      <c r="F181" s="75">
        <v>1</v>
      </c>
      <c r="G181" s="75"/>
      <c r="H181" s="75">
        <v>1</v>
      </c>
      <c r="I181" s="106">
        <v>2</v>
      </c>
      <c r="J181" s="75" t="s">
        <v>73</v>
      </c>
      <c r="K181" s="75" t="s">
        <v>1147</v>
      </c>
      <c r="L181" s="75" t="s">
        <v>1282</v>
      </c>
      <c r="M181" s="75"/>
      <c r="N181" s="75" t="s">
        <v>1500</v>
      </c>
      <c r="O181" s="75" t="s">
        <v>1539</v>
      </c>
      <c r="P181" s="75" t="s">
        <v>23</v>
      </c>
      <c r="Q181" s="75" t="s">
        <v>1512</v>
      </c>
      <c r="R181" s="75" t="s">
        <v>1284</v>
      </c>
      <c r="S181" s="75" t="s">
        <v>24</v>
      </c>
      <c r="T181" s="75"/>
      <c r="U181" s="75"/>
      <c r="V181" s="75" t="s">
        <v>1283</v>
      </c>
    </row>
    <row r="182" spans="1:22">
      <c r="A182" s="75" t="s">
        <v>1077</v>
      </c>
      <c r="B182" s="75">
        <v>23382811</v>
      </c>
      <c r="C182" s="75">
        <v>1</v>
      </c>
      <c r="D182" s="76">
        <v>1</v>
      </c>
      <c r="E182" s="77"/>
      <c r="F182" s="75">
        <v>0</v>
      </c>
      <c r="G182" s="75"/>
      <c r="H182" s="78">
        <v>0</v>
      </c>
      <c r="I182" s="106">
        <v>2</v>
      </c>
      <c r="J182" s="75" t="s">
        <v>1286</v>
      </c>
      <c r="K182" s="75" t="s">
        <v>1142</v>
      </c>
      <c r="L182" s="75" t="s">
        <v>1285</v>
      </c>
      <c r="M182" s="75"/>
      <c r="N182" s="75" t="s">
        <v>1488</v>
      </c>
      <c r="O182" s="75" t="s">
        <v>23</v>
      </c>
      <c r="P182" s="75"/>
      <c r="Q182" s="75" t="s">
        <v>1800</v>
      </c>
      <c r="R182" s="75" t="s">
        <v>1287</v>
      </c>
      <c r="S182" s="75"/>
      <c r="T182" s="75"/>
      <c r="U182" s="75"/>
      <c r="V182" s="75"/>
    </row>
    <row r="183" spans="1:22">
      <c r="A183" s="75" t="s">
        <v>1076</v>
      </c>
      <c r="B183" s="75">
        <v>25979764</v>
      </c>
      <c r="C183" s="75">
        <v>1</v>
      </c>
      <c r="D183" s="76"/>
      <c r="E183" s="77"/>
      <c r="F183" s="81">
        <v>1</v>
      </c>
      <c r="G183" s="75"/>
      <c r="H183" s="81">
        <v>1</v>
      </c>
      <c r="I183" s="106">
        <v>2</v>
      </c>
      <c r="J183" s="75" t="s">
        <v>1293</v>
      </c>
      <c r="K183" s="75" t="s">
        <v>23</v>
      </c>
      <c r="L183" s="75" t="s">
        <v>1127</v>
      </c>
      <c r="M183" s="75"/>
      <c r="N183" s="75" t="s">
        <v>1487</v>
      </c>
      <c r="O183" s="75"/>
      <c r="P183" s="75"/>
      <c r="Q183" s="75" t="s">
        <v>1293</v>
      </c>
      <c r="R183" s="75" t="s">
        <v>1292</v>
      </c>
      <c r="S183" s="75"/>
      <c r="T183" s="75"/>
      <c r="U183" s="75"/>
      <c r="V183" s="75" t="s">
        <v>1294</v>
      </c>
    </row>
    <row r="184" spans="1:22">
      <c r="A184" s="75" t="s">
        <v>1074</v>
      </c>
      <c r="B184" s="75">
        <v>27417516</v>
      </c>
      <c r="C184" s="75">
        <v>1</v>
      </c>
      <c r="D184" s="76">
        <v>1</v>
      </c>
      <c r="E184" s="77"/>
      <c r="F184" s="75">
        <v>1</v>
      </c>
      <c r="G184" s="75"/>
      <c r="H184" s="75">
        <v>1</v>
      </c>
      <c r="I184" s="106">
        <v>2</v>
      </c>
      <c r="J184" s="75" t="s">
        <v>1296</v>
      </c>
      <c r="K184" s="75" t="s">
        <v>1166</v>
      </c>
      <c r="L184" s="75" t="s">
        <v>1127</v>
      </c>
      <c r="M184" s="75"/>
      <c r="N184" s="75" t="s">
        <v>1542</v>
      </c>
      <c r="O184" s="75"/>
      <c r="P184" s="75"/>
      <c r="Q184" s="75" t="s">
        <v>1297</v>
      </c>
      <c r="R184" s="75" t="s">
        <v>1298</v>
      </c>
      <c r="S184" s="75"/>
      <c r="T184" s="75"/>
      <c r="U184" s="75"/>
      <c r="V184" s="75" t="s">
        <v>1299</v>
      </c>
    </row>
    <row r="185" spans="1:22">
      <c r="A185" s="75" t="s">
        <v>1072</v>
      </c>
      <c r="B185" s="75">
        <v>25309354</v>
      </c>
      <c r="C185" s="75">
        <v>1</v>
      </c>
      <c r="D185" s="76" t="s">
        <v>1838</v>
      </c>
      <c r="E185" s="77"/>
      <c r="F185" s="75">
        <v>0</v>
      </c>
      <c r="G185" s="75"/>
      <c r="H185" s="75">
        <v>0</v>
      </c>
      <c r="I185" s="106">
        <v>2</v>
      </c>
      <c r="J185" s="75" t="s">
        <v>1708</v>
      </c>
      <c r="K185" s="75" t="s">
        <v>1212</v>
      </c>
      <c r="L185" s="75" t="s">
        <v>1127</v>
      </c>
      <c r="M185" s="75"/>
      <c r="N185" s="75" t="s">
        <v>1488</v>
      </c>
      <c r="O185" s="75"/>
      <c r="P185" s="75"/>
      <c r="Q185" s="75" t="s">
        <v>1301</v>
      </c>
      <c r="R185" s="75"/>
      <c r="S185" s="75"/>
      <c r="T185" s="75"/>
      <c r="U185" s="75"/>
      <c r="V185" s="75" t="s">
        <v>1302</v>
      </c>
    </row>
    <row r="186" spans="1:22">
      <c r="A186" s="75" t="s">
        <v>1071</v>
      </c>
      <c r="B186" s="75">
        <v>21918506</v>
      </c>
      <c r="C186" s="75">
        <v>1</v>
      </c>
      <c r="D186" s="76">
        <v>1</v>
      </c>
      <c r="E186" s="77"/>
      <c r="F186" s="75">
        <v>1</v>
      </c>
      <c r="G186" s="75"/>
      <c r="H186" s="75">
        <v>1</v>
      </c>
      <c r="I186" s="106">
        <v>2</v>
      </c>
      <c r="J186" s="75" t="s">
        <v>1306</v>
      </c>
      <c r="K186" s="75" t="s">
        <v>1232</v>
      </c>
      <c r="L186" s="75" t="s">
        <v>1127</v>
      </c>
      <c r="M186" s="75"/>
      <c r="N186" s="75" t="s">
        <v>1487</v>
      </c>
      <c r="O186" s="75" t="s">
        <v>803</v>
      </c>
      <c r="P186" s="75" t="s">
        <v>23</v>
      </c>
      <c r="Q186" s="75" t="s">
        <v>1305</v>
      </c>
      <c r="R186" s="75"/>
      <c r="S186" s="75" t="s">
        <v>1304</v>
      </c>
      <c r="T186" s="75"/>
      <c r="U186" s="75"/>
      <c r="V186" s="75"/>
    </row>
    <row r="187" spans="1:22">
      <c r="A187" s="75" t="s">
        <v>1070</v>
      </c>
      <c r="B187" s="75">
        <v>24675061</v>
      </c>
      <c r="C187" s="75">
        <v>1</v>
      </c>
      <c r="D187" s="76"/>
      <c r="E187" s="77"/>
      <c r="F187" s="75">
        <v>1</v>
      </c>
      <c r="G187" s="75"/>
      <c r="H187" s="75">
        <v>1</v>
      </c>
      <c r="I187" s="106">
        <v>2</v>
      </c>
      <c r="J187" s="75" t="s">
        <v>1307</v>
      </c>
      <c r="K187" s="75" t="s">
        <v>1224</v>
      </c>
      <c r="L187" s="75" t="s">
        <v>1127</v>
      </c>
      <c r="M187" s="75"/>
      <c r="N187" s="75" t="s">
        <v>1498</v>
      </c>
      <c r="O187" s="75"/>
      <c r="P187" s="75"/>
      <c r="Q187" s="75" t="s">
        <v>1516</v>
      </c>
      <c r="R187" s="75" t="s">
        <v>1308</v>
      </c>
      <c r="S187" s="75" t="s">
        <v>1309</v>
      </c>
      <c r="T187" s="75"/>
      <c r="U187" s="75"/>
      <c r="V187" s="75"/>
    </row>
    <row r="188" spans="1:22">
      <c r="A188" s="75" t="s">
        <v>1069</v>
      </c>
      <c r="B188" s="75">
        <v>25750029</v>
      </c>
      <c r="C188" s="75">
        <v>1</v>
      </c>
      <c r="D188" s="76"/>
      <c r="E188" s="77"/>
      <c r="F188" s="75">
        <v>1</v>
      </c>
      <c r="G188" s="75"/>
      <c r="H188" s="75">
        <v>1</v>
      </c>
      <c r="I188" s="106">
        <v>2</v>
      </c>
      <c r="J188" s="75" t="s">
        <v>1585</v>
      </c>
      <c r="K188" s="75" t="s">
        <v>1216</v>
      </c>
      <c r="L188" s="75" t="s">
        <v>1127</v>
      </c>
      <c r="M188" s="75"/>
      <c r="N188" s="75" t="s">
        <v>1310</v>
      </c>
      <c r="O188" s="75" t="s">
        <v>803</v>
      </c>
      <c r="P188" s="75"/>
      <c r="Q188" s="75" t="s">
        <v>1311</v>
      </c>
      <c r="R188" s="75"/>
      <c r="S188" s="75"/>
      <c r="T188" s="75"/>
      <c r="U188" s="75"/>
      <c r="V188" s="75"/>
    </row>
    <row r="189" spans="1:22">
      <c r="A189" s="75" t="s">
        <v>1065</v>
      </c>
      <c r="B189" s="75">
        <v>25746511</v>
      </c>
      <c r="C189" s="75">
        <v>1</v>
      </c>
      <c r="D189" s="76"/>
      <c r="E189" s="77"/>
      <c r="F189" s="75">
        <v>1</v>
      </c>
      <c r="G189" s="75"/>
      <c r="H189" s="75">
        <v>1</v>
      </c>
      <c r="I189" s="106">
        <v>2</v>
      </c>
      <c r="J189" s="75" t="s">
        <v>1317</v>
      </c>
      <c r="K189" s="75" t="s">
        <v>1166</v>
      </c>
      <c r="L189" s="75" t="s">
        <v>1127</v>
      </c>
      <c r="M189" s="75"/>
      <c r="N189" s="75" t="s">
        <v>1487</v>
      </c>
      <c r="O189" s="75"/>
      <c r="P189" s="75"/>
      <c r="Q189" s="75" t="s">
        <v>1316</v>
      </c>
      <c r="R189" s="75"/>
      <c r="S189" s="75"/>
      <c r="T189" s="75"/>
      <c r="U189" s="75"/>
      <c r="V189" s="75"/>
    </row>
    <row r="190" spans="1:22">
      <c r="A190" s="75" t="s">
        <v>1063</v>
      </c>
      <c r="B190" s="75">
        <v>22701407</v>
      </c>
      <c r="C190" s="75">
        <v>1</v>
      </c>
      <c r="D190" s="76"/>
      <c r="E190" s="77"/>
      <c r="F190" s="75">
        <v>1</v>
      </c>
      <c r="G190" s="75"/>
      <c r="H190" s="75">
        <v>1</v>
      </c>
      <c r="I190" s="106">
        <v>2</v>
      </c>
      <c r="J190" s="75" t="s">
        <v>1258</v>
      </c>
      <c r="K190" s="75" t="s">
        <v>1147</v>
      </c>
      <c r="L190" s="75" t="s">
        <v>1321</v>
      </c>
      <c r="M190" s="75"/>
      <c r="N190" s="75" t="s">
        <v>1495</v>
      </c>
      <c r="O190" s="75"/>
      <c r="P190" s="75"/>
      <c r="Q190" s="75" t="s">
        <v>1681</v>
      </c>
      <c r="R190" s="75"/>
      <c r="S190" s="75"/>
      <c r="T190" s="75"/>
      <c r="U190" s="75"/>
      <c r="V190" s="75"/>
    </row>
    <row r="191" spans="1:22">
      <c r="A191" s="75" t="s">
        <v>1060</v>
      </c>
      <c r="B191" s="75">
        <v>21285873</v>
      </c>
      <c r="C191" s="75">
        <v>1</v>
      </c>
      <c r="D191" s="76"/>
      <c r="E191" s="77"/>
      <c r="F191" s="75">
        <v>1</v>
      </c>
      <c r="G191" s="75"/>
      <c r="H191" s="75">
        <v>1</v>
      </c>
      <c r="I191" s="106">
        <v>2</v>
      </c>
      <c r="J191" s="75" t="s">
        <v>1329</v>
      </c>
      <c r="K191" s="75" t="s">
        <v>1169</v>
      </c>
      <c r="L191" s="75" t="s">
        <v>1127</v>
      </c>
      <c r="M191" s="75"/>
      <c r="N191" s="75" t="s">
        <v>1541</v>
      </c>
      <c r="O191" s="75" t="s">
        <v>803</v>
      </c>
      <c r="P191" s="75"/>
      <c r="Q191" s="75" t="s">
        <v>1328</v>
      </c>
      <c r="R191" s="75"/>
      <c r="S191" s="75" t="s">
        <v>1132</v>
      </c>
      <c r="T191" s="75"/>
      <c r="U191" s="75"/>
      <c r="V191" s="75"/>
    </row>
    <row r="192" spans="1:22">
      <c r="A192" s="75" t="s">
        <v>1058</v>
      </c>
      <c r="B192" s="75">
        <v>15677425</v>
      </c>
      <c r="C192" s="75">
        <v>1</v>
      </c>
      <c r="D192" s="76"/>
      <c r="E192" s="77"/>
      <c r="F192" s="75">
        <v>1</v>
      </c>
      <c r="G192" s="75"/>
      <c r="H192" s="75">
        <v>1</v>
      </c>
      <c r="I192" s="106">
        <v>2</v>
      </c>
      <c r="J192" s="75" t="s">
        <v>1586</v>
      </c>
      <c r="K192" s="75" t="s">
        <v>1147</v>
      </c>
      <c r="L192" s="75" t="s">
        <v>1127</v>
      </c>
      <c r="M192" s="75"/>
      <c r="N192" s="75" t="s">
        <v>1334</v>
      </c>
      <c r="O192" s="75"/>
      <c r="P192" s="75"/>
      <c r="Q192" s="75"/>
      <c r="R192" s="75" t="s">
        <v>1335</v>
      </c>
      <c r="S192" s="75"/>
      <c r="T192" s="75"/>
      <c r="U192" s="75"/>
      <c r="V192" s="75"/>
    </row>
    <row r="193" spans="1:22">
      <c r="A193" s="75" t="s">
        <v>1057</v>
      </c>
      <c r="B193" s="75">
        <v>22659471</v>
      </c>
      <c r="C193" s="75">
        <v>1</v>
      </c>
      <c r="D193" s="76"/>
      <c r="E193" s="77"/>
      <c r="F193" s="75">
        <v>1</v>
      </c>
      <c r="G193" s="75"/>
      <c r="H193" s="75">
        <v>1</v>
      </c>
      <c r="I193" s="106">
        <v>2</v>
      </c>
      <c r="J193" s="75" t="s">
        <v>1336</v>
      </c>
      <c r="K193" s="75" t="s">
        <v>1224</v>
      </c>
      <c r="L193" s="75" t="s">
        <v>1127</v>
      </c>
      <c r="M193" s="75"/>
      <c r="N193" s="75" t="s">
        <v>1498</v>
      </c>
      <c r="O193" s="75" t="s">
        <v>803</v>
      </c>
      <c r="P193" s="75"/>
      <c r="Q193" s="75" t="s">
        <v>1337</v>
      </c>
      <c r="R193" s="75" t="s">
        <v>1338</v>
      </c>
      <c r="S193" s="75"/>
      <c r="T193" s="75"/>
      <c r="U193" s="75"/>
      <c r="V193" s="75"/>
    </row>
    <row r="194" spans="1:22">
      <c r="A194" s="75" t="s">
        <v>1055</v>
      </c>
      <c r="B194" s="75">
        <v>20700523</v>
      </c>
      <c r="C194" s="75">
        <v>1</v>
      </c>
      <c r="D194" s="76"/>
      <c r="E194" s="77"/>
      <c r="F194" s="75">
        <v>1</v>
      </c>
      <c r="G194" s="75"/>
      <c r="H194" s="75">
        <v>1</v>
      </c>
      <c r="I194" s="106">
        <v>2</v>
      </c>
      <c r="J194" s="75" t="s">
        <v>1342</v>
      </c>
      <c r="K194" s="75" t="s">
        <v>1224</v>
      </c>
      <c r="L194" s="75" t="s">
        <v>1127</v>
      </c>
      <c r="M194" s="75"/>
      <c r="N194" s="75" t="s">
        <v>1498</v>
      </c>
      <c r="O194" s="75" t="s">
        <v>803</v>
      </c>
      <c r="P194" s="75"/>
      <c r="Q194" s="75" t="s">
        <v>1341</v>
      </c>
      <c r="R194" s="75"/>
      <c r="S194" s="75"/>
      <c r="T194" s="75"/>
      <c r="U194" s="75"/>
      <c r="V194" s="75"/>
    </row>
    <row r="195" spans="1:22">
      <c r="A195" s="75" t="s">
        <v>1053</v>
      </c>
      <c r="B195" s="75">
        <v>26655446</v>
      </c>
      <c r="C195" s="75">
        <v>1</v>
      </c>
      <c r="D195" s="76" t="s">
        <v>1843</v>
      </c>
      <c r="E195" s="77"/>
      <c r="F195" s="75">
        <v>0</v>
      </c>
      <c r="G195" s="75"/>
      <c r="H195" s="75">
        <v>0</v>
      </c>
      <c r="I195" s="106">
        <v>2</v>
      </c>
      <c r="J195" s="75" t="s">
        <v>1346</v>
      </c>
      <c r="K195" s="75"/>
      <c r="L195" s="75" t="s">
        <v>1138</v>
      </c>
      <c r="M195" s="75"/>
      <c r="N195" s="75" t="s">
        <v>1493</v>
      </c>
      <c r="O195" s="75" t="s">
        <v>23</v>
      </c>
      <c r="P195" s="75" t="s">
        <v>23</v>
      </c>
      <c r="Q195" s="75"/>
      <c r="R195" s="75" t="s">
        <v>1345</v>
      </c>
      <c r="S195" s="75"/>
      <c r="T195" s="75"/>
      <c r="U195" s="75"/>
      <c r="V195" s="75" t="s">
        <v>1344</v>
      </c>
    </row>
    <row r="196" spans="1:22">
      <c r="A196" s="75" t="s">
        <v>1052</v>
      </c>
      <c r="B196" s="75">
        <v>24335837</v>
      </c>
      <c r="C196" s="75">
        <v>1</v>
      </c>
      <c r="D196" s="76">
        <v>1</v>
      </c>
      <c r="E196" s="77"/>
      <c r="F196" s="75">
        <v>1</v>
      </c>
      <c r="G196" s="75"/>
      <c r="H196" s="75">
        <v>1</v>
      </c>
      <c r="I196" s="106">
        <v>2</v>
      </c>
      <c r="J196" s="75" t="s">
        <v>1347</v>
      </c>
      <c r="K196" s="75" t="s">
        <v>1224</v>
      </c>
      <c r="L196" s="75" t="s">
        <v>1138</v>
      </c>
      <c r="M196" s="75"/>
      <c r="N196" s="75" t="s">
        <v>1499</v>
      </c>
      <c r="O196" s="75" t="s">
        <v>803</v>
      </c>
      <c r="P196" s="75" t="s">
        <v>23</v>
      </c>
      <c r="Q196" s="75" t="s">
        <v>1692</v>
      </c>
      <c r="R196" s="75" t="s">
        <v>1348</v>
      </c>
      <c r="S196" s="75" t="s">
        <v>1349</v>
      </c>
      <c r="T196" s="75"/>
      <c r="U196" s="75" t="s">
        <v>1350</v>
      </c>
      <c r="V196" s="75"/>
    </row>
    <row r="197" spans="1:22">
      <c r="A197" s="75" t="s">
        <v>1051</v>
      </c>
      <c r="B197" s="75">
        <v>16860405</v>
      </c>
      <c r="C197" s="75">
        <v>1</v>
      </c>
      <c r="D197" s="76">
        <v>1</v>
      </c>
      <c r="E197" s="77"/>
      <c r="F197" s="75">
        <v>1</v>
      </c>
      <c r="G197" s="75"/>
      <c r="H197" s="75">
        <v>1</v>
      </c>
      <c r="I197" s="106">
        <v>2</v>
      </c>
      <c r="J197" s="75" t="s">
        <v>1352</v>
      </c>
      <c r="K197" s="75" t="s">
        <v>1224</v>
      </c>
      <c r="L197" s="75" t="s">
        <v>1127</v>
      </c>
      <c r="M197" s="75"/>
      <c r="N197" s="75" t="s">
        <v>1487</v>
      </c>
      <c r="O197" s="75" t="s">
        <v>23</v>
      </c>
      <c r="P197" s="75" t="s">
        <v>23</v>
      </c>
      <c r="Q197" s="75" t="s">
        <v>1691</v>
      </c>
      <c r="R197" s="75"/>
      <c r="S197" s="75"/>
      <c r="T197" s="75"/>
      <c r="U197" s="75"/>
      <c r="V197" s="75" t="s">
        <v>1351</v>
      </c>
    </row>
    <row r="198" spans="1:22">
      <c r="A198" s="75" t="s">
        <v>1050</v>
      </c>
      <c r="B198" s="75">
        <v>17267088</v>
      </c>
      <c r="C198" s="75">
        <v>1</v>
      </c>
      <c r="D198" s="76"/>
      <c r="E198" s="77"/>
      <c r="F198" s="75">
        <v>1</v>
      </c>
      <c r="G198" s="75"/>
      <c r="H198" s="75">
        <v>1</v>
      </c>
      <c r="I198" s="106">
        <v>2</v>
      </c>
      <c r="J198" s="75" t="s">
        <v>1353</v>
      </c>
      <c r="K198" s="75" t="s">
        <v>1216</v>
      </c>
      <c r="L198" s="75" t="s">
        <v>1127</v>
      </c>
      <c r="M198" s="75"/>
      <c r="N198" s="75" t="s">
        <v>1487</v>
      </c>
      <c r="O198" s="75" t="s">
        <v>803</v>
      </c>
      <c r="P198" s="75" t="s">
        <v>23</v>
      </c>
      <c r="Q198" s="75" t="s">
        <v>1337</v>
      </c>
      <c r="R198" s="75" t="s">
        <v>1354</v>
      </c>
      <c r="S198" s="75"/>
      <c r="T198" s="75"/>
      <c r="U198" s="75"/>
      <c r="V198" s="75"/>
    </row>
    <row r="199" spans="1:22">
      <c r="A199" s="75" t="s">
        <v>1049</v>
      </c>
      <c r="B199" s="75">
        <v>27740964</v>
      </c>
      <c r="C199" s="75">
        <v>1</v>
      </c>
      <c r="D199" s="76"/>
      <c r="E199" s="77"/>
      <c r="F199" s="75">
        <v>1</v>
      </c>
      <c r="G199" s="75"/>
      <c r="H199" s="75">
        <v>1</v>
      </c>
      <c r="I199" s="106">
        <v>2</v>
      </c>
      <c r="J199" s="75" t="s">
        <v>1327</v>
      </c>
      <c r="K199" s="75" t="s">
        <v>1224</v>
      </c>
      <c r="L199" s="75" t="s">
        <v>1225</v>
      </c>
      <c r="M199" s="75"/>
      <c r="N199" s="75" t="s">
        <v>1541</v>
      </c>
      <c r="O199" s="75"/>
      <c r="P199" s="75"/>
      <c r="Q199" s="75" t="s">
        <v>1355</v>
      </c>
      <c r="R199" s="75"/>
      <c r="S199" s="75"/>
      <c r="T199" s="75"/>
      <c r="U199" s="75" t="s">
        <v>1356</v>
      </c>
      <c r="V199" s="75"/>
    </row>
    <row r="200" spans="1:22">
      <c r="A200" s="75" t="s">
        <v>1047</v>
      </c>
      <c r="B200" s="75">
        <v>27275520</v>
      </c>
      <c r="C200" s="75">
        <v>1</v>
      </c>
      <c r="D200" s="76"/>
      <c r="E200" s="77"/>
      <c r="F200" s="75">
        <v>1</v>
      </c>
      <c r="G200" s="75"/>
      <c r="H200" s="75">
        <v>1</v>
      </c>
      <c r="I200" s="106">
        <v>2</v>
      </c>
      <c r="J200" s="75" t="s">
        <v>1361</v>
      </c>
      <c r="K200" s="75" t="s">
        <v>1216</v>
      </c>
      <c r="L200" s="75" t="s">
        <v>1127</v>
      </c>
      <c r="M200" s="75"/>
      <c r="N200" s="75" t="s">
        <v>1487</v>
      </c>
      <c r="O200" s="75"/>
      <c r="P200" s="75"/>
      <c r="Q200" s="75" t="s">
        <v>1360</v>
      </c>
      <c r="R200" s="75" t="s">
        <v>24</v>
      </c>
      <c r="S200" s="75" t="s">
        <v>24</v>
      </c>
      <c r="T200" s="75"/>
      <c r="U200" s="75"/>
      <c r="V200" s="75"/>
    </row>
    <row r="201" spans="1:22">
      <c r="A201" s="75" t="s">
        <v>1043</v>
      </c>
      <c r="B201" s="75">
        <v>24239430</v>
      </c>
      <c r="C201" s="75">
        <v>1</v>
      </c>
      <c r="D201" s="76" t="s">
        <v>1852</v>
      </c>
      <c r="E201" s="77"/>
      <c r="F201" s="75">
        <v>0</v>
      </c>
      <c r="G201" s="75"/>
      <c r="H201" s="75">
        <v>0</v>
      </c>
      <c r="I201" s="106">
        <v>2</v>
      </c>
      <c r="J201" s="75" t="s">
        <v>1369</v>
      </c>
      <c r="K201" s="75"/>
      <c r="L201" s="75"/>
      <c r="M201" s="75"/>
      <c r="N201" s="75" t="s">
        <v>1367</v>
      </c>
      <c r="O201" s="75"/>
      <c r="P201" s="75"/>
      <c r="Q201" s="75" t="s">
        <v>1248</v>
      </c>
      <c r="R201" s="75" t="s">
        <v>24</v>
      </c>
      <c r="S201" s="75" t="s">
        <v>1368</v>
      </c>
      <c r="T201" s="75"/>
      <c r="U201" s="75" t="s">
        <v>1660</v>
      </c>
      <c r="V201" s="75" t="s">
        <v>1659</v>
      </c>
    </row>
    <row r="202" spans="1:22">
      <c r="A202" s="75" t="s">
        <v>1039</v>
      </c>
      <c r="B202" s="75">
        <v>12587183</v>
      </c>
      <c r="C202" s="75">
        <v>1</v>
      </c>
      <c r="D202" s="76">
        <v>1</v>
      </c>
      <c r="E202" s="77"/>
      <c r="F202" s="75">
        <v>1</v>
      </c>
      <c r="G202" s="75"/>
      <c r="H202" s="75">
        <v>1</v>
      </c>
      <c r="I202" s="106">
        <v>2</v>
      </c>
      <c r="J202" s="75" t="s">
        <v>1376</v>
      </c>
      <c r="K202" s="75" t="s">
        <v>1377</v>
      </c>
      <c r="L202" s="75"/>
      <c r="M202" s="75"/>
      <c r="N202" s="75" t="s">
        <v>1498</v>
      </c>
      <c r="O202" s="75"/>
      <c r="P202" s="75"/>
      <c r="Q202" s="75" t="s">
        <v>1682</v>
      </c>
      <c r="R202" s="75"/>
      <c r="S202" s="75"/>
      <c r="T202" s="75"/>
      <c r="U202" s="75"/>
      <c r="V202" s="75"/>
    </row>
    <row r="203" spans="1:22">
      <c r="A203" s="75" t="s">
        <v>1037</v>
      </c>
      <c r="B203" s="75">
        <v>19095221</v>
      </c>
      <c r="C203" s="75">
        <v>1</v>
      </c>
      <c r="D203" s="76" t="s">
        <v>1853</v>
      </c>
      <c r="E203" s="77"/>
      <c r="F203" s="75">
        <v>0</v>
      </c>
      <c r="G203" s="75"/>
      <c r="H203" s="75">
        <v>0</v>
      </c>
      <c r="I203" s="106">
        <v>2</v>
      </c>
      <c r="J203" s="75" t="s">
        <v>24</v>
      </c>
      <c r="K203" s="75" t="s">
        <v>24</v>
      </c>
      <c r="L203" s="75" t="s">
        <v>1127</v>
      </c>
      <c r="M203" s="75"/>
      <c r="N203" s="75" t="s">
        <v>1495</v>
      </c>
      <c r="O203" s="75"/>
      <c r="P203" s="75"/>
      <c r="Q203" s="75" t="s">
        <v>1382</v>
      </c>
      <c r="R203" s="75" t="s">
        <v>1380</v>
      </c>
      <c r="S203" s="75" t="s">
        <v>1381</v>
      </c>
      <c r="T203" s="75"/>
      <c r="U203" s="75"/>
      <c r="V203" s="75" t="s">
        <v>424</v>
      </c>
    </row>
    <row r="204" spans="1:22">
      <c r="A204" s="75" t="s">
        <v>1036</v>
      </c>
      <c r="B204" s="75">
        <v>23891637</v>
      </c>
      <c r="C204" s="75">
        <v>1</v>
      </c>
      <c r="D204" s="76">
        <v>1</v>
      </c>
      <c r="E204" s="77"/>
      <c r="F204" s="75">
        <v>1</v>
      </c>
      <c r="G204" s="75"/>
      <c r="H204" s="75">
        <v>1</v>
      </c>
      <c r="I204" s="106">
        <v>2</v>
      </c>
      <c r="J204" s="75" t="s">
        <v>1347</v>
      </c>
      <c r="K204" s="75" t="s">
        <v>1216</v>
      </c>
      <c r="L204" s="75" t="s">
        <v>1127</v>
      </c>
      <c r="M204" s="75"/>
      <c r="N204" s="75" t="s">
        <v>1714</v>
      </c>
      <c r="O204" s="75" t="s">
        <v>803</v>
      </c>
      <c r="P204" s="75"/>
      <c r="Q204" s="75" t="s">
        <v>1383</v>
      </c>
      <c r="R204" s="75" t="s">
        <v>1384</v>
      </c>
      <c r="S204" s="75" t="s">
        <v>1385</v>
      </c>
      <c r="T204" s="75"/>
      <c r="U204" s="75"/>
      <c r="V204" s="75"/>
    </row>
    <row r="205" spans="1:22">
      <c r="A205" s="75" t="s">
        <v>1032</v>
      </c>
      <c r="B205" s="75">
        <v>26642920</v>
      </c>
      <c r="C205" s="75">
        <v>1</v>
      </c>
      <c r="D205" s="76">
        <v>1</v>
      </c>
      <c r="E205" s="77"/>
      <c r="F205" s="75">
        <v>1</v>
      </c>
      <c r="G205" s="75"/>
      <c r="H205" s="78">
        <v>1</v>
      </c>
      <c r="I205" s="106">
        <v>2</v>
      </c>
      <c r="J205" s="75" t="s">
        <v>1220</v>
      </c>
      <c r="K205" s="75" t="s">
        <v>1216</v>
      </c>
      <c r="L205" s="75" t="s">
        <v>1389</v>
      </c>
      <c r="M205" s="75"/>
      <c r="N205" s="75" t="s">
        <v>1488</v>
      </c>
      <c r="O205" s="75"/>
      <c r="P205" s="75"/>
      <c r="Q205" s="75" t="s">
        <v>1715</v>
      </c>
      <c r="R205" s="75"/>
      <c r="S205" s="75"/>
      <c r="T205" s="75"/>
      <c r="U205" s="75"/>
      <c r="V205" s="75"/>
    </row>
    <row r="206" spans="1:22">
      <c r="A206" s="75" t="s">
        <v>1031</v>
      </c>
      <c r="B206" s="75">
        <v>26611866</v>
      </c>
      <c r="C206" s="75">
        <v>1</v>
      </c>
      <c r="D206" s="76"/>
      <c r="E206" s="77"/>
      <c r="F206" s="75">
        <v>1</v>
      </c>
      <c r="G206" s="75"/>
      <c r="H206" s="81">
        <v>1</v>
      </c>
      <c r="I206" s="106">
        <v>2</v>
      </c>
      <c r="J206" s="75" t="s">
        <v>1393</v>
      </c>
      <c r="K206" s="75" t="s">
        <v>1390</v>
      </c>
      <c r="L206" s="75" t="s">
        <v>1127</v>
      </c>
      <c r="M206" s="75"/>
      <c r="N206" s="75" t="s">
        <v>1487</v>
      </c>
      <c r="O206" s="75" t="s">
        <v>803</v>
      </c>
      <c r="P206" s="75" t="s">
        <v>23</v>
      </c>
      <c r="Q206" s="75" t="s">
        <v>1716</v>
      </c>
      <c r="R206" s="75" t="s">
        <v>1391</v>
      </c>
      <c r="S206" s="75"/>
      <c r="T206" s="75"/>
      <c r="U206" s="75"/>
      <c r="V206" s="75" t="s">
        <v>1392</v>
      </c>
    </row>
    <row r="207" spans="1:22">
      <c r="A207" s="75" t="s">
        <v>1029</v>
      </c>
      <c r="B207" s="75">
        <v>25882722</v>
      </c>
      <c r="C207" s="75">
        <v>1</v>
      </c>
      <c r="D207" s="76" t="s">
        <v>1847</v>
      </c>
      <c r="E207" s="77"/>
      <c r="F207" s="75">
        <v>1</v>
      </c>
      <c r="G207" s="75"/>
      <c r="H207" s="75">
        <v>1</v>
      </c>
      <c r="I207" s="106">
        <v>2</v>
      </c>
      <c r="J207" s="75" t="s">
        <v>1398</v>
      </c>
      <c r="K207" s="75" t="s">
        <v>1216</v>
      </c>
      <c r="L207" s="75" t="s">
        <v>1396</v>
      </c>
      <c r="M207" s="75"/>
      <c r="N207" s="75" t="s">
        <v>1498</v>
      </c>
      <c r="O207" s="75" t="s">
        <v>803</v>
      </c>
      <c r="P207" s="75" t="s">
        <v>23</v>
      </c>
      <c r="Q207" s="75" t="s">
        <v>1518</v>
      </c>
      <c r="R207" s="75"/>
      <c r="S207" s="75" t="s">
        <v>1397</v>
      </c>
      <c r="T207" s="75"/>
      <c r="U207" s="75"/>
      <c r="V207" s="75"/>
    </row>
    <row r="208" spans="1:22">
      <c r="A208" s="75" t="s">
        <v>1028</v>
      </c>
      <c r="B208" s="75">
        <v>25976074</v>
      </c>
      <c r="C208" s="75">
        <v>1</v>
      </c>
      <c r="D208" s="76"/>
      <c r="E208" s="77"/>
      <c r="F208" s="75">
        <v>1</v>
      </c>
      <c r="G208" s="75"/>
      <c r="H208" s="75">
        <v>1</v>
      </c>
      <c r="I208" s="106">
        <v>2</v>
      </c>
      <c r="J208" s="75" t="s">
        <v>1399</v>
      </c>
      <c r="K208" s="75" t="s">
        <v>1216</v>
      </c>
      <c r="L208" s="75" t="s">
        <v>1127</v>
      </c>
      <c r="M208" s="75"/>
      <c r="N208" s="75" t="s">
        <v>1487</v>
      </c>
      <c r="O208" s="75" t="s">
        <v>803</v>
      </c>
      <c r="P208" s="75" t="s">
        <v>23</v>
      </c>
      <c r="Q208" s="75" t="s">
        <v>1677</v>
      </c>
      <c r="R208" s="75" t="s">
        <v>1400</v>
      </c>
      <c r="S208" s="75"/>
      <c r="T208" s="75"/>
      <c r="U208" s="75"/>
      <c r="V208" s="75"/>
    </row>
    <row r="209" spans="1:22">
      <c r="A209" s="75" t="s">
        <v>1027</v>
      </c>
      <c r="B209" s="75">
        <v>26650043</v>
      </c>
      <c r="C209" s="75">
        <v>1</v>
      </c>
      <c r="D209" s="76">
        <v>1</v>
      </c>
      <c r="E209" s="77"/>
      <c r="F209" s="75">
        <v>1</v>
      </c>
      <c r="G209" s="75"/>
      <c r="H209" s="75">
        <v>1</v>
      </c>
      <c r="I209" s="106">
        <v>2</v>
      </c>
      <c r="J209" s="75" t="s">
        <v>1401</v>
      </c>
      <c r="K209" s="75" t="s">
        <v>1169</v>
      </c>
      <c r="L209" s="75" t="s">
        <v>1127</v>
      </c>
      <c r="M209" s="75"/>
      <c r="N209" s="75" t="s">
        <v>1487</v>
      </c>
      <c r="O209" s="75"/>
      <c r="P209" s="75"/>
      <c r="Q209" s="75" t="s">
        <v>1676</v>
      </c>
      <c r="R209" s="75" t="s">
        <v>1402</v>
      </c>
      <c r="S209" s="75"/>
      <c r="T209" s="75"/>
      <c r="U209" s="75"/>
      <c r="V209" s="75"/>
    </row>
    <row r="210" spans="1:22">
      <c r="A210" s="75" t="s">
        <v>1026</v>
      </c>
      <c r="B210" s="75">
        <v>22176467</v>
      </c>
      <c r="C210" s="75">
        <v>1</v>
      </c>
      <c r="D210" s="76" t="s">
        <v>1855</v>
      </c>
      <c r="E210" s="77"/>
      <c r="F210" s="75">
        <v>0</v>
      </c>
      <c r="G210" s="75"/>
      <c r="H210" s="78">
        <v>0</v>
      </c>
      <c r="I210" s="106">
        <v>2</v>
      </c>
      <c r="J210" s="75" t="s">
        <v>1404</v>
      </c>
      <c r="K210" s="75" t="s">
        <v>1212</v>
      </c>
      <c r="L210" s="75" t="s">
        <v>1127</v>
      </c>
      <c r="M210" s="75"/>
      <c r="N210" s="75" t="s">
        <v>1488</v>
      </c>
      <c r="O210" s="75" t="s">
        <v>803</v>
      </c>
      <c r="P210" s="75"/>
      <c r="Q210" s="75" t="s">
        <v>1403</v>
      </c>
      <c r="R210" s="75"/>
      <c r="S210" s="75"/>
      <c r="T210" s="75"/>
      <c r="U210" s="75"/>
      <c r="V210" s="75"/>
    </row>
    <row r="211" spans="1:22">
      <c r="A211" s="75" t="s">
        <v>1025</v>
      </c>
      <c r="B211" s="75">
        <v>11331084</v>
      </c>
      <c r="C211" s="75">
        <v>1</v>
      </c>
      <c r="D211" s="76"/>
      <c r="E211" s="77"/>
      <c r="F211" s="75">
        <v>1</v>
      </c>
      <c r="G211" s="75"/>
      <c r="H211" s="81">
        <v>1</v>
      </c>
      <c r="I211" s="106">
        <v>2</v>
      </c>
      <c r="J211" s="75" t="s">
        <v>1405</v>
      </c>
      <c r="K211" s="75" t="s">
        <v>1216</v>
      </c>
      <c r="L211" s="75" t="s">
        <v>1127</v>
      </c>
      <c r="M211" s="75"/>
      <c r="N211" s="75" t="s">
        <v>1498</v>
      </c>
      <c r="O211" s="75" t="s">
        <v>803</v>
      </c>
      <c r="P211" s="75" t="s">
        <v>23</v>
      </c>
      <c r="Q211" s="75" t="s">
        <v>1406</v>
      </c>
      <c r="R211" s="75"/>
      <c r="S211" s="75"/>
      <c r="T211" s="75"/>
      <c r="U211" s="75"/>
      <c r="V211" s="75"/>
    </row>
    <row r="212" spans="1:22">
      <c r="A212" s="75" t="s">
        <v>1024</v>
      </c>
      <c r="B212" s="75">
        <v>19167197</v>
      </c>
      <c r="C212" s="75">
        <v>1</v>
      </c>
      <c r="D212" s="76" t="s">
        <v>1856</v>
      </c>
      <c r="E212" s="77"/>
      <c r="F212" s="75">
        <v>0</v>
      </c>
      <c r="G212" s="75"/>
      <c r="H212" s="75">
        <v>0</v>
      </c>
      <c r="I212" s="106">
        <v>2</v>
      </c>
      <c r="J212" s="75" t="s">
        <v>1407</v>
      </c>
      <c r="K212" s="75" t="s">
        <v>1264</v>
      </c>
      <c r="L212" s="75" t="s">
        <v>1127</v>
      </c>
      <c r="M212" s="75"/>
      <c r="N212" s="75" t="s">
        <v>1507</v>
      </c>
      <c r="O212" s="75" t="s">
        <v>803</v>
      </c>
      <c r="P212" s="75" t="s">
        <v>23</v>
      </c>
      <c r="Q212" s="75" t="s">
        <v>1248</v>
      </c>
      <c r="R212" s="75"/>
      <c r="S212" s="75" t="s">
        <v>1408</v>
      </c>
      <c r="T212" s="75"/>
      <c r="U212" s="75" t="s">
        <v>1664</v>
      </c>
      <c r="V212" s="75" t="s">
        <v>1663</v>
      </c>
    </row>
    <row r="213" spans="1:22">
      <c r="A213" s="75" t="s">
        <v>1023</v>
      </c>
      <c r="B213" s="75">
        <v>17886167</v>
      </c>
      <c r="C213" s="75">
        <v>1</v>
      </c>
      <c r="D213" s="76"/>
      <c r="E213" s="77"/>
      <c r="F213" s="75">
        <v>1</v>
      </c>
      <c r="G213" s="75"/>
      <c r="H213" s="84">
        <v>1</v>
      </c>
      <c r="I213" s="106">
        <v>2</v>
      </c>
      <c r="J213" s="75" t="s">
        <v>1347</v>
      </c>
      <c r="K213" s="75" t="s">
        <v>1216</v>
      </c>
      <c r="L213" s="75" t="s">
        <v>1127</v>
      </c>
      <c r="M213" s="75"/>
      <c r="N213" s="75" t="s">
        <v>1507</v>
      </c>
      <c r="O213" s="75" t="s">
        <v>1539</v>
      </c>
      <c r="P213" s="75"/>
      <c r="Q213" s="75" t="s">
        <v>1409</v>
      </c>
      <c r="R213" s="75"/>
      <c r="S213" s="75"/>
      <c r="T213" s="75"/>
      <c r="U213" s="75"/>
      <c r="V213" s="75"/>
    </row>
    <row r="214" spans="1:22">
      <c r="A214" s="75" t="s">
        <v>1021</v>
      </c>
      <c r="B214" s="75">
        <v>24988461</v>
      </c>
      <c r="C214" s="75">
        <v>1</v>
      </c>
      <c r="D214" s="76">
        <v>1</v>
      </c>
      <c r="E214" s="77"/>
      <c r="F214" s="75">
        <v>1</v>
      </c>
      <c r="G214" s="75"/>
      <c r="H214" s="75">
        <v>1</v>
      </c>
      <c r="I214" s="106">
        <v>2</v>
      </c>
      <c r="J214" s="75" t="s">
        <v>1415</v>
      </c>
      <c r="K214" s="75" t="s">
        <v>1224</v>
      </c>
      <c r="L214" s="75" t="s">
        <v>1127</v>
      </c>
      <c r="M214" s="75"/>
      <c r="N214" s="75" t="s">
        <v>1487</v>
      </c>
      <c r="O214" s="75" t="s">
        <v>803</v>
      </c>
      <c r="P214" s="75" t="s">
        <v>23</v>
      </c>
      <c r="Q214" s="75" t="s">
        <v>1675</v>
      </c>
      <c r="R214" s="75"/>
      <c r="S214" s="75"/>
      <c r="T214" s="75"/>
      <c r="U214" s="75"/>
      <c r="V214" s="75"/>
    </row>
    <row r="215" spans="1:22">
      <c r="A215" s="75" t="s">
        <v>1020</v>
      </c>
      <c r="B215" s="75">
        <v>18339410</v>
      </c>
      <c r="C215" s="75">
        <v>1</v>
      </c>
      <c r="D215" s="76">
        <v>1</v>
      </c>
      <c r="E215" s="77"/>
      <c r="F215" s="75">
        <v>1</v>
      </c>
      <c r="G215" s="75"/>
      <c r="H215" s="78">
        <v>1</v>
      </c>
      <c r="I215" s="106">
        <v>2</v>
      </c>
      <c r="J215" s="75" t="s">
        <v>1697</v>
      </c>
      <c r="K215" s="75" t="s">
        <v>1417</v>
      </c>
      <c r="L215" s="75" t="s">
        <v>1127</v>
      </c>
      <c r="M215" s="75"/>
      <c r="N215" s="75" t="s">
        <v>1541</v>
      </c>
      <c r="O215" s="75"/>
      <c r="P215" s="75"/>
      <c r="Q215" s="75" t="s">
        <v>1416</v>
      </c>
      <c r="R215" s="75"/>
      <c r="S215" s="75"/>
      <c r="T215" s="75"/>
      <c r="U215" s="75"/>
      <c r="V215" s="75"/>
    </row>
    <row r="216" spans="1:22">
      <c r="A216" s="75" t="s">
        <v>1019</v>
      </c>
      <c r="B216" s="75">
        <v>23474020</v>
      </c>
      <c r="C216" s="75">
        <v>1</v>
      </c>
      <c r="D216" s="76"/>
      <c r="E216" s="77"/>
      <c r="F216" s="75">
        <v>1</v>
      </c>
      <c r="G216" s="75"/>
      <c r="H216" s="78">
        <v>1</v>
      </c>
      <c r="I216" s="106">
        <v>2</v>
      </c>
      <c r="J216" s="75" t="s">
        <v>1419</v>
      </c>
      <c r="K216" s="75" t="s">
        <v>1216</v>
      </c>
      <c r="L216" s="75" t="s">
        <v>1127</v>
      </c>
      <c r="M216" s="75"/>
      <c r="N216" s="75" t="s">
        <v>1487</v>
      </c>
      <c r="O216" s="75"/>
      <c r="P216" s="75"/>
      <c r="Q216" s="75" t="s">
        <v>1418</v>
      </c>
      <c r="R216" s="75"/>
      <c r="S216" s="75"/>
      <c r="T216" s="75"/>
      <c r="U216" s="75" t="s">
        <v>1666</v>
      </c>
      <c r="V216" s="75" t="s">
        <v>1665</v>
      </c>
    </row>
    <row r="217" spans="1:22">
      <c r="A217" s="75" t="s">
        <v>1017</v>
      </c>
      <c r="B217" s="75">
        <v>20844476</v>
      </c>
      <c r="C217" s="75">
        <v>1</v>
      </c>
      <c r="D217" s="76">
        <v>1</v>
      </c>
      <c r="E217" s="77"/>
      <c r="F217" s="75">
        <v>1</v>
      </c>
      <c r="G217" s="75"/>
      <c r="H217" s="78">
        <v>1</v>
      </c>
      <c r="I217" s="106">
        <v>2</v>
      </c>
      <c r="J217" s="75" t="s">
        <v>1220</v>
      </c>
      <c r="K217" s="75" t="s">
        <v>1422</v>
      </c>
      <c r="L217" s="75" t="s">
        <v>1127</v>
      </c>
      <c r="M217" s="75"/>
      <c r="N217" s="75" t="s">
        <v>1488</v>
      </c>
      <c r="O217" s="75"/>
      <c r="P217" s="75"/>
      <c r="Q217" s="75" t="s">
        <v>1501</v>
      </c>
      <c r="R217" s="75"/>
      <c r="S217" s="75" t="s">
        <v>1123</v>
      </c>
      <c r="T217" s="75"/>
      <c r="U217" s="75" t="s">
        <v>1423</v>
      </c>
      <c r="V217" s="75"/>
    </row>
    <row r="218" spans="1:22">
      <c r="A218" s="75" t="s">
        <v>1015</v>
      </c>
      <c r="B218" s="75">
        <v>25430781</v>
      </c>
      <c r="C218" s="75">
        <v>1</v>
      </c>
      <c r="D218" s="76">
        <v>1</v>
      </c>
      <c r="E218" s="77"/>
      <c r="F218" s="75">
        <v>1</v>
      </c>
      <c r="G218" s="75"/>
      <c r="H218" s="78">
        <v>1</v>
      </c>
      <c r="I218" s="106">
        <v>2</v>
      </c>
      <c r="J218" s="75" t="s">
        <v>1426</v>
      </c>
      <c r="K218" s="75" t="s">
        <v>1216</v>
      </c>
      <c r="L218" s="75" t="s">
        <v>1127</v>
      </c>
      <c r="M218" s="75"/>
      <c r="N218" s="75" t="s">
        <v>1488</v>
      </c>
      <c r="O218" s="75" t="s">
        <v>803</v>
      </c>
      <c r="P218" s="75" t="s">
        <v>23</v>
      </c>
      <c r="Q218" s="75" t="s">
        <v>1427</v>
      </c>
      <c r="R218" s="75" t="s">
        <v>1428</v>
      </c>
      <c r="S218" s="75"/>
      <c r="T218" s="75"/>
      <c r="U218" s="75" t="s">
        <v>1425</v>
      </c>
      <c r="V218" s="75"/>
    </row>
    <row r="219" spans="1:22">
      <c r="A219" s="75" t="s">
        <v>1013</v>
      </c>
      <c r="B219" s="75">
        <v>24583372</v>
      </c>
      <c r="C219" s="75">
        <v>1</v>
      </c>
      <c r="D219" s="76"/>
      <c r="E219" s="77"/>
      <c r="F219" s="75">
        <v>1</v>
      </c>
      <c r="G219" s="75"/>
      <c r="H219" s="75">
        <v>1</v>
      </c>
      <c r="I219" s="106">
        <v>2</v>
      </c>
      <c r="J219" s="75" t="s">
        <v>1327</v>
      </c>
      <c r="K219" s="75" t="s">
        <v>1216</v>
      </c>
      <c r="L219" s="75" t="s">
        <v>1433</v>
      </c>
      <c r="M219" s="75"/>
      <c r="N219" s="75" t="s">
        <v>1431</v>
      </c>
      <c r="O219" s="75" t="s">
        <v>803</v>
      </c>
      <c r="P219" s="75"/>
      <c r="Q219" s="75" t="s">
        <v>1432</v>
      </c>
      <c r="R219" s="75" t="s">
        <v>1434</v>
      </c>
      <c r="S219" s="75"/>
      <c r="T219" s="75"/>
      <c r="U219" s="75"/>
      <c r="V219" s="75"/>
    </row>
    <row r="220" spans="1:22">
      <c r="A220" s="75" t="s">
        <v>1011</v>
      </c>
      <c r="B220" s="75">
        <v>20599458</v>
      </c>
      <c r="C220" s="75">
        <v>1</v>
      </c>
      <c r="D220" s="76">
        <v>1</v>
      </c>
      <c r="E220" s="77"/>
      <c r="F220" s="75">
        <v>1</v>
      </c>
      <c r="G220" s="75"/>
      <c r="H220" s="78">
        <v>1</v>
      </c>
      <c r="I220" s="106">
        <v>2</v>
      </c>
      <c r="J220" s="75" t="s">
        <v>1220</v>
      </c>
      <c r="K220" s="75" t="s">
        <v>1212</v>
      </c>
      <c r="L220" s="75" t="s">
        <v>1127</v>
      </c>
      <c r="M220" s="75"/>
      <c r="N220" s="75" t="s">
        <v>1501</v>
      </c>
      <c r="O220" s="75"/>
      <c r="P220" s="75"/>
      <c r="Q220" s="75" t="s">
        <v>1438</v>
      </c>
      <c r="R220" s="75"/>
      <c r="S220" s="75"/>
      <c r="T220" s="75"/>
      <c r="U220" s="75" t="s">
        <v>1439</v>
      </c>
      <c r="V220" s="75"/>
    </row>
    <row r="221" spans="1:22">
      <c r="A221" s="75" t="s">
        <v>1010</v>
      </c>
      <c r="B221" s="75">
        <v>25002839</v>
      </c>
      <c r="C221" s="75">
        <v>1</v>
      </c>
      <c r="D221" s="76"/>
      <c r="E221" s="77"/>
      <c r="F221" s="75">
        <v>1</v>
      </c>
      <c r="G221" s="75"/>
      <c r="H221" s="78">
        <v>1</v>
      </c>
      <c r="I221" s="106">
        <v>2</v>
      </c>
      <c r="J221" s="75" t="s">
        <v>1587</v>
      </c>
      <c r="K221" s="75" t="s">
        <v>1216</v>
      </c>
      <c r="L221" s="75" t="s">
        <v>672</v>
      </c>
      <c r="M221" s="75"/>
      <c r="N221" s="75" t="s">
        <v>1504</v>
      </c>
      <c r="O221" s="75"/>
      <c r="P221" s="79"/>
      <c r="Q221" s="75" t="s">
        <v>674</v>
      </c>
      <c r="R221" s="75"/>
      <c r="S221" s="75" t="s">
        <v>1410</v>
      </c>
      <c r="T221" s="75"/>
      <c r="U221" s="75"/>
      <c r="V221" s="75" t="s">
        <v>1410</v>
      </c>
    </row>
    <row r="222" spans="1:22">
      <c r="A222" s="75" t="s">
        <v>1007</v>
      </c>
      <c r="B222" s="75">
        <v>8731522</v>
      </c>
      <c r="C222" s="75">
        <v>1</v>
      </c>
      <c r="D222" s="76">
        <v>1</v>
      </c>
      <c r="E222" s="77"/>
      <c r="F222" s="75">
        <v>1</v>
      </c>
      <c r="G222" s="75"/>
      <c r="H222" s="75">
        <v>1</v>
      </c>
      <c r="I222" s="106">
        <v>2</v>
      </c>
      <c r="J222" s="75"/>
      <c r="K222" s="75"/>
      <c r="L222" s="75" t="s">
        <v>1234</v>
      </c>
      <c r="M222" s="75"/>
      <c r="N222" s="75" t="s">
        <v>1446</v>
      </c>
      <c r="O222" s="75" t="s">
        <v>803</v>
      </c>
      <c r="P222" s="75"/>
      <c r="Q222" s="75" t="s">
        <v>1447</v>
      </c>
      <c r="R222" s="75"/>
      <c r="S222" s="75"/>
      <c r="T222" s="75"/>
      <c r="U222" s="75"/>
      <c r="V222" s="75" t="s">
        <v>1448</v>
      </c>
    </row>
    <row r="223" spans="1:22">
      <c r="A223" s="75" t="s">
        <v>1005</v>
      </c>
      <c r="B223" s="75">
        <v>24925360</v>
      </c>
      <c r="C223" s="75">
        <v>1</v>
      </c>
      <c r="D223" s="76">
        <v>1</v>
      </c>
      <c r="E223" s="77"/>
      <c r="F223" s="75">
        <v>1</v>
      </c>
      <c r="G223" s="75"/>
      <c r="H223" s="78">
        <v>1</v>
      </c>
      <c r="I223" s="106">
        <v>2</v>
      </c>
      <c r="J223" s="75" t="s">
        <v>1455</v>
      </c>
      <c r="K223" s="75" t="s">
        <v>1216</v>
      </c>
      <c r="L223" s="75" t="s">
        <v>1127</v>
      </c>
      <c r="M223" s="75"/>
      <c r="N223" s="75" t="s">
        <v>1488</v>
      </c>
      <c r="O223" s="75" t="s">
        <v>803</v>
      </c>
      <c r="P223" s="75" t="s">
        <v>23</v>
      </c>
      <c r="Q223" s="75" t="s">
        <v>1454</v>
      </c>
      <c r="R223" s="75" t="s">
        <v>1456</v>
      </c>
      <c r="S223" s="75" t="s">
        <v>24</v>
      </c>
      <c r="T223" s="75"/>
      <c r="U223" s="75"/>
      <c r="V223" s="75" t="s">
        <v>1457</v>
      </c>
    </row>
    <row r="224" spans="1:22">
      <c r="A224" s="75" t="s">
        <v>1004</v>
      </c>
      <c r="B224" s="75">
        <v>24657739</v>
      </c>
      <c r="C224" s="75">
        <v>1</v>
      </c>
      <c r="D224" s="76"/>
      <c r="E224" s="77"/>
      <c r="F224" s="75">
        <v>1</v>
      </c>
      <c r="G224" s="75"/>
      <c r="H224" s="75">
        <v>1</v>
      </c>
      <c r="I224" s="106">
        <v>2</v>
      </c>
      <c r="J224" s="75" t="s">
        <v>1460</v>
      </c>
      <c r="K224" s="75" t="s">
        <v>1216</v>
      </c>
      <c r="L224" s="75" t="s">
        <v>1229</v>
      </c>
      <c r="M224" s="75"/>
      <c r="N224" s="75" t="s">
        <v>1487</v>
      </c>
      <c r="O224" s="75" t="s">
        <v>803</v>
      </c>
      <c r="P224" s="75"/>
      <c r="Q224" s="75" t="s">
        <v>1458</v>
      </c>
      <c r="R224" s="75"/>
      <c r="S224" s="75" t="s">
        <v>1459</v>
      </c>
      <c r="T224" s="75"/>
      <c r="U224" s="75" t="s">
        <v>1461</v>
      </c>
      <c r="V224" s="75"/>
    </row>
    <row r="225" spans="1:22">
      <c r="A225" s="75" t="s">
        <v>1003</v>
      </c>
      <c r="B225" s="75">
        <v>24887568</v>
      </c>
      <c r="C225" s="75">
        <v>1</v>
      </c>
      <c r="D225" s="76"/>
      <c r="E225" s="77"/>
      <c r="F225" s="75">
        <v>1</v>
      </c>
      <c r="G225" s="75"/>
      <c r="H225" s="75">
        <v>1</v>
      </c>
      <c r="I225" s="106">
        <v>2</v>
      </c>
      <c r="J225" s="75" t="s">
        <v>1464</v>
      </c>
      <c r="K225" s="75" t="s">
        <v>1216</v>
      </c>
      <c r="L225" s="75" t="s">
        <v>1127</v>
      </c>
      <c r="M225" s="75"/>
      <c r="N225" s="75" t="s">
        <v>1462</v>
      </c>
      <c r="O225" s="75" t="s">
        <v>803</v>
      </c>
      <c r="P225" s="75" t="s">
        <v>23</v>
      </c>
      <c r="Q225" s="75" t="s">
        <v>1465</v>
      </c>
      <c r="R225" s="75"/>
      <c r="S225" s="75" t="s">
        <v>1463</v>
      </c>
      <c r="T225" s="75"/>
      <c r="U225" s="75"/>
      <c r="V225" s="75"/>
    </row>
    <row r="226" spans="1:22">
      <c r="A226" s="75" t="s">
        <v>1001</v>
      </c>
      <c r="B226" s="75">
        <v>21377492</v>
      </c>
      <c r="C226" s="75">
        <v>1</v>
      </c>
      <c r="D226" s="76">
        <v>1</v>
      </c>
      <c r="E226" s="77"/>
      <c r="F226" s="75">
        <v>1</v>
      </c>
      <c r="G226" s="75"/>
      <c r="H226" s="75">
        <v>1</v>
      </c>
      <c r="I226" s="106">
        <v>2</v>
      </c>
      <c r="J226" s="75" t="s">
        <v>1303</v>
      </c>
      <c r="K226" s="75" t="s">
        <v>1212</v>
      </c>
      <c r="L226" s="75" t="s">
        <v>1468</v>
      </c>
      <c r="M226" s="75"/>
      <c r="N226" s="75" t="s">
        <v>1498</v>
      </c>
      <c r="O226" s="75" t="s">
        <v>803</v>
      </c>
      <c r="P226" s="75"/>
      <c r="Q226" s="75" t="s">
        <v>1469</v>
      </c>
      <c r="R226" s="75" t="s">
        <v>436</v>
      </c>
      <c r="S226" s="75"/>
      <c r="T226" s="75"/>
      <c r="U226" s="75"/>
      <c r="V226" s="75"/>
    </row>
    <row r="227" spans="1:22">
      <c r="A227" s="75" t="s">
        <v>1000</v>
      </c>
      <c r="B227" s="75">
        <v>22659580</v>
      </c>
      <c r="C227" s="75">
        <v>1</v>
      </c>
      <c r="D227" s="76"/>
      <c r="E227" s="77"/>
      <c r="F227" s="75">
        <v>1</v>
      </c>
      <c r="G227" s="75"/>
      <c r="H227" s="75">
        <v>1</v>
      </c>
      <c r="I227" s="106">
        <v>2</v>
      </c>
      <c r="J227" s="75" t="s">
        <v>1470</v>
      </c>
      <c r="K227" s="75" t="s">
        <v>1147</v>
      </c>
      <c r="L227" s="75" t="s">
        <v>1138</v>
      </c>
      <c r="M227" s="75"/>
      <c r="N227" s="75" t="s">
        <v>1498</v>
      </c>
      <c r="O227" s="75" t="s">
        <v>803</v>
      </c>
      <c r="P227" s="75"/>
      <c r="Q227" s="75" t="s">
        <v>1511</v>
      </c>
      <c r="R227" s="75"/>
      <c r="S227" s="75" t="s">
        <v>1374</v>
      </c>
      <c r="T227" s="75"/>
      <c r="U227" s="75" t="s">
        <v>1471</v>
      </c>
      <c r="V227" s="75"/>
    </row>
    <row r="228" spans="1:22">
      <c r="A228" s="75" t="s">
        <v>999</v>
      </c>
      <c r="B228" s="75">
        <v>26066724</v>
      </c>
      <c r="C228" s="75">
        <v>1</v>
      </c>
      <c r="D228" s="76"/>
      <c r="E228" s="77"/>
      <c r="F228" s="75">
        <v>1</v>
      </c>
      <c r="G228" s="75"/>
      <c r="H228" s="75">
        <v>1</v>
      </c>
      <c r="I228" s="106">
        <v>2</v>
      </c>
      <c r="J228" s="75" t="s">
        <v>73</v>
      </c>
      <c r="K228" s="75" t="s">
        <v>1216</v>
      </c>
      <c r="L228" s="75" t="s">
        <v>1138</v>
      </c>
      <c r="M228" s="75"/>
      <c r="N228" s="75" t="s">
        <v>1495</v>
      </c>
      <c r="O228" s="75" t="s">
        <v>803</v>
      </c>
      <c r="P228" s="75"/>
      <c r="Q228" s="75" t="s">
        <v>1511</v>
      </c>
      <c r="R228" s="75"/>
      <c r="S228" s="75"/>
      <c r="T228" s="75"/>
      <c r="U228" s="75"/>
      <c r="V228" s="75"/>
    </row>
    <row r="229" spans="1:22">
      <c r="A229" s="75" t="s">
        <v>998</v>
      </c>
      <c r="B229" s="75">
        <v>27616342</v>
      </c>
      <c r="C229" s="75">
        <v>1</v>
      </c>
      <c r="D229" s="76"/>
      <c r="E229" s="77"/>
      <c r="F229" s="75">
        <v>1</v>
      </c>
      <c r="G229" s="75"/>
      <c r="H229" s="75">
        <v>1</v>
      </c>
      <c r="I229" s="106">
        <v>2</v>
      </c>
      <c r="J229" s="75" t="s">
        <v>1472</v>
      </c>
      <c r="K229" s="75" t="s">
        <v>1166</v>
      </c>
      <c r="L229" s="75" t="s">
        <v>1127</v>
      </c>
      <c r="M229" s="75"/>
      <c r="N229" s="75" t="s">
        <v>1487</v>
      </c>
      <c r="O229" s="75" t="s">
        <v>23</v>
      </c>
      <c r="P229" s="75"/>
      <c r="Q229" s="75" t="s">
        <v>1473</v>
      </c>
      <c r="R229" s="75" t="s">
        <v>1474</v>
      </c>
      <c r="S229" s="75"/>
      <c r="T229" s="75"/>
      <c r="U229" s="75"/>
      <c r="V229" s="75"/>
    </row>
    <row r="230" spans="1:22">
      <c r="A230" s="75" t="s">
        <v>997</v>
      </c>
      <c r="B230" s="75">
        <v>18391192</v>
      </c>
      <c r="C230" s="75">
        <v>1</v>
      </c>
      <c r="D230" s="76">
        <v>1</v>
      </c>
      <c r="E230" s="77"/>
      <c r="F230" s="75">
        <v>1</v>
      </c>
      <c r="G230" s="75"/>
      <c r="H230" s="78">
        <v>1</v>
      </c>
      <c r="I230" s="106">
        <v>2</v>
      </c>
      <c r="J230" s="75" t="s">
        <v>1475</v>
      </c>
      <c r="K230" s="75" t="s">
        <v>1216</v>
      </c>
      <c r="L230" s="75" t="s">
        <v>1138</v>
      </c>
      <c r="M230" s="75"/>
      <c r="N230" s="75" t="s">
        <v>1489</v>
      </c>
      <c r="O230" s="75"/>
      <c r="P230" s="75"/>
      <c r="Q230" s="75" t="s">
        <v>1501</v>
      </c>
      <c r="R230" s="75"/>
      <c r="S230" s="75"/>
      <c r="T230" s="75"/>
      <c r="U230" s="75"/>
      <c r="V230" s="75"/>
    </row>
    <row r="231" spans="1:22">
      <c r="A231" s="75" t="s">
        <v>996</v>
      </c>
      <c r="B231" s="75">
        <v>19167702</v>
      </c>
      <c r="C231" s="75">
        <v>1</v>
      </c>
      <c r="D231" s="76" t="s">
        <v>1848</v>
      </c>
      <c r="E231" s="77"/>
      <c r="F231" s="75">
        <v>1</v>
      </c>
      <c r="G231" s="75"/>
      <c r="H231" s="78">
        <v>1</v>
      </c>
      <c r="I231" s="106">
        <v>2</v>
      </c>
      <c r="J231" s="75" t="s">
        <v>22</v>
      </c>
      <c r="K231" s="75" t="s">
        <v>1142</v>
      </c>
      <c r="L231" s="75" t="s">
        <v>1127</v>
      </c>
      <c r="M231" s="75"/>
      <c r="N231" s="75" t="s">
        <v>1488</v>
      </c>
      <c r="O231" s="75"/>
      <c r="P231" s="75"/>
      <c r="Q231" s="75"/>
      <c r="R231" s="75"/>
      <c r="S231" s="75"/>
      <c r="T231" s="75"/>
      <c r="U231" s="75"/>
      <c r="V231" s="75" t="s">
        <v>424</v>
      </c>
    </row>
    <row r="232" spans="1:22">
      <c r="A232" s="75" t="s">
        <v>995</v>
      </c>
      <c r="B232" s="75">
        <v>25309317</v>
      </c>
      <c r="C232" s="75">
        <v>1</v>
      </c>
      <c r="D232" s="76"/>
      <c r="E232" s="77"/>
      <c r="F232" s="75">
        <v>1</v>
      </c>
      <c r="G232" s="75"/>
      <c r="H232" s="75">
        <v>1</v>
      </c>
      <c r="I232" s="106">
        <v>2</v>
      </c>
      <c r="J232" s="75" t="s">
        <v>1478</v>
      </c>
      <c r="K232" s="75" t="s">
        <v>1216</v>
      </c>
      <c r="L232" s="75" t="s">
        <v>1138</v>
      </c>
      <c r="M232" s="75"/>
      <c r="N232" s="75" t="s">
        <v>1489</v>
      </c>
      <c r="O232" s="75"/>
      <c r="P232" s="75"/>
      <c r="Q232" s="75" t="s">
        <v>1477</v>
      </c>
      <c r="R232" s="75" t="s">
        <v>1476</v>
      </c>
      <c r="S232" s="75"/>
      <c r="T232" s="75"/>
      <c r="U232" s="75"/>
      <c r="V232" s="75"/>
    </row>
    <row r="233" spans="1:22">
      <c r="A233" s="75" t="s">
        <v>994</v>
      </c>
      <c r="B233" s="75">
        <v>20838777</v>
      </c>
      <c r="C233" s="75">
        <v>1</v>
      </c>
      <c r="D233" s="76">
        <v>1</v>
      </c>
      <c r="E233" s="77"/>
      <c r="F233" s="75">
        <v>1</v>
      </c>
      <c r="G233" s="75"/>
      <c r="H233" s="75">
        <v>1</v>
      </c>
      <c r="I233" s="106">
        <v>2</v>
      </c>
      <c r="J233" s="75" t="s">
        <v>1481</v>
      </c>
      <c r="K233" s="75" t="s">
        <v>1482</v>
      </c>
      <c r="L233" s="75" t="s">
        <v>1479</v>
      </c>
      <c r="M233" s="75"/>
      <c r="N233" s="75" t="s">
        <v>1488</v>
      </c>
      <c r="O233" s="75" t="s">
        <v>1539</v>
      </c>
      <c r="P233" s="75"/>
      <c r="Q233" s="75" t="s">
        <v>1239</v>
      </c>
      <c r="R233" s="75"/>
      <c r="S233" s="75" t="s">
        <v>1123</v>
      </c>
      <c r="T233" s="75"/>
      <c r="U233" s="75" t="s">
        <v>1480</v>
      </c>
      <c r="V233" s="75"/>
    </row>
    <row r="234" spans="1:22">
      <c r="A234" s="75" t="s">
        <v>992</v>
      </c>
      <c r="B234" s="75">
        <v>26160034</v>
      </c>
      <c r="C234" s="75">
        <v>1</v>
      </c>
      <c r="D234" s="76">
        <v>1</v>
      </c>
      <c r="E234" s="77"/>
      <c r="F234" s="75">
        <v>1</v>
      </c>
      <c r="G234" s="75"/>
      <c r="H234" s="75">
        <v>1</v>
      </c>
      <c r="I234" s="106">
        <v>2</v>
      </c>
      <c r="J234" s="75" t="s">
        <v>1220</v>
      </c>
      <c r="K234" s="75"/>
      <c r="L234" s="75" t="s">
        <v>1127</v>
      </c>
      <c r="M234" s="75"/>
      <c r="N234" s="75" t="s">
        <v>1487</v>
      </c>
      <c r="O234" s="75"/>
      <c r="P234" s="75"/>
      <c r="Q234" s="75" t="s">
        <v>1508</v>
      </c>
      <c r="R234" s="75" t="s">
        <v>1519</v>
      </c>
      <c r="S234" s="75"/>
      <c r="T234" s="75"/>
      <c r="U234" s="75"/>
      <c r="V234" s="75"/>
    </row>
    <row r="235" spans="1:22">
      <c r="A235" s="75" t="s">
        <v>991</v>
      </c>
      <c r="B235" s="75">
        <v>23624119</v>
      </c>
      <c r="C235" s="75">
        <v>1</v>
      </c>
      <c r="D235" s="76">
        <v>1</v>
      </c>
      <c r="E235" s="77"/>
      <c r="F235" s="75">
        <v>1</v>
      </c>
      <c r="G235" s="75"/>
      <c r="H235" s="75">
        <v>1</v>
      </c>
      <c r="I235" s="106">
        <v>2</v>
      </c>
      <c r="J235" s="75" t="s">
        <v>24</v>
      </c>
      <c r="K235" s="75"/>
      <c r="L235" s="75" t="s">
        <v>1138</v>
      </c>
      <c r="M235" s="75"/>
      <c r="N235" s="75" t="s">
        <v>1498</v>
      </c>
      <c r="O235" s="75"/>
      <c r="P235" s="75"/>
      <c r="Q235" s="75" t="s">
        <v>1521</v>
      </c>
      <c r="R235" s="75"/>
      <c r="S235" s="75" t="s">
        <v>1132</v>
      </c>
      <c r="T235" s="75"/>
      <c r="U235" s="75"/>
      <c r="V235" s="75" t="s">
        <v>1279</v>
      </c>
    </row>
    <row r="236" spans="1:22">
      <c r="A236" s="75" t="s">
        <v>989</v>
      </c>
      <c r="B236" s="75">
        <v>25575638</v>
      </c>
      <c r="C236" s="80">
        <v>1</v>
      </c>
      <c r="D236" s="76" t="s">
        <v>1823</v>
      </c>
      <c r="E236" s="77"/>
      <c r="F236" s="75">
        <v>0</v>
      </c>
      <c r="G236" s="75"/>
      <c r="H236" s="78">
        <v>0</v>
      </c>
      <c r="I236" s="106">
        <v>2</v>
      </c>
      <c r="J236" s="75" t="s">
        <v>24</v>
      </c>
      <c r="K236" s="75"/>
      <c r="L236" s="75" t="s">
        <v>1523</v>
      </c>
      <c r="M236" s="75"/>
      <c r="N236" s="75" t="s">
        <v>1488</v>
      </c>
      <c r="O236" s="75" t="s">
        <v>803</v>
      </c>
      <c r="P236" s="75" t="s">
        <v>23</v>
      </c>
      <c r="Q236" s="75" t="s">
        <v>1524</v>
      </c>
      <c r="R236" s="75"/>
      <c r="S236" s="75"/>
      <c r="T236" s="75"/>
      <c r="U236" s="75"/>
      <c r="V236" s="75" t="s">
        <v>1279</v>
      </c>
    </row>
    <row r="237" spans="1:22">
      <c r="A237" s="75" t="s">
        <v>988</v>
      </c>
      <c r="B237" s="75">
        <v>9676829</v>
      </c>
      <c r="C237" s="75">
        <v>1</v>
      </c>
      <c r="D237" s="76">
        <v>1</v>
      </c>
      <c r="E237" s="77"/>
      <c r="F237" s="75">
        <v>1</v>
      </c>
      <c r="G237" s="75"/>
      <c r="H237" s="75">
        <v>1</v>
      </c>
      <c r="I237" s="106">
        <v>2</v>
      </c>
      <c r="J237" s="75" t="s">
        <v>1220</v>
      </c>
      <c r="K237" s="75" t="s">
        <v>1216</v>
      </c>
      <c r="L237" s="75" t="s">
        <v>1127</v>
      </c>
      <c r="M237" s="75"/>
      <c r="N237" s="75" t="s">
        <v>1525</v>
      </c>
      <c r="O237" s="75" t="s">
        <v>803</v>
      </c>
      <c r="P237" s="75"/>
      <c r="Q237" s="75" t="s">
        <v>1526</v>
      </c>
      <c r="R237" s="75"/>
      <c r="S237" s="75"/>
      <c r="T237" s="75"/>
      <c r="U237" s="75"/>
      <c r="V237" s="75"/>
    </row>
    <row r="238" spans="1:22">
      <c r="A238" s="75" t="s">
        <v>986</v>
      </c>
      <c r="B238" s="75">
        <v>22842072</v>
      </c>
      <c r="C238" s="75">
        <v>1</v>
      </c>
      <c r="D238" s="76">
        <v>1</v>
      </c>
      <c r="E238" s="77"/>
      <c r="F238" s="75">
        <v>1</v>
      </c>
      <c r="G238" s="75"/>
      <c r="H238" s="75">
        <v>1</v>
      </c>
      <c r="I238" s="106">
        <v>2</v>
      </c>
      <c r="J238" s="75" t="s">
        <v>1529</v>
      </c>
      <c r="K238" s="75" t="s">
        <v>1417</v>
      </c>
      <c r="L238" s="75" t="s">
        <v>1130</v>
      </c>
      <c r="M238" s="75"/>
      <c r="N238" s="75" t="s">
        <v>1530</v>
      </c>
      <c r="O238" s="75" t="s">
        <v>803</v>
      </c>
      <c r="P238" s="75"/>
      <c r="Q238" s="75" t="s">
        <v>1531</v>
      </c>
      <c r="R238" s="75"/>
      <c r="S238" s="75" t="s">
        <v>1532</v>
      </c>
      <c r="T238" s="75"/>
      <c r="U238" s="75"/>
      <c r="V238" s="75"/>
    </row>
    <row r="239" spans="1:22">
      <c r="A239" s="75" t="s">
        <v>983</v>
      </c>
      <c r="B239" s="75">
        <v>25449394</v>
      </c>
      <c r="C239" s="75">
        <v>1</v>
      </c>
      <c r="D239" s="76">
        <v>1</v>
      </c>
      <c r="E239" s="77"/>
      <c r="F239" s="75">
        <v>1</v>
      </c>
      <c r="G239" s="75"/>
      <c r="H239" s="78">
        <v>1</v>
      </c>
      <c r="I239" s="106">
        <v>2</v>
      </c>
      <c r="J239" s="75" t="s">
        <v>1404</v>
      </c>
      <c r="K239" s="75" t="s">
        <v>1212</v>
      </c>
      <c r="L239" s="75" t="s">
        <v>1127</v>
      </c>
      <c r="M239" s="75"/>
      <c r="N239" s="75" t="s">
        <v>1488</v>
      </c>
      <c r="O239" s="75" t="s">
        <v>1539</v>
      </c>
      <c r="P239" s="75" t="s">
        <v>23</v>
      </c>
      <c r="Q239" s="75" t="s">
        <v>1547</v>
      </c>
      <c r="R239" s="75"/>
      <c r="S239" s="75"/>
      <c r="T239" s="75"/>
      <c r="U239" s="75"/>
      <c r="V239" s="75"/>
    </row>
    <row r="240" spans="1:22">
      <c r="A240" s="75" t="s">
        <v>982</v>
      </c>
      <c r="B240" s="75">
        <v>26225843</v>
      </c>
      <c r="C240" s="75">
        <v>1</v>
      </c>
      <c r="D240" s="76">
        <v>1</v>
      </c>
      <c r="E240" s="77"/>
      <c r="F240" s="75">
        <v>1</v>
      </c>
      <c r="G240" s="75"/>
      <c r="H240" s="75">
        <v>1</v>
      </c>
      <c r="I240" s="106">
        <v>2</v>
      </c>
      <c r="J240" s="75" t="s">
        <v>1206</v>
      </c>
      <c r="K240" s="75" t="s">
        <v>1552</v>
      </c>
      <c r="L240" s="75" t="s">
        <v>1127</v>
      </c>
      <c r="M240" s="75"/>
      <c r="N240" s="75" t="s">
        <v>1495</v>
      </c>
      <c r="O240" s="75" t="s">
        <v>803</v>
      </c>
      <c r="P240" s="75"/>
      <c r="Q240" s="75" t="s">
        <v>1550</v>
      </c>
      <c r="R240" s="75" t="s">
        <v>1551</v>
      </c>
      <c r="S240" s="75"/>
      <c r="T240" s="75"/>
      <c r="U240" s="75" t="s">
        <v>1549</v>
      </c>
      <c r="V240" s="75" t="s">
        <v>1548</v>
      </c>
    </row>
    <row r="241" spans="1:22">
      <c r="A241" s="75" t="s">
        <v>981</v>
      </c>
      <c r="B241" s="75">
        <v>15036608</v>
      </c>
      <c r="C241" s="75">
        <v>1</v>
      </c>
      <c r="D241" s="76">
        <v>1</v>
      </c>
      <c r="E241" s="77"/>
      <c r="F241" s="75">
        <v>1</v>
      </c>
      <c r="G241" s="75"/>
      <c r="H241" s="75">
        <v>1</v>
      </c>
      <c r="I241" s="106">
        <v>2</v>
      </c>
      <c r="J241" s="75" t="s">
        <v>1553</v>
      </c>
      <c r="K241" s="75" t="s">
        <v>1552</v>
      </c>
      <c r="L241" s="75" t="s">
        <v>1229</v>
      </c>
      <c r="M241" s="75"/>
      <c r="N241" s="75" t="s">
        <v>1498</v>
      </c>
      <c r="O241" s="75" t="s">
        <v>803</v>
      </c>
      <c r="P241" s="75"/>
      <c r="Q241" s="75" t="s">
        <v>1682</v>
      </c>
      <c r="R241" s="75"/>
      <c r="S241" s="75"/>
      <c r="T241" s="75"/>
      <c r="U241" s="75"/>
      <c r="V241" s="75"/>
    </row>
    <row r="242" spans="1:22">
      <c r="A242" s="75" t="s">
        <v>974</v>
      </c>
      <c r="B242" s="75">
        <v>17027033</v>
      </c>
      <c r="C242" s="75">
        <v>1</v>
      </c>
      <c r="D242" s="76">
        <v>1</v>
      </c>
      <c r="E242" s="77"/>
      <c r="F242" s="75">
        <v>1</v>
      </c>
      <c r="G242" s="75"/>
      <c r="H242" s="75">
        <v>1</v>
      </c>
      <c r="I242" s="106">
        <v>2</v>
      </c>
      <c r="J242" s="75" t="s">
        <v>1569</v>
      </c>
      <c r="K242" s="75" t="s">
        <v>1216</v>
      </c>
      <c r="L242" s="75" t="s">
        <v>1568</v>
      </c>
      <c r="M242" s="75"/>
      <c r="N242" s="75" t="s">
        <v>1541</v>
      </c>
      <c r="O242" s="75"/>
      <c r="P242" s="75"/>
      <c r="Q242" s="75" t="s">
        <v>1570</v>
      </c>
      <c r="R242" s="75"/>
      <c r="S242" s="75" t="s">
        <v>1132</v>
      </c>
      <c r="T242" s="75"/>
      <c r="U242" s="75"/>
      <c r="V242" s="75"/>
    </row>
    <row r="243" spans="1:22">
      <c r="A243" s="75" t="s">
        <v>971</v>
      </c>
      <c r="B243" s="75">
        <v>25533441</v>
      </c>
      <c r="C243" s="75">
        <v>1</v>
      </c>
      <c r="D243" s="76"/>
      <c r="E243" s="77"/>
      <c r="F243" s="75">
        <v>1</v>
      </c>
      <c r="G243" s="75"/>
      <c r="H243" s="75">
        <v>1</v>
      </c>
      <c r="I243" s="106">
        <v>2</v>
      </c>
      <c r="J243" s="75" t="s">
        <v>1464</v>
      </c>
      <c r="K243" s="75" t="s">
        <v>1216</v>
      </c>
      <c r="L243" s="75" t="s">
        <v>1130</v>
      </c>
      <c r="M243" s="75"/>
      <c r="N243" s="75" t="s">
        <v>1487</v>
      </c>
      <c r="O243" s="75" t="s">
        <v>803</v>
      </c>
      <c r="P243" s="75"/>
      <c r="Q243" s="75" t="s">
        <v>1580</v>
      </c>
      <c r="R243" s="75" t="s">
        <v>1579</v>
      </c>
      <c r="S243" s="75" t="s">
        <v>1209</v>
      </c>
      <c r="T243" s="75"/>
      <c r="U243" s="75" t="s">
        <v>1578</v>
      </c>
      <c r="V243" s="75"/>
    </row>
    <row r="244" spans="1:22">
      <c r="A244" s="75" t="s">
        <v>970</v>
      </c>
      <c r="B244" s="75">
        <v>27297027</v>
      </c>
      <c r="C244" s="75">
        <v>1</v>
      </c>
      <c r="D244" s="76">
        <v>1</v>
      </c>
      <c r="E244" s="77"/>
      <c r="F244" s="75">
        <v>1</v>
      </c>
      <c r="G244" s="75"/>
      <c r="H244" s="75">
        <v>1</v>
      </c>
      <c r="I244" s="106">
        <v>2</v>
      </c>
      <c r="J244" s="75" t="s">
        <v>1588</v>
      </c>
      <c r="K244" s="75" t="s">
        <v>1216</v>
      </c>
      <c r="L244" s="75" t="s">
        <v>1127</v>
      </c>
      <c r="M244" s="75"/>
      <c r="N244" s="75" t="s">
        <v>1498</v>
      </c>
      <c r="O244" s="75"/>
      <c r="P244" s="75"/>
      <c r="Q244" s="75" t="s">
        <v>1583</v>
      </c>
      <c r="R244" s="75" t="s">
        <v>1582</v>
      </c>
      <c r="S244" s="75"/>
      <c r="T244" s="75"/>
      <c r="U244" s="75" t="s">
        <v>1581</v>
      </c>
      <c r="V244" s="75"/>
    </row>
    <row r="245" spans="1:22">
      <c r="A245" s="75" t="s">
        <v>969</v>
      </c>
      <c r="B245" s="75">
        <v>24667363</v>
      </c>
      <c r="C245" s="75">
        <v>1</v>
      </c>
      <c r="D245" s="76">
        <v>1</v>
      </c>
      <c r="E245" s="77"/>
      <c r="F245" s="75">
        <v>1</v>
      </c>
      <c r="G245" s="75"/>
      <c r="H245" s="75">
        <v>1</v>
      </c>
      <c r="I245" s="106">
        <v>2</v>
      </c>
      <c r="J245" s="75" t="s">
        <v>1588</v>
      </c>
      <c r="K245" s="75" t="s">
        <v>1216</v>
      </c>
      <c r="L245" s="75" t="s">
        <v>1127</v>
      </c>
      <c r="M245" s="75"/>
      <c r="N245" s="75" t="s">
        <v>1501</v>
      </c>
      <c r="O245" s="75" t="s">
        <v>1539</v>
      </c>
      <c r="P245" s="75"/>
      <c r="Q245" s="75" t="s">
        <v>1589</v>
      </c>
      <c r="R245" s="75" t="s">
        <v>1213</v>
      </c>
      <c r="S245" s="75"/>
      <c r="T245" s="75"/>
      <c r="U245" s="75"/>
      <c r="V245" s="75"/>
    </row>
    <row r="246" spans="1:22">
      <c r="A246" s="75" t="s">
        <v>968</v>
      </c>
      <c r="B246" s="75">
        <v>17031709</v>
      </c>
      <c r="C246" s="75">
        <v>1</v>
      </c>
      <c r="D246" s="76">
        <v>1</v>
      </c>
      <c r="E246" s="77"/>
      <c r="F246" s="75">
        <v>1</v>
      </c>
      <c r="G246" s="75"/>
      <c r="H246" s="78">
        <v>1</v>
      </c>
      <c r="I246" s="106">
        <v>2</v>
      </c>
      <c r="J246" s="75" t="s">
        <v>1227</v>
      </c>
      <c r="K246" s="75" t="s">
        <v>1216</v>
      </c>
      <c r="L246" s="75" t="s">
        <v>1127</v>
      </c>
      <c r="M246" s="75"/>
      <c r="N246" s="75" t="s">
        <v>1487</v>
      </c>
      <c r="O246" s="75" t="s">
        <v>803</v>
      </c>
      <c r="P246" s="75"/>
      <c r="Q246" s="75" t="s">
        <v>1501</v>
      </c>
      <c r="R246" s="75"/>
      <c r="S246" s="75" t="s">
        <v>1132</v>
      </c>
      <c r="T246" s="75"/>
      <c r="U246" s="75" t="s">
        <v>1590</v>
      </c>
      <c r="V246" s="75"/>
    </row>
    <row r="247" spans="1:22">
      <c r="A247" s="75" t="s">
        <v>967</v>
      </c>
      <c r="B247" s="75">
        <v>25451096</v>
      </c>
      <c r="C247" s="75">
        <v>1</v>
      </c>
      <c r="D247" s="76" t="s">
        <v>1787</v>
      </c>
      <c r="E247" s="77" t="s">
        <v>1771</v>
      </c>
      <c r="F247" s="81">
        <v>0</v>
      </c>
      <c r="G247" s="75"/>
      <c r="H247" s="81">
        <v>1</v>
      </c>
      <c r="I247" s="106">
        <v>2</v>
      </c>
      <c r="J247" s="75" t="s">
        <v>1593</v>
      </c>
      <c r="K247" s="75" t="s">
        <v>1377</v>
      </c>
      <c r="L247" s="75" t="s">
        <v>1127</v>
      </c>
      <c r="M247" s="75"/>
      <c r="N247" s="75" t="s">
        <v>1594</v>
      </c>
      <c r="O247" s="75" t="s">
        <v>803</v>
      </c>
      <c r="P247" s="75"/>
      <c r="Q247" s="75" t="s">
        <v>1592</v>
      </c>
      <c r="R247" s="75" t="s">
        <v>1591</v>
      </c>
      <c r="S247" s="75"/>
      <c r="T247" s="75"/>
      <c r="U247" s="75" t="s">
        <v>1581</v>
      </c>
      <c r="V247" s="75"/>
    </row>
    <row r="248" spans="1:22">
      <c r="A248" s="75" t="s">
        <v>965</v>
      </c>
      <c r="B248" s="75">
        <v>24975424</v>
      </c>
      <c r="C248" s="75">
        <v>1</v>
      </c>
      <c r="D248" s="76" t="s">
        <v>1788</v>
      </c>
      <c r="E248" s="77" t="s">
        <v>23</v>
      </c>
      <c r="F248" s="75">
        <v>1</v>
      </c>
      <c r="G248" s="75"/>
      <c r="H248" s="75">
        <v>1</v>
      </c>
      <c r="I248" s="106">
        <v>2</v>
      </c>
      <c r="J248" s="75" t="s">
        <v>1398</v>
      </c>
      <c r="K248" s="75" t="s">
        <v>1216</v>
      </c>
      <c r="L248" s="75" t="s">
        <v>1127</v>
      </c>
      <c r="M248" s="75"/>
      <c r="N248" s="75" t="s">
        <v>1487</v>
      </c>
      <c r="O248" s="75" t="s">
        <v>803</v>
      </c>
      <c r="P248" s="75"/>
      <c r="Q248" s="75" t="s">
        <v>1599</v>
      </c>
      <c r="R248" s="75"/>
      <c r="S248" s="75" t="s">
        <v>1132</v>
      </c>
      <c r="T248" s="75"/>
      <c r="U248" s="75" t="s">
        <v>1598</v>
      </c>
      <c r="V248" s="75"/>
    </row>
    <row r="249" spans="1:22">
      <c r="A249" s="75" t="s">
        <v>964</v>
      </c>
      <c r="B249" s="75">
        <v>26538448</v>
      </c>
      <c r="C249" s="75">
        <v>1</v>
      </c>
      <c r="D249" s="76" t="s">
        <v>1788</v>
      </c>
      <c r="E249" s="77" t="s">
        <v>23</v>
      </c>
      <c r="F249" s="75">
        <v>1</v>
      </c>
      <c r="G249" s="75"/>
      <c r="H249" s="75">
        <v>1</v>
      </c>
      <c r="I249" s="106">
        <v>2</v>
      </c>
      <c r="J249" s="75" t="s">
        <v>1601</v>
      </c>
      <c r="K249" s="75"/>
      <c r="L249" s="75" t="s">
        <v>1600</v>
      </c>
      <c r="M249" s="75"/>
      <c r="N249" s="75" t="s">
        <v>1495</v>
      </c>
      <c r="O249" s="75" t="s">
        <v>1539</v>
      </c>
      <c r="P249" s="75"/>
      <c r="Q249" s="75" t="s">
        <v>1720</v>
      </c>
      <c r="R249" s="75"/>
      <c r="S249" s="75"/>
      <c r="T249" s="75"/>
      <c r="U249" s="75"/>
      <c r="V249" s="75"/>
    </row>
    <row r="250" spans="1:22">
      <c r="A250" s="75" t="s">
        <v>963</v>
      </c>
      <c r="B250" s="75">
        <v>22516520</v>
      </c>
      <c r="C250" s="75">
        <v>1</v>
      </c>
      <c r="D250" s="76" t="s">
        <v>1788</v>
      </c>
      <c r="E250" s="77" t="s">
        <v>23</v>
      </c>
      <c r="F250" s="75">
        <v>1</v>
      </c>
      <c r="G250" s="75"/>
      <c r="H250" s="75">
        <v>1</v>
      </c>
      <c r="I250" s="106">
        <v>2</v>
      </c>
      <c r="J250" s="75" t="s">
        <v>1220</v>
      </c>
      <c r="K250" s="75" t="s">
        <v>1162</v>
      </c>
      <c r="L250" s="75" t="s">
        <v>1229</v>
      </c>
      <c r="M250" s="75"/>
      <c r="N250" s="75" t="s">
        <v>1488</v>
      </c>
      <c r="O250" s="75" t="s">
        <v>803</v>
      </c>
      <c r="P250" s="75"/>
      <c r="Q250" s="75" t="s">
        <v>1501</v>
      </c>
      <c r="R250" s="75" t="s">
        <v>1602</v>
      </c>
      <c r="S250" s="75" t="s">
        <v>1132</v>
      </c>
      <c r="T250" s="75"/>
      <c r="U250" s="75"/>
      <c r="V250" s="75"/>
    </row>
    <row r="251" spans="1:22">
      <c r="A251" s="75" t="s">
        <v>962</v>
      </c>
      <c r="B251" s="75">
        <v>26019008</v>
      </c>
      <c r="C251" s="75">
        <v>1</v>
      </c>
      <c r="D251" s="76"/>
      <c r="E251" s="77"/>
      <c r="F251" s="75">
        <v>1</v>
      </c>
      <c r="G251" s="75"/>
      <c r="H251" s="81">
        <v>1</v>
      </c>
      <c r="I251" s="106">
        <v>2</v>
      </c>
      <c r="J251" s="75" t="s">
        <v>1604</v>
      </c>
      <c r="K251" s="75" t="s">
        <v>1216</v>
      </c>
      <c r="L251" s="75" t="s">
        <v>1603</v>
      </c>
      <c r="M251" s="75"/>
      <c r="N251" s="75" t="s">
        <v>1487</v>
      </c>
      <c r="O251" s="75" t="s">
        <v>803</v>
      </c>
      <c r="P251" s="75"/>
      <c r="Q251" s="75" t="s">
        <v>1605</v>
      </c>
      <c r="R251" s="75"/>
      <c r="S251" s="75"/>
      <c r="T251" s="75"/>
      <c r="U251" s="75"/>
      <c r="V251" s="75"/>
    </row>
    <row r="252" spans="1:22">
      <c r="A252" s="75" t="s">
        <v>961</v>
      </c>
      <c r="B252" s="75">
        <v>22776621</v>
      </c>
      <c r="C252" s="75">
        <v>1</v>
      </c>
      <c r="D252" s="76">
        <v>1</v>
      </c>
      <c r="E252" s="77"/>
      <c r="F252" s="75">
        <v>1</v>
      </c>
      <c r="G252" s="75"/>
      <c r="H252" s="75">
        <v>1</v>
      </c>
      <c r="I252" s="106">
        <v>2</v>
      </c>
      <c r="J252" s="75" t="s">
        <v>1607</v>
      </c>
      <c r="K252" s="75" t="s">
        <v>1216</v>
      </c>
      <c r="L252" s="75" t="s">
        <v>1130</v>
      </c>
      <c r="M252" s="75"/>
      <c r="N252" s="75" t="s">
        <v>1541</v>
      </c>
      <c r="O252" s="75" t="s">
        <v>1539</v>
      </c>
      <c r="P252" s="75"/>
      <c r="Q252" s="75" t="s">
        <v>1689</v>
      </c>
      <c r="R252" s="75"/>
      <c r="S252" s="75" t="s">
        <v>1606</v>
      </c>
      <c r="T252" s="75"/>
      <c r="U252" s="75"/>
      <c r="V252" s="75"/>
    </row>
    <row r="253" spans="1:22">
      <c r="A253" s="75" t="s">
        <v>960</v>
      </c>
      <c r="B253" s="75">
        <v>17254618</v>
      </c>
      <c r="C253" s="75">
        <v>1</v>
      </c>
      <c r="D253" s="76">
        <v>1</v>
      </c>
      <c r="E253" s="77"/>
      <c r="F253" s="75">
        <v>1</v>
      </c>
      <c r="G253" s="75"/>
      <c r="H253" s="75">
        <v>1</v>
      </c>
      <c r="I253" s="106">
        <v>2</v>
      </c>
      <c r="J253" s="75" t="s">
        <v>1609</v>
      </c>
      <c r="K253" s="75" t="s">
        <v>1216</v>
      </c>
      <c r="L253" s="75" t="s">
        <v>1608</v>
      </c>
      <c r="M253" s="75"/>
      <c r="N253" s="75" t="s">
        <v>1498</v>
      </c>
      <c r="O253" s="75" t="s">
        <v>803</v>
      </c>
      <c r="P253" s="75"/>
      <c r="Q253" s="75" t="s">
        <v>1682</v>
      </c>
      <c r="R253" s="75"/>
      <c r="S253" s="75"/>
      <c r="T253" s="75"/>
      <c r="U253" s="75"/>
      <c r="V253" s="75"/>
    </row>
    <row r="254" spans="1:22">
      <c r="A254" s="75" t="s">
        <v>958</v>
      </c>
      <c r="B254" s="75">
        <v>25659132</v>
      </c>
      <c r="C254" s="75">
        <v>1</v>
      </c>
      <c r="D254" s="76" t="s">
        <v>1865</v>
      </c>
      <c r="E254" s="77"/>
      <c r="F254" s="75">
        <v>0</v>
      </c>
      <c r="G254" s="75"/>
      <c r="H254" s="75">
        <v>0</v>
      </c>
      <c r="I254" s="106">
        <v>2</v>
      </c>
      <c r="J254" s="75" t="s">
        <v>1615</v>
      </c>
      <c r="K254" s="75"/>
      <c r="L254" s="75" t="s">
        <v>1130</v>
      </c>
      <c r="M254" s="75"/>
      <c r="N254" s="75" t="s">
        <v>1612</v>
      </c>
      <c r="O254" s="75" t="s">
        <v>803</v>
      </c>
      <c r="P254" s="75"/>
      <c r="Q254" s="75" t="s">
        <v>1613</v>
      </c>
      <c r="R254" s="75"/>
      <c r="S254" s="75" t="s">
        <v>1381</v>
      </c>
      <c r="T254" s="75"/>
      <c r="U254" s="75" t="s">
        <v>440</v>
      </c>
      <c r="V254" s="75" t="s">
        <v>424</v>
      </c>
    </row>
    <row r="255" spans="1:22">
      <c r="A255" s="75" t="s">
        <v>957</v>
      </c>
      <c r="B255" s="75">
        <v>11006431</v>
      </c>
      <c r="C255" s="75">
        <v>1</v>
      </c>
      <c r="D255" s="76"/>
      <c r="E255" s="77"/>
      <c r="F255" s="75">
        <v>1</v>
      </c>
      <c r="G255" s="75"/>
      <c r="H255" s="75">
        <v>1</v>
      </c>
      <c r="I255" s="106">
        <v>2</v>
      </c>
      <c r="J255" s="75" t="s">
        <v>1586</v>
      </c>
      <c r="K255" s="75" t="s">
        <v>1147</v>
      </c>
      <c r="L255" s="75"/>
      <c r="M255" s="75"/>
      <c r="N255" s="75" t="s">
        <v>1721</v>
      </c>
      <c r="O255" s="75"/>
      <c r="P255" s="75"/>
      <c r="Q255" s="75" t="s">
        <v>1617</v>
      </c>
      <c r="R255" s="75" t="s">
        <v>1616</v>
      </c>
      <c r="S255" s="75"/>
      <c r="T255" s="75"/>
      <c r="U255" s="75"/>
      <c r="V255" s="75"/>
    </row>
    <row r="256" spans="1:22">
      <c r="A256" s="75" t="s">
        <v>955</v>
      </c>
      <c r="B256" s="75">
        <v>18577419</v>
      </c>
      <c r="C256" s="75">
        <v>1</v>
      </c>
      <c r="D256" s="76"/>
      <c r="E256" s="77"/>
      <c r="F256" s="75">
        <v>1</v>
      </c>
      <c r="G256" s="75"/>
      <c r="H256" s="82">
        <v>1</v>
      </c>
      <c r="I256" s="106">
        <v>2</v>
      </c>
      <c r="J256" s="75" t="s">
        <v>22</v>
      </c>
      <c r="K256" s="75" t="s">
        <v>24</v>
      </c>
      <c r="L256" s="75" t="s">
        <v>1130</v>
      </c>
      <c r="M256" s="75"/>
      <c r="N256" s="75" t="s">
        <v>1619</v>
      </c>
      <c r="O256" s="75" t="s">
        <v>803</v>
      </c>
      <c r="P256" s="75"/>
      <c r="Q256" s="75" t="s">
        <v>1722</v>
      </c>
      <c r="R256" s="75"/>
      <c r="S256" s="75"/>
      <c r="T256" s="75"/>
      <c r="U256" s="75" t="s">
        <v>1620</v>
      </c>
      <c r="V256" s="75" t="s">
        <v>424</v>
      </c>
    </row>
    <row r="257" spans="1:22">
      <c r="A257" s="75" t="s">
        <v>954</v>
      </c>
      <c r="B257" s="75">
        <v>26277823</v>
      </c>
      <c r="C257" s="80">
        <v>1</v>
      </c>
      <c r="D257" s="76" t="s">
        <v>1863</v>
      </c>
      <c r="E257" s="77"/>
      <c r="F257" s="75">
        <v>0</v>
      </c>
      <c r="G257" s="75"/>
      <c r="H257" s="75">
        <v>0</v>
      </c>
      <c r="I257" s="106">
        <v>2</v>
      </c>
      <c r="J257" s="75" t="s">
        <v>1421</v>
      </c>
      <c r="K257" s="75"/>
      <c r="L257" s="75" t="s">
        <v>1621</v>
      </c>
      <c r="M257" s="75"/>
      <c r="N257" s="75" t="s">
        <v>1545</v>
      </c>
      <c r="O257" s="75" t="s">
        <v>803</v>
      </c>
      <c r="P257" s="75" t="s">
        <v>23</v>
      </c>
      <c r="Q257" s="75" t="s">
        <v>1670</v>
      </c>
      <c r="R257" s="75"/>
      <c r="S257" s="75" t="s">
        <v>1622</v>
      </c>
      <c r="T257" s="75"/>
      <c r="U257" s="75" t="s">
        <v>1623</v>
      </c>
      <c r="V257" s="75" t="s">
        <v>1279</v>
      </c>
    </row>
    <row r="258" spans="1:22">
      <c r="A258" s="75" t="s">
        <v>952</v>
      </c>
      <c r="B258" s="75">
        <v>24519098</v>
      </c>
      <c r="C258" s="75">
        <v>1</v>
      </c>
      <c r="D258" s="76">
        <v>1</v>
      </c>
      <c r="E258" s="77"/>
      <c r="F258" s="75">
        <v>1</v>
      </c>
      <c r="G258" s="75"/>
      <c r="H258" s="81">
        <v>1</v>
      </c>
      <c r="I258" s="106">
        <v>2</v>
      </c>
      <c r="J258" s="75" t="s">
        <v>1626</v>
      </c>
      <c r="K258" s="75" t="s">
        <v>1251</v>
      </c>
      <c r="L258" s="75" t="s">
        <v>1229</v>
      </c>
      <c r="M258" s="75"/>
      <c r="N258" s="75" t="s">
        <v>1498</v>
      </c>
      <c r="O258" s="75"/>
      <c r="P258" s="75"/>
      <c r="Q258" s="75" t="s">
        <v>1667</v>
      </c>
      <c r="R258" s="75" t="s">
        <v>436</v>
      </c>
      <c r="S258" s="75" t="s">
        <v>1625</v>
      </c>
      <c r="T258" s="75"/>
      <c r="U258" s="75"/>
      <c r="V258" s="75" t="s">
        <v>1279</v>
      </c>
    </row>
    <row r="259" spans="1:22">
      <c r="A259" s="75" t="s">
        <v>947</v>
      </c>
      <c r="B259" s="75">
        <v>17957211</v>
      </c>
      <c r="C259" s="75">
        <v>1</v>
      </c>
      <c r="D259" s="76">
        <v>1</v>
      </c>
      <c r="E259" s="77"/>
      <c r="F259" s="75">
        <v>1</v>
      </c>
      <c r="G259" s="75"/>
      <c r="H259" s="78">
        <v>1</v>
      </c>
      <c r="I259" s="106">
        <v>2</v>
      </c>
      <c r="J259" s="75" t="s">
        <v>1220</v>
      </c>
      <c r="K259" s="75" t="s">
        <v>1216</v>
      </c>
      <c r="L259" s="75" t="s">
        <v>1127</v>
      </c>
      <c r="M259" s="75"/>
      <c r="N259" s="75" t="s">
        <v>1487</v>
      </c>
      <c r="O259" s="75" t="s">
        <v>803</v>
      </c>
      <c r="P259" s="75"/>
      <c r="Q259" s="75" t="s">
        <v>1501</v>
      </c>
      <c r="R259" s="75" t="s">
        <v>1636</v>
      </c>
      <c r="S259" s="75"/>
      <c r="T259" s="75"/>
      <c r="U259" s="75" t="s">
        <v>1549</v>
      </c>
      <c r="V259" s="75"/>
    </row>
    <row r="260" spans="1:22">
      <c r="A260" s="75" t="s">
        <v>946</v>
      </c>
      <c r="B260" s="75">
        <v>22927935</v>
      </c>
      <c r="C260" s="75">
        <v>1</v>
      </c>
      <c r="D260" s="76">
        <v>1</v>
      </c>
      <c r="E260" s="77"/>
      <c r="F260" s="75">
        <v>1</v>
      </c>
      <c r="G260" s="75"/>
      <c r="H260" s="75">
        <v>1</v>
      </c>
      <c r="I260" s="106">
        <v>2</v>
      </c>
      <c r="J260" s="75" t="s">
        <v>1220</v>
      </c>
      <c r="K260" s="75" t="s">
        <v>1216</v>
      </c>
      <c r="L260" s="75" t="s">
        <v>1138</v>
      </c>
      <c r="M260" s="75"/>
      <c r="N260" s="75" t="s">
        <v>1541</v>
      </c>
      <c r="O260" s="75" t="s">
        <v>1638</v>
      </c>
      <c r="P260" s="75"/>
      <c r="Q260" s="75" t="s">
        <v>1501</v>
      </c>
      <c r="R260" s="75"/>
      <c r="S260" s="75" t="s">
        <v>1637</v>
      </c>
      <c r="T260" s="75"/>
      <c r="U260" s="75"/>
      <c r="V260" s="75"/>
    </row>
    <row r="261" spans="1:22">
      <c r="A261" s="75" t="s">
        <v>945</v>
      </c>
      <c r="B261" s="75">
        <v>26888649</v>
      </c>
      <c r="C261" s="75">
        <v>1</v>
      </c>
      <c r="D261" s="76" t="s">
        <v>1803</v>
      </c>
      <c r="E261" s="77"/>
      <c r="F261" s="75">
        <v>0</v>
      </c>
      <c r="G261" s="75"/>
      <c r="H261" s="78">
        <v>0</v>
      </c>
      <c r="I261" s="106">
        <v>2</v>
      </c>
      <c r="J261" s="75" t="s">
        <v>23</v>
      </c>
      <c r="K261" s="75"/>
      <c r="L261" s="75" t="s">
        <v>1639</v>
      </c>
      <c r="M261" s="75"/>
      <c r="N261" s="75" t="s">
        <v>1319</v>
      </c>
      <c r="O261" s="75"/>
      <c r="P261" s="75"/>
      <c r="Q261" s="75" t="s">
        <v>1669</v>
      </c>
      <c r="R261" s="75"/>
      <c r="S261" s="75"/>
      <c r="T261" s="75"/>
      <c r="U261" s="75"/>
      <c r="V261" s="75" t="s">
        <v>1640</v>
      </c>
    </row>
    <row r="262" spans="1:22">
      <c r="A262" s="75" t="s">
        <v>944</v>
      </c>
      <c r="B262" s="75">
        <v>22137886</v>
      </c>
      <c r="C262" s="75">
        <v>1</v>
      </c>
      <c r="D262" s="76" t="s">
        <v>1803</v>
      </c>
      <c r="E262" s="77"/>
      <c r="F262" s="75">
        <v>0</v>
      </c>
      <c r="G262" s="75"/>
      <c r="H262" s="78">
        <v>0</v>
      </c>
      <c r="I262" s="106">
        <v>2</v>
      </c>
      <c r="J262" s="75" t="s">
        <v>1220</v>
      </c>
      <c r="K262" s="75" t="s">
        <v>1216</v>
      </c>
      <c r="L262" s="75" t="s">
        <v>1642</v>
      </c>
      <c r="M262" s="75"/>
      <c r="N262" s="75" t="s">
        <v>24</v>
      </c>
      <c r="O262" s="75"/>
      <c r="P262" s="75"/>
      <c r="Q262" s="75" t="s">
        <v>1501</v>
      </c>
      <c r="R262" s="75" t="s">
        <v>1643</v>
      </c>
      <c r="S262" s="75" t="s">
        <v>1381</v>
      </c>
      <c r="T262" s="75"/>
      <c r="U262" s="75" t="s">
        <v>1641</v>
      </c>
      <c r="V262" s="75" t="s">
        <v>1644</v>
      </c>
    </row>
    <row r="263" spans="1:22">
      <c r="A263" s="75" t="s">
        <v>943</v>
      </c>
      <c r="B263" s="75">
        <v>18534828</v>
      </c>
      <c r="C263" s="75">
        <v>1</v>
      </c>
      <c r="D263" s="76" t="s">
        <v>1803</v>
      </c>
      <c r="E263" s="77"/>
      <c r="F263" s="75">
        <v>0</v>
      </c>
      <c r="G263" s="75"/>
      <c r="H263" s="75">
        <v>0</v>
      </c>
      <c r="I263" s="106">
        <v>2</v>
      </c>
      <c r="J263" s="75" t="s">
        <v>1421</v>
      </c>
      <c r="K263" s="75"/>
      <c r="L263" s="75" t="s">
        <v>1130</v>
      </c>
      <c r="M263" s="75"/>
      <c r="N263" s="75" t="s">
        <v>1495</v>
      </c>
      <c r="O263" s="75"/>
      <c r="P263" s="75"/>
      <c r="Q263" s="75" t="s">
        <v>1646</v>
      </c>
      <c r="R263" s="75"/>
      <c r="S263" s="75"/>
      <c r="T263" s="75"/>
      <c r="U263" s="75" t="s">
        <v>1645</v>
      </c>
      <c r="V263" s="75" t="s">
        <v>1260</v>
      </c>
    </row>
    <row r="264" spans="1:22">
      <c r="A264" s="75" t="s">
        <v>942</v>
      </c>
      <c r="B264" s="75">
        <v>23318688</v>
      </c>
      <c r="C264" s="75">
        <v>1</v>
      </c>
      <c r="D264" s="83" t="s">
        <v>1803</v>
      </c>
      <c r="E264" s="77"/>
      <c r="F264" s="81">
        <v>1</v>
      </c>
      <c r="G264" s="75"/>
      <c r="H264" s="81">
        <v>0</v>
      </c>
      <c r="I264" s="106">
        <v>2</v>
      </c>
      <c r="J264" s="75" t="s">
        <v>1725</v>
      </c>
      <c r="K264" s="75" t="s">
        <v>1216</v>
      </c>
      <c r="L264" s="75" t="s">
        <v>1130</v>
      </c>
      <c r="M264" s="75"/>
      <c r="N264" s="75" t="s">
        <v>1495</v>
      </c>
      <c r="O264" s="75" t="s">
        <v>803</v>
      </c>
      <c r="P264" s="75"/>
      <c r="Q264" s="75" t="s">
        <v>1724</v>
      </c>
      <c r="R264" s="75"/>
      <c r="S264" s="75" t="s">
        <v>1648</v>
      </c>
      <c r="T264" s="75"/>
      <c r="U264" s="75" t="s">
        <v>1647</v>
      </c>
      <c r="V264" s="75" t="s">
        <v>1698</v>
      </c>
    </row>
    <row r="265" spans="1:22" ht="17" thickBot="1">
      <c r="A265" s="75" t="s">
        <v>941</v>
      </c>
      <c r="B265" s="75">
        <v>22421563</v>
      </c>
      <c r="C265" s="75">
        <v>1</v>
      </c>
      <c r="D265" s="83" t="s">
        <v>1803</v>
      </c>
      <c r="E265" s="77"/>
      <c r="F265" s="81">
        <v>1</v>
      </c>
      <c r="G265" s="75"/>
      <c r="H265" s="81">
        <v>0</v>
      </c>
      <c r="I265" s="106">
        <v>2</v>
      </c>
      <c r="J265" s="75" t="s">
        <v>1726</v>
      </c>
      <c r="K265" s="75" t="s">
        <v>1216</v>
      </c>
      <c r="L265" s="75" t="s">
        <v>1130</v>
      </c>
      <c r="M265" s="75"/>
      <c r="N265" s="75" t="s">
        <v>1495</v>
      </c>
      <c r="O265" s="75" t="s">
        <v>803</v>
      </c>
      <c r="P265" s="75"/>
      <c r="Q265" s="75" t="s">
        <v>1723</v>
      </c>
      <c r="R265" s="75"/>
      <c r="S265" s="75" t="s">
        <v>1649</v>
      </c>
      <c r="T265" s="75"/>
      <c r="U265" s="75"/>
      <c r="V265" s="75" t="s">
        <v>1698</v>
      </c>
    </row>
    <row r="266" spans="1:22" ht="17" thickBot="1">
      <c r="A266" s="108"/>
      <c r="B266" s="109"/>
      <c r="C266" s="69">
        <f>SUM(C1:C265)</f>
        <v>261</v>
      </c>
      <c r="D266" s="109"/>
      <c r="E266" s="109"/>
      <c r="F266" s="109"/>
      <c r="G266" s="109"/>
      <c r="H266" s="109"/>
      <c r="I266" s="109"/>
      <c r="J266" s="109"/>
      <c r="K266" s="109"/>
      <c r="L266" s="109"/>
      <c r="M266" s="109"/>
      <c r="N266" s="109"/>
      <c r="O266" s="109"/>
      <c r="P266" s="109"/>
      <c r="Q266" s="109"/>
      <c r="R266" s="109"/>
      <c r="S266" s="109"/>
      <c r="T266" s="109"/>
      <c r="U266" s="109"/>
      <c r="V266" s="110"/>
    </row>
  </sheetData>
  <sheetProtection password="DB7D" sheet="1" objects="1" scenarios="1"/>
  <pageMargins left="0.7" right="0.7" top="0.75" bottom="0.75" header="0.3" footer="0.3"/>
  <pageSetup paperSize="9" orientation="landscape" horizontalDpi="0" verticalDpi="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K329"/>
  <sheetViews>
    <sheetView topLeftCell="A18" zoomScale="75" zoomScaleNormal="75" zoomScalePageLayoutView="75" workbookViewId="0">
      <pane xSplit="1" topLeftCell="J1" activePane="topRight" state="frozen"/>
      <selection pane="topRight" activeCell="AH83" sqref="AH83"/>
    </sheetView>
  </sheetViews>
  <sheetFormatPr baseColWidth="10" defaultColWidth="11" defaultRowHeight="16"/>
  <cols>
    <col min="1" max="1" width="14.6640625" customWidth="1"/>
    <col min="2" max="2" width="10" style="365" customWidth="1"/>
    <col min="3" max="4" width="10" customWidth="1"/>
    <col min="5" max="5" width="7" customWidth="1"/>
    <col min="6" max="6" width="12.1640625" customWidth="1"/>
    <col min="7" max="9" width="3.83203125" customWidth="1"/>
    <col min="10" max="10" width="4" customWidth="1"/>
    <col min="11" max="11" width="3.83203125" customWidth="1"/>
    <col min="12" max="14" width="10" hidden="1" customWidth="1"/>
    <col min="15" max="18" width="4.83203125" hidden="1" customWidth="1"/>
    <col min="19" max="24" width="10" hidden="1" customWidth="1"/>
    <col min="25" max="26" width="10" customWidth="1"/>
    <col min="27" max="27" width="9.33203125" customWidth="1"/>
    <col min="28" max="28" width="8.5" customWidth="1"/>
    <col min="29" max="29" width="10.6640625" customWidth="1"/>
    <col min="30" max="30" width="14.83203125" customWidth="1"/>
    <col min="31" max="31" width="8.83203125" style="229" customWidth="1"/>
    <col min="32" max="32" width="8.1640625" customWidth="1"/>
    <col min="33" max="36" width="28.33203125" customWidth="1"/>
    <col min="37" max="37" width="28.33203125" style="114" customWidth="1"/>
    <col min="38" max="38" width="16" style="114" customWidth="1"/>
    <col min="39" max="39" width="28.33203125" style="114" customWidth="1"/>
    <col min="40" max="40" width="15.1640625" style="3" customWidth="1"/>
    <col min="41" max="41" width="21.5" customWidth="1"/>
    <col min="42" max="42" width="39" customWidth="1"/>
    <col min="43" max="43" width="8.33203125" customWidth="1"/>
    <col min="44" max="44" width="4.6640625" customWidth="1"/>
    <col min="45" max="45" width="13.83203125" customWidth="1"/>
    <col min="46" max="46" width="19.1640625" customWidth="1"/>
    <col min="47" max="47" width="16.6640625" customWidth="1"/>
    <col min="48" max="48" width="6" style="249" customWidth="1"/>
    <col min="49" max="49" width="4.1640625" style="249" customWidth="1"/>
    <col min="50" max="50" width="5.83203125" style="249" customWidth="1"/>
    <col min="51" max="51" width="4.83203125" style="249" customWidth="1"/>
    <col min="52" max="52" width="10" style="249" customWidth="1"/>
    <col min="53" max="53" width="7.6640625" style="249" customWidth="1"/>
    <col min="54" max="54" width="13.33203125" style="250" customWidth="1"/>
    <col min="55" max="55" width="12.5" style="249" customWidth="1"/>
    <col min="56" max="56" width="28.33203125" style="251" customWidth="1"/>
    <col min="57" max="57" width="28.33203125" style="3" customWidth="1"/>
    <col min="58" max="58" width="7.83203125" style="3" customWidth="1"/>
    <col min="59" max="59" width="62" style="3" customWidth="1"/>
    <col min="60" max="60" width="18" style="3" customWidth="1"/>
    <col min="61" max="61" width="14" style="3" customWidth="1"/>
    <col min="62" max="62" width="19.83203125" style="263" customWidth="1"/>
    <col min="63" max="63" width="15" style="3" customWidth="1"/>
    <col min="64" max="64" width="11.83203125" style="3" customWidth="1"/>
    <col min="65" max="65" width="28.33203125" style="3" customWidth="1"/>
    <col min="66" max="66" width="23.83203125" style="3" customWidth="1"/>
    <col min="67" max="67" width="14.83203125" style="3" customWidth="1"/>
    <col min="68" max="68" width="16.1640625" style="3" customWidth="1"/>
    <col min="69" max="69" width="15.6640625" style="26" customWidth="1"/>
    <col min="70" max="70" width="28.33203125" style="26" customWidth="1"/>
    <col min="71" max="71" width="16.1640625" style="296" customWidth="1"/>
    <col min="72" max="72" width="14.6640625" style="297" customWidth="1"/>
    <col min="73" max="73" width="15.5" style="3" customWidth="1"/>
    <col min="74" max="74" width="28.33203125" style="273" customWidth="1"/>
    <col min="75" max="80" width="28.33203125" style="3" customWidth="1"/>
    <col min="81" max="82" width="28.33203125" style="296" customWidth="1"/>
    <col min="83" max="83" width="28.33203125" style="282" customWidth="1"/>
    <col min="84" max="84" width="28.33203125" style="283" customWidth="1"/>
    <col min="85" max="92" width="28.33203125" style="3" customWidth="1"/>
    <col min="93" max="93" width="28.33203125" style="306" customWidth="1"/>
    <col min="94" max="94" width="28.33203125" style="307" customWidth="1"/>
    <col min="95" max="95" width="11" style="3"/>
    <col min="96" max="96" width="11" style="273"/>
    <col min="97" max="102" width="11" style="3"/>
    <col min="103" max="103" width="11" style="316"/>
    <col min="104" max="104" width="24.33203125" style="306" customWidth="1"/>
    <col min="105" max="106" width="11" style="282"/>
    <col min="107" max="114" width="11" style="3"/>
    <col min="115" max="116" width="11" style="306"/>
    <col min="117" max="117" width="24.83203125" style="3" customWidth="1"/>
    <col min="118" max="119" width="11" style="3"/>
    <col min="120" max="120" width="22.1640625" style="3" customWidth="1"/>
    <col min="121" max="124" width="14.5" style="3" customWidth="1"/>
    <col min="125" max="126" width="14.5" style="306" customWidth="1"/>
    <col min="127" max="127" width="14.5" style="282" customWidth="1"/>
    <col min="128" max="135" width="11" style="3"/>
    <col min="136" max="137" width="11" style="306"/>
    <col min="138" max="141" width="11" style="3"/>
  </cols>
  <sheetData>
    <row r="1" spans="1:141">
      <c r="A1" s="87" t="s">
        <v>367</v>
      </c>
      <c r="B1" s="361" t="s">
        <v>3208</v>
      </c>
      <c r="C1" s="87" t="s">
        <v>2134</v>
      </c>
      <c r="D1" s="87" t="s">
        <v>2135</v>
      </c>
      <c r="E1" s="87" t="s">
        <v>2398</v>
      </c>
      <c r="F1" s="87" t="s">
        <v>0</v>
      </c>
      <c r="G1" s="87" t="s">
        <v>1794</v>
      </c>
      <c r="H1" s="88" t="s">
        <v>1789</v>
      </c>
      <c r="I1" s="89" t="s">
        <v>1770</v>
      </c>
      <c r="J1" s="87" t="s">
        <v>1727</v>
      </c>
      <c r="K1" s="87" t="s">
        <v>1728</v>
      </c>
      <c r="L1" s="87" t="s">
        <v>1</v>
      </c>
      <c r="M1" s="107" t="s">
        <v>1906</v>
      </c>
      <c r="N1" s="87" t="s">
        <v>1237</v>
      </c>
      <c r="O1" s="87" t="s">
        <v>40</v>
      </c>
      <c r="P1" s="68" t="s">
        <v>1910</v>
      </c>
      <c r="Q1" s="87" t="s">
        <v>1907</v>
      </c>
      <c r="R1" s="87" t="s">
        <v>6</v>
      </c>
      <c r="S1" s="87" t="s">
        <v>1122</v>
      </c>
      <c r="T1" s="87" t="s">
        <v>1120</v>
      </c>
      <c r="U1" s="87" t="s">
        <v>5</v>
      </c>
      <c r="V1" s="87" t="s">
        <v>3</v>
      </c>
      <c r="W1" s="87" t="s">
        <v>4</v>
      </c>
      <c r="X1" s="87" t="s">
        <v>507</v>
      </c>
      <c r="Y1" s="87" t="s">
        <v>1650</v>
      </c>
      <c r="Z1" s="87" t="s">
        <v>1909</v>
      </c>
      <c r="AA1" s="112" t="s">
        <v>1879</v>
      </c>
      <c r="AB1" s="113" t="s">
        <v>1880</v>
      </c>
      <c r="AC1" s="68" t="s">
        <v>2686</v>
      </c>
      <c r="AD1" s="193" t="s">
        <v>2472</v>
      </c>
      <c r="AE1" s="194" t="s">
        <v>3302</v>
      </c>
      <c r="AF1" s="195" t="s">
        <v>2692</v>
      </c>
      <c r="AG1" s="111" t="s">
        <v>1868</v>
      </c>
      <c r="AH1" s="111" t="s">
        <v>1869</v>
      </c>
      <c r="AI1" s="111" t="s">
        <v>1870</v>
      </c>
      <c r="AJ1" s="111" t="s">
        <v>2935</v>
      </c>
      <c r="AK1" s="111" t="s">
        <v>2936</v>
      </c>
      <c r="AL1" s="111" t="s">
        <v>2937</v>
      </c>
      <c r="AM1" s="111" t="s">
        <v>2938</v>
      </c>
      <c r="AN1" s="111" t="s">
        <v>2939</v>
      </c>
      <c r="AO1" s="111" t="s">
        <v>2940</v>
      </c>
      <c r="AP1" s="111" t="s">
        <v>1871</v>
      </c>
      <c r="AQ1" s="111" t="s">
        <v>3315</v>
      </c>
      <c r="AR1" s="111" t="s">
        <v>3314</v>
      </c>
      <c r="AS1" s="111" t="s">
        <v>2422</v>
      </c>
      <c r="AT1" s="111" t="s">
        <v>2604</v>
      </c>
      <c r="AU1" s="111" t="s">
        <v>1872</v>
      </c>
      <c r="AV1" s="115" t="s">
        <v>1911</v>
      </c>
      <c r="AW1" s="115" t="s">
        <v>2543</v>
      </c>
      <c r="AX1" s="115" t="s">
        <v>1912</v>
      </c>
      <c r="AY1" s="115" t="s">
        <v>1918</v>
      </c>
      <c r="AZ1" s="115" t="s">
        <v>1913</v>
      </c>
      <c r="BA1" s="115" t="s">
        <v>609</v>
      </c>
      <c r="BB1" s="115" t="s">
        <v>1916</v>
      </c>
      <c r="BC1" s="115" t="s">
        <v>1915</v>
      </c>
      <c r="BD1" s="117" t="s">
        <v>2447</v>
      </c>
      <c r="BE1" s="252" t="s">
        <v>1873</v>
      </c>
      <c r="BF1" s="252" t="s">
        <v>2409</v>
      </c>
      <c r="BG1" s="252" t="s">
        <v>2466</v>
      </c>
      <c r="BH1" s="252" t="s">
        <v>2469</v>
      </c>
      <c r="BI1" s="252" t="s">
        <v>2399</v>
      </c>
      <c r="BJ1" s="254" t="s">
        <v>2525</v>
      </c>
      <c r="BK1" s="252" t="s">
        <v>2417</v>
      </c>
      <c r="BL1" s="252" t="s">
        <v>2401</v>
      </c>
      <c r="BM1" s="252" t="s">
        <v>2509</v>
      </c>
      <c r="BN1" s="252" t="s">
        <v>2510</v>
      </c>
      <c r="BO1" s="252" t="s">
        <v>2419</v>
      </c>
      <c r="BP1" s="252" t="s">
        <v>2402</v>
      </c>
      <c r="BQ1" s="252" t="s">
        <v>2511</v>
      </c>
      <c r="BR1" s="252" t="s">
        <v>2512</v>
      </c>
      <c r="BS1" s="286" t="s">
        <v>2427</v>
      </c>
      <c r="BT1" s="287" t="s">
        <v>2426</v>
      </c>
      <c r="BU1" s="252" t="s">
        <v>2421</v>
      </c>
      <c r="BV1" s="252" t="s">
        <v>2403</v>
      </c>
      <c r="BW1" s="252" t="s">
        <v>2513</v>
      </c>
      <c r="BX1" s="252" t="s">
        <v>2514</v>
      </c>
      <c r="BY1" s="252" t="s">
        <v>2433</v>
      </c>
      <c r="BZ1" s="270" t="s">
        <v>2404</v>
      </c>
      <c r="CA1" s="270" t="s">
        <v>2515</v>
      </c>
      <c r="CB1" s="252" t="s">
        <v>2516</v>
      </c>
      <c r="CC1" s="286" t="s">
        <v>2428</v>
      </c>
      <c r="CD1" s="287" t="s">
        <v>2429</v>
      </c>
      <c r="CE1" s="274" t="s">
        <v>2430</v>
      </c>
      <c r="CF1" s="275" t="s">
        <v>2431</v>
      </c>
      <c r="CG1" s="252" t="s">
        <v>2432</v>
      </c>
      <c r="CH1" s="252" t="s">
        <v>2405</v>
      </c>
      <c r="CI1" s="252" t="s">
        <v>2517</v>
      </c>
      <c r="CJ1" s="252" t="s">
        <v>2518</v>
      </c>
      <c r="CK1" s="252" t="s">
        <v>2435</v>
      </c>
      <c r="CL1" s="252" t="s">
        <v>2406</v>
      </c>
      <c r="CM1" s="252" t="s">
        <v>2519</v>
      </c>
      <c r="CN1" s="252" t="s">
        <v>2520</v>
      </c>
      <c r="CO1" s="298" t="s">
        <v>2489</v>
      </c>
      <c r="CP1" s="299" t="s">
        <v>2536</v>
      </c>
      <c r="CQ1" s="252" t="s">
        <v>2437</v>
      </c>
      <c r="CR1" s="252" t="s">
        <v>2407</v>
      </c>
      <c r="CS1" s="252" t="s">
        <v>2521</v>
      </c>
      <c r="CT1" s="252" t="s">
        <v>2522</v>
      </c>
      <c r="CU1" s="252" t="s">
        <v>2439</v>
      </c>
      <c r="CV1" s="252" t="s">
        <v>2408</v>
      </c>
      <c r="CW1" s="252" t="s">
        <v>2523</v>
      </c>
      <c r="CX1" s="252" t="s">
        <v>2524</v>
      </c>
      <c r="CY1" s="298" t="s">
        <v>2490</v>
      </c>
      <c r="CZ1" s="299" t="s">
        <v>2537</v>
      </c>
      <c r="DA1" s="274" t="s">
        <v>2539</v>
      </c>
      <c r="DB1" s="275" t="s">
        <v>2540</v>
      </c>
      <c r="DC1" s="252" t="s">
        <v>2576</v>
      </c>
      <c r="DD1" s="252" t="s">
        <v>2577</v>
      </c>
      <c r="DE1" s="252" t="s">
        <v>2578</v>
      </c>
      <c r="DF1" s="252" t="s">
        <v>2579</v>
      </c>
      <c r="DG1" s="252" t="s">
        <v>2581</v>
      </c>
      <c r="DH1" s="252" t="s">
        <v>2582</v>
      </c>
      <c r="DI1" s="252" t="s">
        <v>2583</v>
      </c>
      <c r="DJ1" s="252" t="s">
        <v>2584</v>
      </c>
      <c r="DK1" s="299" t="s">
        <v>2586</v>
      </c>
      <c r="DL1" s="299" t="s">
        <v>2587</v>
      </c>
      <c r="DM1" s="252" t="s">
        <v>2627</v>
      </c>
      <c r="DN1" s="252" t="s">
        <v>2628</v>
      </c>
      <c r="DO1" s="252" t="s">
        <v>2629</v>
      </c>
      <c r="DP1" s="252" t="s">
        <v>2630</v>
      </c>
      <c r="DQ1" s="252" t="s">
        <v>2626</v>
      </c>
      <c r="DR1" s="252" t="s">
        <v>2633</v>
      </c>
      <c r="DS1" s="252" t="s">
        <v>2634</v>
      </c>
      <c r="DT1" s="252" t="s">
        <v>2635</v>
      </c>
      <c r="DU1" s="299" t="s">
        <v>2636</v>
      </c>
      <c r="DV1" s="299" t="s">
        <v>2637</v>
      </c>
      <c r="DW1" s="275" t="s">
        <v>2649</v>
      </c>
      <c r="DX1" s="252" t="s">
        <v>2758</v>
      </c>
      <c r="DY1" s="252" t="s">
        <v>2759</v>
      </c>
      <c r="DZ1" s="252" t="s">
        <v>2760</v>
      </c>
      <c r="EA1" s="252" t="s">
        <v>2761</v>
      </c>
      <c r="EB1" s="252" t="s">
        <v>2762</v>
      </c>
      <c r="EC1" s="252" t="s">
        <v>2763</v>
      </c>
      <c r="ED1" s="252" t="s">
        <v>2764</v>
      </c>
      <c r="EE1" s="252" t="s">
        <v>2765</v>
      </c>
      <c r="EF1" s="299" t="s">
        <v>2766</v>
      </c>
      <c r="EG1" s="299" t="s">
        <v>2767</v>
      </c>
      <c r="EH1" s="252" t="s">
        <v>2769</v>
      </c>
      <c r="EI1" s="252" t="s">
        <v>2771</v>
      </c>
      <c r="EJ1" s="252" t="s">
        <v>2772</v>
      </c>
      <c r="EK1" s="252" t="s">
        <v>2773</v>
      </c>
    </row>
    <row r="2" spans="1:141">
      <c r="A2" s="79" t="s">
        <v>126</v>
      </c>
      <c r="B2" s="363">
        <v>1</v>
      </c>
      <c r="C2" s="123" t="s">
        <v>1943</v>
      </c>
      <c r="D2" s="124" t="s">
        <v>2162</v>
      </c>
      <c r="E2" s="125">
        <v>2014</v>
      </c>
      <c r="F2" s="79">
        <v>24950747</v>
      </c>
      <c r="G2" s="79">
        <v>1</v>
      </c>
      <c r="H2" s="126"/>
      <c r="I2" s="127"/>
      <c r="J2" s="79">
        <v>1</v>
      </c>
      <c r="K2" s="79"/>
      <c r="L2" s="79">
        <v>1</v>
      </c>
      <c r="M2" s="128">
        <v>1</v>
      </c>
      <c r="N2" s="79" t="s">
        <v>11</v>
      </c>
      <c r="O2" s="79" t="s">
        <v>1142</v>
      </c>
      <c r="P2" s="79" t="s">
        <v>416</v>
      </c>
      <c r="Q2" s="79">
        <v>0</v>
      </c>
      <c r="R2" s="79"/>
      <c r="S2" s="79"/>
      <c r="T2" s="79"/>
      <c r="U2" s="79" t="s">
        <v>11</v>
      </c>
      <c r="V2" s="79"/>
      <c r="W2" s="79"/>
      <c r="X2" s="79"/>
      <c r="Y2" s="79"/>
      <c r="Z2" s="79" t="s">
        <v>1193</v>
      </c>
      <c r="AA2" s="129">
        <v>0</v>
      </c>
      <c r="AB2" s="130" t="s">
        <v>1881</v>
      </c>
      <c r="AC2" s="131">
        <v>3</v>
      </c>
      <c r="AD2" s="196"/>
      <c r="AE2" s="191">
        <v>0</v>
      </c>
      <c r="AF2" s="197"/>
      <c r="AG2" s="70"/>
      <c r="AH2" s="70"/>
      <c r="AI2" s="70"/>
      <c r="AJ2" s="70" t="s">
        <v>1878</v>
      </c>
      <c r="AK2" s="70" t="s">
        <v>1878</v>
      </c>
      <c r="AL2" s="70"/>
      <c r="AM2" s="70"/>
      <c r="AN2" s="70"/>
      <c r="AO2" s="70"/>
      <c r="AP2" s="70"/>
      <c r="AQ2" s="70"/>
      <c r="AR2" s="70"/>
      <c r="AS2" s="70"/>
      <c r="AT2" s="70"/>
      <c r="AU2" s="70" t="s">
        <v>1875</v>
      </c>
      <c r="AV2" s="132">
        <v>1</v>
      </c>
      <c r="AW2" s="132"/>
      <c r="AX2" s="132"/>
      <c r="AY2" s="132"/>
      <c r="AZ2" s="132"/>
      <c r="BA2" s="132"/>
      <c r="BB2" s="132"/>
      <c r="BC2" s="132"/>
      <c r="BD2" s="133"/>
      <c r="BE2" s="26"/>
      <c r="BF2" s="26"/>
      <c r="BG2" s="26"/>
      <c r="BH2" s="26"/>
      <c r="BI2" s="26"/>
      <c r="BJ2" s="255"/>
      <c r="BK2" s="264"/>
      <c r="BL2" s="134"/>
      <c r="BM2" s="134"/>
      <c r="BN2" s="134"/>
      <c r="BO2" s="134"/>
      <c r="BP2" s="134"/>
      <c r="BQ2" s="134"/>
      <c r="BR2" s="134"/>
      <c r="BS2" s="288"/>
      <c r="BT2" s="289"/>
      <c r="BU2" s="134"/>
      <c r="BV2" s="134"/>
      <c r="BW2" s="134"/>
      <c r="BX2" s="134"/>
      <c r="BY2" s="138"/>
      <c r="BZ2" s="134"/>
      <c r="CA2" s="134"/>
      <c r="CB2" s="134"/>
      <c r="CC2" s="288"/>
      <c r="CD2" s="289"/>
      <c r="CE2" s="276"/>
      <c r="CF2" s="277"/>
      <c r="CG2" s="134"/>
      <c r="CH2" s="134"/>
      <c r="CI2" s="134"/>
      <c r="CJ2" s="134"/>
      <c r="CK2" s="134"/>
      <c r="CL2" s="134"/>
      <c r="CM2" s="134"/>
      <c r="CN2" s="134"/>
      <c r="CO2" s="300"/>
      <c r="CP2" s="301"/>
      <c r="CQ2" s="134"/>
      <c r="CR2" s="134"/>
      <c r="CS2" s="134"/>
      <c r="CT2" s="134"/>
      <c r="CU2" s="134"/>
      <c r="CV2" s="134"/>
      <c r="CW2" s="134"/>
      <c r="CX2" s="134"/>
      <c r="CY2" s="300"/>
      <c r="CZ2" s="301"/>
      <c r="DA2" s="276"/>
      <c r="DB2" s="277"/>
      <c r="DC2" s="134"/>
      <c r="DD2" s="134"/>
      <c r="DE2" s="134"/>
      <c r="DF2" s="134"/>
      <c r="DG2" s="138"/>
      <c r="DH2" s="134"/>
      <c r="DI2" s="134"/>
      <c r="DJ2" s="134"/>
      <c r="DK2" s="301"/>
      <c r="DL2" s="301"/>
      <c r="DM2" s="134"/>
      <c r="DN2" s="134"/>
      <c r="DO2" s="134"/>
      <c r="DP2" s="134"/>
      <c r="DQ2" s="134"/>
      <c r="DR2" s="134"/>
      <c r="DS2" s="134"/>
      <c r="DT2" s="134"/>
      <c r="DU2" s="301"/>
      <c r="DV2" s="301"/>
      <c r="DW2" s="277"/>
      <c r="DX2" s="134"/>
      <c r="DY2" s="134"/>
      <c r="DZ2" s="134"/>
      <c r="EA2" s="134"/>
      <c r="EB2" s="134"/>
      <c r="EC2" s="134"/>
      <c r="ED2" s="134"/>
      <c r="EE2" s="134"/>
      <c r="EF2" s="301"/>
      <c r="EG2" s="301"/>
      <c r="EH2" s="134"/>
      <c r="EI2" s="134"/>
      <c r="EJ2" s="134"/>
      <c r="EK2" s="134"/>
    </row>
    <row r="3" spans="1:141">
      <c r="A3" s="79" t="s">
        <v>75</v>
      </c>
      <c r="B3" s="364">
        <v>2</v>
      </c>
      <c r="C3" s="123" t="s">
        <v>1919</v>
      </c>
      <c r="D3" s="124" t="s">
        <v>2136</v>
      </c>
      <c r="E3" s="125">
        <v>2015</v>
      </c>
      <c r="F3" s="79">
        <v>25444643</v>
      </c>
      <c r="G3" s="79">
        <v>1</v>
      </c>
      <c r="H3" s="126"/>
      <c r="I3" s="127"/>
      <c r="J3" s="79">
        <v>1</v>
      </c>
      <c r="K3" s="79"/>
      <c r="L3" s="79">
        <v>1</v>
      </c>
      <c r="M3" s="128">
        <v>1</v>
      </c>
      <c r="N3" s="79" t="s">
        <v>11</v>
      </c>
      <c r="O3" s="79" t="s">
        <v>1142</v>
      </c>
      <c r="P3" s="79" t="s">
        <v>10</v>
      </c>
      <c r="Q3" s="79">
        <v>1</v>
      </c>
      <c r="R3" s="79"/>
      <c r="S3" s="79"/>
      <c r="T3" s="79"/>
      <c r="U3" s="79" t="s">
        <v>11</v>
      </c>
      <c r="V3" s="79" t="s">
        <v>12</v>
      </c>
      <c r="W3" s="79" t="s">
        <v>13</v>
      </c>
      <c r="X3" s="79"/>
      <c r="Y3" s="79"/>
      <c r="Z3" s="79"/>
      <c r="AA3" s="129">
        <v>1</v>
      </c>
      <c r="AB3" s="130" t="s">
        <v>24</v>
      </c>
      <c r="AC3" s="136">
        <v>1</v>
      </c>
      <c r="AD3" s="198"/>
      <c r="AE3" s="191">
        <v>1</v>
      </c>
      <c r="AF3" s="199"/>
      <c r="AG3" s="16">
        <v>1014</v>
      </c>
      <c r="AH3" s="16">
        <v>42</v>
      </c>
      <c r="AI3" s="16">
        <v>923</v>
      </c>
      <c r="AJ3" s="16" t="s">
        <v>803</v>
      </c>
      <c r="AK3" s="16" t="s">
        <v>803</v>
      </c>
      <c r="AL3" s="16">
        <v>22.63</v>
      </c>
      <c r="AM3" s="16">
        <v>4.08</v>
      </c>
      <c r="AN3" s="16">
        <v>22.23</v>
      </c>
      <c r="AO3" s="16">
        <v>2.81</v>
      </c>
      <c r="AP3" s="16" t="s">
        <v>1874</v>
      </c>
      <c r="AQ3" s="16" t="s">
        <v>24</v>
      </c>
      <c r="AR3" s="16" t="s">
        <v>24</v>
      </c>
      <c r="AS3" s="16" t="s">
        <v>2423</v>
      </c>
      <c r="AT3" s="16" t="s">
        <v>2605</v>
      </c>
      <c r="AU3" s="16" t="s">
        <v>1875</v>
      </c>
      <c r="AV3" s="132">
        <v>1</v>
      </c>
      <c r="AW3" s="132"/>
      <c r="AX3" s="132"/>
      <c r="AY3" s="132"/>
      <c r="AZ3" s="132"/>
      <c r="BA3" s="132"/>
      <c r="BB3" s="132"/>
      <c r="BC3" s="132"/>
      <c r="BD3" s="133" t="s">
        <v>2528</v>
      </c>
      <c r="BE3" s="26" t="s">
        <v>1876</v>
      </c>
      <c r="BF3" s="26">
        <v>4</v>
      </c>
      <c r="BG3" s="26" t="s">
        <v>1488</v>
      </c>
      <c r="BH3" s="26" t="s">
        <v>2470</v>
      </c>
      <c r="BI3" s="26" t="s">
        <v>2400</v>
      </c>
      <c r="BJ3" s="255" t="s">
        <v>2526</v>
      </c>
      <c r="BK3" s="264" t="s">
        <v>2418</v>
      </c>
      <c r="BL3" s="134">
        <v>217.09</v>
      </c>
      <c r="BM3" s="134">
        <v>29</v>
      </c>
      <c r="BN3" s="190" t="s">
        <v>24</v>
      </c>
      <c r="BO3" s="264" t="s">
        <v>2420</v>
      </c>
      <c r="BP3" s="134">
        <v>175.19</v>
      </c>
      <c r="BQ3" s="134">
        <v>25.13</v>
      </c>
      <c r="BR3" s="190" t="s">
        <v>24</v>
      </c>
      <c r="BS3" s="288" t="s">
        <v>2412</v>
      </c>
      <c r="BT3" s="289" t="s">
        <v>2550</v>
      </c>
      <c r="BU3" s="264" t="s">
        <v>2425</v>
      </c>
      <c r="BV3" s="134">
        <v>214.41</v>
      </c>
      <c r="BW3" s="134">
        <v>7.57</v>
      </c>
      <c r="BX3" s="190" t="s">
        <v>24</v>
      </c>
      <c r="BY3" s="264" t="s">
        <v>2424</v>
      </c>
      <c r="BZ3" s="134">
        <v>104.54</v>
      </c>
      <c r="CA3" s="134">
        <v>6.54</v>
      </c>
      <c r="CB3" s="190" t="s">
        <v>24</v>
      </c>
      <c r="CC3" s="288" t="s">
        <v>2411</v>
      </c>
      <c r="CD3" s="289" t="s">
        <v>2410</v>
      </c>
      <c r="CE3" s="276" t="s">
        <v>2413</v>
      </c>
      <c r="CF3" s="308" t="s">
        <v>2414</v>
      </c>
      <c r="CG3" s="137" t="s">
        <v>24</v>
      </c>
      <c r="CH3" s="190"/>
      <c r="CI3" s="168"/>
      <c r="CJ3" s="190"/>
      <c r="CK3" s="168"/>
      <c r="CL3" s="190"/>
      <c r="CM3" s="168"/>
      <c r="CN3" s="190"/>
      <c r="CO3" s="300"/>
      <c r="CP3" s="301"/>
      <c r="CQ3" s="168"/>
      <c r="CR3" s="190"/>
      <c r="CS3" s="168"/>
      <c r="CT3" s="190"/>
      <c r="CU3" s="168"/>
      <c r="CV3" s="190"/>
      <c r="CW3" s="168"/>
      <c r="CX3" s="190"/>
      <c r="CY3" s="300"/>
      <c r="CZ3" s="301"/>
      <c r="DA3" s="317"/>
      <c r="DB3" s="318"/>
      <c r="DC3" s="134"/>
      <c r="DD3" s="134"/>
      <c r="DE3" s="134"/>
      <c r="DF3" s="134"/>
      <c r="DG3" s="138"/>
      <c r="DH3" s="134"/>
      <c r="DI3" s="134"/>
      <c r="DJ3" s="134"/>
      <c r="DK3" s="301"/>
      <c r="DL3" s="301"/>
      <c r="DM3" s="134"/>
      <c r="DN3" s="134"/>
      <c r="DO3" s="134"/>
      <c r="DP3" s="134"/>
      <c r="DQ3" s="134"/>
      <c r="DR3" s="134"/>
      <c r="DS3" s="134"/>
      <c r="DT3" s="134"/>
      <c r="DU3" s="301"/>
      <c r="DV3" s="301"/>
      <c r="DW3" s="277"/>
      <c r="DX3" s="134"/>
      <c r="DY3" s="134"/>
      <c r="DZ3" s="134"/>
      <c r="EA3" s="134"/>
      <c r="EB3" s="134"/>
      <c r="EC3" s="134"/>
      <c r="ED3" s="134"/>
      <c r="EE3" s="134"/>
      <c r="EF3" s="301"/>
      <c r="EG3" s="301"/>
      <c r="EH3" s="134"/>
      <c r="EI3" s="134"/>
      <c r="EJ3" s="134"/>
      <c r="EK3" s="134"/>
    </row>
    <row r="4" spans="1:141" s="119" customFormat="1">
      <c r="A4" s="118" t="s">
        <v>75</v>
      </c>
      <c r="B4" s="364">
        <v>2</v>
      </c>
      <c r="C4" s="139" t="s">
        <v>1919</v>
      </c>
      <c r="D4" s="140" t="s">
        <v>2136</v>
      </c>
      <c r="E4" s="141">
        <v>2015</v>
      </c>
      <c r="F4" s="118">
        <v>25444643</v>
      </c>
      <c r="G4" s="118">
        <v>1</v>
      </c>
      <c r="H4" s="118"/>
      <c r="I4" s="118"/>
      <c r="J4" s="118">
        <v>1</v>
      </c>
      <c r="K4" s="118"/>
      <c r="L4" s="118">
        <v>1</v>
      </c>
      <c r="M4" s="142">
        <v>1</v>
      </c>
      <c r="N4" s="118" t="s">
        <v>11</v>
      </c>
      <c r="O4" s="118" t="s">
        <v>1142</v>
      </c>
      <c r="P4" s="118" t="s">
        <v>10</v>
      </c>
      <c r="Q4" s="118">
        <v>1</v>
      </c>
      <c r="R4" s="118"/>
      <c r="S4" s="118"/>
      <c r="T4" s="118"/>
      <c r="U4" s="118" t="s">
        <v>11</v>
      </c>
      <c r="V4" s="118" t="s">
        <v>12</v>
      </c>
      <c r="W4" s="118" t="s">
        <v>13</v>
      </c>
      <c r="X4" s="118"/>
      <c r="Y4" s="118"/>
      <c r="Z4" s="118"/>
      <c r="AA4" s="143">
        <v>1</v>
      </c>
      <c r="AB4" s="144" t="s">
        <v>24</v>
      </c>
      <c r="AC4" s="145">
        <v>1</v>
      </c>
      <c r="AD4" s="200"/>
      <c r="AE4" s="191">
        <v>1</v>
      </c>
      <c r="AF4" s="201"/>
      <c r="AG4" s="146">
        <v>1014</v>
      </c>
      <c r="AH4" s="146">
        <v>42</v>
      </c>
      <c r="AI4" s="146">
        <v>923</v>
      </c>
      <c r="AJ4" s="146" t="s">
        <v>803</v>
      </c>
      <c r="AK4" s="146" t="s">
        <v>803</v>
      </c>
      <c r="AL4" s="146">
        <v>22.63</v>
      </c>
      <c r="AM4" s="146">
        <v>4.08</v>
      </c>
      <c r="AN4" s="146">
        <v>22.23</v>
      </c>
      <c r="AO4" s="146">
        <v>2.81</v>
      </c>
      <c r="AP4" s="146" t="s">
        <v>1874</v>
      </c>
      <c r="AQ4" s="146" t="s">
        <v>24</v>
      </c>
      <c r="AR4" s="146" t="s">
        <v>24</v>
      </c>
      <c r="AS4" s="146" t="s">
        <v>2423</v>
      </c>
      <c r="AT4" s="146" t="s">
        <v>2605</v>
      </c>
      <c r="AU4" s="146" t="s">
        <v>1875</v>
      </c>
      <c r="AV4" s="147">
        <v>1</v>
      </c>
      <c r="AW4" s="147"/>
      <c r="AX4" s="147"/>
      <c r="AY4" s="147"/>
      <c r="AZ4" s="147"/>
      <c r="BA4" s="147"/>
      <c r="BB4" s="147"/>
      <c r="BC4" s="147"/>
      <c r="BD4" s="148" t="s">
        <v>2529</v>
      </c>
      <c r="BE4" s="253" t="s">
        <v>1876</v>
      </c>
      <c r="BF4" s="253">
        <v>4</v>
      </c>
      <c r="BG4" s="253" t="s">
        <v>1488</v>
      </c>
      <c r="BH4" s="253" t="s">
        <v>2470</v>
      </c>
      <c r="BI4" s="253" t="s">
        <v>2400</v>
      </c>
      <c r="BJ4" s="256" t="s">
        <v>2527</v>
      </c>
      <c r="BK4" s="149" t="s">
        <v>2434</v>
      </c>
      <c r="BL4" s="265">
        <v>52.29</v>
      </c>
      <c r="BM4" s="150">
        <v>1.66</v>
      </c>
      <c r="BN4" s="266" t="s">
        <v>24</v>
      </c>
      <c r="BO4" s="149" t="s">
        <v>2436</v>
      </c>
      <c r="BP4" s="150">
        <v>57.61</v>
      </c>
      <c r="BQ4" s="150">
        <v>8.6300000000000008</v>
      </c>
      <c r="BR4" s="266" t="s">
        <v>24</v>
      </c>
      <c r="BS4" s="290" t="s">
        <v>24</v>
      </c>
      <c r="BT4" s="291" t="s">
        <v>24</v>
      </c>
      <c r="BU4" s="149" t="s">
        <v>2438</v>
      </c>
      <c r="BV4" s="150">
        <v>30.46</v>
      </c>
      <c r="BW4" s="150">
        <v>1.47</v>
      </c>
      <c r="BX4" s="266" t="s">
        <v>24</v>
      </c>
      <c r="BY4" s="149" t="s">
        <v>2440</v>
      </c>
      <c r="BZ4" s="150">
        <v>42.75</v>
      </c>
      <c r="CA4" s="150">
        <v>7.16</v>
      </c>
      <c r="CB4" s="266" t="s">
        <v>24</v>
      </c>
      <c r="CC4" s="290" t="s">
        <v>24</v>
      </c>
      <c r="CD4" s="291" t="s">
        <v>24</v>
      </c>
      <c r="CE4" s="278" t="s">
        <v>24</v>
      </c>
      <c r="CF4" s="285" t="s">
        <v>24</v>
      </c>
      <c r="CG4" s="149" t="s">
        <v>2441</v>
      </c>
      <c r="CH4" s="150">
        <v>19.63</v>
      </c>
      <c r="CI4" s="150">
        <v>1.47</v>
      </c>
      <c r="CJ4" s="150" t="s">
        <v>24</v>
      </c>
      <c r="CK4" s="149" t="s">
        <v>2442</v>
      </c>
      <c r="CL4" s="150">
        <v>43.3</v>
      </c>
      <c r="CM4" s="150">
        <v>6.79</v>
      </c>
      <c r="CN4" s="150" t="s">
        <v>24</v>
      </c>
      <c r="CO4" s="302" t="s">
        <v>2541</v>
      </c>
      <c r="CP4" s="303" t="s">
        <v>2415</v>
      </c>
      <c r="CQ4" s="149" t="s">
        <v>2443</v>
      </c>
      <c r="CR4" s="150">
        <v>13.95</v>
      </c>
      <c r="CS4" s="150">
        <v>1.28</v>
      </c>
      <c r="CT4" s="150" t="s">
        <v>24</v>
      </c>
      <c r="CU4" s="149" t="s">
        <v>2444</v>
      </c>
      <c r="CV4" s="150">
        <v>29.36</v>
      </c>
      <c r="CW4" s="150">
        <v>6.6</v>
      </c>
      <c r="CX4" s="150" t="s">
        <v>24</v>
      </c>
      <c r="CY4" s="302" t="s">
        <v>2542</v>
      </c>
      <c r="CZ4" s="303" t="s">
        <v>2415</v>
      </c>
      <c r="DA4" s="278" t="s">
        <v>2416</v>
      </c>
      <c r="DB4" s="279" t="s">
        <v>1877</v>
      </c>
      <c r="DC4" s="150"/>
      <c r="DD4" s="150"/>
      <c r="DE4" s="150"/>
      <c r="DF4" s="150"/>
      <c r="DG4" s="151"/>
      <c r="DH4" s="150"/>
      <c r="DI4" s="150"/>
      <c r="DJ4" s="150"/>
      <c r="DK4" s="303"/>
      <c r="DL4" s="303"/>
      <c r="DM4" s="150"/>
      <c r="DN4" s="150"/>
      <c r="DO4" s="150"/>
      <c r="DP4" s="150"/>
      <c r="DQ4" s="150"/>
      <c r="DR4" s="150"/>
      <c r="DS4" s="150"/>
      <c r="DT4" s="150"/>
      <c r="DU4" s="303"/>
      <c r="DV4" s="303"/>
      <c r="DW4" s="279"/>
      <c r="DX4" s="150"/>
      <c r="DY4" s="150"/>
      <c r="DZ4" s="150"/>
      <c r="EA4" s="150"/>
      <c r="EB4" s="150"/>
      <c r="EC4" s="150"/>
      <c r="ED4" s="150"/>
      <c r="EE4" s="150"/>
      <c r="EF4" s="303"/>
      <c r="EG4" s="303"/>
      <c r="EH4" s="150"/>
      <c r="EI4" s="150"/>
      <c r="EJ4" s="150"/>
      <c r="EK4" s="150"/>
    </row>
    <row r="5" spans="1:141">
      <c r="A5" s="79" t="s">
        <v>152</v>
      </c>
      <c r="B5" s="364">
        <v>3</v>
      </c>
      <c r="C5" s="123" t="s">
        <v>1955</v>
      </c>
      <c r="D5" s="124" t="s">
        <v>2176</v>
      </c>
      <c r="E5" s="125">
        <v>1999</v>
      </c>
      <c r="F5" s="79">
        <v>10066999</v>
      </c>
      <c r="G5" s="79">
        <v>1</v>
      </c>
      <c r="H5" s="126"/>
      <c r="I5" s="127"/>
      <c r="J5" s="79">
        <v>1</v>
      </c>
      <c r="K5" s="79"/>
      <c r="L5" s="79">
        <v>1</v>
      </c>
      <c r="M5" s="128">
        <v>1</v>
      </c>
      <c r="N5" s="79" t="s">
        <v>11</v>
      </c>
      <c r="O5" s="79" t="s">
        <v>1162</v>
      </c>
      <c r="P5" s="79" t="s">
        <v>25</v>
      </c>
      <c r="Q5" s="79">
        <v>1</v>
      </c>
      <c r="R5" s="79"/>
      <c r="S5" s="79"/>
      <c r="T5" s="79"/>
      <c r="U5" s="79" t="s">
        <v>11</v>
      </c>
      <c r="V5" s="79" t="s">
        <v>24</v>
      </c>
      <c r="W5" s="79" t="s">
        <v>13</v>
      </c>
      <c r="X5" s="79"/>
      <c r="Y5" s="79"/>
      <c r="Z5" s="79"/>
      <c r="AA5" s="129">
        <v>1</v>
      </c>
      <c r="AB5" s="130" t="s">
        <v>24</v>
      </c>
      <c r="AC5" s="136">
        <v>2</v>
      </c>
      <c r="AD5" s="198"/>
      <c r="AE5" s="192">
        <v>1</v>
      </c>
      <c r="AF5" s="199"/>
      <c r="AG5" s="16">
        <v>24</v>
      </c>
      <c r="AH5" s="16">
        <v>12</v>
      </c>
      <c r="AI5" s="16">
        <v>12</v>
      </c>
      <c r="AJ5" s="16" t="s">
        <v>803</v>
      </c>
      <c r="AK5" s="16" t="s">
        <v>803</v>
      </c>
      <c r="AL5" s="16">
        <v>33.6</v>
      </c>
      <c r="AM5" s="16">
        <v>6.2</v>
      </c>
      <c r="AN5" s="16">
        <v>38.4</v>
      </c>
      <c r="AO5" s="16">
        <v>11.7</v>
      </c>
      <c r="AP5" s="16" t="s">
        <v>1874</v>
      </c>
      <c r="AQ5" s="16" t="s">
        <v>24</v>
      </c>
      <c r="AR5" s="16" t="s">
        <v>24</v>
      </c>
      <c r="AS5" s="16" t="s">
        <v>2423</v>
      </c>
      <c r="AT5" s="16" t="s">
        <v>2605</v>
      </c>
      <c r="AU5" s="16" t="s">
        <v>1875</v>
      </c>
      <c r="AV5" s="132">
        <v>1</v>
      </c>
      <c r="AW5" s="132"/>
      <c r="AX5" s="132"/>
      <c r="AY5" s="132"/>
      <c r="AZ5" s="132"/>
      <c r="BA5" s="132"/>
      <c r="BB5" s="132"/>
      <c r="BC5" s="132"/>
      <c r="BD5" s="133" t="s">
        <v>2528</v>
      </c>
      <c r="BE5" s="26" t="s">
        <v>1876</v>
      </c>
      <c r="BF5" s="26">
        <v>2</v>
      </c>
      <c r="BG5" s="26" t="s">
        <v>1488</v>
      </c>
      <c r="BH5" s="26" t="s">
        <v>2470</v>
      </c>
      <c r="BI5" s="134" t="s">
        <v>2400</v>
      </c>
      <c r="BJ5" s="255" t="s">
        <v>2533</v>
      </c>
      <c r="BK5" s="264" t="s">
        <v>2448</v>
      </c>
      <c r="BL5" s="134">
        <f>AVERAGE(187.57,247.63)</f>
        <v>217.6</v>
      </c>
      <c r="BM5" s="134">
        <f>STDEV(187.57,247.63)</f>
        <v>42.468833278064089</v>
      </c>
      <c r="BN5" s="134" t="s">
        <v>24</v>
      </c>
      <c r="BO5" s="264" t="s">
        <v>2449</v>
      </c>
      <c r="BP5" s="134">
        <f>AVERAGE(194.04, 229.522)</f>
        <v>211.78100000000001</v>
      </c>
      <c r="BQ5" s="134">
        <f>STDEV(194.04, 229.522)</f>
        <v>25.089562810061079</v>
      </c>
      <c r="BR5" s="134" t="s">
        <v>24</v>
      </c>
      <c r="BS5" s="288" t="s">
        <v>2412</v>
      </c>
      <c r="BT5" s="289" t="s">
        <v>2551</v>
      </c>
      <c r="BU5" s="264" t="s">
        <v>2450</v>
      </c>
      <c r="BV5" s="222">
        <f>AVERAGE(196.09439, 226.00397)</f>
        <v>211.04918000000001</v>
      </c>
      <c r="BW5" s="222">
        <f>STDEV(196.09439, 226.00397)</f>
        <v>21.149266840441541</v>
      </c>
      <c r="BX5" s="134" t="s">
        <v>24</v>
      </c>
      <c r="BY5" s="264" t="s">
        <v>2451</v>
      </c>
      <c r="BZ5" s="134">
        <f>AVERAGE(172.08734, 136.67021)</f>
        <v>154.37877500000002</v>
      </c>
      <c r="CA5" s="134">
        <f>STDEV(172.08734, 136.67021)</f>
        <v>25.043692793165462</v>
      </c>
      <c r="CB5" s="134" t="s">
        <v>24</v>
      </c>
      <c r="CC5" s="288" t="s">
        <v>2411</v>
      </c>
      <c r="CD5" s="289" t="s">
        <v>2445</v>
      </c>
      <c r="CE5" s="276" t="s">
        <v>2465</v>
      </c>
      <c r="CF5" s="308" t="s">
        <v>2446</v>
      </c>
      <c r="CG5" s="137"/>
      <c r="CH5" s="190"/>
      <c r="CI5" s="168"/>
      <c r="CJ5" s="190"/>
      <c r="CK5" s="168"/>
      <c r="CL5" s="190"/>
      <c r="CM5" s="168"/>
      <c r="CN5" s="190"/>
      <c r="CO5" s="300"/>
      <c r="CP5" s="301" t="s">
        <v>24</v>
      </c>
      <c r="CQ5" s="168"/>
      <c r="CR5" s="190"/>
      <c r="CS5" s="168"/>
      <c r="CT5" s="190"/>
      <c r="CU5" s="168"/>
      <c r="CV5" s="190"/>
      <c r="CW5" s="168"/>
      <c r="CX5" s="190"/>
      <c r="CY5" s="300"/>
      <c r="CZ5" s="301"/>
      <c r="DA5" s="317"/>
      <c r="DB5" s="318"/>
      <c r="DC5" s="134"/>
      <c r="DD5" s="134"/>
      <c r="DE5" s="134"/>
      <c r="DF5" s="134"/>
      <c r="DG5" s="138"/>
      <c r="DH5" s="134"/>
      <c r="DI5" s="134"/>
      <c r="DJ5" s="134"/>
      <c r="DK5" s="301"/>
      <c r="DL5" s="301"/>
      <c r="DM5" s="134"/>
      <c r="DN5" s="134"/>
      <c r="DO5" s="134"/>
      <c r="DP5" s="134"/>
      <c r="DQ5" s="134"/>
      <c r="DR5" s="134"/>
      <c r="DS5" s="134"/>
      <c r="DT5" s="134"/>
      <c r="DU5" s="301"/>
      <c r="DV5" s="301"/>
      <c r="DW5" s="277"/>
      <c r="DX5" s="134"/>
      <c r="DY5" s="134"/>
      <c r="DZ5" s="134"/>
      <c r="EA5" s="134"/>
      <c r="EB5" s="134"/>
      <c r="EC5" s="134"/>
      <c r="ED5" s="134"/>
      <c r="EE5" s="134"/>
      <c r="EF5" s="301"/>
      <c r="EG5" s="301"/>
      <c r="EH5" s="134"/>
      <c r="EI5" s="134"/>
      <c r="EJ5" s="134"/>
      <c r="EK5" s="134"/>
    </row>
    <row r="6" spans="1:141" s="119" customFormat="1">
      <c r="A6" s="118" t="s">
        <v>152</v>
      </c>
      <c r="B6" s="364">
        <v>3</v>
      </c>
      <c r="C6" s="139" t="s">
        <v>1955</v>
      </c>
      <c r="D6" s="140" t="s">
        <v>2176</v>
      </c>
      <c r="E6" s="141">
        <v>1999</v>
      </c>
      <c r="F6" s="118">
        <v>10066999</v>
      </c>
      <c r="G6" s="118">
        <v>1</v>
      </c>
      <c r="H6" s="118"/>
      <c r="I6" s="118"/>
      <c r="J6" s="118">
        <v>1</v>
      </c>
      <c r="K6" s="118"/>
      <c r="L6" s="118">
        <v>1</v>
      </c>
      <c r="M6" s="142">
        <v>1</v>
      </c>
      <c r="N6" s="118" t="s">
        <v>11</v>
      </c>
      <c r="O6" s="118" t="s">
        <v>1162</v>
      </c>
      <c r="P6" s="118" t="s">
        <v>25</v>
      </c>
      <c r="Q6" s="118">
        <v>1</v>
      </c>
      <c r="R6" s="118"/>
      <c r="S6" s="118"/>
      <c r="T6" s="118"/>
      <c r="U6" s="118" t="s">
        <v>11</v>
      </c>
      <c r="V6" s="118" t="s">
        <v>24</v>
      </c>
      <c r="W6" s="118" t="s">
        <v>13</v>
      </c>
      <c r="X6" s="118"/>
      <c r="Y6" s="118"/>
      <c r="Z6" s="118"/>
      <c r="AA6" s="143">
        <v>1</v>
      </c>
      <c r="AB6" s="144" t="s">
        <v>24</v>
      </c>
      <c r="AC6" s="145">
        <v>2</v>
      </c>
      <c r="AD6" s="200"/>
      <c r="AE6" s="192">
        <v>1</v>
      </c>
      <c r="AF6" s="201"/>
      <c r="AG6" s="146">
        <v>24</v>
      </c>
      <c r="AH6" s="146">
        <v>12</v>
      </c>
      <c r="AI6" s="146">
        <v>12</v>
      </c>
      <c r="AJ6" s="146" t="s">
        <v>803</v>
      </c>
      <c r="AK6" s="146" t="s">
        <v>803</v>
      </c>
      <c r="AL6" s="146">
        <v>33.6</v>
      </c>
      <c r="AM6" s="146">
        <v>6.2</v>
      </c>
      <c r="AN6" s="146">
        <v>38.4</v>
      </c>
      <c r="AO6" s="146">
        <v>11.7</v>
      </c>
      <c r="AP6" s="146" t="s">
        <v>1874</v>
      </c>
      <c r="AQ6" s="146" t="s">
        <v>24</v>
      </c>
      <c r="AR6" s="146" t="s">
        <v>24</v>
      </c>
      <c r="AS6" s="146" t="s">
        <v>2423</v>
      </c>
      <c r="AT6" s="146" t="s">
        <v>2605</v>
      </c>
      <c r="AU6" s="146" t="s">
        <v>1875</v>
      </c>
      <c r="AV6" s="147">
        <v>1</v>
      </c>
      <c r="AW6" s="147"/>
      <c r="AX6" s="147"/>
      <c r="AY6" s="147"/>
      <c r="AZ6" s="147"/>
      <c r="BA6" s="147"/>
      <c r="BB6" s="147"/>
      <c r="BC6" s="147"/>
      <c r="BD6" s="148" t="s">
        <v>2529</v>
      </c>
      <c r="BE6" s="253" t="s">
        <v>1876</v>
      </c>
      <c r="BF6" s="253">
        <v>2</v>
      </c>
      <c r="BG6" s="253" t="s">
        <v>1488</v>
      </c>
      <c r="BH6" s="253" t="s">
        <v>2470</v>
      </c>
      <c r="BI6" s="150" t="s">
        <v>2400</v>
      </c>
      <c r="BJ6" s="257" t="s">
        <v>2532</v>
      </c>
      <c r="BK6" s="151" t="s">
        <v>2452</v>
      </c>
      <c r="BL6" s="150">
        <f>AVERAGE(274.57947, 212.49274, 247.73543)</f>
        <v>244.93588</v>
      </c>
      <c r="BM6" s="150">
        <f>STDEV(274.57947, 212.49274, 247.73543)</f>
        <v>31.137896856966954</v>
      </c>
      <c r="BN6" s="150" t="s">
        <v>24</v>
      </c>
      <c r="BO6" s="151" t="s">
        <v>2453</v>
      </c>
      <c r="BP6" s="266">
        <f>AVERAGE(219.72,229.35,194.98)</f>
        <v>214.68333333333331</v>
      </c>
      <c r="BQ6" s="266">
        <f>STDEV(219.72,229.35,194.98)</f>
        <v>17.729924797734856</v>
      </c>
      <c r="BR6" s="266" t="s">
        <v>24</v>
      </c>
      <c r="BS6" s="290" t="s">
        <v>24</v>
      </c>
      <c r="BT6" s="291"/>
      <c r="BU6" s="151" t="s">
        <v>2454</v>
      </c>
      <c r="BV6" s="150">
        <f>AVERAGE(153.23897, 157.82425, 154.38579)</f>
        <v>155.14966999999999</v>
      </c>
      <c r="BW6" s="150">
        <f>STDEV(153.23897, 157.82425, 154.38579)</f>
        <v>2.3861753205496106</v>
      </c>
      <c r="BX6" s="150" t="s">
        <v>24</v>
      </c>
      <c r="BY6" s="151" t="s">
        <v>2455</v>
      </c>
      <c r="BZ6" s="150">
        <f>AVERAGE(243.01,198.31,196.28)</f>
        <v>212.53333333333333</v>
      </c>
      <c r="CA6" s="150">
        <f>STDEV(243.01,198.31,196.28)</f>
        <v>26.41307693801194</v>
      </c>
      <c r="CB6" s="150" t="s">
        <v>24</v>
      </c>
      <c r="CC6" s="290" t="s">
        <v>24</v>
      </c>
      <c r="CD6" s="291"/>
      <c r="CE6" s="278"/>
      <c r="CF6" s="285"/>
      <c r="CG6" s="151" t="s">
        <v>24</v>
      </c>
      <c r="CH6" s="150"/>
      <c r="CI6" s="150"/>
      <c r="CJ6" s="150"/>
      <c r="CK6" s="151"/>
      <c r="CL6" s="266"/>
      <c r="CM6" s="266"/>
      <c r="CN6" s="266"/>
      <c r="CO6" s="302"/>
      <c r="CP6" s="303"/>
      <c r="CQ6" s="151"/>
      <c r="CR6" s="150"/>
      <c r="CS6" s="150"/>
      <c r="CT6" s="150"/>
      <c r="CU6" s="151"/>
      <c r="CV6" s="150"/>
      <c r="CW6" s="150"/>
      <c r="CX6" s="150"/>
      <c r="CY6" s="302"/>
      <c r="CZ6" s="303"/>
      <c r="DA6" s="278"/>
      <c r="DB6" s="279"/>
      <c r="DC6" s="150"/>
      <c r="DD6" s="150"/>
      <c r="DE6" s="150"/>
      <c r="DF6" s="150"/>
      <c r="DG6" s="151"/>
      <c r="DH6" s="150"/>
      <c r="DI6" s="150"/>
      <c r="DJ6" s="150"/>
      <c r="DK6" s="303"/>
      <c r="DL6" s="303"/>
      <c r="DM6" s="150"/>
      <c r="DN6" s="150"/>
      <c r="DO6" s="150"/>
      <c r="DP6" s="150"/>
      <c r="DQ6" s="150"/>
      <c r="DR6" s="150"/>
      <c r="DS6" s="150"/>
      <c r="DT6" s="150"/>
      <c r="DU6" s="303"/>
      <c r="DV6" s="303"/>
      <c r="DW6" s="279"/>
      <c r="DX6" s="150"/>
      <c r="DY6" s="150"/>
      <c r="DZ6" s="150"/>
      <c r="EA6" s="150"/>
      <c r="EB6" s="150"/>
      <c r="EC6" s="150"/>
      <c r="ED6" s="150"/>
      <c r="EE6" s="150"/>
      <c r="EF6" s="303"/>
      <c r="EG6" s="303"/>
      <c r="EH6" s="150"/>
      <c r="EI6" s="150"/>
      <c r="EJ6" s="150"/>
      <c r="EK6" s="150"/>
    </row>
    <row r="7" spans="1:141" s="119" customFormat="1">
      <c r="A7" s="118" t="s">
        <v>152</v>
      </c>
      <c r="B7" s="364">
        <v>3</v>
      </c>
      <c r="C7" s="139" t="s">
        <v>1955</v>
      </c>
      <c r="D7" s="140" t="s">
        <v>2176</v>
      </c>
      <c r="E7" s="141">
        <v>1999</v>
      </c>
      <c r="F7" s="118">
        <v>10066999</v>
      </c>
      <c r="G7" s="118">
        <v>1</v>
      </c>
      <c r="H7" s="118"/>
      <c r="I7" s="118"/>
      <c r="J7" s="118">
        <v>1</v>
      </c>
      <c r="K7" s="118"/>
      <c r="L7" s="118">
        <v>1</v>
      </c>
      <c r="M7" s="142">
        <v>1</v>
      </c>
      <c r="N7" s="118" t="s">
        <v>11</v>
      </c>
      <c r="O7" s="118" t="s">
        <v>1162</v>
      </c>
      <c r="P7" s="118" t="s">
        <v>25</v>
      </c>
      <c r="Q7" s="118">
        <v>1</v>
      </c>
      <c r="R7" s="118"/>
      <c r="S7" s="118"/>
      <c r="T7" s="118"/>
      <c r="U7" s="118" t="s">
        <v>11</v>
      </c>
      <c r="V7" s="118" t="s">
        <v>24</v>
      </c>
      <c r="W7" s="118" t="s">
        <v>13</v>
      </c>
      <c r="X7" s="118"/>
      <c r="Y7" s="118"/>
      <c r="Z7" s="118"/>
      <c r="AA7" s="143">
        <v>1</v>
      </c>
      <c r="AB7" s="144" t="s">
        <v>24</v>
      </c>
      <c r="AC7" s="145">
        <v>2</v>
      </c>
      <c r="AD7" s="200"/>
      <c r="AE7" s="192">
        <v>1</v>
      </c>
      <c r="AF7" s="201"/>
      <c r="AG7" s="146">
        <v>24</v>
      </c>
      <c r="AH7" s="146">
        <v>12</v>
      </c>
      <c r="AI7" s="146">
        <v>12</v>
      </c>
      <c r="AJ7" s="146" t="s">
        <v>803</v>
      </c>
      <c r="AK7" s="146" t="s">
        <v>803</v>
      </c>
      <c r="AL7" s="146">
        <v>33.6</v>
      </c>
      <c r="AM7" s="146">
        <v>6.2</v>
      </c>
      <c r="AN7" s="146">
        <v>38.4</v>
      </c>
      <c r="AO7" s="146">
        <v>11.7</v>
      </c>
      <c r="AP7" s="146" t="s">
        <v>1874</v>
      </c>
      <c r="AQ7" s="146" t="s">
        <v>24</v>
      </c>
      <c r="AR7" s="146" t="s">
        <v>24</v>
      </c>
      <c r="AS7" s="146" t="s">
        <v>2423</v>
      </c>
      <c r="AT7" s="146" t="s">
        <v>2605</v>
      </c>
      <c r="AU7" s="146" t="s">
        <v>1875</v>
      </c>
      <c r="AV7" s="147">
        <v>1</v>
      </c>
      <c r="AW7" s="147"/>
      <c r="AX7" s="147"/>
      <c r="AY7" s="147"/>
      <c r="AZ7" s="147">
        <v>1</v>
      </c>
      <c r="BA7" s="147"/>
      <c r="BB7" s="147"/>
      <c r="BC7" s="147"/>
      <c r="BD7" s="148" t="s">
        <v>2534</v>
      </c>
      <c r="BE7" s="253" t="s">
        <v>1876</v>
      </c>
      <c r="BF7" s="253">
        <v>2</v>
      </c>
      <c r="BG7" s="253" t="s">
        <v>1488</v>
      </c>
      <c r="BH7" s="253" t="s">
        <v>2470</v>
      </c>
      <c r="BI7" s="150" t="s">
        <v>2400</v>
      </c>
      <c r="BJ7" s="257" t="s">
        <v>2546</v>
      </c>
      <c r="BK7" s="151" t="s">
        <v>2457</v>
      </c>
      <c r="BL7" s="150">
        <f>AVERAGE(260.48,172.94)</f>
        <v>216.71</v>
      </c>
      <c r="BM7" s="150">
        <f>STDEV(260.48,172.94)</f>
        <v>61.900127625070326</v>
      </c>
      <c r="BN7" s="150" t="s">
        <v>24</v>
      </c>
      <c r="BO7" s="151" t="s">
        <v>2456</v>
      </c>
      <c r="BP7" s="150">
        <f>AVERAGE(273.86,190.18)</f>
        <v>232.02</v>
      </c>
      <c r="BQ7" s="150">
        <f>STDEV(273.86,190.18)</f>
        <v>59.170695449690392</v>
      </c>
      <c r="BR7" s="150" t="s">
        <v>24</v>
      </c>
      <c r="BS7" s="290"/>
      <c r="BT7" s="291"/>
      <c r="BU7" s="151" t="s">
        <v>2458</v>
      </c>
      <c r="BV7" s="150">
        <f>AVERAGE(267.09,195.19)</f>
        <v>231.14</v>
      </c>
      <c r="BW7" s="150">
        <f>STDEV(267.09,195.19)</f>
        <v>50.840977567312699</v>
      </c>
      <c r="BX7" s="150" t="s">
        <v>24</v>
      </c>
      <c r="BY7" s="151" t="s">
        <v>2459</v>
      </c>
      <c r="BZ7" s="150">
        <f>AVERAGE(241.68,204.87)</f>
        <v>223.27500000000001</v>
      </c>
      <c r="CA7" s="150">
        <f>STDEV(241.68,204.87)</f>
        <v>26.028600615476815</v>
      </c>
      <c r="CB7" s="150" t="s">
        <v>24</v>
      </c>
      <c r="CC7" s="290"/>
      <c r="CD7" s="291"/>
      <c r="CE7" s="278" t="s">
        <v>2546</v>
      </c>
      <c r="CF7" s="279" t="s">
        <v>2538</v>
      </c>
      <c r="CG7" s="151" t="s">
        <v>24</v>
      </c>
      <c r="CH7" s="150"/>
      <c r="CI7" s="150"/>
      <c r="CJ7" s="150"/>
      <c r="CK7" s="151"/>
      <c r="CL7" s="266"/>
      <c r="CM7" s="266"/>
      <c r="CN7" s="266"/>
      <c r="CO7" s="302"/>
      <c r="CP7" s="303"/>
      <c r="CQ7" s="151"/>
      <c r="CR7" s="150"/>
      <c r="CS7" s="150"/>
      <c r="CT7" s="150"/>
      <c r="CU7" s="151"/>
      <c r="CV7" s="150"/>
      <c r="CW7" s="150"/>
      <c r="CX7" s="150"/>
      <c r="CY7" s="302"/>
      <c r="CZ7" s="303"/>
      <c r="DA7" s="278"/>
      <c r="DB7" s="279"/>
      <c r="DC7" s="150"/>
      <c r="DD7" s="150"/>
      <c r="DE7" s="150"/>
      <c r="DF7" s="150"/>
      <c r="DG7" s="151"/>
      <c r="DH7" s="150"/>
      <c r="DI7" s="150"/>
      <c r="DJ7" s="150"/>
      <c r="DK7" s="303"/>
      <c r="DL7" s="303"/>
      <c r="DM7" s="150"/>
      <c r="DN7" s="150"/>
      <c r="DO7" s="150"/>
      <c r="DP7" s="150"/>
      <c r="DQ7" s="150"/>
      <c r="DR7" s="150"/>
      <c r="DS7" s="150"/>
      <c r="DT7" s="150"/>
      <c r="DU7" s="303"/>
      <c r="DV7" s="303"/>
      <c r="DW7" s="279"/>
      <c r="DX7" s="150"/>
      <c r="DY7" s="150"/>
      <c r="DZ7" s="150"/>
      <c r="EA7" s="150"/>
      <c r="EB7" s="150"/>
      <c r="EC7" s="150"/>
      <c r="ED7" s="150"/>
      <c r="EE7" s="150"/>
      <c r="EF7" s="303"/>
      <c r="EG7" s="303"/>
      <c r="EH7" s="150"/>
      <c r="EI7" s="150"/>
      <c r="EJ7" s="150"/>
      <c r="EK7" s="150"/>
    </row>
    <row r="8" spans="1:141" s="119" customFormat="1">
      <c r="A8" s="118" t="s">
        <v>152</v>
      </c>
      <c r="B8" s="364">
        <v>3</v>
      </c>
      <c r="C8" s="139" t="s">
        <v>1955</v>
      </c>
      <c r="D8" s="140" t="s">
        <v>2176</v>
      </c>
      <c r="E8" s="141">
        <v>1999</v>
      </c>
      <c r="F8" s="118">
        <v>10066999</v>
      </c>
      <c r="G8" s="118">
        <v>1</v>
      </c>
      <c r="H8" s="118"/>
      <c r="I8" s="118"/>
      <c r="J8" s="118">
        <v>1</v>
      </c>
      <c r="K8" s="118"/>
      <c r="L8" s="118">
        <v>1</v>
      </c>
      <c r="M8" s="142">
        <v>1</v>
      </c>
      <c r="N8" s="118" t="s">
        <v>11</v>
      </c>
      <c r="O8" s="118" t="s">
        <v>1162</v>
      </c>
      <c r="P8" s="118" t="s">
        <v>25</v>
      </c>
      <c r="Q8" s="118">
        <v>1</v>
      </c>
      <c r="R8" s="118"/>
      <c r="S8" s="118"/>
      <c r="T8" s="118"/>
      <c r="U8" s="118" t="s">
        <v>11</v>
      </c>
      <c r="V8" s="118" t="s">
        <v>24</v>
      </c>
      <c r="W8" s="118" t="s">
        <v>13</v>
      </c>
      <c r="X8" s="118"/>
      <c r="Y8" s="118"/>
      <c r="Z8" s="118"/>
      <c r="AA8" s="143">
        <v>1</v>
      </c>
      <c r="AB8" s="144" t="s">
        <v>24</v>
      </c>
      <c r="AC8" s="145">
        <v>2</v>
      </c>
      <c r="AD8" s="200"/>
      <c r="AE8" s="192">
        <v>1</v>
      </c>
      <c r="AF8" s="201"/>
      <c r="AG8" s="146">
        <v>24</v>
      </c>
      <c r="AH8" s="146">
        <v>12</v>
      </c>
      <c r="AI8" s="146">
        <v>12</v>
      </c>
      <c r="AJ8" s="146" t="s">
        <v>803</v>
      </c>
      <c r="AK8" s="146" t="s">
        <v>803</v>
      </c>
      <c r="AL8" s="146">
        <v>33.6</v>
      </c>
      <c r="AM8" s="146">
        <v>6.2</v>
      </c>
      <c r="AN8" s="146">
        <v>38.4</v>
      </c>
      <c r="AO8" s="146">
        <v>11.7</v>
      </c>
      <c r="AP8" s="146" t="s">
        <v>1874</v>
      </c>
      <c r="AQ8" s="146" t="s">
        <v>24</v>
      </c>
      <c r="AR8" s="146" t="s">
        <v>24</v>
      </c>
      <c r="AS8" s="146" t="s">
        <v>2423</v>
      </c>
      <c r="AT8" s="146" t="s">
        <v>2605</v>
      </c>
      <c r="AU8" s="146" t="s">
        <v>1875</v>
      </c>
      <c r="AV8" s="147">
        <v>1</v>
      </c>
      <c r="AW8" s="147"/>
      <c r="AX8" s="147"/>
      <c r="AY8" s="147"/>
      <c r="AZ8" s="147"/>
      <c r="BA8" s="147"/>
      <c r="BB8" s="147"/>
      <c r="BC8" s="147"/>
      <c r="BD8" s="148" t="s">
        <v>2530</v>
      </c>
      <c r="BE8" s="253" t="s">
        <v>1876</v>
      </c>
      <c r="BF8" s="253">
        <v>2</v>
      </c>
      <c r="BG8" s="253" t="s">
        <v>1488</v>
      </c>
      <c r="BH8" s="253" t="s">
        <v>2470</v>
      </c>
      <c r="BI8" s="150" t="s">
        <v>2400</v>
      </c>
      <c r="BJ8" s="258" t="s">
        <v>2531</v>
      </c>
      <c r="BK8" s="151" t="s">
        <v>2460</v>
      </c>
      <c r="BL8" s="228">
        <f>AVERAGE(195.72,224.54)</f>
        <v>210.13</v>
      </c>
      <c r="BM8" s="150">
        <f>STDEV(195.72,224.54)</f>
        <v>20.378817433796296</v>
      </c>
      <c r="BN8" s="266" t="s">
        <v>24</v>
      </c>
      <c r="BO8" s="151" t="s">
        <v>2461</v>
      </c>
      <c r="BP8" s="266">
        <f>AVERAGE(174.011,132.523)</f>
        <v>153.267</v>
      </c>
      <c r="BQ8" s="266">
        <f>STDEV(174.011,132.523)</f>
        <v>29.336446137867533</v>
      </c>
      <c r="BR8" s="150" t="s">
        <v>24</v>
      </c>
      <c r="BS8" s="290"/>
      <c r="BT8" s="291"/>
      <c r="BU8" s="151" t="s">
        <v>2462</v>
      </c>
      <c r="BV8" s="150">
        <f>AVERAGE(183.79,246.16)</f>
        <v>214.97499999999999</v>
      </c>
      <c r="BW8" s="150">
        <f>STDEV(183.79,246.16)</f>
        <v>44.1022499426049</v>
      </c>
      <c r="BX8" s="150" t="s">
        <v>24</v>
      </c>
      <c r="BY8" s="151" t="s">
        <v>2463</v>
      </c>
      <c r="BZ8" s="150">
        <f>AVERAGE(189.84,229.23)</f>
        <v>209.535</v>
      </c>
      <c r="CA8" s="150">
        <f>STDEV(189.84,229.23)</f>
        <v>27.852936110938099</v>
      </c>
      <c r="CB8" s="150" t="s">
        <v>24</v>
      </c>
      <c r="CC8" s="290"/>
      <c r="CD8" s="291"/>
      <c r="CE8" s="278" t="s">
        <v>2535</v>
      </c>
      <c r="CF8" s="279" t="s">
        <v>2464</v>
      </c>
      <c r="CG8" s="151" t="s">
        <v>24</v>
      </c>
      <c r="CH8" s="150"/>
      <c r="CI8" s="150"/>
      <c r="CJ8" s="150"/>
      <c r="CK8" s="151"/>
      <c r="CL8" s="266"/>
      <c r="CM8" s="266"/>
      <c r="CN8" s="266"/>
      <c r="CO8" s="302"/>
      <c r="CP8" s="303"/>
      <c r="CQ8" s="151"/>
      <c r="CR8" s="150"/>
      <c r="CS8" s="150"/>
      <c r="CT8" s="150"/>
      <c r="CU8" s="151"/>
      <c r="CV8" s="150"/>
      <c r="CW8" s="150"/>
      <c r="CX8" s="150"/>
      <c r="CY8" s="302"/>
      <c r="CZ8" s="303"/>
      <c r="DA8" s="278"/>
      <c r="DB8" s="279"/>
      <c r="DC8" s="150"/>
      <c r="DD8" s="150"/>
      <c r="DE8" s="150"/>
      <c r="DF8" s="150"/>
      <c r="DG8" s="151"/>
      <c r="DH8" s="150"/>
      <c r="DI8" s="150"/>
      <c r="DJ8" s="150"/>
      <c r="DK8" s="303"/>
      <c r="DL8" s="303"/>
      <c r="DM8" s="150"/>
      <c r="DN8" s="150"/>
      <c r="DO8" s="150"/>
      <c r="DP8" s="150"/>
      <c r="DQ8" s="150"/>
      <c r="DR8" s="150"/>
      <c r="DS8" s="150"/>
      <c r="DT8" s="150"/>
      <c r="DU8" s="303"/>
      <c r="DV8" s="303"/>
      <c r="DW8" s="279"/>
      <c r="DX8" s="150"/>
      <c r="DY8" s="150"/>
      <c r="DZ8" s="150"/>
      <c r="EA8" s="150"/>
      <c r="EB8" s="150"/>
      <c r="EC8" s="150"/>
      <c r="ED8" s="150"/>
      <c r="EE8" s="150"/>
      <c r="EF8" s="303"/>
      <c r="EG8" s="303"/>
      <c r="EH8" s="150"/>
      <c r="EI8" s="150"/>
      <c r="EJ8" s="150"/>
      <c r="EK8" s="150"/>
    </row>
    <row r="9" spans="1:141" s="3" customFormat="1">
      <c r="A9" s="128" t="s">
        <v>1111</v>
      </c>
      <c r="B9" s="364">
        <v>4</v>
      </c>
      <c r="C9" s="217" t="s">
        <v>2052</v>
      </c>
      <c r="D9" s="218" t="s">
        <v>2295</v>
      </c>
      <c r="E9" s="219">
        <v>2015</v>
      </c>
      <c r="F9" s="128">
        <v>25585683</v>
      </c>
      <c r="G9" s="128">
        <v>1</v>
      </c>
      <c r="H9" s="220">
        <v>1</v>
      </c>
      <c r="I9" s="221"/>
      <c r="J9" s="128">
        <v>1</v>
      </c>
      <c r="K9" s="128"/>
      <c r="L9" s="128">
        <v>1</v>
      </c>
      <c r="M9" s="128">
        <v>2</v>
      </c>
      <c r="N9" s="128" t="s">
        <v>1220</v>
      </c>
      <c r="O9" s="128" t="s">
        <v>1232</v>
      </c>
      <c r="P9" s="128" t="s">
        <v>1138</v>
      </c>
      <c r="Q9" s="128"/>
      <c r="R9" s="128" t="s">
        <v>1541</v>
      </c>
      <c r="S9" s="128" t="s">
        <v>23</v>
      </c>
      <c r="T9" s="128" t="s">
        <v>23</v>
      </c>
      <c r="U9" s="128" t="s">
        <v>1139</v>
      </c>
      <c r="V9" s="128" t="s">
        <v>24</v>
      </c>
      <c r="W9" s="128" t="s">
        <v>1132</v>
      </c>
      <c r="X9" s="128"/>
      <c r="Y9" s="128"/>
      <c r="Z9" s="128"/>
      <c r="AA9" s="154">
        <v>1</v>
      </c>
      <c r="AB9" s="155" t="s">
        <v>3316</v>
      </c>
      <c r="AC9" s="134">
        <v>5</v>
      </c>
      <c r="AD9" s="213" t="s">
        <v>2484</v>
      </c>
      <c r="AE9" s="192">
        <v>1</v>
      </c>
      <c r="AF9" s="215"/>
      <c r="AG9" s="134">
        <v>14</v>
      </c>
      <c r="AH9" s="134">
        <v>7</v>
      </c>
      <c r="AI9" s="134">
        <v>7</v>
      </c>
      <c r="AJ9" s="134" t="s">
        <v>803</v>
      </c>
      <c r="AK9" s="134" t="s">
        <v>803</v>
      </c>
      <c r="AL9" s="134" t="s">
        <v>2468</v>
      </c>
      <c r="AM9" s="134" t="s">
        <v>24</v>
      </c>
      <c r="AN9" s="134" t="s">
        <v>2468</v>
      </c>
      <c r="AO9" s="134" t="s">
        <v>24</v>
      </c>
      <c r="AP9" s="134" t="s">
        <v>2474</v>
      </c>
      <c r="AQ9" s="134">
        <v>1</v>
      </c>
      <c r="AR9" s="134" t="s">
        <v>3317</v>
      </c>
      <c r="AS9" s="134" t="s">
        <v>2473</v>
      </c>
      <c r="AT9" s="134" t="s">
        <v>2603</v>
      </c>
      <c r="AU9" s="134" t="s">
        <v>2554</v>
      </c>
      <c r="AV9" s="156"/>
      <c r="AW9" s="156">
        <v>1</v>
      </c>
      <c r="AX9" s="156"/>
      <c r="AY9" s="156"/>
      <c r="AZ9" s="156"/>
      <c r="BA9" s="156"/>
      <c r="BB9" s="156"/>
      <c r="BC9" s="156"/>
      <c r="BD9" s="232" t="s">
        <v>2544</v>
      </c>
      <c r="BE9" s="134" t="s">
        <v>1876</v>
      </c>
      <c r="BF9" s="134">
        <v>2</v>
      </c>
      <c r="BG9" s="134" t="s">
        <v>2467</v>
      </c>
      <c r="BH9" s="134" t="s">
        <v>2471</v>
      </c>
      <c r="BI9" s="168" t="s">
        <v>2660</v>
      </c>
      <c r="BJ9" s="259" t="s">
        <v>2492</v>
      </c>
      <c r="BK9" s="137" t="s">
        <v>2475</v>
      </c>
      <c r="BL9" s="222">
        <v>325.84589999999997</v>
      </c>
      <c r="BM9" s="222" t="s">
        <v>24</v>
      </c>
      <c r="BN9" s="134">
        <v>94.405100000000004</v>
      </c>
      <c r="BO9" s="137" t="s">
        <v>2476</v>
      </c>
      <c r="BP9" s="134">
        <v>97.234099999999998</v>
      </c>
      <c r="BQ9" s="134" t="s">
        <v>24</v>
      </c>
      <c r="BR9" s="134">
        <v>26.803899999999999</v>
      </c>
      <c r="BS9" s="288" t="s">
        <v>2479</v>
      </c>
      <c r="BT9" s="289" t="s">
        <v>2480</v>
      </c>
      <c r="BU9" s="137" t="s">
        <v>2477</v>
      </c>
      <c r="BV9" s="134">
        <v>418.31099999999998</v>
      </c>
      <c r="BW9" s="134" t="s">
        <v>24</v>
      </c>
      <c r="BX9" s="134">
        <v>65.265000000000001</v>
      </c>
      <c r="BY9" s="137" t="s">
        <v>2478</v>
      </c>
      <c r="BZ9" s="134">
        <v>54.4985</v>
      </c>
      <c r="CA9" s="134" t="s">
        <v>24</v>
      </c>
      <c r="CB9" s="134">
        <v>10.4907</v>
      </c>
      <c r="CC9" s="288" t="s">
        <v>2553</v>
      </c>
      <c r="CD9" s="289" t="s">
        <v>2481</v>
      </c>
      <c r="CE9" s="276" t="s">
        <v>2482</v>
      </c>
      <c r="CF9" s="308" t="s">
        <v>2483</v>
      </c>
      <c r="CG9" s="137"/>
      <c r="CH9" s="190"/>
      <c r="CI9" s="168"/>
      <c r="CJ9" s="190"/>
      <c r="CK9" s="168"/>
      <c r="CL9" s="190"/>
      <c r="CM9" s="168"/>
      <c r="CN9" s="190"/>
      <c r="CO9" s="304"/>
      <c r="CP9" s="312"/>
      <c r="CQ9" s="168"/>
      <c r="CR9" s="190"/>
      <c r="CS9" s="168"/>
      <c r="CT9" s="190"/>
      <c r="CU9" s="168"/>
      <c r="CV9" s="190"/>
      <c r="CW9" s="168"/>
      <c r="CX9" s="190"/>
      <c r="CY9" s="304"/>
      <c r="CZ9" s="312"/>
      <c r="DA9" s="317"/>
      <c r="DB9" s="318"/>
      <c r="DC9" s="134"/>
      <c r="DD9" s="134"/>
      <c r="DE9" s="134"/>
      <c r="DF9" s="134"/>
      <c r="DG9" s="138"/>
      <c r="DH9" s="134"/>
      <c r="DI9" s="134"/>
      <c r="DJ9" s="134"/>
      <c r="DK9" s="301"/>
      <c r="DL9" s="301"/>
      <c r="DM9" s="134"/>
      <c r="DN9" s="134"/>
      <c r="DO9" s="134"/>
      <c r="DP9" s="134"/>
      <c r="DQ9" s="134"/>
      <c r="DR9" s="134"/>
      <c r="DS9" s="134"/>
      <c r="DT9" s="134"/>
      <c r="DU9" s="301"/>
      <c r="DV9" s="301"/>
      <c r="DW9" s="277"/>
      <c r="DX9" s="134"/>
      <c r="DY9" s="134"/>
      <c r="DZ9" s="134"/>
      <c r="EA9" s="134"/>
      <c r="EB9" s="134"/>
      <c r="EC9" s="134"/>
      <c r="ED9" s="134"/>
      <c r="EE9" s="134"/>
      <c r="EF9" s="301"/>
      <c r="EG9" s="301"/>
      <c r="EH9" s="134"/>
      <c r="EI9" s="134"/>
      <c r="EJ9" s="134"/>
      <c r="EK9" s="134"/>
    </row>
    <row r="10" spans="1:141" s="229" customFormat="1">
      <c r="A10" s="142" t="s">
        <v>1111</v>
      </c>
      <c r="B10" s="364">
        <v>4</v>
      </c>
      <c r="C10" s="223" t="s">
        <v>2052</v>
      </c>
      <c r="D10" s="224" t="s">
        <v>2295</v>
      </c>
      <c r="E10" s="225">
        <v>2015</v>
      </c>
      <c r="F10" s="142">
        <v>25585683</v>
      </c>
      <c r="G10" s="142">
        <v>1</v>
      </c>
      <c r="H10" s="142">
        <v>1</v>
      </c>
      <c r="I10" s="142"/>
      <c r="J10" s="142">
        <v>1</v>
      </c>
      <c r="K10" s="142"/>
      <c r="L10" s="142">
        <v>1</v>
      </c>
      <c r="M10" s="142">
        <v>2</v>
      </c>
      <c r="N10" s="142" t="s">
        <v>1220</v>
      </c>
      <c r="O10" s="142" t="s">
        <v>1232</v>
      </c>
      <c r="P10" s="142" t="s">
        <v>1138</v>
      </c>
      <c r="Q10" s="142"/>
      <c r="R10" s="142" t="s">
        <v>1541</v>
      </c>
      <c r="S10" s="142" t="s">
        <v>23</v>
      </c>
      <c r="T10" s="142" t="s">
        <v>23</v>
      </c>
      <c r="U10" s="142" t="s">
        <v>1139</v>
      </c>
      <c r="V10" s="142" t="s">
        <v>24</v>
      </c>
      <c r="W10" s="142" t="s">
        <v>1132</v>
      </c>
      <c r="X10" s="142"/>
      <c r="Y10" s="142"/>
      <c r="Z10" s="142"/>
      <c r="AA10" s="159">
        <v>1</v>
      </c>
      <c r="AB10" s="155" t="s">
        <v>3316</v>
      </c>
      <c r="AC10" s="150">
        <v>5</v>
      </c>
      <c r="AD10" s="226" t="s">
        <v>2484</v>
      </c>
      <c r="AE10" s="192">
        <v>1</v>
      </c>
      <c r="AF10" s="227"/>
      <c r="AG10" s="150">
        <v>14</v>
      </c>
      <c r="AH10" s="150">
        <v>7</v>
      </c>
      <c r="AI10" s="150">
        <v>7</v>
      </c>
      <c r="AJ10" s="150" t="s">
        <v>803</v>
      </c>
      <c r="AK10" s="150" t="s">
        <v>803</v>
      </c>
      <c r="AL10" s="150" t="s">
        <v>2468</v>
      </c>
      <c r="AM10" s="150" t="s">
        <v>24</v>
      </c>
      <c r="AN10" s="150" t="s">
        <v>2468</v>
      </c>
      <c r="AO10" s="150" t="s">
        <v>24</v>
      </c>
      <c r="AP10" s="150" t="s">
        <v>2474</v>
      </c>
      <c r="AQ10" s="150">
        <v>1</v>
      </c>
      <c r="AR10" s="134" t="s">
        <v>3317</v>
      </c>
      <c r="AS10" s="150" t="s">
        <v>2473</v>
      </c>
      <c r="AT10" s="150" t="s">
        <v>2603</v>
      </c>
      <c r="AU10" s="150" t="s">
        <v>2554</v>
      </c>
      <c r="AV10" s="161">
        <v>1</v>
      </c>
      <c r="AW10" s="161"/>
      <c r="AX10" s="161"/>
      <c r="AY10" s="161"/>
      <c r="AZ10" s="161">
        <v>1</v>
      </c>
      <c r="BA10" s="161"/>
      <c r="BB10" s="161"/>
      <c r="BC10" s="161"/>
      <c r="BD10" s="162" t="s">
        <v>2545</v>
      </c>
      <c r="BE10" s="150" t="s">
        <v>1876</v>
      </c>
      <c r="BF10" s="150">
        <v>2</v>
      </c>
      <c r="BG10" s="150" t="s">
        <v>2467</v>
      </c>
      <c r="BH10" s="150" t="s">
        <v>2471</v>
      </c>
      <c r="BI10" s="150" t="s">
        <v>2659</v>
      </c>
      <c r="BJ10" s="258" t="s">
        <v>2491</v>
      </c>
      <c r="BK10" s="149" t="s">
        <v>2485</v>
      </c>
      <c r="BL10" s="150">
        <v>17.4329</v>
      </c>
      <c r="BM10" s="150" t="s">
        <v>24</v>
      </c>
      <c r="BN10" s="150">
        <v>7.2742000000000004</v>
      </c>
      <c r="BO10" s="149" t="s">
        <v>2487</v>
      </c>
      <c r="BP10" s="150">
        <v>59.374499999999998</v>
      </c>
      <c r="BQ10" s="150" t="s">
        <v>24</v>
      </c>
      <c r="BR10" s="150">
        <v>7.9824000000000002</v>
      </c>
      <c r="BS10" s="290" t="s">
        <v>2547</v>
      </c>
      <c r="BT10" s="291" t="s">
        <v>2549</v>
      </c>
      <c r="BU10" s="149" t="s">
        <v>2486</v>
      </c>
      <c r="BV10" s="150">
        <v>16.3689</v>
      </c>
      <c r="BW10" s="150" t="s">
        <v>24</v>
      </c>
      <c r="BX10" s="150">
        <v>9.7568999999999999</v>
      </c>
      <c r="BY10" s="149" t="s">
        <v>2488</v>
      </c>
      <c r="BZ10" s="150">
        <v>66.825100000000006</v>
      </c>
      <c r="CA10" s="150" t="s">
        <v>24</v>
      </c>
      <c r="CB10" s="150">
        <v>6.3859000000000004</v>
      </c>
      <c r="CC10" s="290" t="s">
        <v>2552</v>
      </c>
      <c r="CD10" s="292" t="s">
        <v>2548</v>
      </c>
      <c r="CE10" s="278" t="s">
        <v>24</v>
      </c>
      <c r="CF10" s="279" t="s">
        <v>24</v>
      </c>
      <c r="CG10" s="149"/>
      <c r="CH10" s="150"/>
      <c r="CI10" s="150"/>
      <c r="CJ10" s="150"/>
      <c r="CK10" s="149"/>
      <c r="CL10" s="150"/>
      <c r="CM10" s="150"/>
      <c r="CN10" s="150"/>
      <c r="CO10" s="302"/>
      <c r="CP10" s="313"/>
      <c r="CQ10" s="149"/>
      <c r="CR10" s="150"/>
      <c r="CS10" s="150"/>
      <c r="CT10" s="150"/>
      <c r="CU10" s="149"/>
      <c r="CV10" s="150"/>
      <c r="CW10" s="150"/>
      <c r="CX10" s="150"/>
      <c r="CY10" s="302"/>
      <c r="CZ10" s="303"/>
      <c r="DA10" s="278"/>
      <c r="DB10" s="279"/>
      <c r="DC10" s="150"/>
      <c r="DD10" s="150"/>
      <c r="DE10" s="150"/>
      <c r="DF10" s="150"/>
      <c r="DG10" s="151"/>
      <c r="DH10" s="150"/>
      <c r="DI10" s="150"/>
      <c r="DJ10" s="150"/>
      <c r="DK10" s="303"/>
      <c r="DL10" s="303"/>
      <c r="DM10" s="150"/>
      <c r="DN10" s="150"/>
      <c r="DO10" s="150"/>
      <c r="DP10" s="150"/>
      <c r="DQ10" s="150"/>
      <c r="DR10" s="150"/>
      <c r="DS10" s="150"/>
      <c r="DT10" s="150"/>
      <c r="DU10" s="303"/>
      <c r="DV10" s="303"/>
      <c r="DW10" s="279"/>
      <c r="DX10" s="150"/>
      <c r="DY10" s="150"/>
      <c r="DZ10" s="150"/>
      <c r="EA10" s="150"/>
      <c r="EB10" s="150"/>
      <c r="EC10" s="150"/>
      <c r="ED10" s="150"/>
      <c r="EE10" s="150"/>
      <c r="EF10" s="303"/>
      <c r="EG10" s="303"/>
      <c r="EH10" s="150"/>
      <c r="EI10" s="150"/>
      <c r="EJ10" s="150"/>
      <c r="EK10" s="150"/>
    </row>
    <row r="11" spans="1:141">
      <c r="A11" s="79" t="s">
        <v>1110</v>
      </c>
      <c r="B11" s="364">
        <v>5</v>
      </c>
      <c r="C11" s="123" t="s">
        <v>2053</v>
      </c>
      <c r="D11" s="124" t="s">
        <v>2296</v>
      </c>
      <c r="E11" s="125">
        <v>2014</v>
      </c>
      <c r="F11" s="79">
        <v>24808840</v>
      </c>
      <c r="G11" s="79">
        <v>1</v>
      </c>
      <c r="H11" s="126">
        <v>1</v>
      </c>
      <c r="I11" s="127"/>
      <c r="J11" s="79">
        <v>1</v>
      </c>
      <c r="K11" s="79"/>
      <c r="L11" s="153">
        <v>1</v>
      </c>
      <c r="M11" s="128">
        <v>2</v>
      </c>
      <c r="N11" s="79" t="s">
        <v>1220</v>
      </c>
      <c r="O11" s="79" t="s">
        <v>1169</v>
      </c>
      <c r="P11" s="79" t="s">
        <v>1127</v>
      </c>
      <c r="Q11" s="79"/>
      <c r="R11" s="79" t="s">
        <v>1544</v>
      </c>
      <c r="S11" s="79" t="s">
        <v>803</v>
      </c>
      <c r="T11" s="79"/>
      <c r="U11" s="79" t="s">
        <v>1140</v>
      </c>
      <c r="V11" s="79" t="s">
        <v>24</v>
      </c>
      <c r="W11" s="79"/>
      <c r="X11" s="79"/>
      <c r="Y11" s="79"/>
      <c r="Z11" s="79" t="s">
        <v>1141</v>
      </c>
      <c r="AA11" s="154">
        <v>1</v>
      </c>
      <c r="AB11" s="155" t="s">
        <v>24</v>
      </c>
      <c r="AC11" s="121">
        <v>4</v>
      </c>
      <c r="AD11" s="202" t="s">
        <v>2564</v>
      </c>
      <c r="AE11" s="192">
        <v>2</v>
      </c>
      <c r="AF11" s="203"/>
      <c r="AG11" s="163">
        <f>8+7+9+9+9+8</f>
        <v>50</v>
      </c>
      <c r="AH11" s="121">
        <f>8+9+9</f>
        <v>26</v>
      </c>
      <c r="AI11" s="121">
        <f>7+9+8</f>
        <v>24</v>
      </c>
      <c r="AJ11" s="121" t="s">
        <v>803</v>
      </c>
      <c r="AK11" s="121" t="s">
        <v>803</v>
      </c>
      <c r="AL11" s="121" t="s">
        <v>2494</v>
      </c>
      <c r="AM11" s="121" t="s">
        <v>24</v>
      </c>
      <c r="AN11" s="121" t="s">
        <v>2494</v>
      </c>
      <c r="AO11" s="134" t="s">
        <v>24</v>
      </c>
      <c r="AP11" s="134" t="s">
        <v>2495</v>
      </c>
      <c r="AQ11" s="134">
        <v>1</v>
      </c>
      <c r="AR11" s="134">
        <v>1</v>
      </c>
      <c r="AS11" s="134" t="s">
        <v>2496</v>
      </c>
      <c r="AT11" s="121" t="s">
        <v>1130</v>
      </c>
      <c r="AU11" s="121" t="s">
        <v>2554</v>
      </c>
      <c r="AV11" s="156">
        <v>1</v>
      </c>
      <c r="AW11" s="156"/>
      <c r="AX11" s="156"/>
      <c r="AY11" s="156"/>
      <c r="AZ11" s="156">
        <v>1</v>
      </c>
      <c r="BA11" s="156"/>
      <c r="BB11" s="156"/>
      <c r="BC11" s="156"/>
      <c r="BD11" s="157" t="s">
        <v>2493</v>
      </c>
      <c r="BE11" s="134" t="s">
        <v>1876</v>
      </c>
      <c r="BF11" s="134">
        <v>2</v>
      </c>
      <c r="BG11" s="150" t="s">
        <v>2607</v>
      </c>
      <c r="BH11" s="134" t="s">
        <v>2471</v>
      </c>
      <c r="BI11" s="134" t="s">
        <v>2659</v>
      </c>
      <c r="BJ11" s="259" t="s">
        <v>2556</v>
      </c>
      <c r="BK11" s="138" t="s">
        <v>2498</v>
      </c>
      <c r="BL11" s="190">
        <v>19.633099999999999</v>
      </c>
      <c r="BM11" s="168" t="s">
        <v>24</v>
      </c>
      <c r="BN11" s="190">
        <f>26.7074-Table664[[#This Row],[Outcome1_M]]</f>
        <v>7.0743000000000009</v>
      </c>
      <c r="BO11" s="138" t="s">
        <v>2497</v>
      </c>
      <c r="BP11" s="134">
        <v>1.22112</v>
      </c>
      <c r="BQ11" s="134" t="s">
        <v>24</v>
      </c>
      <c r="BR11" s="134">
        <f>2.07855-BP11</f>
        <v>0.85742999999999991</v>
      </c>
      <c r="BS11" s="288" t="s">
        <v>2561</v>
      </c>
      <c r="BT11" s="289" t="s">
        <v>2555</v>
      </c>
      <c r="BU11" s="138" t="s">
        <v>2502</v>
      </c>
      <c r="BV11" s="134">
        <v>5.0383600000000001E-2</v>
      </c>
      <c r="BW11" s="134" t="s">
        <v>24</v>
      </c>
      <c r="BX11" s="134">
        <f>0.371223-Table664[[#This Row],[Outcome3_M]]</f>
        <v>0.3208394</v>
      </c>
      <c r="BY11" s="138" t="s">
        <v>2503</v>
      </c>
      <c r="BZ11" s="134" t="s">
        <v>2557</v>
      </c>
      <c r="CA11" s="134" t="s">
        <v>24</v>
      </c>
      <c r="CB11" s="134" t="s">
        <v>2558</v>
      </c>
      <c r="CC11" s="288" t="s">
        <v>2560</v>
      </c>
      <c r="CD11" s="289" t="s">
        <v>2480</v>
      </c>
      <c r="CE11" s="276" t="s">
        <v>24</v>
      </c>
      <c r="CF11" s="308" t="s">
        <v>24</v>
      </c>
      <c r="CG11" s="138" t="s">
        <v>2505</v>
      </c>
      <c r="CH11" s="134">
        <v>5.7611400000000001</v>
      </c>
      <c r="CI11" s="134" t="s">
        <v>24</v>
      </c>
      <c r="CJ11" s="134">
        <f>8.65499-Table664[[#This Row],[Outcome5_M]]</f>
        <v>2.8938499999999996</v>
      </c>
      <c r="CK11" s="138" t="s">
        <v>2508</v>
      </c>
      <c r="CL11" s="134">
        <v>0.74659299999999995</v>
      </c>
      <c r="CM11" s="134" t="s">
        <v>24</v>
      </c>
      <c r="CN11" s="134">
        <f>1.17531-Table664[[#This Row],[Outcome6_M]]</f>
        <v>0.42871700000000013</v>
      </c>
      <c r="CO11" s="300" t="s">
        <v>2559</v>
      </c>
      <c r="CP11" s="301" t="s">
        <v>2480</v>
      </c>
      <c r="CQ11" s="168"/>
      <c r="CR11" s="190"/>
      <c r="CS11" s="190"/>
      <c r="CT11" s="190"/>
      <c r="CU11" s="134"/>
      <c r="CV11" s="134"/>
      <c r="CW11" s="134"/>
      <c r="CX11" s="134"/>
      <c r="CY11" s="300"/>
      <c r="CZ11" s="301"/>
      <c r="DA11" s="276"/>
      <c r="DB11" s="277"/>
      <c r="DC11" s="134"/>
      <c r="DD11" s="134"/>
      <c r="DE11" s="134"/>
      <c r="DF11" s="134"/>
      <c r="DG11" s="138"/>
      <c r="DH11" s="134"/>
      <c r="DI11" s="134"/>
      <c r="DJ11" s="134"/>
      <c r="DK11" s="301"/>
      <c r="DL11" s="301"/>
      <c r="DM11" s="134"/>
      <c r="DN11" s="134"/>
      <c r="DO11" s="134"/>
      <c r="DP11" s="134"/>
      <c r="DQ11" s="134"/>
      <c r="DR11" s="134"/>
      <c r="DS11" s="134"/>
      <c r="DT11" s="134"/>
      <c r="DU11" s="301"/>
      <c r="DV11" s="301"/>
      <c r="DW11" s="277"/>
      <c r="DX11" s="134"/>
      <c r="DY11" s="134"/>
      <c r="DZ11" s="134"/>
      <c r="EA11" s="134"/>
      <c r="EB11" s="134"/>
      <c r="EC11" s="134"/>
      <c r="ED11" s="134"/>
      <c r="EE11" s="134"/>
      <c r="EF11" s="301"/>
      <c r="EG11" s="301"/>
      <c r="EH11" s="134"/>
      <c r="EI11" s="134"/>
      <c r="EJ11" s="134"/>
      <c r="EK11" s="134"/>
    </row>
    <row r="12" spans="1:141" s="119" customFormat="1">
      <c r="A12" s="118" t="s">
        <v>1110</v>
      </c>
      <c r="B12" s="364">
        <v>5</v>
      </c>
      <c r="C12" s="139" t="s">
        <v>2053</v>
      </c>
      <c r="D12" s="140" t="s">
        <v>2296</v>
      </c>
      <c r="E12" s="141">
        <v>2014</v>
      </c>
      <c r="F12" s="118">
        <v>24808840</v>
      </c>
      <c r="G12" s="118">
        <v>1</v>
      </c>
      <c r="H12" s="118">
        <v>1</v>
      </c>
      <c r="I12" s="118"/>
      <c r="J12" s="118">
        <v>1</v>
      </c>
      <c r="K12" s="118"/>
      <c r="L12" s="158">
        <v>1</v>
      </c>
      <c r="M12" s="142">
        <v>2</v>
      </c>
      <c r="N12" s="118" t="s">
        <v>1220</v>
      </c>
      <c r="O12" s="118" t="s">
        <v>1169</v>
      </c>
      <c r="P12" s="118" t="s">
        <v>1127</v>
      </c>
      <c r="Q12" s="118"/>
      <c r="R12" s="118" t="s">
        <v>1544</v>
      </c>
      <c r="S12" s="118" t="s">
        <v>803</v>
      </c>
      <c r="T12" s="118"/>
      <c r="U12" s="118" t="s">
        <v>1140</v>
      </c>
      <c r="V12" s="118" t="s">
        <v>24</v>
      </c>
      <c r="W12" s="118"/>
      <c r="X12" s="118"/>
      <c r="Y12" s="118"/>
      <c r="Z12" s="118" t="s">
        <v>1141</v>
      </c>
      <c r="AA12" s="159">
        <v>1</v>
      </c>
      <c r="AB12" s="160" t="s">
        <v>24</v>
      </c>
      <c r="AC12" s="122">
        <v>4</v>
      </c>
      <c r="AD12" s="204" t="s">
        <v>2564</v>
      </c>
      <c r="AE12" s="192">
        <v>2</v>
      </c>
      <c r="AF12" s="205"/>
      <c r="AG12" s="122" t="s">
        <v>2563</v>
      </c>
      <c r="AH12" s="122" t="s">
        <v>2562</v>
      </c>
      <c r="AI12" s="122" t="s">
        <v>2562</v>
      </c>
      <c r="AJ12" s="122" t="s">
        <v>803</v>
      </c>
      <c r="AK12" s="122" t="s">
        <v>803</v>
      </c>
      <c r="AL12" s="122" t="s">
        <v>2494</v>
      </c>
      <c r="AM12" s="122" t="s">
        <v>24</v>
      </c>
      <c r="AN12" s="122" t="s">
        <v>2494</v>
      </c>
      <c r="AO12" s="150" t="s">
        <v>24</v>
      </c>
      <c r="AP12" s="150" t="s">
        <v>2566</v>
      </c>
      <c r="AQ12" s="150">
        <v>1</v>
      </c>
      <c r="AR12" s="150">
        <v>1</v>
      </c>
      <c r="AS12" s="150" t="s">
        <v>2496</v>
      </c>
      <c r="AT12" s="122" t="s">
        <v>1130</v>
      </c>
      <c r="AU12" s="122" t="s">
        <v>2554</v>
      </c>
      <c r="AV12" s="161">
        <v>1</v>
      </c>
      <c r="AW12" s="161"/>
      <c r="AX12" s="161"/>
      <c r="AY12" s="161"/>
      <c r="AZ12" s="161">
        <v>1</v>
      </c>
      <c r="BA12" s="161"/>
      <c r="BB12" s="161"/>
      <c r="BC12" s="161"/>
      <c r="BD12" s="162" t="s">
        <v>2567</v>
      </c>
      <c r="BE12" s="150" t="s">
        <v>1876</v>
      </c>
      <c r="BF12" s="150">
        <v>2</v>
      </c>
      <c r="BG12" s="150" t="s">
        <v>2607</v>
      </c>
      <c r="BH12" s="150" t="s">
        <v>2471</v>
      </c>
      <c r="BI12" s="150" t="s">
        <v>2659</v>
      </c>
      <c r="BJ12" s="258" t="s">
        <v>2597</v>
      </c>
      <c r="BK12" s="151" t="s">
        <v>2568</v>
      </c>
      <c r="BL12" s="150">
        <v>65.384600000000006</v>
      </c>
      <c r="BM12" s="150" t="s">
        <v>24</v>
      </c>
      <c r="BN12" s="266">
        <f>76.0989-Table664[[#This Row],[Outcome1_M]]</f>
        <v>10.714299999999994</v>
      </c>
      <c r="BO12" s="151" t="s">
        <v>2569</v>
      </c>
      <c r="BP12" s="150">
        <v>4.9450599999999998</v>
      </c>
      <c r="BQ12" s="150" t="s">
        <v>24</v>
      </c>
      <c r="BR12" s="150">
        <f>7.41759-Table664[[#This Row],[Outcome2_M]]</f>
        <v>2.4725299999999999</v>
      </c>
      <c r="BS12" s="290" t="s">
        <v>2589</v>
      </c>
      <c r="BT12" s="291" t="s">
        <v>2588</v>
      </c>
      <c r="BU12" s="151" t="s">
        <v>2570</v>
      </c>
      <c r="BV12" s="150">
        <v>51.648299999999999</v>
      </c>
      <c r="BW12" s="150" t="s">
        <v>24</v>
      </c>
      <c r="BX12" s="150">
        <f>57.1429-Table664[[#This Row],[Outcome3_M]]</f>
        <v>5.4945999999999984</v>
      </c>
      <c r="BY12" s="151" t="s">
        <v>2571</v>
      </c>
      <c r="BZ12" s="150">
        <v>2.7472500000000002</v>
      </c>
      <c r="CA12" s="150" t="s">
        <v>24</v>
      </c>
      <c r="CB12" s="150">
        <f>5.21978-Table664[[#This Row],[Outcome4_M]]</f>
        <v>2.4725299999999999</v>
      </c>
      <c r="CC12" s="290" t="s">
        <v>2552</v>
      </c>
      <c r="CD12" s="291" t="s">
        <v>2588</v>
      </c>
      <c r="CE12" s="278" t="s">
        <v>24</v>
      </c>
      <c r="CF12" s="285" t="s">
        <v>24</v>
      </c>
      <c r="CG12" s="151" t="s">
        <v>2572</v>
      </c>
      <c r="CH12" s="150">
        <v>39.285699999999999</v>
      </c>
      <c r="CI12" s="150" t="s">
        <v>24</v>
      </c>
      <c r="CJ12" s="150">
        <f>44.7802-Table664[[#This Row],[Outcome5_M]]</f>
        <v>5.4945000000000022</v>
      </c>
      <c r="CK12" s="151" t="s">
        <v>2573</v>
      </c>
      <c r="CL12" s="150">
        <v>1.9230799999999999</v>
      </c>
      <c r="CM12" s="150" t="s">
        <v>24</v>
      </c>
      <c r="CN12" s="150">
        <f>3.02198-Table664[[#This Row],[Outcome6_M]]</f>
        <v>1.0989000000000002</v>
      </c>
      <c r="CO12" s="302" t="s">
        <v>2590</v>
      </c>
      <c r="CP12" s="303" t="s">
        <v>2591</v>
      </c>
      <c r="CQ12" s="151" t="s">
        <v>2574</v>
      </c>
      <c r="CR12" s="266">
        <v>25</v>
      </c>
      <c r="CS12" s="266" t="s">
        <v>24</v>
      </c>
      <c r="CT12" s="266">
        <f>27.4725-Table664[[#This Row],[Outcome7_M]]</f>
        <v>2.4725000000000001</v>
      </c>
      <c r="CU12" s="151" t="s">
        <v>2575</v>
      </c>
      <c r="CV12" s="150">
        <v>6.5934100000000004</v>
      </c>
      <c r="CW12" s="150" t="s">
        <v>24</v>
      </c>
      <c r="CX12" s="150">
        <f>10.4396-Table664[[#This Row],[Outcome8_M]]</f>
        <v>3.84619</v>
      </c>
      <c r="CY12" s="302" t="s">
        <v>2592</v>
      </c>
      <c r="CZ12" s="303" t="s">
        <v>2593</v>
      </c>
      <c r="DA12" s="278" t="s">
        <v>24</v>
      </c>
      <c r="DB12" s="279" t="s">
        <v>24</v>
      </c>
      <c r="DC12" s="151" t="s">
        <v>2580</v>
      </c>
      <c r="DD12" s="150">
        <v>25.549399999999999</v>
      </c>
      <c r="DE12" s="150" t="s">
        <v>24</v>
      </c>
      <c r="DF12" s="150">
        <f>30.4945-Table664[[#This Row],[Outcome9_M]]</f>
        <v>4.9451000000000001</v>
      </c>
      <c r="DG12" s="151" t="s">
        <v>2585</v>
      </c>
      <c r="DH12" s="150">
        <v>3.5714299999999999</v>
      </c>
      <c r="DI12" s="150" t="s">
        <v>24</v>
      </c>
      <c r="DJ12" s="150">
        <f>4.3956-Table664[[#This Row],[Outcome10_M]]</f>
        <v>0.82417000000000007</v>
      </c>
      <c r="DK12" s="303" t="s">
        <v>2594</v>
      </c>
      <c r="DL12" s="303" t="s">
        <v>2588</v>
      </c>
      <c r="DM12" s="150"/>
      <c r="DN12" s="150"/>
      <c r="DO12" s="150"/>
      <c r="DP12" s="150"/>
      <c r="DQ12" s="150"/>
      <c r="DR12" s="150"/>
      <c r="DS12" s="150"/>
      <c r="DT12" s="150"/>
      <c r="DU12" s="303"/>
      <c r="DV12" s="303"/>
      <c r="DW12" s="279"/>
      <c r="DX12" s="150"/>
      <c r="DY12" s="150"/>
      <c r="DZ12" s="150"/>
      <c r="EA12" s="150"/>
      <c r="EB12" s="150"/>
      <c r="EC12" s="150"/>
      <c r="ED12" s="150"/>
      <c r="EE12" s="150"/>
      <c r="EF12" s="303"/>
      <c r="EG12" s="303"/>
      <c r="EH12" s="150"/>
      <c r="EI12" s="150"/>
      <c r="EJ12" s="150"/>
      <c r="EK12" s="150"/>
    </row>
    <row r="13" spans="1:141" s="119" customFormat="1">
      <c r="A13" s="118" t="s">
        <v>1110</v>
      </c>
      <c r="B13" s="364">
        <v>5</v>
      </c>
      <c r="C13" s="139" t="s">
        <v>2053</v>
      </c>
      <c r="D13" s="140" t="s">
        <v>2296</v>
      </c>
      <c r="E13" s="141">
        <v>2014</v>
      </c>
      <c r="F13" s="118">
        <v>24808840</v>
      </c>
      <c r="G13" s="118">
        <v>1</v>
      </c>
      <c r="H13" s="118">
        <v>1</v>
      </c>
      <c r="I13" s="118"/>
      <c r="J13" s="118">
        <v>1</v>
      </c>
      <c r="K13" s="118"/>
      <c r="L13" s="158">
        <v>1</v>
      </c>
      <c r="M13" s="142">
        <v>2</v>
      </c>
      <c r="N13" s="118" t="s">
        <v>1220</v>
      </c>
      <c r="O13" s="118" t="s">
        <v>1169</v>
      </c>
      <c r="P13" s="118" t="s">
        <v>1127</v>
      </c>
      <c r="Q13" s="118"/>
      <c r="R13" s="118" t="s">
        <v>1544</v>
      </c>
      <c r="S13" s="118" t="s">
        <v>803</v>
      </c>
      <c r="T13" s="118"/>
      <c r="U13" s="118" t="s">
        <v>1140</v>
      </c>
      <c r="V13" s="118" t="s">
        <v>24</v>
      </c>
      <c r="W13" s="118"/>
      <c r="X13" s="118"/>
      <c r="Y13" s="118"/>
      <c r="Z13" s="118" t="s">
        <v>1141</v>
      </c>
      <c r="AA13" s="159">
        <v>1</v>
      </c>
      <c r="AB13" s="160" t="s">
        <v>24</v>
      </c>
      <c r="AC13" s="122">
        <v>4</v>
      </c>
      <c r="AD13" s="204" t="s">
        <v>2564</v>
      </c>
      <c r="AE13" s="192">
        <v>2</v>
      </c>
      <c r="AF13" s="205"/>
      <c r="AG13" s="122" t="s">
        <v>2563</v>
      </c>
      <c r="AH13" s="122" t="s">
        <v>2562</v>
      </c>
      <c r="AI13" s="122" t="s">
        <v>2562</v>
      </c>
      <c r="AJ13" s="122" t="s">
        <v>803</v>
      </c>
      <c r="AK13" s="122" t="s">
        <v>803</v>
      </c>
      <c r="AL13" s="122" t="s">
        <v>2494</v>
      </c>
      <c r="AM13" s="122" t="s">
        <v>24</v>
      </c>
      <c r="AN13" s="122" t="s">
        <v>2494</v>
      </c>
      <c r="AO13" s="150" t="s">
        <v>24</v>
      </c>
      <c r="AP13" s="150" t="s">
        <v>2565</v>
      </c>
      <c r="AQ13" s="150">
        <v>1</v>
      </c>
      <c r="AR13" s="150">
        <v>1</v>
      </c>
      <c r="AS13" s="150" t="s">
        <v>2496</v>
      </c>
      <c r="AT13" s="122" t="s">
        <v>1130</v>
      </c>
      <c r="AU13" s="122" t="s">
        <v>2554</v>
      </c>
      <c r="AV13" s="161">
        <v>1</v>
      </c>
      <c r="AW13" s="161"/>
      <c r="AX13" s="161"/>
      <c r="AY13" s="161"/>
      <c r="AZ13" s="161">
        <v>1</v>
      </c>
      <c r="BA13" s="161"/>
      <c r="BB13" s="161"/>
      <c r="BC13" s="161"/>
      <c r="BD13" s="162" t="s">
        <v>2493</v>
      </c>
      <c r="BE13" s="150" t="s">
        <v>1876</v>
      </c>
      <c r="BF13" s="150">
        <v>2</v>
      </c>
      <c r="BG13" s="150" t="s">
        <v>2607</v>
      </c>
      <c r="BH13" s="150" t="s">
        <v>2471</v>
      </c>
      <c r="BI13" s="150" t="s">
        <v>2659</v>
      </c>
      <c r="BJ13" s="258" t="s">
        <v>2598</v>
      </c>
      <c r="BK13" s="151" t="s">
        <v>2499</v>
      </c>
      <c r="BL13" s="150">
        <v>47.677100000000003</v>
      </c>
      <c r="BM13" s="150" t="s">
        <v>24</v>
      </c>
      <c r="BN13" s="266">
        <f>53.688-Table664[[#This Row],[Outcome1_M]]</f>
        <v>6.0108999999999995</v>
      </c>
      <c r="BO13" s="151" t="s">
        <v>2500</v>
      </c>
      <c r="BP13" s="150">
        <v>3.9129200000000002</v>
      </c>
      <c r="BQ13" s="150" t="s">
        <v>24</v>
      </c>
      <c r="BR13" s="150">
        <f>5.82549-Table664[[#This Row],[Outcome2_M]]</f>
        <v>1.9125700000000001</v>
      </c>
      <c r="BS13" s="290" t="s">
        <v>2561</v>
      </c>
      <c r="BT13" s="291" t="s">
        <v>2588</v>
      </c>
      <c r="BU13" s="151" t="s">
        <v>2501</v>
      </c>
      <c r="BV13" s="150">
        <v>27.619299999999999</v>
      </c>
      <c r="BW13" s="150" t="s">
        <v>24</v>
      </c>
      <c r="BX13" s="150">
        <f>35.5448-Table664[[#This Row],[Outcome3_M]]</f>
        <v>7.9255000000000031</v>
      </c>
      <c r="BY13" s="151" t="s">
        <v>2504</v>
      </c>
      <c r="BZ13" s="150">
        <v>5.9852800000000004</v>
      </c>
      <c r="CA13" s="150" t="s">
        <v>24</v>
      </c>
      <c r="CB13" s="150">
        <f>8.44529-Table664[[#This Row],[Outcome4_M]]</f>
        <v>2.4600099999999996</v>
      </c>
      <c r="CC13" s="290" t="s">
        <v>2595</v>
      </c>
      <c r="CD13" s="291" t="s">
        <v>2555</v>
      </c>
      <c r="CE13" s="278" t="s">
        <v>24</v>
      </c>
      <c r="CF13" s="285" t="s">
        <v>24</v>
      </c>
      <c r="CG13" s="151" t="s">
        <v>2506</v>
      </c>
      <c r="CH13" s="150">
        <v>54.555999999999997</v>
      </c>
      <c r="CI13" s="150" t="s">
        <v>24</v>
      </c>
      <c r="CJ13" s="150">
        <f>60.567-Table664[[#This Row],[Outcome5_M]]</f>
        <v>6.0110000000000028</v>
      </c>
      <c r="CK13" s="151" t="s">
        <v>2507</v>
      </c>
      <c r="CL13" s="150">
        <v>4.7819099999999999</v>
      </c>
      <c r="CM13" s="150" t="s">
        <v>24</v>
      </c>
      <c r="CN13" s="150">
        <f>6.14803-Table664[[#This Row],[Outcome6_M]]</f>
        <v>1.3661200000000004</v>
      </c>
      <c r="CO13" s="302" t="s">
        <v>2596</v>
      </c>
      <c r="CP13" s="303" t="s">
        <v>2588</v>
      </c>
      <c r="CQ13" s="228" t="s">
        <v>24</v>
      </c>
      <c r="CR13" s="266" t="s">
        <v>24</v>
      </c>
      <c r="CS13" s="266" t="s">
        <v>24</v>
      </c>
      <c r="CT13" s="266" t="s">
        <v>24</v>
      </c>
      <c r="CU13" s="150" t="s">
        <v>24</v>
      </c>
      <c r="CV13" s="150" t="s">
        <v>24</v>
      </c>
      <c r="CW13" s="150" t="s">
        <v>24</v>
      </c>
      <c r="CX13" s="150" t="s">
        <v>24</v>
      </c>
      <c r="CY13" s="302" t="s">
        <v>24</v>
      </c>
      <c r="CZ13" s="303" t="s">
        <v>24</v>
      </c>
      <c r="DA13" s="278" t="s">
        <v>24</v>
      </c>
      <c r="DB13" s="279" t="s">
        <v>24</v>
      </c>
      <c r="DC13" s="150" t="s">
        <v>24</v>
      </c>
      <c r="DD13" s="150" t="s">
        <v>24</v>
      </c>
      <c r="DE13" s="150" t="s">
        <v>24</v>
      </c>
      <c r="DF13" s="150" t="s">
        <v>24</v>
      </c>
      <c r="DG13" s="151" t="s">
        <v>24</v>
      </c>
      <c r="DH13" s="150" t="s">
        <v>24</v>
      </c>
      <c r="DI13" s="150" t="s">
        <v>24</v>
      </c>
      <c r="DJ13" s="150" t="s">
        <v>24</v>
      </c>
      <c r="DK13" s="303" t="s">
        <v>24</v>
      </c>
      <c r="DL13" s="303" t="s">
        <v>24</v>
      </c>
      <c r="DM13" s="150"/>
      <c r="DN13" s="150"/>
      <c r="DO13" s="150"/>
      <c r="DP13" s="150"/>
      <c r="DQ13" s="150"/>
      <c r="DR13" s="150"/>
      <c r="DS13" s="150"/>
      <c r="DT13" s="150"/>
      <c r="DU13" s="303"/>
      <c r="DV13" s="303"/>
      <c r="DW13" s="279"/>
      <c r="DX13" s="150"/>
      <c r="DY13" s="150"/>
      <c r="DZ13" s="150"/>
      <c r="EA13" s="150"/>
      <c r="EB13" s="150"/>
      <c r="EC13" s="150"/>
      <c r="ED13" s="150"/>
      <c r="EE13" s="150"/>
      <c r="EF13" s="303"/>
      <c r="EG13" s="303"/>
      <c r="EH13" s="150"/>
      <c r="EI13" s="150"/>
      <c r="EJ13" s="150"/>
      <c r="EK13" s="150"/>
    </row>
    <row r="14" spans="1:141">
      <c r="A14" s="79" t="s">
        <v>1102</v>
      </c>
      <c r="B14" s="364">
        <v>6</v>
      </c>
      <c r="C14" s="123" t="s">
        <v>2055</v>
      </c>
      <c r="D14" s="124" t="s">
        <v>2299</v>
      </c>
      <c r="E14" s="125">
        <v>2014</v>
      </c>
      <c r="F14" s="79">
        <v>24677338</v>
      </c>
      <c r="G14" s="79">
        <v>1</v>
      </c>
      <c r="H14" s="126" t="s">
        <v>1791</v>
      </c>
      <c r="I14" s="127" t="s">
        <v>1790</v>
      </c>
      <c r="J14" s="164">
        <v>1</v>
      </c>
      <c r="K14" s="79" t="s">
        <v>1747</v>
      </c>
      <c r="L14" s="153">
        <v>0</v>
      </c>
      <c r="M14" s="128">
        <v>2</v>
      </c>
      <c r="N14" s="79" t="s">
        <v>1215</v>
      </c>
      <c r="O14" s="79" t="s">
        <v>1216</v>
      </c>
      <c r="P14" s="79" t="s">
        <v>1127</v>
      </c>
      <c r="Q14" s="79"/>
      <c r="R14" s="79" t="s">
        <v>24</v>
      </c>
      <c r="S14" s="79" t="s">
        <v>1539</v>
      </c>
      <c r="T14" s="79" t="s">
        <v>23</v>
      </c>
      <c r="U14" s="79" t="s">
        <v>1694</v>
      </c>
      <c r="V14" s="79" t="s">
        <v>1213</v>
      </c>
      <c r="W14" s="79" t="s">
        <v>24</v>
      </c>
      <c r="X14" s="79"/>
      <c r="Y14" s="79"/>
      <c r="Z14" s="79" t="s">
        <v>1806</v>
      </c>
      <c r="AA14" s="165">
        <v>0</v>
      </c>
      <c r="AB14" s="166" t="s">
        <v>3318</v>
      </c>
      <c r="AC14" s="120">
        <v>4</v>
      </c>
      <c r="AD14" s="206"/>
      <c r="AE14" s="192">
        <v>0</v>
      </c>
      <c r="AF14" s="207"/>
      <c r="AG14" s="120"/>
      <c r="AH14" s="120"/>
      <c r="AI14" s="120"/>
      <c r="AJ14" s="120"/>
      <c r="AK14" s="120"/>
      <c r="AL14" s="120"/>
      <c r="AM14" s="120"/>
      <c r="AN14" s="120"/>
      <c r="AO14" s="120"/>
      <c r="AP14" s="120" t="s">
        <v>3312</v>
      </c>
      <c r="AQ14" s="120">
        <v>1</v>
      </c>
      <c r="AR14" s="120">
        <v>0</v>
      </c>
      <c r="AS14" s="120"/>
      <c r="AT14" s="120"/>
      <c r="AU14" s="120"/>
      <c r="AV14" s="156"/>
      <c r="AW14" s="156"/>
      <c r="AX14" s="156"/>
      <c r="AY14" s="156"/>
      <c r="AZ14" s="156">
        <v>1</v>
      </c>
      <c r="BA14" s="156"/>
      <c r="BB14" s="156"/>
      <c r="BC14" s="156"/>
      <c r="BD14" s="157"/>
      <c r="BE14" s="134"/>
      <c r="BF14" s="134"/>
      <c r="BG14" s="134"/>
      <c r="BH14" s="134"/>
      <c r="BI14" s="134"/>
      <c r="BJ14" s="259"/>
      <c r="BK14" s="138"/>
      <c r="BL14" s="134"/>
      <c r="BM14" s="134"/>
      <c r="BN14" s="134"/>
      <c r="BO14" s="138"/>
      <c r="BP14" s="134"/>
      <c r="BQ14" s="134"/>
      <c r="BR14" s="134"/>
      <c r="BS14" s="288"/>
      <c r="BT14" s="289"/>
      <c r="BU14" s="138"/>
      <c r="BV14" s="134"/>
      <c r="BW14" s="134"/>
      <c r="BX14" s="134"/>
      <c r="BY14" s="138"/>
      <c r="BZ14" s="134"/>
      <c r="CA14" s="134"/>
      <c r="CB14" s="134"/>
      <c r="CC14" s="288"/>
      <c r="CD14" s="289"/>
      <c r="CE14" s="276"/>
      <c r="CF14" s="308"/>
      <c r="CG14" s="138"/>
      <c r="CH14" s="134"/>
      <c r="CI14" s="134"/>
      <c r="CJ14" s="134"/>
      <c r="CK14" s="134"/>
      <c r="CL14" s="134"/>
      <c r="CM14" s="134"/>
      <c r="CN14" s="134"/>
      <c r="CO14" s="300"/>
      <c r="CP14" s="301"/>
      <c r="CQ14" s="134"/>
      <c r="CR14" s="134"/>
      <c r="CS14" s="134"/>
      <c r="CT14" s="134"/>
      <c r="CU14" s="134"/>
      <c r="CV14" s="134"/>
      <c r="CW14" s="134"/>
      <c r="CX14" s="134"/>
      <c r="CY14" s="304"/>
      <c r="CZ14" s="312"/>
      <c r="DA14" s="276"/>
      <c r="DB14" s="277"/>
      <c r="DC14" s="134"/>
      <c r="DD14" s="134"/>
      <c r="DE14" s="134"/>
      <c r="DF14" s="134"/>
      <c r="DG14" s="138"/>
      <c r="DH14" s="134"/>
      <c r="DI14" s="134"/>
      <c r="DJ14" s="134"/>
      <c r="DK14" s="301"/>
      <c r="DL14" s="301"/>
      <c r="DM14" s="134"/>
      <c r="DN14" s="134"/>
      <c r="DO14" s="134"/>
      <c r="DP14" s="134"/>
      <c r="DQ14" s="134"/>
      <c r="DR14" s="134"/>
      <c r="DS14" s="134"/>
      <c r="DT14" s="134"/>
      <c r="DU14" s="301"/>
      <c r="DV14" s="301"/>
      <c r="DW14" s="277"/>
      <c r="DX14" s="134"/>
      <c r="DY14" s="134"/>
      <c r="DZ14" s="134"/>
      <c r="EA14" s="134"/>
      <c r="EB14" s="134"/>
      <c r="EC14" s="134"/>
      <c r="ED14" s="134"/>
      <c r="EE14" s="134"/>
      <c r="EF14" s="301"/>
      <c r="EG14" s="301"/>
      <c r="EH14" s="134"/>
      <c r="EI14" s="134"/>
      <c r="EJ14" s="134"/>
      <c r="EK14" s="134"/>
    </row>
    <row r="15" spans="1:141">
      <c r="A15" s="79" t="s">
        <v>1101</v>
      </c>
      <c r="B15" s="364">
        <v>7</v>
      </c>
      <c r="C15" s="123" t="s">
        <v>2056</v>
      </c>
      <c r="D15" s="124" t="s">
        <v>2300</v>
      </c>
      <c r="E15" s="125">
        <v>2015</v>
      </c>
      <c r="F15" s="79">
        <v>26210936</v>
      </c>
      <c r="G15" s="79">
        <v>1</v>
      </c>
      <c r="H15" s="126">
        <v>1</v>
      </c>
      <c r="I15" s="127"/>
      <c r="J15" s="79">
        <v>1</v>
      </c>
      <c r="K15" s="79"/>
      <c r="L15" s="153">
        <v>1</v>
      </c>
      <c r="M15" s="128">
        <v>2</v>
      </c>
      <c r="N15" s="79" t="s">
        <v>1220</v>
      </c>
      <c r="O15" s="79" t="s">
        <v>1224</v>
      </c>
      <c r="P15" s="79" t="s">
        <v>1127</v>
      </c>
      <c r="Q15" s="79"/>
      <c r="R15" s="79" t="s">
        <v>1217</v>
      </c>
      <c r="S15" s="79"/>
      <c r="T15" s="79"/>
      <c r="U15" s="79" t="s">
        <v>1218</v>
      </c>
      <c r="V15" s="79" t="s">
        <v>1219</v>
      </c>
      <c r="W15" s="79"/>
      <c r="X15" s="79"/>
      <c r="Y15" s="79" t="s">
        <v>1655</v>
      </c>
      <c r="Z15" s="79" t="s">
        <v>1654</v>
      </c>
      <c r="AA15" s="230" t="s">
        <v>1917</v>
      </c>
      <c r="AB15" s="231" t="s">
        <v>3319</v>
      </c>
      <c r="AC15" s="135">
        <v>4</v>
      </c>
      <c r="AD15" s="235" t="s">
        <v>2602</v>
      </c>
      <c r="AE15" s="236">
        <v>1</v>
      </c>
      <c r="AF15" s="237">
        <v>1</v>
      </c>
      <c r="AG15" s="135" t="s">
        <v>2600</v>
      </c>
      <c r="AH15" s="135" t="s">
        <v>2601</v>
      </c>
      <c r="AI15" s="135" t="s">
        <v>2601</v>
      </c>
      <c r="AJ15" s="135" t="s">
        <v>803</v>
      </c>
      <c r="AK15" s="135" t="s">
        <v>803</v>
      </c>
      <c r="AL15" s="135" t="s">
        <v>2468</v>
      </c>
      <c r="AM15" s="135" t="s">
        <v>24</v>
      </c>
      <c r="AN15" s="135" t="s">
        <v>2468</v>
      </c>
      <c r="AO15" s="135" t="s">
        <v>24</v>
      </c>
      <c r="AP15" s="135" t="s">
        <v>2599</v>
      </c>
      <c r="AQ15" s="135">
        <v>0</v>
      </c>
      <c r="AR15" s="135" t="s">
        <v>3343</v>
      </c>
      <c r="AS15" s="135"/>
      <c r="AT15" s="135" t="s">
        <v>1130</v>
      </c>
      <c r="AU15" s="152" t="s">
        <v>2554</v>
      </c>
      <c r="AV15" s="239">
        <v>1</v>
      </c>
      <c r="AW15" s="156"/>
      <c r="AX15" s="156"/>
      <c r="AY15" s="156"/>
      <c r="AZ15" s="156"/>
      <c r="BA15" s="156"/>
      <c r="BB15" s="156"/>
      <c r="BC15" s="156"/>
      <c r="BD15" s="157" t="s">
        <v>2528</v>
      </c>
      <c r="BE15" s="134" t="s">
        <v>1876</v>
      </c>
      <c r="BF15" s="134" t="s">
        <v>2608</v>
      </c>
      <c r="BG15" s="134" t="s">
        <v>1501</v>
      </c>
      <c r="BH15" s="134" t="s">
        <v>2606</v>
      </c>
      <c r="BI15" s="134" t="s">
        <v>2659</v>
      </c>
      <c r="BJ15" s="259" t="s">
        <v>2648</v>
      </c>
      <c r="BK15" s="138" t="s">
        <v>2610</v>
      </c>
      <c r="BL15" s="134">
        <v>12.2875</v>
      </c>
      <c r="BM15" s="134" t="s">
        <v>24</v>
      </c>
      <c r="BN15" s="134">
        <f>15.6006-Table664[[#This Row],[Outcome1_M]]</f>
        <v>3.3131000000000004</v>
      </c>
      <c r="BO15" s="138" t="s">
        <v>2613</v>
      </c>
      <c r="BP15" s="134">
        <v>12.233000000000001</v>
      </c>
      <c r="BQ15" s="134" t="s">
        <v>24</v>
      </c>
      <c r="BR15" s="134">
        <f>14.7573-Table664[[#This Row],[Outcome2_M]]</f>
        <v>2.5243000000000002</v>
      </c>
      <c r="BS15" s="290" t="s">
        <v>2640</v>
      </c>
      <c r="BT15" s="289" t="s">
        <v>2480</v>
      </c>
      <c r="BU15" s="138" t="s">
        <v>24</v>
      </c>
      <c r="BV15" s="134" t="s">
        <v>24</v>
      </c>
      <c r="BW15" s="134"/>
      <c r="BX15" s="134"/>
      <c r="BY15" s="138"/>
      <c r="BZ15" s="134"/>
      <c r="CA15" s="134"/>
      <c r="CB15" s="134"/>
      <c r="CC15" s="288"/>
      <c r="CD15" s="289"/>
      <c r="CE15" s="276"/>
      <c r="CF15" s="308"/>
      <c r="CG15" s="138"/>
      <c r="CH15" s="134"/>
      <c r="CI15" s="134"/>
      <c r="CJ15" s="134"/>
      <c r="CK15" s="134"/>
      <c r="CL15" s="134"/>
      <c r="CM15" s="134"/>
      <c r="CN15" s="134"/>
      <c r="CO15" s="300"/>
      <c r="CP15" s="301"/>
      <c r="CQ15" s="134"/>
      <c r="CR15" s="134"/>
      <c r="CS15" s="134"/>
      <c r="CT15" s="134"/>
      <c r="CU15" s="134"/>
      <c r="CV15" s="134"/>
      <c r="CW15" s="134"/>
      <c r="CX15" s="134"/>
      <c r="CY15" s="300"/>
      <c r="CZ15" s="301"/>
      <c r="DA15" s="276"/>
      <c r="DB15" s="277"/>
      <c r="DC15" s="134"/>
      <c r="DD15" s="134"/>
      <c r="DE15" s="134"/>
      <c r="DF15" s="134"/>
      <c r="DG15" s="138"/>
      <c r="DH15" s="134"/>
      <c r="DI15" s="134"/>
      <c r="DJ15" s="134"/>
      <c r="DK15" s="301"/>
      <c r="DL15" s="301"/>
      <c r="DM15" s="134"/>
      <c r="DN15" s="134"/>
      <c r="DO15" s="134"/>
      <c r="DP15" s="134"/>
      <c r="DQ15" s="134"/>
      <c r="DR15" s="134"/>
      <c r="DS15" s="134"/>
      <c r="DT15" s="134"/>
      <c r="DU15" s="301"/>
      <c r="DV15" s="301"/>
      <c r="DW15" s="277"/>
      <c r="DX15" s="134"/>
      <c r="DY15" s="134"/>
      <c r="DZ15" s="134"/>
      <c r="EA15" s="134"/>
      <c r="EB15" s="134"/>
      <c r="EC15" s="134"/>
      <c r="ED15" s="134"/>
      <c r="EE15" s="134"/>
      <c r="EF15" s="301"/>
      <c r="EG15" s="301"/>
      <c r="EH15" s="134"/>
      <c r="EI15" s="134"/>
      <c r="EJ15" s="134"/>
      <c r="EK15" s="134"/>
    </row>
    <row r="16" spans="1:141" s="119" customFormat="1">
      <c r="A16" s="118" t="s">
        <v>1101</v>
      </c>
      <c r="B16" s="364">
        <v>7</v>
      </c>
      <c r="C16" s="139" t="s">
        <v>2056</v>
      </c>
      <c r="D16" s="140" t="s">
        <v>2300</v>
      </c>
      <c r="E16" s="141">
        <v>2015</v>
      </c>
      <c r="F16" s="118">
        <v>26210936</v>
      </c>
      <c r="G16" s="118">
        <v>1</v>
      </c>
      <c r="H16" s="118">
        <v>1</v>
      </c>
      <c r="I16" s="118"/>
      <c r="J16" s="118">
        <v>1</v>
      </c>
      <c r="K16" s="118"/>
      <c r="L16" s="158">
        <v>1</v>
      </c>
      <c r="M16" s="142">
        <v>2</v>
      </c>
      <c r="N16" s="118" t="s">
        <v>1220</v>
      </c>
      <c r="O16" s="118" t="s">
        <v>1224</v>
      </c>
      <c r="P16" s="118" t="s">
        <v>1127</v>
      </c>
      <c r="Q16" s="118"/>
      <c r="R16" s="118" t="s">
        <v>1217</v>
      </c>
      <c r="S16" s="118"/>
      <c r="T16" s="118"/>
      <c r="U16" s="118" t="s">
        <v>1218</v>
      </c>
      <c r="V16" s="118" t="s">
        <v>1219</v>
      </c>
      <c r="W16" s="118"/>
      <c r="X16" s="118"/>
      <c r="Y16" s="118" t="s">
        <v>1655</v>
      </c>
      <c r="Z16" s="118" t="s">
        <v>1654</v>
      </c>
      <c r="AA16" s="230" t="s">
        <v>1917</v>
      </c>
      <c r="AB16" s="231" t="s">
        <v>3319</v>
      </c>
      <c r="AC16" s="152">
        <v>4</v>
      </c>
      <c r="AD16" s="242" t="s">
        <v>2602</v>
      </c>
      <c r="AE16" s="236">
        <v>1</v>
      </c>
      <c r="AF16" s="243">
        <v>1</v>
      </c>
      <c r="AG16" s="152" t="s">
        <v>2600</v>
      </c>
      <c r="AH16" s="152" t="s">
        <v>2601</v>
      </c>
      <c r="AI16" s="152" t="s">
        <v>2601</v>
      </c>
      <c r="AJ16" s="152" t="s">
        <v>803</v>
      </c>
      <c r="AK16" s="152" t="s">
        <v>803</v>
      </c>
      <c r="AL16" s="152" t="s">
        <v>2468</v>
      </c>
      <c r="AM16" s="152" t="s">
        <v>24</v>
      </c>
      <c r="AN16" s="152" t="s">
        <v>2468</v>
      </c>
      <c r="AO16" s="152" t="s">
        <v>24</v>
      </c>
      <c r="AP16" s="152" t="s">
        <v>2599</v>
      </c>
      <c r="AQ16" s="152">
        <v>0</v>
      </c>
      <c r="AR16" s="135" t="s">
        <v>3343</v>
      </c>
      <c r="AS16" s="152"/>
      <c r="AT16" s="152" t="s">
        <v>1130</v>
      </c>
      <c r="AU16" s="152" t="s">
        <v>2554</v>
      </c>
      <c r="AV16" s="244">
        <v>1</v>
      </c>
      <c r="AW16" s="161"/>
      <c r="AX16" s="161"/>
      <c r="AY16" s="161"/>
      <c r="AZ16" s="161"/>
      <c r="BA16" s="161"/>
      <c r="BB16" s="161"/>
      <c r="BC16" s="161"/>
      <c r="BD16" s="162" t="s">
        <v>2529</v>
      </c>
      <c r="BE16" s="150" t="s">
        <v>1876</v>
      </c>
      <c r="BF16" s="150" t="s">
        <v>2608</v>
      </c>
      <c r="BG16" s="150" t="s">
        <v>1501</v>
      </c>
      <c r="BH16" s="150" t="s">
        <v>2606</v>
      </c>
      <c r="BI16" s="150" t="s">
        <v>2659</v>
      </c>
      <c r="BJ16" s="258" t="s">
        <v>2652</v>
      </c>
      <c r="BK16" s="151" t="s">
        <v>2611</v>
      </c>
      <c r="BL16" s="150">
        <v>81.508300000000006</v>
      </c>
      <c r="BM16" s="150" t="s">
        <v>24</v>
      </c>
      <c r="BN16" s="150">
        <f>86.7722-Table664[[#This Row],[Outcome1_M]]</f>
        <v>5.2638999999999925</v>
      </c>
      <c r="BO16" s="151" t="s">
        <v>2614</v>
      </c>
      <c r="BP16" s="150">
        <v>74.100099999999998</v>
      </c>
      <c r="BQ16" s="150" t="s">
        <v>24</v>
      </c>
      <c r="BR16" s="150">
        <f>Table664[[#This Row],[Outcome2_M]]-70.5917</f>
        <v>3.5083999999999946</v>
      </c>
      <c r="BS16" s="290" t="s">
        <v>2639</v>
      </c>
      <c r="BT16" s="291" t="s">
        <v>2480</v>
      </c>
      <c r="BU16" s="151" t="s">
        <v>2618</v>
      </c>
      <c r="BV16" s="150">
        <v>75.883600000000001</v>
      </c>
      <c r="BW16" s="150" t="s">
        <v>24</v>
      </c>
      <c r="BX16" s="150">
        <f>80.1721-Table664[[#This Row],[Outcome3_M]]</f>
        <v>4.2884999999999991</v>
      </c>
      <c r="BY16" s="151" t="s">
        <v>2619</v>
      </c>
      <c r="BZ16" s="150">
        <v>65.162000000000006</v>
      </c>
      <c r="CA16" s="150" t="s">
        <v>24</v>
      </c>
      <c r="CB16" s="150">
        <f>Table664[[#This Row],[Outcome4_M]]-60.484</f>
        <v>4.6780000000000044</v>
      </c>
      <c r="CC16" s="290" t="s">
        <v>2638</v>
      </c>
      <c r="CD16" s="291" t="s">
        <v>2480</v>
      </c>
      <c r="CE16" s="278"/>
      <c r="CF16" s="285"/>
      <c r="CG16" s="151" t="s">
        <v>2620</v>
      </c>
      <c r="CH16" s="150">
        <v>64.021100000000004</v>
      </c>
      <c r="CI16" s="150" t="s">
        <v>24</v>
      </c>
      <c r="CJ16" s="150">
        <f>70.4531-Table664[[#This Row],[Outcome5_M]]</f>
        <v>6.4320000000000022</v>
      </c>
      <c r="CK16" s="150" t="s">
        <v>2621</v>
      </c>
      <c r="CL16" s="150">
        <v>47.842199999999998</v>
      </c>
      <c r="CM16" s="150" t="s">
        <v>24</v>
      </c>
      <c r="CN16" s="150">
        <f>52.91-Table664[[#This Row],[Outcome6_M]]</f>
        <v>5.0677999999999983</v>
      </c>
      <c r="CO16" s="302" t="s">
        <v>2641</v>
      </c>
      <c r="CP16" s="303" t="s">
        <v>2415</v>
      </c>
      <c r="CQ16" s="151" t="s">
        <v>2622</v>
      </c>
      <c r="CR16" s="150">
        <v>35.394100000000002</v>
      </c>
      <c r="CS16" s="150" t="s">
        <v>24</v>
      </c>
      <c r="CT16" s="150">
        <f>40.0725-Table664[[#This Row],[Outcome7_M]]</f>
        <v>4.6783999999999963</v>
      </c>
      <c r="CU16" s="151" t="s">
        <v>2623</v>
      </c>
      <c r="CV16" s="150">
        <v>30.910699999999999</v>
      </c>
      <c r="CW16" s="150" t="s">
        <v>24</v>
      </c>
      <c r="CX16" s="150">
        <f>Table664[[#This Row],[Outcome8_M]]-27.7918</f>
        <v>3.1189</v>
      </c>
      <c r="CY16" s="302" t="s">
        <v>2642</v>
      </c>
      <c r="CZ16" s="303" t="s">
        <v>2643</v>
      </c>
      <c r="DA16" s="278"/>
      <c r="DB16" s="279"/>
      <c r="DC16" s="151" t="s">
        <v>2624</v>
      </c>
      <c r="DD16" s="150">
        <v>28.014600000000002</v>
      </c>
      <c r="DE16" s="150" t="s">
        <v>24</v>
      </c>
      <c r="DF16" s="150">
        <f>30.5488-Table664[[#This Row],[Outcome9_M]]</f>
        <v>2.5341999999999985</v>
      </c>
      <c r="DG16" s="151" t="s">
        <v>2625</v>
      </c>
      <c r="DH16" s="150">
        <v>15.149100000000001</v>
      </c>
      <c r="DI16" s="150" t="s">
        <v>24</v>
      </c>
      <c r="DJ16" s="150">
        <f>Table664[[#This Row],[Outcome10_M]]-12.615</f>
        <v>2.5341000000000005</v>
      </c>
      <c r="DK16" s="303" t="s">
        <v>2644</v>
      </c>
      <c r="DL16" s="303" t="s">
        <v>2415</v>
      </c>
      <c r="DM16" s="151" t="s">
        <v>2631</v>
      </c>
      <c r="DN16" s="150">
        <v>23.949400000000001</v>
      </c>
      <c r="DO16" s="150" t="s">
        <v>24</v>
      </c>
      <c r="DP16" s="150">
        <f>26.6785-Table664[[#This Row],[Outcome11_M]]</f>
        <v>2.729099999999999</v>
      </c>
      <c r="DQ16" s="151" t="s">
        <v>2632</v>
      </c>
      <c r="DR16" s="150">
        <v>15.567</v>
      </c>
      <c r="DS16" s="150" t="s">
        <v>24</v>
      </c>
      <c r="DT16" s="150">
        <f>19.4656-Table664[[#This Row],[Outcome12_M]]</f>
        <v>3.8985999999999983</v>
      </c>
      <c r="DU16" s="303" t="s">
        <v>2645</v>
      </c>
      <c r="DV16" s="303" t="s">
        <v>2415</v>
      </c>
      <c r="DW16" s="279" t="s">
        <v>2651</v>
      </c>
      <c r="DX16" s="150"/>
      <c r="DY16" s="150"/>
      <c r="DZ16" s="150"/>
      <c r="EA16" s="150"/>
      <c r="EB16" s="150"/>
      <c r="EC16" s="150"/>
      <c r="ED16" s="150"/>
      <c r="EE16" s="150"/>
      <c r="EF16" s="303"/>
      <c r="EG16" s="303"/>
      <c r="EH16" s="150"/>
      <c r="EI16" s="150"/>
      <c r="EJ16" s="150"/>
      <c r="EK16" s="150"/>
    </row>
    <row r="17" spans="1:141" s="119" customFormat="1">
      <c r="A17" s="118" t="s">
        <v>1101</v>
      </c>
      <c r="B17" s="364">
        <v>7</v>
      </c>
      <c r="C17" s="139" t="s">
        <v>2056</v>
      </c>
      <c r="D17" s="140" t="s">
        <v>2300</v>
      </c>
      <c r="E17" s="141">
        <v>2015</v>
      </c>
      <c r="F17" s="118">
        <v>26210936</v>
      </c>
      <c r="G17" s="118">
        <v>1</v>
      </c>
      <c r="H17" s="118">
        <v>1</v>
      </c>
      <c r="I17" s="118"/>
      <c r="J17" s="118">
        <v>1</v>
      </c>
      <c r="K17" s="118"/>
      <c r="L17" s="158">
        <v>1</v>
      </c>
      <c r="M17" s="142">
        <v>2</v>
      </c>
      <c r="N17" s="118" t="s">
        <v>1220</v>
      </c>
      <c r="O17" s="118" t="s">
        <v>1224</v>
      </c>
      <c r="P17" s="118" t="s">
        <v>1127</v>
      </c>
      <c r="Q17" s="118"/>
      <c r="R17" s="118" t="s">
        <v>1217</v>
      </c>
      <c r="S17" s="118"/>
      <c r="T17" s="118"/>
      <c r="U17" s="118" t="s">
        <v>1218</v>
      </c>
      <c r="V17" s="118" t="s">
        <v>1219</v>
      </c>
      <c r="W17" s="118"/>
      <c r="X17" s="118"/>
      <c r="Y17" s="118" t="s">
        <v>1655</v>
      </c>
      <c r="Z17" s="118" t="s">
        <v>1654</v>
      </c>
      <c r="AA17" s="230" t="s">
        <v>1917</v>
      </c>
      <c r="AB17" s="231" t="s">
        <v>3319</v>
      </c>
      <c r="AC17" s="152">
        <v>4</v>
      </c>
      <c r="AD17" s="242" t="s">
        <v>2602</v>
      </c>
      <c r="AE17" s="236">
        <v>1</v>
      </c>
      <c r="AF17" s="243">
        <v>1</v>
      </c>
      <c r="AG17" s="152" t="s">
        <v>2600</v>
      </c>
      <c r="AH17" s="152" t="s">
        <v>2601</v>
      </c>
      <c r="AI17" s="152" t="s">
        <v>2601</v>
      </c>
      <c r="AJ17" s="152" t="s">
        <v>803</v>
      </c>
      <c r="AK17" s="152" t="s">
        <v>803</v>
      </c>
      <c r="AL17" s="152" t="s">
        <v>2468</v>
      </c>
      <c r="AM17" s="152" t="s">
        <v>24</v>
      </c>
      <c r="AN17" s="152" t="s">
        <v>2468</v>
      </c>
      <c r="AO17" s="152" t="s">
        <v>24</v>
      </c>
      <c r="AP17" s="152" t="s">
        <v>2599</v>
      </c>
      <c r="AQ17" s="152">
        <v>0</v>
      </c>
      <c r="AR17" s="135" t="s">
        <v>3343</v>
      </c>
      <c r="AS17" s="152"/>
      <c r="AT17" s="152" t="s">
        <v>1130</v>
      </c>
      <c r="AU17" s="152" t="s">
        <v>2554</v>
      </c>
      <c r="AV17" s="244">
        <v>1</v>
      </c>
      <c r="AW17" s="161"/>
      <c r="AX17" s="161"/>
      <c r="AY17" s="161"/>
      <c r="AZ17" s="161">
        <v>1</v>
      </c>
      <c r="BA17" s="161"/>
      <c r="BB17" s="161"/>
      <c r="BC17" s="161"/>
      <c r="BD17" s="162" t="s">
        <v>2609</v>
      </c>
      <c r="BE17" s="150" t="s">
        <v>1876</v>
      </c>
      <c r="BF17" s="150" t="s">
        <v>2608</v>
      </c>
      <c r="BG17" s="150" t="s">
        <v>1501</v>
      </c>
      <c r="BH17" s="150" t="s">
        <v>2606</v>
      </c>
      <c r="BI17" s="150" t="s">
        <v>2659</v>
      </c>
      <c r="BJ17" s="260" t="s">
        <v>2653</v>
      </c>
      <c r="BK17" s="151" t="s">
        <v>2612</v>
      </c>
      <c r="BL17" s="150">
        <v>33.714100000000002</v>
      </c>
      <c r="BM17" s="150" t="s">
        <v>24</v>
      </c>
      <c r="BN17" s="150">
        <f>37.6124-Table664[[#This Row],[Outcome1_M]]</f>
        <v>3.898299999999999</v>
      </c>
      <c r="BO17" s="151" t="s">
        <v>2615</v>
      </c>
      <c r="BP17" s="150">
        <v>18.7044</v>
      </c>
      <c r="BQ17" s="150" t="s">
        <v>24</v>
      </c>
      <c r="BR17" s="150">
        <f>22.4081-Table664[[#This Row],[Outcome2_M]]</f>
        <v>3.7037000000000013</v>
      </c>
      <c r="BS17" s="290" t="s">
        <v>2646</v>
      </c>
      <c r="BT17" s="291" t="s">
        <v>2415</v>
      </c>
      <c r="BU17" s="151" t="s">
        <v>2617</v>
      </c>
      <c r="BV17" s="150">
        <v>9.8058499999999995</v>
      </c>
      <c r="BW17" s="150" t="s">
        <v>24</v>
      </c>
      <c r="BX17" s="150">
        <f>13.5656-Table664[[#This Row],[Outcome3_M]]</f>
        <v>3.7597500000000004</v>
      </c>
      <c r="BY17" s="151" t="s">
        <v>2616</v>
      </c>
      <c r="BZ17" s="150">
        <v>3.47533</v>
      </c>
      <c r="CA17" s="150" t="s">
        <v>24</v>
      </c>
      <c r="CB17" s="150">
        <f>7.08021-Table664[[#This Row],[Outcome4_M]]</f>
        <v>3.6048800000000001</v>
      </c>
      <c r="CC17" s="290" t="s">
        <v>2647</v>
      </c>
      <c r="CD17" s="291" t="s">
        <v>2415</v>
      </c>
      <c r="CE17" s="278"/>
      <c r="CF17" s="285"/>
      <c r="CG17" s="151"/>
      <c r="CH17" s="150"/>
      <c r="CI17" s="150"/>
      <c r="CJ17" s="150"/>
      <c r="CK17" s="150"/>
      <c r="CL17" s="150"/>
      <c r="CM17" s="150"/>
      <c r="CN17" s="150"/>
      <c r="CO17" s="302"/>
      <c r="CP17" s="303"/>
      <c r="CQ17" s="150"/>
      <c r="CR17" s="150"/>
      <c r="CS17" s="150"/>
      <c r="CT17" s="150"/>
      <c r="CU17" s="150"/>
      <c r="CV17" s="150"/>
      <c r="CW17" s="150"/>
      <c r="CX17" s="150"/>
      <c r="CY17" s="302"/>
      <c r="CZ17" s="303"/>
      <c r="DA17" s="278"/>
      <c r="DB17" s="279"/>
      <c r="DC17" s="150"/>
      <c r="DD17" s="150"/>
      <c r="DE17" s="150"/>
      <c r="DF17" s="150"/>
      <c r="DG17" s="151"/>
      <c r="DH17" s="150"/>
      <c r="DI17" s="150"/>
      <c r="DJ17" s="150"/>
      <c r="DK17" s="303"/>
      <c r="DL17" s="303"/>
      <c r="DM17" s="150"/>
      <c r="DN17" s="150"/>
      <c r="DO17" s="150"/>
      <c r="DP17" s="150"/>
      <c r="DQ17" s="150"/>
      <c r="DR17" s="150"/>
      <c r="DS17" s="150"/>
      <c r="DT17" s="150"/>
      <c r="DU17" s="303"/>
      <c r="DV17" s="303"/>
      <c r="DW17" s="279" t="s">
        <v>2650</v>
      </c>
      <c r="DX17" s="150"/>
      <c r="DY17" s="150"/>
      <c r="DZ17" s="150"/>
      <c r="EA17" s="150"/>
      <c r="EB17" s="150"/>
      <c r="EC17" s="150"/>
      <c r="ED17" s="150"/>
      <c r="EE17" s="150"/>
      <c r="EF17" s="303"/>
      <c r="EG17" s="303"/>
      <c r="EH17" s="150"/>
      <c r="EI17" s="150"/>
      <c r="EJ17" s="150"/>
      <c r="EK17" s="150"/>
    </row>
    <row r="18" spans="1:141">
      <c r="A18" s="79" t="s">
        <v>1100</v>
      </c>
      <c r="B18" s="364">
        <v>8</v>
      </c>
      <c r="C18" s="123" t="s">
        <v>2057</v>
      </c>
      <c r="D18" s="124" t="s">
        <v>2301</v>
      </c>
      <c r="E18" s="125">
        <v>2013</v>
      </c>
      <c r="F18" s="79">
        <v>21736515</v>
      </c>
      <c r="G18" s="79">
        <v>1</v>
      </c>
      <c r="H18" s="126">
        <v>1</v>
      </c>
      <c r="I18" s="127"/>
      <c r="J18" s="79">
        <v>1</v>
      </c>
      <c r="K18" s="79"/>
      <c r="L18" s="153">
        <v>1</v>
      </c>
      <c r="M18" s="128">
        <v>2</v>
      </c>
      <c r="N18" s="79" t="s">
        <v>1223</v>
      </c>
      <c r="O18" s="79" t="s">
        <v>1171</v>
      </c>
      <c r="P18" s="79" t="s">
        <v>1221</v>
      </c>
      <c r="Q18" s="79"/>
      <c r="R18" s="79" t="s">
        <v>1488</v>
      </c>
      <c r="S18" s="79" t="s">
        <v>23</v>
      </c>
      <c r="T18" s="79" t="s">
        <v>23</v>
      </c>
      <c r="U18" s="79" t="s">
        <v>1686</v>
      </c>
      <c r="V18" s="79"/>
      <c r="W18" s="79" t="s">
        <v>13</v>
      </c>
      <c r="X18" s="79"/>
      <c r="Y18" s="79" t="s">
        <v>1222</v>
      </c>
      <c r="Z18" s="79"/>
      <c r="AA18" s="154">
        <v>1</v>
      </c>
      <c r="AB18" s="155" t="s">
        <v>3316</v>
      </c>
      <c r="AC18" s="134">
        <v>5</v>
      </c>
      <c r="AD18" s="213" t="s">
        <v>2666</v>
      </c>
      <c r="AE18" s="192">
        <v>0</v>
      </c>
      <c r="AF18" s="215"/>
      <c r="AG18" s="134">
        <f>6+10</f>
        <v>16</v>
      </c>
      <c r="AH18" s="134">
        <v>6</v>
      </c>
      <c r="AI18" s="134">
        <v>10</v>
      </c>
      <c r="AJ18" s="134" t="s">
        <v>803</v>
      </c>
      <c r="AK18" s="134" t="s">
        <v>803</v>
      </c>
      <c r="AL18" s="134" t="s">
        <v>2654</v>
      </c>
      <c r="AM18" s="134" t="s">
        <v>24</v>
      </c>
      <c r="AN18" s="134" t="s">
        <v>2654</v>
      </c>
      <c r="AO18" s="134" t="s">
        <v>24</v>
      </c>
      <c r="AP18" s="134" t="s">
        <v>2657</v>
      </c>
      <c r="AQ18" s="134">
        <v>1</v>
      </c>
      <c r="AR18" s="134" t="s">
        <v>3317</v>
      </c>
      <c r="AS18" s="134" t="s">
        <v>2655</v>
      </c>
      <c r="AT18" s="134" t="s">
        <v>1221</v>
      </c>
      <c r="AU18" s="150" t="s">
        <v>2554</v>
      </c>
      <c r="AV18" s="156">
        <v>1</v>
      </c>
      <c r="AW18" s="156"/>
      <c r="AX18" s="156"/>
      <c r="AY18" s="156"/>
      <c r="AZ18" s="156">
        <v>1</v>
      </c>
      <c r="BA18" s="156"/>
      <c r="BB18" s="156"/>
      <c r="BC18" s="156"/>
      <c r="BD18" s="157" t="s">
        <v>2493</v>
      </c>
      <c r="BE18" s="134" t="s">
        <v>1876</v>
      </c>
      <c r="BF18" s="134" t="s">
        <v>2656</v>
      </c>
      <c r="BG18" s="134" t="s">
        <v>2658</v>
      </c>
      <c r="BH18" s="134" t="s">
        <v>1121</v>
      </c>
      <c r="BI18" s="134" t="s">
        <v>2659</v>
      </c>
      <c r="BJ18" s="259" t="s">
        <v>2665</v>
      </c>
      <c r="BK18" s="138" t="s">
        <v>2661</v>
      </c>
      <c r="BL18" s="134">
        <v>38.89</v>
      </c>
      <c r="BM18" s="134" t="s">
        <v>24</v>
      </c>
      <c r="BN18" s="134">
        <v>9.9700000000000006</v>
      </c>
      <c r="BO18" s="138" t="s">
        <v>2662</v>
      </c>
      <c r="BP18" s="134">
        <v>5.56</v>
      </c>
      <c r="BQ18" s="134" t="s">
        <v>24</v>
      </c>
      <c r="BR18" s="134">
        <v>3.8</v>
      </c>
      <c r="BS18" s="288" t="s">
        <v>2663</v>
      </c>
      <c r="BT18" s="289" t="s">
        <v>2664</v>
      </c>
      <c r="BU18" s="138" t="s">
        <v>24</v>
      </c>
      <c r="BV18" s="134" t="s">
        <v>24</v>
      </c>
      <c r="BW18" s="134"/>
      <c r="BX18" s="134"/>
      <c r="BY18" s="138"/>
      <c r="BZ18" s="134"/>
      <c r="CA18" s="134"/>
      <c r="CB18" s="134"/>
      <c r="CC18" s="288"/>
      <c r="CD18" s="289"/>
      <c r="CE18" s="276"/>
      <c r="CF18" s="308"/>
      <c r="CG18" s="138"/>
      <c r="CH18" s="134"/>
      <c r="CI18" s="134"/>
      <c r="CJ18" s="134"/>
      <c r="CK18" s="134"/>
      <c r="CL18" s="134"/>
      <c r="CM18" s="134"/>
      <c r="CN18" s="134"/>
      <c r="CO18" s="300"/>
      <c r="CP18" s="301"/>
      <c r="CQ18" s="134"/>
      <c r="CR18" s="134"/>
      <c r="CS18" s="134"/>
      <c r="CT18" s="134"/>
      <c r="CU18" s="134"/>
      <c r="CV18" s="134"/>
      <c r="CW18" s="134"/>
      <c r="CX18" s="134"/>
      <c r="CY18" s="300"/>
      <c r="CZ18" s="301"/>
      <c r="DA18" s="276"/>
      <c r="DB18" s="277"/>
      <c r="DC18" s="134"/>
      <c r="DD18" s="134"/>
      <c r="DE18" s="134"/>
      <c r="DF18" s="134"/>
      <c r="DG18" s="138"/>
      <c r="DH18" s="134"/>
      <c r="DI18" s="134"/>
      <c r="DJ18" s="134"/>
      <c r="DK18" s="301"/>
      <c r="DL18" s="301"/>
      <c r="DM18" s="134"/>
      <c r="DN18" s="134"/>
      <c r="DO18" s="134"/>
      <c r="DP18" s="134"/>
      <c r="DQ18" s="134"/>
      <c r="DR18" s="134"/>
      <c r="DS18" s="134"/>
      <c r="DT18" s="134"/>
      <c r="DU18" s="301"/>
      <c r="DV18" s="301"/>
      <c r="DW18" s="318"/>
      <c r="DX18" s="134"/>
      <c r="DY18" s="134"/>
      <c r="DZ18" s="134"/>
      <c r="EA18" s="134"/>
      <c r="EB18" s="134"/>
      <c r="EC18" s="134"/>
      <c r="ED18" s="134"/>
      <c r="EE18" s="134"/>
      <c r="EF18" s="301"/>
      <c r="EG18" s="301"/>
      <c r="EH18" s="134"/>
      <c r="EI18" s="134"/>
      <c r="EJ18" s="134"/>
      <c r="EK18" s="134"/>
    </row>
    <row r="19" spans="1:141">
      <c r="A19" s="79" t="s">
        <v>1099</v>
      </c>
      <c r="B19" s="364">
        <v>9</v>
      </c>
      <c r="C19" s="123" t="s">
        <v>2058</v>
      </c>
      <c r="D19" s="124" t="s">
        <v>2302</v>
      </c>
      <c r="E19" s="125">
        <v>2006</v>
      </c>
      <c r="F19" s="79">
        <v>16971540</v>
      </c>
      <c r="G19" s="79">
        <v>1</v>
      </c>
      <c r="H19" s="126">
        <v>1</v>
      </c>
      <c r="I19" s="127"/>
      <c r="J19" s="79">
        <v>1</v>
      </c>
      <c r="K19" s="79"/>
      <c r="L19" s="153">
        <v>1</v>
      </c>
      <c r="M19" s="128">
        <v>2</v>
      </c>
      <c r="N19" s="79" t="s">
        <v>1220</v>
      </c>
      <c r="O19" s="79" t="s">
        <v>1162</v>
      </c>
      <c r="P19" s="79" t="s">
        <v>1225</v>
      </c>
      <c r="Q19" s="79"/>
      <c r="R19" s="79" t="s">
        <v>1501</v>
      </c>
      <c r="S19" s="79" t="s">
        <v>23</v>
      </c>
      <c r="T19" s="79" t="s">
        <v>23</v>
      </c>
      <c r="U19" s="79" t="s">
        <v>1501</v>
      </c>
      <c r="V19" s="79" t="s">
        <v>24</v>
      </c>
      <c r="W19" s="79" t="s">
        <v>24</v>
      </c>
      <c r="X19" s="79"/>
      <c r="Y19" s="79" t="s">
        <v>1226</v>
      </c>
      <c r="Z19" s="79"/>
      <c r="AA19" s="233" t="s">
        <v>3003</v>
      </c>
      <c r="AB19" s="234" t="s">
        <v>3337</v>
      </c>
      <c r="AC19" s="135">
        <v>5</v>
      </c>
      <c r="AD19" s="235" t="s">
        <v>2671</v>
      </c>
      <c r="AE19" s="236">
        <v>0</v>
      </c>
      <c r="AF19" s="237"/>
      <c r="AG19" s="135">
        <v>24</v>
      </c>
      <c r="AH19" s="135">
        <v>12</v>
      </c>
      <c r="AI19" s="135" t="s">
        <v>2672</v>
      </c>
      <c r="AJ19" s="135" t="s">
        <v>803</v>
      </c>
      <c r="AK19" s="135" t="s">
        <v>803</v>
      </c>
      <c r="AL19" s="135" t="s">
        <v>2667</v>
      </c>
      <c r="AM19" s="135" t="s">
        <v>24</v>
      </c>
      <c r="AN19" s="135" t="s">
        <v>2667</v>
      </c>
      <c r="AO19" s="135" t="s">
        <v>24</v>
      </c>
      <c r="AP19" s="135" t="s">
        <v>2673</v>
      </c>
      <c r="AQ19" s="135">
        <v>1</v>
      </c>
      <c r="AR19" s="135" t="s">
        <v>3320</v>
      </c>
      <c r="AS19" s="135" t="s">
        <v>2674</v>
      </c>
      <c r="AT19" s="135" t="s">
        <v>2668</v>
      </c>
      <c r="AU19" s="135" t="s">
        <v>2669</v>
      </c>
      <c r="AV19" s="239">
        <v>1</v>
      </c>
      <c r="AW19" s="156"/>
      <c r="AX19" s="156"/>
      <c r="AY19" s="156"/>
      <c r="AZ19" s="156"/>
      <c r="BA19" s="156"/>
      <c r="BB19" s="156"/>
      <c r="BC19" s="156"/>
      <c r="BD19" s="157" t="s">
        <v>2493</v>
      </c>
      <c r="BE19" s="134" t="s">
        <v>1876</v>
      </c>
      <c r="BF19" s="134" t="s">
        <v>2670</v>
      </c>
      <c r="BG19" s="134" t="s">
        <v>2675</v>
      </c>
      <c r="BH19" s="134" t="s">
        <v>23</v>
      </c>
      <c r="BI19" s="134" t="s">
        <v>2659</v>
      </c>
      <c r="BJ19" s="259" t="s">
        <v>2680</v>
      </c>
      <c r="BK19" s="138" t="s">
        <v>2676</v>
      </c>
      <c r="BL19" s="134">
        <v>62.957799999999999</v>
      </c>
      <c r="BM19" s="134" t="s">
        <v>24</v>
      </c>
      <c r="BN19" s="134">
        <f>68.3645-Table664[[#This Row],[Outcome1_M]]</f>
        <v>5.4067000000000078</v>
      </c>
      <c r="BO19" s="138" t="s">
        <v>2677</v>
      </c>
      <c r="BP19" s="134">
        <v>62.246299999999998</v>
      </c>
      <c r="BQ19" s="134" t="s">
        <v>24</v>
      </c>
      <c r="BR19" s="134">
        <f>66.2302-Table664[[#This Row],[Outcome2_M]]</f>
        <v>3.9838999999999984</v>
      </c>
      <c r="BS19" s="288" t="s">
        <v>2678</v>
      </c>
      <c r="BT19" s="289" t="s">
        <v>2679</v>
      </c>
      <c r="BU19" s="138" t="s">
        <v>24</v>
      </c>
      <c r="BV19" s="134" t="s">
        <v>24</v>
      </c>
      <c r="BW19" s="134"/>
      <c r="BX19" s="134"/>
      <c r="BY19" s="138"/>
      <c r="BZ19" s="134"/>
      <c r="CA19" s="134"/>
      <c r="CB19" s="134"/>
      <c r="CC19" s="288"/>
      <c r="CD19" s="289"/>
      <c r="CE19" s="276"/>
      <c r="CF19" s="308"/>
      <c r="CG19" s="138"/>
      <c r="CH19" s="134"/>
      <c r="CI19" s="134"/>
      <c r="CJ19" s="134"/>
      <c r="CK19" s="134"/>
      <c r="CL19" s="134"/>
      <c r="CM19" s="134"/>
      <c r="CN19" s="134"/>
      <c r="CO19" s="300"/>
      <c r="CP19" s="301"/>
      <c r="CQ19" s="134"/>
      <c r="CR19" s="134"/>
      <c r="CS19" s="134"/>
      <c r="CT19" s="134"/>
      <c r="CU19" s="134"/>
      <c r="CV19" s="134"/>
      <c r="CW19" s="134"/>
      <c r="CX19" s="134"/>
      <c r="CY19" s="300"/>
      <c r="CZ19" s="301"/>
      <c r="DA19" s="276"/>
      <c r="DB19" s="277"/>
      <c r="DC19" s="134"/>
      <c r="DD19" s="134"/>
      <c r="DE19" s="134"/>
      <c r="DF19" s="134"/>
      <c r="DG19" s="138"/>
      <c r="DH19" s="134"/>
      <c r="DI19" s="134"/>
      <c r="DJ19" s="134"/>
      <c r="DK19" s="301"/>
      <c r="DL19" s="301"/>
      <c r="DM19" s="134"/>
      <c r="DN19" s="134"/>
      <c r="DO19" s="134"/>
      <c r="DP19" s="134"/>
      <c r="DQ19" s="134"/>
      <c r="DR19" s="134"/>
      <c r="DS19" s="134"/>
      <c r="DT19" s="134"/>
      <c r="DU19" s="301"/>
      <c r="DV19" s="301"/>
      <c r="DW19" s="277"/>
      <c r="DX19" s="134"/>
      <c r="DY19" s="134"/>
      <c r="DZ19" s="134"/>
      <c r="EA19" s="134"/>
      <c r="EB19" s="134"/>
      <c r="EC19" s="134"/>
      <c r="ED19" s="134"/>
      <c r="EE19" s="134"/>
      <c r="EF19" s="301"/>
      <c r="EG19" s="301"/>
      <c r="EH19" s="134"/>
      <c r="EI19" s="134"/>
      <c r="EJ19" s="134"/>
      <c r="EK19" s="134"/>
    </row>
    <row r="20" spans="1:141">
      <c r="A20" s="79" t="s">
        <v>112</v>
      </c>
      <c r="B20" s="364">
        <v>10</v>
      </c>
      <c r="C20" s="123" t="s">
        <v>1935</v>
      </c>
      <c r="D20" s="124" t="s">
        <v>2153</v>
      </c>
      <c r="E20" s="125">
        <v>2013</v>
      </c>
      <c r="F20" s="79">
        <v>23673864</v>
      </c>
      <c r="G20" s="79">
        <v>1</v>
      </c>
      <c r="H20" s="126"/>
      <c r="I20" s="127"/>
      <c r="J20" s="164">
        <v>1</v>
      </c>
      <c r="K20" s="79" t="s">
        <v>1735</v>
      </c>
      <c r="L20" s="164">
        <v>1</v>
      </c>
      <c r="M20" s="128">
        <v>1</v>
      </c>
      <c r="N20" s="79" t="s">
        <v>384</v>
      </c>
      <c r="O20" s="79"/>
      <c r="P20" s="79" t="s">
        <v>386</v>
      </c>
      <c r="Q20" s="79"/>
      <c r="R20" s="79"/>
      <c r="S20" s="79"/>
      <c r="T20" s="79"/>
      <c r="U20" s="79" t="s">
        <v>385</v>
      </c>
      <c r="V20" s="79" t="s">
        <v>44</v>
      </c>
      <c r="W20" s="79"/>
      <c r="X20" s="79"/>
      <c r="Y20" s="79"/>
      <c r="Z20" s="79" t="s">
        <v>387</v>
      </c>
      <c r="AA20" s="165">
        <v>0</v>
      </c>
      <c r="AB20" s="166" t="s">
        <v>2685</v>
      </c>
      <c r="AC20" s="120">
        <v>3</v>
      </c>
      <c r="AD20" s="206" t="s">
        <v>2681</v>
      </c>
      <c r="AE20" s="192">
        <v>0</v>
      </c>
      <c r="AF20" s="207"/>
      <c r="AG20" s="120"/>
      <c r="AH20" s="120">
        <v>17</v>
      </c>
      <c r="AI20" s="120">
        <v>38</v>
      </c>
      <c r="AJ20" s="120" t="s">
        <v>2683</v>
      </c>
      <c r="AK20" s="120" t="s">
        <v>2684</v>
      </c>
      <c r="AL20" s="120"/>
      <c r="AM20" s="120"/>
      <c r="AN20" s="120"/>
      <c r="AO20" s="120"/>
      <c r="AP20" s="120"/>
      <c r="AQ20" s="120"/>
      <c r="AR20" s="120"/>
      <c r="AS20" s="120"/>
      <c r="AT20" s="120"/>
      <c r="AU20" s="120" t="s">
        <v>2682</v>
      </c>
      <c r="AV20" s="156"/>
      <c r="AW20" s="156"/>
      <c r="AX20" s="156"/>
      <c r="AY20" s="156"/>
      <c r="AZ20" s="156"/>
      <c r="BA20" s="156"/>
      <c r="BB20" s="156"/>
      <c r="BC20" s="156"/>
      <c r="BD20" s="157"/>
      <c r="BE20" s="134"/>
      <c r="BF20" s="134"/>
      <c r="BG20" s="134"/>
      <c r="BH20" s="134"/>
      <c r="BI20" s="134"/>
      <c r="BJ20" s="259"/>
      <c r="BK20" s="138"/>
      <c r="BL20" s="134"/>
      <c r="BM20" s="134"/>
      <c r="BN20" s="134"/>
      <c r="BO20" s="138"/>
      <c r="BP20" s="134"/>
      <c r="BQ20" s="134"/>
      <c r="BR20" s="134"/>
      <c r="BS20" s="288"/>
      <c r="BT20" s="289"/>
      <c r="BU20" s="138"/>
      <c r="BV20" s="134"/>
      <c r="BW20" s="134"/>
      <c r="BX20" s="134"/>
      <c r="BY20" s="138"/>
      <c r="BZ20" s="134"/>
      <c r="CA20" s="134"/>
      <c r="CB20" s="134"/>
      <c r="CC20" s="288"/>
      <c r="CD20" s="289"/>
      <c r="CE20" s="276"/>
      <c r="CF20" s="308"/>
      <c r="CG20" s="138"/>
      <c r="CH20" s="134"/>
      <c r="CI20" s="134"/>
      <c r="CJ20" s="134"/>
      <c r="CK20" s="134"/>
      <c r="CL20" s="134"/>
      <c r="CM20" s="134"/>
      <c r="CN20" s="134"/>
      <c r="CO20" s="300"/>
      <c r="CP20" s="301"/>
      <c r="CQ20" s="134"/>
      <c r="CR20" s="134"/>
      <c r="CS20" s="134"/>
      <c r="CT20" s="134"/>
      <c r="CU20" s="134"/>
      <c r="CV20" s="134"/>
      <c r="CW20" s="134"/>
      <c r="CX20" s="134"/>
      <c r="CY20" s="300"/>
      <c r="CZ20" s="301"/>
      <c r="DA20" s="276"/>
      <c r="DB20" s="277"/>
      <c r="DC20" s="134"/>
      <c r="DD20" s="134"/>
      <c r="DE20" s="134"/>
      <c r="DF20" s="134"/>
      <c r="DG20" s="138"/>
      <c r="DH20" s="134"/>
      <c r="DI20" s="134"/>
      <c r="DJ20" s="134"/>
      <c r="DK20" s="301"/>
      <c r="DL20" s="301"/>
      <c r="DM20" s="134"/>
      <c r="DN20" s="134"/>
      <c r="DO20" s="134"/>
      <c r="DP20" s="134"/>
      <c r="DQ20" s="134"/>
      <c r="DR20" s="134"/>
      <c r="DS20" s="134"/>
      <c r="DT20" s="134"/>
      <c r="DU20" s="301"/>
      <c r="DV20" s="301"/>
      <c r="DW20" s="277"/>
      <c r="DX20" s="134"/>
      <c r="DY20" s="134"/>
      <c r="DZ20" s="134"/>
      <c r="EA20" s="134"/>
      <c r="EB20" s="134"/>
      <c r="EC20" s="134"/>
      <c r="ED20" s="134"/>
      <c r="EE20" s="134"/>
      <c r="EF20" s="301"/>
      <c r="EG20" s="301"/>
      <c r="EH20" s="134"/>
      <c r="EI20" s="134"/>
      <c r="EJ20" s="134"/>
      <c r="EK20" s="134"/>
    </row>
    <row r="21" spans="1:141">
      <c r="A21" s="79" t="s">
        <v>1097</v>
      </c>
      <c r="B21" s="364">
        <v>11</v>
      </c>
      <c r="C21" s="123" t="s">
        <v>1935</v>
      </c>
      <c r="D21" s="124" t="s">
        <v>2303</v>
      </c>
      <c r="E21" s="125">
        <v>2015</v>
      </c>
      <c r="F21" s="79">
        <v>25533726</v>
      </c>
      <c r="G21" s="79">
        <v>1</v>
      </c>
      <c r="H21" s="126">
        <v>1</v>
      </c>
      <c r="I21" s="127"/>
      <c r="J21" s="79">
        <v>1</v>
      </c>
      <c r="K21" s="79"/>
      <c r="L21" s="153">
        <v>1</v>
      </c>
      <c r="M21" s="128">
        <v>2</v>
      </c>
      <c r="N21" s="79" t="s">
        <v>1230</v>
      </c>
      <c r="O21" s="79" t="s">
        <v>1162</v>
      </c>
      <c r="P21" s="79" t="s">
        <v>1127</v>
      </c>
      <c r="Q21" s="79"/>
      <c r="R21" s="79" t="s">
        <v>1541</v>
      </c>
      <c r="S21" s="79" t="s">
        <v>23</v>
      </c>
      <c r="T21" s="79" t="s">
        <v>23</v>
      </c>
      <c r="U21" s="79" t="s">
        <v>1501</v>
      </c>
      <c r="V21" s="79" t="s">
        <v>1231</v>
      </c>
      <c r="W21" s="79" t="s">
        <v>23</v>
      </c>
      <c r="X21" s="79"/>
      <c r="Y21" s="79"/>
      <c r="Z21" s="79"/>
      <c r="AA21" s="233" t="s">
        <v>1917</v>
      </c>
      <c r="AB21" s="234" t="s">
        <v>3338</v>
      </c>
      <c r="AC21" s="121">
        <v>4</v>
      </c>
      <c r="AD21" s="202" t="s">
        <v>2688</v>
      </c>
      <c r="AE21" s="192">
        <v>2</v>
      </c>
      <c r="AF21" s="203">
        <v>1</v>
      </c>
      <c r="AG21" s="121" t="s">
        <v>2691</v>
      </c>
      <c r="AH21" s="121">
        <v>10</v>
      </c>
      <c r="AI21" s="121">
        <v>10</v>
      </c>
      <c r="AJ21" s="121" t="s">
        <v>803</v>
      </c>
      <c r="AK21" s="121" t="s">
        <v>803</v>
      </c>
      <c r="AL21" s="121" t="s">
        <v>2687</v>
      </c>
      <c r="AM21" s="121" t="s">
        <v>24</v>
      </c>
      <c r="AN21" s="121" t="s">
        <v>2687</v>
      </c>
      <c r="AO21" s="121" t="s">
        <v>24</v>
      </c>
      <c r="AP21" s="121" t="s">
        <v>2695</v>
      </c>
      <c r="AQ21" s="121">
        <v>1</v>
      </c>
      <c r="AR21" s="121" t="s">
        <v>3321</v>
      </c>
      <c r="AS21" s="121" t="s">
        <v>2696</v>
      </c>
      <c r="AT21" s="121" t="s">
        <v>1130</v>
      </c>
      <c r="AU21" s="121" t="s">
        <v>2554</v>
      </c>
      <c r="AV21" s="156">
        <v>1</v>
      </c>
      <c r="AW21" s="156"/>
      <c r="AX21" s="156"/>
      <c r="AY21" s="156"/>
      <c r="AZ21" s="156"/>
      <c r="BA21" s="156"/>
      <c r="BB21" s="156"/>
      <c r="BC21" s="156"/>
      <c r="BD21" s="157" t="s">
        <v>2694</v>
      </c>
      <c r="BE21" s="134" t="s">
        <v>1876</v>
      </c>
      <c r="BF21" s="134" t="s">
        <v>2705</v>
      </c>
      <c r="BG21" s="134" t="s">
        <v>2693</v>
      </c>
      <c r="BH21" s="134" t="s">
        <v>23</v>
      </c>
      <c r="BI21" s="134" t="s">
        <v>2659</v>
      </c>
      <c r="BJ21" s="259" t="s">
        <v>2709</v>
      </c>
      <c r="BK21" s="138" t="s">
        <v>2699</v>
      </c>
      <c r="BL21" s="134">
        <v>11.190799999999999</v>
      </c>
      <c r="BM21" s="134" t="s">
        <v>24</v>
      </c>
      <c r="BN21" s="134">
        <f>14.1404-Table664[[#This Row],[Outcome1_M]]</f>
        <v>2.9496000000000002</v>
      </c>
      <c r="BO21" s="138" t="s">
        <v>2700</v>
      </c>
      <c r="BP21" s="134">
        <v>10.0686</v>
      </c>
      <c r="BQ21" s="134" t="s">
        <v>24</v>
      </c>
      <c r="BR21" s="134">
        <f>Table664[[#This Row],[Outcome2_M]]-8.65277</f>
        <v>1.4158299999999997</v>
      </c>
      <c r="BS21" s="288" t="s">
        <v>2707</v>
      </c>
      <c r="BT21" s="289" t="s">
        <v>2480</v>
      </c>
      <c r="BU21" s="138" t="s">
        <v>2701</v>
      </c>
      <c r="BV21" s="134">
        <v>74.327600000000004</v>
      </c>
      <c r="BW21" s="134" t="s">
        <v>24</v>
      </c>
      <c r="BX21" s="134">
        <f>79.7844-Table664[[#This Row],[Outcome3_M]]</f>
        <v>5.4568000000000012</v>
      </c>
      <c r="BY21" s="138" t="s">
        <v>2702</v>
      </c>
      <c r="BZ21" s="134">
        <v>13.1188</v>
      </c>
      <c r="CA21" s="134" t="s">
        <v>24</v>
      </c>
      <c r="CB21" s="134">
        <f>16.8514-Table664[[#This Row],[Outcome4_M]]</f>
        <v>3.7326000000000015</v>
      </c>
      <c r="CC21" s="288" t="s">
        <v>2708</v>
      </c>
      <c r="CD21" s="289" t="s">
        <v>2555</v>
      </c>
      <c r="CE21" s="276"/>
      <c r="CF21" s="308"/>
      <c r="CG21" s="138"/>
      <c r="CH21" s="134"/>
      <c r="CI21" s="134"/>
      <c r="CJ21" s="134"/>
      <c r="CK21" s="134"/>
      <c r="CL21" s="134"/>
      <c r="CM21" s="134"/>
      <c r="CN21" s="134"/>
      <c r="CO21" s="300"/>
      <c r="CP21" s="301"/>
      <c r="CQ21" s="134"/>
      <c r="CR21" s="134"/>
      <c r="CS21" s="134"/>
      <c r="CT21" s="134"/>
      <c r="CU21" s="134"/>
      <c r="CV21" s="134"/>
      <c r="CW21" s="134"/>
      <c r="CX21" s="134"/>
      <c r="CY21" s="300"/>
      <c r="CZ21" s="301"/>
      <c r="DA21" s="276"/>
      <c r="DB21" s="277"/>
      <c r="DC21" s="134"/>
      <c r="DD21" s="134"/>
      <c r="DE21" s="134"/>
      <c r="DF21" s="134"/>
      <c r="DG21" s="138"/>
      <c r="DH21" s="134"/>
      <c r="DI21" s="134"/>
      <c r="DJ21" s="134"/>
      <c r="DK21" s="301"/>
      <c r="DL21" s="301"/>
      <c r="DM21" s="134"/>
      <c r="DN21" s="134"/>
      <c r="DO21" s="134"/>
      <c r="DP21" s="134"/>
      <c r="DQ21" s="134"/>
      <c r="DR21" s="134"/>
      <c r="DS21" s="134"/>
      <c r="DT21" s="134"/>
      <c r="DU21" s="301"/>
      <c r="DV21" s="301"/>
      <c r="DW21" s="277"/>
      <c r="DX21" s="134"/>
      <c r="DY21" s="134"/>
      <c r="DZ21" s="134"/>
      <c r="EA21" s="134"/>
      <c r="EB21" s="134"/>
      <c r="EC21" s="134"/>
      <c r="ED21" s="134"/>
      <c r="EE21" s="134"/>
      <c r="EF21" s="301"/>
      <c r="EG21" s="301"/>
      <c r="EH21" s="134"/>
      <c r="EI21" s="134"/>
      <c r="EJ21" s="134"/>
      <c r="EK21" s="134"/>
    </row>
    <row r="22" spans="1:141" s="119" customFormat="1">
      <c r="A22" s="118" t="s">
        <v>1097</v>
      </c>
      <c r="B22" s="364">
        <v>11</v>
      </c>
      <c r="C22" s="139" t="s">
        <v>1935</v>
      </c>
      <c r="D22" s="140" t="s">
        <v>2303</v>
      </c>
      <c r="E22" s="141">
        <v>2015</v>
      </c>
      <c r="F22" s="118">
        <v>25533726</v>
      </c>
      <c r="G22" s="118">
        <v>1</v>
      </c>
      <c r="H22" s="118">
        <v>1</v>
      </c>
      <c r="I22" s="118"/>
      <c r="J22" s="118">
        <v>1</v>
      </c>
      <c r="K22" s="118"/>
      <c r="L22" s="158">
        <v>1</v>
      </c>
      <c r="M22" s="142">
        <v>2</v>
      </c>
      <c r="N22" s="118" t="s">
        <v>1230</v>
      </c>
      <c r="O22" s="118" t="s">
        <v>1162</v>
      </c>
      <c r="P22" s="118" t="s">
        <v>1127</v>
      </c>
      <c r="Q22" s="118"/>
      <c r="R22" s="118" t="s">
        <v>1541</v>
      </c>
      <c r="S22" s="118" t="s">
        <v>23</v>
      </c>
      <c r="T22" s="118" t="s">
        <v>23</v>
      </c>
      <c r="U22" s="118" t="s">
        <v>1501</v>
      </c>
      <c r="V22" s="118" t="s">
        <v>1231</v>
      </c>
      <c r="W22" s="118" t="s">
        <v>23</v>
      </c>
      <c r="X22" s="118"/>
      <c r="Y22" s="118"/>
      <c r="Z22" s="118"/>
      <c r="AA22" s="233" t="s">
        <v>1917</v>
      </c>
      <c r="AB22" s="234" t="s">
        <v>3338</v>
      </c>
      <c r="AC22" s="122">
        <v>4</v>
      </c>
      <c r="AD22" s="204" t="s">
        <v>2689</v>
      </c>
      <c r="AE22" s="192">
        <v>2</v>
      </c>
      <c r="AF22" s="205">
        <v>1</v>
      </c>
      <c r="AG22" s="122" t="s">
        <v>2691</v>
      </c>
      <c r="AH22" s="122">
        <v>10</v>
      </c>
      <c r="AI22" s="122">
        <v>10</v>
      </c>
      <c r="AJ22" s="122" t="s">
        <v>803</v>
      </c>
      <c r="AK22" s="122" t="s">
        <v>803</v>
      </c>
      <c r="AL22" s="122" t="s">
        <v>2687</v>
      </c>
      <c r="AM22" s="122" t="s">
        <v>24</v>
      </c>
      <c r="AN22" s="122" t="s">
        <v>2687</v>
      </c>
      <c r="AO22" s="122" t="s">
        <v>24</v>
      </c>
      <c r="AP22" s="122" t="s">
        <v>2695</v>
      </c>
      <c r="AQ22" s="122">
        <v>1</v>
      </c>
      <c r="AR22" s="121" t="s">
        <v>3321</v>
      </c>
      <c r="AS22" s="122" t="s">
        <v>2696</v>
      </c>
      <c r="AT22" s="122" t="s">
        <v>1130</v>
      </c>
      <c r="AU22" s="122" t="s">
        <v>2554</v>
      </c>
      <c r="AV22" s="161">
        <v>1</v>
      </c>
      <c r="AW22" s="161"/>
      <c r="AX22" s="161"/>
      <c r="AY22" s="161"/>
      <c r="AZ22" s="161"/>
      <c r="BA22" s="161"/>
      <c r="BB22" s="161"/>
      <c r="BC22" s="161"/>
      <c r="BD22" s="162" t="s">
        <v>2694</v>
      </c>
      <c r="BE22" s="150" t="s">
        <v>1876</v>
      </c>
      <c r="BF22" s="150" t="s">
        <v>2706</v>
      </c>
      <c r="BG22" s="150" t="s">
        <v>2693</v>
      </c>
      <c r="BH22" s="150" t="s">
        <v>23</v>
      </c>
      <c r="BI22" s="150" t="s">
        <v>2659</v>
      </c>
      <c r="BJ22" s="258" t="s">
        <v>2709</v>
      </c>
      <c r="BK22" s="151" t="s">
        <v>2697</v>
      </c>
      <c r="BL22" s="150">
        <v>13.9884</v>
      </c>
      <c r="BM22" s="150" t="s">
        <v>24</v>
      </c>
      <c r="BN22" s="150">
        <f>15.7639-Table664[[#This Row],[Outcome1_M]]</f>
        <v>1.7754999999999992</v>
      </c>
      <c r="BO22" s="151" t="s">
        <v>2698</v>
      </c>
      <c r="BP22" s="266">
        <v>13.468</v>
      </c>
      <c r="BQ22" s="150" t="s">
        <v>24</v>
      </c>
      <c r="BR22" s="266">
        <f>Table664[[#This Row],[Outcome2_M]]-11.9372</f>
        <v>1.5307999999999993</v>
      </c>
      <c r="BS22" s="290" t="s">
        <v>2707</v>
      </c>
      <c r="BT22" s="291" t="s">
        <v>2480</v>
      </c>
      <c r="BU22" s="151" t="s">
        <v>2703</v>
      </c>
      <c r="BV22" s="150">
        <v>74.607299999999995</v>
      </c>
      <c r="BW22" s="150" t="s">
        <v>24</v>
      </c>
      <c r="BX22" s="150">
        <f>80.1047-Table664[[#This Row],[Outcome3_M]]</f>
        <v>5.497399999999999</v>
      </c>
      <c r="BY22" s="151" t="s">
        <v>2704</v>
      </c>
      <c r="BZ22" s="150">
        <v>14.3979</v>
      </c>
      <c r="CA22" s="150" t="s">
        <v>24</v>
      </c>
      <c r="CB22" s="150">
        <f>17.5393-Table664[[#This Row],[Outcome4_M]]</f>
        <v>3.1414000000000009</v>
      </c>
      <c r="CC22" s="290" t="s">
        <v>2708</v>
      </c>
      <c r="CD22" s="291" t="s">
        <v>2555</v>
      </c>
      <c r="CE22" s="278"/>
      <c r="CF22" s="285"/>
      <c r="CG22" s="151"/>
      <c r="CH22" s="150"/>
      <c r="CI22" s="150"/>
      <c r="CJ22" s="150"/>
      <c r="CK22" s="150"/>
      <c r="CL22" s="150"/>
      <c r="CM22" s="150"/>
      <c r="CN22" s="150"/>
      <c r="CO22" s="302"/>
      <c r="CP22" s="303"/>
      <c r="CQ22" s="150"/>
      <c r="CR22" s="150"/>
      <c r="CS22" s="150"/>
      <c r="CT22" s="150"/>
      <c r="CU22" s="150"/>
      <c r="CV22" s="150"/>
      <c r="CW22" s="150"/>
      <c r="CX22" s="150"/>
      <c r="CY22" s="302"/>
      <c r="CZ22" s="303"/>
      <c r="DA22" s="278"/>
      <c r="DB22" s="279"/>
      <c r="DC22" s="150"/>
      <c r="DD22" s="150"/>
      <c r="DE22" s="150"/>
      <c r="DF22" s="150"/>
      <c r="DG22" s="151"/>
      <c r="DH22" s="150"/>
      <c r="DI22" s="150"/>
      <c r="DJ22" s="150"/>
      <c r="DK22" s="303"/>
      <c r="DL22" s="303"/>
      <c r="DM22" s="150"/>
      <c r="DN22" s="150"/>
      <c r="DO22" s="150"/>
      <c r="DP22" s="150"/>
      <c r="DQ22" s="150"/>
      <c r="DR22" s="150"/>
      <c r="DS22" s="150"/>
      <c r="DT22" s="150"/>
      <c r="DU22" s="303"/>
      <c r="DV22" s="303"/>
      <c r="DW22" s="279"/>
      <c r="DX22" s="150"/>
      <c r="DY22" s="150"/>
      <c r="DZ22" s="150"/>
      <c r="EA22" s="150"/>
      <c r="EB22" s="150"/>
      <c r="EC22" s="150"/>
      <c r="ED22" s="150"/>
      <c r="EE22" s="150"/>
      <c r="EF22" s="303"/>
      <c r="EG22" s="303"/>
      <c r="EH22" s="150"/>
      <c r="EI22" s="150"/>
      <c r="EJ22" s="150"/>
      <c r="EK22" s="150"/>
    </row>
    <row r="23" spans="1:141" s="119" customFormat="1">
      <c r="A23" s="118" t="s">
        <v>1097</v>
      </c>
      <c r="B23" s="364">
        <v>11</v>
      </c>
      <c r="C23" s="139" t="s">
        <v>1935</v>
      </c>
      <c r="D23" s="140" t="s">
        <v>2303</v>
      </c>
      <c r="E23" s="141">
        <v>2015</v>
      </c>
      <c r="F23" s="118">
        <v>25533726</v>
      </c>
      <c r="G23" s="118">
        <v>1</v>
      </c>
      <c r="H23" s="118">
        <v>1</v>
      </c>
      <c r="I23" s="118"/>
      <c r="J23" s="118">
        <v>1</v>
      </c>
      <c r="K23" s="118"/>
      <c r="L23" s="158">
        <v>1</v>
      </c>
      <c r="M23" s="142">
        <v>2</v>
      </c>
      <c r="N23" s="118" t="s">
        <v>1230</v>
      </c>
      <c r="O23" s="118" t="s">
        <v>1162</v>
      </c>
      <c r="P23" s="118" t="s">
        <v>1127</v>
      </c>
      <c r="Q23" s="118"/>
      <c r="R23" s="118" t="s">
        <v>1541</v>
      </c>
      <c r="S23" s="118" t="s">
        <v>23</v>
      </c>
      <c r="T23" s="118" t="s">
        <v>23</v>
      </c>
      <c r="U23" s="118" t="s">
        <v>1501</v>
      </c>
      <c r="V23" s="118" t="s">
        <v>1231</v>
      </c>
      <c r="W23" s="118" t="s">
        <v>23</v>
      </c>
      <c r="X23" s="118"/>
      <c r="Y23" s="118"/>
      <c r="Z23" s="118"/>
      <c r="AA23" s="233" t="s">
        <v>1917</v>
      </c>
      <c r="AB23" s="234" t="s">
        <v>3338</v>
      </c>
      <c r="AC23" s="122">
        <v>4</v>
      </c>
      <c r="AD23" s="204" t="s">
        <v>2690</v>
      </c>
      <c r="AE23" s="192">
        <v>2</v>
      </c>
      <c r="AF23" s="205">
        <v>1</v>
      </c>
      <c r="AG23" s="122" t="s">
        <v>2710</v>
      </c>
      <c r="AH23" s="122">
        <v>10</v>
      </c>
      <c r="AI23" s="122">
        <v>10</v>
      </c>
      <c r="AJ23" s="122" t="s">
        <v>803</v>
      </c>
      <c r="AK23" s="122" t="s">
        <v>803</v>
      </c>
      <c r="AL23" s="122" t="s">
        <v>2687</v>
      </c>
      <c r="AM23" s="122" t="s">
        <v>24</v>
      </c>
      <c r="AN23" s="122" t="s">
        <v>2687</v>
      </c>
      <c r="AO23" s="122" t="s">
        <v>24</v>
      </c>
      <c r="AP23" s="122" t="s">
        <v>2695</v>
      </c>
      <c r="AQ23" s="122">
        <v>1</v>
      </c>
      <c r="AR23" s="121" t="s">
        <v>3321</v>
      </c>
      <c r="AS23" s="122" t="s">
        <v>2696</v>
      </c>
      <c r="AT23" s="122" t="s">
        <v>1130</v>
      </c>
      <c r="AU23" s="122" t="s">
        <v>2554</v>
      </c>
      <c r="AV23" s="161">
        <v>1</v>
      </c>
      <c r="AW23" s="161"/>
      <c r="AX23" s="161"/>
      <c r="AY23" s="161"/>
      <c r="AZ23" s="161"/>
      <c r="BA23" s="161"/>
      <c r="BB23" s="161"/>
      <c r="BC23" s="161"/>
      <c r="BD23" s="162" t="s">
        <v>2694</v>
      </c>
      <c r="BE23" s="150" t="s">
        <v>1876</v>
      </c>
      <c r="BF23" s="150" t="s">
        <v>2711</v>
      </c>
      <c r="BG23" s="150" t="s">
        <v>2693</v>
      </c>
      <c r="BH23" s="150" t="s">
        <v>23</v>
      </c>
      <c r="BI23" s="150" t="s">
        <v>2659</v>
      </c>
      <c r="BJ23" s="258" t="s">
        <v>2716</v>
      </c>
      <c r="BK23" s="151" t="s">
        <v>2699</v>
      </c>
      <c r="BL23" s="150">
        <v>14.1493</v>
      </c>
      <c r="BM23" s="150" t="s">
        <v>24</v>
      </c>
      <c r="BN23" s="150">
        <f>16.4182-Table664[[#This Row],[Outcome1_M]]</f>
        <v>2.2688999999999986</v>
      </c>
      <c r="BO23" s="151" t="s">
        <v>2713</v>
      </c>
      <c r="BP23" s="150">
        <v>13.0587</v>
      </c>
      <c r="BQ23" s="150" t="s">
        <v>24</v>
      </c>
      <c r="BR23" s="150">
        <f>16.3618-Table664[[#This Row],[Outcome2_M]]</f>
        <v>3.3030999999999988</v>
      </c>
      <c r="BS23" s="290" t="s">
        <v>2707</v>
      </c>
      <c r="BT23" s="291" t="s">
        <v>2480</v>
      </c>
      <c r="BU23" s="151" t="s">
        <v>2712</v>
      </c>
      <c r="BV23" s="150">
        <v>73.122900000000001</v>
      </c>
      <c r="BW23" s="150" t="s">
        <v>24</v>
      </c>
      <c r="BX23" s="150">
        <f>77.8708-Table664[[#This Row],[Outcome3_M]]</f>
        <v>4.7479000000000013</v>
      </c>
      <c r="BY23" s="151" t="s">
        <v>2714</v>
      </c>
      <c r="BZ23" s="150">
        <v>14.8607</v>
      </c>
      <c r="CA23" s="150" t="s">
        <v>24</v>
      </c>
      <c r="CB23" s="150">
        <f>16.9247-Table664[[#This Row],[Outcome4_M]]</f>
        <v>2.0640000000000018</v>
      </c>
      <c r="CC23" s="290" t="s">
        <v>2708</v>
      </c>
      <c r="CD23" s="291" t="s">
        <v>2555</v>
      </c>
      <c r="CE23" s="278" t="s">
        <v>2715</v>
      </c>
      <c r="CF23" s="285" t="s">
        <v>2555</v>
      </c>
      <c r="CG23" s="151" t="s">
        <v>24</v>
      </c>
      <c r="CH23" s="150"/>
      <c r="CI23" s="150"/>
      <c r="CJ23" s="150"/>
      <c r="CK23" s="150"/>
      <c r="CL23" s="150"/>
      <c r="CM23" s="150"/>
      <c r="CN23" s="150"/>
      <c r="CO23" s="302"/>
      <c r="CP23" s="303"/>
      <c r="CQ23" s="150"/>
      <c r="CR23" s="150"/>
      <c r="CS23" s="150"/>
      <c r="CT23" s="150"/>
      <c r="CU23" s="150"/>
      <c r="CV23" s="150"/>
      <c r="CW23" s="150"/>
      <c r="CX23" s="150"/>
      <c r="CY23" s="302"/>
      <c r="CZ23" s="303"/>
      <c r="DA23" s="278"/>
      <c r="DB23" s="279"/>
      <c r="DC23" s="150"/>
      <c r="DD23" s="150"/>
      <c r="DE23" s="150"/>
      <c r="DF23" s="150"/>
      <c r="DG23" s="151"/>
      <c r="DH23" s="150"/>
      <c r="DI23" s="150"/>
      <c r="DJ23" s="150"/>
      <c r="DK23" s="303"/>
      <c r="DL23" s="303"/>
      <c r="DM23" s="150"/>
      <c r="DN23" s="150"/>
      <c r="DO23" s="150"/>
      <c r="DP23" s="150"/>
      <c r="DQ23" s="150"/>
      <c r="DR23" s="150"/>
      <c r="DS23" s="150"/>
      <c r="DT23" s="150"/>
      <c r="DU23" s="303"/>
      <c r="DV23" s="303"/>
      <c r="DW23" s="279"/>
      <c r="DX23" s="150"/>
      <c r="DY23" s="150"/>
      <c r="DZ23" s="150"/>
      <c r="EA23" s="150"/>
      <c r="EB23" s="150"/>
      <c r="EC23" s="150"/>
      <c r="ED23" s="150"/>
      <c r="EE23" s="150"/>
      <c r="EF23" s="303"/>
      <c r="EG23" s="303"/>
      <c r="EH23" s="150"/>
      <c r="EI23" s="150"/>
      <c r="EJ23" s="150"/>
      <c r="EK23" s="150"/>
    </row>
    <row r="24" spans="1:141">
      <c r="A24" s="79" t="s">
        <v>1088</v>
      </c>
      <c r="B24" s="364">
        <v>12</v>
      </c>
      <c r="C24" s="123" t="s">
        <v>1938</v>
      </c>
      <c r="D24" s="124" t="s">
        <v>2308</v>
      </c>
      <c r="E24" s="125">
        <v>2012</v>
      </c>
      <c r="F24" s="79">
        <v>21976046</v>
      </c>
      <c r="G24" s="79">
        <v>1</v>
      </c>
      <c r="H24" s="126" t="s">
        <v>1827</v>
      </c>
      <c r="I24" s="127"/>
      <c r="J24" s="79">
        <v>0</v>
      </c>
      <c r="K24" s="79"/>
      <c r="L24" s="79">
        <v>0</v>
      </c>
      <c r="M24" s="128">
        <v>2</v>
      </c>
      <c r="N24" s="79" t="s">
        <v>1220</v>
      </c>
      <c r="O24" s="79" t="s">
        <v>24</v>
      </c>
      <c r="P24" s="79" t="s">
        <v>1127</v>
      </c>
      <c r="Q24" s="79"/>
      <c r="R24" s="79" t="s">
        <v>1507</v>
      </c>
      <c r="S24" s="79" t="s">
        <v>23</v>
      </c>
      <c r="T24" s="79" t="s">
        <v>23</v>
      </c>
      <c r="U24" s="79" t="s">
        <v>1833</v>
      </c>
      <c r="V24" s="79" t="s">
        <v>1259</v>
      </c>
      <c r="W24" s="79" t="s">
        <v>1132</v>
      </c>
      <c r="X24" s="79"/>
      <c r="Y24" s="79"/>
      <c r="Z24" s="79" t="s">
        <v>1260</v>
      </c>
      <c r="AA24" s="154">
        <v>1</v>
      </c>
      <c r="AB24" s="155" t="s">
        <v>2729</v>
      </c>
      <c r="AC24" s="121">
        <v>4</v>
      </c>
      <c r="AD24" s="202" t="s">
        <v>2721</v>
      </c>
      <c r="AE24" s="192">
        <v>0</v>
      </c>
      <c r="AF24" s="203">
        <v>1</v>
      </c>
      <c r="AG24" s="121" t="s">
        <v>2728</v>
      </c>
      <c r="AH24" s="121">
        <v>10</v>
      </c>
      <c r="AI24" s="121">
        <v>10</v>
      </c>
      <c r="AJ24" s="121" t="s">
        <v>803</v>
      </c>
      <c r="AK24" s="121" t="s">
        <v>803</v>
      </c>
      <c r="AL24" s="121" t="s">
        <v>23</v>
      </c>
      <c r="AM24" s="121" t="s">
        <v>24</v>
      </c>
      <c r="AN24" s="121" t="s">
        <v>23</v>
      </c>
      <c r="AO24" s="121" t="s">
        <v>24</v>
      </c>
      <c r="AP24" s="121" t="s">
        <v>2717</v>
      </c>
      <c r="AQ24" s="121">
        <v>1</v>
      </c>
      <c r="AR24" s="121">
        <v>1</v>
      </c>
      <c r="AS24" s="121" t="s">
        <v>2718</v>
      </c>
      <c r="AT24" s="121" t="s">
        <v>1130</v>
      </c>
      <c r="AU24" s="122" t="s">
        <v>2720</v>
      </c>
      <c r="AV24" s="156">
        <v>1</v>
      </c>
      <c r="AW24" s="156"/>
      <c r="AX24" s="156"/>
      <c r="AY24" s="156"/>
      <c r="AZ24" s="156"/>
      <c r="BA24" s="156"/>
      <c r="BB24" s="156"/>
      <c r="BC24" s="156"/>
      <c r="BD24" s="157" t="s">
        <v>2493</v>
      </c>
      <c r="BE24" s="134" t="s">
        <v>1876</v>
      </c>
      <c r="BF24" s="134" t="s">
        <v>2722</v>
      </c>
      <c r="BG24" s="134" t="s">
        <v>2719</v>
      </c>
      <c r="BH24" s="134" t="s">
        <v>23</v>
      </c>
      <c r="BI24" s="134" t="s">
        <v>2659</v>
      </c>
      <c r="BJ24" s="259" t="s">
        <v>2727</v>
      </c>
      <c r="BK24" s="138" t="s">
        <v>2726</v>
      </c>
      <c r="BL24" s="134">
        <v>36.9405</v>
      </c>
      <c r="BM24" s="134" t="s">
        <v>24</v>
      </c>
      <c r="BN24" s="134">
        <f>42.2634-Table664[[#This Row],[Outcome1_M]]</f>
        <v>5.3228999999999971</v>
      </c>
      <c r="BO24" s="138" t="s">
        <v>2725</v>
      </c>
      <c r="BP24" s="134">
        <v>16.450099999999999</v>
      </c>
      <c r="BQ24" s="134" t="s">
        <v>24</v>
      </c>
      <c r="BR24" s="134">
        <f>19.3968-Table664[[#This Row],[Outcome2_M]]</f>
        <v>2.9466999999999999</v>
      </c>
      <c r="BS24" s="288" t="s">
        <v>2723</v>
      </c>
      <c r="BT24" s="289" t="s">
        <v>2724</v>
      </c>
      <c r="BU24" s="138" t="s">
        <v>24</v>
      </c>
      <c r="BV24" s="134" t="s">
        <v>24</v>
      </c>
      <c r="BW24" s="134"/>
      <c r="BX24" s="134"/>
      <c r="BY24" s="138"/>
      <c r="BZ24" s="134"/>
      <c r="CA24" s="134"/>
      <c r="CB24" s="134"/>
      <c r="CC24" s="288"/>
      <c r="CD24" s="289"/>
      <c r="CE24" s="276"/>
      <c r="CF24" s="308"/>
      <c r="CG24" s="138"/>
      <c r="CH24" s="134"/>
      <c r="CI24" s="134"/>
      <c r="CJ24" s="134"/>
      <c r="CK24" s="134"/>
      <c r="CL24" s="134"/>
      <c r="CM24" s="134"/>
      <c r="CN24" s="134"/>
      <c r="CO24" s="300"/>
      <c r="CP24" s="301"/>
      <c r="CQ24" s="134"/>
      <c r="CR24" s="134"/>
      <c r="CS24" s="134"/>
      <c r="CT24" s="134"/>
      <c r="CU24" s="134"/>
      <c r="CV24" s="134"/>
      <c r="CW24" s="134"/>
      <c r="CX24" s="134"/>
      <c r="CY24" s="300"/>
      <c r="CZ24" s="301"/>
      <c r="DA24" s="276"/>
      <c r="DB24" s="277"/>
      <c r="DC24" s="134"/>
      <c r="DD24" s="134"/>
      <c r="DE24" s="134"/>
      <c r="DF24" s="134"/>
      <c r="DG24" s="138"/>
      <c r="DH24" s="134"/>
      <c r="DI24" s="134"/>
      <c r="DJ24" s="134"/>
      <c r="DK24" s="301"/>
      <c r="DL24" s="301"/>
      <c r="DM24" s="134"/>
      <c r="DN24" s="134"/>
      <c r="DO24" s="134"/>
      <c r="DP24" s="134"/>
      <c r="DQ24" s="134"/>
      <c r="DR24" s="134"/>
      <c r="DS24" s="134"/>
      <c r="DT24" s="134"/>
      <c r="DU24" s="301"/>
      <c r="DV24" s="301"/>
      <c r="DW24" s="277"/>
      <c r="DX24" s="134"/>
      <c r="DY24" s="134"/>
      <c r="DZ24" s="134"/>
      <c r="EA24" s="134"/>
      <c r="EB24" s="134"/>
      <c r="EC24" s="134"/>
      <c r="ED24" s="134"/>
      <c r="EE24" s="134"/>
      <c r="EF24" s="301"/>
      <c r="EG24" s="301"/>
      <c r="EH24" s="134"/>
      <c r="EI24" s="134"/>
      <c r="EJ24" s="134"/>
      <c r="EK24" s="134"/>
    </row>
    <row r="25" spans="1:141">
      <c r="A25" s="79" t="s">
        <v>1083</v>
      </c>
      <c r="B25" s="364">
        <v>13</v>
      </c>
      <c r="C25" s="123" t="s">
        <v>2060</v>
      </c>
      <c r="D25" s="124" t="s">
        <v>2312</v>
      </c>
      <c r="E25" s="125">
        <v>2012</v>
      </c>
      <c r="F25" s="79">
        <v>21925525</v>
      </c>
      <c r="G25" s="79">
        <v>1</v>
      </c>
      <c r="H25" s="126" t="s">
        <v>1831</v>
      </c>
      <c r="I25" s="127"/>
      <c r="J25" s="79">
        <v>0</v>
      </c>
      <c r="K25" s="79"/>
      <c r="L25" s="153">
        <v>0</v>
      </c>
      <c r="M25" s="128">
        <v>2</v>
      </c>
      <c r="N25" s="79" t="s">
        <v>1273</v>
      </c>
      <c r="O25" s="79" t="s">
        <v>1212</v>
      </c>
      <c r="P25" s="79" t="s">
        <v>1127</v>
      </c>
      <c r="Q25" s="79"/>
      <c r="R25" s="79" t="s">
        <v>1829</v>
      </c>
      <c r="S25" s="79"/>
      <c r="T25" s="79"/>
      <c r="U25" s="79" t="s">
        <v>1830</v>
      </c>
      <c r="V25" s="79"/>
      <c r="W25" s="79"/>
      <c r="X25" s="79"/>
      <c r="Y25" s="79"/>
      <c r="Z25" s="79" t="s">
        <v>1488</v>
      </c>
      <c r="AA25" s="154">
        <v>1</v>
      </c>
      <c r="AB25" s="155" t="s">
        <v>2776</v>
      </c>
      <c r="AC25" s="121">
        <v>4</v>
      </c>
      <c r="AD25" s="202" t="s">
        <v>2735</v>
      </c>
      <c r="AE25" s="192">
        <v>2</v>
      </c>
      <c r="AF25" s="203">
        <v>0</v>
      </c>
      <c r="AG25" s="121">
        <f>8+8+8</f>
        <v>24</v>
      </c>
      <c r="AH25" s="121" t="s">
        <v>2734</v>
      </c>
      <c r="AI25" s="121">
        <v>8</v>
      </c>
      <c r="AJ25" s="121" t="s">
        <v>803</v>
      </c>
      <c r="AK25" s="121" t="s">
        <v>803</v>
      </c>
      <c r="AL25" s="121" t="s">
        <v>23</v>
      </c>
      <c r="AM25" s="121" t="s">
        <v>24</v>
      </c>
      <c r="AN25" s="121" t="s">
        <v>23</v>
      </c>
      <c r="AO25" s="121" t="s">
        <v>24</v>
      </c>
      <c r="AP25" s="121" t="s">
        <v>2731</v>
      </c>
      <c r="AQ25" s="121">
        <v>1</v>
      </c>
      <c r="AR25" s="121" t="s">
        <v>3322</v>
      </c>
      <c r="AS25" s="121" t="s">
        <v>2732</v>
      </c>
      <c r="AT25" s="121" t="s">
        <v>2730</v>
      </c>
      <c r="AU25" s="121" t="s">
        <v>2733</v>
      </c>
      <c r="AV25" s="156">
        <v>1</v>
      </c>
      <c r="AW25" s="156"/>
      <c r="AX25" s="156"/>
      <c r="AY25" s="156"/>
      <c r="AZ25" s="156"/>
      <c r="BA25" s="156"/>
      <c r="BB25" s="156"/>
      <c r="BC25" s="156"/>
      <c r="BD25" s="157" t="s">
        <v>2741</v>
      </c>
      <c r="BE25" s="134" t="s">
        <v>1876</v>
      </c>
      <c r="BF25" s="134">
        <v>3</v>
      </c>
      <c r="BG25" s="134" t="s">
        <v>2737</v>
      </c>
      <c r="BH25" s="134" t="s">
        <v>2471</v>
      </c>
      <c r="BI25" s="134" t="s">
        <v>2659</v>
      </c>
      <c r="BJ25" s="259" t="s">
        <v>2748</v>
      </c>
      <c r="BK25" s="138" t="s">
        <v>2736</v>
      </c>
      <c r="BL25" s="134">
        <v>62.995399999999997</v>
      </c>
      <c r="BM25" s="134" t="s">
        <v>24</v>
      </c>
      <c r="BN25" s="134">
        <f>70.638-Table664[[#This Row],[Outcome1_M]]</f>
        <v>7.6426000000000087</v>
      </c>
      <c r="BO25" s="138" t="s">
        <v>2739</v>
      </c>
      <c r="BP25" s="134">
        <v>33.502899999999997</v>
      </c>
      <c r="BQ25" s="134" t="s">
        <v>24</v>
      </c>
      <c r="BR25" s="134">
        <f>37.3238-Table664[[#This Row],[Outcome3_M]]</f>
        <v>-13.790100000000002</v>
      </c>
      <c r="BS25" s="288" t="s">
        <v>2740</v>
      </c>
      <c r="BT25" s="289" t="s">
        <v>2555</v>
      </c>
      <c r="BU25" s="138" t="s">
        <v>2738</v>
      </c>
      <c r="BV25" s="134">
        <v>51.113900000000001</v>
      </c>
      <c r="BW25" s="134" t="s">
        <v>24</v>
      </c>
      <c r="BX25" s="134">
        <f>61.3051-Table664[[#This Row],[Outcome2_M]]</f>
        <v>27.802200000000006</v>
      </c>
      <c r="BY25" s="138"/>
      <c r="BZ25" s="134"/>
      <c r="CA25" s="134"/>
      <c r="CB25" s="134"/>
      <c r="CC25" s="288"/>
      <c r="CD25" s="289"/>
      <c r="CE25" s="276"/>
      <c r="CF25" s="308"/>
      <c r="CG25" s="138"/>
      <c r="CH25" s="134"/>
      <c r="CI25" s="134"/>
      <c r="CJ25" s="134"/>
      <c r="CK25" s="134"/>
      <c r="CL25" s="134"/>
      <c r="CM25" s="134"/>
      <c r="CN25" s="134"/>
      <c r="CO25" s="300"/>
      <c r="CP25" s="301"/>
      <c r="CQ25" s="134"/>
      <c r="CR25" s="134"/>
      <c r="CS25" s="134"/>
      <c r="CT25" s="134"/>
      <c r="CU25" s="134"/>
      <c r="CV25" s="134"/>
      <c r="CW25" s="134"/>
      <c r="CX25" s="134"/>
      <c r="CY25" s="300"/>
      <c r="CZ25" s="301"/>
      <c r="DA25" s="276"/>
      <c r="DB25" s="277"/>
      <c r="DC25" s="134"/>
      <c r="DD25" s="134"/>
      <c r="DE25" s="134"/>
      <c r="DF25" s="134"/>
      <c r="DG25" s="138"/>
      <c r="DH25" s="134"/>
      <c r="DI25" s="134"/>
      <c r="DJ25" s="134"/>
      <c r="DK25" s="301"/>
      <c r="DL25" s="301"/>
      <c r="DM25" s="134"/>
      <c r="DN25" s="134"/>
      <c r="DO25" s="134"/>
      <c r="DP25" s="134"/>
      <c r="DQ25" s="134"/>
      <c r="DR25" s="134"/>
      <c r="DS25" s="134"/>
      <c r="DT25" s="134"/>
      <c r="DU25" s="301"/>
      <c r="DV25" s="301"/>
      <c r="DW25" s="277"/>
      <c r="DX25" s="134"/>
      <c r="DY25" s="134"/>
      <c r="DZ25" s="134"/>
      <c r="EA25" s="134"/>
      <c r="EB25" s="134"/>
      <c r="EC25" s="134"/>
      <c r="ED25" s="134"/>
      <c r="EE25" s="134"/>
      <c r="EF25" s="301"/>
      <c r="EG25" s="301"/>
      <c r="EH25" s="134"/>
      <c r="EI25" s="134"/>
      <c r="EJ25" s="134"/>
      <c r="EK25" s="134"/>
    </row>
    <row r="26" spans="1:141" s="119" customFormat="1">
      <c r="A26" s="118" t="s">
        <v>1083</v>
      </c>
      <c r="B26" s="364">
        <v>13</v>
      </c>
      <c r="C26" s="139" t="s">
        <v>2060</v>
      </c>
      <c r="D26" s="140" t="s">
        <v>2312</v>
      </c>
      <c r="E26" s="141">
        <v>2012</v>
      </c>
      <c r="F26" s="118">
        <v>21925525</v>
      </c>
      <c r="G26" s="118">
        <v>1</v>
      </c>
      <c r="H26" s="118" t="s">
        <v>1831</v>
      </c>
      <c r="I26" s="118"/>
      <c r="J26" s="118">
        <v>0</v>
      </c>
      <c r="K26" s="118"/>
      <c r="L26" s="158">
        <v>0</v>
      </c>
      <c r="M26" s="142">
        <v>2</v>
      </c>
      <c r="N26" s="118" t="s">
        <v>1273</v>
      </c>
      <c r="O26" s="118" t="s">
        <v>1212</v>
      </c>
      <c r="P26" s="118" t="s">
        <v>1127</v>
      </c>
      <c r="Q26" s="118"/>
      <c r="R26" s="118" t="s">
        <v>1829</v>
      </c>
      <c r="S26" s="118"/>
      <c r="T26" s="118"/>
      <c r="U26" s="118" t="s">
        <v>1830</v>
      </c>
      <c r="V26" s="118"/>
      <c r="W26" s="118"/>
      <c r="X26" s="118"/>
      <c r="Y26" s="118"/>
      <c r="Z26" s="118" t="s">
        <v>1488</v>
      </c>
      <c r="AA26" s="159">
        <v>1</v>
      </c>
      <c r="AB26" s="160" t="s">
        <v>2777</v>
      </c>
      <c r="AC26" s="122">
        <v>4</v>
      </c>
      <c r="AD26" s="204" t="s">
        <v>2774</v>
      </c>
      <c r="AE26" s="192">
        <v>2</v>
      </c>
      <c r="AF26" s="205">
        <v>0</v>
      </c>
      <c r="AG26" s="122">
        <f>8+8+8</f>
        <v>24</v>
      </c>
      <c r="AH26" s="122" t="s">
        <v>2734</v>
      </c>
      <c r="AI26" s="122">
        <v>8</v>
      </c>
      <c r="AJ26" s="122" t="s">
        <v>803</v>
      </c>
      <c r="AK26" s="122" t="s">
        <v>803</v>
      </c>
      <c r="AL26" s="122" t="s">
        <v>23</v>
      </c>
      <c r="AM26" s="122" t="s">
        <v>24</v>
      </c>
      <c r="AN26" s="122" t="s">
        <v>23</v>
      </c>
      <c r="AO26" s="122" t="s">
        <v>24</v>
      </c>
      <c r="AP26" s="122" t="s">
        <v>2731</v>
      </c>
      <c r="AQ26" s="122">
        <v>1</v>
      </c>
      <c r="AR26" s="122" t="s">
        <v>3322</v>
      </c>
      <c r="AS26" s="122" t="s">
        <v>2732</v>
      </c>
      <c r="AT26" s="122" t="s">
        <v>2730</v>
      </c>
      <c r="AU26" s="122" t="s">
        <v>2733</v>
      </c>
      <c r="AV26" s="161">
        <v>1</v>
      </c>
      <c r="AW26" s="161"/>
      <c r="AX26" s="161"/>
      <c r="AY26" s="161"/>
      <c r="AZ26" s="161"/>
      <c r="BA26" s="161"/>
      <c r="BB26" s="161"/>
      <c r="BC26" s="161"/>
      <c r="BD26" s="162" t="s">
        <v>2775</v>
      </c>
      <c r="BE26" s="150" t="s">
        <v>1876</v>
      </c>
      <c r="BF26" s="150">
        <v>3</v>
      </c>
      <c r="BG26" s="150" t="s">
        <v>2742</v>
      </c>
      <c r="BH26" s="150" t="s">
        <v>2471</v>
      </c>
      <c r="BI26" s="150" t="s">
        <v>2659</v>
      </c>
      <c r="BJ26" s="258" t="s">
        <v>2749</v>
      </c>
      <c r="BK26" s="151" t="s">
        <v>2743</v>
      </c>
      <c r="BL26" s="150">
        <v>17.985600000000002</v>
      </c>
      <c r="BM26" s="150" t="s">
        <v>24</v>
      </c>
      <c r="BN26" s="150">
        <f>19.9041-Table664[[#This Row],[Outcome1_M]]</f>
        <v>1.9184999999999981</v>
      </c>
      <c r="BO26" s="151" t="s">
        <v>2744</v>
      </c>
      <c r="BP26" s="150">
        <v>12.9496</v>
      </c>
      <c r="BQ26" s="150" t="s">
        <v>24</v>
      </c>
      <c r="BR26" s="150">
        <f>15.1079-Table664[[#This Row],[Outcome2_M]]</f>
        <v>2.1583000000000006</v>
      </c>
      <c r="BS26" s="290" t="s">
        <v>24</v>
      </c>
      <c r="BT26" s="291" t="s">
        <v>24</v>
      </c>
      <c r="BU26" s="151" t="s">
        <v>2745</v>
      </c>
      <c r="BV26" s="150">
        <v>11.990399999999999</v>
      </c>
      <c r="BW26" s="150" t="s">
        <v>24</v>
      </c>
      <c r="BX26" s="150">
        <f>14.3885-Table664[[#This Row],[Outcome3_M]]</f>
        <v>2.3981000000000012</v>
      </c>
      <c r="BY26" s="151" t="s">
        <v>2746</v>
      </c>
      <c r="BZ26" s="150">
        <v>4.7961600000000004</v>
      </c>
      <c r="CA26" s="150" t="s">
        <v>24</v>
      </c>
      <c r="CB26" s="150">
        <f>6.23501-Table664[[#This Row],[Outcome4_M]]</f>
        <v>1.4388499999999995</v>
      </c>
      <c r="CC26" s="290" t="s">
        <v>24</v>
      </c>
      <c r="CD26" s="291" t="s">
        <v>24</v>
      </c>
      <c r="CE26" s="278" t="s">
        <v>24</v>
      </c>
      <c r="CF26" s="285" t="s">
        <v>24</v>
      </c>
      <c r="CG26" s="151" t="s">
        <v>2747</v>
      </c>
      <c r="CH26" s="150">
        <v>7.9136699999999998</v>
      </c>
      <c r="CI26" s="150" t="s">
        <v>24</v>
      </c>
      <c r="CJ26" s="150">
        <f>10.0719-Table664[[#This Row],[Outcome5_M]]</f>
        <v>2.1582299999999996</v>
      </c>
      <c r="CK26" s="151" t="s">
        <v>2750</v>
      </c>
      <c r="CL26" s="150">
        <v>38.609099999999998</v>
      </c>
      <c r="CM26" s="150" t="s">
        <v>24</v>
      </c>
      <c r="CN26" s="150">
        <f>Table664[[#This Row],[Outcome6_M]]-27.5779</f>
        <v>11.031199999999998</v>
      </c>
      <c r="CO26" s="302"/>
      <c r="CP26" s="303"/>
      <c r="CQ26" s="151" t="s">
        <v>2751</v>
      </c>
      <c r="CR26" s="150">
        <v>27.5779</v>
      </c>
      <c r="CS26" s="150" t="s">
        <v>24</v>
      </c>
      <c r="CT26" s="150">
        <f>33.813-Table664[[#This Row],[Outcome7_M]]</f>
        <v>6.2351000000000028</v>
      </c>
      <c r="CU26" s="151" t="s">
        <v>2752</v>
      </c>
      <c r="CV26" s="150">
        <v>18.2254</v>
      </c>
      <c r="CW26" s="150" t="s">
        <v>24</v>
      </c>
      <c r="CX26" s="150">
        <f>23.741-Table664[[#This Row],[Outcome8_M]]</f>
        <v>5.5155999999999992</v>
      </c>
      <c r="CY26" s="302"/>
      <c r="CZ26" s="303"/>
      <c r="DA26" s="278"/>
      <c r="DB26" s="279"/>
      <c r="DC26" s="151" t="s">
        <v>2753</v>
      </c>
      <c r="DD26" s="150">
        <v>19.424499999999998</v>
      </c>
      <c r="DE26" s="150" t="s">
        <v>24</v>
      </c>
      <c r="DF26" s="150">
        <f>21.5827-Table664[[#This Row],[Outcome9_M]]</f>
        <v>2.1582000000000008</v>
      </c>
      <c r="DG26" s="151" t="s">
        <v>2754</v>
      </c>
      <c r="DH26" s="150">
        <v>16.546800000000001</v>
      </c>
      <c r="DI26" s="150" t="s">
        <v>24</v>
      </c>
      <c r="DJ26" s="150">
        <f>20.8633-Table664[[#This Row],[Outcome10_M]]</f>
        <v>4.3164999999999978</v>
      </c>
      <c r="DK26" s="303"/>
      <c r="DL26" s="303"/>
      <c r="DM26" s="151" t="s">
        <v>2755</v>
      </c>
      <c r="DN26" s="150">
        <v>47.402099999999997</v>
      </c>
      <c r="DO26" s="150" t="s">
        <v>24</v>
      </c>
      <c r="DP26" s="150">
        <f>Table664[[#This Row],[Outcome11_M]]-40.6875</f>
        <v>6.7145999999999972</v>
      </c>
      <c r="DQ26" s="151" t="s">
        <v>2756</v>
      </c>
      <c r="DR26" s="150">
        <v>22.7818</v>
      </c>
      <c r="DS26" s="150" t="s">
        <v>24</v>
      </c>
      <c r="DT26" s="150">
        <f>Table664[[#This Row],[Outcome12_M]]-18.9448</f>
        <v>3.8369999999999997</v>
      </c>
      <c r="DU26" s="303"/>
      <c r="DV26" s="303"/>
      <c r="DW26" s="279"/>
      <c r="DX26" s="151" t="s">
        <v>2757</v>
      </c>
      <c r="DY26" s="150">
        <v>24.540400000000002</v>
      </c>
      <c r="DZ26" s="150" t="s">
        <v>24</v>
      </c>
      <c r="EA26" s="150">
        <f>28.697-Table664[[#This Row],[Outcome13_M]]</f>
        <v>4.1565999999999974</v>
      </c>
      <c r="EB26" s="151" t="s">
        <v>2768</v>
      </c>
      <c r="EC26" s="150">
        <v>19.104700000000001</v>
      </c>
      <c r="ED26" s="150" t="s">
        <v>24</v>
      </c>
      <c r="EE26" s="150">
        <f>24.3805-Table664[[#This Row],[Outcome14_M]]</f>
        <v>5.2758000000000003</v>
      </c>
      <c r="EF26" s="303"/>
      <c r="EG26" s="303"/>
      <c r="EH26" s="151" t="s">
        <v>2770</v>
      </c>
      <c r="EI26" s="150">
        <v>16.546800000000001</v>
      </c>
      <c r="EJ26" s="150" t="s">
        <v>24</v>
      </c>
      <c r="EK26" s="150">
        <f>21.0232-Table664[[#This Row],[Outcome15_M]]</f>
        <v>4.4763999999999982</v>
      </c>
    </row>
    <row r="27" spans="1:141">
      <c r="A27" s="79" t="s">
        <v>1077</v>
      </c>
      <c r="B27" s="364">
        <v>14</v>
      </c>
      <c r="C27" s="123" t="s">
        <v>2063</v>
      </c>
      <c r="D27" s="124" t="s">
        <v>2315</v>
      </c>
      <c r="E27" s="125">
        <v>2013</v>
      </c>
      <c r="F27" s="79">
        <v>23382811</v>
      </c>
      <c r="G27" s="79">
        <v>1</v>
      </c>
      <c r="H27" s="126">
        <v>1</v>
      </c>
      <c r="I27" s="127"/>
      <c r="J27" s="79">
        <v>0</v>
      </c>
      <c r="K27" s="79"/>
      <c r="L27" s="153">
        <v>0</v>
      </c>
      <c r="M27" s="128">
        <v>2</v>
      </c>
      <c r="N27" s="79" t="s">
        <v>1286</v>
      </c>
      <c r="O27" s="79" t="s">
        <v>1142</v>
      </c>
      <c r="P27" s="79" t="s">
        <v>1285</v>
      </c>
      <c r="Q27" s="79"/>
      <c r="R27" s="79" t="s">
        <v>1488</v>
      </c>
      <c r="S27" s="79" t="s">
        <v>23</v>
      </c>
      <c r="T27" s="79"/>
      <c r="U27" s="79" t="s">
        <v>1800</v>
      </c>
      <c r="V27" s="79" t="s">
        <v>1287</v>
      </c>
      <c r="W27" s="79"/>
      <c r="X27" s="79"/>
      <c r="Y27" s="79"/>
      <c r="Z27" s="79"/>
      <c r="AA27" s="165">
        <v>0</v>
      </c>
      <c r="AB27" s="166" t="s">
        <v>3339</v>
      </c>
      <c r="AC27" s="120">
        <v>5</v>
      </c>
      <c r="AD27" s="206" t="s">
        <v>2792</v>
      </c>
      <c r="AE27" s="192">
        <v>0</v>
      </c>
      <c r="AF27" s="207">
        <v>0</v>
      </c>
      <c r="AG27" s="120">
        <v>8</v>
      </c>
      <c r="AH27" s="120">
        <v>8</v>
      </c>
      <c r="AI27" s="120" t="s">
        <v>24</v>
      </c>
      <c r="AJ27" s="120" t="s">
        <v>803</v>
      </c>
      <c r="AK27" s="120" t="s">
        <v>24</v>
      </c>
      <c r="AL27" s="120" t="s">
        <v>2793</v>
      </c>
      <c r="AM27" s="120" t="s">
        <v>24</v>
      </c>
      <c r="AN27" s="120" t="s">
        <v>24</v>
      </c>
      <c r="AO27" s="120" t="s">
        <v>24</v>
      </c>
      <c r="AP27" s="120" t="s">
        <v>2791</v>
      </c>
      <c r="AQ27" s="120">
        <v>1</v>
      </c>
      <c r="AR27" s="120" t="s">
        <v>3323</v>
      </c>
      <c r="AS27" s="120" t="s">
        <v>24</v>
      </c>
      <c r="AT27" s="120" t="s">
        <v>2790</v>
      </c>
      <c r="AU27" s="120" t="s">
        <v>24</v>
      </c>
      <c r="AV27" s="156">
        <v>1</v>
      </c>
      <c r="AW27" s="156"/>
      <c r="AX27" s="156"/>
      <c r="AY27" s="156"/>
      <c r="AZ27" s="156"/>
      <c r="BA27" s="156"/>
      <c r="BB27" s="156"/>
      <c r="BC27" s="156"/>
      <c r="BD27" s="157" t="s">
        <v>2794</v>
      </c>
      <c r="BE27" s="134" t="s">
        <v>2789</v>
      </c>
      <c r="BF27" s="134">
        <v>1</v>
      </c>
      <c r="BG27" s="134" t="s">
        <v>2788</v>
      </c>
      <c r="BH27" s="134" t="s">
        <v>2787</v>
      </c>
      <c r="BI27" s="134" t="s">
        <v>2659</v>
      </c>
      <c r="BJ27" s="259" t="s">
        <v>2786</v>
      </c>
      <c r="BK27" s="138" t="s">
        <v>2778</v>
      </c>
      <c r="BL27" s="134">
        <v>11.557399999999999</v>
      </c>
      <c r="BM27" s="134" t="s">
        <v>24</v>
      </c>
      <c r="BN27" s="134">
        <f>14.5082-Table664[[#This Row],[Outcome1_M]]</f>
        <v>2.950800000000001</v>
      </c>
      <c r="BO27" s="138" t="s">
        <v>2779</v>
      </c>
      <c r="BP27" s="134">
        <v>30.491800000000001</v>
      </c>
      <c r="BQ27" s="134" t="s">
        <v>24</v>
      </c>
      <c r="BR27" s="134">
        <f>36.1475-Table664[[#This Row],[Outcome2_M]]</f>
        <v>5.6556999999999995</v>
      </c>
      <c r="BS27" s="288" t="s">
        <v>2782</v>
      </c>
      <c r="BT27" s="289" t="s">
        <v>2783</v>
      </c>
      <c r="BU27" s="138" t="s">
        <v>2780</v>
      </c>
      <c r="BV27" s="134">
        <v>65.409800000000004</v>
      </c>
      <c r="BW27" s="134" t="s">
        <v>24</v>
      </c>
      <c r="BX27" s="134">
        <f>74.0164-Table664[[#This Row],[Outcome3_M]]</f>
        <v>8.6066000000000003</v>
      </c>
      <c r="BY27" s="138" t="s">
        <v>2781</v>
      </c>
      <c r="BZ27" s="134">
        <v>70.573800000000006</v>
      </c>
      <c r="CA27" s="134" t="s">
        <v>24</v>
      </c>
      <c r="CB27" s="134">
        <f>77.9508-Table664[[#This Row],[Outcome4_M]]</f>
        <v>7.3769999999999953</v>
      </c>
      <c r="CC27" s="288"/>
      <c r="CD27" s="289"/>
      <c r="CE27" s="276" t="s">
        <v>2784</v>
      </c>
      <c r="CF27" s="308" t="s">
        <v>2785</v>
      </c>
      <c r="CG27" s="138"/>
      <c r="CH27" s="134"/>
      <c r="CI27" s="134"/>
      <c r="CJ27" s="134"/>
      <c r="CK27" s="134"/>
      <c r="CL27" s="134"/>
      <c r="CM27" s="134"/>
      <c r="CN27" s="134"/>
      <c r="CO27" s="300"/>
      <c r="CP27" s="301"/>
      <c r="CQ27" s="134"/>
      <c r="CR27" s="134"/>
      <c r="CS27" s="134"/>
      <c r="CT27" s="134"/>
      <c r="CU27" s="134"/>
      <c r="CV27" s="134"/>
      <c r="CW27" s="134"/>
      <c r="CX27" s="134"/>
      <c r="CY27" s="300"/>
      <c r="CZ27" s="301"/>
      <c r="DA27" s="276"/>
      <c r="DB27" s="277"/>
      <c r="DC27" s="134"/>
      <c r="DD27" s="134"/>
      <c r="DE27" s="134"/>
      <c r="DF27" s="134"/>
      <c r="DG27" s="138"/>
      <c r="DH27" s="134"/>
      <c r="DI27" s="134"/>
      <c r="DJ27" s="134"/>
      <c r="DK27" s="301"/>
      <c r="DL27" s="301"/>
      <c r="DM27" s="134"/>
      <c r="DN27" s="134"/>
      <c r="DO27" s="134"/>
      <c r="DP27" s="134"/>
      <c r="DQ27" s="134"/>
      <c r="DR27" s="134"/>
      <c r="DS27" s="134"/>
      <c r="DT27" s="134"/>
      <c r="DU27" s="301"/>
      <c r="DV27" s="301"/>
      <c r="DW27" s="277"/>
      <c r="DX27" s="134"/>
      <c r="DY27" s="134"/>
      <c r="DZ27" s="134"/>
      <c r="EA27" s="134"/>
      <c r="EB27" s="134"/>
      <c r="EC27" s="134"/>
      <c r="ED27" s="134"/>
      <c r="EE27" s="134"/>
      <c r="EF27" s="301"/>
      <c r="EG27" s="301"/>
      <c r="EH27" s="134"/>
      <c r="EI27" s="134"/>
      <c r="EJ27" s="134"/>
      <c r="EK27" s="134"/>
    </row>
    <row r="28" spans="1:141">
      <c r="A28" s="79" t="s">
        <v>1072</v>
      </c>
      <c r="B28" s="364">
        <v>15</v>
      </c>
      <c r="C28" s="123" t="s">
        <v>2066</v>
      </c>
      <c r="D28" s="124" t="s">
        <v>2318</v>
      </c>
      <c r="E28" s="125">
        <v>2014</v>
      </c>
      <c r="F28" s="79">
        <v>25309354</v>
      </c>
      <c r="G28" s="79">
        <v>1</v>
      </c>
      <c r="H28" s="126" t="s">
        <v>1838</v>
      </c>
      <c r="I28" s="127"/>
      <c r="J28" s="79">
        <v>0</v>
      </c>
      <c r="K28" s="79"/>
      <c r="L28" s="79">
        <v>0</v>
      </c>
      <c r="M28" s="128">
        <v>2</v>
      </c>
      <c r="N28" s="79" t="s">
        <v>1708</v>
      </c>
      <c r="O28" s="79" t="s">
        <v>1212</v>
      </c>
      <c r="P28" s="79" t="s">
        <v>1127</v>
      </c>
      <c r="Q28" s="79"/>
      <c r="R28" s="79" t="s">
        <v>1488</v>
      </c>
      <c r="S28" s="79"/>
      <c r="T28" s="79"/>
      <c r="U28" s="79" t="s">
        <v>1301</v>
      </c>
      <c r="V28" s="79"/>
      <c r="W28" s="79"/>
      <c r="X28" s="79"/>
      <c r="Y28" s="79"/>
      <c r="Z28" s="79" t="s">
        <v>1302</v>
      </c>
      <c r="AA28" s="165">
        <v>0</v>
      </c>
      <c r="AB28" s="166" t="s">
        <v>3324</v>
      </c>
      <c r="AC28" s="120">
        <v>4</v>
      </c>
      <c r="AD28" s="206" t="s">
        <v>2795</v>
      </c>
      <c r="AE28" s="192">
        <v>0</v>
      </c>
      <c r="AF28" s="207">
        <v>0</v>
      </c>
      <c r="AG28" s="120"/>
      <c r="AH28" s="120"/>
      <c r="AI28" s="120"/>
      <c r="AJ28" s="120"/>
      <c r="AK28" s="120"/>
      <c r="AL28" s="120" t="s">
        <v>23</v>
      </c>
      <c r="AM28" s="120" t="s">
        <v>24</v>
      </c>
      <c r="AN28" s="120" t="s">
        <v>23</v>
      </c>
      <c r="AO28" s="120" t="s">
        <v>24</v>
      </c>
      <c r="AP28" s="120"/>
      <c r="AQ28" s="120"/>
      <c r="AR28" s="120"/>
      <c r="AS28" s="120"/>
      <c r="AT28" s="120"/>
      <c r="AU28" s="120"/>
      <c r="AV28" s="156"/>
      <c r="AW28" s="156">
        <v>1</v>
      </c>
      <c r="AX28" s="156"/>
      <c r="AY28" s="156"/>
      <c r="AZ28" s="156"/>
      <c r="BA28" s="156"/>
      <c r="BB28" s="156"/>
      <c r="BC28" s="156"/>
      <c r="BD28" s="157"/>
      <c r="BE28" s="134"/>
      <c r="BF28" s="134"/>
      <c r="BG28" s="134"/>
      <c r="BH28" s="134"/>
      <c r="BI28" s="134"/>
      <c r="BJ28" s="259"/>
      <c r="BK28" s="138"/>
      <c r="BL28" s="134"/>
      <c r="BM28" s="134"/>
      <c r="BN28" s="134"/>
      <c r="BO28" s="138"/>
      <c r="BP28" s="134"/>
      <c r="BQ28" s="134"/>
      <c r="BR28" s="134"/>
      <c r="BS28" s="288"/>
      <c r="BT28" s="289"/>
      <c r="BU28" s="138"/>
      <c r="BV28" s="134"/>
      <c r="BW28" s="134"/>
      <c r="BX28" s="134"/>
      <c r="BY28" s="138"/>
      <c r="BZ28" s="134"/>
      <c r="CA28" s="134"/>
      <c r="CB28" s="134"/>
      <c r="CC28" s="288"/>
      <c r="CD28" s="289"/>
      <c r="CE28" s="276"/>
      <c r="CF28" s="308"/>
      <c r="CG28" s="138"/>
      <c r="CH28" s="134"/>
      <c r="CI28" s="134"/>
      <c r="CJ28" s="134"/>
      <c r="CK28" s="134"/>
      <c r="CL28" s="134"/>
      <c r="CM28" s="134"/>
      <c r="CN28" s="134"/>
      <c r="CO28" s="300"/>
      <c r="CP28" s="301"/>
      <c r="CQ28" s="134"/>
      <c r="CR28" s="134"/>
      <c r="CS28" s="134"/>
      <c r="CT28" s="134"/>
      <c r="CU28" s="134"/>
      <c r="CV28" s="134"/>
      <c r="CW28" s="134"/>
      <c r="CX28" s="134"/>
      <c r="CY28" s="300"/>
      <c r="CZ28" s="301"/>
      <c r="DA28" s="276"/>
      <c r="DB28" s="277"/>
      <c r="DC28" s="134"/>
      <c r="DD28" s="134"/>
      <c r="DE28" s="134"/>
      <c r="DF28" s="134"/>
      <c r="DG28" s="138"/>
      <c r="DH28" s="134"/>
      <c r="DI28" s="134"/>
      <c r="DJ28" s="134"/>
      <c r="DK28" s="301"/>
      <c r="DL28" s="301"/>
      <c r="DM28" s="134"/>
      <c r="DN28" s="134"/>
      <c r="DO28" s="134"/>
      <c r="DP28" s="134"/>
      <c r="DQ28" s="134"/>
      <c r="DR28" s="134"/>
      <c r="DS28" s="134"/>
      <c r="DT28" s="134"/>
      <c r="DU28" s="301"/>
      <c r="DV28" s="301"/>
      <c r="DW28" s="277"/>
      <c r="DX28" s="134"/>
      <c r="DY28" s="134"/>
      <c r="DZ28" s="134"/>
      <c r="EA28" s="134"/>
      <c r="EB28" s="134"/>
      <c r="EC28" s="134"/>
      <c r="ED28" s="134"/>
      <c r="EE28" s="134"/>
      <c r="EF28" s="301"/>
      <c r="EG28" s="301"/>
      <c r="EH28" s="134"/>
      <c r="EI28" s="134"/>
      <c r="EJ28" s="134"/>
      <c r="EK28" s="134"/>
    </row>
    <row r="29" spans="1:141">
      <c r="A29" s="79" t="s">
        <v>1071</v>
      </c>
      <c r="B29" s="364">
        <v>16</v>
      </c>
      <c r="C29" s="123" t="s">
        <v>2067</v>
      </c>
      <c r="D29" s="124" t="s">
        <v>2319</v>
      </c>
      <c r="E29" s="125">
        <v>2012</v>
      </c>
      <c r="F29" s="79">
        <v>21918506</v>
      </c>
      <c r="G29" s="79">
        <v>1</v>
      </c>
      <c r="H29" s="126">
        <v>1</v>
      </c>
      <c r="I29" s="127"/>
      <c r="J29" s="79">
        <v>1</v>
      </c>
      <c r="K29" s="79"/>
      <c r="L29" s="79">
        <v>1</v>
      </c>
      <c r="M29" s="128">
        <v>2</v>
      </c>
      <c r="N29" s="79" t="s">
        <v>1306</v>
      </c>
      <c r="O29" s="79" t="s">
        <v>1232</v>
      </c>
      <c r="P29" s="79" t="s">
        <v>1127</v>
      </c>
      <c r="Q29" s="79"/>
      <c r="R29" s="79" t="s">
        <v>1487</v>
      </c>
      <c r="S29" s="79" t="s">
        <v>803</v>
      </c>
      <c r="T29" s="79" t="s">
        <v>23</v>
      </c>
      <c r="U29" s="79" t="s">
        <v>1305</v>
      </c>
      <c r="V29" s="79"/>
      <c r="W29" s="79" t="s">
        <v>1304</v>
      </c>
      <c r="X29" s="79"/>
      <c r="Y29" s="79"/>
      <c r="Z29" s="79"/>
      <c r="AA29" s="154">
        <v>1</v>
      </c>
      <c r="AB29" s="155"/>
      <c r="AC29" s="121">
        <v>4</v>
      </c>
      <c r="AD29" s="202" t="s">
        <v>2870</v>
      </c>
      <c r="AE29" s="192">
        <v>2</v>
      </c>
      <c r="AF29" s="203">
        <v>1</v>
      </c>
      <c r="AG29" s="121" t="s">
        <v>2843</v>
      </c>
      <c r="AH29" s="121">
        <f>13+12+12+12</f>
        <v>49</v>
      </c>
      <c r="AI29" s="121">
        <f>10+11+12+13</f>
        <v>46</v>
      </c>
      <c r="AJ29" s="121" t="s">
        <v>803</v>
      </c>
      <c r="AK29" s="121" t="s">
        <v>803</v>
      </c>
      <c r="AL29" s="121" t="s">
        <v>2796</v>
      </c>
      <c r="AM29" s="121" t="s">
        <v>24</v>
      </c>
      <c r="AN29" s="121" t="s">
        <v>2796</v>
      </c>
      <c r="AO29" s="121" t="s">
        <v>24</v>
      </c>
      <c r="AP29" s="121" t="s">
        <v>2799</v>
      </c>
      <c r="AQ29" s="121">
        <v>1</v>
      </c>
      <c r="AR29" s="121">
        <v>1</v>
      </c>
      <c r="AS29" s="121" t="s">
        <v>2797</v>
      </c>
      <c r="AT29" s="121" t="s">
        <v>1130</v>
      </c>
      <c r="AU29" s="121" t="s">
        <v>2798</v>
      </c>
      <c r="AV29" s="156">
        <v>1</v>
      </c>
      <c r="AW29" s="156">
        <v>1</v>
      </c>
      <c r="AX29" s="156"/>
      <c r="AY29" s="156"/>
      <c r="AZ29" s="156"/>
      <c r="BA29" s="156"/>
      <c r="BB29" s="156"/>
      <c r="BC29" s="156"/>
      <c r="BD29" s="157" t="s">
        <v>2800</v>
      </c>
      <c r="BE29" s="134" t="s">
        <v>1876</v>
      </c>
      <c r="BF29" s="134" t="s">
        <v>2814</v>
      </c>
      <c r="BG29" s="134" t="s">
        <v>2804</v>
      </c>
      <c r="BH29" s="134" t="s">
        <v>2471</v>
      </c>
      <c r="BI29" s="134" t="s">
        <v>2802</v>
      </c>
      <c r="BJ29" s="259" t="s">
        <v>2853</v>
      </c>
      <c r="BK29" s="138" t="s">
        <v>2806</v>
      </c>
      <c r="BL29" s="134">
        <v>11.6936</v>
      </c>
      <c r="BM29" s="134" t="s">
        <v>24</v>
      </c>
      <c r="BN29" s="134">
        <f>14.4843-Table664[[#This Row],[Outcome1_M]]</f>
        <v>2.7906999999999993</v>
      </c>
      <c r="BO29" s="138" t="s">
        <v>2807</v>
      </c>
      <c r="BP29" s="134">
        <v>33.139200000000002</v>
      </c>
      <c r="BQ29" s="134" t="s">
        <v>24</v>
      </c>
      <c r="BR29" s="134">
        <f>38.2555-Table664[[#This Row],[Outcome2_M]]</f>
        <v>5.1162999999999954</v>
      </c>
      <c r="BS29" s="288" t="s">
        <v>2844</v>
      </c>
      <c r="BT29" s="289" t="s">
        <v>2846</v>
      </c>
      <c r="BU29" s="138" t="s">
        <v>2808</v>
      </c>
      <c r="BV29" s="134">
        <v>8.7356300000000005</v>
      </c>
      <c r="BW29" s="134" t="s">
        <v>24</v>
      </c>
      <c r="BX29" s="134">
        <f>11.0345-Table664[[#This Row],[Outcome3_M]]</f>
        <v>2.2988699999999991</v>
      </c>
      <c r="BY29" s="138" t="s">
        <v>2809</v>
      </c>
      <c r="BZ29" s="134">
        <v>36.781599999999997</v>
      </c>
      <c r="CA29" s="134" t="s">
        <v>24</v>
      </c>
      <c r="CB29" s="134">
        <f>42.2989-Table664[[#This Row],[Outcome4_M]]</f>
        <v>5.5173000000000059</v>
      </c>
      <c r="CC29" s="288" t="s">
        <v>2849</v>
      </c>
      <c r="CD29" s="289" t="s">
        <v>2850</v>
      </c>
      <c r="CE29" s="276"/>
      <c r="CF29" s="308"/>
      <c r="CG29" s="138" t="s">
        <v>2810</v>
      </c>
      <c r="CH29" s="134">
        <v>11.650499999999999</v>
      </c>
      <c r="CI29" s="134" t="s">
        <v>24</v>
      </c>
      <c r="CJ29" s="134">
        <f>14.5631-Table664[[#This Row],[Outcome5_M]]</f>
        <v>2.9126000000000012</v>
      </c>
      <c r="CK29" s="138" t="s">
        <v>2811</v>
      </c>
      <c r="CL29" s="134">
        <v>35.436900000000001</v>
      </c>
      <c r="CM29" s="134" t="s">
        <v>24</v>
      </c>
      <c r="CN29" s="134">
        <f>40.7767-Table664[[#This Row],[Outcome6_M]]</f>
        <v>5.3397999999999968</v>
      </c>
      <c r="CO29" s="300" t="s">
        <v>2851</v>
      </c>
      <c r="CP29" s="301" t="s">
        <v>2850</v>
      </c>
      <c r="CQ29" s="138" t="s">
        <v>2812</v>
      </c>
      <c r="CR29" s="134">
        <v>9.0909099999999992</v>
      </c>
      <c r="CS29" s="134" t="s">
        <v>24</v>
      </c>
      <c r="CT29" s="134">
        <f>11.2554-Table664[[#This Row],[Outcome7_M]]</f>
        <v>2.1644900000000007</v>
      </c>
      <c r="CU29" s="138" t="s">
        <v>2813</v>
      </c>
      <c r="CV29" s="134">
        <v>36.363599999999998</v>
      </c>
      <c r="CW29" s="134" t="s">
        <v>24</v>
      </c>
      <c r="CX29" s="134">
        <f>41.9913-Table664[[#This Row],[Outcome8_M]]</f>
        <v>5.6277000000000044</v>
      </c>
      <c r="CY29" s="300" t="s">
        <v>2852</v>
      </c>
      <c r="CZ29" s="301" t="s">
        <v>2850</v>
      </c>
      <c r="DA29" s="276"/>
      <c r="DB29" s="277"/>
      <c r="DC29" s="134"/>
      <c r="DD29" s="134"/>
      <c r="DE29" s="134"/>
      <c r="DF29" s="134"/>
      <c r="DG29" s="138"/>
      <c r="DH29" s="134"/>
      <c r="DI29" s="134"/>
      <c r="DJ29" s="134"/>
      <c r="DK29" s="301"/>
      <c r="DL29" s="301"/>
      <c r="DM29" s="134"/>
      <c r="DN29" s="134"/>
      <c r="DO29" s="134"/>
      <c r="DP29" s="134"/>
      <c r="DQ29" s="134"/>
      <c r="DR29" s="134"/>
      <c r="DS29" s="134"/>
      <c r="DT29" s="134"/>
      <c r="DU29" s="301"/>
      <c r="DV29" s="301"/>
      <c r="DW29" s="277"/>
      <c r="DX29" s="134"/>
      <c r="DY29" s="134"/>
      <c r="DZ29" s="134"/>
      <c r="EA29" s="134"/>
      <c r="EB29" s="134"/>
      <c r="EC29" s="134"/>
      <c r="ED29" s="134"/>
      <c r="EE29" s="134"/>
      <c r="EF29" s="301"/>
      <c r="EG29" s="301"/>
      <c r="EH29" s="134"/>
      <c r="EI29" s="134"/>
      <c r="EJ29" s="134"/>
      <c r="EK29" s="134"/>
    </row>
    <row r="30" spans="1:141" s="119" customFormat="1">
      <c r="A30" s="118" t="s">
        <v>1071</v>
      </c>
      <c r="B30" s="364">
        <v>16</v>
      </c>
      <c r="C30" s="139" t="s">
        <v>2067</v>
      </c>
      <c r="D30" s="140" t="s">
        <v>2319</v>
      </c>
      <c r="E30" s="141">
        <v>2012</v>
      </c>
      <c r="F30" s="118">
        <v>21918506</v>
      </c>
      <c r="G30" s="118">
        <v>1</v>
      </c>
      <c r="H30" s="118">
        <v>1</v>
      </c>
      <c r="I30" s="118"/>
      <c r="J30" s="118">
        <v>1</v>
      </c>
      <c r="K30" s="118"/>
      <c r="L30" s="118">
        <v>1</v>
      </c>
      <c r="M30" s="142">
        <v>2</v>
      </c>
      <c r="N30" s="118" t="s">
        <v>1306</v>
      </c>
      <c r="O30" s="118" t="s">
        <v>1232</v>
      </c>
      <c r="P30" s="118" t="s">
        <v>1127</v>
      </c>
      <c r="Q30" s="118"/>
      <c r="R30" s="118" t="s">
        <v>1487</v>
      </c>
      <c r="S30" s="118" t="s">
        <v>803</v>
      </c>
      <c r="T30" s="118" t="s">
        <v>23</v>
      </c>
      <c r="U30" s="118" t="s">
        <v>1305</v>
      </c>
      <c r="V30" s="118"/>
      <c r="W30" s="118" t="s">
        <v>1304</v>
      </c>
      <c r="X30" s="118"/>
      <c r="Y30" s="118"/>
      <c r="Z30" s="118"/>
      <c r="AA30" s="159">
        <v>1</v>
      </c>
      <c r="AB30" s="160"/>
      <c r="AC30" s="122">
        <v>4</v>
      </c>
      <c r="AD30" s="204" t="s">
        <v>2870</v>
      </c>
      <c r="AE30" s="192">
        <v>2</v>
      </c>
      <c r="AF30" s="205">
        <v>1</v>
      </c>
      <c r="AG30" s="122" t="s">
        <v>2843</v>
      </c>
      <c r="AH30" s="122">
        <f>13+12+12+12</f>
        <v>49</v>
      </c>
      <c r="AI30" s="122">
        <f>10+11+12+13</f>
        <v>46</v>
      </c>
      <c r="AJ30" s="122" t="s">
        <v>803</v>
      </c>
      <c r="AK30" s="122" t="s">
        <v>803</v>
      </c>
      <c r="AL30" s="122" t="s">
        <v>2796</v>
      </c>
      <c r="AM30" s="122" t="s">
        <v>24</v>
      </c>
      <c r="AN30" s="122" t="s">
        <v>2796</v>
      </c>
      <c r="AO30" s="122" t="s">
        <v>24</v>
      </c>
      <c r="AP30" s="122" t="s">
        <v>2799</v>
      </c>
      <c r="AQ30" s="122">
        <v>1</v>
      </c>
      <c r="AR30" s="122">
        <v>1</v>
      </c>
      <c r="AS30" s="122" t="s">
        <v>2797</v>
      </c>
      <c r="AT30" s="122" t="s">
        <v>1130</v>
      </c>
      <c r="AU30" s="122" t="s">
        <v>2798</v>
      </c>
      <c r="AV30" s="161">
        <v>1</v>
      </c>
      <c r="AW30" s="161">
        <v>1</v>
      </c>
      <c r="AX30" s="161"/>
      <c r="AY30" s="161"/>
      <c r="AZ30" s="161"/>
      <c r="BA30" s="161"/>
      <c r="BB30" s="161"/>
      <c r="BC30" s="161"/>
      <c r="BD30" s="162" t="s">
        <v>2858</v>
      </c>
      <c r="BE30" s="150" t="s">
        <v>1876</v>
      </c>
      <c r="BF30" s="150" t="s">
        <v>2814</v>
      </c>
      <c r="BG30" s="150" t="s">
        <v>2805</v>
      </c>
      <c r="BH30" s="150" t="s">
        <v>2471</v>
      </c>
      <c r="BI30" s="150" t="s">
        <v>2803</v>
      </c>
      <c r="BJ30" s="258" t="s">
        <v>2864</v>
      </c>
      <c r="BK30" s="151" t="s">
        <v>2815</v>
      </c>
      <c r="BL30" s="150">
        <v>128.66999999999999</v>
      </c>
      <c r="BM30" s="150" t="s">
        <v>24</v>
      </c>
      <c r="BN30" s="150">
        <f>150.53-Table664[[#This Row],[Outcome1_M]]</f>
        <v>21.860000000000014</v>
      </c>
      <c r="BO30" s="151" t="s">
        <v>2820</v>
      </c>
      <c r="BP30" s="150">
        <v>174.30099999999999</v>
      </c>
      <c r="BQ30" s="150" t="s">
        <v>24</v>
      </c>
      <c r="BR30" s="150">
        <f>180.348-Table664[[#This Row],[Outcome2_M]]</f>
        <v>6.0470000000000255</v>
      </c>
      <c r="BS30" s="290" t="s">
        <v>2859</v>
      </c>
      <c r="BT30" s="291" t="s">
        <v>2845</v>
      </c>
      <c r="BU30" s="151" t="s">
        <v>2825</v>
      </c>
      <c r="BV30" s="150">
        <v>119.54</v>
      </c>
      <c r="BW30" s="150" t="s">
        <v>24</v>
      </c>
      <c r="BX30" s="150">
        <f>140.23-Table664[[#This Row],[Outcome3_M]]</f>
        <v>20.689999999999984</v>
      </c>
      <c r="BY30" s="151" t="s">
        <v>2826</v>
      </c>
      <c r="BZ30" s="150">
        <v>180.23</v>
      </c>
      <c r="CA30" s="150" t="s">
        <v>24</v>
      </c>
      <c r="CB30" s="150">
        <f>181.149-Table664[[#This Row],[Outcome4_M]]</f>
        <v>0.91900000000001114</v>
      </c>
      <c r="CC30" s="290" t="s">
        <v>2860</v>
      </c>
      <c r="CD30" s="291" t="s">
        <v>2854</v>
      </c>
      <c r="CE30" s="278"/>
      <c r="CF30" s="285"/>
      <c r="CG30" s="151" t="s">
        <v>2831</v>
      </c>
      <c r="CH30" s="150">
        <v>122.33</v>
      </c>
      <c r="CI30" s="150" t="s">
        <v>24</v>
      </c>
      <c r="CJ30" s="150">
        <f>141.748-Table664[[#This Row],[Outcome5_M]]</f>
        <v>19.417999999999992</v>
      </c>
      <c r="CK30" s="151" t="s">
        <v>2832</v>
      </c>
      <c r="CL30" s="150">
        <v>180.09700000000001</v>
      </c>
      <c r="CM30" s="150" t="s">
        <v>24</v>
      </c>
      <c r="CN30" s="150">
        <f>181.068-Table664[[#This Row],[Outcome6_M]]</f>
        <v>0.97100000000000364</v>
      </c>
      <c r="CO30" s="302" t="s">
        <v>2861</v>
      </c>
      <c r="CP30" s="303" t="s">
        <v>2862</v>
      </c>
      <c r="CQ30" s="151" t="s">
        <v>2837</v>
      </c>
      <c r="CR30" s="150">
        <v>98.701300000000003</v>
      </c>
      <c r="CS30" s="150" t="s">
        <v>24</v>
      </c>
      <c r="CT30" s="150">
        <f>117.316-Table664[[#This Row],[Outcome7_M]]</f>
        <v>18.614699999999999</v>
      </c>
      <c r="CU30" s="151" t="s">
        <v>2838</v>
      </c>
      <c r="CV30" s="150">
        <v>177.05600000000001</v>
      </c>
      <c r="CW30" s="150" t="s">
        <v>24</v>
      </c>
      <c r="CX30" s="150">
        <f>179.221-Table664[[#This Row],[Outcome2_M]]</f>
        <v>4.9200000000000159</v>
      </c>
      <c r="CY30" s="302" t="s">
        <v>2863</v>
      </c>
      <c r="CZ30" s="303" t="s">
        <v>2850</v>
      </c>
      <c r="DA30" s="278"/>
      <c r="DB30" s="279"/>
      <c r="DC30" s="150"/>
      <c r="DD30" s="150"/>
      <c r="DE30" s="150"/>
      <c r="DF30" s="150"/>
      <c r="DG30" s="151"/>
      <c r="DH30" s="150"/>
      <c r="DI30" s="150"/>
      <c r="DJ30" s="150"/>
      <c r="DK30" s="303"/>
      <c r="DL30" s="303"/>
      <c r="DM30" s="150"/>
      <c r="DN30" s="150"/>
      <c r="DO30" s="150"/>
      <c r="DP30" s="150"/>
      <c r="DQ30" s="150"/>
      <c r="DR30" s="150"/>
      <c r="DS30" s="150"/>
      <c r="DT30" s="150"/>
      <c r="DU30" s="303"/>
      <c r="DV30" s="303"/>
      <c r="DW30" s="279"/>
      <c r="DX30" s="150"/>
      <c r="DY30" s="150"/>
      <c r="DZ30" s="150"/>
      <c r="EA30" s="150"/>
      <c r="EB30" s="150"/>
      <c r="EC30" s="150"/>
      <c r="ED30" s="150"/>
      <c r="EE30" s="150"/>
      <c r="EF30" s="303"/>
      <c r="EG30" s="303"/>
      <c r="EH30" s="150"/>
      <c r="EI30" s="150"/>
      <c r="EJ30" s="150"/>
      <c r="EK30" s="150"/>
    </row>
    <row r="31" spans="1:141" s="119" customFormat="1">
      <c r="A31" s="118" t="s">
        <v>1071</v>
      </c>
      <c r="B31" s="364">
        <v>16</v>
      </c>
      <c r="C31" s="139" t="s">
        <v>2067</v>
      </c>
      <c r="D31" s="140" t="s">
        <v>2319</v>
      </c>
      <c r="E31" s="141">
        <v>2012</v>
      </c>
      <c r="F31" s="118">
        <v>21918506</v>
      </c>
      <c r="G31" s="118">
        <v>1</v>
      </c>
      <c r="H31" s="118">
        <v>1</v>
      </c>
      <c r="I31" s="118"/>
      <c r="J31" s="118">
        <v>1</v>
      </c>
      <c r="K31" s="118"/>
      <c r="L31" s="118">
        <v>1</v>
      </c>
      <c r="M31" s="142">
        <v>2</v>
      </c>
      <c r="N31" s="118" t="s">
        <v>1306</v>
      </c>
      <c r="O31" s="118" t="s">
        <v>1232</v>
      </c>
      <c r="P31" s="118" t="s">
        <v>1127</v>
      </c>
      <c r="Q31" s="118"/>
      <c r="R31" s="118" t="s">
        <v>1487</v>
      </c>
      <c r="S31" s="118" t="s">
        <v>803</v>
      </c>
      <c r="T31" s="118" t="s">
        <v>23</v>
      </c>
      <c r="U31" s="118" t="s">
        <v>1305</v>
      </c>
      <c r="V31" s="118"/>
      <c r="W31" s="118" t="s">
        <v>1304</v>
      </c>
      <c r="X31" s="118"/>
      <c r="Y31" s="118"/>
      <c r="Z31" s="118"/>
      <c r="AA31" s="159">
        <v>1</v>
      </c>
      <c r="AB31" s="160" t="s">
        <v>2871</v>
      </c>
      <c r="AC31" s="122">
        <v>4</v>
      </c>
      <c r="AD31" s="204" t="s">
        <v>2870</v>
      </c>
      <c r="AE31" s="192">
        <v>2</v>
      </c>
      <c r="AF31" s="205">
        <v>1</v>
      </c>
      <c r="AG31" s="122">
        <f>Table664[[#This Row],[Subjects_n_ptsd]]+Table664[[#This Row],[Subjects_n_control]]</f>
        <v>23</v>
      </c>
      <c r="AH31" s="122">
        <v>13</v>
      </c>
      <c r="AI31" s="122">
        <v>10</v>
      </c>
      <c r="AJ31" s="122" t="s">
        <v>803</v>
      </c>
      <c r="AK31" s="122" t="s">
        <v>803</v>
      </c>
      <c r="AL31" s="122" t="s">
        <v>2796</v>
      </c>
      <c r="AM31" s="122" t="s">
        <v>24</v>
      </c>
      <c r="AN31" s="122" t="s">
        <v>2796</v>
      </c>
      <c r="AO31" s="122" t="s">
        <v>24</v>
      </c>
      <c r="AP31" s="122" t="s">
        <v>2799</v>
      </c>
      <c r="AQ31" s="122">
        <v>1</v>
      </c>
      <c r="AR31" s="122">
        <v>1</v>
      </c>
      <c r="AS31" s="122" t="s">
        <v>2797</v>
      </c>
      <c r="AT31" s="122" t="s">
        <v>1130</v>
      </c>
      <c r="AU31" s="122" t="s">
        <v>2798</v>
      </c>
      <c r="AV31" s="161">
        <v>1</v>
      </c>
      <c r="AW31" s="161">
        <v>1</v>
      </c>
      <c r="AX31" s="161"/>
      <c r="AY31" s="161"/>
      <c r="AZ31" s="161"/>
      <c r="BA31" s="161"/>
      <c r="BB31" s="161"/>
      <c r="BC31" s="161"/>
      <c r="BD31" s="162" t="s">
        <v>2801</v>
      </c>
      <c r="BE31" s="150" t="s">
        <v>1876</v>
      </c>
      <c r="BF31" s="150" t="s">
        <v>2822</v>
      </c>
      <c r="BG31" s="150" t="s">
        <v>2805</v>
      </c>
      <c r="BH31" s="150" t="s">
        <v>2471</v>
      </c>
      <c r="BI31" s="150" t="s">
        <v>2803</v>
      </c>
      <c r="BJ31" s="258" t="s">
        <v>2867</v>
      </c>
      <c r="BK31" s="151" t="s">
        <v>2816</v>
      </c>
      <c r="BL31" s="150">
        <v>35.414499999999997</v>
      </c>
      <c r="BM31" s="150" t="s">
        <v>24</v>
      </c>
      <c r="BN31" s="150">
        <f>52.6224-Table664[[#This Row],[Outcome1_M]]</f>
        <v>17.207900000000002</v>
      </c>
      <c r="BO31" s="151" t="s">
        <v>2819</v>
      </c>
      <c r="BP31" s="150">
        <v>100.119</v>
      </c>
      <c r="BQ31" s="150" t="s">
        <v>24</v>
      </c>
      <c r="BR31" s="150">
        <f>121.048-Table664[[#This Row],[Outcome2_M]]</f>
        <v>20.929000000000002</v>
      </c>
      <c r="BS31" s="290" t="s">
        <v>2856</v>
      </c>
      <c r="BT31" s="291" t="s">
        <v>2847</v>
      </c>
      <c r="BU31" s="151" t="s">
        <v>2817</v>
      </c>
      <c r="BV31" s="150">
        <v>12.856999999999999</v>
      </c>
      <c r="BW31" s="150" t="s">
        <v>24</v>
      </c>
      <c r="BX31" s="150">
        <f>18.9022-Table664[[#This Row],[Outcome3_M]]</f>
        <v>6.0452000000000012</v>
      </c>
      <c r="BY31" s="151" t="s">
        <v>2818</v>
      </c>
      <c r="BZ31" s="150">
        <v>26.860800000000001</v>
      </c>
      <c r="CA31" s="150" t="s">
        <v>24</v>
      </c>
      <c r="CB31" s="150">
        <f>39.8841-Table664[[#This Row],[Outcome4_M]]</f>
        <v>13.023299999999995</v>
      </c>
      <c r="CC31" s="290" t="s">
        <v>2848</v>
      </c>
      <c r="CD31" s="291" t="s">
        <v>2480</v>
      </c>
      <c r="CE31" s="278"/>
      <c r="CF31" s="285"/>
      <c r="CG31" s="167"/>
      <c r="CH31" s="266"/>
      <c r="CI31" s="228"/>
      <c r="CJ31" s="266"/>
      <c r="CK31" s="228"/>
      <c r="CL31" s="266"/>
      <c r="CM31" s="228"/>
      <c r="CN31" s="266"/>
      <c r="CO31" s="311"/>
      <c r="CP31" s="313"/>
      <c r="CQ31" s="150"/>
      <c r="CR31" s="150"/>
      <c r="CS31" s="150"/>
      <c r="CT31" s="150"/>
      <c r="CU31" s="150"/>
      <c r="CV31" s="150"/>
      <c r="CW31" s="150"/>
      <c r="CX31" s="150"/>
      <c r="CY31" s="302"/>
      <c r="CZ31" s="303"/>
      <c r="DA31" s="278"/>
      <c r="DB31" s="279"/>
      <c r="DC31" s="150"/>
      <c r="DD31" s="150"/>
      <c r="DE31" s="150"/>
      <c r="DF31" s="150"/>
      <c r="DG31" s="151"/>
      <c r="DH31" s="150"/>
      <c r="DI31" s="150"/>
      <c r="DJ31" s="150"/>
      <c r="DK31" s="303"/>
      <c r="DL31" s="303"/>
      <c r="DM31" s="150"/>
      <c r="DN31" s="150"/>
      <c r="DO31" s="150"/>
      <c r="DP31" s="150"/>
      <c r="DQ31" s="150"/>
      <c r="DR31" s="150"/>
      <c r="DS31" s="150"/>
      <c r="DT31" s="150"/>
      <c r="DU31" s="303"/>
      <c r="DV31" s="303"/>
      <c r="DW31" s="279"/>
      <c r="DX31" s="150"/>
      <c r="DY31" s="150"/>
      <c r="DZ31" s="150"/>
      <c r="EA31" s="150"/>
      <c r="EB31" s="150"/>
      <c r="EC31" s="150"/>
      <c r="ED31" s="150"/>
      <c r="EE31" s="150"/>
      <c r="EF31" s="303"/>
      <c r="EG31" s="303"/>
      <c r="EH31" s="150"/>
      <c r="EI31" s="150"/>
      <c r="EJ31" s="150"/>
      <c r="EK31" s="150"/>
    </row>
    <row r="32" spans="1:141" s="119" customFormat="1">
      <c r="A32" s="118" t="s">
        <v>1071</v>
      </c>
      <c r="B32" s="364">
        <v>16</v>
      </c>
      <c r="C32" s="139" t="s">
        <v>2067</v>
      </c>
      <c r="D32" s="140" t="s">
        <v>2319</v>
      </c>
      <c r="E32" s="141">
        <v>2012</v>
      </c>
      <c r="F32" s="118">
        <v>21918506</v>
      </c>
      <c r="G32" s="118">
        <v>1</v>
      </c>
      <c r="H32" s="118">
        <v>1</v>
      </c>
      <c r="I32" s="118"/>
      <c r="J32" s="118">
        <v>1</v>
      </c>
      <c r="K32" s="118"/>
      <c r="L32" s="118">
        <v>1</v>
      </c>
      <c r="M32" s="142">
        <v>2</v>
      </c>
      <c r="N32" s="118" t="s">
        <v>1306</v>
      </c>
      <c r="O32" s="118" t="s">
        <v>1232</v>
      </c>
      <c r="P32" s="118" t="s">
        <v>1127</v>
      </c>
      <c r="Q32" s="118"/>
      <c r="R32" s="118" t="s">
        <v>1487</v>
      </c>
      <c r="S32" s="118" t="s">
        <v>803</v>
      </c>
      <c r="T32" s="118" t="s">
        <v>23</v>
      </c>
      <c r="U32" s="118" t="s">
        <v>1305</v>
      </c>
      <c r="V32" s="118"/>
      <c r="W32" s="118" t="s">
        <v>1304</v>
      </c>
      <c r="X32" s="118"/>
      <c r="Y32" s="118"/>
      <c r="Z32" s="118"/>
      <c r="AA32" s="159">
        <v>1</v>
      </c>
      <c r="AB32" s="160" t="s">
        <v>2872</v>
      </c>
      <c r="AC32" s="122">
        <v>4</v>
      </c>
      <c r="AD32" s="204" t="s">
        <v>2870</v>
      </c>
      <c r="AE32" s="192">
        <v>2</v>
      </c>
      <c r="AF32" s="205">
        <v>1</v>
      </c>
      <c r="AG32" s="122">
        <f>Table664[[#This Row],[Subjects_n_ptsd]]+Table664[[#This Row],[Subjects_n_control]]</f>
        <v>23</v>
      </c>
      <c r="AH32" s="122">
        <v>12</v>
      </c>
      <c r="AI32" s="122">
        <v>11</v>
      </c>
      <c r="AJ32" s="122" t="s">
        <v>803</v>
      </c>
      <c r="AK32" s="122" t="s">
        <v>803</v>
      </c>
      <c r="AL32" s="122" t="s">
        <v>2796</v>
      </c>
      <c r="AM32" s="122" t="s">
        <v>24</v>
      </c>
      <c r="AN32" s="122" t="s">
        <v>2796</v>
      </c>
      <c r="AO32" s="122" t="s">
        <v>24</v>
      </c>
      <c r="AP32" s="122" t="s">
        <v>2799</v>
      </c>
      <c r="AQ32" s="122">
        <v>1</v>
      </c>
      <c r="AR32" s="122">
        <v>1</v>
      </c>
      <c r="AS32" s="122" t="s">
        <v>2797</v>
      </c>
      <c r="AT32" s="122" t="s">
        <v>1130</v>
      </c>
      <c r="AU32" s="122" t="s">
        <v>2798</v>
      </c>
      <c r="AV32" s="161">
        <v>1</v>
      </c>
      <c r="AW32" s="161">
        <v>1</v>
      </c>
      <c r="AX32" s="161"/>
      <c r="AY32" s="161"/>
      <c r="AZ32" s="161"/>
      <c r="BA32" s="161"/>
      <c r="BB32" s="161"/>
      <c r="BC32" s="161"/>
      <c r="BD32" s="162" t="s">
        <v>2801</v>
      </c>
      <c r="BE32" s="150" t="s">
        <v>1876</v>
      </c>
      <c r="BF32" s="150" t="s">
        <v>2821</v>
      </c>
      <c r="BG32" s="150" t="s">
        <v>2805</v>
      </c>
      <c r="BH32" s="150" t="s">
        <v>2471</v>
      </c>
      <c r="BI32" s="150" t="s">
        <v>2803</v>
      </c>
      <c r="BJ32" s="258" t="s">
        <v>2867</v>
      </c>
      <c r="BK32" s="151" t="s">
        <v>2827</v>
      </c>
      <c r="BL32" s="150">
        <v>53.333300000000001</v>
      </c>
      <c r="BM32" s="150" t="s">
        <v>24</v>
      </c>
      <c r="BN32" s="150">
        <f>68.9655-Table664[[#This Row],[Outcome1_M]]</f>
        <v>15.632200000000005</v>
      </c>
      <c r="BO32" s="151" t="s">
        <v>2828</v>
      </c>
      <c r="BP32" s="150">
        <v>115.86199999999999</v>
      </c>
      <c r="BQ32" s="150" t="s">
        <v>24</v>
      </c>
      <c r="BR32" s="150">
        <f>136.552-Table664[[#This Row],[Outcome2_M]]</f>
        <v>20.689999999999998</v>
      </c>
      <c r="BS32" s="290" t="s">
        <v>2866</v>
      </c>
      <c r="BT32" s="291" t="s">
        <v>2855</v>
      </c>
      <c r="BU32" s="151" t="s">
        <v>2829</v>
      </c>
      <c r="BV32" s="150">
        <v>21.1494</v>
      </c>
      <c r="BW32" s="150" t="s">
        <v>24</v>
      </c>
      <c r="BX32" s="150">
        <f>23.908-Table664[[#This Row],[Outcome3_M]]</f>
        <v>2.7586000000000013</v>
      </c>
      <c r="BY32" s="151" t="s">
        <v>2830</v>
      </c>
      <c r="BZ32" s="150">
        <v>54.712600000000002</v>
      </c>
      <c r="CA32" s="150" t="s">
        <v>24</v>
      </c>
      <c r="CB32" s="150">
        <f>76.7816-Table664[[#This Row],[Outcome4_M]]</f>
        <v>22.068999999999996</v>
      </c>
      <c r="CC32" s="290" t="s">
        <v>2857</v>
      </c>
      <c r="CD32" s="291" t="s">
        <v>2480</v>
      </c>
      <c r="CE32" s="278"/>
      <c r="CF32" s="285"/>
      <c r="CG32" s="167"/>
      <c r="CH32" s="150"/>
      <c r="CI32" s="228"/>
      <c r="CJ32" s="150"/>
      <c r="CK32" s="228"/>
      <c r="CL32" s="150"/>
      <c r="CM32" s="228"/>
      <c r="CN32" s="266"/>
      <c r="CO32" s="311"/>
      <c r="CP32" s="313"/>
      <c r="CQ32" s="150"/>
      <c r="CR32" s="150"/>
      <c r="CS32" s="150"/>
      <c r="CT32" s="150"/>
      <c r="CU32" s="150"/>
      <c r="CV32" s="150"/>
      <c r="CW32" s="150"/>
      <c r="CX32" s="150"/>
      <c r="CY32" s="302"/>
      <c r="CZ32" s="303"/>
      <c r="DA32" s="278"/>
      <c r="DB32" s="279"/>
      <c r="DC32" s="150"/>
      <c r="DD32" s="150"/>
      <c r="DE32" s="150"/>
      <c r="DF32" s="150"/>
      <c r="DG32" s="151"/>
      <c r="DH32" s="150"/>
      <c r="DI32" s="150"/>
      <c r="DJ32" s="150"/>
      <c r="DK32" s="303"/>
      <c r="DL32" s="303"/>
      <c r="DM32" s="150"/>
      <c r="DN32" s="150"/>
      <c r="DO32" s="150"/>
      <c r="DP32" s="150"/>
      <c r="DQ32" s="150"/>
      <c r="DR32" s="150"/>
      <c r="DS32" s="150"/>
      <c r="DT32" s="150"/>
      <c r="DU32" s="303"/>
      <c r="DV32" s="303"/>
      <c r="DW32" s="279"/>
      <c r="DX32" s="150"/>
      <c r="DY32" s="150"/>
      <c r="DZ32" s="150"/>
      <c r="EA32" s="150"/>
      <c r="EB32" s="150"/>
      <c r="EC32" s="150"/>
      <c r="ED32" s="150"/>
      <c r="EE32" s="150"/>
      <c r="EF32" s="303"/>
      <c r="EG32" s="303"/>
      <c r="EH32" s="150"/>
      <c r="EI32" s="150"/>
      <c r="EJ32" s="150"/>
      <c r="EK32" s="150"/>
    </row>
    <row r="33" spans="1:141" s="119" customFormat="1">
      <c r="A33" s="118" t="s">
        <v>1071</v>
      </c>
      <c r="B33" s="364">
        <v>16</v>
      </c>
      <c r="C33" s="139" t="s">
        <v>2067</v>
      </c>
      <c r="D33" s="140" t="s">
        <v>2319</v>
      </c>
      <c r="E33" s="141">
        <v>2012</v>
      </c>
      <c r="F33" s="118">
        <v>21918506</v>
      </c>
      <c r="G33" s="118">
        <v>1</v>
      </c>
      <c r="H33" s="118">
        <v>1</v>
      </c>
      <c r="I33" s="118"/>
      <c r="J33" s="118">
        <v>1</v>
      </c>
      <c r="K33" s="118"/>
      <c r="L33" s="118">
        <v>1</v>
      </c>
      <c r="M33" s="142">
        <v>2</v>
      </c>
      <c r="N33" s="118" t="s">
        <v>1306</v>
      </c>
      <c r="O33" s="118" t="s">
        <v>1232</v>
      </c>
      <c r="P33" s="118" t="s">
        <v>1127</v>
      </c>
      <c r="Q33" s="118"/>
      <c r="R33" s="118" t="s">
        <v>1487</v>
      </c>
      <c r="S33" s="118" t="s">
        <v>803</v>
      </c>
      <c r="T33" s="118" t="s">
        <v>23</v>
      </c>
      <c r="U33" s="118" t="s">
        <v>1305</v>
      </c>
      <c r="V33" s="118"/>
      <c r="W33" s="118" t="s">
        <v>1304</v>
      </c>
      <c r="X33" s="118"/>
      <c r="Y33" s="118"/>
      <c r="Z33" s="118"/>
      <c r="AA33" s="159">
        <v>1</v>
      </c>
      <c r="AB33" s="160"/>
      <c r="AC33" s="122">
        <v>4</v>
      </c>
      <c r="AD33" s="204" t="s">
        <v>2870</v>
      </c>
      <c r="AE33" s="192">
        <v>2</v>
      </c>
      <c r="AF33" s="205">
        <v>1</v>
      </c>
      <c r="AG33" s="122">
        <f>Table664[[#This Row],[Subjects_n_ptsd]]+Table664[[#This Row],[Subjects_n_control]]</f>
        <v>24</v>
      </c>
      <c r="AH33" s="122">
        <v>12</v>
      </c>
      <c r="AI33" s="122">
        <v>12</v>
      </c>
      <c r="AJ33" s="122" t="s">
        <v>803</v>
      </c>
      <c r="AK33" s="122" t="s">
        <v>803</v>
      </c>
      <c r="AL33" s="122" t="s">
        <v>2796</v>
      </c>
      <c r="AM33" s="122" t="s">
        <v>24</v>
      </c>
      <c r="AN33" s="122" t="s">
        <v>2796</v>
      </c>
      <c r="AO33" s="122" t="s">
        <v>24</v>
      </c>
      <c r="AP33" s="122" t="s">
        <v>2799</v>
      </c>
      <c r="AQ33" s="122">
        <v>1</v>
      </c>
      <c r="AR33" s="122">
        <v>1</v>
      </c>
      <c r="AS33" s="122" t="s">
        <v>2797</v>
      </c>
      <c r="AT33" s="122" t="s">
        <v>1130</v>
      </c>
      <c r="AU33" s="122" t="s">
        <v>2798</v>
      </c>
      <c r="AV33" s="161">
        <v>1</v>
      </c>
      <c r="AW33" s="161">
        <v>1</v>
      </c>
      <c r="AX33" s="161"/>
      <c r="AY33" s="161"/>
      <c r="AZ33" s="161"/>
      <c r="BA33" s="161"/>
      <c r="BB33" s="161"/>
      <c r="BC33" s="161"/>
      <c r="BD33" s="162" t="s">
        <v>2801</v>
      </c>
      <c r="BE33" s="150" t="s">
        <v>1876</v>
      </c>
      <c r="BF33" s="150" t="s">
        <v>2823</v>
      </c>
      <c r="BG33" s="150" t="s">
        <v>2805</v>
      </c>
      <c r="BH33" s="150" t="s">
        <v>2471</v>
      </c>
      <c r="BI33" s="150" t="s">
        <v>2803</v>
      </c>
      <c r="BJ33" s="258" t="s">
        <v>2867</v>
      </c>
      <c r="BK33" s="151" t="s">
        <v>2833</v>
      </c>
      <c r="BL33" s="150">
        <v>40.2913</v>
      </c>
      <c r="BM33" s="150" t="s">
        <v>24</v>
      </c>
      <c r="BN33" s="150">
        <f>54.8544-Table664[[#This Row],[Outcome1_M]]</f>
        <v>14.563099999999999</v>
      </c>
      <c r="BO33" s="151" t="s">
        <v>2834</v>
      </c>
      <c r="BP33" s="150">
        <v>118.447</v>
      </c>
      <c r="BQ33" s="150" t="s">
        <v>24</v>
      </c>
      <c r="BR33" s="150">
        <f>139.806-Table664[[#This Row],[Outcome2_M]]</f>
        <v>21.359000000000009</v>
      </c>
      <c r="BS33" s="290" t="s">
        <v>2865</v>
      </c>
      <c r="BT33" s="291" t="s">
        <v>2846</v>
      </c>
      <c r="BU33" s="151" t="s">
        <v>2835</v>
      </c>
      <c r="BV33" s="150">
        <v>15.534000000000001</v>
      </c>
      <c r="BW33" s="150" t="s">
        <v>24</v>
      </c>
      <c r="BX33" s="150">
        <f>21.8447-Table664[[#This Row],[Outcome3_M]]</f>
        <v>6.3106999999999989</v>
      </c>
      <c r="BY33" s="151" t="s">
        <v>2836</v>
      </c>
      <c r="BZ33" s="150">
        <v>30.5825</v>
      </c>
      <c r="CA33" s="150" t="s">
        <v>24</v>
      </c>
      <c r="CB33" s="150">
        <f>44.6602-Table664[[#This Row],[Outcome4_M]]</f>
        <v>14.077700000000004</v>
      </c>
      <c r="CC33" s="290" t="s">
        <v>2857</v>
      </c>
      <c r="CD33" s="291" t="s">
        <v>2480</v>
      </c>
      <c r="CE33" s="278"/>
      <c r="CF33" s="285"/>
      <c r="CG33" s="167"/>
      <c r="CH33" s="150"/>
      <c r="CI33" s="228"/>
      <c r="CJ33" s="150"/>
      <c r="CK33" s="228"/>
      <c r="CL33" s="150"/>
      <c r="CM33" s="228"/>
      <c r="CN33" s="266"/>
      <c r="CO33" s="311"/>
      <c r="CP33" s="313"/>
      <c r="CQ33" s="150"/>
      <c r="CR33" s="150"/>
      <c r="CS33" s="150"/>
      <c r="CT33" s="150"/>
      <c r="CU33" s="150"/>
      <c r="CV33" s="150"/>
      <c r="CW33" s="150"/>
      <c r="CX33" s="150"/>
      <c r="CY33" s="302"/>
      <c r="CZ33" s="303"/>
      <c r="DA33" s="278"/>
      <c r="DB33" s="279"/>
      <c r="DC33" s="150"/>
      <c r="DD33" s="150"/>
      <c r="DE33" s="150"/>
      <c r="DF33" s="150"/>
      <c r="DG33" s="151"/>
      <c r="DH33" s="150"/>
      <c r="DI33" s="150"/>
      <c r="DJ33" s="150"/>
      <c r="DK33" s="303"/>
      <c r="DL33" s="303"/>
      <c r="DM33" s="150"/>
      <c r="DN33" s="150"/>
      <c r="DO33" s="150"/>
      <c r="DP33" s="150"/>
      <c r="DQ33" s="150"/>
      <c r="DR33" s="150"/>
      <c r="DS33" s="150"/>
      <c r="DT33" s="150"/>
      <c r="DU33" s="303"/>
      <c r="DV33" s="303"/>
      <c r="DW33" s="279"/>
      <c r="DX33" s="150"/>
      <c r="DY33" s="150"/>
      <c r="DZ33" s="150"/>
      <c r="EA33" s="150"/>
      <c r="EB33" s="150"/>
      <c r="EC33" s="150"/>
      <c r="ED33" s="150"/>
      <c r="EE33" s="150"/>
      <c r="EF33" s="303"/>
      <c r="EG33" s="303"/>
      <c r="EH33" s="150"/>
      <c r="EI33" s="150"/>
      <c r="EJ33" s="150"/>
      <c r="EK33" s="150"/>
    </row>
    <row r="34" spans="1:141" s="119" customFormat="1">
      <c r="A34" s="118" t="s">
        <v>1071</v>
      </c>
      <c r="B34" s="364">
        <v>16</v>
      </c>
      <c r="C34" s="139" t="s">
        <v>2067</v>
      </c>
      <c r="D34" s="140" t="s">
        <v>2319</v>
      </c>
      <c r="E34" s="141">
        <v>2012</v>
      </c>
      <c r="F34" s="118">
        <v>21918506</v>
      </c>
      <c r="G34" s="118">
        <v>1</v>
      </c>
      <c r="H34" s="118">
        <v>1</v>
      </c>
      <c r="I34" s="118"/>
      <c r="J34" s="118">
        <v>1</v>
      </c>
      <c r="K34" s="118"/>
      <c r="L34" s="118">
        <v>1</v>
      </c>
      <c r="M34" s="142">
        <v>2</v>
      </c>
      <c r="N34" s="118" t="s">
        <v>1306</v>
      </c>
      <c r="O34" s="118" t="s">
        <v>1232</v>
      </c>
      <c r="P34" s="118" t="s">
        <v>1127</v>
      </c>
      <c r="Q34" s="118"/>
      <c r="R34" s="118" t="s">
        <v>1487</v>
      </c>
      <c r="S34" s="118" t="s">
        <v>803</v>
      </c>
      <c r="T34" s="118" t="s">
        <v>23</v>
      </c>
      <c r="U34" s="118" t="s">
        <v>1305</v>
      </c>
      <c r="V34" s="118"/>
      <c r="W34" s="118" t="s">
        <v>1304</v>
      </c>
      <c r="X34" s="118"/>
      <c r="Y34" s="118"/>
      <c r="Z34" s="118"/>
      <c r="AA34" s="159">
        <v>1</v>
      </c>
      <c r="AB34" s="160"/>
      <c r="AC34" s="122">
        <v>4</v>
      </c>
      <c r="AD34" s="204" t="s">
        <v>2870</v>
      </c>
      <c r="AE34" s="192">
        <v>2</v>
      </c>
      <c r="AF34" s="205">
        <v>1</v>
      </c>
      <c r="AG34" s="122">
        <f>Table664[[#This Row],[Subjects_n_ptsd]]+Table664[[#This Row],[Subjects_n_control]]</f>
        <v>25</v>
      </c>
      <c r="AH34" s="122">
        <v>12</v>
      </c>
      <c r="AI34" s="122">
        <v>13</v>
      </c>
      <c r="AJ34" s="122" t="s">
        <v>803</v>
      </c>
      <c r="AK34" s="122" t="s">
        <v>803</v>
      </c>
      <c r="AL34" s="122" t="s">
        <v>2796</v>
      </c>
      <c r="AM34" s="122" t="s">
        <v>24</v>
      </c>
      <c r="AN34" s="122" t="s">
        <v>2796</v>
      </c>
      <c r="AO34" s="122" t="s">
        <v>24</v>
      </c>
      <c r="AP34" s="122" t="s">
        <v>2799</v>
      </c>
      <c r="AQ34" s="122">
        <v>1</v>
      </c>
      <c r="AR34" s="122">
        <v>1</v>
      </c>
      <c r="AS34" s="122" t="s">
        <v>2797</v>
      </c>
      <c r="AT34" s="122" t="s">
        <v>1130</v>
      </c>
      <c r="AU34" s="122" t="s">
        <v>2798</v>
      </c>
      <c r="AV34" s="161">
        <v>1</v>
      </c>
      <c r="AW34" s="161">
        <v>1</v>
      </c>
      <c r="AX34" s="161"/>
      <c r="AY34" s="161"/>
      <c r="AZ34" s="161"/>
      <c r="BA34" s="161"/>
      <c r="BB34" s="161"/>
      <c r="BC34" s="161"/>
      <c r="BD34" s="162" t="s">
        <v>2801</v>
      </c>
      <c r="BE34" s="150" t="s">
        <v>1876</v>
      </c>
      <c r="BF34" s="150" t="s">
        <v>2824</v>
      </c>
      <c r="BG34" s="150" t="s">
        <v>2805</v>
      </c>
      <c r="BH34" s="150" t="s">
        <v>2471</v>
      </c>
      <c r="BI34" s="150" t="s">
        <v>2803</v>
      </c>
      <c r="BJ34" s="258" t="s">
        <v>2867</v>
      </c>
      <c r="BK34" s="151" t="s">
        <v>2839</v>
      </c>
      <c r="BL34" s="150">
        <v>31.601700000000001</v>
      </c>
      <c r="BM34" s="150" t="s">
        <v>24</v>
      </c>
      <c r="BN34" s="150">
        <f>44.5887-Table664[[#This Row],[Outcome1_M]]</f>
        <v>12.987000000000002</v>
      </c>
      <c r="BO34" s="151" t="s">
        <v>2840</v>
      </c>
      <c r="BP34" s="150">
        <v>101.732</v>
      </c>
      <c r="BQ34" s="150" t="s">
        <v>24</v>
      </c>
      <c r="BR34" s="150">
        <f>122.078-Table664[[#This Row],[Outcome2_M]]</f>
        <v>20.346000000000004</v>
      </c>
      <c r="BS34" s="290" t="s">
        <v>2868</v>
      </c>
      <c r="BT34" s="291" t="s">
        <v>2869</v>
      </c>
      <c r="BU34" s="151" t="s">
        <v>2841</v>
      </c>
      <c r="BV34" s="150">
        <v>9.0909099999999992</v>
      </c>
      <c r="BW34" s="150" t="s">
        <v>24</v>
      </c>
      <c r="BX34" s="150">
        <f>11.2554-Table664[[#This Row],[Outcome3_M]]</f>
        <v>2.1644900000000007</v>
      </c>
      <c r="BY34" s="151" t="s">
        <v>2842</v>
      </c>
      <c r="BZ34" s="150">
        <v>28.571400000000001</v>
      </c>
      <c r="CA34" s="150" t="s">
        <v>24</v>
      </c>
      <c r="CB34" s="150">
        <f>42.4242-Table664[[#This Row],[Outcome4_M]]</f>
        <v>13.852799999999998</v>
      </c>
      <c r="CC34" s="290" t="s">
        <v>2857</v>
      </c>
      <c r="CD34" s="291" t="s">
        <v>2480</v>
      </c>
      <c r="CE34" s="278"/>
      <c r="CF34" s="285"/>
      <c r="CG34" s="167"/>
      <c r="CH34" s="150"/>
      <c r="CI34" s="228"/>
      <c r="CJ34" s="150"/>
      <c r="CK34" s="228"/>
      <c r="CL34" s="150"/>
      <c r="CM34" s="228"/>
      <c r="CN34" s="266"/>
      <c r="CO34" s="311"/>
      <c r="CP34" s="313"/>
      <c r="CQ34" s="150"/>
      <c r="CR34" s="150"/>
      <c r="CS34" s="150"/>
      <c r="CT34" s="150"/>
      <c r="CU34" s="150"/>
      <c r="CV34" s="150"/>
      <c r="CW34" s="150"/>
      <c r="CX34" s="150"/>
      <c r="CY34" s="302"/>
      <c r="CZ34" s="303"/>
      <c r="DA34" s="278"/>
      <c r="DB34" s="279"/>
      <c r="DC34" s="150"/>
      <c r="DD34" s="150"/>
      <c r="DE34" s="150"/>
      <c r="DF34" s="150"/>
      <c r="DG34" s="151"/>
      <c r="DH34" s="150"/>
      <c r="DI34" s="150"/>
      <c r="DJ34" s="150"/>
      <c r="DK34" s="303"/>
      <c r="DL34" s="303"/>
      <c r="DM34" s="150"/>
      <c r="DN34" s="150"/>
      <c r="DO34" s="150"/>
      <c r="DP34" s="150"/>
      <c r="DQ34" s="150"/>
      <c r="DR34" s="150"/>
      <c r="DS34" s="150"/>
      <c r="DT34" s="150"/>
      <c r="DU34" s="303"/>
      <c r="DV34" s="303"/>
      <c r="DW34" s="279"/>
      <c r="DX34" s="150"/>
      <c r="DY34" s="150"/>
      <c r="DZ34" s="150"/>
      <c r="EA34" s="150"/>
      <c r="EB34" s="150"/>
      <c r="EC34" s="150"/>
      <c r="ED34" s="150"/>
      <c r="EE34" s="150"/>
      <c r="EF34" s="303"/>
      <c r="EG34" s="303"/>
      <c r="EH34" s="150"/>
      <c r="EI34" s="150"/>
      <c r="EJ34" s="150"/>
      <c r="EK34" s="150"/>
    </row>
    <row r="35" spans="1:141">
      <c r="A35" s="79" t="s">
        <v>153</v>
      </c>
      <c r="B35" s="364">
        <v>17</v>
      </c>
      <c r="C35" s="123" t="s">
        <v>1955</v>
      </c>
      <c r="D35" s="124" t="s">
        <v>2177</v>
      </c>
      <c r="E35" s="125">
        <v>1998</v>
      </c>
      <c r="F35" s="79">
        <v>9821567</v>
      </c>
      <c r="G35" s="79">
        <v>1</v>
      </c>
      <c r="H35" s="126"/>
      <c r="I35" s="127"/>
      <c r="J35" s="79">
        <v>1</v>
      </c>
      <c r="K35" s="79"/>
      <c r="L35" s="79">
        <v>1</v>
      </c>
      <c r="M35" s="128">
        <v>1</v>
      </c>
      <c r="N35" s="79" t="s">
        <v>468</v>
      </c>
      <c r="O35" s="79" t="s">
        <v>1162</v>
      </c>
      <c r="P35" s="79" t="s">
        <v>25</v>
      </c>
      <c r="Q35" s="79">
        <v>1</v>
      </c>
      <c r="R35" s="79"/>
      <c r="S35" s="79"/>
      <c r="T35" s="79"/>
      <c r="U35" s="79" t="s">
        <v>11</v>
      </c>
      <c r="V35" s="79" t="s">
        <v>24</v>
      </c>
      <c r="W35" s="79" t="s">
        <v>13</v>
      </c>
      <c r="X35" s="79"/>
      <c r="Y35" s="79"/>
      <c r="Z35" s="79"/>
      <c r="AA35" s="154">
        <v>1</v>
      </c>
      <c r="AB35" s="155"/>
      <c r="AC35" s="121">
        <v>2</v>
      </c>
      <c r="AD35" s="202" t="s">
        <v>2881</v>
      </c>
      <c r="AE35" s="192">
        <v>1</v>
      </c>
      <c r="AF35" s="203">
        <v>0</v>
      </c>
      <c r="AG35" s="121">
        <f>34+17+14</f>
        <v>65</v>
      </c>
      <c r="AH35" s="121">
        <v>34</v>
      </c>
      <c r="AI35" s="121" t="s">
        <v>2873</v>
      </c>
      <c r="AJ35" s="121" t="s">
        <v>24</v>
      </c>
      <c r="AK35" s="121" t="s">
        <v>24</v>
      </c>
      <c r="AL35" s="121">
        <v>46</v>
      </c>
      <c r="AM35" s="121">
        <v>3.4</v>
      </c>
      <c r="AN35" s="121">
        <f>(42.2 + 44.5) / 2</f>
        <v>43.35</v>
      </c>
      <c r="AO35" s="121">
        <f xml:space="preserve"> (4.8+3.9) /2</f>
        <v>4.3499999999999996</v>
      </c>
      <c r="AP35" s="121" t="s">
        <v>1874</v>
      </c>
      <c r="AQ35" s="121" t="s">
        <v>24</v>
      </c>
      <c r="AR35" s="121" t="s">
        <v>24</v>
      </c>
      <c r="AS35" s="121" t="s">
        <v>2874</v>
      </c>
      <c r="AT35" s="121" t="s">
        <v>2875</v>
      </c>
      <c r="AU35" s="121" t="s">
        <v>2876</v>
      </c>
      <c r="AV35" s="156">
        <v>1</v>
      </c>
      <c r="AW35" s="156"/>
      <c r="AX35" s="156"/>
      <c r="AY35" s="156"/>
      <c r="AZ35" s="156"/>
      <c r="BA35" s="156"/>
      <c r="BB35" s="156"/>
      <c r="BC35" s="156"/>
      <c r="BD35" s="157" t="s">
        <v>2879</v>
      </c>
      <c r="BE35" s="134" t="s">
        <v>1876</v>
      </c>
      <c r="BF35" s="134">
        <v>3</v>
      </c>
      <c r="BG35" s="134" t="s">
        <v>2877</v>
      </c>
      <c r="BH35" s="134" t="s">
        <v>2470</v>
      </c>
      <c r="BI35" s="134" t="s">
        <v>2878</v>
      </c>
      <c r="BJ35" s="259" t="s">
        <v>2906</v>
      </c>
      <c r="BK35" s="138" t="s">
        <v>2884</v>
      </c>
      <c r="BL35" s="134">
        <v>163.935</v>
      </c>
      <c r="BM35" s="134" t="s">
        <v>2882</v>
      </c>
      <c r="BN35" s="134" t="s">
        <v>2882</v>
      </c>
      <c r="BO35" s="138" t="s">
        <v>2885</v>
      </c>
      <c r="BP35" s="134">
        <v>174.70599999999999</v>
      </c>
      <c r="BQ35" s="134" t="s">
        <v>2882</v>
      </c>
      <c r="BR35" s="134" t="s">
        <v>2882</v>
      </c>
      <c r="BS35" s="288" t="s">
        <v>24</v>
      </c>
      <c r="BT35" s="289" t="s">
        <v>24</v>
      </c>
      <c r="BU35" s="138" t="s">
        <v>2886</v>
      </c>
      <c r="BV35" s="134">
        <v>175.476</v>
      </c>
      <c r="BW35" s="134" t="s">
        <v>2882</v>
      </c>
      <c r="BX35" s="134" t="s">
        <v>2882</v>
      </c>
      <c r="BY35" s="138" t="s">
        <v>24</v>
      </c>
      <c r="BZ35" s="134" t="s">
        <v>24</v>
      </c>
      <c r="CA35" s="134" t="s">
        <v>24</v>
      </c>
      <c r="CB35" s="134" t="s">
        <v>24</v>
      </c>
      <c r="CC35" s="288" t="s">
        <v>24</v>
      </c>
      <c r="CD35" s="289" t="s">
        <v>24</v>
      </c>
      <c r="CE35" s="309" t="s">
        <v>24</v>
      </c>
      <c r="CF35" s="308" t="s">
        <v>24</v>
      </c>
      <c r="CG35" s="138" t="s">
        <v>2887</v>
      </c>
      <c r="CH35" s="134">
        <v>110.187</v>
      </c>
      <c r="CI35" s="134" t="s">
        <v>2882</v>
      </c>
      <c r="CJ35" s="134" t="s">
        <v>2882</v>
      </c>
      <c r="CK35" s="138" t="s">
        <v>2888</v>
      </c>
      <c r="CL35" s="134">
        <v>134.80500000000001</v>
      </c>
      <c r="CM35" s="134" t="s">
        <v>2882</v>
      </c>
      <c r="CN35" s="134" t="s">
        <v>2882</v>
      </c>
      <c r="CO35" s="300" t="s">
        <v>24</v>
      </c>
      <c r="CP35" s="301" t="s">
        <v>24</v>
      </c>
      <c r="CQ35" s="138" t="s">
        <v>2889</v>
      </c>
      <c r="CR35" s="134">
        <v>222.495</v>
      </c>
      <c r="CS35" s="134" t="s">
        <v>2882</v>
      </c>
      <c r="CT35" s="134" t="s">
        <v>2882</v>
      </c>
      <c r="CU35" s="138" t="s">
        <v>24</v>
      </c>
      <c r="CV35" s="134" t="s">
        <v>24</v>
      </c>
      <c r="CW35" s="134" t="s">
        <v>24</v>
      </c>
      <c r="CX35" s="134" t="s">
        <v>24</v>
      </c>
      <c r="CY35" s="300" t="s">
        <v>24</v>
      </c>
      <c r="CZ35" s="301" t="s">
        <v>24</v>
      </c>
      <c r="DA35" s="319" t="s">
        <v>2883</v>
      </c>
      <c r="DB35" s="277"/>
      <c r="DC35" s="138" t="s">
        <v>2892</v>
      </c>
      <c r="DD35" s="134">
        <v>194.131</v>
      </c>
      <c r="DE35" s="134" t="s">
        <v>2882</v>
      </c>
      <c r="DF35" s="134" t="s">
        <v>2882</v>
      </c>
      <c r="DG35" s="138" t="s">
        <v>2891</v>
      </c>
      <c r="DH35" s="134">
        <v>196.43899999999999</v>
      </c>
      <c r="DI35" s="134" t="s">
        <v>2882</v>
      </c>
      <c r="DJ35" s="134" t="s">
        <v>2882</v>
      </c>
      <c r="DK35" s="301" t="s">
        <v>24</v>
      </c>
      <c r="DL35" s="301" t="s">
        <v>24</v>
      </c>
      <c r="DM35" s="138" t="s">
        <v>2890</v>
      </c>
      <c r="DN35" s="134">
        <v>412.01799999999997</v>
      </c>
      <c r="DO35" s="134" t="s">
        <v>2882</v>
      </c>
      <c r="DP35" s="134" t="s">
        <v>2882</v>
      </c>
      <c r="DQ35" s="134" t="s">
        <v>24</v>
      </c>
      <c r="DR35" s="134" t="s">
        <v>24</v>
      </c>
      <c r="DS35" s="134" t="s">
        <v>24</v>
      </c>
      <c r="DT35" s="134" t="s">
        <v>24</v>
      </c>
      <c r="DU35" s="301" t="s">
        <v>24</v>
      </c>
      <c r="DV35" s="301" t="s">
        <v>24</v>
      </c>
      <c r="DW35" s="277" t="s">
        <v>2905</v>
      </c>
      <c r="DX35" s="134"/>
      <c r="DY35" s="134"/>
      <c r="DZ35" s="134"/>
      <c r="EA35" s="134"/>
      <c r="EB35" s="134"/>
      <c r="EC35" s="134"/>
      <c r="ED35" s="134"/>
      <c r="EE35" s="134"/>
      <c r="EF35" s="301"/>
      <c r="EG35" s="301"/>
      <c r="EH35" s="134"/>
      <c r="EI35" s="134"/>
      <c r="EJ35" s="134"/>
      <c r="EK35" s="134"/>
    </row>
    <row r="36" spans="1:141" s="119" customFormat="1">
      <c r="A36" s="118" t="s">
        <v>153</v>
      </c>
      <c r="B36" s="364">
        <v>17</v>
      </c>
      <c r="C36" s="139" t="s">
        <v>1955</v>
      </c>
      <c r="D36" s="140" t="s">
        <v>2177</v>
      </c>
      <c r="E36" s="141">
        <v>1998</v>
      </c>
      <c r="F36" s="118">
        <v>9821567</v>
      </c>
      <c r="G36" s="118">
        <v>1</v>
      </c>
      <c r="H36" s="118"/>
      <c r="I36" s="118"/>
      <c r="J36" s="118">
        <v>1</v>
      </c>
      <c r="K36" s="118"/>
      <c r="L36" s="118">
        <v>1</v>
      </c>
      <c r="M36" s="142">
        <v>1</v>
      </c>
      <c r="N36" s="118" t="s">
        <v>468</v>
      </c>
      <c r="O36" s="118" t="s">
        <v>1162</v>
      </c>
      <c r="P36" s="118" t="s">
        <v>25</v>
      </c>
      <c r="Q36" s="118">
        <v>1</v>
      </c>
      <c r="R36" s="118"/>
      <c r="S36" s="118"/>
      <c r="T36" s="118"/>
      <c r="U36" s="118" t="s">
        <v>11</v>
      </c>
      <c r="V36" s="118" t="s">
        <v>24</v>
      </c>
      <c r="W36" s="118" t="s">
        <v>13</v>
      </c>
      <c r="X36" s="118"/>
      <c r="Y36" s="118"/>
      <c r="Z36" s="118"/>
      <c r="AA36" s="159">
        <v>1</v>
      </c>
      <c r="AB36" s="160" t="s">
        <v>2910</v>
      </c>
      <c r="AC36" s="122">
        <v>2</v>
      </c>
      <c r="AD36" s="204" t="s">
        <v>2909</v>
      </c>
      <c r="AE36" s="192">
        <v>1</v>
      </c>
      <c r="AF36" s="205">
        <v>0</v>
      </c>
      <c r="AG36" s="122">
        <f>34+17+14</f>
        <v>65</v>
      </c>
      <c r="AH36" s="122">
        <v>34</v>
      </c>
      <c r="AI36" s="122" t="s">
        <v>2873</v>
      </c>
      <c r="AJ36" s="122" t="s">
        <v>24</v>
      </c>
      <c r="AK36" s="122" t="s">
        <v>24</v>
      </c>
      <c r="AL36" s="122">
        <v>46</v>
      </c>
      <c r="AM36" s="122">
        <v>3.4</v>
      </c>
      <c r="AN36" s="122">
        <f>(42.2 + 44.5) / 2</f>
        <v>43.35</v>
      </c>
      <c r="AO36" s="122">
        <f xml:space="preserve"> (4.8+3.9) /2</f>
        <v>4.3499999999999996</v>
      </c>
      <c r="AP36" s="122" t="s">
        <v>1874</v>
      </c>
      <c r="AQ36" s="122" t="s">
        <v>24</v>
      </c>
      <c r="AR36" s="122" t="s">
        <v>24</v>
      </c>
      <c r="AS36" s="122" t="s">
        <v>2874</v>
      </c>
      <c r="AT36" s="122" t="s">
        <v>2875</v>
      </c>
      <c r="AU36" s="122" t="s">
        <v>2876</v>
      </c>
      <c r="AV36" s="161">
        <v>1</v>
      </c>
      <c r="AW36" s="161"/>
      <c r="AX36" s="161"/>
      <c r="AY36" s="161"/>
      <c r="AZ36" s="161"/>
      <c r="BA36" s="161"/>
      <c r="BB36" s="161"/>
      <c r="BC36" s="161"/>
      <c r="BD36" s="162" t="s">
        <v>2880</v>
      </c>
      <c r="BE36" s="150" t="s">
        <v>1876</v>
      </c>
      <c r="BF36" s="150">
        <v>3</v>
      </c>
      <c r="BG36" s="150" t="s">
        <v>2877</v>
      </c>
      <c r="BH36" s="150" t="s">
        <v>2470</v>
      </c>
      <c r="BI36" s="150" t="s">
        <v>2878</v>
      </c>
      <c r="BJ36" s="258" t="s">
        <v>2908</v>
      </c>
      <c r="BK36" s="151" t="s">
        <v>2893</v>
      </c>
      <c r="BL36" s="150">
        <v>245.863</v>
      </c>
      <c r="BM36" s="150" t="s">
        <v>2882</v>
      </c>
      <c r="BN36" s="150" t="s">
        <v>2882</v>
      </c>
      <c r="BO36" s="151" t="s">
        <v>2894</v>
      </c>
      <c r="BP36" s="150">
        <v>161.15100000000001</v>
      </c>
      <c r="BQ36" s="150" t="s">
        <v>2882</v>
      </c>
      <c r="BR36" s="150" t="s">
        <v>2882</v>
      </c>
      <c r="BS36" s="290" t="s">
        <v>24</v>
      </c>
      <c r="BT36" s="291" t="s">
        <v>24</v>
      </c>
      <c r="BU36" s="151" t="s">
        <v>2895</v>
      </c>
      <c r="BV36" s="150">
        <v>225.86500000000001</v>
      </c>
      <c r="BW36" s="150" t="s">
        <v>2882</v>
      </c>
      <c r="BX36" s="150" t="s">
        <v>2882</v>
      </c>
      <c r="BY36" s="151" t="s">
        <v>2896</v>
      </c>
      <c r="BZ36" s="150">
        <v>118.075</v>
      </c>
      <c r="CA36" s="150" t="s">
        <v>2882</v>
      </c>
      <c r="CB36" s="150" t="s">
        <v>2882</v>
      </c>
      <c r="CC36" s="290" t="s">
        <v>24</v>
      </c>
      <c r="CD36" s="291" t="s">
        <v>24</v>
      </c>
      <c r="CE36" s="278" t="s">
        <v>24</v>
      </c>
      <c r="CF36" s="285" t="s">
        <v>24</v>
      </c>
      <c r="CG36" s="151" t="s">
        <v>2897</v>
      </c>
      <c r="CH36" s="150">
        <v>412.01799999999997</v>
      </c>
      <c r="CI36" s="150" t="s">
        <v>2882</v>
      </c>
      <c r="CJ36" s="150" t="s">
        <v>2882</v>
      </c>
      <c r="CK36" s="151" t="s">
        <v>2898</v>
      </c>
      <c r="CL36" s="150">
        <v>280.38200000000001</v>
      </c>
      <c r="CM36" s="150" t="s">
        <v>2882</v>
      </c>
      <c r="CN36" s="150" t="s">
        <v>2882</v>
      </c>
      <c r="CO36" s="302" t="s">
        <v>24</v>
      </c>
      <c r="CP36" s="303" t="s">
        <v>24</v>
      </c>
      <c r="CQ36" s="151" t="s">
        <v>2899</v>
      </c>
      <c r="CR36" s="150">
        <v>169.233</v>
      </c>
      <c r="CS36" s="150" t="s">
        <v>2882</v>
      </c>
      <c r="CT36" s="150" t="s">
        <v>2882</v>
      </c>
      <c r="CU36" s="151" t="s">
        <v>2900</v>
      </c>
      <c r="CV36" s="150">
        <v>94.518799999999999</v>
      </c>
      <c r="CW36" s="150" t="s">
        <v>2882</v>
      </c>
      <c r="CX36" s="150" t="s">
        <v>2882</v>
      </c>
      <c r="CY36" s="302" t="s">
        <v>24</v>
      </c>
      <c r="CZ36" s="303" t="s">
        <v>24</v>
      </c>
      <c r="DA36" s="278" t="s">
        <v>24</v>
      </c>
      <c r="DB36" s="279" t="s">
        <v>24</v>
      </c>
      <c r="DC36" s="151" t="s">
        <v>2901</v>
      </c>
      <c r="DD36" s="150">
        <v>142.31200000000001</v>
      </c>
      <c r="DE36" s="150" t="s">
        <v>2882</v>
      </c>
      <c r="DF36" s="150" t="s">
        <v>2882</v>
      </c>
      <c r="DG36" s="151" t="s">
        <v>2902</v>
      </c>
      <c r="DH36" s="150">
        <v>62.982300000000002</v>
      </c>
      <c r="DI36" s="150" t="s">
        <v>2882</v>
      </c>
      <c r="DJ36" s="150" t="s">
        <v>2882</v>
      </c>
      <c r="DK36" s="303" t="s">
        <v>24</v>
      </c>
      <c r="DL36" s="303" t="s">
        <v>24</v>
      </c>
      <c r="DM36" s="151" t="s">
        <v>2903</v>
      </c>
      <c r="DN36" s="150">
        <v>316.15499999999997</v>
      </c>
      <c r="DO36" s="150" t="s">
        <v>2882</v>
      </c>
      <c r="DP36" s="150" t="s">
        <v>2882</v>
      </c>
      <c r="DQ36" s="151" t="s">
        <v>2904</v>
      </c>
      <c r="DR36" s="150">
        <v>184.51900000000001</v>
      </c>
      <c r="DS36" s="150" t="s">
        <v>2882</v>
      </c>
      <c r="DT36" s="150" t="s">
        <v>2882</v>
      </c>
      <c r="DU36" s="303" t="s">
        <v>24</v>
      </c>
      <c r="DV36" s="303" t="s">
        <v>24</v>
      </c>
      <c r="DW36" s="284" t="s">
        <v>2907</v>
      </c>
      <c r="DX36" s="150"/>
      <c r="DY36" s="150"/>
      <c r="DZ36" s="150"/>
      <c r="EA36" s="150"/>
      <c r="EB36" s="150"/>
      <c r="EC36" s="150"/>
      <c r="ED36" s="150"/>
      <c r="EE36" s="150"/>
      <c r="EF36" s="303"/>
      <c r="EG36" s="303"/>
      <c r="EH36" s="150"/>
      <c r="EI36" s="150"/>
      <c r="EJ36" s="150"/>
      <c r="EK36" s="150"/>
    </row>
    <row r="37" spans="1:141">
      <c r="A37" s="79" t="s">
        <v>1060</v>
      </c>
      <c r="B37" s="364">
        <v>18</v>
      </c>
      <c r="C37" s="123" t="s">
        <v>2072</v>
      </c>
      <c r="D37" s="124" t="s">
        <v>2324</v>
      </c>
      <c r="E37" s="125">
        <v>2011</v>
      </c>
      <c r="F37" s="79">
        <v>21285873</v>
      </c>
      <c r="G37" s="79">
        <v>1</v>
      </c>
      <c r="H37" s="126"/>
      <c r="I37" s="127"/>
      <c r="J37" s="79">
        <v>1</v>
      </c>
      <c r="K37" s="79"/>
      <c r="L37" s="79">
        <v>1</v>
      </c>
      <c r="M37" s="128">
        <v>2</v>
      </c>
      <c r="N37" s="79" t="s">
        <v>1329</v>
      </c>
      <c r="O37" s="79" t="s">
        <v>1169</v>
      </c>
      <c r="P37" s="79" t="s">
        <v>1127</v>
      </c>
      <c r="Q37" s="79"/>
      <c r="R37" s="79" t="s">
        <v>1541</v>
      </c>
      <c r="S37" s="79" t="s">
        <v>803</v>
      </c>
      <c r="T37" s="79"/>
      <c r="U37" s="79" t="s">
        <v>1328</v>
      </c>
      <c r="V37" s="79"/>
      <c r="W37" s="79" t="s">
        <v>1132</v>
      </c>
      <c r="X37" s="79"/>
      <c r="Y37" s="79"/>
      <c r="Z37" s="79"/>
      <c r="AA37" s="233" t="s">
        <v>1917</v>
      </c>
      <c r="AB37" s="234" t="s">
        <v>3332</v>
      </c>
      <c r="AC37" s="135">
        <v>4</v>
      </c>
      <c r="AD37" s="235" t="s">
        <v>2930</v>
      </c>
      <c r="AE37" s="192">
        <v>0</v>
      </c>
      <c r="AF37" s="237">
        <v>1</v>
      </c>
      <c r="AG37" s="135" t="s">
        <v>2929</v>
      </c>
      <c r="AH37" s="135" t="s">
        <v>2928</v>
      </c>
      <c r="AI37" s="135" t="s">
        <v>2928</v>
      </c>
      <c r="AJ37" s="135" t="s">
        <v>803</v>
      </c>
      <c r="AK37" s="135" t="s">
        <v>803</v>
      </c>
      <c r="AL37" s="135" t="s">
        <v>24</v>
      </c>
      <c r="AM37" s="135" t="s">
        <v>24</v>
      </c>
      <c r="AN37" s="135" t="s">
        <v>24</v>
      </c>
      <c r="AO37" s="135" t="s">
        <v>24</v>
      </c>
      <c r="AP37" s="135" t="s">
        <v>2911</v>
      </c>
      <c r="AQ37" s="135">
        <v>1</v>
      </c>
      <c r="AR37" s="135" t="s">
        <v>3340</v>
      </c>
      <c r="AS37" s="238" t="s">
        <v>2914</v>
      </c>
      <c r="AT37" s="135" t="s">
        <v>2912</v>
      </c>
      <c r="AU37" s="135" t="s">
        <v>2554</v>
      </c>
      <c r="AV37" s="156">
        <v>1</v>
      </c>
      <c r="AW37" s="156"/>
      <c r="AX37" s="156"/>
      <c r="AY37" s="156"/>
      <c r="AZ37" s="156"/>
      <c r="BA37" s="156"/>
      <c r="BB37" s="156"/>
      <c r="BC37" s="156"/>
      <c r="BD37" s="157" t="s">
        <v>2493</v>
      </c>
      <c r="BE37" s="134" t="s">
        <v>1876</v>
      </c>
      <c r="BF37" s="134" t="s">
        <v>2927</v>
      </c>
      <c r="BG37" s="134" t="s">
        <v>2913</v>
      </c>
      <c r="BH37" s="134" t="s">
        <v>1121</v>
      </c>
      <c r="BI37" s="134" t="s">
        <v>2659</v>
      </c>
      <c r="BJ37" s="259" t="s">
        <v>2931</v>
      </c>
      <c r="BK37" s="138" t="s">
        <v>2919</v>
      </c>
      <c r="BL37" s="134">
        <v>2.7356600000000002</v>
      </c>
      <c r="BM37" s="134" t="s">
        <v>24</v>
      </c>
      <c r="BN37" s="134">
        <f>5.19593-Table664[[#This Row],[Outcome1_M]]</f>
        <v>2.4602699999999995</v>
      </c>
      <c r="BO37" s="138" t="s">
        <v>2920</v>
      </c>
      <c r="BP37" s="134">
        <v>61.8371</v>
      </c>
      <c r="BQ37" s="134" t="s">
        <v>24</v>
      </c>
      <c r="BR37" s="134">
        <f>68.1005-Table664[[#This Row],[Outcome2_M]]</f>
        <v>6.2633999999999972</v>
      </c>
      <c r="BS37" s="288" t="s">
        <v>2921</v>
      </c>
      <c r="BT37" s="289" t="s">
        <v>2922</v>
      </c>
      <c r="BU37" s="138" t="s">
        <v>2918</v>
      </c>
      <c r="BV37" s="134">
        <v>0.965001</v>
      </c>
      <c r="BW37" s="134" t="s">
        <v>24</v>
      </c>
      <c r="BX37" s="134">
        <f>2.22051-Table664[[#This Row],[Outcome3_M]]</f>
        <v>1.255509</v>
      </c>
      <c r="BY37" s="138" t="s">
        <v>2917</v>
      </c>
      <c r="BZ37" s="134">
        <v>63.9559</v>
      </c>
      <c r="CA37" s="134" t="s">
        <v>24</v>
      </c>
      <c r="CB37" s="134">
        <f>70.4416-Table664[[#This Row],[Outcome4_M]]</f>
        <v>6.4856999999999942</v>
      </c>
      <c r="CC37" s="288" t="s">
        <v>2923</v>
      </c>
      <c r="CD37" s="289" t="s">
        <v>2924</v>
      </c>
      <c r="CE37" s="276" t="s">
        <v>24</v>
      </c>
      <c r="CF37" s="308" t="s">
        <v>24</v>
      </c>
      <c r="CG37" s="138" t="s">
        <v>2916</v>
      </c>
      <c r="CH37" s="134">
        <v>3.4542600000000001</v>
      </c>
      <c r="CI37" s="134" t="s">
        <v>24</v>
      </c>
      <c r="CJ37" s="134">
        <f>6.36459-Table664[[#This Row],[Outcome5_M]]</f>
        <v>2.9103299999999996</v>
      </c>
      <c r="CK37" s="138" t="s">
        <v>2915</v>
      </c>
      <c r="CL37" s="134">
        <v>69.378</v>
      </c>
      <c r="CM37" s="134" t="s">
        <v>24</v>
      </c>
      <c r="CN37" s="134">
        <f>72.9123-Table664[[#This Row],[Outcome6_M]]</f>
        <v>3.5343000000000018</v>
      </c>
      <c r="CO37" s="300" t="s">
        <v>2925</v>
      </c>
      <c r="CP37" s="301" t="s">
        <v>2926</v>
      </c>
      <c r="CQ37" s="134" t="s">
        <v>24</v>
      </c>
      <c r="CR37" s="134" t="s">
        <v>24</v>
      </c>
      <c r="CS37" s="134"/>
      <c r="CT37" s="134"/>
      <c r="CU37" s="134"/>
      <c r="CV37" s="134"/>
      <c r="CW37" s="134"/>
      <c r="CX37" s="134"/>
      <c r="CY37" s="300"/>
      <c r="CZ37" s="301"/>
      <c r="DA37" s="276"/>
      <c r="DB37" s="277"/>
      <c r="DC37" s="134"/>
      <c r="DD37" s="134"/>
      <c r="DE37" s="134"/>
      <c r="DF37" s="134"/>
      <c r="DG37" s="138"/>
      <c r="DH37" s="134"/>
      <c r="DI37" s="134"/>
      <c r="DJ37" s="134"/>
      <c r="DK37" s="301"/>
      <c r="DL37" s="301"/>
      <c r="DM37" s="134"/>
      <c r="DN37" s="134"/>
      <c r="DO37" s="134"/>
      <c r="DP37" s="134"/>
      <c r="DQ37" s="134"/>
      <c r="DR37" s="134"/>
      <c r="DS37" s="134"/>
      <c r="DT37" s="134"/>
      <c r="DU37" s="301"/>
      <c r="DV37" s="301"/>
      <c r="DW37" s="277"/>
      <c r="DX37" s="134"/>
      <c r="DY37" s="134"/>
      <c r="DZ37" s="134"/>
      <c r="EA37" s="134"/>
      <c r="EB37" s="134"/>
      <c r="EC37" s="134"/>
      <c r="ED37" s="134"/>
      <c r="EE37" s="134"/>
      <c r="EF37" s="301"/>
      <c r="EG37" s="301"/>
      <c r="EH37" s="134"/>
      <c r="EI37" s="134"/>
      <c r="EJ37" s="134"/>
      <c r="EK37" s="134"/>
    </row>
    <row r="38" spans="1:141">
      <c r="A38" s="79" t="s">
        <v>1052</v>
      </c>
      <c r="B38" s="364">
        <v>19</v>
      </c>
      <c r="C38" s="123" t="s">
        <v>2075</v>
      </c>
      <c r="D38" s="124" t="s">
        <v>2329</v>
      </c>
      <c r="E38" s="125">
        <v>2014</v>
      </c>
      <c r="F38" s="79">
        <v>24335837</v>
      </c>
      <c r="G38" s="79">
        <v>1</v>
      </c>
      <c r="H38" s="126">
        <v>1</v>
      </c>
      <c r="I38" s="127"/>
      <c r="J38" s="79">
        <v>1</v>
      </c>
      <c r="K38" s="79"/>
      <c r="L38" s="79">
        <v>1</v>
      </c>
      <c r="M38" s="128">
        <v>2</v>
      </c>
      <c r="N38" s="79" t="s">
        <v>1347</v>
      </c>
      <c r="O38" s="79" t="s">
        <v>1224</v>
      </c>
      <c r="P38" s="79" t="s">
        <v>1138</v>
      </c>
      <c r="Q38" s="79"/>
      <c r="R38" s="79" t="s">
        <v>1499</v>
      </c>
      <c r="S38" s="79" t="s">
        <v>803</v>
      </c>
      <c r="T38" s="79" t="s">
        <v>23</v>
      </c>
      <c r="U38" s="79" t="s">
        <v>1692</v>
      </c>
      <c r="V38" s="79" t="s">
        <v>1348</v>
      </c>
      <c r="W38" s="79" t="s">
        <v>1349</v>
      </c>
      <c r="X38" s="79"/>
      <c r="Y38" s="79" t="s">
        <v>1350</v>
      </c>
      <c r="Z38" s="79"/>
      <c r="AA38" s="154">
        <v>1</v>
      </c>
      <c r="AB38" s="155" t="s">
        <v>2960</v>
      </c>
      <c r="AC38" s="121">
        <v>5</v>
      </c>
      <c r="AD38" s="202" t="s">
        <v>2933</v>
      </c>
      <c r="AE38" s="192">
        <v>1</v>
      </c>
      <c r="AF38" s="203" t="s">
        <v>2934</v>
      </c>
      <c r="AG38" s="121">
        <v>24</v>
      </c>
      <c r="AH38" s="121">
        <v>12</v>
      </c>
      <c r="AI38" s="121">
        <v>12</v>
      </c>
      <c r="AJ38" s="121" t="s">
        <v>803</v>
      </c>
      <c r="AK38" s="121" t="s">
        <v>803</v>
      </c>
      <c r="AL38" s="121" t="s">
        <v>24</v>
      </c>
      <c r="AM38" s="121" t="s">
        <v>24</v>
      </c>
      <c r="AN38" s="121" t="s">
        <v>24</v>
      </c>
      <c r="AO38" s="121" t="s">
        <v>24</v>
      </c>
      <c r="AP38" s="121" t="s">
        <v>2944</v>
      </c>
      <c r="AQ38" s="121">
        <v>1</v>
      </c>
      <c r="AR38" s="121">
        <v>1</v>
      </c>
      <c r="AS38" s="121" t="s">
        <v>2941</v>
      </c>
      <c r="AT38" s="121" t="s">
        <v>2932</v>
      </c>
      <c r="AU38" s="121" t="s">
        <v>2554</v>
      </c>
      <c r="AV38" s="156">
        <v>1</v>
      </c>
      <c r="AW38" s="156"/>
      <c r="AX38" s="156"/>
      <c r="AY38" s="156"/>
      <c r="AZ38" s="156"/>
      <c r="BA38" s="156"/>
      <c r="BB38" s="156"/>
      <c r="BC38" s="156"/>
      <c r="BD38" s="157" t="s">
        <v>2961</v>
      </c>
      <c r="BE38" s="134" t="s">
        <v>1876</v>
      </c>
      <c r="BF38" s="134" t="s">
        <v>2942</v>
      </c>
      <c r="BG38" s="134" t="s">
        <v>2943</v>
      </c>
      <c r="BH38" s="134" t="s">
        <v>2471</v>
      </c>
      <c r="BI38" s="134" t="s">
        <v>2945</v>
      </c>
      <c r="BJ38" s="259" t="s">
        <v>2949</v>
      </c>
      <c r="BK38" s="138" t="s">
        <v>2952</v>
      </c>
      <c r="BL38" s="134">
        <v>22.13</v>
      </c>
      <c r="BM38" s="134">
        <f>36.5472-Table664[[#This Row],[Outcome1_M]]</f>
        <v>14.417199999999998</v>
      </c>
      <c r="BN38" s="134" t="s">
        <v>24</v>
      </c>
      <c r="BO38" s="138" t="s">
        <v>2953</v>
      </c>
      <c r="BP38" s="134">
        <v>67.2667</v>
      </c>
      <c r="BQ38" s="134">
        <f>84.4451-Table664[[#This Row],[Outcome2_M]]</f>
        <v>17.178399999999996</v>
      </c>
      <c r="BR38" s="134" t="s">
        <v>24</v>
      </c>
      <c r="BS38" s="288" t="s">
        <v>2946</v>
      </c>
      <c r="BT38" s="289" t="s">
        <v>2555</v>
      </c>
      <c r="BU38" s="138" t="s">
        <v>2954</v>
      </c>
      <c r="BV38" s="134">
        <v>21.192699999999999</v>
      </c>
      <c r="BW38" s="134">
        <f>34.6789-Table664[[#This Row],[Outcome3_M]]</f>
        <v>13.4862</v>
      </c>
      <c r="BX38" s="134" t="s">
        <v>24</v>
      </c>
      <c r="BY38" s="138" t="s">
        <v>2955</v>
      </c>
      <c r="BZ38" s="134">
        <v>46.452599999999997</v>
      </c>
      <c r="CA38" s="134">
        <f>60.581-Table664[[#This Row],[Outcome4_M]]</f>
        <v>14.128400000000006</v>
      </c>
      <c r="CB38" s="134" t="s">
        <v>24</v>
      </c>
      <c r="CC38" s="288" t="s">
        <v>2947</v>
      </c>
      <c r="CD38" s="289" t="s">
        <v>2555</v>
      </c>
      <c r="CE38" s="276" t="s">
        <v>2948</v>
      </c>
      <c r="CF38" s="308" t="s">
        <v>3018</v>
      </c>
      <c r="CG38" s="138"/>
      <c r="CH38" s="134"/>
      <c r="CI38" s="134"/>
      <c r="CJ38" s="134"/>
      <c r="CK38" s="134"/>
      <c r="CL38" s="134"/>
      <c r="CM38" s="134"/>
      <c r="CN38" s="134"/>
      <c r="CO38" s="300"/>
      <c r="CP38" s="301"/>
      <c r="CQ38" s="134"/>
      <c r="CR38" s="134"/>
      <c r="CS38" s="134"/>
      <c r="CT38" s="134"/>
      <c r="CU38" s="134"/>
      <c r="CV38" s="134"/>
      <c r="CW38" s="134"/>
      <c r="CX38" s="134"/>
      <c r="CY38" s="300"/>
      <c r="CZ38" s="301"/>
      <c r="DA38" s="276"/>
      <c r="DB38" s="277"/>
      <c r="DC38" s="134"/>
      <c r="DD38" s="134"/>
      <c r="DE38" s="134"/>
      <c r="DF38" s="134"/>
      <c r="DG38" s="138"/>
      <c r="DH38" s="134"/>
      <c r="DI38" s="134"/>
      <c r="DJ38" s="134"/>
      <c r="DK38" s="301"/>
      <c r="DL38" s="301"/>
      <c r="DM38" s="134"/>
      <c r="DN38" s="134"/>
      <c r="DO38" s="134"/>
      <c r="DP38" s="134"/>
      <c r="DQ38" s="134"/>
      <c r="DR38" s="134"/>
      <c r="DS38" s="134"/>
      <c r="DT38" s="134"/>
      <c r="DU38" s="301"/>
      <c r="DV38" s="301"/>
      <c r="DW38" s="277"/>
      <c r="DX38" s="134"/>
      <c r="DY38" s="134"/>
      <c r="DZ38" s="134"/>
      <c r="EA38" s="134"/>
      <c r="EB38" s="134"/>
      <c r="EC38" s="134"/>
      <c r="ED38" s="134"/>
      <c r="EE38" s="134"/>
      <c r="EF38" s="301"/>
      <c r="EG38" s="301"/>
      <c r="EH38" s="134"/>
      <c r="EI38" s="134"/>
      <c r="EJ38" s="134"/>
      <c r="EK38" s="134"/>
    </row>
    <row r="39" spans="1:141" s="119" customFormat="1">
      <c r="A39" s="118" t="s">
        <v>1052</v>
      </c>
      <c r="B39" s="364">
        <v>19</v>
      </c>
      <c r="C39" s="139" t="s">
        <v>2075</v>
      </c>
      <c r="D39" s="140" t="s">
        <v>2329</v>
      </c>
      <c r="E39" s="141">
        <v>2014</v>
      </c>
      <c r="F39" s="118">
        <v>24335837</v>
      </c>
      <c r="G39" s="118">
        <v>1</v>
      </c>
      <c r="H39" s="118">
        <v>1</v>
      </c>
      <c r="I39" s="118"/>
      <c r="J39" s="118">
        <v>1</v>
      </c>
      <c r="K39" s="118"/>
      <c r="L39" s="118">
        <v>1</v>
      </c>
      <c r="M39" s="142">
        <v>2</v>
      </c>
      <c r="N39" s="118" t="s">
        <v>1347</v>
      </c>
      <c r="O39" s="118" t="s">
        <v>1224</v>
      </c>
      <c r="P39" s="118" t="s">
        <v>1138</v>
      </c>
      <c r="Q39" s="118"/>
      <c r="R39" s="118" t="s">
        <v>1499</v>
      </c>
      <c r="S39" s="118" t="s">
        <v>803</v>
      </c>
      <c r="T39" s="118" t="s">
        <v>23</v>
      </c>
      <c r="U39" s="118" t="s">
        <v>1692</v>
      </c>
      <c r="V39" s="118" t="s">
        <v>1348</v>
      </c>
      <c r="W39" s="118" t="s">
        <v>1349</v>
      </c>
      <c r="X39" s="118"/>
      <c r="Y39" s="118" t="s">
        <v>1350</v>
      </c>
      <c r="Z39" s="118"/>
      <c r="AA39" s="159">
        <v>1</v>
      </c>
      <c r="AB39" s="155" t="s">
        <v>2960</v>
      </c>
      <c r="AC39" s="122">
        <v>5</v>
      </c>
      <c r="AD39" s="204" t="s">
        <v>2933</v>
      </c>
      <c r="AE39" s="192">
        <v>1</v>
      </c>
      <c r="AF39" s="205" t="s">
        <v>2934</v>
      </c>
      <c r="AG39" s="122">
        <v>24</v>
      </c>
      <c r="AH39" s="122">
        <v>12</v>
      </c>
      <c r="AI39" s="122">
        <v>12</v>
      </c>
      <c r="AJ39" s="122" t="s">
        <v>803</v>
      </c>
      <c r="AK39" s="122" t="s">
        <v>803</v>
      </c>
      <c r="AL39" s="122" t="s">
        <v>24</v>
      </c>
      <c r="AM39" s="122" t="s">
        <v>24</v>
      </c>
      <c r="AN39" s="122" t="s">
        <v>24</v>
      </c>
      <c r="AO39" s="122" t="s">
        <v>24</v>
      </c>
      <c r="AP39" s="122" t="s">
        <v>2944</v>
      </c>
      <c r="AQ39" s="122">
        <v>1</v>
      </c>
      <c r="AR39" s="122">
        <v>1</v>
      </c>
      <c r="AS39" s="122" t="s">
        <v>2941</v>
      </c>
      <c r="AT39" s="122" t="s">
        <v>2932</v>
      </c>
      <c r="AU39" s="122" t="s">
        <v>2554</v>
      </c>
      <c r="AV39" s="161">
        <v>1</v>
      </c>
      <c r="AW39" s="161"/>
      <c r="AX39" s="161"/>
      <c r="AY39" s="161"/>
      <c r="AZ39" s="161"/>
      <c r="BA39" s="161"/>
      <c r="BB39" s="161"/>
      <c r="BC39" s="161"/>
      <c r="BD39" s="162" t="s">
        <v>2962</v>
      </c>
      <c r="BE39" s="150" t="s">
        <v>1876</v>
      </c>
      <c r="BF39" s="150" t="s">
        <v>2942</v>
      </c>
      <c r="BG39" s="150" t="s">
        <v>2951</v>
      </c>
      <c r="BH39" s="150" t="s">
        <v>2471</v>
      </c>
      <c r="BI39" s="150" t="s">
        <v>2950</v>
      </c>
      <c r="BJ39" s="258" t="s">
        <v>2959</v>
      </c>
      <c r="BK39" s="151" t="s">
        <v>2957</v>
      </c>
      <c r="BL39" s="150">
        <v>71.692300000000003</v>
      </c>
      <c r="BM39" s="150">
        <f>82.7692-Table664[[#This Row],[Outcome1_M]]</f>
        <v>11.076899999999995</v>
      </c>
      <c r="BN39" s="150" t="s">
        <v>24</v>
      </c>
      <c r="BO39" s="151" t="s">
        <v>2956</v>
      </c>
      <c r="BP39" s="150">
        <v>48.307699999999997</v>
      </c>
      <c r="BQ39" s="150">
        <f>58.4615-Table664[[#This Row],[Outcome2_M]]</f>
        <v>10.153800000000004</v>
      </c>
      <c r="BR39" s="150" t="s">
        <v>24</v>
      </c>
      <c r="BS39" s="290" t="s">
        <v>2958</v>
      </c>
      <c r="BT39" s="291" t="s">
        <v>2555</v>
      </c>
      <c r="BU39" s="151" t="s">
        <v>24</v>
      </c>
      <c r="BV39" s="150" t="s">
        <v>24</v>
      </c>
      <c r="BW39" s="150" t="s">
        <v>24</v>
      </c>
      <c r="BX39" s="150" t="s">
        <v>24</v>
      </c>
      <c r="BY39" s="151"/>
      <c r="BZ39" s="150"/>
      <c r="CA39" s="150"/>
      <c r="CB39" s="150"/>
      <c r="CC39" s="290"/>
      <c r="CD39" s="291"/>
      <c r="CE39" s="278"/>
      <c r="CF39" s="285"/>
      <c r="CG39" s="151"/>
      <c r="CH39" s="150"/>
      <c r="CI39" s="150"/>
      <c r="CJ39" s="150"/>
      <c r="CK39" s="150"/>
      <c r="CL39" s="150"/>
      <c r="CM39" s="150"/>
      <c r="CN39" s="150"/>
      <c r="CO39" s="302"/>
      <c r="CP39" s="303"/>
      <c r="CQ39" s="150"/>
      <c r="CR39" s="150"/>
      <c r="CS39" s="150"/>
      <c r="CT39" s="150"/>
      <c r="CU39" s="150"/>
      <c r="CV39" s="150"/>
      <c r="CW39" s="150"/>
      <c r="CX39" s="150"/>
      <c r="CY39" s="302"/>
      <c r="CZ39" s="303"/>
      <c r="DA39" s="278"/>
      <c r="DB39" s="279"/>
      <c r="DC39" s="150"/>
      <c r="DD39" s="150"/>
      <c r="DE39" s="150"/>
      <c r="DF39" s="150"/>
      <c r="DG39" s="151"/>
      <c r="DH39" s="150"/>
      <c r="DI39" s="150"/>
      <c r="DJ39" s="150"/>
      <c r="DK39" s="303"/>
      <c r="DL39" s="303"/>
      <c r="DM39" s="150"/>
      <c r="DN39" s="150"/>
      <c r="DO39" s="150"/>
      <c r="DP39" s="150"/>
      <c r="DQ39" s="150"/>
      <c r="DR39" s="150"/>
      <c r="DS39" s="150"/>
      <c r="DT39" s="150"/>
      <c r="DU39" s="303"/>
      <c r="DV39" s="303"/>
      <c r="DW39" s="279"/>
      <c r="DX39" s="150"/>
      <c r="DY39" s="150"/>
      <c r="DZ39" s="150"/>
      <c r="EA39" s="150"/>
      <c r="EB39" s="150"/>
      <c r="EC39" s="150"/>
      <c r="ED39" s="150"/>
      <c r="EE39" s="150"/>
      <c r="EF39" s="303"/>
      <c r="EG39" s="303"/>
      <c r="EH39" s="150"/>
      <c r="EI39" s="150"/>
      <c r="EJ39" s="150"/>
      <c r="EK39" s="150"/>
    </row>
    <row r="40" spans="1:141">
      <c r="A40" s="79" t="s">
        <v>1050</v>
      </c>
      <c r="B40" s="364">
        <v>20</v>
      </c>
      <c r="C40" s="123" t="s">
        <v>2077</v>
      </c>
      <c r="D40" s="124" t="s">
        <v>2331</v>
      </c>
      <c r="E40" s="125">
        <v>2007</v>
      </c>
      <c r="F40" s="79">
        <v>17267088</v>
      </c>
      <c r="G40" s="79">
        <v>1</v>
      </c>
      <c r="H40" s="126"/>
      <c r="I40" s="127"/>
      <c r="J40" s="79">
        <v>1</v>
      </c>
      <c r="K40" s="79"/>
      <c r="L40" s="79">
        <v>1</v>
      </c>
      <c r="M40" s="128">
        <v>2</v>
      </c>
      <c r="N40" s="79" t="s">
        <v>1353</v>
      </c>
      <c r="O40" s="79" t="s">
        <v>1216</v>
      </c>
      <c r="P40" s="79" t="s">
        <v>1127</v>
      </c>
      <c r="Q40" s="79"/>
      <c r="R40" s="79" t="s">
        <v>1487</v>
      </c>
      <c r="S40" s="79" t="s">
        <v>803</v>
      </c>
      <c r="T40" s="79" t="s">
        <v>23</v>
      </c>
      <c r="U40" s="79" t="s">
        <v>1337</v>
      </c>
      <c r="V40" s="79" t="s">
        <v>1354</v>
      </c>
      <c r="W40" s="79"/>
      <c r="X40" s="79"/>
      <c r="Y40" s="79"/>
      <c r="Z40" s="79"/>
      <c r="AA40" s="154"/>
      <c r="AB40" s="155" t="s">
        <v>2979</v>
      </c>
      <c r="AC40" s="121">
        <v>4</v>
      </c>
      <c r="AD40" s="202" t="s">
        <v>2966</v>
      </c>
      <c r="AE40" s="192">
        <v>0</v>
      </c>
      <c r="AF40" s="203">
        <v>0</v>
      </c>
      <c r="AG40" s="121">
        <v>16</v>
      </c>
      <c r="AH40" s="121">
        <v>8</v>
      </c>
      <c r="AI40" s="121">
        <v>8</v>
      </c>
      <c r="AJ40" s="121" t="s">
        <v>803</v>
      </c>
      <c r="AK40" s="121" t="s">
        <v>803</v>
      </c>
      <c r="AL40" s="121" t="s">
        <v>2667</v>
      </c>
      <c r="AM40" s="121" t="s">
        <v>24</v>
      </c>
      <c r="AN40" s="121" t="s">
        <v>2667</v>
      </c>
      <c r="AO40" s="121" t="s">
        <v>24</v>
      </c>
      <c r="AP40" s="121" t="s">
        <v>2963</v>
      </c>
      <c r="AQ40" s="121">
        <v>1</v>
      </c>
      <c r="AR40" s="121">
        <v>1</v>
      </c>
      <c r="AS40" s="121" t="s">
        <v>2964</v>
      </c>
      <c r="AT40" s="121" t="s">
        <v>1130</v>
      </c>
      <c r="AU40" s="121" t="s">
        <v>2798</v>
      </c>
      <c r="AV40" s="156">
        <v>1</v>
      </c>
      <c r="AW40" s="156"/>
      <c r="AX40" s="156"/>
      <c r="AY40" s="156"/>
      <c r="AZ40" s="156"/>
      <c r="BA40" s="156"/>
      <c r="BB40" s="156"/>
      <c r="BC40" s="156"/>
      <c r="BD40" s="157" t="s">
        <v>2967</v>
      </c>
      <c r="BE40" s="134" t="s">
        <v>1876</v>
      </c>
      <c r="BF40" s="134">
        <v>2</v>
      </c>
      <c r="BG40" s="134" t="s">
        <v>2965</v>
      </c>
      <c r="BH40" s="134" t="s">
        <v>23</v>
      </c>
      <c r="BI40" s="134" t="s">
        <v>2945</v>
      </c>
      <c r="BJ40" s="259" t="s">
        <v>2971</v>
      </c>
      <c r="BK40" s="138" t="s">
        <v>2969</v>
      </c>
      <c r="BL40" s="134">
        <v>83.8</v>
      </c>
      <c r="BM40" s="134" t="s">
        <v>24</v>
      </c>
      <c r="BN40" s="134">
        <v>8.8000000000000007</v>
      </c>
      <c r="BO40" s="138" t="s">
        <v>2968</v>
      </c>
      <c r="BP40" s="134">
        <v>125.1</v>
      </c>
      <c r="BQ40" s="168" t="s">
        <v>24</v>
      </c>
      <c r="BR40" s="134">
        <v>6.2</v>
      </c>
      <c r="BS40" s="288" t="s">
        <v>2970</v>
      </c>
      <c r="BT40" s="289" t="s">
        <v>2972</v>
      </c>
      <c r="BU40" s="138" t="s">
        <v>24</v>
      </c>
      <c r="BV40" s="134"/>
      <c r="BW40" s="134"/>
      <c r="BX40" s="134"/>
      <c r="BY40" s="138"/>
      <c r="BZ40" s="134"/>
      <c r="CA40" s="134"/>
      <c r="CB40" s="134"/>
      <c r="CC40" s="288"/>
      <c r="CD40" s="289"/>
      <c r="CE40" s="276"/>
      <c r="CF40" s="308"/>
      <c r="CG40" s="138"/>
      <c r="CH40" s="134"/>
      <c r="CI40" s="134"/>
      <c r="CJ40" s="134"/>
      <c r="CK40" s="134"/>
      <c r="CL40" s="134"/>
      <c r="CM40" s="134"/>
      <c r="CN40" s="134"/>
      <c r="CO40" s="300"/>
      <c r="CP40" s="301"/>
      <c r="CQ40" s="134"/>
      <c r="CR40" s="134"/>
      <c r="CS40" s="134"/>
      <c r="CT40" s="134"/>
      <c r="CU40" s="134"/>
      <c r="CV40" s="134"/>
      <c r="CW40" s="134"/>
      <c r="CX40" s="134"/>
      <c r="CY40" s="300"/>
      <c r="CZ40" s="301"/>
      <c r="DA40" s="276"/>
      <c r="DB40" s="277"/>
      <c r="DC40" s="134"/>
      <c r="DD40" s="134"/>
      <c r="DE40" s="134"/>
      <c r="DF40" s="134"/>
      <c r="DG40" s="138"/>
      <c r="DH40" s="134"/>
      <c r="DI40" s="134"/>
      <c r="DJ40" s="134"/>
      <c r="DK40" s="301"/>
      <c r="DL40" s="301"/>
      <c r="DM40" s="134"/>
      <c r="DN40" s="134"/>
      <c r="DO40" s="134"/>
      <c r="DP40" s="134"/>
      <c r="DQ40" s="134"/>
      <c r="DR40" s="134"/>
      <c r="DS40" s="134"/>
      <c r="DT40" s="134"/>
      <c r="DU40" s="301"/>
      <c r="DV40" s="301"/>
      <c r="DW40" s="277"/>
      <c r="DX40" s="134"/>
      <c r="DY40" s="134"/>
      <c r="DZ40" s="134"/>
      <c r="EA40" s="134"/>
      <c r="EB40" s="134"/>
      <c r="EC40" s="134"/>
      <c r="ED40" s="134"/>
      <c r="EE40" s="134"/>
      <c r="EF40" s="301"/>
      <c r="EG40" s="301"/>
      <c r="EH40" s="134"/>
      <c r="EI40" s="134"/>
      <c r="EJ40" s="134"/>
      <c r="EK40" s="134"/>
    </row>
    <row r="41" spans="1:141">
      <c r="A41" s="79" t="s">
        <v>1049</v>
      </c>
      <c r="B41" s="364">
        <v>21</v>
      </c>
      <c r="C41" s="123" t="s">
        <v>2078</v>
      </c>
      <c r="D41" s="124" t="s">
        <v>2332</v>
      </c>
      <c r="E41" s="125">
        <v>2016</v>
      </c>
      <c r="F41" s="79">
        <v>27740964</v>
      </c>
      <c r="G41" s="79">
        <v>1</v>
      </c>
      <c r="H41" s="126"/>
      <c r="I41" s="127"/>
      <c r="J41" s="79">
        <v>1</v>
      </c>
      <c r="K41" s="79"/>
      <c r="L41" s="79">
        <v>1</v>
      </c>
      <c r="M41" s="128">
        <v>2</v>
      </c>
      <c r="N41" s="79" t="s">
        <v>1327</v>
      </c>
      <c r="O41" s="79" t="s">
        <v>1224</v>
      </c>
      <c r="P41" s="79" t="s">
        <v>1225</v>
      </c>
      <c r="Q41" s="79"/>
      <c r="R41" s="79" t="s">
        <v>1541</v>
      </c>
      <c r="S41" s="79"/>
      <c r="T41" s="79"/>
      <c r="U41" s="79" t="s">
        <v>1355</v>
      </c>
      <c r="V41" s="79"/>
      <c r="W41" s="79"/>
      <c r="X41" s="79"/>
      <c r="Y41" s="79" t="s">
        <v>1356</v>
      </c>
      <c r="Z41" s="79"/>
      <c r="AA41" s="211">
        <v>1</v>
      </c>
      <c r="AB41" s="212" t="s">
        <v>3313</v>
      </c>
      <c r="AC41" s="134">
        <v>4</v>
      </c>
      <c r="AD41" s="213" t="s">
        <v>3310</v>
      </c>
      <c r="AE41" s="192">
        <v>1</v>
      </c>
      <c r="AF41" s="215">
        <v>0</v>
      </c>
      <c r="AG41" s="134">
        <f>Table664[[#This Row],[Subjects_n_ptsd]]+Table664[[#This Row],[Subjects_n_control]]</f>
        <v>24</v>
      </c>
      <c r="AH41" s="134">
        <v>14</v>
      </c>
      <c r="AI41" s="134">
        <v>10</v>
      </c>
      <c r="AJ41" s="134" t="s">
        <v>803</v>
      </c>
      <c r="AK41" s="134" t="s">
        <v>803</v>
      </c>
      <c r="AL41" s="134" t="s">
        <v>2468</v>
      </c>
      <c r="AM41" s="134" t="s">
        <v>24</v>
      </c>
      <c r="AN41" s="134" t="s">
        <v>2468</v>
      </c>
      <c r="AO41" s="134" t="s">
        <v>24</v>
      </c>
      <c r="AP41" s="134" t="s">
        <v>2974</v>
      </c>
      <c r="AQ41" s="134">
        <v>1</v>
      </c>
      <c r="AR41" s="134" t="s">
        <v>3328</v>
      </c>
      <c r="AS41" s="134" t="s">
        <v>2975</v>
      </c>
      <c r="AT41" s="134" t="s">
        <v>1130</v>
      </c>
      <c r="AU41" s="134" t="s">
        <v>2554</v>
      </c>
      <c r="AV41" s="156">
        <v>1</v>
      </c>
      <c r="AW41" s="156"/>
      <c r="AX41" s="156"/>
      <c r="AY41" s="156"/>
      <c r="AZ41" s="156"/>
      <c r="BA41" s="156"/>
      <c r="BB41" s="156"/>
      <c r="BC41" s="156"/>
      <c r="BD41" s="157" t="s">
        <v>2977</v>
      </c>
      <c r="BE41" s="134" t="s">
        <v>1876</v>
      </c>
      <c r="BF41" s="134">
        <v>2</v>
      </c>
      <c r="BG41" s="134" t="s">
        <v>2976</v>
      </c>
      <c r="BH41" s="134" t="s">
        <v>1121</v>
      </c>
      <c r="BI41" s="134" t="s">
        <v>2989</v>
      </c>
      <c r="BJ41" s="259" t="s">
        <v>3326</v>
      </c>
      <c r="BK41" s="138" t="s">
        <v>2980</v>
      </c>
      <c r="BL41" s="134">
        <v>5.5387599999999999</v>
      </c>
      <c r="BM41" s="134" t="s">
        <v>24</v>
      </c>
      <c r="BN41" s="134">
        <f>6.2663-Table664[[#This Row],[Outcome1_M]]</f>
        <v>0.7275400000000003</v>
      </c>
      <c r="BO41" s="138" t="s">
        <v>2981</v>
      </c>
      <c r="BP41" s="134">
        <v>1.85799</v>
      </c>
      <c r="BQ41" s="134" t="s">
        <v>24</v>
      </c>
      <c r="BR41" s="134">
        <f>2.16665-Table664[[#This Row],[Outcome2_M]]</f>
        <v>0.30866000000000016</v>
      </c>
      <c r="BS41" s="288" t="s">
        <v>2986</v>
      </c>
      <c r="BT41" s="289" t="s">
        <v>2990</v>
      </c>
      <c r="BU41" s="138" t="s">
        <v>2982</v>
      </c>
      <c r="BV41" s="134">
        <v>4.1132499999999999</v>
      </c>
      <c r="BW41" s="134" t="s">
        <v>24</v>
      </c>
      <c r="BX41" s="134">
        <f>4.71954-Table664[[#This Row],[Outcome3_M]]</f>
        <v>0.60629000000000044</v>
      </c>
      <c r="BY41" s="138" t="s">
        <v>2983</v>
      </c>
      <c r="BZ41" s="134">
        <v>1.2261899999999999</v>
      </c>
      <c r="CA41" s="134" t="s">
        <v>24</v>
      </c>
      <c r="CB41" s="134">
        <f>1.67816-Table664[[#This Row],[Outcome4_M]]</f>
        <v>0.4519700000000002</v>
      </c>
      <c r="CC41" s="288" t="s">
        <v>2987</v>
      </c>
      <c r="CD41" s="289" t="s">
        <v>2991</v>
      </c>
      <c r="CE41" s="276"/>
      <c r="CF41" s="308"/>
      <c r="CG41" s="138" t="s">
        <v>2984</v>
      </c>
      <c r="CH41" s="134">
        <v>3.5365799999999998</v>
      </c>
      <c r="CI41" s="134" t="s">
        <v>24</v>
      </c>
      <c r="CJ41" s="134">
        <f>3.9665-Table664[[#This Row],[Outcome5_M]]</f>
        <v>0.42992000000000008</v>
      </c>
      <c r="CK41" s="138" t="s">
        <v>2985</v>
      </c>
      <c r="CL41" s="134">
        <v>0.94716500000000003</v>
      </c>
      <c r="CM41" s="134" t="s">
        <v>24</v>
      </c>
      <c r="CN41" s="134">
        <f>1.13454-Table664[[#This Row],[Outcome6_M]]</f>
        <v>0.18737500000000007</v>
      </c>
      <c r="CO41" s="300" t="s">
        <v>2988</v>
      </c>
      <c r="CP41" s="301" t="s">
        <v>2992</v>
      </c>
      <c r="CQ41" s="134"/>
      <c r="CR41" s="134"/>
      <c r="CS41" s="134"/>
      <c r="CT41" s="134"/>
      <c r="CU41" s="134"/>
      <c r="CV41" s="134"/>
      <c r="CW41" s="134"/>
      <c r="CX41" s="134"/>
      <c r="CY41" s="300"/>
      <c r="CZ41" s="301"/>
      <c r="DA41" s="276"/>
      <c r="DB41" s="277"/>
      <c r="DC41" s="134"/>
      <c r="DD41" s="134"/>
      <c r="DE41" s="134"/>
      <c r="DF41" s="134"/>
      <c r="DG41" s="138"/>
      <c r="DH41" s="134"/>
      <c r="DI41" s="134"/>
      <c r="DJ41" s="134"/>
      <c r="DK41" s="301"/>
      <c r="DL41" s="301"/>
      <c r="DM41" s="134"/>
      <c r="DN41" s="134"/>
      <c r="DO41" s="134"/>
      <c r="DP41" s="134"/>
      <c r="DQ41" s="134"/>
      <c r="DR41" s="134"/>
      <c r="DS41" s="134"/>
      <c r="DT41" s="134"/>
      <c r="DU41" s="301"/>
      <c r="DV41" s="301"/>
      <c r="DW41" s="277"/>
      <c r="DX41" s="134"/>
      <c r="DY41" s="134"/>
      <c r="DZ41" s="134"/>
      <c r="EA41" s="134"/>
      <c r="EB41" s="134"/>
      <c r="EC41" s="134"/>
      <c r="ED41" s="134"/>
      <c r="EE41" s="134"/>
      <c r="EF41" s="301"/>
      <c r="EG41" s="301"/>
      <c r="EH41" s="134"/>
      <c r="EI41" s="134"/>
      <c r="EJ41" s="134"/>
      <c r="EK41" s="134"/>
    </row>
    <row r="42" spans="1:141" s="119" customFormat="1">
      <c r="A42" s="118" t="s">
        <v>1049</v>
      </c>
      <c r="B42" s="364">
        <v>21</v>
      </c>
      <c r="C42" s="139" t="s">
        <v>2078</v>
      </c>
      <c r="D42" s="140" t="s">
        <v>2332</v>
      </c>
      <c r="E42" s="141">
        <v>2016</v>
      </c>
      <c r="F42" s="118">
        <v>27740964</v>
      </c>
      <c r="G42" s="118">
        <v>1</v>
      </c>
      <c r="H42" s="118"/>
      <c r="I42" s="118"/>
      <c r="J42" s="118">
        <v>1</v>
      </c>
      <c r="K42" s="118"/>
      <c r="L42" s="118">
        <v>1</v>
      </c>
      <c r="M42" s="142">
        <v>2</v>
      </c>
      <c r="N42" s="118" t="s">
        <v>1327</v>
      </c>
      <c r="O42" s="118" t="s">
        <v>1224</v>
      </c>
      <c r="P42" s="118" t="s">
        <v>1225</v>
      </c>
      <c r="Q42" s="118"/>
      <c r="R42" s="118" t="s">
        <v>1541</v>
      </c>
      <c r="S42" s="118"/>
      <c r="T42" s="118"/>
      <c r="U42" s="118" t="s">
        <v>1355</v>
      </c>
      <c r="V42" s="118"/>
      <c r="W42" s="118"/>
      <c r="X42" s="118"/>
      <c r="Y42" s="118" t="s">
        <v>1356</v>
      </c>
      <c r="Z42" s="118"/>
      <c r="AA42" s="216">
        <v>1</v>
      </c>
      <c r="AB42" s="212" t="s">
        <v>3313</v>
      </c>
      <c r="AC42" s="150">
        <v>4</v>
      </c>
      <c r="AD42" s="213" t="s">
        <v>2973</v>
      </c>
      <c r="AE42" s="192">
        <v>1</v>
      </c>
      <c r="AF42" s="215">
        <v>0</v>
      </c>
      <c r="AG42" s="134">
        <f>Table664[[#This Row],[Subjects_n_ptsd]]+Table664[[#This Row],[Subjects_n_control]]</f>
        <v>22</v>
      </c>
      <c r="AH42" s="150">
        <v>13</v>
      </c>
      <c r="AI42" s="150">
        <v>9</v>
      </c>
      <c r="AJ42" s="150" t="s">
        <v>803</v>
      </c>
      <c r="AK42" s="150" t="s">
        <v>803</v>
      </c>
      <c r="AL42" s="150" t="s">
        <v>2468</v>
      </c>
      <c r="AM42" s="150" t="s">
        <v>24</v>
      </c>
      <c r="AN42" s="150" t="s">
        <v>2468</v>
      </c>
      <c r="AO42" s="150" t="s">
        <v>24</v>
      </c>
      <c r="AP42" s="150" t="s">
        <v>2974</v>
      </c>
      <c r="AQ42" s="150">
        <v>1</v>
      </c>
      <c r="AR42" s="150" t="s">
        <v>3329</v>
      </c>
      <c r="AS42" s="150" t="s">
        <v>2975</v>
      </c>
      <c r="AT42" s="150" t="s">
        <v>1130</v>
      </c>
      <c r="AU42" s="150" t="s">
        <v>2554</v>
      </c>
      <c r="AV42" s="161">
        <v>1</v>
      </c>
      <c r="AW42" s="161"/>
      <c r="AX42" s="161"/>
      <c r="AY42" s="161"/>
      <c r="AZ42" s="161"/>
      <c r="BA42" s="161"/>
      <c r="BB42" s="161"/>
      <c r="BC42" s="161"/>
      <c r="BD42" s="162" t="s">
        <v>2978</v>
      </c>
      <c r="BE42" s="150" t="s">
        <v>1876</v>
      </c>
      <c r="BF42" s="150">
        <v>2</v>
      </c>
      <c r="BG42" s="150" t="s">
        <v>3327</v>
      </c>
      <c r="BH42" s="150" t="s">
        <v>1121</v>
      </c>
      <c r="BI42" s="150" t="s">
        <v>2993</v>
      </c>
      <c r="BJ42" s="258" t="s">
        <v>3325</v>
      </c>
      <c r="BK42" s="151" t="s">
        <v>2994</v>
      </c>
      <c r="BL42" s="150">
        <v>7.1981599999999997</v>
      </c>
      <c r="BM42" s="150" t="s">
        <v>24</v>
      </c>
      <c r="BN42" s="150">
        <f>9.38507-Table664[[#This Row],[Outcome1_M]]</f>
        <v>2.186910000000001</v>
      </c>
      <c r="BO42" s="151" t="s">
        <v>2995</v>
      </c>
      <c r="BP42" s="150">
        <v>23.608599999999999</v>
      </c>
      <c r="BQ42" s="150" t="s">
        <v>24</v>
      </c>
      <c r="BR42" s="150">
        <f>32.9704-Table664[[#This Row],[Outcome2_M]]</f>
        <v>9.3617999999999988</v>
      </c>
      <c r="BS42" s="290" t="s">
        <v>2997</v>
      </c>
      <c r="BT42" s="291" t="s">
        <v>2996</v>
      </c>
      <c r="BU42" s="151" t="s">
        <v>24</v>
      </c>
      <c r="BV42" s="150" t="s">
        <v>24</v>
      </c>
      <c r="BW42" s="150"/>
      <c r="BX42" s="150"/>
      <c r="BY42" s="151"/>
      <c r="BZ42" s="150"/>
      <c r="CA42" s="150"/>
      <c r="CB42" s="150"/>
      <c r="CC42" s="290"/>
      <c r="CD42" s="291"/>
      <c r="CE42" s="278"/>
      <c r="CF42" s="285"/>
      <c r="CG42" s="151"/>
      <c r="CH42" s="150"/>
      <c r="CI42" s="150"/>
      <c r="CJ42" s="150"/>
      <c r="CK42" s="150"/>
      <c r="CL42" s="150"/>
      <c r="CM42" s="150"/>
      <c r="CN42" s="150"/>
      <c r="CO42" s="302"/>
      <c r="CP42" s="303"/>
      <c r="CQ42" s="150"/>
      <c r="CR42" s="150"/>
      <c r="CS42" s="150"/>
      <c r="CT42" s="150"/>
      <c r="CU42" s="150"/>
      <c r="CV42" s="150"/>
      <c r="CW42" s="150"/>
      <c r="CX42" s="150"/>
      <c r="CY42" s="302"/>
      <c r="CZ42" s="303"/>
      <c r="DA42" s="278"/>
      <c r="DB42" s="279"/>
      <c r="DC42" s="150"/>
      <c r="DD42" s="150"/>
      <c r="DE42" s="150"/>
      <c r="DF42" s="150"/>
      <c r="DG42" s="151"/>
      <c r="DH42" s="150"/>
      <c r="DI42" s="150"/>
      <c r="DJ42" s="150"/>
      <c r="DK42" s="303"/>
      <c r="DL42" s="303"/>
      <c r="DM42" s="150"/>
      <c r="DN42" s="150"/>
      <c r="DO42" s="150"/>
      <c r="DP42" s="150"/>
      <c r="DQ42" s="150"/>
      <c r="DR42" s="150"/>
      <c r="DS42" s="150"/>
      <c r="DT42" s="150"/>
      <c r="DU42" s="303"/>
      <c r="DV42" s="303"/>
      <c r="DW42" s="279"/>
      <c r="DX42" s="150"/>
      <c r="DY42" s="150"/>
      <c r="DZ42" s="150"/>
      <c r="EA42" s="150"/>
      <c r="EB42" s="150"/>
      <c r="EC42" s="150"/>
      <c r="ED42" s="150"/>
      <c r="EE42" s="150"/>
      <c r="EF42" s="303"/>
      <c r="EG42" s="303"/>
      <c r="EH42" s="150"/>
      <c r="EI42" s="150"/>
      <c r="EJ42" s="150"/>
      <c r="EK42" s="150"/>
    </row>
    <row r="43" spans="1:141">
      <c r="A43" s="79" t="s">
        <v>1032</v>
      </c>
      <c r="B43" s="364">
        <v>22</v>
      </c>
      <c r="C43" s="123" t="s">
        <v>2084</v>
      </c>
      <c r="D43" s="124" t="s">
        <v>2338</v>
      </c>
      <c r="E43" s="125">
        <v>2016</v>
      </c>
      <c r="F43" s="79">
        <v>26642920</v>
      </c>
      <c r="G43" s="79">
        <v>1</v>
      </c>
      <c r="H43" s="126">
        <v>1</v>
      </c>
      <c r="I43" s="127"/>
      <c r="J43" s="79">
        <v>1</v>
      </c>
      <c r="K43" s="79"/>
      <c r="L43" s="153">
        <v>1</v>
      </c>
      <c r="M43" s="128">
        <v>2</v>
      </c>
      <c r="N43" s="79" t="s">
        <v>1220</v>
      </c>
      <c r="O43" s="79" t="s">
        <v>1216</v>
      </c>
      <c r="P43" s="79" t="s">
        <v>1389</v>
      </c>
      <c r="Q43" s="79"/>
      <c r="R43" s="79" t="s">
        <v>1488</v>
      </c>
      <c r="S43" s="79"/>
      <c r="T43" s="79"/>
      <c r="U43" s="79" t="s">
        <v>1715</v>
      </c>
      <c r="V43" s="79"/>
      <c r="W43" s="79"/>
      <c r="X43" s="79"/>
      <c r="Y43" s="79"/>
      <c r="Z43" s="79"/>
      <c r="AA43" s="165" t="s">
        <v>3003</v>
      </c>
      <c r="AB43" s="166" t="s">
        <v>3341</v>
      </c>
      <c r="AC43" s="120">
        <v>5</v>
      </c>
      <c r="AD43" s="206"/>
      <c r="AE43" s="192">
        <v>0</v>
      </c>
      <c r="AF43" s="207"/>
      <c r="AG43" s="120"/>
      <c r="AH43" s="120"/>
      <c r="AI43" s="120"/>
      <c r="AJ43" s="120" t="s">
        <v>803</v>
      </c>
      <c r="AK43" s="120" t="s">
        <v>803</v>
      </c>
      <c r="AL43" s="120" t="s">
        <v>2998</v>
      </c>
      <c r="AM43" s="120" t="s">
        <v>24</v>
      </c>
      <c r="AN43" s="120" t="s">
        <v>2998</v>
      </c>
      <c r="AO43" s="120"/>
      <c r="AP43" s="120" t="s">
        <v>3000</v>
      </c>
      <c r="AQ43" s="120">
        <v>1</v>
      </c>
      <c r="AR43" s="120" t="s">
        <v>3330</v>
      </c>
      <c r="AS43" s="120" t="s">
        <v>24</v>
      </c>
      <c r="AT43" s="120" t="s">
        <v>3001</v>
      </c>
      <c r="AU43" s="120"/>
      <c r="AV43" s="156">
        <v>1</v>
      </c>
      <c r="AW43" s="156"/>
      <c r="AX43" s="156"/>
      <c r="AY43" s="156"/>
      <c r="AZ43" s="156"/>
      <c r="BA43" s="156"/>
      <c r="BB43" s="156"/>
      <c r="BC43" s="156"/>
      <c r="BD43" s="157" t="s">
        <v>2999</v>
      </c>
      <c r="BE43" s="134" t="s">
        <v>1876</v>
      </c>
      <c r="BF43" s="134"/>
      <c r="BG43" s="134" t="s">
        <v>3002</v>
      </c>
      <c r="BH43" s="134" t="s">
        <v>2471</v>
      </c>
      <c r="BI43" s="134" t="s">
        <v>2659</v>
      </c>
      <c r="BJ43" s="259"/>
      <c r="BK43" s="138"/>
      <c r="BL43" s="134"/>
      <c r="BM43" s="134"/>
      <c r="BN43" s="134"/>
      <c r="BO43" s="138"/>
      <c r="BP43" s="134"/>
      <c r="BQ43" s="134"/>
      <c r="BR43" s="134"/>
      <c r="BS43" s="288"/>
      <c r="BT43" s="289"/>
      <c r="BU43" s="138"/>
      <c r="BV43" s="134"/>
      <c r="BW43" s="134"/>
      <c r="BX43" s="134"/>
      <c r="BY43" s="138"/>
      <c r="BZ43" s="134"/>
      <c r="CA43" s="134"/>
      <c r="CB43" s="134"/>
      <c r="CC43" s="288"/>
      <c r="CD43" s="289"/>
      <c r="CE43" s="276"/>
      <c r="CF43" s="308"/>
      <c r="CG43" s="138"/>
      <c r="CH43" s="134"/>
      <c r="CI43" s="134"/>
      <c r="CJ43" s="134"/>
      <c r="CK43" s="134"/>
      <c r="CL43" s="134"/>
      <c r="CM43" s="134"/>
      <c r="CN43" s="134"/>
      <c r="CO43" s="300"/>
      <c r="CP43" s="301"/>
      <c r="CQ43" s="134"/>
      <c r="CR43" s="134"/>
      <c r="CS43" s="134"/>
      <c r="CT43" s="134"/>
      <c r="CU43" s="134"/>
      <c r="CV43" s="134"/>
      <c r="CW43" s="134"/>
      <c r="CX43" s="134"/>
      <c r="CY43" s="300"/>
      <c r="CZ43" s="301"/>
      <c r="DA43" s="276"/>
      <c r="DB43" s="277"/>
      <c r="DC43" s="134"/>
      <c r="DD43" s="134"/>
      <c r="DE43" s="134"/>
      <c r="DF43" s="134"/>
      <c r="DG43" s="138"/>
      <c r="DH43" s="134"/>
      <c r="DI43" s="134"/>
      <c r="DJ43" s="134"/>
      <c r="DK43" s="301"/>
      <c r="DL43" s="301"/>
      <c r="DM43" s="134"/>
      <c r="DN43" s="134"/>
      <c r="DO43" s="134"/>
      <c r="DP43" s="134"/>
      <c r="DQ43" s="134"/>
      <c r="DR43" s="134"/>
      <c r="DS43" s="134"/>
      <c r="DT43" s="134"/>
      <c r="DU43" s="301"/>
      <c r="DV43" s="301"/>
      <c r="DW43" s="277"/>
      <c r="DX43" s="134"/>
      <c r="DY43" s="134"/>
      <c r="DZ43" s="134"/>
      <c r="EA43" s="134"/>
      <c r="EB43" s="134"/>
      <c r="EC43" s="134"/>
      <c r="ED43" s="134"/>
      <c r="EE43" s="134"/>
      <c r="EF43" s="301"/>
      <c r="EG43" s="301"/>
      <c r="EH43" s="134"/>
      <c r="EI43" s="134"/>
      <c r="EJ43" s="134"/>
      <c r="EK43" s="134"/>
    </row>
    <row r="44" spans="1:141">
      <c r="A44" s="79" t="s">
        <v>1027</v>
      </c>
      <c r="B44" s="364">
        <v>23</v>
      </c>
      <c r="C44" s="123" t="s">
        <v>2087</v>
      </c>
      <c r="D44" s="124" t="s">
        <v>2342</v>
      </c>
      <c r="E44" s="125">
        <v>2015</v>
      </c>
      <c r="F44" s="79">
        <v>26650043</v>
      </c>
      <c r="G44" s="79">
        <v>1</v>
      </c>
      <c r="H44" s="126">
        <v>1</v>
      </c>
      <c r="I44" s="127"/>
      <c r="J44" s="79">
        <v>1</v>
      </c>
      <c r="K44" s="79"/>
      <c r="L44" s="79">
        <v>1</v>
      </c>
      <c r="M44" s="128">
        <v>2</v>
      </c>
      <c r="N44" s="79" t="s">
        <v>1401</v>
      </c>
      <c r="O44" s="79" t="s">
        <v>1169</v>
      </c>
      <c r="P44" s="79" t="s">
        <v>1127</v>
      </c>
      <c r="Q44" s="79"/>
      <c r="R44" s="79" t="s">
        <v>1487</v>
      </c>
      <c r="S44" s="79"/>
      <c r="T44" s="79"/>
      <c r="U44" s="79" t="s">
        <v>1676</v>
      </c>
      <c r="V44" s="79" t="s">
        <v>1402</v>
      </c>
      <c r="W44" s="79"/>
      <c r="X44" s="79"/>
      <c r="Y44" s="79"/>
      <c r="Z44" s="79"/>
      <c r="AA44" s="154">
        <v>1</v>
      </c>
      <c r="AB44" s="155"/>
      <c r="AC44" s="121">
        <v>4</v>
      </c>
      <c r="AD44" s="202" t="s">
        <v>3030</v>
      </c>
      <c r="AE44" s="192">
        <v>0</v>
      </c>
      <c r="AF44" s="203">
        <v>1</v>
      </c>
      <c r="AG44" s="121" t="s">
        <v>3029</v>
      </c>
      <c r="AH44" s="121" t="s">
        <v>3028</v>
      </c>
      <c r="AI44" s="121" t="s">
        <v>3028</v>
      </c>
      <c r="AJ44" s="121" t="s">
        <v>803</v>
      </c>
      <c r="AK44" s="121" t="s">
        <v>803</v>
      </c>
      <c r="AL44" s="121" t="s">
        <v>24</v>
      </c>
      <c r="AM44" s="121" t="s">
        <v>24</v>
      </c>
      <c r="AN44" s="121" t="s">
        <v>24</v>
      </c>
      <c r="AO44" s="121" t="s">
        <v>24</v>
      </c>
      <c r="AP44" s="121" t="s">
        <v>2963</v>
      </c>
      <c r="AQ44" s="121">
        <v>1</v>
      </c>
      <c r="AR44" s="121">
        <v>1</v>
      </c>
      <c r="AS44" s="121" t="s">
        <v>3004</v>
      </c>
      <c r="AT44" s="121" t="s">
        <v>1130</v>
      </c>
      <c r="AU44" s="121" t="s">
        <v>3005</v>
      </c>
      <c r="AV44" s="156">
        <v>1</v>
      </c>
      <c r="AW44" s="156"/>
      <c r="AX44" s="156"/>
      <c r="AY44" s="156"/>
      <c r="AZ44" s="156"/>
      <c r="BA44" s="156"/>
      <c r="BB44" s="156"/>
      <c r="BC44" s="156"/>
      <c r="BD44" s="157" t="s">
        <v>2999</v>
      </c>
      <c r="BE44" s="134" t="s">
        <v>1876</v>
      </c>
      <c r="BF44" s="134" t="s">
        <v>2942</v>
      </c>
      <c r="BG44" s="134" t="s">
        <v>3006</v>
      </c>
      <c r="BH44" s="134" t="s">
        <v>2606</v>
      </c>
      <c r="BI44" s="134" t="s">
        <v>2659</v>
      </c>
      <c r="BJ44" s="259" t="s">
        <v>3027</v>
      </c>
      <c r="BK44" s="138" t="s">
        <v>3007</v>
      </c>
      <c r="BL44" s="134">
        <v>33.960299999999997</v>
      </c>
      <c r="BM44" s="134" t="s">
        <v>24</v>
      </c>
      <c r="BN44" s="134">
        <f>37.1059-Table664[[#This Row],[Outcome1_M]]</f>
        <v>3.1456000000000017</v>
      </c>
      <c r="BO44" s="138" t="s">
        <v>3008</v>
      </c>
      <c r="BP44" s="134">
        <v>67.106700000000004</v>
      </c>
      <c r="BQ44" s="134" t="s">
        <v>24</v>
      </c>
      <c r="BR44" s="134">
        <f>68.9045-Table664[[#This Row],[Outcome2_M]]</f>
        <v>1.7977999999999952</v>
      </c>
      <c r="BS44" s="288" t="s">
        <v>3015</v>
      </c>
      <c r="BT44" s="293" t="s">
        <v>3019</v>
      </c>
      <c r="BU44" s="138" t="s">
        <v>3009</v>
      </c>
      <c r="BV44" s="134">
        <v>34.791899999999998</v>
      </c>
      <c r="BW44" s="134" t="s">
        <v>24</v>
      </c>
      <c r="BX44" s="134">
        <f>37.1522-Table664[[#This Row],[Outcome3_M]]</f>
        <v>2.3603000000000023</v>
      </c>
      <c r="BY44" s="138" t="s">
        <v>3010</v>
      </c>
      <c r="BZ44" s="134">
        <v>66.252300000000005</v>
      </c>
      <c r="CA44" s="134" t="s">
        <v>24</v>
      </c>
      <c r="CB44" s="134">
        <f>68.2748-Table664[[#This Row],[Outcome4_M]]</f>
        <v>2.0224999999999937</v>
      </c>
      <c r="CC44" s="288" t="s">
        <v>3016</v>
      </c>
      <c r="CD44" s="293" t="s">
        <v>3020</v>
      </c>
      <c r="CE44" s="276" t="s">
        <v>3017</v>
      </c>
      <c r="CF44" s="308" t="s">
        <v>3018</v>
      </c>
      <c r="CG44" s="138" t="s">
        <v>3011</v>
      </c>
      <c r="CH44" s="134">
        <v>33.061500000000002</v>
      </c>
      <c r="CI44" s="134" t="s">
        <v>24</v>
      </c>
      <c r="CJ44" s="134">
        <f>35.3086-Table664[[#This Row],[Outcome5_M]]</f>
        <v>2.2470999999999961</v>
      </c>
      <c r="CK44" s="138" t="s">
        <v>3012</v>
      </c>
      <c r="CL44" s="134">
        <v>64.409400000000005</v>
      </c>
      <c r="CM44" s="134" t="s">
        <v>24</v>
      </c>
      <c r="CN44" s="134">
        <f>68.2296-Table664[[#This Row],[Outcome6_M]]</f>
        <v>3.8201999999999998</v>
      </c>
      <c r="CO44" s="300" t="s">
        <v>3023</v>
      </c>
      <c r="CP44" s="314" t="s">
        <v>3021</v>
      </c>
      <c r="CQ44" s="138" t="s">
        <v>3013</v>
      </c>
      <c r="CR44" s="134">
        <v>37.150399999999998</v>
      </c>
      <c r="CS44" s="134" t="s">
        <v>24</v>
      </c>
      <c r="CT44" s="134">
        <f>40.2965-Table664[[#This Row],[Outcome7_M]]</f>
        <v>3.1461000000000041</v>
      </c>
      <c r="CU44" s="138" t="s">
        <v>3014</v>
      </c>
      <c r="CV44" s="134">
        <v>62.430599999999998</v>
      </c>
      <c r="CW44" s="134" t="s">
        <v>24</v>
      </c>
      <c r="CX44" s="134">
        <f>65.3519-Table664[[#This Row],[Outcome8_M]]</f>
        <v>2.9213000000000022</v>
      </c>
      <c r="CY44" s="300" t="s">
        <v>3024</v>
      </c>
      <c r="CZ44" s="314" t="s">
        <v>3022</v>
      </c>
      <c r="DA44" s="276" t="s">
        <v>3025</v>
      </c>
      <c r="DB44" s="277" t="s">
        <v>3026</v>
      </c>
      <c r="DC44" s="134"/>
      <c r="DD44" s="134"/>
      <c r="DE44" s="134"/>
      <c r="DF44" s="134"/>
      <c r="DG44" s="138"/>
      <c r="DH44" s="134"/>
      <c r="DI44" s="134"/>
      <c r="DJ44" s="134"/>
      <c r="DK44" s="301"/>
      <c r="DL44" s="301"/>
      <c r="DM44" s="134"/>
      <c r="DN44" s="134"/>
      <c r="DO44" s="134"/>
      <c r="DP44" s="134"/>
      <c r="DQ44" s="134"/>
      <c r="DR44" s="134"/>
      <c r="DS44" s="134"/>
      <c r="DT44" s="134"/>
      <c r="DU44" s="301"/>
      <c r="DV44" s="301"/>
      <c r="DW44" s="277"/>
      <c r="DX44" s="134"/>
      <c r="DY44" s="134"/>
      <c r="DZ44" s="134"/>
      <c r="EA44" s="134"/>
      <c r="EB44" s="134"/>
      <c r="EC44" s="134"/>
      <c r="ED44" s="134"/>
      <c r="EE44" s="134"/>
      <c r="EF44" s="301"/>
      <c r="EG44" s="301"/>
      <c r="EH44" s="134"/>
      <c r="EI44" s="134"/>
      <c r="EJ44" s="134"/>
      <c r="EK44" s="134"/>
    </row>
    <row r="45" spans="1:141" s="188" customFormat="1">
      <c r="A45" s="79" t="s">
        <v>1026</v>
      </c>
      <c r="B45" s="364">
        <v>24</v>
      </c>
      <c r="C45" s="180" t="s">
        <v>2088</v>
      </c>
      <c r="D45" s="181" t="s">
        <v>2343</v>
      </c>
      <c r="E45" s="182">
        <v>2012</v>
      </c>
      <c r="F45" s="79">
        <v>22176467</v>
      </c>
      <c r="G45" s="79">
        <v>1</v>
      </c>
      <c r="H45" s="79" t="s">
        <v>1855</v>
      </c>
      <c r="I45" s="79"/>
      <c r="J45" s="79">
        <v>0</v>
      </c>
      <c r="K45" s="79"/>
      <c r="L45" s="153">
        <v>0</v>
      </c>
      <c r="M45" s="128">
        <v>2</v>
      </c>
      <c r="N45" s="79" t="s">
        <v>1404</v>
      </c>
      <c r="O45" s="79" t="s">
        <v>1212</v>
      </c>
      <c r="P45" s="79" t="s">
        <v>1127</v>
      </c>
      <c r="Q45" s="79"/>
      <c r="R45" s="79" t="s">
        <v>1488</v>
      </c>
      <c r="S45" s="79" t="s">
        <v>803</v>
      </c>
      <c r="T45" s="79"/>
      <c r="U45" s="79" t="s">
        <v>1403</v>
      </c>
      <c r="V45" s="79"/>
      <c r="W45" s="79"/>
      <c r="X45" s="79"/>
      <c r="Y45" s="79"/>
      <c r="Z45" s="79"/>
      <c r="AA45" s="230" t="s">
        <v>1917</v>
      </c>
      <c r="AB45" s="231" t="s">
        <v>3333</v>
      </c>
      <c r="AC45" s="187">
        <v>4</v>
      </c>
      <c r="AD45" s="240" t="s">
        <v>3049</v>
      </c>
      <c r="AE45" s="192">
        <v>1</v>
      </c>
      <c r="AF45" s="241">
        <v>0</v>
      </c>
      <c r="AG45" s="187" t="s">
        <v>3047</v>
      </c>
      <c r="AH45" s="187">
        <f>8+8</f>
        <v>16</v>
      </c>
      <c r="AI45" s="187" t="s">
        <v>24</v>
      </c>
      <c r="AJ45" s="187" t="s">
        <v>803</v>
      </c>
      <c r="AK45" s="187" t="s">
        <v>24</v>
      </c>
      <c r="AL45" s="187" t="s">
        <v>3031</v>
      </c>
      <c r="AM45" s="187" t="s">
        <v>24</v>
      </c>
      <c r="AN45" s="187" t="s">
        <v>24</v>
      </c>
      <c r="AO45" s="187" t="s">
        <v>24</v>
      </c>
      <c r="AP45" s="187" t="s">
        <v>3033</v>
      </c>
      <c r="AQ45" s="187">
        <v>1</v>
      </c>
      <c r="AR45" s="187" t="s">
        <v>3331</v>
      </c>
      <c r="AS45" s="187" t="s">
        <v>24</v>
      </c>
      <c r="AT45" s="187" t="s">
        <v>2730</v>
      </c>
      <c r="AU45" s="187" t="s">
        <v>3045</v>
      </c>
      <c r="AV45" s="184">
        <v>1</v>
      </c>
      <c r="AW45" s="184"/>
      <c r="AX45" s="184"/>
      <c r="AY45" s="184"/>
      <c r="AZ45" s="184"/>
      <c r="BA45" s="184"/>
      <c r="BB45" s="184"/>
      <c r="BC45" s="184"/>
      <c r="BD45" s="185" t="s">
        <v>2977</v>
      </c>
      <c r="BE45" s="186" t="s">
        <v>1876</v>
      </c>
      <c r="BF45" s="186" t="s">
        <v>3046</v>
      </c>
      <c r="BG45" s="186" t="s">
        <v>3053</v>
      </c>
      <c r="BH45" s="186" t="s">
        <v>2471</v>
      </c>
      <c r="BI45" s="186" t="s">
        <v>2659</v>
      </c>
      <c r="BJ45" s="261" t="s">
        <v>3094</v>
      </c>
      <c r="BK45" s="267" t="s">
        <v>3084</v>
      </c>
      <c r="BL45" s="186">
        <v>38.994799999999998</v>
      </c>
      <c r="BM45" s="186" t="s">
        <v>24</v>
      </c>
      <c r="BN45" s="186">
        <f>52.4035-Table664[[#This Row],[Outcome1_M]]</f>
        <v>13.408700000000003</v>
      </c>
      <c r="BO45" s="267" t="s">
        <v>3085</v>
      </c>
      <c r="BP45" s="186">
        <v>78.896699999999996</v>
      </c>
      <c r="BQ45" s="186" t="s">
        <v>24</v>
      </c>
      <c r="BR45" s="186">
        <f>86.1664-Table664[[#This Row],[Outcome2_M]]</f>
        <v>7.2697000000000003</v>
      </c>
      <c r="BS45" s="294"/>
      <c r="BT45" s="295"/>
      <c r="BU45" s="267" t="s">
        <v>3086</v>
      </c>
      <c r="BV45" s="271">
        <v>28.292400000000001</v>
      </c>
      <c r="BW45" s="272" t="s">
        <v>24</v>
      </c>
      <c r="BX45" s="271">
        <f>35.3994-Table664[[#This Row],[Outcome3_M]]</f>
        <v>7.1069999999999993</v>
      </c>
      <c r="BY45" s="267" t="s">
        <v>3087</v>
      </c>
      <c r="BZ45" s="186">
        <v>64.316400000000002</v>
      </c>
      <c r="CA45" s="186" t="s">
        <v>24</v>
      </c>
      <c r="CB45" s="186">
        <f>76.5942-Table664[[#This Row],[Outcome4_M]]</f>
        <v>12.277799999999999</v>
      </c>
      <c r="CC45" s="294"/>
      <c r="CD45" s="295"/>
      <c r="CE45" s="280"/>
      <c r="CF45" s="310"/>
      <c r="CG45" s="267" t="s">
        <v>3088</v>
      </c>
      <c r="CH45" s="271">
        <v>28.090699999999998</v>
      </c>
      <c r="CI45" s="272" t="s">
        <v>24</v>
      </c>
      <c r="CJ45" s="271">
        <f>33.2597-Table664[[#This Row],[Outcome5_M]]</f>
        <v>5.169000000000004</v>
      </c>
      <c r="CK45" s="267" t="s">
        <v>3089</v>
      </c>
      <c r="CL45" s="186">
        <v>58.301400000000001</v>
      </c>
      <c r="CM45" s="186" t="s">
        <v>24</v>
      </c>
      <c r="CN45" s="186">
        <f>69.7702-Table664[[#This Row],[Outcome6_M]]</f>
        <v>11.468800000000002</v>
      </c>
      <c r="CO45" s="305"/>
      <c r="CP45" s="315"/>
      <c r="CQ45" s="267" t="s">
        <v>3090</v>
      </c>
      <c r="CR45" s="271">
        <v>13.6714</v>
      </c>
      <c r="CS45" s="272" t="s">
        <v>24</v>
      </c>
      <c r="CT45" s="271">
        <f>17.5486-Table664[[#This Row],[Outcome7_M]]</f>
        <v>3.8772000000000002</v>
      </c>
      <c r="CU45" s="267" t="s">
        <v>3091</v>
      </c>
      <c r="CV45" s="186">
        <v>44.365499999999997</v>
      </c>
      <c r="CW45" s="186" t="s">
        <v>24</v>
      </c>
      <c r="CX45" s="186">
        <f>54.8663-Table664[[#This Row],[Outcome8_M]]</f>
        <v>10.500800000000005</v>
      </c>
      <c r="CY45" s="305"/>
      <c r="CZ45" s="315"/>
      <c r="DA45" s="280"/>
      <c r="DB45" s="281"/>
      <c r="DC45" s="267" t="s">
        <v>3092</v>
      </c>
      <c r="DD45" s="271">
        <v>9.4297699999999995</v>
      </c>
      <c r="DE45" s="272" t="s">
        <v>24</v>
      </c>
      <c r="DF45" s="271">
        <f>10.7234-Table664[[#This Row],[Outcome9_M]]</f>
        <v>1.2936300000000003</v>
      </c>
      <c r="DG45" s="267" t="s">
        <v>3093</v>
      </c>
      <c r="DH45" s="186">
        <v>29.9467</v>
      </c>
      <c r="DI45" s="186" t="s">
        <v>24</v>
      </c>
      <c r="DJ45" s="186">
        <f>39.8019-Table664[[#This Row],[Outcome10_M]]</f>
        <v>9.8552000000000035</v>
      </c>
      <c r="DK45" s="315"/>
      <c r="DL45" s="315"/>
      <c r="DM45" s="186" t="s">
        <v>24</v>
      </c>
      <c r="DN45" s="186"/>
      <c r="DO45" s="186"/>
      <c r="DP45" s="186"/>
      <c r="DQ45" s="186"/>
      <c r="DR45" s="186"/>
      <c r="DS45" s="186"/>
      <c r="DT45" s="186"/>
      <c r="DU45" s="315"/>
      <c r="DV45" s="315"/>
      <c r="DW45" s="281"/>
      <c r="DX45" s="186"/>
      <c r="DY45" s="186"/>
      <c r="DZ45" s="186"/>
      <c r="EA45" s="186"/>
      <c r="EB45" s="186"/>
      <c r="EC45" s="186"/>
      <c r="ED45" s="186"/>
      <c r="EE45" s="186"/>
      <c r="EF45" s="315"/>
      <c r="EG45" s="315"/>
      <c r="EH45" s="186"/>
      <c r="EI45" s="186"/>
      <c r="EJ45" s="186"/>
      <c r="EK45" s="186"/>
    </row>
    <row r="46" spans="1:141" s="119" customFormat="1">
      <c r="A46" s="118" t="s">
        <v>1026</v>
      </c>
      <c r="B46" s="364">
        <v>24</v>
      </c>
      <c r="C46" s="139" t="s">
        <v>2088</v>
      </c>
      <c r="D46" s="140" t="s">
        <v>2343</v>
      </c>
      <c r="E46" s="141">
        <v>2012</v>
      </c>
      <c r="F46" s="118">
        <v>22176467</v>
      </c>
      <c r="G46" s="118">
        <v>1</v>
      </c>
      <c r="H46" s="118" t="s">
        <v>1855</v>
      </c>
      <c r="I46" s="118"/>
      <c r="J46" s="118">
        <v>0</v>
      </c>
      <c r="K46" s="118"/>
      <c r="L46" s="158">
        <v>0</v>
      </c>
      <c r="M46" s="142">
        <v>2</v>
      </c>
      <c r="N46" s="118" t="s">
        <v>1404</v>
      </c>
      <c r="O46" s="118" t="s">
        <v>1212</v>
      </c>
      <c r="P46" s="118" t="s">
        <v>1127</v>
      </c>
      <c r="Q46" s="118"/>
      <c r="R46" s="118" t="s">
        <v>1488</v>
      </c>
      <c r="S46" s="118" t="s">
        <v>803</v>
      </c>
      <c r="T46" s="118"/>
      <c r="U46" s="118" t="s">
        <v>1403</v>
      </c>
      <c r="V46" s="118"/>
      <c r="W46" s="118"/>
      <c r="X46" s="118"/>
      <c r="Y46" s="118"/>
      <c r="Z46" s="118"/>
      <c r="AA46" s="230" t="s">
        <v>1917</v>
      </c>
      <c r="AB46" s="231" t="s">
        <v>3333</v>
      </c>
      <c r="AC46" s="152">
        <v>4</v>
      </c>
      <c r="AD46" s="242" t="s">
        <v>3050</v>
      </c>
      <c r="AE46" s="192">
        <v>1</v>
      </c>
      <c r="AF46" s="243">
        <v>0</v>
      </c>
      <c r="AG46" s="152">
        <f>Table664[[#This Row],[Subjects_n_ptsd]]+Table664[[#This Row],[Subjects_n_control]]</f>
        <v>15</v>
      </c>
      <c r="AH46" s="152">
        <v>7</v>
      </c>
      <c r="AI46" s="152">
        <v>8</v>
      </c>
      <c r="AJ46" s="152" t="s">
        <v>803</v>
      </c>
      <c r="AK46" s="152" t="s">
        <v>803</v>
      </c>
      <c r="AL46" s="152" t="s">
        <v>3031</v>
      </c>
      <c r="AM46" s="152" t="s">
        <v>24</v>
      </c>
      <c r="AN46" s="152" t="s">
        <v>3031</v>
      </c>
      <c r="AO46" s="152" t="s">
        <v>24</v>
      </c>
      <c r="AP46" s="152" t="s">
        <v>3033</v>
      </c>
      <c r="AQ46" s="152">
        <v>1</v>
      </c>
      <c r="AR46" s="187" t="s">
        <v>3331</v>
      </c>
      <c r="AS46" s="152" t="s">
        <v>3032</v>
      </c>
      <c r="AT46" s="152" t="s">
        <v>2730</v>
      </c>
      <c r="AU46" s="152" t="s">
        <v>2554</v>
      </c>
      <c r="AV46" s="161">
        <v>1</v>
      </c>
      <c r="AW46" s="161"/>
      <c r="AX46" s="161"/>
      <c r="AY46" s="161"/>
      <c r="AZ46" s="161"/>
      <c r="BA46" s="161"/>
      <c r="BB46" s="161"/>
      <c r="BC46" s="161"/>
      <c r="BD46" s="162" t="s">
        <v>3039</v>
      </c>
      <c r="BE46" s="150" t="s">
        <v>1876</v>
      </c>
      <c r="BF46" s="150" t="s">
        <v>3041</v>
      </c>
      <c r="BG46" s="150" t="s">
        <v>3034</v>
      </c>
      <c r="BH46" s="150" t="s">
        <v>2471</v>
      </c>
      <c r="BI46" s="150" t="s">
        <v>2659</v>
      </c>
      <c r="BJ46" s="258" t="s">
        <v>3065</v>
      </c>
      <c r="BK46" s="151" t="s">
        <v>3057</v>
      </c>
      <c r="BL46" s="266">
        <v>0.51838200000000001</v>
      </c>
      <c r="BM46" s="228" t="s">
        <v>24</v>
      </c>
      <c r="BN46" s="266">
        <f>1.01811-Table664[[#This Row],[Outcome1_M]]</f>
        <v>0.49972800000000006</v>
      </c>
      <c r="BO46" s="151" t="s">
        <v>3058</v>
      </c>
      <c r="BP46" s="150">
        <v>11.914</v>
      </c>
      <c r="BQ46" s="150" t="s">
        <v>24</v>
      </c>
      <c r="BR46" s="150">
        <f>15.7476-Table664[[#This Row],[Outcome2_M]]</f>
        <v>3.8336000000000006</v>
      </c>
      <c r="BS46" s="290" t="s">
        <v>3059</v>
      </c>
      <c r="BT46" s="291" t="s">
        <v>3060</v>
      </c>
      <c r="BU46" s="151" t="s">
        <v>3035</v>
      </c>
      <c r="BV46" s="150">
        <v>26.8781</v>
      </c>
      <c r="BW46" s="150" t="s">
        <v>24</v>
      </c>
      <c r="BX46" s="150">
        <f>33.2117-Table664[[#This Row],[Outcome3_M]]</f>
        <v>6.3336000000000006</v>
      </c>
      <c r="BY46" s="151" t="s">
        <v>3036</v>
      </c>
      <c r="BZ46" s="150">
        <v>87.4405</v>
      </c>
      <c r="CA46" s="150" t="s">
        <v>24</v>
      </c>
      <c r="CB46" s="150">
        <f>89.1072-Table664[[#This Row],[Outcome4_M]]</f>
        <v>1.6667000000000058</v>
      </c>
      <c r="CC46" s="290" t="s">
        <v>3061</v>
      </c>
      <c r="CD46" s="291" t="s">
        <v>3062</v>
      </c>
      <c r="CE46" s="278" t="s">
        <v>3064</v>
      </c>
      <c r="CF46" s="285"/>
      <c r="CG46" s="151" t="s">
        <v>3038</v>
      </c>
      <c r="CH46" s="150">
        <v>22.278099999999998</v>
      </c>
      <c r="CI46" s="150" t="s">
        <v>24</v>
      </c>
      <c r="CJ46" s="150">
        <f>30.1733-Table664[[#This Row],[Outcome5_M]]</f>
        <v>7.8952000000000027</v>
      </c>
      <c r="CK46" s="151" t="s">
        <v>3037</v>
      </c>
      <c r="CL46" s="150">
        <v>83.581699999999998</v>
      </c>
      <c r="CM46" s="150" t="s">
        <v>24</v>
      </c>
      <c r="CN46" s="150">
        <f>87.1702-Table664[[#This Row],[Outcome6_M]]</f>
        <v>3.5884999999999962</v>
      </c>
      <c r="CO46" s="302" t="s">
        <v>3063</v>
      </c>
      <c r="CP46" s="303" t="s">
        <v>3060</v>
      </c>
      <c r="CQ46" s="150" t="s">
        <v>24</v>
      </c>
      <c r="CR46" s="150" t="s">
        <v>24</v>
      </c>
      <c r="CS46" s="150" t="s">
        <v>24</v>
      </c>
      <c r="CT46" s="150" t="s">
        <v>24</v>
      </c>
      <c r="CU46" s="150"/>
      <c r="CV46" s="150"/>
      <c r="CW46" s="150"/>
      <c r="CX46" s="150"/>
      <c r="CY46" s="302"/>
      <c r="CZ46" s="303"/>
      <c r="DA46" s="278"/>
      <c r="DB46" s="279"/>
      <c r="DC46" s="150"/>
      <c r="DD46" s="150"/>
      <c r="DE46" s="150"/>
      <c r="DF46" s="150"/>
      <c r="DG46" s="151"/>
      <c r="DH46" s="150"/>
      <c r="DI46" s="150"/>
      <c r="DJ46" s="150"/>
      <c r="DK46" s="303"/>
      <c r="DL46" s="303"/>
      <c r="DM46" s="150"/>
      <c r="DN46" s="150"/>
      <c r="DO46" s="150"/>
      <c r="DP46" s="150"/>
      <c r="DQ46" s="150"/>
      <c r="DR46" s="150"/>
      <c r="DS46" s="150"/>
      <c r="DT46" s="150"/>
      <c r="DU46" s="303"/>
      <c r="DV46" s="303"/>
      <c r="DW46" s="279"/>
      <c r="DX46" s="150"/>
      <c r="DY46" s="150"/>
      <c r="DZ46" s="150"/>
      <c r="EA46" s="150"/>
      <c r="EB46" s="150"/>
      <c r="EC46" s="150"/>
      <c r="ED46" s="150"/>
      <c r="EE46" s="150"/>
      <c r="EF46" s="303"/>
      <c r="EG46" s="303"/>
      <c r="EH46" s="150"/>
      <c r="EI46" s="150"/>
      <c r="EJ46" s="150"/>
      <c r="EK46" s="150"/>
    </row>
    <row r="47" spans="1:141" s="119" customFormat="1">
      <c r="A47" s="118" t="s">
        <v>1026</v>
      </c>
      <c r="B47" s="364">
        <v>24</v>
      </c>
      <c r="C47" s="139" t="s">
        <v>2088</v>
      </c>
      <c r="D47" s="140" t="s">
        <v>2343</v>
      </c>
      <c r="E47" s="141">
        <v>2012</v>
      </c>
      <c r="F47" s="118">
        <v>22176467</v>
      </c>
      <c r="G47" s="118">
        <v>1</v>
      </c>
      <c r="H47" s="118" t="s">
        <v>1855</v>
      </c>
      <c r="I47" s="118"/>
      <c r="J47" s="118">
        <v>0</v>
      </c>
      <c r="K47" s="118"/>
      <c r="L47" s="158">
        <v>0</v>
      </c>
      <c r="M47" s="142">
        <v>2</v>
      </c>
      <c r="N47" s="118" t="s">
        <v>1404</v>
      </c>
      <c r="O47" s="118" t="s">
        <v>1212</v>
      </c>
      <c r="P47" s="118" t="s">
        <v>1127</v>
      </c>
      <c r="Q47" s="118"/>
      <c r="R47" s="118" t="s">
        <v>1488</v>
      </c>
      <c r="S47" s="118" t="s">
        <v>803</v>
      </c>
      <c r="T47" s="118"/>
      <c r="U47" s="118" t="s">
        <v>1403</v>
      </c>
      <c r="V47" s="118"/>
      <c r="W47" s="118"/>
      <c r="X47" s="118"/>
      <c r="Y47" s="118"/>
      <c r="Z47" s="118"/>
      <c r="AA47" s="230" t="s">
        <v>1917</v>
      </c>
      <c r="AB47" s="231" t="s">
        <v>3333</v>
      </c>
      <c r="AC47" s="152">
        <v>4</v>
      </c>
      <c r="AD47" s="242" t="s">
        <v>3050</v>
      </c>
      <c r="AE47" s="192">
        <v>1</v>
      </c>
      <c r="AF47" s="243">
        <v>0</v>
      </c>
      <c r="AG47" s="152">
        <f>Table664[[#This Row],[Subjects_n_ptsd]]+Table664[[#This Row],[Subjects_n_control]]</f>
        <v>15</v>
      </c>
      <c r="AH47" s="152">
        <v>7</v>
      </c>
      <c r="AI47" s="152">
        <v>8</v>
      </c>
      <c r="AJ47" s="152" t="s">
        <v>803</v>
      </c>
      <c r="AK47" s="152" t="s">
        <v>803</v>
      </c>
      <c r="AL47" s="152" t="s">
        <v>3031</v>
      </c>
      <c r="AM47" s="152" t="s">
        <v>24</v>
      </c>
      <c r="AN47" s="152" t="s">
        <v>3031</v>
      </c>
      <c r="AO47" s="152" t="s">
        <v>24</v>
      </c>
      <c r="AP47" s="152" t="s">
        <v>3033</v>
      </c>
      <c r="AQ47" s="152">
        <v>1</v>
      </c>
      <c r="AR47" s="187" t="s">
        <v>3331</v>
      </c>
      <c r="AS47" s="152" t="s">
        <v>3032</v>
      </c>
      <c r="AT47" s="152" t="s">
        <v>2730</v>
      </c>
      <c r="AU47" s="152" t="s">
        <v>2554</v>
      </c>
      <c r="AV47" s="161">
        <v>1</v>
      </c>
      <c r="AW47" s="161"/>
      <c r="AX47" s="161"/>
      <c r="AY47" s="161"/>
      <c r="AZ47" s="161"/>
      <c r="BA47" s="161"/>
      <c r="BB47" s="161"/>
      <c r="BC47" s="161"/>
      <c r="BD47" s="162" t="s">
        <v>3040</v>
      </c>
      <c r="BE47" s="150" t="s">
        <v>1876</v>
      </c>
      <c r="BF47" s="150" t="s">
        <v>3041</v>
      </c>
      <c r="BG47" s="150" t="s">
        <v>3042</v>
      </c>
      <c r="BH47" s="150" t="s">
        <v>2471</v>
      </c>
      <c r="BI47" s="150" t="s">
        <v>2659</v>
      </c>
      <c r="BJ47" s="258" t="s">
        <v>3073</v>
      </c>
      <c r="BK47" s="151" t="s">
        <v>3066</v>
      </c>
      <c r="BL47" s="150">
        <v>19.359400000000001</v>
      </c>
      <c r="BM47" s="150" t="s">
        <v>24</v>
      </c>
      <c r="BN47" s="150">
        <f>26.9314-Table664[[#This Row],[Outcome1_M]]</f>
        <v>7.5719999999999992</v>
      </c>
      <c r="BO47" s="151" t="s">
        <v>3067</v>
      </c>
      <c r="BP47" s="150">
        <v>79.832700000000003</v>
      </c>
      <c r="BQ47" s="150" t="s">
        <v>24</v>
      </c>
      <c r="BR47" s="150">
        <f>90.6966-Table664[[#This Row],[Outcome2_M]]</f>
        <v>10.863900000000001</v>
      </c>
      <c r="BS47" s="290" t="s">
        <v>3070</v>
      </c>
      <c r="BT47" s="291" t="s">
        <v>2555</v>
      </c>
      <c r="BU47" s="151" t="s">
        <v>3068</v>
      </c>
      <c r="BV47" s="150">
        <v>4.7354900000000004</v>
      </c>
      <c r="BW47" s="150" t="s">
        <v>24</v>
      </c>
      <c r="BX47" s="150">
        <f>7.2049-Table664[[#This Row],[Outcome3_M]]</f>
        <v>2.4694099999999999</v>
      </c>
      <c r="BY47" s="151" t="s">
        <v>3069</v>
      </c>
      <c r="BZ47" s="150">
        <v>70.147000000000006</v>
      </c>
      <c r="CA47" s="150" t="s">
        <v>24</v>
      </c>
      <c r="CB47" s="150">
        <f>74.7563-Table664[[#This Row],[Outcome4_M]]</f>
        <v>4.6092999999999904</v>
      </c>
      <c r="CC47" s="290" t="s">
        <v>3071</v>
      </c>
      <c r="CD47" s="291" t="s">
        <v>3060</v>
      </c>
      <c r="CE47" s="278" t="s">
        <v>3072</v>
      </c>
      <c r="CF47" s="285"/>
      <c r="CG47" s="151" t="s">
        <v>24</v>
      </c>
      <c r="CH47" s="150" t="s">
        <v>24</v>
      </c>
      <c r="CI47" s="150" t="s">
        <v>24</v>
      </c>
      <c r="CJ47" s="150" t="s">
        <v>24</v>
      </c>
      <c r="CK47" s="150"/>
      <c r="CL47" s="150"/>
      <c r="CM47" s="150"/>
      <c r="CN47" s="150"/>
      <c r="CO47" s="302"/>
      <c r="CP47" s="303"/>
      <c r="CQ47" s="150"/>
      <c r="CR47" s="150"/>
      <c r="CS47" s="150"/>
      <c r="CT47" s="150"/>
      <c r="CU47" s="150"/>
      <c r="CV47" s="150"/>
      <c r="CW47" s="150"/>
      <c r="CX47" s="150"/>
      <c r="CY47" s="302"/>
      <c r="CZ47" s="303"/>
      <c r="DA47" s="278"/>
      <c r="DB47" s="279"/>
      <c r="DC47" s="150"/>
      <c r="DD47" s="150"/>
      <c r="DE47" s="150"/>
      <c r="DF47" s="150"/>
      <c r="DG47" s="151"/>
      <c r="DH47" s="150"/>
      <c r="DI47" s="150"/>
      <c r="DJ47" s="150"/>
      <c r="DK47" s="303"/>
      <c r="DL47" s="303"/>
      <c r="DM47" s="150"/>
      <c r="DN47" s="150"/>
      <c r="DO47" s="150"/>
      <c r="DP47" s="150"/>
      <c r="DQ47" s="150"/>
      <c r="DR47" s="150"/>
      <c r="DS47" s="150"/>
      <c r="DT47" s="150"/>
      <c r="DU47" s="303"/>
      <c r="DV47" s="303"/>
      <c r="DW47" s="279"/>
      <c r="DX47" s="150"/>
      <c r="DY47" s="150"/>
      <c r="DZ47" s="150"/>
      <c r="EA47" s="150"/>
      <c r="EB47" s="150"/>
      <c r="EC47" s="150"/>
      <c r="ED47" s="150"/>
      <c r="EE47" s="150"/>
      <c r="EF47" s="303"/>
      <c r="EG47" s="303"/>
      <c r="EH47" s="150"/>
      <c r="EI47" s="150"/>
      <c r="EJ47" s="150"/>
      <c r="EK47" s="150"/>
    </row>
    <row r="48" spans="1:141" s="119" customFormat="1">
      <c r="A48" s="118" t="s">
        <v>1026</v>
      </c>
      <c r="B48" s="364">
        <v>24</v>
      </c>
      <c r="C48" s="139" t="s">
        <v>2088</v>
      </c>
      <c r="D48" s="140" t="s">
        <v>2343</v>
      </c>
      <c r="E48" s="141">
        <v>2012</v>
      </c>
      <c r="F48" s="118">
        <v>22176467</v>
      </c>
      <c r="G48" s="118">
        <v>1</v>
      </c>
      <c r="H48" s="118" t="s">
        <v>1855</v>
      </c>
      <c r="I48" s="118"/>
      <c r="J48" s="118">
        <v>0</v>
      </c>
      <c r="K48" s="118"/>
      <c r="L48" s="158">
        <v>0</v>
      </c>
      <c r="M48" s="142">
        <v>2</v>
      </c>
      <c r="N48" s="118" t="s">
        <v>1404</v>
      </c>
      <c r="O48" s="118" t="s">
        <v>1212</v>
      </c>
      <c r="P48" s="118" t="s">
        <v>1127</v>
      </c>
      <c r="Q48" s="118"/>
      <c r="R48" s="118" t="s">
        <v>1488</v>
      </c>
      <c r="S48" s="118" t="s">
        <v>803</v>
      </c>
      <c r="T48" s="118"/>
      <c r="U48" s="118" t="s">
        <v>1403</v>
      </c>
      <c r="V48" s="118"/>
      <c r="W48" s="118"/>
      <c r="X48" s="118"/>
      <c r="Y48" s="118"/>
      <c r="Z48" s="118"/>
      <c r="AA48" s="230" t="s">
        <v>1917</v>
      </c>
      <c r="AB48" s="231" t="s">
        <v>3334</v>
      </c>
      <c r="AC48" s="152">
        <v>4</v>
      </c>
      <c r="AD48" s="242" t="s">
        <v>3051</v>
      </c>
      <c r="AE48" s="192">
        <v>1</v>
      </c>
      <c r="AF48" s="243">
        <v>0</v>
      </c>
      <c r="AG48" s="152" t="s">
        <v>3048</v>
      </c>
      <c r="AH48" s="152">
        <f>12+12</f>
        <v>24</v>
      </c>
      <c r="AI48" s="152" t="s">
        <v>24</v>
      </c>
      <c r="AJ48" s="152" t="s">
        <v>803</v>
      </c>
      <c r="AK48" s="152" t="s">
        <v>24</v>
      </c>
      <c r="AL48" s="152" t="s">
        <v>3031</v>
      </c>
      <c r="AM48" s="152" t="s">
        <v>24</v>
      </c>
      <c r="AN48" s="152" t="s">
        <v>24</v>
      </c>
      <c r="AO48" s="152" t="s">
        <v>24</v>
      </c>
      <c r="AP48" s="152" t="s">
        <v>3033</v>
      </c>
      <c r="AQ48" s="152">
        <v>1</v>
      </c>
      <c r="AR48" s="187" t="s">
        <v>3331</v>
      </c>
      <c r="AS48" s="152" t="s">
        <v>24</v>
      </c>
      <c r="AT48" s="152" t="s">
        <v>2730</v>
      </c>
      <c r="AU48" s="152" t="s">
        <v>3045</v>
      </c>
      <c r="AV48" s="161">
        <v>1</v>
      </c>
      <c r="AW48" s="161"/>
      <c r="AX48" s="161"/>
      <c r="AY48" s="161"/>
      <c r="AZ48" s="161"/>
      <c r="BA48" s="161"/>
      <c r="BB48" s="161"/>
      <c r="BC48" s="161"/>
      <c r="BD48" s="162" t="s">
        <v>2977</v>
      </c>
      <c r="BE48" s="150" t="s">
        <v>1876</v>
      </c>
      <c r="BF48" s="150" t="s">
        <v>3046</v>
      </c>
      <c r="BG48" s="150" t="s">
        <v>3054</v>
      </c>
      <c r="BH48" s="150" t="s">
        <v>2471</v>
      </c>
      <c r="BI48" s="150" t="s">
        <v>2659</v>
      </c>
      <c r="BJ48" s="258" t="s">
        <v>3094</v>
      </c>
      <c r="BK48" s="151" t="s">
        <v>3084</v>
      </c>
      <c r="BL48" s="150">
        <v>66.630300000000005</v>
      </c>
      <c r="BM48" s="150" t="s">
        <v>24</v>
      </c>
      <c r="BN48" s="150">
        <f>73.4839-Table664[[#This Row],[Outcome1_M]]</f>
        <v>6.8536000000000001</v>
      </c>
      <c r="BO48" s="151" t="s">
        <v>3085</v>
      </c>
      <c r="BP48" s="150">
        <v>82.447500000000005</v>
      </c>
      <c r="BQ48" s="150" t="s">
        <v>24</v>
      </c>
      <c r="BR48" s="150">
        <f>85.7864-Table664[[#This Row],[Outcome2_M]]</f>
        <v>3.3388999999999953</v>
      </c>
      <c r="BS48" s="290"/>
      <c r="BT48" s="291"/>
      <c r="BU48" s="151" t="s">
        <v>3086</v>
      </c>
      <c r="BV48" s="266">
        <v>45.409599999999998</v>
      </c>
      <c r="BW48" s="228" t="s">
        <v>24</v>
      </c>
      <c r="BX48" s="266">
        <f>52.4392-Table664[[#This Row],[Outcome3_M]]</f>
        <v>7.0296000000000021</v>
      </c>
      <c r="BY48" s="151" t="s">
        <v>3087</v>
      </c>
      <c r="BZ48" s="150">
        <v>78.800899999999999</v>
      </c>
      <c r="CA48" s="150" t="s">
        <v>24</v>
      </c>
      <c r="CB48" s="150">
        <f>84.952-Table664[[#This Row],[Outcome4_M]]</f>
        <v>6.1510999999999996</v>
      </c>
      <c r="CC48" s="290"/>
      <c r="CD48" s="291"/>
      <c r="CE48" s="278"/>
      <c r="CF48" s="285"/>
      <c r="CG48" s="151" t="s">
        <v>3088</v>
      </c>
      <c r="CH48" s="266">
        <v>35.787599999999998</v>
      </c>
      <c r="CI48" s="228" t="s">
        <v>24</v>
      </c>
      <c r="CJ48" s="266">
        <f>40.1812-Table664[[#This Row],[Outcome5_M]]</f>
        <v>4.3935999999999993</v>
      </c>
      <c r="CK48" s="151" t="s">
        <v>3089</v>
      </c>
      <c r="CL48" s="150">
        <v>60.216299999999997</v>
      </c>
      <c r="CM48" s="150" t="s">
        <v>24</v>
      </c>
      <c r="CN48" s="150">
        <f>69.7061-Table664[[#This Row],[Outcome6_M]]</f>
        <v>9.4898000000000096</v>
      </c>
      <c r="CO48" s="302"/>
      <c r="CP48" s="303"/>
      <c r="CQ48" s="151" t="s">
        <v>3090</v>
      </c>
      <c r="CR48" s="266">
        <v>21.069199999999999</v>
      </c>
      <c r="CS48" s="228" t="s">
        <v>24</v>
      </c>
      <c r="CT48" s="266">
        <f>23.7051-Table664[[#This Row],[Outcome7_M]]</f>
        <v>2.635900000000003</v>
      </c>
      <c r="CU48" s="151" t="s">
        <v>3091</v>
      </c>
      <c r="CV48" s="150">
        <v>41.104300000000002</v>
      </c>
      <c r="CW48" s="150" t="s">
        <v>24</v>
      </c>
      <c r="CX48" s="150">
        <f>47.2554-Table664[[#This Row],[Outcome8_M]]</f>
        <v>6.1510999999999996</v>
      </c>
      <c r="CY48" s="302"/>
      <c r="CZ48" s="303"/>
      <c r="DA48" s="278"/>
      <c r="DB48" s="279"/>
      <c r="DC48" s="151" t="s">
        <v>3092</v>
      </c>
      <c r="DD48" s="266">
        <v>17.775300000000001</v>
      </c>
      <c r="DE48" s="228" t="s">
        <v>24</v>
      </c>
      <c r="DF48" s="266">
        <f>20.7625-Table664[[#This Row],[Outcome9_M]]</f>
        <v>2.9871999999999979</v>
      </c>
      <c r="DG48" s="151" t="s">
        <v>3093</v>
      </c>
      <c r="DH48" s="150">
        <v>24.804400000000001</v>
      </c>
      <c r="DI48" s="150" t="s">
        <v>24</v>
      </c>
      <c r="DJ48" s="150">
        <f>28.4951-Table664[[#This Row],[Outcome10_M]]</f>
        <v>3.6906999999999996</v>
      </c>
      <c r="DK48" s="303"/>
      <c r="DL48" s="303"/>
      <c r="DM48" s="150" t="s">
        <v>24</v>
      </c>
      <c r="DN48" s="150"/>
      <c r="DO48" s="150"/>
      <c r="DP48" s="150"/>
      <c r="DQ48" s="150"/>
      <c r="DR48" s="150"/>
      <c r="DS48" s="150"/>
      <c r="DT48" s="150"/>
      <c r="DU48" s="303"/>
      <c r="DV48" s="303"/>
      <c r="DW48" s="279"/>
      <c r="DX48" s="150"/>
      <c r="DY48" s="150"/>
      <c r="DZ48" s="150"/>
      <c r="EA48" s="150"/>
      <c r="EB48" s="150"/>
      <c r="EC48" s="150"/>
      <c r="ED48" s="150"/>
      <c r="EE48" s="150"/>
      <c r="EF48" s="303"/>
      <c r="EG48" s="303"/>
      <c r="EH48" s="150"/>
      <c r="EI48" s="150"/>
      <c r="EJ48" s="150"/>
      <c r="EK48" s="150"/>
    </row>
    <row r="49" spans="1:141" s="119" customFormat="1">
      <c r="A49" s="118" t="s">
        <v>1026</v>
      </c>
      <c r="B49" s="364">
        <v>24</v>
      </c>
      <c r="C49" s="139" t="s">
        <v>2088</v>
      </c>
      <c r="D49" s="140" t="s">
        <v>2343</v>
      </c>
      <c r="E49" s="141">
        <v>2012</v>
      </c>
      <c r="F49" s="118">
        <v>22176467</v>
      </c>
      <c r="G49" s="118">
        <v>1</v>
      </c>
      <c r="H49" s="118" t="s">
        <v>1855</v>
      </c>
      <c r="I49" s="118"/>
      <c r="J49" s="118">
        <v>0</v>
      </c>
      <c r="K49" s="118"/>
      <c r="L49" s="158">
        <v>0</v>
      </c>
      <c r="M49" s="142">
        <v>2</v>
      </c>
      <c r="N49" s="118" t="s">
        <v>1404</v>
      </c>
      <c r="O49" s="118" t="s">
        <v>1212</v>
      </c>
      <c r="P49" s="118" t="s">
        <v>1127</v>
      </c>
      <c r="Q49" s="118"/>
      <c r="R49" s="118" t="s">
        <v>1488</v>
      </c>
      <c r="S49" s="118" t="s">
        <v>803</v>
      </c>
      <c r="T49" s="118"/>
      <c r="U49" s="118" t="s">
        <v>1403</v>
      </c>
      <c r="V49" s="118"/>
      <c r="W49" s="118"/>
      <c r="X49" s="118"/>
      <c r="Y49" s="118"/>
      <c r="Z49" s="118"/>
      <c r="AA49" s="230" t="s">
        <v>1917</v>
      </c>
      <c r="AB49" s="231" t="s">
        <v>3334</v>
      </c>
      <c r="AC49" s="152">
        <v>4</v>
      </c>
      <c r="AD49" s="242" t="s">
        <v>3052</v>
      </c>
      <c r="AE49" s="192">
        <v>1</v>
      </c>
      <c r="AF49" s="243">
        <v>0</v>
      </c>
      <c r="AG49" s="152">
        <f>Table664[[#This Row],[Subjects_n_ptsd]]+Table664[[#This Row],[Subjects_n_control]]</f>
        <v>24</v>
      </c>
      <c r="AH49" s="152">
        <v>12</v>
      </c>
      <c r="AI49" s="152">
        <v>12</v>
      </c>
      <c r="AJ49" s="152" t="s">
        <v>803</v>
      </c>
      <c r="AK49" s="152" t="s">
        <v>803</v>
      </c>
      <c r="AL49" s="152" t="s">
        <v>3031</v>
      </c>
      <c r="AM49" s="152" t="s">
        <v>24</v>
      </c>
      <c r="AN49" s="152" t="s">
        <v>3031</v>
      </c>
      <c r="AO49" s="152" t="s">
        <v>24</v>
      </c>
      <c r="AP49" s="152" t="s">
        <v>3033</v>
      </c>
      <c r="AQ49" s="152">
        <v>1</v>
      </c>
      <c r="AR49" s="187" t="s">
        <v>3331</v>
      </c>
      <c r="AS49" s="152" t="s">
        <v>3032</v>
      </c>
      <c r="AT49" s="152" t="s">
        <v>2730</v>
      </c>
      <c r="AU49" s="152" t="s">
        <v>2554</v>
      </c>
      <c r="AV49" s="161">
        <v>1</v>
      </c>
      <c r="AW49" s="161"/>
      <c r="AX49" s="161"/>
      <c r="AY49" s="161"/>
      <c r="AZ49" s="161"/>
      <c r="BA49" s="161"/>
      <c r="BB49" s="161"/>
      <c r="BC49" s="161"/>
      <c r="BD49" s="162" t="s">
        <v>3044</v>
      </c>
      <c r="BE49" s="150" t="s">
        <v>1876</v>
      </c>
      <c r="BF49" s="150" t="s">
        <v>3041</v>
      </c>
      <c r="BG49" s="150" t="s">
        <v>3055</v>
      </c>
      <c r="BH49" s="150" t="s">
        <v>2471</v>
      </c>
      <c r="BI49" s="150" t="s">
        <v>2659</v>
      </c>
      <c r="BJ49" s="258" t="s">
        <v>3077</v>
      </c>
      <c r="BK49" s="151" t="s">
        <v>3074</v>
      </c>
      <c r="BL49" s="150">
        <v>1.9553100000000001</v>
      </c>
      <c r="BM49" s="150" t="s">
        <v>24</v>
      </c>
      <c r="BN49" s="150">
        <f>2.70019-Table664[[#This Row],[Outcome1_M]]</f>
        <v>0.74487999999999999</v>
      </c>
      <c r="BO49" s="151" t="s">
        <v>3075</v>
      </c>
      <c r="BP49" s="150">
        <v>67.877099999999999</v>
      </c>
      <c r="BQ49" s="150" t="s">
        <v>24</v>
      </c>
      <c r="BR49" s="150">
        <f>78.6778-Table664[[#This Row],[Outcome2_M]]</f>
        <v>10.800700000000006</v>
      </c>
      <c r="BS49" s="290" t="s">
        <v>3076</v>
      </c>
      <c r="BT49" s="291" t="s">
        <v>3060</v>
      </c>
      <c r="BU49" s="151" t="s">
        <v>24</v>
      </c>
      <c r="BV49" s="150"/>
      <c r="BW49" s="150"/>
      <c r="BX49" s="150"/>
      <c r="BY49" s="151"/>
      <c r="BZ49" s="150"/>
      <c r="CA49" s="150"/>
      <c r="CB49" s="150"/>
      <c r="CC49" s="290"/>
      <c r="CD49" s="291"/>
      <c r="CE49" s="278"/>
      <c r="CF49" s="285"/>
      <c r="CG49" s="151" t="s">
        <v>24</v>
      </c>
      <c r="CH49" s="150" t="s">
        <v>24</v>
      </c>
      <c r="CI49" s="150" t="s">
        <v>24</v>
      </c>
      <c r="CJ49" s="150" t="s">
        <v>24</v>
      </c>
      <c r="CK49" s="150"/>
      <c r="CL49" s="150"/>
      <c r="CM49" s="150"/>
      <c r="CN49" s="150"/>
      <c r="CO49" s="302"/>
      <c r="CP49" s="303"/>
      <c r="CQ49" s="150"/>
      <c r="CR49" s="150"/>
      <c r="CS49" s="150"/>
      <c r="CT49" s="150"/>
      <c r="CU49" s="150"/>
      <c r="CV49" s="150"/>
      <c r="CW49" s="150"/>
      <c r="CX49" s="150"/>
      <c r="CY49" s="302"/>
      <c r="CZ49" s="303"/>
      <c r="DA49" s="278"/>
      <c r="DB49" s="279"/>
      <c r="DC49" s="150"/>
      <c r="DD49" s="150"/>
      <c r="DE49" s="150"/>
      <c r="DF49" s="150"/>
      <c r="DG49" s="151"/>
      <c r="DH49" s="150"/>
      <c r="DI49" s="150"/>
      <c r="DJ49" s="150"/>
      <c r="DK49" s="303"/>
      <c r="DL49" s="303"/>
      <c r="DM49" s="150"/>
      <c r="DN49" s="150"/>
      <c r="DO49" s="150"/>
      <c r="DP49" s="150"/>
      <c r="DQ49" s="150"/>
      <c r="DR49" s="150"/>
      <c r="DS49" s="150"/>
      <c r="DT49" s="150"/>
      <c r="DU49" s="303"/>
      <c r="DV49" s="303"/>
      <c r="DW49" s="279"/>
      <c r="DX49" s="150"/>
      <c r="DY49" s="150"/>
      <c r="DZ49" s="150"/>
      <c r="EA49" s="150"/>
      <c r="EB49" s="150"/>
      <c r="EC49" s="150"/>
      <c r="ED49" s="150"/>
      <c r="EE49" s="150"/>
      <c r="EF49" s="303"/>
      <c r="EG49" s="303"/>
      <c r="EH49" s="150"/>
      <c r="EI49" s="150"/>
      <c r="EJ49" s="150"/>
      <c r="EK49" s="150"/>
    </row>
    <row r="50" spans="1:141" s="119" customFormat="1">
      <c r="A50" s="118" t="s">
        <v>1026</v>
      </c>
      <c r="B50" s="364">
        <v>24</v>
      </c>
      <c r="C50" s="139" t="s">
        <v>2088</v>
      </c>
      <c r="D50" s="140" t="s">
        <v>2343</v>
      </c>
      <c r="E50" s="141">
        <v>2012</v>
      </c>
      <c r="F50" s="118">
        <v>22176467</v>
      </c>
      <c r="G50" s="118">
        <v>1</v>
      </c>
      <c r="H50" s="118" t="s">
        <v>1855</v>
      </c>
      <c r="I50" s="118"/>
      <c r="J50" s="118">
        <v>0</v>
      </c>
      <c r="K50" s="118"/>
      <c r="L50" s="158">
        <v>0</v>
      </c>
      <c r="M50" s="142">
        <v>2</v>
      </c>
      <c r="N50" s="118" t="s">
        <v>1404</v>
      </c>
      <c r="O50" s="118" t="s">
        <v>1212</v>
      </c>
      <c r="P50" s="118" t="s">
        <v>1127</v>
      </c>
      <c r="Q50" s="118"/>
      <c r="R50" s="118" t="s">
        <v>1488</v>
      </c>
      <c r="S50" s="118" t="s">
        <v>803</v>
      </c>
      <c r="T50" s="118"/>
      <c r="U50" s="118" t="s">
        <v>1403</v>
      </c>
      <c r="V50" s="118"/>
      <c r="W50" s="118"/>
      <c r="X50" s="118"/>
      <c r="Y50" s="118"/>
      <c r="Z50" s="118"/>
      <c r="AA50" s="230" t="s">
        <v>1917</v>
      </c>
      <c r="AB50" s="231" t="s">
        <v>3334</v>
      </c>
      <c r="AC50" s="152">
        <v>4</v>
      </c>
      <c r="AD50" s="242" t="s">
        <v>3052</v>
      </c>
      <c r="AE50" s="192">
        <v>1</v>
      </c>
      <c r="AF50" s="243">
        <v>0</v>
      </c>
      <c r="AG50" s="152">
        <f>Table664[[#This Row],[Subjects_n_ptsd]]+Table664[[#This Row],[Subjects_n_control]]</f>
        <v>24</v>
      </c>
      <c r="AH50" s="152">
        <v>12</v>
      </c>
      <c r="AI50" s="152">
        <v>12</v>
      </c>
      <c r="AJ50" s="152" t="s">
        <v>803</v>
      </c>
      <c r="AK50" s="152" t="s">
        <v>803</v>
      </c>
      <c r="AL50" s="152" t="s">
        <v>3031</v>
      </c>
      <c r="AM50" s="152" t="s">
        <v>24</v>
      </c>
      <c r="AN50" s="152" t="s">
        <v>3031</v>
      </c>
      <c r="AO50" s="152" t="s">
        <v>24</v>
      </c>
      <c r="AP50" s="152" t="s">
        <v>3033</v>
      </c>
      <c r="AQ50" s="152">
        <v>1</v>
      </c>
      <c r="AR50" s="187" t="s">
        <v>3331</v>
      </c>
      <c r="AS50" s="152" t="s">
        <v>3032</v>
      </c>
      <c r="AT50" s="152" t="s">
        <v>2730</v>
      </c>
      <c r="AU50" s="152" t="s">
        <v>2554</v>
      </c>
      <c r="AV50" s="161">
        <v>1</v>
      </c>
      <c r="AW50" s="161"/>
      <c r="AX50" s="161"/>
      <c r="AY50" s="161"/>
      <c r="AZ50" s="161"/>
      <c r="BA50" s="161"/>
      <c r="BB50" s="161"/>
      <c r="BC50" s="161"/>
      <c r="BD50" s="183" t="s">
        <v>3043</v>
      </c>
      <c r="BE50" s="150" t="s">
        <v>1876</v>
      </c>
      <c r="BF50" s="150" t="s">
        <v>3041</v>
      </c>
      <c r="BG50" s="150" t="s">
        <v>3056</v>
      </c>
      <c r="BH50" s="150" t="s">
        <v>2471</v>
      </c>
      <c r="BI50" s="150" t="s">
        <v>2659</v>
      </c>
      <c r="BJ50" s="258" t="s">
        <v>3083</v>
      </c>
      <c r="BK50" s="151" t="s">
        <v>3057</v>
      </c>
      <c r="BL50" s="150" t="s">
        <v>3078</v>
      </c>
      <c r="BM50" s="150" t="s">
        <v>24</v>
      </c>
      <c r="BN50" s="150" t="s">
        <v>3078</v>
      </c>
      <c r="BO50" s="151" t="s">
        <v>3058</v>
      </c>
      <c r="BP50" s="150">
        <v>3.4817499999999999</v>
      </c>
      <c r="BQ50" s="150" t="s">
        <v>24</v>
      </c>
      <c r="BR50" s="150">
        <f>6.66587-Table664[[#This Row],[Outcome2_M]]</f>
        <v>3.1841200000000001</v>
      </c>
      <c r="BS50" s="290" t="s">
        <v>3079</v>
      </c>
      <c r="BT50" s="291" t="s">
        <v>24</v>
      </c>
      <c r="BU50" s="151" t="s">
        <v>3035</v>
      </c>
      <c r="BV50" s="150">
        <v>16.767199999999999</v>
      </c>
      <c r="BW50" s="150" t="s">
        <v>24</v>
      </c>
      <c r="BX50" s="150">
        <f>21.5434-Table664[[#This Row],[Outcome3_M]]</f>
        <v>4.7761999999999993</v>
      </c>
      <c r="BY50" s="151" t="s">
        <v>3036</v>
      </c>
      <c r="BZ50" s="150">
        <v>67.587800000000001</v>
      </c>
      <c r="CA50" s="150" t="s">
        <v>24</v>
      </c>
      <c r="CB50" s="150">
        <f>75.7474-Table664[[#This Row],[Outcome4_M]]</f>
        <v>8.1595999999999975</v>
      </c>
      <c r="CC50" s="290" t="s">
        <v>3080</v>
      </c>
      <c r="CD50" s="291" t="s">
        <v>3060</v>
      </c>
      <c r="CE50" s="278" t="s">
        <v>3081</v>
      </c>
      <c r="CF50" s="285" t="s">
        <v>3060</v>
      </c>
      <c r="CG50" s="151" t="s">
        <v>3038</v>
      </c>
      <c r="CH50" s="150">
        <v>16.545500000000001</v>
      </c>
      <c r="CI50" s="150" t="s">
        <v>24</v>
      </c>
      <c r="CJ50" s="150">
        <f>21.1383-Table664[[#This Row],[Outcome5_M]]</f>
        <v>4.5928000000000004</v>
      </c>
      <c r="CK50" s="151" t="s">
        <v>3037</v>
      </c>
      <c r="CL50" s="150">
        <v>67.379199999999997</v>
      </c>
      <c r="CM50" s="150" t="s">
        <v>24</v>
      </c>
      <c r="CN50" s="150">
        <f>75.1041-Table664[[#This Row],[Outcome6_M]]</f>
        <v>7.7249000000000052</v>
      </c>
      <c r="CO50" s="302" t="s">
        <v>3082</v>
      </c>
      <c r="CP50" s="303" t="s">
        <v>3060</v>
      </c>
      <c r="CQ50" s="150"/>
      <c r="CR50" s="150"/>
      <c r="CS50" s="150"/>
      <c r="CT50" s="150"/>
      <c r="CU50" s="150"/>
      <c r="CV50" s="150"/>
      <c r="CW50" s="150"/>
      <c r="CX50" s="150"/>
      <c r="CY50" s="302"/>
      <c r="CZ50" s="303"/>
      <c r="DA50" s="278"/>
      <c r="DB50" s="279"/>
      <c r="DC50" s="150"/>
      <c r="DD50" s="150"/>
      <c r="DE50" s="150"/>
      <c r="DF50" s="150"/>
      <c r="DG50" s="151"/>
      <c r="DH50" s="150"/>
      <c r="DI50" s="150"/>
      <c r="DJ50" s="150"/>
      <c r="DK50" s="303"/>
      <c r="DL50" s="303"/>
      <c r="DM50" s="150"/>
      <c r="DN50" s="150"/>
      <c r="DO50" s="150"/>
      <c r="DP50" s="150"/>
      <c r="DQ50" s="150"/>
      <c r="DR50" s="150"/>
      <c r="DS50" s="150"/>
      <c r="DT50" s="150"/>
      <c r="DU50" s="303"/>
      <c r="DV50" s="303"/>
      <c r="DW50" s="279"/>
      <c r="DX50" s="150"/>
      <c r="DY50" s="150"/>
      <c r="DZ50" s="150"/>
      <c r="EA50" s="150"/>
      <c r="EB50" s="150"/>
      <c r="EC50" s="150"/>
      <c r="ED50" s="150"/>
      <c r="EE50" s="150"/>
      <c r="EF50" s="303"/>
      <c r="EG50" s="303"/>
      <c r="EH50" s="150"/>
      <c r="EI50" s="150"/>
      <c r="EJ50" s="150"/>
      <c r="EK50" s="150"/>
    </row>
    <row r="51" spans="1:141">
      <c r="A51" s="79" t="s">
        <v>1025</v>
      </c>
      <c r="B51" s="364">
        <v>25</v>
      </c>
      <c r="C51" s="123" t="s">
        <v>2089</v>
      </c>
      <c r="D51" s="124" t="s">
        <v>2344</v>
      </c>
      <c r="E51" s="125">
        <v>2001</v>
      </c>
      <c r="F51" s="79">
        <v>11331084</v>
      </c>
      <c r="G51" s="79">
        <v>1</v>
      </c>
      <c r="H51" s="126"/>
      <c r="I51" s="127"/>
      <c r="J51" s="79">
        <v>1</v>
      </c>
      <c r="K51" s="79"/>
      <c r="L51" s="164">
        <v>1</v>
      </c>
      <c r="M51" s="128">
        <v>2</v>
      </c>
      <c r="N51" s="79" t="s">
        <v>1405</v>
      </c>
      <c r="O51" s="79" t="s">
        <v>1216</v>
      </c>
      <c r="P51" s="79" t="s">
        <v>1127</v>
      </c>
      <c r="Q51" s="79"/>
      <c r="R51" s="79" t="s">
        <v>1498</v>
      </c>
      <c r="S51" s="79" t="s">
        <v>803</v>
      </c>
      <c r="T51" s="79" t="s">
        <v>23</v>
      </c>
      <c r="U51" s="79" t="s">
        <v>1406</v>
      </c>
      <c r="V51" s="79"/>
      <c r="W51" s="79"/>
      <c r="X51" s="79"/>
      <c r="Y51" s="79"/>
      <c r="Z51" s="79"/>
      <c r="AA51" s="165">
        <v>0</v>
      </c>
      <c r="AB51" s="166" t="s">
        <v>3335</v>
      </c>
      <c r="AC51" s="120">
        <v>4</v>
      </c>
      <c r="AD51" s="206" t="s">
        <v>3098</v>
      </c>
      <c r="AE51" s="192">
        <v>0</v>
      </c>
      <c r="AF51" s="207"/>
      <c r="AG51" s="120" t="s">
        <v>3095</v>
      </c>
      <c r="AH51" s="120"/>
      <c r="AI51" s="120"/>
      <c r="AJ51" s="120" t="s">
        <v>803</v>
      </c>
      <c r="AK51" s="120"/>
      <c r="AL51" s="120" t="s">
        <v>3031</v>
      </c>
      <c r="AM51" s="120"/>
      <c r="AN51" s="120"/>
      <c r="AO51" s="120"/>
      <c r="AP51" s="120" t="s">
        <v>3096</v>
      </c>
      <c r="AQ51" s="120">
        <v>1</v>
      </c>
      <c r="AR51" s="120"/>
      <c r="AS51" s="120" t="s">
        <v>3097</v>
      </c>
      <c r="AT51" s="120" t="s">
        <v>1130</v>
      </c>
      <c r="AU51" s="120"/>
      <c r="AV51" s="156"/>
      <c r="AW51" s="156"/>
      <c r="AX51" s="156"/>
      <c r="AY51" s="156"/>
      <c r="AZ51" s="156"/>
      <c r="BA51" s="156"/>
      <c r="BB51" s="156"/>
      <c r="BC51" s="156"/>
      <c r="BD51" s="157" t="s">
        <v>3100</v>
      </c>
      <c r="BE51" s="134"/>
      <c r="BF51" s="134" t="s">
        <v>1349</v>
      </c>
      <c r="BG51" s="134"/>
      <c r="BH51" s="134" t="s">
        <v>2471</v>
      </c>
      <c r="BI51" s="134"/>
      <c r="BJ51" s="259"/>
      <c r="BK51" s="138"/>
      <c r="BL51" s="134"/>
      <c r="BM51" s="134"/>
      <c r="BN51" s="134"/>
      <c r="BO51" s="138"/>
      <c r="BP51" s="134"/>
      <c r="BQ51" s="134"/>
      <c r="BR51" s="134"/>
      <c r="BS51" s="288"/>
      <c r="BT51" s="289"/>
      <c r="BU51" s="138"/>
      <c r="BV51" s="134"/>
      <c r="BW51" s="134"/>
      <c r="BX51" s="134"/>
      <c r="BY51" s="138"/>
      <c r="BZ51" s="134"/>
      <c r="CA51" s="134"/>
      <c r="CB51" s="134"/>
      <c r="CC51" s="288"/>
      <c r="CD51" s="289"/>
      <c r="CE51" s="276"/>
      <c r="CF51" s="308"/>
      <c r="CG51" s="138"/>
      <c r="CH51" s="134"/>
      <c r="CI51" s="134"/>
      <c r="CJ51" s="134"/>
      <c r="CK51" s="134"/>
      <c r="CL51" s="134"/>
      <c r="CM51" s="134"/>
      <c r="CN51" s="134"/>
      <c r="CO51" s="300"/>
      <c r="CP51" s="301"/>
      <c r="CQ51" s="134"/>
      <c r="CR51" s="134"/>
      <c r="CS51" s="134"/>
      <c r="CT51" s="134"/>
      <c r="CU51" s="134"/>
      <c r="CV51" s="134"/>
      <c r="CW51" s="134"/>
      <c r="CX51" s="134"/>
      <c r="CY51" s="300"/>
      <c r="CZ51" s="301"/>
      <c r="DA51" s="276"/>
      <c r="DB51" s="277"/>
      <c r="DC51" s="134"/>
      <c r="DD51" s="134"/>
      <c r="DE51" s="134"/>
      <c r="DF51" s="134"/>
      <c r="DG51" s="138"/>
      <c r="DH51" s="134"/>
      <c r="DI51" s="134"/>
      <c r="DJ51" s="134"/>
      <c r="DK51" s="301"/>
      <c r="DL51" s="301"/>
      <c r="DM51" s="134"/>
      <c r="DN51" s="134"/>
      <c r="DO51" s="134"/>
      <c r="DP51" s="134"/>
      <c r="DQ51" s="134"/>
      <c r="DR51" s="134"/>
      <c r="DS51" s="134"/>
      <c r="DT51" s="134"/>
      <c r="DU51" s="301"/>
      <c r="DV51" s="301"/>
      <c r="DW51" s="277"/>
      <c r="DX51" s="134"/>
      <c r="DY51" s="134"/>
      <c r="DZ51" s="134"/>
      <c r="EA51" s="134"/>
      <c r="EB51" s="134"/>
      <c r="EC51" s="134"/>
      <c r="ED51" s="134"/>
      <c r="EE51" s="134"/>
      <c r="EF51" s="301"/>
      <c r="EG51" s="301"/>
      <c r="EH51" s="134"/>
      <c r="EI51" s="134"/>
      <c r="EJ51" s="134"/>
      <c r="EK51" s="134"/>
    </row>
    <row r="52" spans="1:141">
      <c r="A52" s="79" t="s">
        <v>218</v>
      </c>
      <c r="B52" s="364">
        <v>26</v>
      </c>
      <c r="C52" s="123" t="s">
        <v>1985</v>
      </c>
      <c r="D52" s="124" t="s">
        <v>2210</v>
      </c>
      <c r="E52" s="125">
        <v>2014</v>
      </c>
      <c r="F52" s="79">
        <v>24625622</v>
      </c>
      <c r="G52" s="79">
        <v>1</v>
      </c>
      <c r="H52" s="126"/>
      <c r="I52" s="127"/>
      <c r="J52" s="79">
        <v>1</v>
      </c>
      <c r="K52" s="79"/>
      <c r="L52" s="79">
        <v>1</v>
      </c>
      <c r="M52" s="128">
        <v>1</v>
      </c>
      <c r="N52" s="79" t="s">
        <v>614</v>
      </c>
      <c r="O52" s="79" t="s">
        <v>1142</v>
      </c>
      <c r="P52" s="79" t="s">
        <v>615</v>
      </c>
      <c r="Q52" s="79">
        <v>1</v>
      </c>
      <c r="R52" s="79"/>
      <c r="S52" s="79"/>
      <c r="T52" s="79"/>
      <c r="U52" s="79" t="s">
        <v>11</v>
      </c>
      <c r="V52" s="79"/>
      <c r="W52" s="79" t="s">
        <v>13</v>
      </c>
      <c r="X52" s="79"/>
      <c r="Y52" s="79"/>
      <c r="Z52" s="79"/>
      <c r="AA52" s="154">
        <v>1</v>
      </c>
      <c r="AB52" s="155"/>
      <c r="AC52" s="121" t="s">
        <v>3099</v>
      </c>
      <c r="AD52" s="202"/>
      <c r="AE52" s="192">
        <v>0</v>
      </c>
      <c r="AF52" s="203" t="s">
        <v>24</v>
      </c>
      <c r="AG52" s="121">
        <f>Table664[[#This Row],[Subjects_n_ptsd]]+Table664[[#This Row],[Subjects_n_control]]</f>
        <v>50</v>
      </c>
      <c r="AH52" s="121">
        <v>25</v>
      </c>
      <c r="AI52" s="121">
        <v>25</v>
      </c>
      <c r="AJ52" s="121" t="s">
        <v>3101</v>
      </c>
      <c r="AK52" s="121" t="s">
        <v>3102</v>
      </c>
      <c r="AL52" s="121">
        <v>37.299999999999997</v>
      </c>
      <c r="AM52" s="121" t="s">
        <v>3103</v>
      </c>
      <c r="AN52" s="121">
        <v>37.6</v>
      </c>
      <c r="AO52" s="121" t="s">
        <v>3104</v>
      </c>
      <c r="AP52" s="121" t="s">
        <v>1874</v>
      </c>
      <c r="AQ52" s="121" t="s">
        <v>24</v>
      </c>
      <c r="AR52" s="121" t="s">
        <v>24</v>
      </c>
      <c r="AS52" s="121" t="s">
        <v>2423</v>
      </c>
      <c r="AT52" s="121" t="s">
        <v>2605</v>
      </c>
      <c r="AU52" s="121" t="s">
        <v>1875</v>
      </c>
      <c r="AV52" s="156">
        <v>1</v>
      </c>
      <c r="AW52" s="156"/>
      <c r="AX52" s="156"/>
      <c r="AY52" s="156"/>
      <c r="AZ52" s="156"/>
      <c r="BA52" s="156"/>
      <c r="BB52" s="156"/>
      <c r="BC52" s="156"/>
      <c r="BD52" s="157" t="s">
        <v>3107</v>
      </c>
      <c r="BE52" s="134" t="s">
        <v>1876</v>
      </c>
      <c r="BF52" s="134" t="s">
        <v>3105</v>
      </c>
      <c r="BG52" s="134" t="s">
        <v>3106</v>
      </c>
      <c r="BH52" s="134" t="s">
        <v>2470</v>
      </c>
      <c r="BI52" s="134" t="s">
        <v>2400</v>
      </c>
      <c r="BJ52" s="259" t="s">
        <v>3122</v>
      </c>
      <c r="BK52" s="138" t="s">
        <v>3108</v>
      </c>
      <c r="BL52" s="134">
        <v>58.22</v>
      </c>
      <c r="BM52" s="134" t="s">
        <v>24</v>
      </c>
      <c r="BN52" s="134">
        <v>3.86</v>
      </c>
      <c r="BO52" s="138" t="s">
        <v>3109</v>
      </c>
      <c r="BP52" s="134">
        <v>38.67</v>
      </c>
      <c r="BQ52" s="134"/>
      <c r="BR52" s="134">
        <v>4.1100000000000003</v>
      </c>
      <c r="BS52" s="288" t="s">
        <v>3113</v>
      </c>
      <c r="BT52" s="289" t="s">
        <v>3060</v>
      </c>
      <c r="BU52" s="138" t="s">
        <v>3112</v>
      </c>
      <c r="BV52" s="134">
        <v>46.22</v>
      </c>
      <c r="BW52" s="134" t="s">
        <v>24</v>
      </c>
      <c r="BX52" s="134" t="s">
        <v>3114</v>
      </c>
      <c r="BY52" s="138" t="s">
        <v>3111</v>
      </c>
      <c r="BZ52" s="134">
        <v>37.78</v>
      </c>
      <c r="CA52" s="134" t="s">
        <v>24</v>
      </c>
      <c r="CB52" s="134">
        <v>5.52</v>
      </c>
      <c r="CC52" s="288" t="s">
        <v>3115</v>
      </c>
      <c r="CD52" s="289" t="s">
        <v>2480</v>
      </c>
      <c r="CE52" s="276"/>
      <c r="CF52" s="308"/>
      <c r="CG52" s="138" t="s">
        <v>3110</v>
      </c>
      <c r="CH52" s="134">
        <v>53.33</v>
      </c>
      <c r="CI52" s="134" t="s">
        <v>24</v>
      </c>
      <c r="CJ52" s="134">
        <v>3.14</v>
      </c>
      <c r="CK52" s="138" t="s">
        <v>3116</v>
      </c>
      <c r="CL52" s="134">
        <v>44</v>
      </c>
      <c r="CM52" s="134" t="s">
        <v>24</v>
      </c>
      <c r="CN52" s="134">
        <v>4.78</v>
      </c>
      <c r="CO52" s="300" t="s">
        <v>3119</v>
      </c>
      <c r="CP52" s="301" t="s">
        <v>3120</v>
      </c>
      <c r="CQ52" s="138" t="s">
        <v>3117</v>
      </c>
      <c r="CR52" s="134">
        <v>49.33</v>
      </c>
      <c r="CS52" s="134" t="s">
        <v>24</v>
      </c>
      <c r="CT52" s="134">
        <v>5.63</v>
      </c>
      <c r="CU52" s="138" t="s">
        <v>3118</v>
      </c>
      <c r="CV52" s="134">
        <v>33.33</v>
      </c>
      <c r="CW52" s="134" t="s">
        <v>24</v>
      </c>
      <c r="CX52" s="134">
        <v>3.95</v>
      </c>
      <c r="CY52" s="300" t="s">
        <v>3121</v>
      </c>
      <c r="CZ52" s="301" t="s">
        <v>2415</v>
      </c>
      <c r="DA52" s="276"/>
      <c r="DB52" s="277"/>
      <c r="DC52" s="134"/>
      <c r="DD52" s="134"/>
      <c r="DE52" s="134"/>
      <c r="DF52" s="134"/>
      <c r="DG52" s="138"/>
      <c r="DH52" s="134"/>
      <c r="DI52" s="134"/>
      <c r="DJ52" s="134"/>
      <c r="DK52" s="301"/>
      <c r="DL52" s="301"/>
      <c r="DM52" s="134"/>
      <c r="DN52" s="134"/>
      <c r="DO52" s="134"/>
      <c r="DP52" s="134"/>
      <c r="DQ52" s="134"/>
      <c r="DR52" s="134"/>
      <c r="DS52" s="134"/>
      <c r="DT52" s="134"/>
      <c r="DU52" s="301"/>
      <c r="DV52" s="301"/>
      <c r="DW52" s="277"/>
      <c r="DX52" s="134"/>
      <c r="DY52" s="134"/>
      <c r="DZ52" s="134"/>
      <c r="EA52" s="134"/>
      <c r="EB52" s="134"/>
      <c r="EC52" s="134"/>
      <c r="ED52" s="134"/>
      <c r="EE52" s="134"/>
      <c r="EF52" s="301"/>
      <c r="EG52" s="301"/>
      <c r="EH52" s="134"/>
      <c r="EI52" s="134"/>
      <c r="EJ52" s="134"/>
      <c r="EK52" s="134"/>
    </row>
    <row r="53" spans="1:141">
      <c r="A53" s="79" t="s">
        <v>1021</v>
      </c>
      <c r="B53" s="364">
        <v>27</v>
      </c>
      <c r="C53" s="123" t="s">
        <v>2092</v>
      </c>
      <c r="D53" s="124" t="s">
        <v>2347</v>
      </c>
      <c r="E53" s="125">
        <v>2014</v>
      </c>
      <c r="F53" s="79">
        <v>24988461</v>
      </c>
      <c r="G53" s="79">
        <v>1</v>
      </c>
      <c r="H53" s="126">
        <v>1</v>
      </c>
      <c r="I53" s="127"/>
      <c r="J53" s="79">
        <v>1</v>
      </c>
      <c r="K53" s="79"/>
      <c r="L53" s="79">
        <v>1</v>
      </c>
      <c r="M53" s="128">
        <v>2</v>
      </c>
      <c r="N53" s="79" t="s">
        <v>1415</v>
      </c>
      <c r="O53" s="79" t="s">
        <v>1224</v>
      </c>
      <c r="P53" s="79" t="s">
        <v>1127</v>
      </c>
      <c r="Q53" s="79"/>
      <c r="R53" s="79" t="s">
        <v>1487</v>
      </c>
      <c r="S53" s="79" t="s">
        <v>803</v>
      </c>
      <c r="T53" s="79" t="s">
        <v>23</v>
      </c>
      <c r="U53" s="79" t="s">
        <v>1675</v>
      </c>
      <c r="V53" s="79"/>
      <c r="W53" s="79"/>
      <c r="X53" s="79"/>
      <c r="Y53" s="79"/>
      <c r="Z53" s="79"/>
      <c r="AA53" s="154">
        <v>1</v>
      </c>
      <c r="AB53" s="155"/>
      <c r="AC53" s="121">
        <v>4</v>
      </c>
      <c r="AD53" s="202" t="s">
        <v>3129</v>
      </c>
      <c r="AE53" s="192">
        <v>0</v>
      </c>
      <c r="AF53" s="203">
        <v>1</v>
      </c>
      <c r="AG53" s="121">
        <v>20</v>
      </c>
      <c r="AH53" s="121">
        <v>10</v>
      </c>
      <c r="AI53" s="121">
        <v>10</v>
      </c>
      <c r="AJ53" s="121" t="s">
        <v>803</v>
      </c>
      <c r="AK53" s="121" t="s">
        <v>803</v>
      </c>
      <c r="AL53" s="121" t="s">
        <v>24</v>
      </c>
      <c r="AM53" s="121" t="s">
        <v>24</v>
      </c>
      <c r="AN53" s="121" t="s">
        <v>24</v>
      </c>
      <c r="AO53" s="121" t="s">
        <v>24</v>
      </c>
      <c r="AP53" s="121" t="s">
        <v>2963</v>
      </c>
      <c r="AQ53" s="121">
        <v>1</v>
      </c>
      <c r="AR53" s="121">
        <v>1</v>
      </c>
      <c r="AS53" s="121"/>
      <c r="AT53" s="121" t="s">
        <v>1130</v>
      </c>
      <c r="AU53" s="121" t="s">
        <v>2798</v>
      </c>
      <c r="AV53" s="156">
        <v>1</v>
      </c>
      <c r="AW53" s="156"/>
      <c r="AX53" s="156"/>
      <c r="AY53" s="156"/>
      <c r="AZ53" s="156"/>
      <c r="BA53" s="156"/>
      <c r="BB53" s="156"/>
      <c r="BC53" s="156"/>
      <c r="BD53" s="157" t="s">
        <v>2879</v>
      </c>
      <c r="BE53" s="134" t="s">
        <v>1876</v>
      </c>
      <c r="BF53" s="134" t="s">
        <v>3128</v>
      </c>
      <c r="BG53" s="134" t="s">
        <v>3127</v>
      </c>
      <c r="BH53" s="134" t="s">
        <v>23</v>
      </c>
      <c r="BI53" s="134" t="s">
        <v>2659</v>
      </c>
      <c r="BJ53" s="259" t="s">
        <v>3126</v>
      </c>
      <c r="BK53" s="138" t="s">
        <v>3124</v>
      </c>
      <c r="BL53" s="134">
        <v>21.870699999999999</v>
      </c>
      <c r="BM53" s="134" t="s">
        <v>24</v>
      </c>
      <c r="BN53" s="134">
        <f>27.2365-Table664[[#This Row],[Outcome1_M]]</f>
        <v>5.3658000000000001</v>
      </c>
      <c r="BO53" s="138" t="s">
        <v>3123</v>
      </c>
      <c r="BP53" s="134">
        <v>56.833100000000002</v>
      </c>
      <c r="BQ53" s="134" t="s">
        <v>24</v>
      </c>
      <c r="BR53" s="134">
        <f>66.4251-Table664[[#This Row],[Outcome2_M]]</f>
        <v>9.5919999999999987</v>
      </c>
      <c r="BS53" s="288" t="s">
        <v>3125</v>
      </c>
      <c r="BT53" s="289" t="s">
        <v>3060</v>
      </c>
      <c r="BU53" s="138" t="s">
        <v>24</v>
      </c>
      <c r="BV53" s="134"/>
      <c r="BW53" s="134"/>
      <c r="BX53" s="134"/>
      <c r="BY53" s="138"/>
      <c r="BZ53" s="134"/>
      <c r="CA53" s="134"/>
      <c r="CB53" s="134"/>
      <c r="CC53" s="288"/>
      <c r="CD53" s="289"/>
      <c r="CE53" s="276"/>
      <c r="CF53" s="308"/>
      <c r="CG53" s="138"/>
      <c r="CH53" s="134"/>
      <c r="CI53" s="134"/>
      <c r="CJ53" s="134"/>
      <c r="CK53" s="134"/>
      <c r="CL53" s="134"/>
      <c r="CM53" s="134"/>
      <c r="CN53" s="134"/>
      <c r="CO53" s="300"/>
      <c r="CP53" s="301"/>
      <c r="CQ53" s="134"/>
      <c r="CR53" s="134"/>
      <c r="CS53" s="134"/>
      <c r="CT53" s="134"/>
      <c r="CU53" s="134"/>
      <c r="CV53" s="134"/>
      <c r="CW53" s="134"/>
      <c r="CX53" s="134"/>
      <c r="CY53" s="300"/>
      <c r="CZ53" s="301"/>
      <c r="DA53" s="276"/>
      <c r="DB53" s="277"/>
      <c r="DC53" s="134"/>
      <c r="DD53" s="134"/>
      <c r="DE53" s="134"/>
      <c r="DF53" s="134"/>
      <c r="DG53" s="138"/>
      <c r="DH53" s="134"/>
      <c r="DI53" s="134"/>
      <c r="DJ53" s="134"/>
      <c r="DK53" s="301"/>
      <c r="DL53" s="301"/>
      <c r="DM53" s="134"/>
      <c r="DN53" s="134"/>
      <c r="DO53" s="134"/>
      <c r="DP53" s="134"/>
      <c r="DQ53" s="134"/>
      <c r="DR53" s="134"/>
      <c r="DS53" s="134"/>
      <c r="DT53" s="134"/>
      <c r="DU53" s="301"/>
      <c r="DV53" s="301"/>
      <c r="DW53" s="277"/>
      <c r="DX53" s="134"/>
      <c r="DY53" s="134"/>
      <c r="DZ53" s="134"/>
      <c r="EA53" s="134"/>
      <c r="EB53" s="134"/>
      <c r="EC53" s="134"/>
      <c r="ED53" s="134"/>
      <c r="EE53" s="134"/>
      <c r="EF53" s="301"/>
      <c r="EG53" s="301"/>
      <c r="EH53" s="134"/>
      <c r="EI53" s="134"/>
      <c r="EJ53" s="134"/>
      <c r="EK53" s="134"/>
    </row>
    <row r="54" spans="1:141">
      <c r="A54" s="79" t="s">
        <v>225</v>
      </c>
      <c r="B54" s="364">
        <v>28</v>
      </c>
      <c r="C54" s="123" t="s">
        <v>1987</v>
      </c>
      <c r="D54" s="124" t="s">
        <v>2213</v>
      </c>
      <c r="E54" s="125">
        <v>2008</v>
      </c>
      <c r="F54" s="79">
        <v>18313695</v>
      </c>
      <c r="G54" s="79">
        <v>1</v>
      </c>
      <c r="H54" s="126"/>
      <c r="I54" s="127"/>
      <c r="J54" s="79">
        <v>1</v>
      </c>
      <c r="K54" s="79"/>
      <c r="L54" s="79">
        <v>1</v>
      </c>
      <c r="M54" s="128">
        <v>1</v>
      </c>
      <c r="N54" s="79" t="s">
        <v>627</v>
      </c>
      <c r="O54" s="79" t="s">
        <v>1142</v>
      </c>
      <c r="P54" s="79" t="s">
        <v>628</v>
      </c>
      <c r="Q54" s="79">
        <v>1</v>
      </c>
      <c r="R54" s="79"/>
      <c r="S54" s="79"/>
      <c r="T54" s="79"/>
      <c r="U54" s="79" t="s">
        <v>629</v>
      </c>
      <c r="V54" s="79" t="s">
        <v>24</v>
      </c>
      <c r="W54" s="79" t="s">
        <v>630</v>
      </c>
      <c r="X54" s="79"/>
      <c r="Y54" s="79"/>
      <c r="Z54" s="79" t="s">
        <v>631</v>
      </c>
      <c r="AA54" s="154">
        <v>1</v>
      </c>
      <c r="AB54" s="155" t="s">
        <v>3157</v>
      </c>
      <c r="AC54" s="121">
        <v>2</v>
      </c>
      <c r="AD54" s="202"/>
      <c r="AE54" s="192">
        <v>1</v>
      </c>
      <c r="AF54" s="203" t="s">
        <v>24</v>
      </c>
      <c r="AG54" s="121" t="s">
        <v>3132</v>
      </c>
      <c r="AH54" s="121" t="s">
        <v>3130</v>
      </c>
      <c r="AI54" s="121" t="s">
        <v>3131</v>
      </c>
      <c r="AJ54" s="121" t="s">
        <v>803</v>
      </c>
      <c r="AK54" s="121" t="s">
        <v>803</v>
      </c>
      <c r="AL54" s="121" t="s">
        <v>3133</v>
      </c>
      <c r="AM54" s="121">
        <v>2.8</v>
      </c>
      <c r="AN54" s="121" t="s">
        <v>3134</v>
      </c>
      <c r="AO54" s="121">
        <v>2.5</v>
      </c>
      <c r="AP54" s="121" t="s">
        <v>1874</v>
      </c>
      <c r="AQ54" s="121" t="s">
        <v>24</v>
      </c>
      <c r="AR54" s="121" t="s">
        <v>24</v>
      </c>
      <c r="AS54" s="121" t="s">
        <v>3135</v>
      </c>
      <c r="AT54" s="121" t="s">
        <v>2875</v>
      </c>
      <c r="AU54" s="121" t="s">
        <v>1875</v>
      </c>
      <c r="AV54" s="156">
        <v>1</v>
      </c>
      <c r="AW54" s="156"/>
      <c r="AX54" s="156"/>
      <c r="AY54" s="156"/>
      <c r="AZ54" s="156"/>
      <c r="BA54" s="156"/>
      <c r="BB54" s="156"/>
      <c r="BC54" s="156"/>
      <c r="BD54" s="157" t="s">
        <v>1891</v>
      </c>
      <c r="BE54" s="134" t="s">
        <v>1876</v>
      </c>
      <c r="BF54" s="134" t="s">
        <v>3136</v>
      </c>
      <c r="BG54" s="134" t="s">
        <v>3137</v>
      </c>
      <c r="BH54" s="134" t="s">
        <v>2470</v>
      </c>
      <c r="BI54" s="134" t="s">
        <v>3138</v>
      </c>
      <c r="BJ54" s="259" t="s">
        <v>3166</v>
      </c>
      <c r="BK54" s="138" t="s">
        <v>3139</v>
      </c>
      <c r="BL54" s="134">
        <v>0.39906700000000001</v>
      </c>
      <c r="BM54" s="134" t="s">
        <v>24</v>
      </c>
      <c r="BN54" s="134">
        <f>0.531716-Table664[[#This Row],[Outcome1_M]]</f>
        <v>0.13264899999999996</v>
      </c>
      <c r="BO54" s="138" t="s">
        <v>3140</v>
      </c>
      <c r="BP54" s="134">
        <v>0.31679099999999999</v>
      </c>
      <c r="BQ54" s="134" t="s">
        <v>24</v>
      </c>
      <c r="BR54" s="134">
        <f>0.425933-Table664[[#This Row],[Outcome2_M]]</f>
        <v>0.10914200000000002</v>
      </c>
      <c r="BS54" s="288" t="s">
        <v>3168</v>
      </c>
      <c r="BT54" s="291" t="s">
        <v>3167</v>
      </c>
      <c r="BU54" s="138" t="s">
        <v>3143</v>
      </c>
      <c r="BV54" s="190">
        <v>0.365485</v>
      </c>
      <c r="BW54" s="168" t="s">
        <v>24</v>
      </c>
      <c r="BX54" s="190">
        <f>0.481343-Table664[[#This Row],[Outcome3_M]]</f>
        <v>0.11585800000000002</v>
      </c>
      <c r="BY54" s="138" t="s">
        <v>3144</v>
      </c>
      <c r="BZ54" s="134">
        <v>0.325187</v>
      </c>
      <c r="CA54" s="134" t="s">
        <v>24</v>
      </c>
      <c r="CB54" s="134">
        <f>0.419216-Table664[[#This Row],[Outcome4_M]]</f>
        <v>9.4028999999999974E-2</v>
      </c>
      <c r="CC54" s="288"/>
      <c r="CD54" s="289"/>
      <c r="CE54" s="276"/>
      <c r="CF54" s="308"/>
      <c r="CG54" s="138" t="s">
        <v>3141</v>
      </c>
      <c r="CH54" s="134">
        <v>0.58209</v>
      </c>
      <c r="CI54" s="134" t="s">
        <v>24</v>
      </c>
      <c r="CJ54" s="134">
        <f>0.724813-Table664[[#This Row],[Outcome5_M]]</f>
        <v>0.14272300000000004</v>
      </c>
      <c r="CK54" s="138" t="s">
        <v>3142</v>
      </c>
      <c r="CL54" s="134">
        <v>0.34533599999999998</v>
      </c>
      <c r="CM54" s="134" t="s">
        <v>24</v>
      </c>
      <c r="CN54" s="134">
        <f>0.483022-Table664[[#This Row],[Outcome6_M]]</f>
        <v>0.13768600000000003</v>
      </c>
      <c r="CO54" s="300"/>
      <c r="CP54" s="301"/>
      <c r="CQ54" s="138" t="s">
        <v>3145</v>
      </c>
      <c r="CR54" s="134">
        <v>0.55018699999999998</v>
      </c>
      <c r="CS54" s="134" t="s">
        <v>24</v>
      </c>
      <c r="CT54" s="134">
        <f>0.627425-Table664[[#This Row],[Outcome7_M]]</f>
        <v>7.7238000000000029E-2</v>
      </c>
      <c r="CU54" s="138" t="s">
        <v>3146</v>
      </c>
      <c r="CV54" s="134">
        <v>0.321828</v>
      </c>
      <c r="CW54" s="134" t="s">
        <v>24</v>
      </c>
      <c r="CX54" s="134">
        <f>0.437687-Table664[[#This Row],[Outcome8_M]]</f>
        <v>0.11585899999999999</v>
      </c>
      <c r="CY54" s="300"/>
      <c r="CZ54" s="301"/>
      <c r="DA54" s="276"/>
      <c r="DB54" s="277"/>
      <c r="DC54" s="134" t="s">
        <v>24</v>
      </c>
      <c r="DD54" s="134"/>
      <c r="DE54" s="134"/>
      <c r="DF54" s="134"/>
      <c r="DG54" s="138"/>
      <c r="DH54" s="134"/>
      <c r="DI54" s="134"/>
      <c r="DJ54" s="134"/>
      <c r="DK54" s="301"/>
      <c r="DL54" s="301"/>
      <c r="DM54" s="134"/>
      <c r="DN54" s="134"/>
      <c r="DO54" s="134"/>
      <c r="DP54" s="134"/>
      <c r="DQ54" s="134"/>
      <c r="DR54" s="134"/>
      <c r="DS54" s="134"/>
      <c r="DT54" s="134"/>
      <c r="DU54" s="301"/>
      <c r="DV54" s="301"/>
      <c r="DW54" s="277"/>
      <c r="DX54" s="134"/>
      <c r="DY54" s="134"/>
      <c r="DZ54" s="134"/>
      <c r="EA54" s="134"/>
      <c r="EB54" s="134"/>
      <c r="EC54" s="134"/>
      <c r="ED54" s="134"/>
      <c r="EE54" s="134"/>
      <c r="EF54" s="301"/>
      <c r="EG54" s="301"/>
      <c r="EH54" s="134"/>
      <c r="EI54" s="134"/>
      <c r="EJ54" s="134"/>
      <c r="EK54" s="134"/>
    </row>
    <row r="55" spans="1:141" s="119" customFormat="1">
      <c r="A55" s="118" t="s">
        <v>225</v>
      </c>
      <c r="B55" s="364">
        <v>28</v>
      </c>
      <c r="C55" s="139" t="s">
        <v>1987</v>
      </c>
      <c r="D55" s="140" t="s">
        <v>2213</v>
      </c>
      <c r="E55" s="141">
        <v>2008</v>
      </c>
      <c r="F55" s="118">
        <v>18313695</v>
      </c>
      <c r="G55" s="118">
        <v>1</v>
      </c>
      <c r="H55" s="118"/>
      <c r="I55" s="118"/>
      <c r="J55" s="118">
        <v>1</v>
      </c>
      <c r="K55" s="118"/>
      <c r="L55" s="118">
        <v>1</v>
      </c>
      <c r="M55" s="142">
        <v>1</v>
      </c>
      <c r="N55" s="118" t="s">
        <v>627</v>
      </c>
      <c r="O55" s="118" t="s">
        <v>1142</v>
      </c>
      <c r="P55" s="118" t="s">
        <v>628</v>
      </c>
      <c r="Q55" s="118">
        <v>1</v>
      </c>
      <c r="R55" s="118"/>
      <c r="S55" s="118"/>
      <c r="T55" s="118"/>
      <c r="U55" s="118" t="s">
        <v>629</v>
      </c>
      <c r="V55" s="118" t="s">
        <v>24</v>
      </c>
      <c r="W55" s="118" t="s">
        <v>630</v>
      </c>
      <c r="X55" s="118"/>
      <c r="Y55" s="118"/>
      <c r="Z55" s="118" t="s">
        <v>631</v>
      </c>
      <c r="AA55" s="159">
        <v>1</v>
      </c>
      <c r="AB55" s="160" t="s">
        <v>3157</v>
      </c>
      <c r="AC55" s="122">
        <v>2</v>
      </c>
      <c r="AD55" s="204"/>
      <c r="AE55" s="192">
        <v>1</v>
      </c>
      <c r="AF55" s="205" t="s">
        <v>24</v>
      </c>
      <c r="AG55" s="122" t="s">
        <v>3132</v>
      </c>
      <c r="AH55" s="122" t="s">
        <v>3130</v>
      </c>
      <c r="AI55" s="122" t="s">
        <v>3131</v>
      </c>
      <c r="AJ55" s="122" t="s">
        <v>803</v>
      </c>
      <c r="AK55" s="122" t="s">
        <v>803</v>
      </c>
      <c r="AL55" s="122" t="s">
        <v>3133</v>
      </c>
      <c r="AM55" s="122">
        <v>2.8</v>
      </c>
      <c r="AN55" s="122" t="s">
        <v>3134</v>
      </c>
      <c r="AO55" s="122">
        <v>2.5</v>
      </c>
      <c r="AP55" s="122" t="s">
        <v>1874</v>
      </c>
      <c r="AQ55" s="122" t="s">
        <v>24</v>
      </c>
      <c r="AR55" s="122" t="s">
        <v>24</v>
      </c>
      <c r="AS55" s="122" t="s">
        <v>3135</v>
      </c>
      <c r="AT55" s="122" t="s">
        <v>2875</v>
      </c>
      <c r="AU55" s="122" t="s">
        <v>1875</v>
      </c>
      <c r="AV55" s="161">
        <v>1</v>
      </c>
      <c r="AW55" s="161"/>
      <c r="AX55" s="161"/>
      <c r="AY55" s="161"/>
      <c r="AZ55" s="161"/>
      <c r="BA55" s="161"/>
      <c r="BB55" s="161"/>
      <c r="BC55" s="161"/>
      <c r="BD55" s="162" t="s">
        <v>3155</v>
      </c>
      <c r="BE55" s="150" t="s">
        <v>1876</v>
      </c>
      <c r="BF55" s="150" t="s">
        <v>3136</v>
      </c>
      <c r="BG55" s="150" t="s">
        <v>3137</v>
      </c>
      <c r="BH55" s="150" t="s">
        <v>2470</v>
      </c>
      <c r="BI55" s="150" t="s">
        <v>3138</v>
      </c>
      <c r="BJ55" s="258" t="s">
        <v>3169</v>
      </c>
      <c r="BK55" s="151" t="s">
        <v>3147</v>
      </c>
      <c r="BL55" s="150">
        <v>0.17238800000000001</v>
      </c>
      <c r="BM55" s="150" t="s">
        <v>24</v>
      </c>
      <c r="BN55" s="150">
        <f>0.266418-Table664[[#This Row],[Outcome1_M]]</f>
        <v>9.4029999999999975E-2</v>
      </c>
      <c r="BO55" s="151" t="s">
        <v>3148</v>
      </c>
      <c r="BP55" s="150">
        <v>5.3171599999999999E-2</v>
      </c>
      <c r="BQ55" s="150" t="s">
        <v>24</v>
      </c>
      <c r="BR55" s="150">
        <f>0.100187-Table664[[#This Row],[Outcome2_M]]</f>
        <v>4.7015399999999999E-2</v>
      </c>
      <c r="BS55" s="290" t="s">
        <v>3171</v>
      </c>
      <c r="BT55" s="291" t="s">
        <v>3172</v>
      </c>
      <c r="BU55" s="151" t="s">
        <v>3149</v>
      </c>
      <c r="BV55" s="266">
        <v>0.184142</v>
      </c>
      <c r="BW55" s="228" t="s">
        <v>24</v>
      </c>
      <c r="BX55" s="266">
        <f>0.274813-Table664[[#This Row],[Outcome3_M]]</f>
        <v>9.0670999999999974E-2</v>
      </c>
      <c r="BY55" s="151" t="s">
        <v>3150</v>
      </c>
      <c r="BZ55" s="150">
        <v>0.12873100000000001</v>
      </c>
      <c r="CA55" s="150" t="s">
        <v>24</v>
      </c>
      <c r="CB55" s="150">
        <f>0.204291-Table664[[#This Row],[Outcome4_M]]</f>
        <v>7.5559999999999988E-2</v>
      </c>
      <c r="CC55" s="290"/>
      <c r="CD55" s="291"/>
      <c r="CE55" s="278"/>
      <c r="CF55" s="285"/>
      <c r="CG55" s="151" t="s">
        <v>3151</v>
      </c>
      <c r="CH55" s="150">
        <v>9.1790999999999998E-2</v>
      </c>
      <c r="CI55" s="150" t="s">
        <v>24</v>
      </c>
      <c r="CJ55" s="150">
        <f>0.236194-Table664[[#This Row],[Outcome5_M]]</f>
        <v>0.144403</v>
      </c>
      <c r="CK55" s="151" t="s">
        <v>3152</v>
      </c>
      <c r="CL55" s="150">
        <v>6.6604499999999997E-2</v>
      </c>
      <c r="CM55" s="150" t="s">
        <v>24</v>
      </c>
      <c r="CN55" s="150">
        <f>0.158955-Table664[[#This Row],[Outcome6_M]]</f>
        <v>9.2350500000000016E-2</v>
      </c>
      <c r="CO55" s="302"/>
      <c r="CP55" s="303"/>
      <c r="CQ55" s="151" t="s">
        <v>3153</v>
      </c>
      <c r="CR55" s="150">
        <v>0.15559700000000001</v>
      </c>
      <c r="CS55" s="150" t="s">
        <v>24</v>
      </c>
      <c r="CT55" s="150">
        <f>0.279851-Table664[[#This Row],[Outcome7_M]]</f>
        <v>0.124254</v>
      </c>
      <c r="CU55" s="151" t="s">
        <v>3154</v>
      </c>
      <c r="CV55" s="150">
        <v>0.108582</v>
      </c>
      <c r="CW55" s="150" t="s">
        <v>24</v>
      </c>
      <c r="CX55" s="150">
        <f>0.158955-Table664[[#This Row],[Outcome8_M]]</f>
        <v>5.0373000000000015E-2</v>
      </c>
      <c r="CY55" s="302"/>
      <c r="CZ55" s="303"/>
      <c r="DA55" s="278"/>
      <c r="DB55" s="279"/>
      <c r="DC55" s="150" t="s">
        <v>24</v>
      </c>
      <c r="DD55" s="150"/>
      <c r="DE55" s="150"/>
      <c r="DF55" s="150"/>
      <c r="DG55" s="151"/>
      <c r="DH55" s="150"/>
      <c r="DI55" s="150"/>
      <c r="DJ55" s="150"/>
      <c r="DK55" s="303"/>
      <c r="DL55" s="303"/>
      <c r="DM55" s="150"/>
      <c r="DN55" s="150"/>
      <c r="DO55" s="150"/>
      <c r="DP55" s="150"/>
      <c r="DQ55" s="150"/>
      <c r="DR55" s="150"/>
      <c r="DS55" s="150"/>
      <c r="DT55" s="150"/>
      <c r="DU55" s="303"/>
      <c r="DV55" s="303"/>
      <c r="DW55" s="279"/>
      <c r="DX55" s="150"/>
      <c r="DY55" s="150"/>
      <c r="DZ55" s="150"/>
      <c r="EA55" s="150"/>
      <c r="EB55" s="150"/>
      <c r="EC55" s="150"/>
      <c r="ED55" s="150"/>
      <c r="EE55" s="150"/>
      <c r="EF55" s="303"/>
      <c r="EG55" s="303"/>
      <c r="EH55" s="150"/>
      <c r="EI55" s="150"/>
      <c r="EJ55" s="150"/>
      <c r="EK55" s="150"/>
    </row>
    <row r="56" spans="1:141" s="119" customFormat="1">
      <c r="A56" s="118" t="s">
        <v>225</v>
      </c>
      <c r="B56" s="364">
        <v>28</v>
      </c>
      <c r="C56" s="139" t="s">
        <v>1987</v>
      </c>
      <c r="D56" s="140" t="s">
        <v>2213</v>
      </c>
      <c r="E56" s="141">
        <v>2008</v>
      </c>
      <c r="F56" s="118">
        <v>18313695</v>
      </c>
      <c r="G56" s="118">
        <v>1</v>
      </c>
      <c r="H56" s="118"/>
      <c r="I56" s="118"/>
      <c r="J56" s="118">
        <v>1</v>
      </c>
      <c r="K56" s="118"/>
      <c r="L56" s="118">
        <v>1</v>
      </c>
      <c r="M56" s="142">
        <v>1</v>
      </c>
      <c r="N56" s="118" t="s">
        <v>627</v>
      </c>
      <c r="O56" s="118" t="s">
        <v>1142</v>
      </c>
      <c r="P56" s="118" t="s">
        <v>628</v>
      </c>
      <c r="Q56" s="118">
        <v>1</v>
      </c>
      <c r="R56" s="118"/>
      <c r="S56" s="118"/>
      <c r="T56" s="118"/>
      <c r="U56" s="118" t="s">
        <v>629</v>
      </c>
      <c r="V56" s="118" t="s">
        <v>24</v>
      </c>
      <c r="W56" s="118" t="s">
        <v>630</v>
      </c>
      <c r="X56" s="118"/>
      <c r="Y56" s="118"/>
      <c r="Z56" s="118" t="s">
        <v>631</v>
      </c>
      <c r="AA56" s="159">
        <v>1</v>
      </c>
      <c r="AB56" s="160" t="s">
        <v>3157</v>
      </c>
      <c r="AC56" s="122">
        <v>2</v>
      </c>
      <c r="AD56" s="204"/>
      <c r="AE56" s="192">
        <v>1</v>
      </c>
      <c r="AF56" s="205" t="s">
        <v>24</v>
      </c>
      <c r="AG56" s="122" t="s">
        <v>3132</v>
      </c>
      <c r="AH56" s="122" t="s">
        <v>3130</v>
      </c>
      <c r="AI56" s="122" t="s">
        <v>3131</v>
      </c>
      <c r="AJ56" s="122" t="s">
        <v>803</v>
      </c>
      <c r="AK56" s="122" t="s">
        <v>803</v>
      </c>
      <c r="AL56" s="122" t="s">
        <v>3133</v>
      </c>
      <c r="AM56" s="122">
        <v>2.8</v>
      </c>
      <c r="AN56" s="122" t="s">
        <v>3134</v>
      </c>
      <c r="AO56" s="122">
        <v>2.5</v>
      </c>
      <c r="AP56" s="122" t="s">
        <v>1874</v>
      </c>
      <c r="AQ56" s="122" t="s">
        <v>24</v>
      </c>
      <c r="AR56" s="122" t="s">
        <v>24</v>
      </c>
      <c r="AS56" s="122" t="s">
        <v>3135</v>
      </c>
      <c r="AT56" s="122" t="s">
        <v>2875</v>
      </c>
      <c r="AU56" s="122" t="s">
        <v>1875</v>
      </c>
      <c r="AV56" s="161">
        <v>1</v>
      </c>
      <c r="AW56" s="161"/>
      <c r="AX56" s="161"/>
      <c r="AY56" s="161"/>
      <c r="AZ56" s="161"/>
      <c r="BA56" s="161"/>
      <c r="BB56" s="161"/>
      <c r="BC56" s="161"/>
      <c r="BD56" s="162" t="s">
        <v>3156</v>
      </c>
      <c r="BE56" s="150" t="s">
        <v>1876</v>
      </c>
      <c r="BF56" s="150" t="s">
        <v>3136</v>
      </c>
      <c r="BG56" s="150" t="s">
        <v>3137</v>
      </c>
      <c r="BH56" s="150" t="s">
        <v>2470</v>
      </c>
      <c r="BI56" s="150" t="s">
        <v>3138</v>
      </c>
      <c r="BJ56" s="258" t="s">
        <v>3170</v>
      </c>
      <c r="BK56" s="151" t="s">
        <v>3158</v>
      </c>
      <c r="BL56" s="150">
        <v>0.47966399999999998</v>
      </c>
      <c r="BM56" s="150" t="s">
        <v>24</v>
      </c>
      <c r="BN56" s="150">
        <f>0.553545-Table664[[#This Row],[Outcome1_M]]</f>
        <v>7.3880999999999974E-2</v>
      </c>
      <c r="BO56" s="151" t="s">
        <v>3159</v>
      </c>
      <c r="BP56" s="150">
        <v>0.288246</v>
      </c>
      <c r="BQ56" s="150" t="s">
        <v>24</v>
      </c>
      <c r="BR56" s="150">
        <f>0.385634-Table664[[#This Row],[Outcome2_M]]</f>
        <v>9.7387999999999975E-2</v>
      </c>
      <c r="BS56" s="290" t="s">
        <v>3174</v>
      </c>
      <c r="BT56" s="289" t="s">
        <v>3173</v>
      </c>
      <c r="BU56" s="151" t="s">
        <v>3160</v>
      </c>
      <c r="BV56" s="266">
        <v>0.27313399999999999</v>
      </c>
      <c r="BW56" s="228" t="s">
        <v>24</v>
      </c>
      <c r="BX56" s="266">
        <f>0.378918-Table664[[#This Row],[Outcome3_M]]</f>
        <v>0.10578399999999999</v>
      </c>
      <c r="BY56" s="151" t="s">
        <v>3161</v>
      </c>
      <c r="BZ56" s="150">
        <v>6.9962700000000003E-2</v>
      </c>
      <c r="CA56" s="150" t="s">
        <v>24</v>
      </c>
      <c r="CB56" s="150">
        <f>0.162313-Table664[[#This Row],[Outcome4_M]]</f>
        <v>9.235030000000001E-2</v>
      </c>
      <c r="CC56" s="290"/>
      <c r="CD56" s="291"/>
      <c r="CE56" s="278"/>
      <c r="CF56" s="285"/>
      <c r="CG56" s="151" t="s">
        <v>3162</v>
      </c>
      <c r="CH56" s="150">
        <v>0.25298500000000002</v>
      </c>
      <c r="CI56" s="150" t="s">
        <v>24</v>
      </c>
      <c r="CJ56" s="150">
        <f>0.338619-Table664[[#This Row],[Outcome5_M]]</f>
        <v>8.5633999999999988E-2</v>
      </c>
      <c r="CK56" s="151" t="s">
        <v>3163</v>
      </c>
      <c r="CL56" s="150">
        <v>-2.7425399999999999E-2</v>
      </c>
      <c r="CM56" s="150" t="s">
        <v>24</v>
      </c>
      <c r="CN56" s="150">
        <f>-0.069403-Table664[[#This Row],[Outcome6_M]]</f>
        <v>-4.1977600000000004E-2</v>
      </c>
      <c r="CO56" s="302"/>
      <c r="CP56" s="303"/>
      <c r="CQ56" s="151" t="s">
        <v>3164</v>
      </c>
      <c r="CR56" s="150">
        <v>0.298321</v>
      </c>
      <c r="CS56" s="150" t="s">
        <v>24</v>
      </c>
      <c r="CT56" s="150">
        <f>0.43097-Table664[[#This Row],[Outcome7_M]]</f>
        <v>0.13264900000000002</v>
      </c>
      <c r="CU56" s="151" t="s">
        <v>3165</v>
      </c>
      <c r="CV56" s="150">
        <v>-2.0709000000000002E-2</v>
      </c>
      <c r="CW56" s="150" t="s">
        <v>24</v>
      </c>
      <c r="CX56" s="150">
        <f>-0.0777985-Table664[[#This Row],[Outcome8_M]]</f>
        <v>-5.7089500000000001E-2</v>
      </c>
      <c r="CY56" s="302"/>
      <c r="CZ56" s="303"/>
      <c r="DA56" s="278"/>
      <c r="DB56" s="279"/>
      <c r="DC56" s="150" t="s">
        <v>24</v>
      </c>
      <c r="DD56" s="150"/>
      <c r="DE56" s="150"/>
      <c r="DF56" s="150"/>
      <c r="DG56" s="151"/>
      <c r="DH56" s="150"/>
      <c r="DI56" s="150"/>
      <c r="DJ56" s="150"/>
      <c r="DK56" s="303"/>
      <c r="DL56" s="303"/>
      <c r="DM56" s="150"/>
      <c r="DN56" s="150"/>
      <c r="DO56" s="150"/>
      <c r="DP56" s="150"/>
      <c r="DQ56" s="150"/>
      <c r="DR56" s="150"/>
      <c r="DS56" s="150"/>
      <c r="DT56" s="150"/>
      <c r="DU56" s="303"/>
      <c r="DV56" s="303"/>
      <c r="DW56" s="279"/>
      <c r="DX56" s="150"/>
      <c r="DY56" s="150"/>
      <c r="DZ56" s="150"/>
      <c r="EA56" s="150"/>
      <c r="EB56" s="150"/>
      <c r="EC56" s="150"/>
      <c r="ED56" s="150"/>
      <c r="EE56" s="150"/>
      <c r="EF56" s="303"/>
      <c r="EG56" s="303"/>
      <c r="EH56" s="150"/>
      <c r="EI56" s="150"/>
      <c r="EJ56" s="150"/>
      <c r="EK56" s="150"/>
    </row>
    <row r="57" spans="1:141">
      <c r="A57" s="79" t="s">
        <v>1019</v>
      </c>
      <c r="B57" s="364">
        <v>29</v>
      </c>
      <c r="C57" s="123" t="s">
        <v>2094</v>
      </c>
      <c r="D57" s="124" t="s">
        <v>2349</v>
      </c>
      <c r="E57" s="125">
        <v>2013</v>
      </c>
      <c r="F57" s="79">
        <v>23474020</v>
      </c>
      <c r="G57" s="79">
        <v>1</v>
      </c>
      <c r="H57" s="126"/>
      <c r="I57" s="127"/>
      <c r="J57" s="79">
        <v>1</v>
      </c>
      <c r="K57" s="79"/>
      <c r="L57" s="153">
        <v>1</v>
      </c>
      <c r="M57" s="128">
        <v>2</v>
      </c>
      <c r="N57" s="79" t="s">
        <v>1419</v>
      </c>
      <c r="O57" s="79" t="s">
        <v>1216</v>
      </c>
      <c r="P57" s="79" t="s">
        <v>1127</v>
      </c>
      <c r="Q57" s="79"/>
      <c r="R57" s="79" t="s">
        <v>1487</v>
      </c>
      <c r="S57" s="79"/>
      <c r="T57" s="79"/>
      <c r="U57" s="79" t="s">
        <v>1418</v>
      </c>
      <c r="V57" s="79"/>
      <c r="W57" s="79"/>
      <c r="X57" s="79"/>
      <c r="Y57" s="79" t="s">
        <v>1666</v>
      </c>
      <c r="Z57" s="79" t="s">
        <v>1665</v>
      </c>
      <c r="AA57" s="154">
        <v>1</v>
      </c>
      <c r="AB57" s="189" t="s">
        <v>3178</v>
      </c>
      <c r="AC57" s="121">
        <v>4</v>
      </c>
      <c r="AD57" s="202" t="s">
        <v>3176</v>
      </c>
      <c r="AE57" s="192">
        <v>0</v>
      </c>
      <c r="AF57" s="203" t="s">
        <v>3203</v>
      </c>
      <c r="AG57" s="121" t="s">
        <v>3180</v>
      </c>
      <c r="AH57" s="121" t="s">
        <v>3179</v>
      </c>
      <c r="AI57" s="121" t="s">
        <v>3179</v>
      </c>
      <c r="AJ57" s="121" t="s">
        <v>1878</v>
      </c>
      <c r="AK57" s="121" t="s">
        <v>1878</v>
      </c>
      <c r="AL57" s="121" t="s">
        <v>24</v>
      </c>
      <c r="AM57" s="121" t="s">
        <v>24</v>
      </c>
      <c r="AN57" s="121" t="s">
        <v>24</v>
      </c>
      <c r="AO57" s="121" t="s">
        <v>24</v>
      </c>
      <c r="AP57" s="121" t="s">
        <v>2963</v>
      </c>
      <c r="AQ57" s="121">
        <v>1</v>
      </c>
      <c r="AR57" s="121">
        <v>1</v>
      </c>
      <c r="AS57" s="121"/>
      <c r="AT57" s="121" t="s">
        <v>2912</v>
      </c>
      <c r="AU57" s="121" t="s">
        <v>2798</v>
      </c>
      <c r="AV57" s="156">
        <v>1</v>
      </c>
      <c r="AW57" s="156"/>
      <c r="AX57" s="156"/>
      <c r="AY57" s="156"/>
      <c r="AZ57" s="156"/>
      <c r="BA57" s="156"/>
      <c r="BB57" s="156"/>
      <c r="BC57" s="156"/>
      <c r="BD57" s="157" t="s">
        <v>3194</v>
      </c>
      <c r="BE57" s="134" t="s">
        <v>1876</v>
      </c>
      <c r="BF57" s="134" t="s">
        <v>3177</v>
      </c>
      <c r="BG57" s="134" t="s">
        <v>3193</v>
      </c>
      <c r="BH57" s="134" t="s">
        <v>3175</v>
      </c>
      <c r="BI57" s="134" t="s">
        <v>2659</v>
      </c>
      <c r="BJ57" s="259" t="s">
        <v>3202</v>
      </c>
      <c r="BK57" s="138" t="s">
        <v>3181</v>
      </c>
      <c r="BL57" s="134">
        <v>58.611199999999997</v>
      </c>
      <c r="BM57" s="134" t="s">
        <v>24</v>
      </c>
      <c r="BN57" s="134">
        <f>61.3098-Table664[[#This Row],[Outcome1_M]]</f>
        <v>2.6986000000000061</v>
      </c>
      <c r="BO57" s="138" t="s">
        <v>3182</v>
      </c>
      <c r="BP57" s="134">
        <v>32.091999999999999</v>
      </c>
      <c r="BQ57" s="134" t="s">
        <v>24</v>
      </c>
      <c r="BR57" s="134">
        <f>33.9967-Table664[[#This Row],[Outcome2_M]]</f>
        <v>1.9046999999999983</v>
      </c>
      <c r="BS57" s="288" t="s">
        <v>3195</v>
      </c>
      <c r="BT57" s="289" t="s">
        <v>3060</v>
      </c>
      <c r="BU57" s="138" t="s">
        <v>3183</v>
      </c>
      <c r="BV57" s="134">
        <v>55.651400000000002</v>
      </c>
      <c r="BW57" s="134" t="s">
        <v>24</v>
      </c>
      <c r="BX57" s="134">
        <f>58.9847-Table664[[#This Row],[Outcome3_M]]</f>
        <v>3.3332999999999942</v>
      </c>
      <c r="BY57" s="138" t="s">
        <v>3184</v>
      </c>
      <c r="BZ57" s="134">
        <v>33.735399999999998</v>
      </c>
      <c r="CA57" s="134" t="s">
        <v>24</v>
      </c>
      <c r="CB57" s="134">
        <f>35.9578-Table664[[#This Row],[Outcome4_M]]</f>
        <v>2.2224000000000004</v>
      </c>
      <c r="CC57" s="288" t="s">
        <v>3196</v>
      </c>
      <c r="CD57" s="289" t="s">
        <v>3060</v>
      </c>
      <c r="CE57" s="276" t="s">
        <v>24</v>
      </c>
      <c r="CF57" s="308" t="s">
        <v>24</v>
      </c>
      <c r="CG57" s="138" t="s">
        <v>3185</v>
      </c>
      <c r="CH57" s="134">
        <v>51.581000000000003</v>
      </c>
      <c r="CI57" s="134" t="s">
        <v>24</v>
      </c>
      <c r="CJ57" s="134">
        <f>53.6445-Table664[[#This Row],[Outcome5_M]]</f>
        <v>2.0634999999999977</v>
      </c>
      <c r="CK57" s="138" t="s">
        <v>3186</v>
      </c>
      <c r="CL57" s="134">
        <v>32.522100000000002</v>
      </c>
      <c r="CM57" s="134" t="s">
        <v>24</v>
      </c>
      <c r="CN57" s="134">
        <f>34.4269-Table664[[#This Row],[Outcome6_M]]</f>
        <v>1.9048000000000016</v>
      </c>
      <c r="CO57" s="300" t="s">
        <v>3197</v>
      </c>
      <c r="CP57" s="301" t="s">
        <v>3060</v>
      </c>
      <c r="CQ57" s="138" t="s">
        <v>3187</v>
      </c>
      <c r="CR57" s="134">
        <v>59.341299999999997</v>
      </c>
      <c r="CS57" s="134" t="s">
        <v>24</v>
      </c>
      <c r="CT57" s="134">
        <f>61.4511-Table664[[#This Row],[Outcome7_M]]</f>
        <v>2.1097999999999999</v>
      </c>
      <c r="CU57" s="138" t="s">
        <v>3188</v>
      </c>
      <c r="CV57" s="134">
        <v>57.733400000000003</v>
      </c>
      <c r="CW57" s="134" t="s">
        <v>24</v>
      </c>
      <c r="CX57" s="134">
        <f>59.8429-Table664[[#This Row],[Outcome8_M]]</f>
        <v>2.109499999999997</v>
      </c>
      <c r="CY57" s="300" t="s">
        <v>3198</v>
      </c>
      <c r="CZ57" s="301" t="s">
        <v>2480</v>
      </c>
      <c r="DA57" s="276" t="s">
        <v>24</v>
      </c>
      <c r="DB57" s="277" t="s">
        <v>24</v>
      </c>
      <c r="DC57" s="138" t="s">
        <v>3189</v>
      </c>
      <c r="DD57" s="134">
        <v>65.444299999999998</v>
      </c>
      <c r="DE57" s="134" t="s">
        <v>24</v>
      </c>
      <c r="DF57" s="134">
        <f>67.2025-Table664[[#This Row],[Outcome9_M]]</f>
        <v>1.7582000000000022</v>
      </c>
      <c r="DG57" s="138" t="s">
        <v>3190</v>
      </c>
      <c r="DH57" s="134">
        <v>43.616700000000002</v>
      </c>
      <c r="DI57" s="134" t="s">
        <v>24</v>
      </c>
      <c r="DJ57" s="134">
        <f>45.5508-Table664[[#This Row],[Outcome10_M]]</f>
        <v>1.9341000000000008</v>
      </c>
      <c r="DK57" s="301" t="s">
        <v>3199</v>
      </c>
      <c r="DL57" s="301" t="s">
        <v>2410</v>
      </c>
      <c r="DM57" s="138" t="s">
        <v>3191</v>
      </c>
      <c r="DN57" s="134">
        <v>66.096400000000003</v>
      </c>
      <c r="DO57" s="134" t="s">
        <v>24</v>
      </c>
      <c r="DP57" s="134">
        <f>66.6243-Table664[[#This Row],[Outcome11_M]]</f>
        <v>0.52790000000000248</v>
      </c>
      <c r="DQ57" s="138" t="s">
        <v>3192</v>
      </c>
      <c r="DR57" s="134">
        <v>41.632199999999997</v>
      </c>
      <c r="DS57" s="134" t="s">
        <v>24</v>
      </c>
      <c r="DT57" s="134">
        <f>44.0938-Table664[[#This Row],[Outcome12_M]]</f>
        <v>2.4616000000000042</v>
      </c>
      <c r="DU57" s="301" t="s">
        <v>3200</v>
      </c>
      <c r="DV57" s="301" t="s">
        <v>2410</v>
      </c>
      <c r="DW57" s="277" t="s">
        <v>3201</v>
      </c>
      <c r="DX57" s="134" t="s">
        <v>24</v>
      </c>
      <c r="DY57" s="134"/>
      <c r="DZ57" s="134"/>
      <c r="EA57" s="134"/>
      <c r="EB57" s="134"/>
      <c r="EC57" s="134"/>
      <c r="ED57" s="134"/>
      <c r="EE57" s="134"/>
      <c r="EF57" s="301"/>
      <c r="EG57" s="301"/>
      <c r="EH57" s="134"/>
      <c r="EI57" s="134"/>
      <c r="EJ57" s="134"/>
      <c r="EK57" s="134"/>
    </row>
    <row r="58" spans="1:141">
      <c r="A58" s="79" t="s">
        <v>1017</v>
      </c>
      <c r="B58" s="364">
        <v>30</v>
      </c>
      <c r="C58" s="123" t="s">
        <v>2095</v>
      </c>
      <c r="D58" s="124" t="s">
        <v>2350</v>
      </c>
      <c r="E58" s="125">
        <v>2010</v>
      </c>
      <c r="F58" s="79">
        <v>20844476</v>
      </c>
      <c r="G58" s="79">
        <v>1</v>
      </c>
      <c r="H58" s="126">
        <v>1</v>
      </c>
      <c r="I58" s="127"/>
      <c r="J58" s="79">
        <v>1</v>
      </c>
      <c r="K58" s="79"/>
      <c r="L58" s="153">
        <v>1</v>
      </c>
      <c r="M58" s="128">
        <v>2</v>
      </c>
      <c r="N58" s="79" t="s">
        <v>1220</v>
      </c>
      <c r="O58" s="79" t="s">
        <v>1422</v>
      </c>
      <c r="P58" s="79" t="s">
        <v>1127</v>
      </c>
      <c r="Q58" s="79"/>
      <c r="R58" s="79" t="s">
        <v>1488</v>
      </c>
      <c r="S58" s="79"/>
      <c r="T58" s="79"/>
      <c r="U58" s="79" t="s">
        <v>1501</v>
      </c>
      <c r="V58" s="79"/>
      <c r="W58" s="79" t="s">
        <v>1123</v>
      </c>
      <c r="X58" s="79"/>
      <c r="Y58" s="79" t="s">
        <v>1423</v>
      </c>
      <c r="Z58" s="79"/>
      <c r="AA58" s="165" t="s">
        <v>3003</v>
      </c>
      <c r="AB58" s="166" t="s">
        <v>3205</v>
      </c>
      <c r="AC58" s="120">
        <v>4</v>
      </c>
      <c r="AD58" s="206"/>
      <c r="AE58" s="192">
        <v>0</v>
      </c>
      <c r="AF58" s="207"/>
      <c r="AG58" s="120"/>
      <c r="AH58" s="120"/>
      <c r="AI58" s="120"/>
      <c r="AJ58" s="120" t="s">
        <v>803</v>
      </c>
      <c r="AK58" s="120" t="s">
        <v>803</v>
      </c>
      <c r="AL58" s="120" t="s">
        <v>24</v>
      </c>
      <c r="AM58" s="120" t="s">
        <v>24</v>
      </c>
      <c r="AN58" s="120" t="s">
        <v>24</v>
      </c>
      <c r="AO58" s="120" t="s">
        <v>24</v>
      </c>
      <c r="AP58" s="120"/>
      <c r="AQ58" s="120"/>
      <c r="AR58" s="120"/>
      <c r="AS58" s="120"/>
      <c r="AT58" s="120" t="s">
        <v>1130</v>
      </c>
      <c r="AU58" s="120"/>
      <c r="AV58" s="156">
        <v>1</v>
      </c>
      <c r="AW58" s="156"/>
      <c r="AX58" s="156"/>
      <c r="AY58" s="156"/>
      <c r="AZ58" s="156"/>
      <c r="BA58" s="156"/>
      <c r="BB58" s="156"/>
      <c r="BC58" s="156"/>
      <c r="BD58" s="157" t="s">
        <v>3204</v>
      </c>
      <c r="BE58" s="134"/>
      <c r="BF58" s="134"/>
      <c r="BG58" s="134"/>
      <c r="BH58" s="134" t="s">
        <v>2471</v>
      </c>
      <c r="BI58" s="134"/>
      <c r="BJ58" s="259"/>
      <c r="BK58" s="138"/>
      <c r="BL58" s="134"/>
      <c r="BM58" s="134"/>
      <c r="BN58" s="134"/>
      <c r="BO58" s="138"/>
      <c r="BP58" s="134"/>
      <c r="BQ58" s="134"/>
      <c r="BR58" s="134"/>
      <c r="BS58" s="288"/>
      <c r="BT58" s="289"/>
      <c r="BU58" s="138"/>
      <c r="BV58" s="134"/>
      <c r="BW58" s="134"/>
      <c r="BX58" s="134"/>
      <c r="BY58" s="138"/>
      <c r="BZ58" s="134"/>
      <c r="CA58" s="134"/>
      <c r="CB58" s="134"/>
      <c r="CC58" s="288"/>
      <c r="CD58" s="289"/>
      <c r="CE58" s="276"/>
      <c r="CF58" s="308"/>
      <c r="CG58" s="138"/>
      <c r="CH58" s="134"/>
      <c r="CI58" s="134"/>
      <c r="CJ58" s="134"/>
      <c r="CK58" s="134"/>
      <c r="CL58" s="134"/>
      <c r="CM58" s="134"/>
      <c r="CN58" s="134"/>
      <c r="CO58" s="300"/>
      <c r="CP58" s="301"/>
      <c r="CQ58" s="134"/>
      <c r="CR58" s="134"/>
      <c r="CS58" s="134"/>
      <c r="CT58" s="134"/>
      <c r="CU58" s="134"/>
      <c r="CV58" s="134"/>
      <c r="CW58" s="134"/>
      <c r="CX58" s="134"/>
      <c r="CY58" s="300"/>
      <c r="CZ58" s="301"/>
      <c r="DA58" s="276"/>
      <c r="DB58" s="277"/>
      <c r="DC58" s="134"/>
      <c r="DD58" s="134"/>
      <c r="DE58" s="134"/>
      <c r="DF58" s="134"/>
      <c r="DG58" s="138"/>
      <c r="DH58" s="134"/>
      <c r="DI58" s="134"/>
      <c r="DJ58" s="134"/>
      <c r="DK58" s="301"/>
      <c r="DL58" s="301"/>
      <c r="DM58" s="134"/>
      <c r="DN58" s="134"/>
      <c r="DO58" s="134"/>
      <c r="DP58" s="134"/>
      <c r="DQ58" s="134"/>
      <c r="DR58" s="134"/>
      <c r="DS58" s="134"/>
      <c r="DT58" s="134"/>
      <c r="DU58" s="301"/>
      <c r="DV58" s="301"/>
      <c r="DW58" s="277"/>
      <c r="DX58" s="134"/>
      <c r="DY58" s="134"/>
      <c r="DZ58" s="134"/>
      <c r="EA58" s="134"/>
      <c r="EB58" s="134"/>
      <c r="EC58" s="134"/>
      <c r="ED58" s="134"/>
      <c r="EE58" s="134"/>
      <c r="EF58" s="301"/>
      <c r="EG58" s="301"/>
      <c r="EH58" s="134"/>
      <c r="EI58" s="134"/>
      <c r="EJ58" s="134"/>
      <c r="EK58" s="134"/>
    </row>
    <row r="59" spans="1:141">
      <c r="A59" s="79" t="s">
        <v>1015</v>
      </c>
      <c r="B59" s="364">
        <v>31</v>
      </c>
      <c r="C59" s="123" t="s">
        <v>2096</v>
      </c>
      <c r="D59" s="124" t="s">
        <v>2351</v>
      </c>
      <c r="E59" s="125">
        <v>2015</v>
      </c>
      <c r="F59" s="79">
        <v>25430781</v>
      </c>
      <c r="G59" s="79">
        <v>1</v>
      </c>
      <c r="H59" s="126">
        <v>1</v>
      </c>
      <c r="I59" s="127"/>
      <c r="J59" s="79">
        <v>1</v>
      </c>
      <c r="K59" s="79"/>
      <c r="L59" s="153">
        <v>1</v>
      </c>
      <c r="M59" s="128">
        <v>2</v>
      </c>
      <c r="N59" s="79" t="s">
        <v>1426</v>
      </c>
      <c r="O59" s="79" t="s">
        <v>1216</v>
      </c>
      <c r="P59" s="79" t="s">
        <v>1127</v>
      </c>
      <c r="Q59" s="79"/>
      <c r="R59" s="79" t="s">
        <v>1488</v>
      </c>
      <c r="S59" s="79" t="s">
        <v>803</v>
      </c>
      <c r="T59" s="79" t="s">
        <v>23</v>
      </c>
      <c r="U59" s="79" t="s">
        <v>1427</v>
      </c>
      <c r="V59" s="79" t="s">
        <v>1428</v>
      </c>
      <c r="W59" s="79"/>
      <c r="X59" s="79"/>
      <c r="Y59" s="79" t="s">
        <v>1425</v>
      </c>
      <c r="Z59" s="79"/>
      <c r="AA59" s="165" t="s">
        <v>3003</v>
      </c>
      <c r="AB59" s="166" t="s">
        <v>3205</v>
      </c>
      <c r="AC59" s="120">
        <v>4</v>
      </c>
      <c r="AD59" s="206"/>
      <c r="AE59" s="192">
        <v>0</v>
      </c>
      <c r="AF59" s="207"/>
      <c r="AG59" s="120"/>
      <c r="AH59" s="120"/>
      <c r="AI59" s="120"/>
      <c r="AJ59" s="120"/>
      <c r="AK59" s="120"/>
      <c r="AL59" s="120"/>
      <c r="AM59" s="120"/>
      <c r="AN59" s="120"/>
      <c r="AO59" s="120"/>
      <c r="AP59" s="120"/>
      <c r="AQ59" s="120"/>
      <c r="AR59" s="120"/>
      <c r="AS59" s="120"/>
      <c r="AT59" s="120"/>
      <c r="AU59" s="120"/>
      <c r="AV59" s="156">
        <v>1</v>
      </c>
      <c r="AW59" s="156"/>
      <c r="AX59" s="156"/>
      <c r="AY59" s="156"/>
      <c r="AZ59" s="156">
        <v>1</v>
      </c>
      <c r="BA59" s="156"/>
      <c r="BB59" s="156"/>
      <c r="BC59" s="156"/>
      <c r="BD59" s="157"/>
      <c r="BE59" s="134"/>
      <c r="BF59" s="134"/>
      <c r="BG59" s="134"/>
      <c r="BH59" s="134"/>
      <c r="BI59" s="134"/>
      <c r="BJ59" s="259"/>
      <c r="BK59" s="138"/>
      <c r="BL59" s="134"/>
      <c r="BM59" s="134"/>
      <c r="BN59" s="134"/>
      <c r="BO59" s="138"/>
      <c r="BP59" s="134"/>
      <c r="BQ59" s="134"/>
      <c r="BR59" s="134"/>
      <c r="BS59" s="288"/>
      <c r="BT59" s="289"/>
      <c r="BU59" s="138"/>
      <c r="BV59" s="134"/>
      <c r="BW59" s="134"/>
      <c r="BX59" s="134"/>
      <c r="BY59" s="138"/>
      <c r="BZ59" s="134"/>
      <c r="CA59" s="134"/>
      <c r="CB59" s="134"/>
      <c r="CC59" s="288"/>
      <c r="CD59" s="289"/>
      <c r="CE59" s="276"/>
      <c r="CF59" s="308"/>
      <c r="CG59" s="138"/>
      <c r="CH59" s="134"/>
      <c r="CI59" s="134"/>
      <c r="CJ59" s="134"/>
      <c r="CK59" s="134"/>
      <c r="CL59" s="134"/>
      <c r="CM59" s="134"/>
      <c r="CN59" s="134"/>
      <c r="CO59" s="300"/>
      <c r="CP59" s="301"/>
      <c r="CQ59" s="134"/>
      <c r="CR59" s="134"/>
      <c r="CS59" s="134"/>
      <c r="CT59" s="134"/>
      <c r="CU59" s="134"/>
      <c r="CV59" s="134"/>
      <c r="CW59" s="134"/>
      <c r="CX59" s="134"/>
      <c r="CY59" s="300"/>
      <c r="CZ59" s="301"/>
      <c r="DA59" s="276"/>
      <c r="DB59" s="277"/>
      <c r="DC59" s="134"/>
      <c r="DD59" s="134"/>
      <c r="DE59" s="134"/>
      <c r="DF59" s="134"/>
      <c r="DG59" s="138"/>
      <c r="DH59" s="134"/>
      <c r="DI59" s="134"/>
      <c r="DJ59" s="134"/>
      <c r="DK59" s="301"/>
      <c r="DL59" s="301"/>
      <c r="DM59" s="134"/>
      <c r="DN59" s="134"/>
      <c r="DO59" s="134"/>
      <c r="DP59" s="134"/>
      <c r="DQ59" s="134"/>
      <c r="DR59" s="134"/>
      <c r="DS59" s="134"/>
      <c r="DT59" s="134"/>
      <c r="DU59" s="301"/>
      <c r="DV59" s="301"/>
      <c r="DW59" s="277"/>
      <c r="DX59" s="134"/>
      <c r="DY59" s="134"/>
      <c r="DZ59" s="134"/>
      <c r="EA59" s="134"/>
      <c r="EB59" s="134"/>
      <c r="EC59" s="134"/>
      <c r="ED59" s="134"/>
      <c r="EE59" s="134"/>
      <c r="EF59" s="301"/>
      <c r="EG59" s="301"/>
      <c r="EH59" s="134"/>
      <c r="EI59" s="134"/>
      <c r="EJ59" s="134"/>
      <c r="EK59" s="134"/>
    </row>
    <row r="60" spans="1:141">
      <c r="A60" s="79" t="s">
        <v>231</v>
      </c>
      <c r="B60" s="364">
        <v>32</v>
      </c>
      <c r="C60" s="123" t="s">
        <v>1990</v>
      </c>
      <c r="D60" s="124" t="s">
        <v>2218</v>
      </c>
      <c r="E60" s="125">
        <v>1995</v>
      </c>
      <c r="F60" s="79">
        <v>8547457</v>
      </c>
      <c r="G60" s="79">
        <v>1</v>
      </c>
      <c r="H60" s="126"/>
      <c r="I60" s="127"/>
      <c r="J60" s="79">
        <v>1</v>
      </c>
      <c r="K60" s="79"/>
      <c r="L60" s="79">
        <v>1</v>
      </c>
      <c r="M60" s="128">
        <v>1</v>
      </c>
      <c r="N60" s="79" t="s">
        <v>11</v>
      </c>
      <c r="O60" s="79" t="s">
        <v>1142</v>
      </c>
      <c r="P60" s="79" t="s">
        <v>591</v>
      </c>
      <c r="Q60" s="79">
        <v>1</v>
      </c>
      <c r="R60" s="79"/>
      <c r="S60" s="79"/>
      <c r="T60" s="79"/>
      <c r="U60" s="79" t="s">
        <v>11</v>
      </c>
      <c r="V60" s="79"/>
      <c r="W60" s="79" t="s">
        <v>13</v>
      </c>
      <c r="X60" s="79"/>
      <c r="Y60" s="79"/>
      <c r="Z60" s="79"/>
      <c r="AA60" s="154">
        <v>1</v>
      </c>
      <c r="AB60" s="155"/>
      <c r="AC60" s="121">
        <v>2</v>
      </c>
      <c r="AD60" s="202"/>
      <c r="AE60" s="192">
        <v>0</v>
      </c>
      <c r="AF60" s="203" t="s">
        <v>24</v>
      </c>
      <c r="AG60" s="121">
        <f>Table664[[#This Row],[Subjects_n_ptsd]]+Table664[[#This Row],[Subjects_n_control]]</f>
        <v>19</v>
      </c>
      <c r="AH60" s="121">
        <v>9</v>
      </c>
      <c r="AI60" s="121">
        <v>10</v>
      </c>
      <c r="AJ60" s="121" t="s">
        <v>803</v>
      </c>
      <c r="AK60" s="121" t="s">
        <v>803</v>
      </c>
      <c r="AL60" s="121">
        <v>43</v>
      </c>
      <c r="AM60" s="121">
        <v>2</v>
      </c>
      <c r="AN60" s="121">
        <v>42</v>
      </c>
      <c r="AO60" s="121">
        <v>4</v>
      </c>
      <c r="AP60" s="121" t="s">
        <v>3206</v>
      </c>
      <c r="AQ60" s="121" t="s">
        <v>24</v>
      </c>
      <c r="AR60" s="121" t="s">
        <v>24</v>
      </c>
      <c r="AS60" s="121" t="s">
        <v>3207</v>
      </c>
      <c r="AT60" s="121" t="s">
        <v>2605</v>
      </c>
      <c r="AU60" s="121" t="s">
        <v>2876</v>
      </c>
      <c r="AV60" s="156">
        <v>1</v>
      </c>
      <c r="AW60" s="156"/>
      <c r="AX60" s="156"/>
      <c r="AY60" s="156"/>
      <c r="AZ60" s="156"/>
      <c r="BA60" s="156"/>
      <c r="BB60" s="156"/>
      <c r="BC60" s="156"/>
      <c r="BD60" s="157" t="s">
        <v>1891</v>
      </c>
      <c r="BE60" s="134" t="s">
        <v>1876</v>
      </c>
      <c r="BF60" s="134">
        <v>2</v>
      </c>
      <c r="BG60" s="134" t="s">
        <v>3209</v>
      </c>
      <c r="BH60" s="134" t="s">
        <v>2470</v>
      </c>
      <c r="BI60" s="134" t="s">
        <v>2400</v>
      </c>
      <c r="BJ60" s="259" t="s">
        <v>3218</v>
      </c>
      <c r="BK60" s="138" t="s">
        <v>3210</v>
      </c>
      <c r="BL60" s="134">
        <v>241.339</v>
      </c>
      <c r="BM60" s="134" t="s">
        <v>24</v>
      </c>
      <c r="BN60" s="134">
        <f>297.972-Table664[[#This Row],[Outcome1_M]]</f>
        <v>56.632999999999981</v>
      </c>
      <c r="BO60" s="138" t="s">
        <v>3211</v>
      </c>
      <c r="BP60" s="134">
        <v>102.61</v>
      </c>
      <c r="BQ60" s="134" t="s">
        <v>24</v>
      </c>
      <c r="BR60" s="134">
        <f>122.246-Table664[[#This Row],[Outcome2_M]]</f>
        <v>19.635999999999996</v>
      </c>
      <c r="BS60" s="288" t="s">
        <v>3214</v>
      </c>
      <c r="BT60" s="289" t="s">
        <v>24</v>
      </c>
      <c r="BU60" s="138" t="s">
        <v>3212</v>
      </c>
      <c r="BV60" s="134">
        <v>128.31</v>
      </c>
      <c r="BW60" s="134" t="s">
        <v>24</v>
      </c>
      <c r="BX60" s="134">
        <f>146.8-Table664[[#This Row],[Outcome3_M]]</f>
        <v>18.490000000000009</v>
      </c>
      <c r="BY60" s="138" t="s">
        <v>3213</v>
      </c>
      <c r="BZ60" s="134">
        <v>41.027099999999997</v>
      </c>
      <c r="CA60" s="134" t="s">
        <v>24</v>
      </c>
      <c r="CB60" s="134">
        <f>51.431-Table664[[#This Row],[Outcome4_M]]</f>
        <v>10.4039</v>
      </c>
      <c r="CC60" s="288" t="s">
        <v>3215</v>
      </c>
      <c r="CD60" s="289" t="s">
        <v>24</v>
      </c>
      <c r="CE60" s="276" t="s">
        <v>3216</v>
      </c>
      <c r="CF60" s="308" t="s">
        <v>3217</v>
      </c>
      <c r="CG60" s="138"/>
      <c r="CH60" s="134"/>
      <c r="CI60" s="134"/>
      <c r="CJ60" s="134"/>
      <c r="CK60" s="134"/>
      <c r="CL60" s="134"/>
      <c r="CM60" s="134"/>
      <c r="CN60" s="134"/>
      <c r="CO60" s="300"/>
      <c r="CP60" s="301"/>
      <c r="CQ60" s="134"/>
      <c r="CR60" s="134"/>
      <c r="CS60" s="134"/>
      <c r="CT60" s="134"/>
      <c r="CU60" s="134"/>
      <c r="CV60" s="134"/>
      <c r="CW60" s="134"/>
      <c r="CX60" s="134"/>
      <c r="CY60" s="300"/>
      <c r="CZ60" s="301"/>
      <c r="DA60" s="276"/>
      <c r="DB60" s="277"/>
      <c r="DC60" s="134"/>
      <c r="DD60" s="134"/>
      <c r="DE60" s="134"/>
      <c r="DF60" s="134"/>
      <c r="DG60" s="138"/>
      <c r="DH60" s="134"/>
      <c r="DI60" s="134"/>
      <c r="DJ60" s="134"/>
      <c r="DK60" s="301"/>
      <c r="DL60" s="301"/>
      <c r="DM60" s="134"/>
      <c r="DN60" s="134"/>
      <c r="DO60" s="134"/>
      <c r="DP60" s="134"/>
      <c r="DQ60" s="134"/>
      <c r="DR60" s="134"/>
      <c r="DS60" s="134"/>
      <c r="DT60" s="134"/>
      <c r="DU60" s="301"/>
      <c r="DV60" s="301"/>
      <c r="DW60" s="277"/>
      <c r="DX60" s="134"/>
      <c r="DY60" s="134"/>
      <c r="DZ60" s="134"/>
      <c r="EA60" s="134"/>
      <c r="EB60" s="134"/>
      <c r="EC60" s="134"/>
      <c r="ED60" s="134"/>
      <c r="EE60" s="134"/>
      <c r="EF60" s="301"/>
      <c r="EG60" s="301"/>
      <c r="EH60" s="134"/>
      <c r="EI60" s="134"/>
      <c r="EJ60" s="134"/>
      <c r="EK60" s="134"/>
    </row>
    <row r="61" spans="1:141">
      <c r="A61" s="79" t="s">
        <v>1013</v>
      </c>
      <c r="B61" s="117">
        <v>33</v>
      </c>
      <c r="C61" s="123" t="s">
        <v>2097</v>
      </c>
      <c r="D61" s="124" t="s">
        <v>2352</v>
      </c>
      <c r="E61" s="125">
        <v>2014</v>
      </c>
      <c r="F61" s="79">
        <v>24583372</v>
      </c>
      <c r="G61" s="79">
        <v>1</v>
      </c>
      <c r="H61" s="126"/>
      <c r="I61" s="127"/>
      <c r="J61" s="79">
        <v>1</v>
      </c>
      <c r="K61" s="79"/>
      <c r="L61" s="79">
        <v>1</v>
      </c>
      <c r="M61" s="128">
        <v>2</v>
      </c>
      <c r="N61" s="79" t="s">
        <v>1327</v>
      </c>
      <c r="O61" s="79" t="s">
        <v>1216</v>
      </c>
      <c r="P61" s="79" t="s">
        <v>1433</v>
      </c>
      <c r="Q61" s="79"/>
      <c r="R61" s="79" t="s">
        <v>1431</v>
      </c>
      <c r="S61" s="79" t="s">
        <v>803</v>
      </c>
      <c r="T61" s="79"/>
      <c r="U61" s="79" t="s">
        <v>1432</v>
      </c>
      <c r="V61" s="79" t="s">
        <v>1434</v>
      </c>
      <c r="W61" s="79"/>
      <c r="X61" s="79"/>
      <c r="Y61" s="79"/>
      <c r="Z61" s="79"/>
      <c r="AA61" s="154">
        <v>1</v>
      </c>
      <c r="AB61" s="155"/>
      <c r="AC61" s="121">
        <v>4</v>
      </c>
      <c r="AD61" s="202" t="s">
        <v>3228</v>
      </c>
      <c r="AE61" s="192">
        <v>0</v>
      </c>
      <c r="AF61" s="203">
        <v>0</v>
      </c>
      <c r="AG61" s="121">
        <f>Table664[[#This Row],[Subjects_n_ptsd]]+Table664[[#This Row],[Subjects_n_control]]</f>
        <v>15</v>
      </c>
      <c r="AH61" s="121">
        <v>5</v>
      </c>
      <c r="AI61" s="121">
        <v>10</v>
      </c>
      <c r="AJ61" s="121" t="s">
        <v>803</v>
      </c>
      <c r="AK61" s="121" t="s">
        <v>803</v>
      </c>
      <c r="AL61" s="121" t="s">
        <v>3220</v>
      </c>
      <c r="AM61" s="121" t="s">
        <v>24</v>
      </c>
      <c r="AN61" s="121" t="s">
        <v>3220</v>
      </c>
      <c r="AO61" s="121" t="s">
        <v>24</v>
      </c>
      <c r="AP61" s="121" t="s">
        <v>3219</v>
      </c>
      <c r="AQ61" s="121">
        <v>1</v>
      </c>
      <c r="AR61" s="121">
        <v>1</v>
      </c>
      <c r="AS61" s="121" t="s">
        <v>3221</v>
      </c>
      <c r="AT61" s="121" t="s">
        <v>1130</v>
      </c>
      <c r="AU61" s="121" t="s">
        <v>3223</v>
      </c>
      <c r="AV61" s="156">
        <v>1</v>
      </c>
      <c r="AW61" s="156"/>
      <c r="AX61" s="156"/>
      <c r="AY61" s="156"/>
      <c r="AZ61" s="156">
        <v>1</v>
      </c>
      <c r="BA61" s="156"/>
      <c r="BB61" s="156"/>
      <c r="BC61" s="156"/>
      <c r="BD61" s="157" t="s">
        <v>2879</v>
      </c>
      <c r="BE61" s="134" t="s">
        <v>1876</v>
      </c>
      <c r="BF61" s="134">
        <v>2</v>
      </c>
      <c r="BG61" s="134" t="s">
        <v>3222</v>
      </c>
      <c r="BH61" s="134" t="s">
        <v>2471</v>
      </c>
      <c r="BI61" s="134" t="s">
        <v>3224</v>
      </c>
      <c r="BJ61" s="259" t="s">
        <v>3225</v>
      </c>
      <c r="BK61" s="138" t="s">
        <v>3226</v>
      </c>
      <c r="BL61" s="134">
        <v>84.173900000000003</v>
      </c>
      <c r="BM61" s="134" t="s">
        <v>3228</v>
      </c>
      <c r="BN61" s="134">
        <f>88.575-Table664[[#This Row],[Outcome1_M]]</f>
        <v>4.4010999999999996</v>
      </c>
      <c r="BO61" s="138" t="s">
        <v>3227</v>
      </c>
      <c r="BP61" s="134">
        <v>84.173000000000002</v>
      </c>
      <c r="BQ61" s="134" t="s">
        <v>3228</v>
      </c>
      <c r="BR61" s="134">
        <f>90.9985-Table664[[#This Row],[Outcome2_M]]</f>
        <v>6.8255000000000052</v>
      </c>
      <c r="BS61" s="288" t="s">
        <v>3229</v>
      </c>
      <c r="BT61" s="289" t="s">
        <v>3230</v>
      </c>
      <c r="BU61" s="138"/>
      <c r="BV61" s="134"/>
      <c r="BW61" s="134"/>
      <c r="BX61" s="134"/>
      <c r="BY61" s="138"/>
      <c r="BZ61" s="134"/>
      <c r="CA61" s="134"/>
      <c r="CB61" s="134"/>
      <c r="CC61" s="288"/>
      <c r="CD61" s="289"/>
      <c r="CE61" s="276"/>
      <c r="CF61" s="308"/>
      <c r="CG61" s="138"/>
      <c r="CH61" s="134"/>
      <c r="CI61" s="134"/>
      <c r="CJ61" s="134"/>
      <c r="CK61" s="134"/>
      <c r="CL61" s="134"/>
      <c r="CM61" s="134"/>
      <c r="CN61" s="134"/>
      <c r="CO61" s="300"/>
      <c r="CP61" s="301"/>
      <c r="CQ61" s="134"/>
      <c r="CR61" s="134"/>
      <c r="CS61" s="134"/>
      <c r="CT61" s="134"/>
      <c r="CU61" s="134"/>
      <c r="CV61" s="134"/>
      <c r="CW61" s="134"/>
      <c r="CX61" s="134"/>
      <c r="CY61" s="300"/>
      <c r="CZ61" s="301"/>
      <c r="DA61" s="276"/>
      <c r="DB61" s="277"/>
      <c r="DC61" s="134"/>
      <c r="DD61" s="134"/>
      <c r="DE61" s="134"/>
      <c r="DF61" s="134"/>
      <c r="DG61" s="138"/>
      <c r="DH61" s="134"/>
      <c r="DI61" s="134"/>
      <c r="DJ61" s="134"/>
      <c r="DK61" s="301"/>
      <c r="DL61" s="301"/>
      <c r="DM61" s="134"/>
      <c r="DN61" s="134"/>
      <c r="DO61" s="134"/>
      <c r="DP61" s="134"/>
      <c r="DQ61" s="134"/>
      <c r="DR61" s="134"/>
      <c r="DS61" s="134"/>
      <c r="DT61" s="134"/>
      <c r="DU61" s="301"/>
      <c r="DV61" s="301"/>
      <c r="DW61" s="277"/>
      <c r="DX61" s="134"/>
      <c r="DY61" s="134"/>
      <c r="DZ61" s="134"/>
      <c r="EA61" s="134"/>
      <c r="EB61" s="134"/>
      <c r="EC61" s="134"/>
      <c r="ED61" s="134"/>
      <c r="EE61" s="134"/>
      <c r="EF61" s="301"/>
      <c r="EG61" s="301"/>
      <c r="EH61" s="134"/>
      <c r="EI61" s="134"/>
      <c r="EJ61" s="134"/>
      <c r="EK61" s="134"/>
    </row>
    <row r="62" spans="1:141">
      <c r="A62" s="79" t="s">
        <v>1011</v>
      </c>
      <c r="B62" s="117">
        <v>34</v>
      </c>
      <c r="C62" s="123" t="s">
        <v>2098</v>
      </c>
      <c r="D62" s="124" t="s">
        <v>2353</v>
      </c>
      <c r="E62" s="125">
        <v>2010</v>
      </c>
      <c r="F62" s="79">
        <v>20599458</v>
      </c>
      <c r="G62" s="79">
        <v>1</v>
      </c>
      <c r="H62" s="126">
        <v>1</v>
      </c>
      <c r="I62" s="127"/>
      <c r="J62" s="79">
        <v>1</v>
      </c>
      <c r="K62" s="79"/>
      <c r="L62" s="153">
        <v>1</v>
      </c>
      <c r="M62" s="128">
        <v>2</v>
      </c>
      <c r="N62" s="79" t="s">
        <v>1220</v>
      </c>
      <c r="O62" s="79" t="s">
        <v>1212</v>
      </c>
      <c r="P62" s="79" t="s">
        <v>1127</v>
      </c>
      <c r="Q62" s="79"/>
      <c r="R62" s="79" t="s">
        <v>1501</v>
      </c>
      <c r="S62" s="79"/>
      <c r="T62" s="79"/>
      <c r="U62" s="79" t="s">
        <v>1438</v>
      </c>
      <c r="V62" s="79"/>
      <c r="W62" s="79"/>
      <c r="X62" s="79"/>
      <c r="Y62" s="79" t="s">
        <v>1439</v>
      </c>
      <c r="Z62" s="79"/>
      <c r="AA62" s="233" t="s">
        <v>1917</v>
      </c>
      <c r="AB62" s="234" t="s">
        <v>3309</v>
      </c>
      <c r="AC62" s="135">
        <v>4</v>
      </c>
      <c r="AD62" s="235" t="s">
        <v>3238</v>
      </c>
      <c r="AE62" s="192">
        <v>2</v>
      </c>
      <c r="AF62" s="237" t="s">
        <v>3242</v>
      </c>
      <c r="AG62" s="246">
        <v>10</v>
      </c>
      <c r="AH62" s="135" t="s">
        <v>3235</v>
      </c>
      <c r="AI62" s="135" t="s">
        <v>24</v>
      </c>
      <c r="AJ62" s="135" t="s">
        <v>803</v>
      </c>
      <c r="AK62" s="135" t="s">
        <v>24</v>
      </c>
      <c r="AL62" s="135" t="s">
        <v>3234</v>
      </c>
      <c r="AM62" s="135" t="s">
        <v>24</v>
      </c>
      <c r="AN62" s="135" t="s">
        <v>24</v>
      </c>
      <c r="AO62" s="135" t="s">
        <v>24</v>
      </c>
      <c r="AP62" s="135" t="s">
        <v>3231</v>
      </c>
      <c r="AQ62" s="135">
        <v>1</v>
      </c>
      <c r="AR62" s="135" t="s">
        <v>3336</v>
      </c>
      <c r="AS62" s="135" t="s">
        <v>24</v>
      </c>
      <c r="AT62" s="135" t="s">
        <v>2912</v>
      </c>
      <c r="AU62" s="135" t="s">
        <v>3236</v>
      </c>
      <c r="AV62" s="156">
        <v>1</v>
      </c>
      <c r="AW62" s="156"/>
      <c r="AX62" s="156"/>
      <c r="AY62" s="156"/>
      <c r="AZ62" s="156"/>
      <c r="BA62" s="156"/>
      <c r="BB62" s="156"/>
      <c r="BC62" s="156"/>
      <c r="BD62" s="157" t="s">
        <v>2529</v>
      </c>
      <c r="BE62" s="134" t="s">
        <v>2789</v>
      </c>
      <c r="BF62" s="134" t="s">
        <v>3233</v>
      </c>
      <c r="BG62" s="134" t="s">
        <v>3232</v>
      </c>
      <c r="BH62" s="134" t="s">
        <v>2471</v>
      </c>
      <c r="BI62" s="134" t="s">
        <v>3237</v>
      </c>
      <c r="BJ62" s="259" t="s">
        <v>3275</v>
      </c>
      <c r="BK62" s="138" t="s">
        <v>3246</v>
      </c>
      <c r="BL62" s="134">
        <v>175.61500000000001</v>
      </c>
      <c r="BM62" s="134" t="s">
        <v>24</v>
      </c>
      <c r="BN62" s="134">
        <f>203.637-Table664[[#This Row],[Outcome1_M]]</f>
        <v>28.021999999999991</v>
      </c>
      <c r="BO62" s="268" t="s">
        <v>3251</v>
      </c>
      <c r="BP62" s="134">
        <v>98.436499999999995</v>
      </c>
      <c r="BQ62" s="134" t="s">
        <v>24</v>
      </c>
      <c r="BR62" s="134">
        <f>119.039-Table664[[#This Row],[Outcome2_M]]</f>
        <v>20.602500000000006</v>
      </c>
      <c r="BS62" s="288" t="s">
        <v>24</v>
      </c>
      <c r="BT62" s="289" t="s">
        <v>24</v>
      </c>
      <c r="BU62" s="268" t="s">
        <v>3257</v>
      </c>
      <c r="BV62" s="134">
        <v>64.945300000000003</v>
      </c>
      <c r="BW62" s="134" t="s">
        <v>24</v>
      </c>
      <c r="BX62" s="134">
        <f>87.195-Table664[[#This Row],[Outcome3_M]]</f>
        <v>22.24969999999999</v>
      </c>
      <c r="BY62" s="134" t="s">
        <v>24</v>
      </c>
      <c r="BZ62" s="134" t="s">
        <v>24</v>
      </c>
      <c r="CA62" s="134" t="s">
        <v>24</v>
      </c>
      <c r="CB62" s="134" t="s">
        <v>24</v>
      </c>
      <c r="CC62" s="288" t="s">
        <v>3263</v>
      </c>
      <c r="CD62" s="289" t="s">
        <v>3264</v>
      </c>
      <c r="CE62" s="276"/>
      <c r="CF62" s="308"/>
      <c r="CG62" s="138"/>
      <c r="CH62" s="134"/>
      <c r="CI62" s="134"/>
      <c r="CJ62" s="134"/>
      <c r="CK62" s="134"/>
      <c r="CL62" s="134"/>
      <c r="CM62" s="134"/>
      <c r="CN62" s="134"/>
      <c r="CO62" s="300"/>
      <c r="CP62" s="301"/>
      <c r="CQ62" s="134"/>
      <c r="CR62" s="134"/>
      <c r="CS62" s="134"/>
      <c r="CT62" s="134"/>
      <c r="CU62" s="134"/>
      <c r="CV62" s="134"/>
      <c r="CW62" s="134"/>
      <c r="CX62" s="134"/>
      <c r="CY62" s="300"/>
      <c r="CZ62" s="301"/>
      <c r="DA62" s="276"/>
      <c r="DB62" s="277"/>
      <c r="DC62" s="134"/>
      <c r="DD62" s="134"/>
      <c r="DE62" s="134"/>
      <c r="DF62" s="134"/>
      <c r="DG62" s="138"/>
      <c r="DH62" s="134"/>
      <c r="DI62" s="134"/>
      <c r="DJ62" s="134"/>
      <c r="DK62" s="301"/>
      <c r="DL62" s="301"/>
      <c r="DM62" s="134"/>
      <c r="DN62" s="134"/>
      <c r="DO62" s="134"/>
      <c r="DP62" s="134"/>
      <c r="DQ62" s="134"/>
      <c r="DR62" s="134"/>
      <c r="DS62" s="134"/>
      <c r="DT62" s="134"/>
      <c r="DU62" s="301"/>
      <c r="DV62" s="301"/>
      <c r="DW62" s="277"/>
      <c r="DX62" s="134"/>
      <c r="DY62" s="134"/>
      <c r="DZ62" s="134"/>
      <c r="EA62" s="134"/>
      <c r="EB62" s="134"/>
      <c r="EC62" s="134"/>
      <c r="ED62" s="134"/>
      <c r="EE62" s="134"/>
      <c r="EF62" s="301"/>
      <c r="EG62" s="301"/>
      <c r="EH62" s="134"/>
      <c r="EI62" s="134"/>
      <c r="EJ62" s="134"/>
      <c r="EK62" s="134"/>
    </row>
    <row r="63" spans="1:141" s="119" customFormat="1">
      <c r="A63" s="118" t="s">
        <v>1011</v>
      </c>
      <c r="B63" s="117">
        <v>34</v>
      </c>
      <c r="C63" s="139" t="s">
        <v>2098</v>
      </c>
      <c r="D63" s="140" t="s">
        <v>2353</v>
      </c>
      <c r="E63" s="141">
        <v>2010</v>
      </c>
      <c r="F63" s="118">
        <v>20599458</v>
      </c>
      <c r="G63" s="118">
        <v>1</v>
      </c>
      <c r="H63" s="118">
        <v>1</v>
      </c>
      <c r="I63" s="118"/>
      <c r="J63" s="118">
        <v>1</v>
      </c>
      <c r="K63" s="118"/>
      <c r="L63" s="158">
        <v>1</v>
      </c>
      <c r="M63" s="142">
        <v>2</v>
      </c>
      <c r="N63" s="118" t="s">
        <v>1220</v>
      </c>
      <c r="O63" s="118" t="s">
        <v>1212</v>
      </c>
      <c r="P63" s="118" t="s">
        <v>1127</v>
      </c>
      <c r="Q63" s="118"/>
      <c r="R63" s="118" t="s">
        <v>1501</v>
      </c>
      <c r="S63" s="118"/>
      <c r="T63" s="118"/>
      <c r="U63" s="118" t="s">
        <v>1438</v>
      </c>
      <c r="V63" s="118"/>
      <c r="W63" s="118"/>
      <c r="X63" s="118"/>
      <c r="Y63" s="118" t="s">
        <v>1439</v>
      </c>
      <c r="Z63" s="118"/>
      <c r="AA63" s="233" t="s">
        <v>1917</v>
      </c>
      <c r="AB63" s="234" t="s">
        <v>3309</v>
      </c>
      <c r="AC63" s="152">
        <v>4</v>
      </c>
      <c r="AD63" s="242" t="s">
        <v>3238</v>
      </c>
      <c r="AE63" s="192">
        <v>2</v>
      </c>
      <c r="AF63" s="243" t="s">
        <v>3241</v>
      </c>
      <c r="AG63" s="247" t="s">
        <v>3273</v>
      </c>
      <c r="AH63" s="152" t="s">
        <v>3271</v>
      </c>
      <c r="AI63" s="152" t="s">
        <v>24</v>
      </c>
      <c r="AJ63" s="152" t="s">
        <v>803</v>
      </c>
      <c r="AK63" s="152" t="s">
        <v>24</v>
      </c>
      <c r="AL63" s="152" t="s">
        <v>3234</v>
      </c>
      <c r="AM63" s="152" t="s">
        <v>24</v>
      </c>
      <c r="AN63" s="152" t="s">
        <v>24</v>
      </c>
      <c r="AO63" s="152" t="s">
        <v>24</v>
      </c>
      <c r="AP63" s="152" t="s">
        <v>3231</v>
      </c>
      <c r="AQ63" s="152">
        <v>1</v>
      </c>
      <c r="AR63" s="135" t="s">
        <v>3336</v>
      </c>
      <c r="AS63" s="152" t="s">
        <v>24</v>
      </c>
      <c r="AT63" s="152" t="s">
        <v>2912</v>
      </c>
      <c r="AU63" s="152" t="s">
        <v>3236</v>
      </c>
      <c r="AV63" s="161">
        <v>1</v>
      </c>
      <c r="AW63" s="161"/>
      <c r="AX63" s="161"/>
      <c r="AY63" s="161"/>
      <c r="AZ63" s="161"/>
      <c r="BA63" s="161"/>
      <c r="BB63" s="161"/>
      <c r="BC63" s="161"/>
      <c r="BD63" s="162" t="s">
        <v>2529</v>
      </c>
      <c r="BE63" s="150" t="s">
        <v>2789</v>
      </c>
      <c r="BF63" s="150" t="s">
        <v>3233</v>
      </c>
      <c r="BG63" s="150" t="s">
        <v>3232</v>
      </c>
      <c r="BH63" s="150" t="s">
        <v>2471</v>
      </c>
      <c r="BI63" s="150" t="s">
        <v>3237</v>
      </c>
      <c r="BJ63" s="258" t="s">
        <v>3275</v>
      </c>
      <c r="BK63" s="151" t="s">
        <v>3245</v>
      </c>
      <c r="BL63" s="150">
        <v>223.06100000000001</v>
      </c>
      <c r="BM63" s="150" t="s">
        <v>24</v>
      </c>
      <c r="BN63" s="150">
        <f>241.429-Table664[[#This Row],[Outcome1_M]]</f>
        <v>18.367999999999995</v>
      </c>
      <c r="BO63" s="269" t="s">
        <v>3252</v>
      </c>
      <c r="BP63" s="150">
        <v>178.571</v>
      </c>
      <c r="BQ63" s="150" t="s">
        <v>24</v>
      </c>
      <c r="BR63" s="150">
        <f>200.204-Table664[[#This Row],[Outcome2_M]]</f>
        <v>21.63300000000001</v>
      </c>
      <c r="BS63" s="290" t="s">
        <v>24</v>
      </c>
      <c r="BT63" s="291" t="s">
        <v>24</v>
      </c>
      <c r="BU63" s="269" t="s">
        <v>3258</v>
      </c>
      <c r="BV63" s="150">
        <v>120.61199999999999</v>
      </c>
      <c r="BW63" s="150" t="s">
        <v>24</v>
      </c>
      <c r="BX63" s="150">
        <f>141.837-Table664[[#This Row],[Outcome3_M]]</f>
        <v>21.224999999999994</v>
      </c>
      <c r="BY63" s="150" t="s">
        <v>24</v>
      </c>
      <c r="BZ63" s="150" t="s">
        <v>24</v>
      </c>
      <c r="CA63" s="150" t="s">
        <v>24</v>
      </c>
      <c r="CB63" s="150" t="s">
        <v>24</v>
      </c>
      <c r="CC63" s="290" t="s">
        <v>3263</v>
      </c>
      <c r="CD63" s="291" t="s">
        <v>3264</v>
      </c>
      <c r="CE63" s="278"/>
      <c r="CF63" s="285"/>
      <c r="CG63" s="151"/>
      <c r="CH63" s="150"/>
      <c r="CI63" s="150"/>
      <c r="CJ63" s="150"/>
      <c r="CK63" s="150"/>
      <c r="CL63" s="150"/>
      <c r="CM63" s="150"/>
      <c r="CN63" s="150"/>
      <c r="CO63" s="302"/>
      <c r="CP63" s="303"/>
      <c r="CQ63" s="150"/>
      <c r="CR63" s="150"/>
      <c r="CS63" s="150"/>
      <c r="CT63" s="150"/>
      <c r="CU63" s="150"/>
      <c r="CV63" s="150"/>
      <c r="CW63" s="150"/>
      <c r="CX63" s="150"/>
      <c r="CY63" s="302"/>
      <c r="CZ63" s="303"/>
      <c r="DA63" s="278"/>
      <c r="DB63" s="279"/>
      <c r="DC63" s="150"/>
      <c r="DD63" s="150"/>
      <c r="DE63" s="150"/>
      <c r="DF63" s="150"/>
      <c r="DG63" s="151"/>
      <c r="DH63" s="150"/>
      <c r="DI63" s="150"/>
      <c r="DJ63" s="150"/>
      <c r="DK63" s="303"/>
      <c r="DL63" s="303"/>
      <c r="DM63" s="150"/>
      <c r="DN63" s="150"/>
      <c r="DO63" s="150"/>
      <c r="DP63" s="150"/>
      <c r="DQ63" s="150"/>
      <c r="DR63" s="150"/>
      <c r="DS63" s="150"/>
      <c r="DT63" s="150"/>
      <c r="DU63" s="303"/>
      <c r="DV63" s="303"/>
      <c r="DW63" s="279"/>
      <c r="DX63" s="150"/>
      <c r="DY63" s="150"/>
      <c r="DZ63" s="150"/>
      <c r="EA63" s="150"/>
      <c r="EB63" s="150"/>
      <c r="EC63" s="150"/>
      <c r="ED63" s="150"/>
      <c r="EE63" s="150"/>
      <c r="EF63" s="303"/>
      <c r="EG63" s="303"/>
      <c r="EH63" s="150"/>
      <c r="EI63" s="150"/>
      <c r="EJ63" s="150"/>
      <c r="EK63" s="150"/>
    </row>
    <row r="64" spans="1:141" s="119" customFormat="1">
      <c r="A64" s="118" t="s">
        <v>1011</v>
      </c>
      <c r="B64" s="117">
        <v>34</v>
      </c>
      <c r="C64" s="139" t="s">
        <v>2098</v>
      </c>
      <c r="D64" s="140" t="s">
        <v>2353</v>
      </c>
      <c r="E64" s="141">
        <v>2010</v>
      </c>
      <c r="F64" s="118">
        <v>20599458</v>
      </c>
      <c r="G64" s="118">
        <v>1</v>
      </c>
      <c r="H64" s="118">
        <v>1</v>
      </c>
      <c r="I64" s="118"/>
      <c r="J64" s="118">
        <v>1</v>
      </c>
      <c r="K64" s="118"/>
      <c r="L64" s="158">
        <v>1</v>
      </c>
      <c r="M64" s="142">
        <v>2</v>
      </c>
      <c r="N64" s="118" t="s">
        <v>1220</v>
      </c>
      <c r="O64" s="118" t="s">
        <v>1212</v>
      </c>
      <c r="P64" s="118" t="s">
        <v>1127</v>
      </c>
      <c r="Q64" s="118"/>
      <c r="R64" s="118" t="s">
        <v>1501</v>
      </c>
      <c r="S64" s="118"/>
      <c r="T64" s="118"/>
      <c r="U64" s="118" t="s">
        <v>1438</v>
      </c>
      <c r="V64" s="118"/>
      <c r="W64" s="118"/>
      <c r="X64" s="118"/>
      <c r="Y64" s="118" t="s">
        <v>1439</v>
      </c>
      <c r="Z64" s="118"/>
      <c r="AA64" s="233" t="s">
        <v>1917</v>
      </c>
      <c r="AB64" s="234" t="s">
        <v>3309</v>
      </c>
      <c r="AC64" s="152">
        <v>4</v>
      </c>
      <c r="AD64" s="242" t="s">
        <v>3238</v>
      </c>
      <c r="AE64" s="192">
        <v>2</v>
      </c>
      <c r="AF64" s="243" t="s">
        <v>3240</v>
      </c>
      <c r="AG64" s="245">
        <v>10</v>
      </c>
      <c r="AH64" s="152" t="s">
        <v>3235</v>
      </c>
      <c r="AI64" s="152" t="s">
        <v>24</v>
      </c>
      <c r="AJ64" s="152" t="s">
        <v>803</v>
      </c>
      <c r="AK64" s="152" t="s">
        <v>24</v>
      </c>
      <c r="AL64" s="152" t="s">
        <v>3234</v>
      </c>
      <c r="AM64" s="152" t="s">
        <v>24</v>
      </c>
      <c r="AN64" s="152" t="s">
        <v>24</v>
      </c>
      <c r="AO64" s="152" t="s">
        <v>24</v>
      </c>
      <c r="AP64" s="152" t="s">
        <v>3231</v>
      </c>
      <c r="AQ64" s="152">
        <v>1</v>
      </c>
      <c r="AR64" s="135" t="s">
        <v>3320</v>
      </c>
      <c r="AS64" s="152" t="s">
        <v>24</v>
      </c>
      <c r="AT64" s="152" t="s">
        <v>2912</v>
      </c>
      <c r="AU64" s="152" t="s">
        <v>3236</v>
      </c>
      <c r="AV64" s="161">
        <v>1</v>
      </c>
      <c r="AW64" s="161"/>
      <c r="AX64" s="161"/>
      <c r="AY64" s="161"/>
      <c r="AZ64" s="161"/>
      <c r="BA64" s="161"/>
      <c r="BB64" s="161"/>
      <c r="BC64" s="161"/>
      <c r="BD64" s="162" t="s">
        <v>2529</v>
      </c>
      <c r="BE64" s="150" t="s">
        <v>2789</v>
      </c>
      <c r="BF64" s="150" t="s">
        <v>3233</v>
      </c>
      <c r="BG64" s="150" t="s">
        <v>3232</v>
      </c>
      <c r="BH64" s="150" t="s">
        <v>2471</v>
      </c>
      <c r="BI64" s="150" t="s">
        <v>3237</v>
      </c>
      <c r="BJ64" s="258" t="s">
        <v>3275</v>
      </c>
      <c r="BK64" s="151" t="s">
        <v>3247</v>
      </c>
      <c r="BL64" s="150">
        <v>160.44399999999999</v>
      </c>
      <c r="BM64" s="150" t="s">
        <v>24</v>
      </c>
      <c r="BN64" s="150">
        <f>181.262-Table664[[#This Row],[Outcome1_M]]</f>
        <v>20.818000000000012</v>
      </c>
      <c r="BO64" s="269" t="s">
        <v>3253</v>
      </c>
      <c r="BP64" s="150">
        <v>96.985200000000006</v>
      </c>
      <c r="BQ64" s="150" t="s">
        <v>24</v>
      </c>
      <c r="BR64" s="150">
        <f>118.411-Table664[[#This Row],[Outcome2_M]]</f>
        <v>21.425799999999995</v>
      </c>
      <c r="BS64" s="290" t="s">
        <v>24</v>
      </c>
      <c r="BT64" s="291" t="s">
        <v>24</v>
      </c>
      <c r="BU64" s="269" t="s">
        <v>3259</v>
      </c>
      <c r="BV64" s="150">
        <v>88.628799999999998</v>
      </c>
      <c r="BW64" s="150" t="s">
        <v>24</v>
      </c>
      <c r="BX64" s="150">
        <f>110.056-Table664[[#This Row],[Outcome3_M]]</f>
        <v>21.427199999999999</v>
      </c>
      <c r="BY64" s="150" t="s">
        <v>24</v>
      </c>
      <c r="BZ64" s="150" t="s">
        <v>24</v>
      </c>
      <c r="CA64" s="150" t="s">
        <v>24</v>
      </c>
      <c r="CB64" s="150" t="s">
        <v>24</v>
      </c>
      <c r="CC64" s="290" t="s">
        <v>3263</v>
      </c>
      <c r="CD64" s="291" t="s">
        <v>3264</v>
      </c>
      <c r="CE64" s="278"/>
      <c r="CF64" s="285"/>
      <c r="CG64" s="151"/>
      <c r="CH64" s="150"/>
      <c r="CI64" s="150"/>
      <c r="CJ64" s="150"/>
      <c r="CK64" s="150"/>
      <c r="CL64" s="150"/>
      <c r="CM64" s="150"/>
      <c r="CN64" s="150"/>
      <c r="CO64" s="302"/>
      <c r="CP64" s="303"/>
      <c r="CQ64" s="150"/>
      <c r="CR64" s="150"/>
      <c r="CS64" s="150"/>
      <c r="CT64" s="150"/>
      <c r="CU64" s="150"/>
      <c r="CV64" s="150"/>
      <c r="CW64" s="150"/>
      <c r="CX64" s="150"/>
      <c r="CY64" s="302"/>
      <c r="CZ64" s="303"/>
      <c r="DA64" s="278"/>
      <c r="DB64" s="279"/>
      <c r="DC64" s="150"/>
      <c r="DD64" s="150"/>
      <c r="DE64" s="150"/>
      <c r="DF64" s="150"/>
      <c r="DG64" s="151"/>
      <c r="DH64" s="150"/>
      <c r="DI64" s="150"/>
      <c r="DJ64" s="150"/>
      <c r="DK64" s="303"/>
      <c r="DL64" s="303"/>
      <c r="DM64" s="150"/>
      <c r="DN64" s="150"/>
      <c r="DO64" s="150"/>
      <c r="DP64" s="150"/>
      <c r="DQ64" s="150"/>
      <c r="DR64" s="150"/>
      <c r="DS64" s="150"/>
      <c r="DT64" s="150"/>
      <c r="DU64" s="303"/>
      <c r="DV64" s="303"/>
      <c r="DW64" s="279"/>
      <c r="DX64" s="150"/>
      <c r="DY64" s="150"/>
      <c r="DZ64" s="150"/>
      <c r="EA64" s="150"/>
      <c r="EB64" s="150"/>
      <c r="EC64" s="150"/>
      <c r="ED64" s="150"/>
      <c r="EE64" s="150"/>
      <c r="EF64" s="303"/>
      <c r="EG64" s="303"/>
      <c r="EH64" s="150"/>
      <c r="EI64" s="150"/>
      <c r="EJ64" s="150"/>
      <c r="EK64" s="150"/>
    </row>
    <row r="65" spans="1:141" s="119" customFormat="1">
      <c r="A65" s="118" t="s">
        <v>1011</v>
      </c>
      <c r="B65" s="117">
        <v>34</v>
      </c>
      <c r="C65" s="139" t="s">
        <v>2098</v>
      </c>
      <c r="D65" s="140" t="s">
        <v>2353</v>
      </c>
      <c r="E65" s="141">
        <v>2010</v>
      </c>
      <c r="F65" s="118">
        <v>20599458</v>
      </c>
      <c r="G65" s="118">
        <v>1</v>
      </c>
      <c r="H65" s="118">
        <v>1</v>
      </c>
      <c r="I65" s="118"/>
      <c r="J65" s="118">
        <v>1</v>
      </c>
      <c r="K65" s="118"/>
      <c r="L65" s="158">
        <v>1</v>
      </c>
      <c r="M65" s="142">
        <v>2</v>
      </c>
      <c r="N65" s="118" t="s">
        <v>1220</v>
      </c>
      <c r="O65" s="118" t="s">
        <v>1212</v>
      </c>
      <c r="P65" s="118" t="s">
        <v>1127</v>
      </c>
      <c r="Q65" s="118"/>
      <c r="R65" s="118" t="s">
        <v>1501</v>
      </c>
      <c r="S65" s="118"/>
      <c r="T65" s="118"/>
      <c r="U65" s="118" t="s">
        <v>1438</v>
      </c>
      <c r="V65" s="118"/>
      <c r="W65" s="118"/>
      <c r="X65" s="118"/>
      <c r="Y65" s="118" t="s">
        <v>1439</v>
      </c>
      <c r="Z65" s="118"/>
      <c r="AA65" s="233" t="s">
        <v>1917</v>
      </c>
      <c r="AB65" s="234" t="s">
        <v>3309</v>
      </c>
      <c r="AC65" s="152">
        <v>4</v>
      </c>
      <c r="AD65" s="242" t="s">
        <v>3238</v>
      </c>
      <c r="AE65" s="192">
        <v>2</v>
      </c>
      <c r="AF65" s="248" t="s">
        <v>3239</v>
      </c>
      <c r="AG65" s="245">
        <v>10</v>
      </c>
      <c r="AH65" s="152" t="s">
        <v>3235</v>
      </c>
      <c r="AI65" s="152" t="s">
        <v>24</v>
      </c>
      <c r="AJ65" s="152" t="s">
        <v>803</v>
      </c>
      <c r="AK65" s="152" t="s">
        <v>24</v>
      </c>
      <c r="AL65" s="152" t="s">
        <v>3234</v>
      </c>
      <c r="AM65" s="152" t="s">
        <v>24</v>
      </c>
      <c r="AN65" s="152" t="s">
        <v>24</v>
      </c>
      <c r="AO65" s="152" t="s">
        <v>24</v>
      </c>
      <c r="AP65" s="152" t="s">
        <v>3231</v>
      </c>
      <c r="AQ65" s="152">
        <v>1</v>
      </c>
      <c r="AR65" s="135" t="s">
        <v>3336</v>
      </c>
      <c r="AS65" s="152" t="s">
        <v>24</v>
      </c>
      <c r="AT65" s="152" t="s">
        <v>2912</v>
      </c>
      <c r="AU65" s="152" t="s">
        <v>3236</v>
      </c>
      <c r="AV65" s="161">
        <v>1</v>
      </c>
      <c r="AW65" s="161"/>
      <c r="AX65" s="161"/>
      <c r="AY65" s="161"/>
      <c r="AZ65" s="161"/>
      <c r="BA65" s="161"/>
      <c r="BB65" s="161"/>
      <c r="BC65" s="161"/>
      <c r="BD65" s="162" t="s">
        <v>2529</v>
      </c>
      <c r="BE65" s="150" t="s">
        <v>2789</v>
      </c>
      <c r="BF65" s="150" t="s">
        <v>3233</v>
      </c>
      <c r="BG65" s="150" t="s">
        <v>3232</v>
      </c>
      <c r="BH65" s="150" t="s">
        <v>2471</v>
      </c>
      <c r="BI65" s="150" t="s">
        <v>3237</v>
      </c>
      <c r="BJ65" s="258" t="s">
        <v>3275</v>
      </c>
      <c r="BK65" s="151" t="s">
        <v>3248</v>
      </c>
      <c r="BL65" s="150">
        <v>243.60900000000001</v>
      </c>
      <c r="BM65" s="150" t="s">
        <v>24</v>
      </c>
      <c r="BN65" s="150">
        <f>275.51-Table664[[#This Row],[Outcome1_M]]</f>
        <v>31.900999999999982</v>
      </c>
      <c r="BO65" s="269" t="s">
        <v>3254</v>
      </c>
      <c r="BP65" s="150">
        <v>192.291</v>
      </c>
      <c r="BQ65" s="150" t="s">
        <v>24</v>
      </c>
      <c r="BR65" s="150">
        <f>218.67-Table664[[#This Row],[Outcome2_M]]</f>
        <v>26.378999999999991</v>
      </c>
      <c r="BS65" s="290" t="s">
        <v>24</v>
      </c>
      <c r="BT65" s="291" t="s">
        <v>24</v>
      </c>
      <c r="BU65" s="269" t="s">
        <v>3260</v>
      </c>
      <c r="BV65" s="150">
        <v>107.236</v>
      </c>
      <c r="BW65" s="150" t="s">
        <v>24</v>
      </c>
      <c r="BX65" s="150">
        <f>126.253-Table664[[#This Row],[Outcome3_M]]</f>
        <v>19.016999999999996</v>
      </c>
      <c r="BY65" s="150" t="s">
        <v>24</v>
      </c>
      <c r="BZ65" s="150" t="s">
        <v>24</v>
      </c>
      <c r="CA65" s="150" t="s">
        <v>24</v>
      </c>
      <c r="CB65" s="150" t="s">
        <v>24</v>
      </c>
      <c r="CC65" s="290" t="s">
        <v>3265</v>
      </c>
      <c r="CD65" s="291" t="s">
        <v>3266</v>
      </c>
      <c r="CE65" s="278"/>
      <c r="CF65" s="285"/>
      <c r="CG65" s="151"/>
      <c r="CH65" s="150"/>
      <c r="CI65" s="150"/>
      <c r="CJ65" s="150"/>
      <c r="CK65" s="150"/>
      <c r="CL65" s="150"/>
      <c r="CM65" s="150"/>
      <c r="CN65" s="150"/>
      <c r="CO65" s="302"/>
      <c r="CP65" s="303"/>
      <c r="CQ65" s="150"/>
      <c r="CR65" s="150"/>
      <c r="CS65" s="150"/>
      <c r="CT65" s="150"/>
      <c r="CU65" s="150"/>
      <c r="CV65" s="150"/>
      <c r="CW65" s="150"/>
      <c r="CX65" s="150"/>
      <c r="CY65" s="302"/>
      <c r="CZ65" s="303"/>
      <c r="DA65" s="278"/>
      <c r="DB65" s="279"/>
      <c r="DC65" s="150"/>
      <c r="DD65" s="150"/>
      <c r="DE65" s="150"/>
      <c r="DF65" s="150"/>
      <c r="DG65" s="151"/>
      <c r="DH65" s="150"/>
      <c r="DI65" s="150"/>
      <c r="DJ65" s="150"/>
      <c r="DK65" s="303"/>
      <c r="DL65" s="303"/>
      <c r="DM65" s="150"/>
      <c r="DN65" s="150"/>
      <c r="DO65" s="150"/>
      <c r="DP65" s="150"/>
      <c r="DQ65" s="150"/>
      <c r="DR65" s="150"/>
      <c r="DS65" s="150"/>
      <c r="DT65" s="150"/>
      <c r="DU65" s="303"/>
      <c r="DV65" s="303"/>
      <c r="DW65" s="279"/>
      <c r="DX65" s="150"/>
      <c r="DY65" s="150"/>
      <c r="DZ65" s="150"/>
      <c r="EA65" s="150"/>
      <c r="EB65" s="150"/>
      <c r="EC65" s="150"/>
      <c r="ED65" s="150"/>
      <c r="EE65" s="150"/>
      <c r="EF65" s="303"/>
      <c r="EG65" s="303"/>
      <c r="EH65" s="150"/>
      <c r="EI65" s="150"/>
      <c r="EJ65" s="150"/>
      <c r="EK65" s="150"/>
    </row>
    <row r="66" spans="1:141" s="119" customFormat="1">
      <c r="A66" s="118" t="s">
        <v>1011</v>
      </c>
      <c r="B66" s="117">
        <v>34</v>
      </c>
      <c r="C66" s="139" t="s">
        <v>2098</v>
      </c>
      <c r="D66" s="140" t="s">
        <v>2353</v>
      </c>
      <c r="E66" s="141">
        <v>2010</v>
      </c>
      <c r="F66" s="118">
        <v>20599458</v>
      </c>
      <c r="G66" s="118">
        <v>1</v>
      </c>
      <c r="H66" s="118">
        <v>1</v>
      </c>
      <c r="I66" s="118"/>
      <c r="J66" s="118">
        <v>1</v>
      </c>
      <c r="K66" s="118"/>
      <c r="L66" s="158">
        <v>1</v>
      </c>
      <c r="M66" s="142">
        <v>2</v>
      </c>
      <c r="N66" s="118" t="s">
        <v>1220</v>
      </c>
      <c r="O66" s="118" t="s">
        <v>1212</v>
      </c>
      <c r="P66" s="118" t="s">
        <v>1127</v>
      </c>
      <c r="Q66" s="118"/>
      <c r="R66" s="118" t="s">
        <v>1501</v>
      </c>
      <c r="S66" s="118"/>
      <c r="T66" s="118"/>
      <c r="U66" s="118" t="s">
        <v>1438</v>
      </c>
      <c r="V66" s="118"/>
      <c r="W66" s="118"/>
      <c r="X66" s="118"/>
      <c r="Y66" s="118" t="s">
        <v>1439</v>
      </c>
      <c r="Z66" s="118"/>
      <c r="AA66" s="233" t="s">
        <v>1917</v>
      </c>
      <c r="AB66" s="234" t="s">
        <v>3309</v>
      </c>
      <c r="AC66" s="152">
        <v>4</v>
      </c>
      <c r="AD66" s="242" t="s">
        <v>3244</v>
      </c>
      <c r="AE66" s="192">
        <v>2</v>
      </c>
      <c r="AF66" s="248" t="s">
        <v>3272</v>
      </c>
      <c r="AG66" s="245">
        <v>10</v>
      </c>
      <c r="AH66" s="152" t="s">
        <v>3235</v>
      </c>
      <c r="AI66" s="152" t="s">
        <v>24</v>
      </c>
      <c r="AJ66" s="152" t="s">
        <v>803</v>
      </c>
      <c r="AK66" s="152" t="s">
        <v>24</v>
      </c>
      <c r="AL66" s="152" t="s">
        <v>3234</v>
      </c>
      <c r="AM66" s="152" t="s">
        <v>24</v>
      </c>
      <c r="AN66" s="152" t="s">
        <v>24</v>
      </c>
      <c r="AO66" s="152" t="s">
        <v>24</v>
      </c>
      <c r="AP66" s="152" t="s">
        <v>3231</v>
      </c>
      <c r="AQ66" s="152">
        <v>1</v>
      </c>
      <c r="AR66" s="135" t="s">
        <v>3336</v>
      </c>
      <c r="AS66" s="152" t="s">
        <v>24</v>
      </c>
      <c r="AT66" s="152" t="s">
        <v>2912</v>
      </c>
      <c r="AU66" s="152" t="s">
        <v>3236</v>
      </c>
      <c r="AV66" s="161">
        <v>1</v>
      </c>
      <c r="AW66" s="161"/>
      <c r="AX66" s="161"/>
      <c r="AY66" s="161"/>
      <c r="AZ66" s="161"/>
      <c r="BA66" s="161"/>
      <c r="BB66" s="161"/>
      <c r="BC66" s="161"/>
      <c r="BD66" s="162" t="s">
        <v>2529</v>
      </c>
      <c r="BE66" s="150" t="s">
        <v>2789</v>
      </c>
      <c r="BF66" s="150" t="s">
        <v>3233</v>
      </c>
      <c r="BG66" s="150" t="s">
        <v>3232</v>
      </c>
      <c r="BH66" s="150" t="s">
        <v>2471</v>
      </c>
      <c r="BI66" s="150" t="s">
        <v>3237</v>
      </c>
      <c r="BJ66" s="258" t="s">
        <v>3276</v>
      </c>
      <c r="BK66" s="151" t="s">
        <v>3249</v>
      </c>
      <c r="BL66" s="150">
        <v>195.12200000000001</v>
      </c>
      <c r="BM66" s="150" t="s">
        <v>24</v>
      </c>
      <c r="BN66" s="150">
        <f>225-Table664[[#This Row],[Outcome1_M]]</f>
        <v>29.877999999999986</v>
      </c>
      <c r="BO66" s="269" t="s">
        <v>3255</v>
      </c>
      <c r="BP66" s="150">
        <v>139.024</v>
      </c>
      <c r="BQ66" s="150" t="s">
        <v>24</v>
      </c>
      <c r="BR66" s="150">
        <f>159.756-Table664[[#This Row],[Outcome2_M]]</f>
        <v>20.731999999999999</v>
      </c>
      <c r="BS66" s="290" t="s">
        <v>24</v>
      </c>
      <c r="BT66" s="291" t="s">
        <v>24</v>
      </c>
      <c r="BU66" s="269" t="s">
        <v>3261</v>
      </c>
      <c r="BV66" s="150">
        <v>85.9756</v>
      </c>
      <c r="BW66" s="150" t="s">
        <v>24</v>
      </c>
      <c r="BX66" s="150">
        <f>101.829-Table664[[#This Row],[Outcome3_M]]</f>
        <v>15.853399999999993</v>
      </c>
      <c r="BY66" s="150" t="s">
        <v>24</v>
      </c>
      <c r="BZ66" s="150" t="s">
        <v>24</v>
      </c>
      <c r="CA66" s="150" t="s">
        <v>24</v>
      </c>
      <c r="CB66" s="150" t="s">
        <v>24</v>
      </c>
      <c r="CC66" s="290" t="s">
        <v>3267</v>
      </c>
      <c r="CD66" s="291" t="s">
        <v>3268</v>
      </c>
      <c r="CE66" s="278"/>
      <c r="CF66" s="285"/>
      <c r="CG66" s="151"/>
      <c r="CH66" s="150"/>
      <c r="CI66" s="150"/>
      <c r="CJ66" s="150"/>
      <c r="CK66" s="150"/>
      <c r="CL66" s="150"/>
      <c r="CM66" s="150"/>
      <c r="CN66" s="150"/>
      <c r="CO66" s="302"/>
      <c r="CP66" s="303"/>
      <c r="CQ66" s="150"/>
      <c r="CR66" s="150"/>
      <c r="CS66" s="150"/>
      <c r="CT66" s="150"/>
      <c r="CU66" s="150"/>
      <c r="CV66" s="150"/>
      <c r="CW66" s="150"/>
      <c r="CX66" s="150"/>
      <c r="CY66" s="302"/>
      <c r="CZ66" s="303"/>
      <c r="DA66" s="278"/>
      <c r="DB66" s="279"/>
      <c r="DC66" s="150"/>
      <c r="DD66" s="150"/>
      <c r="DE66" s="150"/>
      <c r="DF66" s="150"/>
      <c r="DG66" s="151"/>
      <c r="DH66" s="150"/>
      <c r="DI66" s="150"/>
      <c r="DJ66" s="150"/>
      <c r="DK66" s="303"/>
      <c r="DL66" s="303"/>
      <c r="DM66" s="150"/>
      <c r="DN66" s="150"/>
      <c r="DO66" s="150"/>
      <c r="DP66" s="150"/>
      <c r="DQ66" s="150"/>
      <c r="DR66" s="150"/>
      <c r="DS66" s="150"/>
      <c r="DT66" s="150"/>
      <c r="DU66" s="303"/>
      <c r="DV66" s="303"/>
      <c r="DW66" s="279"/>
      <c r="DX66" s="150"/>
      <c r="DY66" s="150"/>
      <c r="DZ66" s="150"/>
      <c r="EA66" s="150"/>
      <c r="EB66" s="150"/>
      <c r="EC66" s="150"/>
      <c r="ED66" s="150"/>
      <c r="EE66" s="150"/>
      <c r="EF66" s="303"/>
      <c r="EG66" s="303"/>
      <c r="EH66" s="150"/>
      <c r="EI66" s="150"/>
      <c r="EJ66" s="150"/>
      <c r="EK66" s="150"/>
    </row>
    <row r="67" spans="1:141" s="119" customFormat="1">
      <c r="A67" s="118" t="s">
        <v>1011</v>
      </c>
      <c r="B67" s="117">
        <v>34</v>
      </c>
      <c r="C67" s="139" t="s">
        <v>2098</v>
      </c>
      <c r="D67" s="140" t="s">
        <v>2353</v>
      </c>
      <c r="E67" s="141">
        <v>2010</v>
      </c>
      <c r="F67" s="118">
        <v>20599458</v>
      </c>
      <c r="G67" s="118">
        <v>1</v>
      </c>
      <c r="H67" s="118">
        <v>1</v>
      </c>
      <c r="I67" s="118"/>
      <c r="J67" s="118">
        <v>1</v>
      </c>
      <c r="K67" s="118"/>
      <c r="L67" s="158">
        <v>1</v>
      </c>
      <c r="M67" s="142">
        <v>2</v>
      </c>
      <c r="N67" s="118" t="s">
        <v>1220</v>
      </c>
      <c r="O67" s="118" t="s">
        <v>1212</v>
      </c>
      <c r="P67" s="118" t="s">
        <v>1127</v>
      </c>
      <c r="Q67" s="118"/>
      <c r="R67" s="118" t="s">
        <v>1501</v>
      </c>
      <c r="S67" s="118"/>
      <c r="T67" s="118"/>
      <c r="U67" s="118" t="s">
        <v>1438</v>
      </c>
      <c r="V67" s="118"/>
      <c r="W67" s="118"/>
      <c r="X67" s="118"/>
      <c r="Y67" s="118" t="s">
        <v>1439</v>
      </c>
      <c r="Z67" s="118"/>
      <c r="AA67" s="233" t="s">
        <v>1917</v>
      </c>
      <c r="AB67" s="234" t="s">
        <v>3309</v>
      </c>
      <c r="AC67" s="152">
        <v>4</v>
      </c>
      <c r="AD67" s="242" t="s">
        <v>3238</v>
      </c>
      <c r="AE67" s="192">
        <v>2</v>
      </c>
      <c r="AF67" s="248" t="s">
        <v>3243</v>
      </c>
      <c r="AG67" s="245" t="s">
        <v>3274</v>
      </c>
      <c r="AH67" s="152" t="s">
        <v>3270</v>
      </c>
      <c r="AI67" s="152" t="s">
        <v>24</v>
      </c>
      <c r="AJ67" s="152" t="s">
        <v>803</v>
      </c>
      <c r="AK67" s="152" t="s">
        <v>24</v>
      </c>
      <c r="AL67" s="152" t="s">
        <v>3234</v>
      </c>
      <c r="AM67" s="152" t="s">
        <v>24</v>
      </c>
      <c r="AN67" s="152" t="s">
        <v>24</v>
      </c>
      <c r="AO67" s="152" t="s">
        <v>24</v>
      </c>
      <c r="AP67" s="152" t="s">
        <v>3231</v>
      </c>
      <c r="AQ67" s="152">
        <v>1</v>
      </c>
      <c r="AR67" s="135" t="s">
        <v>3336</v>
      </c>
      <c r="AS67" s="152" t="s">
        <v>24</v>
      </c>
      <c r="AT67" s="152" t="s">
        <v>2912</v>
      </c>
      <c r="AU67" s="152" t="s">
        <v>3236</v>
      </c>
      <c r="AV67" s="161">
        <v>1</v>
      </c>
      <c r="AW67" s="161"/>
      <c r="AX67" s="161"/>
      <c r="AY67" s="161"/>
      <c r="AZ67" s="161"/>
      <c r="BA67" s="161"/>
      <c r="BB67" s="161"/>
      <c r="BC67" s="161"/>
      <c r="BD67" s="162" t="s">
        <v>2529</v>
      </c>
      <c r="BE67" s="150" t="s">
        <v>2789</v>
      </c>
      <c r="BF67" s="150" t="s">
        <v>3233</v>
      </c>
      <c r="BG67" s="150" t="s">
        <v>3232</v>
      </c>
      <c r="BH67" s="150" t="s">
        <v>2471</v>
      </c>
      <c r="BI67" s="150" t="s">
        <v>3237</v>
      </c>
      <c r="BJ67" s="262" t="s">
        <v>3275</v>
      </c>
      <c r="BK67" s="151" t="s">
        <v>3250</v>
      </c>
      <c r="BL67" s="150">
        <v>151.52099999999999</v>
      </c>
      <c r="BM67" s="150" t="s">
        <v>24</v>
      </c>
      <c r="BN67" s="150">
        <f>159.432-Table664[[#This Row],[Outcome1_M]]</f>
        <v>7.9110000000000014</v>
      </c>
      <c r="BO67" s="269" t="s">
        <v>3256</v>
      </c>
      <c r="BP67" s="150">
        <v>116.227</v>
      </c>
      <c r="BQ67" s="150" t="s">
        <v>24</v>
      </c>
      <c r="BR67" s="150">
        <f>124.746-Table664[[#This Row],[Outcome2_M]]</f>
        <v>8.5189999999999912</v>
      </c>
      <c r="BS67" s="290" t="s">
        <v>24</v>
      </c>
      <c r="BT67" s="291" t="s">
        <v>24</v>
      </c>
      <c r="BU67" s="269" t="s">
        <v>3262</v>
      </c>
      <c r="BV67" s="150">
        <v>55.375300000000003</v>
      </c>
      <c r="BW67" s="150" t="s">
        <v>24</v>
      </c>
      <c r="BX67" s="150">
        <f>60.2434-Table664[[#This Row],[Outcome3_M]]</f>
        <v>4.8680999999999983</v>
      </c>
      <c r="BY67" s="150" t="s">
        <v>24</v>
      </c>
      <c r="BZ67" s="150" t="s">
        <v>24</v>
      </c>
      <c r="CA67" s="150" t="s">
        <v>24</v>
      </c>
      <c r="CB67" s="150" t="s">
        <v>24</v>
      </c>
      <c r="CC67" s="290" t="s">
        <v>3263</v>
      </c>
      <c r="CD67" s="291" t="s">
        <v>3269</v>
      </c>
      <c r="CE67" s="278"/>
      <c r="CF67" s="285"/>
      <c r="CG67" s="151"/>
      <c r="CH67" s="150"/>
      <c r="CI67" s="150"/>
      <c r="CJ67" s="150"/>
      <c r="CK67" s="150"/>
      <c r="CL67" s="150"/>
      <c r="CM67" s="150"/>
      <c r="CN67" s="150"/>
      <c r="CO67" s="302"/>
      <c r="CP67" s="303"/>
      <c r="CQ67" s="150"/>
      <c r="CR67" s="150"/>
      <c r="CS67" s="150"/>
      <c r="CT67" s="150"/>
      <c r="CU67" s="150"/>
      <c r="CV67" s="150"/>
      <c r="CW67" s="150"/>
      <c r="CX67" s="150"/>
      <c r="CY67" s="302"/>
      <c r="CZ67" s="303"/>
      <c r="DA67" s="278"/>
      <c r="DB67" s="279"/>
      <c r="DC67" s="150"/>
      <c r="DD67" s="150"/>
      <c r="DE67" s="150"/>
      <c r="DF67" s="150"/>
      <c r="DG67" s="151"/>
      <c r="DH67" s="150"/>
      <c r="DI67" s="150"/>
      <c r="DJ67" s="150"/>
      <c r="DK67" s="303"/>
      <c r="DL67" s="303"/>
      <c r="DM67" s="150"/>
      <c r="DN67" s="150"/>
      <c r="DO67" s="150"/>
      <c r="DP67" s="150"/>
      <c r="DQ67" s="150"/>
      <c r="DR67" s="150"/>
      <c r="DS67" s="150"/>
      <c r="DT67" s="150"/>
      <c r="DU67" s="303"/>
      <c r="DV67" s="303"/>
      <c r="DW67" s="279"/>
      <c r="DX67" s="150"/>
      <c r="DY67" s="150"/>
      <c r="DZ67" s="150"/>
      <c r="EA67" s="150"/>
      <c r="EB67" s="150"/>
      <c r="EC67" s="150"/>
      <c r="ED67" s="150"/>
      <c r="EE67" s="150"/>
      <c r="EF67" s="303"/>
      <c r="EG67" s="303"/>
      <c r="EH67" s="150"/>
      <c r="EI67" s="150"/>
      <c r="EJ67" s="150"/>
      <c r="EK67" s="150"/>
    </row>
    <row r="68" spans="1:141">
      <c r="A68" s="79" t="s">
        <v>1010</v>
      </c>
      <c r="B68" s="117">
        <v>35</v>
      </c>
      <c r="C68" s="123" t="s">
        <v>2099</v>
      </c>
      <c r="D68" s="124" t="s">
        <v>2354</v>
      </c>
      <c r="E68" s="125">
        <v>2014</v>
      </c>
      <c r="F68" s="79">
        <v>25002839</v>
      </c>
      <c r="G68" s="79">
        <v>1</v>
      </c>
      <c r="H68" s="126"/>
      <c r="I68" s="127"/>
      <c r="J68" s="79">
        <v>1</v>
      </c>
      <c r="K68" s="79"/>
      <c r="L68" s="153">
        <v>1</v>
      </c>
      <c r="M68" s="128">
        <v>2</v>
      </c>
      <c r="N68" s="79" t="s">
        <v>1587</v>
      </c>
      <c r="O68" s="79" t="s">
        <v>1216</v>
      </c>
      <c r="P68" s="79" t="s">
        <v>672</v>
      </c>
      <c r="Q68" s="79"/>
      <c r="R68" s="79" t="s">
        <v>1504</v>
      </c>
      <c r="S68" s="79"/>
      <c r="T68" s="79"/>
      <c r="U68" s="79" t="s">
        <v>674</v>
      </c>
      <c r="V68" s="79"/>
      <c r="W68" s="79" t="s">
        <v>1410</v>
      </c>
      <c r="X68" s="79"/>
      <c r="Y68" s="79"/>
      <c r="Z68" s="79" t="s">
        <v>1410</v>
      </c>
      <c r="AA68" s="233" t="s">
        <v>1917</v>
      </c>
      <c r="AB68" s="234" t="s">
        <v>3342</v>
      </c>
      <c r="AC68" s="135">
        <v>5</v>
      </c>
      <c r="AD68" s="235" t="s">
        <v>3281</v>
      </c>
      <c r="AE68" s="236">
        <v>1</v>
      </c>
      <c r="AF68" s="237">
        <v>0</v>
      </c>
      <c r="AG68" s="135" t="s">
        <v>3303</v>
      </c>
      <c r="AH68" s="135" t="s">
        <v>3278</v>
      </c>
      <c r="AI68" s="135" t="s">
        <v>3278</v>
      </c>
      <c r="AJ68" s="135" t="s">
        <v>803</v>
      </c>
      <c r="AK68" s="135" t="s">
        <v>803</v>
      </c>
      <c r="AL68" s="135" t="s">
        <v>3277</v>
      </c>
      <c r="AM68" s="135" t="s">
        <v>24</v>
      </c>
      <c r="AN68" s="320" t="s">
        <v>3277</v>
      </c>
      <c r="AO68" s="135" t="s">
        <v>24</v>
      </c>
      <c r="AP68" s="135" t="s">
        <v>3284</v>
      </c>
      <c r="AQ68" s="135">
        <v>1</v>
      </c>
      <c r="AR68" s="135" t="s">
        <v>3344</v>
      </c>
      <c r="AS68" s="135"/>
      <c r="AT68" s="135" t="s">
        <v>2668</v>
      </c>
      <c r="AU68" s="135" t="s">
        <v>3279</v>
      </c>
      <c r="AV68" s="156">
        <v>1</v>
      </c>
      <c r="AW68" s="156"/>
      <c r="AX68" s="156"/>
      <c r="AY68" s="156"/>
      <c r="AZ68" s="156"/>
      <c r="BA68" s="156"/>
      <c r="BB68" s="156"/>
      <c r="BC68" s="156"/>
      <c r="BD68" s="157" t="s">
        <v>3285</v>
      </c>
      <c r="BE68" s="134" t="s">
        <v>1876</v>
      </c>
      <c r="BF68" s="134" t="s">
        <v>3283</v>
      </c>
      <c r="BG68" s="134" t="s">
        <v>3300</v>
      </c>
      <c r="BH68" s="134" t="s">
        <v>3299</v>
      </c>
      <c r="BI68" s="134" t="s">
        <v>3297</v>
      </c>
      <c r="BJ68" s="259" t="s">
        <v>3298</v>
      </c>
      <c r="BK68" s="138" t="s">
        <v>3286</v>
      </c>
      <c r="BL68" s="134">
        <v>29.9331</v>
      </c>
      <c r="BM68" s="134" t="s">
        <v>24</v>
      </c>
      <c r="BN68" s="134">
        <f>34.1001-Table664[[#This Row],[Outcome1_M]]</f>
        <v>4.166999999999998</v>
      </c>
      <c r="BO68" s="138" t="s">
        <v>3287</v>
      </c>
      <c r="BP68" s="134">
        <v>8.8148099999999996</v>
      </c>
      <c r="BQ68" s="134" t="s">
        <v>24</v>
      </c>
      <c r="BR68" s="134">
        <f>11.4666-Table664[[#This Row],[Outcome2_M]]</f>
        <v>2.6517900000000001</v>
      </c>
      <c r="BS68" s="288" t="s">
        <v>3293</v>
      </c>
      <c r="BT68" s="289" t="s">
        <v>3294</v>
      </c>
      <c r="BU68" s="138" t="s">
        <v>3288</v>
      </c>
      <c r="BV68" s="190">
        <v>14.192600000000001</v>
      </c>
      <c r="BW68" s="168" t="s">
        <v>24</v>
      </c>
      <c r="BX68" s="190">
        <f>17.4612-Table664[[#This Row],[Outcome3_M]]</f>
        <v>3.2686000000000011</v>
      </c>
      <c r="BY68" s="138" t="s">
        <v>3289</v>
      </c>
      <c r="BZ68" s="134">
        <v>7.35799</v>
      </c>
      <c r="CA68" s="134" t="s">
        <v>24</v>
      </c>
      <c r="CB68" s="134">
        <f>9.85729-Table664[[#This Row],[Outcome3_M]]</f>
        <v>-4.3353099999999998</v>
      </c>
      <c r="CC68" s="288" t="s">
        <v>3295</v>
      </c>
      <c r="CD68" s="289" t="s">
        <v>24</v>
      </c>
      <c r="CE68" s="276" t="s">
        <v>24</v>
      </c>
      <c r="CF68" s="308" t="s">
        <v>24</v>
      </c>
      <c r="CG68" s="138" t="s">
        <v>3290</v>
      </c>
      <c r="CH68" s="134">
        <v>51.9467</v>
      </c>
      <c r="CI68" s="134" t="s">
        <v>24</v>
      </c>
      <c r="CJ68" s="134">
        <f>58.6775-Table664[[#This Row],[Outcome5_M]]</f>
        <v>6.7308000000000021</v>
      </c>
      <c r="CK68" s="138" t="s">
        <v>3291</v>
      </c>
      <c r="CL68" s="134">
        <v>24.5379</v>
      </c>
      <c r="CM68" s="134" t="s">
        <v>24</v>
      </c>
      <c r="CN68" s="134">
        <f>30.6897-Table664[[#This Row],[Outcome6_M]]</f>
        <v>6.1517999999999979</v>
      </c>
      <c r="CO68" s="300" t="s">
        <v>3292</v>
      </c>
      <c r="CP68" s="301" t="s">
        <v>3296</v>
      </c>
      <c r="CQ68" s="134"/>
      <c r="CR68" s="134"/>
      <c r="CS68" s="134"/>
      <c r="CT68" s="134"/>
      <c r="CU68" s="134"/>
      <c r="CV68" s="134"/>
      <c r="CW68" s="134"/>
      <c r="CX68" s="134"/>
      <c r="CY68" s="300"/>
      <c r="CZ68" s="301"/>
      <c r="DA68" s="276"/>
      <c r="DB68" s="277"/>
      <c r="DC68" s="134"/>
      <c r="DD68" s="134"/>
      <c r="DE68" s="134"/>
      <c r="DF68" s="134"/>
      <c r="DG68" s="138"/>
      <c r="DH68" s="134"/>
      <c r="DI68" s="134"/>
      <c r="DJ68" s="134"/>
      <c r="DK68" s="301"/>
      <c r="DL68" s="301"/>
      <c r="DM68" s="134"/>
      <c r="DN68" s="134"/>
      <c r="DO68" s="134"/>
      <c r="DP68" s="134"/>
      <c r="DQ68" s="134"/>
      <c r="DR68" s="134"/>
      <c r="DS68" s="134"/>
      <c r="DT68" s="134"/>
      <c r="DU68" s="301"/>
      <c r="DV68" s="301"/>
      <c r="DW68" s="277"/>
      <c r="DX68" s="134"/>
      <c r="DY68" s="134"/>
      <c r="DZ68" s="134"/>
      <c r="EA68" s="134"/>
      <c r="EB68" s="134"/>
      <c r="EC68" s="134"/>
      <c r="ED68" s="134"/>
      <c r="EE68" s="134"/>
      <c r="EF68" s="301"/>
      <c r="EG68" s="301"/>
      <c r="EH68" s="134"/>
      <c r="EI68" s="134"/>
      <c r="EJ68" s="134"/>
      <c r="EK68" s="134"/>
    </row>
    <row r="69" spans="1:141">
      <c r="A69" s="79" t="s">
        <v>1010</v>
      </c>
      <c r="B69" s="117">
        <v>35</v>
      </c>
      <c r="C69" s="123" t="s">
        <v>2099</v>
      </c>
      <c r="D69" s="124" t="s">
        <v>2354</v>
      </c>
      <c r="E69" s="125">
        <v>2014</v>
      </c>
      <c r="F69" s="79">
        <v>25002839</v>
      </c>
      <c r="G69" s="79">
        <v>1</v>
      </c>
      <c r="H69" s="126"/>
      <c r="I69" s="127"/>
      <c r="J69" s="79">
        <v>1</v>
      </c>
      <c r="K69" s="79"/>
      <c r="L69" s="153">
        <v>1</v>
      </c>
      <c r="M69" s="128">
        <v>2</v>
      </c>
      <c r="N69" s="79" t="s">
        <v>1587</v>
      </c>
      <c r="O69" s="79" t="s">
        <v>1216</v>
      </c>
      <c r="P69" s="79" t="s">
        <v>672</v>
      </c>
      <c r="Q69" s="79"/>
      <c r="R69" s="79" t="s">
        <v>1504</v>
      </c>
      <c r="S69" s="79"/>
      <c r="T69" s="79"/>
      <c r="U69" s="79" t="s">
        <v>674</v>
      </c>
      <c r="V69" s="79"/>
      <c r="W69" s="79" t="s">
        <v>1410</v>
      </c>
      <c r="X69" s="79"/>
      <c r="Y69" s="79"/>
      <c r="Z69" s="79" t="s">
        <v>1410</v>
      </c>
      <c r="AA69" s="233" t="s">
        <v>1917</v>
      </c>
      <c r="AB69" s="234" t="s">
        <v>3342</v>
      </c>
      <c r="AC69" s="135">
        <v>5</v>
      </c>
      <c r="AD69" s="235" t="s">
        <v>3280</v>
      </c>
      <c r="AE69" s="236">
        <v>1</v>
      </c>
      <c r="AF69" s="237">
        <v>0</v>
      </c>
      <c r="AG69" s="135" t="s">
        <v>3303</v>
      </c>
      <c r="AH69" s="135" t="s">
        <v>3278</v>
      </c>
      <c r="AI69" s="135" t="s">
        <v>3278</v>
      </c>
      <c r="AJ69" s="135" t="s">
        <v>803</v>
      </c>
      <c r="AK69" s="135" t="s">
        <v>803</v>
      </c>
      <c r="AL69" s="135" t="s">
        <v>3277</v>
      </c>
      <c r="AM69" s="135" t="s">
        <v>24</v>
      </c>
      <c r="AN69" s="320" t="s">
        <v>3277</v>
      </c>
      <c r="AO69" s="135" t="s">
        <v>24</v>
      </c>
      <c r="AP69" s="135" t="s">
        <v>3284</v>
      </c>
      <c r="AQ69" s="135">
        <v>1</v>
      </c>
      <c r="AR69" s="135" t="s">
        <v>3344</v>
      </c>
      <c r="AS69" s="135"/>
      <c r="AT69" s="135" t="s">
        <v>2668</v>
      </c>
      <c r="AU69" s="135" t="s">
        <v>3279</v>
      </c>
      <c r="AV69" s="156"/>
      <c r="AW69" s="156"/>
      <c r="AX69" s="156"/>
      <c r="AY69" s="156"/>
      <c r="AZ69" s="156">
        <v>1</v>
      </c>
      <c r="BA69" s="156"/>
      <c r="BB69" s="156"/>
      <c r="BC69" s="156"/>
      <c r="BD69" s="157" t="s">
        <v>3282</v>
      </c>
      <c r="BE69" s="134" t="s">
        <v>1876</v>
      </c>
      <c r="BF69" s="134" t="s">
        <v>3283</v>
      </c>
      <c r="BG69" s="134" t="s">
        <v>3301</v>
      </c>
      <c r="BH69" s="134" t="s">
        <v>3299</v>
      </c>
      <c r="BI69" s="134" t="s">
        <v>3304</v>
      </c>
      <c r="BJ69" s="259" t="s">
        <v>3308</v>
      </c>
      <c r="BK69" s="138" t="s">
        <v>3305</v>
      </c>
      <c r="BL69" s="134">
        <v>0.20216600000000001</v>
      </c>
      <c r="BM69" s="134" t="s">
        <v>24</v>
      </c>
      <c r="BN69" s="134">
        <f>0.341155-Table664[[#This Row],[Outcome1_M]]</f>
        <v>0.13898899999999997</v>
      </c>
      <c r="BO69" s="138" t="s">
        <v>3306</v>
      </c>
      <c r="BP69" s="190">
        <v>0.24007200000000001</v>
      </c>
      <c r="BQ69" s="168" t="s">
        <v>24</v>
      </c>
      <c r="BR69" s="190">
        <f>0.290614-Table664[[#This Row],[Outcome2_M]]</f>
        <v>5.0541999999999976E-2</v>
      </c>
      <c r="BS69" s="288" t="s">
        <v>3307</v>
      </c>
      <c r="BT69" s="289" t="s">
        <v>2480</v>
      </c>
      <c r="BU69" s="138" t="s">
        <v>24</v>
      </c>
      <c r="BV69" s="134"/>
      <c r="BW69" s="134"/>
      <c r="BX69" s="134"/>
      <c r="BY69" s="138"/>
      <c r="BZ69" s="134"/>
      <c r="CA69" s="134"/>
      <c r="CB69" s="134"/>
      <c r="CC69" s="288"/>
      <c r="CD69" s="289"/>
      <c r="CE69" s="276"/>
      <c r="CF69" s="308"/>
      <c r="CG69" s="138"/>
      <c r="CH69" s="134"/>
      <c r="CI69" s="134"/>
      <c r="CJ69" s="134"/>
      <c r="CK69" s="134"/>
      <c r="CL69" s="134"/>
      <c r="CM69" s="134"/>
      <c r="CN69" s="134"/>
      <c r="CO69" s="300"/>
      <c r="CP69" s="301"/>
      <c r="CQ69" s="134"/>
      <c r="CR69" s="134"/>
      <c r="CS69" s="134"/>
      <c r="CT69" s="134"/>
      <c r="CU69" s="134"/>
      <c r="CV69" s="134"/>
      <c r="CW69" s="134"/>
      <c r="CX69" s="134"/>
      <c r="CY69" s="300"/>
      <c r="CZ69" s="301"/>
      <c r="DA69" s="276"/>
      <c r="DB69" s="277"/>
      <c r="DC69" s="134"/>
      <c r="DD69" s="134"/>
      <c r="DE69" s="134"/>
      <c r="DF69" s="134"/>
      <c r="DG69" s="138"/>
      <c r="DH69" s="134"/>
      <c r="DI69" s="134"/>
      <c r="DJ69" s="134"/>
      <c r="DK69" s="301"/>
      <c r="DL69" s="301"/>
      <c r="DM69" s="134"/>
      <c r="DN69" s="134"/>
      <c r="DO69" s="134"/>
      <c r="DP69" s="134"/>
      <c r="DQ69" s="134"/>
      <c r="DR69" s="134"/>
      <c r="DS69" s="134"/>
      <c r="DT69" s="134"/>
      <c r="DU69" s="301"/>
      <c r="DV69" s="301"/>
      <c r="DW69" s="277"/>
      <c r="DX69" s="134"/>
      <c r="DY69" s="134"/>
      <c r="DZ69" s="134"/>
      <c r="EA69" s="134"/>
      <c r="EB69" s="134"/>
      <c r="EC69" s="134"/>
      <c r="ED69" s="134"/>
      <c r="EE69" s="134"/>
      <c r="EF69" s="301"/>
      <c r="EG69" s="301"/>
      <c r="EH69" s="134"/>
      <c r="EI69" s="134"/>
      <c r="EJ69" s="134"/>
      <c r="EK69" s="134"/>
    </row>
    <row r="70" spans="1:141">
      <c r="A70" s="79" t="s">
        <v>1005</v>
      </c>
      <c r="B70" s="117">
        <v>36</v>
      </c>
      <c r="C70" s="123" t="s">
        <v>2101</v>
      </c>
      <c r="D70" s="124" t="s">
        <v>2356</v>
      </c>
      <c r="E70" s="125">
        <v>2014</v>
      </c>
      <c r="F70" s="79">
        <v>24925360</v>
      </c>
      <c r="G70" s="79">
        <v>1</v>
      </c>
      <c r="H70" s="126">
        <v>1</v>
      </c>
      <c r="I70" s="127"/>
      <c r="J70" s="79">
        <v>1</v>
      </c>
      <c r="K70" s="79"/>
      <c r="L70" s="153">
        <v>1</v>
      </c>
      <c r="M70" s="128">
        <v>2</v>
      </c>
      <c r="N70" s="79" t="s">
        <v>1455</v>
      </c>
      <c r="O70" s="79" t="s">
        <v>1216</v>
      </c>
      <c r="P70" s="79" t="s">
        <v>1127</v>
      </c>
      <c r="Q70" s="79"/>
      <c r="R70" s="79" t="s">
        <v>1488</v>
      </c>
      <c r="S70" s="79" t="s">
        <v>803</v>
      </c>
      <c r="T70" s="79" t="s">
        <v>23</v>
      </c>
      <c r="U70" s="79" t="s">
        <v>1454</v>
      </c>
      <c r="V70" s="79" t="s">
        <v>1456</v>
      </c>
      <c r="W70" s="79" t="s">
        <v>24</v>
      </c>
      <c r="X70" s="79"/>
      <c r="Y70" s="79"/>
      <c r="Z70" s="79" t="s">
        <v>1457</v>
      </c>
      <c r="AA70" s="233" t="s">
        <v>3003</v>
      </c>
      <c r="AB70" s="234" t="s">
        <v>3346</v>
      </c>
      <c r="AC70" s="120">
        <v>4</v>
      </c>
      <c r="AD70" s="206"/>
      <c r="AE70" s="192"/>
      <c r="AF70" s="207"/>
      <c r="AG70" s="120"/>
      <c r="AH70" s="120"/>
      <c r="AI70" s="120"/>
      <c r="AJ70" s="120"/>
      <c r="AK70" s="120"/>
      <c r="AL70" s="120"/>
      <c r="AM70" s="120"/>
      <c r="AN70" s="120"/>
      <c r="AO70" s="120"/>
      <c r="AP70" s="120"/>
      <c r="AQ70" s="120"/>
      <c r="AR70" s="120" t="s">
        <v>3345</v>
      </c>
      <c r="AS70" s="120"/>
      <c r="AT70" s="120"/>
      <c r="AU70" s="120"/>
      <c r="AV70" s="156">
        <v>1</v>
      </c>
      <c r="AW70" s="156"/>
      <c r="AX70" s="156"/>
      <c r="AY70" s="156"/>
      <c r="AZ70" s="156"/>
      <c r="BA70" s="156"/>
      <c r="BB70" s="156"/>
      <c r="BC70" s="156"/>
      <c r="BD70" s="157"/>
      <c r="BE70" s="134"/>
      <c r="BF70" s="134"/>
      <c r="BG70" s="134"/>
      <c r="BH70" s="134"/>
      <c r="BI70" s="134"/>
      <c r="BJ70" s="259"/>
      <c r="BK70" s="138"/>
      <c r="BL70" s="134"/>
      <c r="BM70" s="134"/>
      <c r="BN70" s="134"/>
      <c r="BO70" s="138"/>
      <c r="BP70" s="134"/>
      <c r="BQ70" s="134"/>
      <c r="BR70" s="134"/>
      <c r="BS70" s="288"/>
      <c r="BT70" s="289"/>
      <c r="BU70" s="138"/>
      <c r="BV70" s="134"/>
      <c r="BW70" s="134"/>
      <c r="BX70" s="134"/>
      <c r="BY70" s="138"/>
      <c r="BZ70" s="134"/>
      <c r="CA70" s="134"/>
      <c r="CB70" s="134"/>
      <c r="CC70" s="288"/>
      <c r="CD70" s="289"/>
      <c r="CE70" s="276"/>
      <c r="CF70" s="308"/>
      <c r="CG70" s="138"/>
      <c r="CH70" s="134"/>
      <c r="CI70" s="134"/>
      <c r="CJ70" s="134"/>
      <c r="CK70" s="134"/>
      <c r="CL70" s="134"/>
      <c r="CM70" s="134"/>
      <c r="CN70" s="134"/>
      <c r="CO70" s="300"/>
      <c r="CP70" s="301"/>
      <c r="CQ70" s="134"/>
      <c r="CR70" s="134"/>
      <c r="CS70" s="134"/>
      <c r="CT70" s="134"/>
      <c r="CU70" s="134"/>
      <c r="CV70" s="134"/>
      <c r="CW70" s="134"/>
      <c r="CX70" s="134"/>
      <c r="CY70" s="300"/>
      <c r="CZ70" s="301"/>
      <c r="DA70" s="276"/>
      <c r="DB70" s="277"/>
      <c r="DC70" s="134"/>
      <c r="DD70" s="134"/>
      <c r="DE70" s="134"/>
      <c r="DF70" s="134"/>
      <c r="DG70" s="138"/>
      <c r="DH70" s="134"/>
      <c r="DI70" s="134"/>
      <c r="DJ70" s="134"/>
      <c r="DK70" s="301"/>
      <c r="DL70" s="301"/>
      <c r="DM70" s="134"/>
      <c r="DN70" s="134"/>
      <c r="DO70" s="134"/>
      <c r="DP70" s="134"/>
      <c r="DQ70" s="134"/>
      <c r="DR70" s="134"/>
      <c r="DS70" s="134"/>
      <c r="DT70" s="134"/>
      <c r="DU70" s="301"/>
      <c r="DV70" s="301"/>
      <c r="DW70" s="277"/>
      <c r="DX70" s="134"/>
      <c r="DY70" s="134"/>
      <c r="DZ70" s="134"/>
      <c r="EA70" s="134"/>
      <c r="EB70" s="134"/>
      <c r="EC70" s="134"/>
      <c r="ED70" s="134"/>
      <c r="EE70" s="134"/>
      <c r="EF70" s="301"/>
      <c r="EG70" s="301"/>
      <c r="EH70" s="134"/>
      <c r="EI70" s="134"/>
      <c r="EJ70" s="134"/>
      <c r="EK70" s="134"/>
    </row>
    <row r="71" spans="1:141">
      <c r="A71" s="79" t="s">
        <v>1001</v>
      </c>
      <c r="B71" s="117">
        <v>37</v>
      </c>
      <c r="C71" s="123" t="s">
        <v>2103</v>
      </c>
      <c r="D71" s="124" t="s">
        <v>2360</v>
      </c>
      <c r="E71" s="125">
        <v>2011</v>
      </c>
      <c r="F71" s="79">
        <v>21377492</v>
      </c>
      <c r="G71" s="79">
        <v>1</v>
      </c>
      <c r="H71" s="126">
        <v>1</v>
      </c>
      <c r="I71" s="127"/>
      <c r="J71" s="79">
        <v>1</v>
      </c>
      <c r="K71" s="79"/>
      <c r="L71" s="79">
        <v>1</v>
      </c>
      <c r="M71" s="128">
        <v>2</v>
      </c>
      <c r="N71" s="79" t="s">
        <v>1303</v>
      </c>
      <c r="O71" s="79" t="s">
        <v>1212</v>
      </c>
      <c r="P71" s="79" t="s">
        <v>1468</v>
      </c>
      <c r="Q71" s="79"/>
      <c r="R71" s="79" t="s">
        <v>1498</v>
      </c>
      <c r="S71" s="79" t="s">
        <v>803</v>
      </c>
      <c r="T71" s="79"/>
      <c r="U71" s="79" t="s">
        <v>1469</v>
      </c>
      <c r="V71" s="79" t="s">
        <v>436</v>
      </c>
      <c r="W71" s="79"/>
      <c r="X71" s="79"/>
      <c r="Y71" s="79"/>
      <c r="Z71" s="79"/>
      <c r="AA71" s="154">
        <v>1</v>
      </c>
      <c r="AB71" s="155" t="s">
        <v>3365</v>
      </c>
      <c r="AC71" s="134">
        <v>5</v>
      </c>
      <c r="AD71" s="213" t="s">
        <v>3366</v>
      </c>
      <c r="AE71" s="214">
        <v>2</v>
      </c>
      <c r="AF71" s="215">
        <v>0</v>
      </c>
      <c r="AG71" s="134">
        <f>Table664[[#This Row],[Subjects_n_ptsd]]+Table664[[#This Row],[Subjects_n_control]]</f>
        <v>13</v>
      </c>
      <c r="AH71" s="134">
        <v>7</v>
      </c>
      <c r="AI71" s="134">
        <v>6</v>
      </c>
      <c r="AJ71" s="134" t="s">
        <v>803</v>
      </c>
      <c r="AK71" s="134" t="s">
        <v>803</v>
      </c>
      <c r="AL71" s="134" t="s">
        <v>24</v>
      </c>
      <c r="AM71" s="134" t="s">
        <v>24</v>
      </c>
      <c r="AN71" s="134" t="s">
        <v>24</v>
      </c>
      <c r="AO71" s="134" t="s">
        <v>24</v>
      </c>
      <c r="AP71" s="134" t="s">
        <v>3349</v>
      </c>
      <c r="AQ71" s="134">
        <v>1</v>
      </c>
      <c r="AR71" s="134" t="s">
        <v>3347</v>
      </c>
      <c r="AS71" s="134" t="s">
        <v>2975</v>
      </c>
      <c r="AT71" s="134" t="s">
        <v>1468</v>
      </c>
      <c r="AU71" s="134" t="s">
        <v>3279</v>
      </c>
      <c r="AV71" s="156">
        <v>1</v>
      </c>
      <c r="AW71" s="156" t="s">
        <v>1917</v>
      </c>
      <c r="AX71" s="156"/>
      <c r="AY71" s="156"/>
      <c r="AZ71" s="156"/>
      <c r="BA71" s="156"/>
      <c r="BB71" s="156"/>
      <c r="BC71" s="156"/>
      <c r="BD71" s="157" t="s">
        <v>3356</v>
      </c>
      <c r="BE71" s="134" t="s">
        <v>1876</v>
      </c>
      <c r="BF71" s="134" t="s">
        <v>3369</v>
      </c>
      <c r="BG71" s="134" t="s">
        <v>3351</v>
      </c>
      <c r="BH71" s="134" t="s">
        <v>2606</v>
      </c>
      <c r="BI71" s="134" t="s">
        <v>3350</v>
      </c>
      <c r="BJ71" s="259" t="s">
        <v>3462</v>
      </c>
      <c r="BK71" s="138" t="s">
        <v>3370</v>
      </c>
      <c r="BL71" s="222">
        <v>8.0335000000000001</v>
      </c>
      <c r="BM71" s="134" t="s">
        <v>24</v>
      </c>
      <c r="BN71" s="134">
        <f>11.1504-Table664[[#This Row],[Outcome1_M]]</f>
        <v>3.1168999999999993</v>
      </c>
      <c r="BO71" s="138" t="s">
        <v>3378</v>
      </c>
      <c r="BP71" s="134">
        <v>62.875700000000002</v>
      </c>
      <c r="BQ71" s="134" t="s">
        <v>24</v>
      </c>
      <c r="BR71" s="134">
        <f>81.5773-Table664[[#This Row],[Outcome2_M]]</f>
        <v>18.701599999999992</v>
      </c>
      <c r="BS71" s="288" t="s">
        <v>3386</v>
      </c>
      <c r="BT71" s="289" t="s">
        <v>2588</v>
      </c>
      <c r="BU71" s="138"/>
      <c r="BV71" s="134"/>
      <c r="BW71" s="134"/>
      <c r="BX71" s="134"/>
      <c r="BY71" s="138"/>
      <c r="BZ71" s="134"/>
      <c r="CA71" s="134"/>
      <c r="CB71" s="134"/>
      <c r="CC71" s="288"/>
      <c r="CD71" s="289"/>
      <c r="CE71" s="276"/>
      <c r="CF71" s="308"/>
      <c r="CG71" s="138"/>
      <c r="CH71" s="134"/>
      <c r="CI71" s="134"/>
      <c r="CJ71" s="134"/>
      <c r="CK71" s="134"/>
      <c r="CL71" s="134"/>
      <c r="CM71" s="134"/>
      <c r="CN71" s="134"/>
      <c r="CO71" s="300"/>
      <c r="CP71" s="301"/>
      <c r="CQ71" s="134"/>
      <c r="CR71" s="134"/>
      <c r="CS71" s="134"/>
      <c r="CT71" s="134"/>
      <c r="CU71" s="134"/>
      <c r="CV71" s="134"/>
      <c r="CW71" s="134"/>
      <c r="CX71" s="134"/>
      <c r="CY71" s="300"/>
      <c r="CZ71" s="301"/>
      <c r="DA71" s="276"/>
      <c r="DB71" s="277"/>
      <c r="DC71" s="134"/>
      <c r="DD71" s="134"/>
      <c r="DE71" s="134"/>
      <c r="DF71" s="134"/>
      <c r="DG71" s="138"/>
      <c r="DH71" s="134"/>
      <c r="DI71" s="134"/>
      <c r="DJ71" s="134"/>
      <c r="DK71" s="301"/>
      <c r="DL71" s="301"/>
      <c r="DM71" s="134"/>
      <c r="DN71" s="134"/>
      <c r="DO71" s="134"/>
      <c r="DP71" s="134"/>
      <c r="DQ71" s="134"/>
      <c r="DR71" s="134"/>
      <c r="DS71" s="134"/>
      <c r="DT71" s="134"/>
      <c r="DU71" s="301"/>
      <c r="DV71" s="301"/>
      <c r="DW71" s="277"/>
      <c r="DX71" s="134"/>
      <c r="DY71" s="134"/>
      <c r="DZ71" s="134"/>
      <c r="EA71" s="134"/>
      <c r="EB71" s="134"/>
      <c r="EC71" s="134"/>
      <c r="ED71" s="134"/>
      <c r="EE71" s="134"/>
      <c r="EF71" s="301"/>
      <c r="EG71" s="301"/>
      <c r="EH71" s="134"/>
      <c r="EI71" s="134"/>
      <c r="EJ71" s="134"/>
      <c r="EK71" s="134"/>
    </row>
    <row r="72" spans="1:141" s="338" customFormat="1">
      <c r="A72" s="321" t="s">
        <v>1001</v>
      </c>
      <c r="B72" s="117">
        <v>37</v>
      </c>
      <c r="C72" s="322" t="s">
        <v>2103</v>
      </c>
      <c r="D72" s="323" t="s">
        <v>2360</v>
      </c>
      <c r="E72" s="324">
        <v>2011</v>
      </c>
      <c r="F72" s="321">
        <v>21377492</v>
      </c>
      <c r="G72" s="321">
        <v>1</v>
      </c>
      <c r="H72" s="321">
        <v>1</v>
      </c>
      <c r="I72" s="321"/>
      <c r="J72" s="321">
        <v>1</v>
      </c>
      <c r="K72" s="321"/>
      <c r="L72" s="321">
        <v>1</v>
      </c>
      <c r="M72" s="325">
        <v>2</v>
      </c>
      <c r="N72" s="321" t="s">
        <v>1303</v>
      </c>
      <c r="O72" s="321" t="s">
        <v>1212</v>
      </c>
      <c r="P72" s="321" t="s">
        <v>1468</v>
      </c>
      <c r="Q72" s="321"/>
      <c r="R72" s="321" t="s">
        <v>1498</v>
      </c>
      <c r="S72" s="321" t="s">
        <v>803</v>
      </c>
      <c r="T72" s="321"/>
      <c r="U72" s="321" t="s">
        <v>1469</v>
      </c>
      <c r="V72" s="321" t="s">
        <v>436</v>
      </c>
      <c r="W72" s="321"/>
      <c r="X72" s="321"/>
      <c r="Y72" s="321"/>
      <c r="Z72" s="321"/>
      <c r="AA72" s="154">
        <v>1</v>
      </c>
      <c r="AB72" s="155" t="s">
        <v>3365</v>
      </c>
      <c r="AC72" s="326">
        <v>5</v>
      </c>
      <c r="AD72" s="213" t="s">
        <v>3366</v>
      </c>
      <c r="AE72" s="214">
        <v>2</v>
      </c>
      <c r="AF72" s="215">
        <v>0</v>
      </c>
      <c r="AG72" s="134">
        <f>Table664[[#This Row],[Subjects_n_ptsd]]+Table664[[#This Row],[Subjects_n_control]]</f>
        <v>13</v>
      </c>
      <c r="AH72" s="326">
        <v>7</v>
      </c>
      <c r="AI72" s="326">
        <v>6</v>
      </c>
      <c r="AJ72" s="326" t="s">
        <v>803</v>
      </c>
      <c r="AK72" s="326" t="s">
        <v>803</v>
      </c>
      <c r="AL72" s="326" t="s">
        <v>24</v>
      </c>
      <c r="AM72" s="326" t="s">
        <v>24</v>
      </c>
      <c r="AN72" s="326" t="s">
        <v>24</v>
      </c>
      <c r="AO72" s="326" t="s">
        <v>24</v>
      </c>
      <c r="AP72" s="326" t="s">
        <v>3349</v>
      </c>
      <c r="AQ72" s="326">
        <v>1</v>
      </c>
      <c r="AR72" s="326" t="s">
        <v>3347</v>
      </c>
      <c r="AS72" s="326" t="s">
        <v>2975</v>
      </c>
      <c r="AT72" s="326" t="s">
        <v>1468</v>
      </c>
      <c r="AU72" s="326" t="s">
        <v>3279</v>
      </c>
      <c r="AV72" s="328">
        <v>1</v>
      </c>
      <c r="AW72" s="328" t="s">
        <v>1917</v>
      </c>
      <c r="AX72" s="328"/>
      <c r="AY72" s="328"/>
      <c r="AZ72" s="328"/>
      <c r="BA72" s="328"/>
      <c r="BB72" s="328"/>
      <c r="BC72" s="328"/>
      <c r="BD72" s="329" t="s">
        <v>3357</v>
      </c>
      <c r="BE72" s="326" t="s">
        <v>1876</v>
      </c>
      <c r="BF72" s="326">
        <v>2</v>
      </c>
      <c r="BG72" s="134" t="s">
        <v>3362</v>
      </c>
      <c r="BH72" s="326" t="s">
        <v>2606</v>
      </c>
      <c r="BI72" s="326" t="s">
        <v>3350</v>
      </c>
      <c r="BJ72" s="259" t="s">
        <v>3394</v>
      </c>
      <c r="BK72" s="138" t="s">
        <v>3374</v>
      </c>
      <c r="BL72" s="326">
        <v>38.189599999999999</v>
      </c>
      <c r="BM72" s="326" t="s">
        <v>24</v>
      </c>
      <c r="BN72" s="326">
        <f>51.6039-Table664[[#This Row],[Outcome1_M]]</f>
        <v>13.414300000000004</v>
      </c>
      <c r="BO72" s="138" t="s">
        <v>3379</v>
      </c>
      <c r="BP72" s="326">
        <v>31.002400000000002</v>
      </c>
      <c r="BQ72" s="326" t="s">
        <v>24</v>
      </c>
      <c r="BR72" s="326">
        <f>43.4809-Table664[[#This Row],[Outcome2_M]]</f>
        <v>12.478499999999997</v>
      </c>
      <c r="BS72" s="331" t="s">
        <v>3390</v>
      </c>
      <c r="BT72" s="332"/>
      <c r="BU72" s="330"/>
      <c r="BV72" s="326"/>
      <c r="BW72" s="326"/>
      <c r="BX72" s="326"/>
      <c r="BY72" s="330"/>
      <c r="BZ72" s="326"/>
      <c r="CA72" s="326"/>
      <c r="CB72" s="326"/>
      <c r="CC72" s="331"/>
      <c r="CD72" s="332"/>
      <c r="CE72" s="333"/>
      <c r="CF72" s="334"/>
      <c r="CG72" s="330"/>
      <c r="CH72" s="326"/>
      <c r="CI72" s="326"/>
      <c r="CJ72" s="326"/>
      <c r="CK72" s="326"/>
      <c r="CL72" s="326"/>
      <c r="CM72" s="326"/>
      <c r="CN72" s="326"/>
      <c r="CO72" s="335"/>
      <c r="CP72" s="336"/>
      <c r="CQ72" s="326"/>
      <c r="CR72" s="326"/>
      <c r="CS72" s="326"/>
      <c r="CT72" s="326"/>
      <c r="CU72" s="326"/>
      <c r="CV72" s="326"/>
      <c r="CW72" s="326"/>
      <c r="CX72" s="326"/>
      <c r="CY72" s="335"/>
      <c r="CZ72" s="336"/>
      <c r="DA72" s="333"/>
      <c r="DB72" s="337"/>
      <c r="DC72" s="326"/>
      <c r="DD72" s="326"/>
      <c r="DE72" s="326"/>
      <c r="DF72" s="326"/>
      <c r="DG72" s="330"/>
      <c r="DH72" s="326"/>
      <c r="DI72" s="326"/>
      <c r="DJ72" s="326"/>
      <c r="DK72" s="336"/>
      <c r="DL72" s="336"/>
      <c r="DM72" s="326"/>
      <c r="DN72" s="326"/>
      <c r="DO72" s="326"/>
      <c r="DP72" s="326"/>
      <c r="DQ72" s="326"/>
      <c r="DR72" s="326"/>
      <c r="DS72" s="326"/>
      <c r="DT72" s="326"/>
      <c r="DU72" s="336"/>
      <c r="DV72" s="336"/>
      <c r="DW72" s="337"/>
      <c r="DX72" s="326"/>
      <c r="DY72" s="326"/>
      <c r="DZ72" s="326"/>
      <c r="EA72" s="326"/>
      <c r="EB72" s="326"/>
      <c r="EC72" s="326"/>
      <c r="ED72" s="326"/>
      <c r="EE72" s="326"/>
      <c r="EF72" s="336"/>
      <c r="EG72" s="336"/>
      <c r="EH72" s="326"/>
      <c r="EI72" s="326"/>
      <c r="EJ72" s="326"/>
      <c r="EK72" s="326"/>
    </row>
    <row r="73" spans="1:141" s="338" customFormat="1">
      <c r="A73" s="321" t="s">
        <v>1001</v>
      </c>
      <c r="B73" s="117">
        <v>37</v>
      </c>
      <c r="C73" s="322" t="s">
        <v>2103</v>
      </c>
      <c r="D73" s="323" t="s">
        <v>2360</v>
      </c>
      <c r="E73" s="324">
        <v>2011</v>
      </c>
      <c r="F73" s="321">
        <v>21377492</v>
      </c>
      <c r="G73" s="321">
        <v>1</v>
      </c>
      <c r="H73" s="321">
        <v>1</v>
      </c>
      <c r="I73" s="321"/>
      <c r="J73" s="321">
        <v>1</v>
      </c>
      <c r="K73" s="321"/>
      <c r="L73" s="321">
        <v>1</v>
      </c>
      <c r="M73" s="325">
        <v>2</v>
      </c>
      <c r="N73" s="321" t="s">
        <v>1303</v>
      </c>
      <c r="O73" s="321" t="s">
        <v>1212</v>
      </c>
      <c r="P73" s="321" t="s">
        <v>1468</v>
      </c>
      <c r="Q73" s="321"/>
      <c r="R73" s="321" t="s">
        <v>1498</v>
      </c>
      <c r="S73" s="321" t="s">
        <v>803</v>
      </c>
      <c r="T73" s="321"/>
      <c r="U73" s="321" t="s">
        <v>1469</v>
      </c>
      <c r="V73" s="321" t="s">
        <v>436</v>
      </c>
      <c r="W73" s="321"/>
      <c r="X73" s="321"/>
      <c r="Y73" s="321"/>
      <c r="Z73" s="321"/>
      <c r="AA73" s="154">
        <v>1</v>
      </c>
      <c r="AB73" s="155" t="s">
        <v>3365</v>
      </c>
      <c r="AC73" s="326">
        <v>5</v>
      </c>
      <c r="AD73" s="213" t="s">
        <v>3366</v>
      </c>
      <c r="AE73" s="214">
        <v>2</v>
      </c>
      <c r="AF73" s="215">
        <v>0</v>
      </c>
      <c r="AG73" s="134">
        <f>Table664[[#This Row],[Subjects_n_ptsd]]+Table664[[#This Row],[Subjects_n_control]]</f>
        <v>14</v>
      </c>
      <c r="AH73" s="326">
        <v>7</v>
      </c>
      <c r="AI73" s="326">
        <v>7</v>
      </c>
      <c r="AJ73" s="326" t="s">
        <v>803</v>
      </c>
      <c r="AK73" s="326" t="s">
        <v>803</v>
      </c>
      <c r="AL73" s="326" t="s">
        <v>24</v>
      </c>
      <c r="AM73" s="326" t="s">
        <v>24</v>
      </c>
      <c r="AN73" s="326" t="s">
        <v>24</v>
      </c>
      <c r="AO73" s="326" t="s">
        <v>24</v>
      </c>
      <c r="AP73" s="326" t="s">
        <v>3349</v>
      </c>
      <c r="AQ73" s="326">
        <v>1</v>
      </c>
      <c r="AR73" s="326" t="s">
        <v>3347</v>
      </c>
      <c r="AS73" s="326" t="s">
        <v>2975</v>
      </c>
      <c r="AT73" s="326" t="s">
        <v>1468</v>
      </c>
      <c r="AU73" s="326" t="s">
        <v>3279</v>
      </c>
      <c r="AV73" s="328">
        <v>1</v>
      </c>
      <c r="AW73" s="328" t="s">
        <v>1917</v>
      </c>
      <c r="AX73" s="328"/>
      <c r="AY73" s="328"/>
      <c r="AZ73" s="328"/>
      <c r="BA73" s="328"/>
      <c r="BB73" s="328"/>
      <c r="BC73" s="328"/>
      <c r="BD73" s="329" t="s">
        <v>3358</v>
      </c>
      <c r="BE73" s="326" t="s">
        <v>1876</v>
      </c>
      <c r="BF73" s="326">
        <v>2</v>
      </c>
      <c r="BG73" s="134" t="s">
        <v>3352</v>
      </c>
      <c r="BH73" s="326" t="s">
        <v>2606</v>
      </c>
      <c r="BI73" s="326" t="s">
        <v>3350</v>
      </c>
      <c r="BJ73" s="259" t="s">
        <v>3394</v>
      </c>
      <c r="BK73" s="138" t="s">
        <v>3372</v>
      </c>
      <c r="BL73" s="326">
        <v>9.5406499999999994</v>
      </c>
      <c r="BM73" s="326" t="s">
        <v>24</v>
      </c>
      <c r="BN73" s="326">
        <f>14.528-Table664[[#This Row],[Outcome1_M]]</f>
        <v>4.9873500000000011</v>
      </c>
      <c r="BO73" s="138" t="s">
        <v>3380</v>
      </c>
      <c r="BP73" s="326">
        <v>38.823</v>
      </c>
      <c r="BQ73" s="326" t="s">
        <v>24</v>
      </c>
      <c r="BR73" s="326">
        <f>53.3691-Table664[[#This Row],[Outcome2_M]]</f>
        <v>14.546100000000003</v>
      </c>
      <c r="BS73" s="331" t="s">
        <v>3387</v>
      </c>
      <c r="BT73" s="332" t="s">
        <v>2643</v>
      </c>
      <c r="BU73" s="330"/>
      <c r="BV73" s="326"/>
      <c r="BW73" s="326"/>
      <c r="BX73" s="326"/>
      <c r="BY73" s="330"/>
      <c r="BZ73" s="326"/>
      <c r="CA73" s="326"/>
      <c r="CB73" s="326"/>
      <c r="CC73" s="331"/>
      <c r="CD73" s="332"/>
      <c r="CE73" s="333"/>
      <c r="CF73" s="334"/>
      <c r="CG73" s="330"/>
      <c r="CH73" s="326"/>
      <c r="CI73" s="326"/>
      <c r="CJ73" s="326"/>
      <c r="CK73" s="326"/>
      <c r="CL73" s="326"/>
      <c r="CM73" s="326"/>
      <c r="CN73" s="326"/>
      <c r="CO73" s="335"/>
      <c r="CP73" s="336"/>
      <c r="CQ73" s="326"/>
      <c r="CR73" s="326"/>
      <c r="CS73" s="326"/>
      <c r="CT73" s="326"/>
      <c r="CU73" s="326"/>
      <c r="CV73" s="326"/>
      <c r="CW73" s="326"/>
      <c r="CX73" s="326"/>
      <c r="CY73" s="335"/>
      <c r="CZ73" s="336"/>
      <c r="DA73" s="333"/>
      <c r="DB73" s="337"/>
      <c r="DC73" s="326"/>
      <c r="DD73" s="326"/>
      <c r="DE73" s="326"/>
      <c r="DF73" s="326"/>
      <c r="DG73" s="330"/>
      <c r="DH73" s="326"/>
      <c r="DI73" s="326"/>
      <c r="DJ73" s="326"/>
      <c r="DK73" s="336"/>
      <c r="DL73" s="336"/>
      <c r="DM73" s="326"/>
      <c r="DN73" s="326"/>
      <c r="DO73" s="326"/>
      <c r="DP73" s="326"/>
      <c r="DQ73" s="326"/>
      <c r="DR73" s="326"/>
      <c r="DS73" s="326"/>
      <c r="DT73" s="326"/>
      <c r="DU73" s="336"/>
      <c r="DV73" s="336"/>
      <c r="DW73" s="337"/>
      <c r="DX73" s="326"/>
      <c r="DY73" s="326"/>
      <c r="DZ73" s="326"/>
      <c r="EA73" s="326"/>
      <c r="EB73" s="326"/>
      <c r="EC73" s="326"/>
      <c r="ED73" s="326"/>
      <c r="EE73" s="326"/>
      <c r="EF73" s="336"/>
      <c r="EG73" s="336"/>
      <c r="EH73" s="326"/>
      <c r="EI73" s="326"/>
      <c r="EJ73" s="326"/>
      <c r="EK73" s="326"/>
    </row>
    <row r="74" spans="1:141" s="338" customFormat="1">
      <c r="A74" s="321" t="s">
        <v>1001</v>
      </c>
      <c r="B74" s="117">
        <v>37</v>
      </c>
      <c r="C74" s="322" t="s">
        <v>2103</v>
      </c>
      <c r="D74" s="323" t="s">
        <v>2360</v>
      </c>
      <c r="E74" s="324">
        <v>2011</v>
      </c>
      <c r="F74" s="321">
        <v>21377492</v>
      </c>
      <c r="G74" s="321">
        <v>1</v>
      </c>
      <c r="H74" s="321">
        <v>1</v>
      </c>
      <c r="I74" s="321"/>
      <c r="J74" s="321">
        <v>1</v>
      </c>
      <c r="K74" s="321"/>
      <c r="L74" s="321">
        <v>1</v>
      </c>
      <c r="M74" s="325">
        <v>2</v>
      </c>
      <c r="N74" s="321" t="s">
        <v>1303</v>
      </c>
      <c r="O74" s="321" t="s">
        <v>1212</v>
      </c>
      <c r="P74" s="321" t="s">
        <v>1468</v>
      </c>
      <c r="Q74" s="321"/>
      <c r="R74" s="321" t="s">
        <v>1498</v>
      </c>
      <c r="S74" s="321" t="s">
        <v>803</v>
      </c>
      <c r="T74" s="321"/>
      <c r="U74" s="321" t="s">
        <v>1469</v>
      </c>
      <c r="V74" s="321" t="s">
        <v>436</v>
      </c>
      <c r="W74" s="321"/>
      <c r="X74" s="321"/>
      <c r="Y74" s="321"/>
      <c r="Z74" s="321"/>
      <c r="AA74" s="154">
        <v>1</v>
      </c>
      <c r="AB74" s="155" t="s">
        <v>3365</v>
      </c>
      <c r="AC74" s="326">
        <v>5</v>
      </c>
      <c r="AD74" s="213" t="s">
        <v>3366</v>
      </c>
      <c r="AE74" s="327">
        <v>2</v>
      </c>
      <c r="AF74" s="215">
        <v>0</v>
      </c>
      <c r="AG74" s="134">
        <f>Table664[[#This Row],[Subjects_n_ptsd]]+Table664[[#This Row],[Subjects_n_control]]</f>
        <v>14</v>
      </c>
      <c r="AH74" s="326">
        <v>8</v>
      </c>
      <c r="AI74" s="326">
        <v>6</v>
      </c>
      <c r="AJ74" s="326" t="s">
        <v>803</v>
      </c>
      <c r="AK74" s="326" t="s">
        <v>803</v>
      </c>
      <c r="AL74" s="326" t="s">
        <v>24</v>
      </c>
      <c r="AM74" s="326" t="s">
        <v>24</v>
      </c>
      <c r="AN74" s="326" t="s">
        <v>24</v>
      </c>
      <c r="AO74" s="326" t="s">
        <v>24</v>
      </c>
      <c r="AP74" s="326" t="s">
        <v>3349</v>
      </c>
      <c r="AQ74" s="326">
        <v>1</v>
      </c>
      <c r="AR74" s="326" t="s">
        <v>3347</v>
      </c>
      <c r="AS74" s="326" t="s">
        <v>2975</v>
      </c>
      <c r="AT74" s="326" t="s">
        <v>1468</v>
      </c>
      <c r="AU74" s="326" t="s">
        <v>3279</v>
      </c>
      <c r="AV74" s="328">
        <v>1</v>
      </c>
      <c r="AW74" s="328" t="s">
        <v>1917</v>
      </c>
      <c r="AX74" s="328"/>
      <c r="AY74" s="328"/>
      <c r="AZ74" s="328"/>
      <c r="BA74" s="328"/>
      <c r="BB74" s="328"/>
      <c r="BC74" s="328"/>
      <c r="BD74" s="329" t="s">
        <v>3358</v>
      </c>
      <c r="BE74" s="326" t="s">
        <v>1876</v>
      </c>
      <c r="BF74" s="326">
        <v>2</v>
      </c>
      <c r="BG74" s="134" t="s">
        <v>3363</v>
      </c>
      <c r="BH74" s="326" t="s">
        <v>2606</v>
      </c>
      <c r="BI74" s="326" t="s">
        <v>3350</v>
      </c>
      <c r="BJ74" s="259" t="s">
        <v>3394</v>
      </c>
      <c r="BK74" s="138" t="s">
        <v>3375</v>
      </c>
      <c r="BL74" s="326">
        <v>8.1273900000000001</v>
      </c>
      <c r="BM74" s="326" t="s">
        <v>24</v>
      </c>
      <c r="BN74" s="326">
        <f>12.8066-Table664[[#This Row],[Outcome1_M]]</f>
        <v>4.6792099999999994</v>
      </c>
      <c r="BO74" s="138" t="s">
        <v>3381</v>
      </c>
      <c r="BP74" s="326">
        <v>31.356300000000001</v>
      </c>
      <c r="BQ74" s="326" t="s">
        <v>24</v>
      </c>
      <c r="BR74" s="326">
        <f>42.2741-Table664[[#This Row],[Outcome2_M]]</f>
        <v>10.917799999999996</v>
      </c>
      <c r="BS74" s="331" t="s">
        <v>3391</v>
      </c>
      <c r="BT74" s="332"/>
      <c r="BU74" s="330"/>
      <c r="BV74" s="326"/>
      <c r="BW74" s="326"/>
      <c r="BX74" s="326"/>
      <c r="BY74" s="330"/>
      <c r="BZ74" s="326"/>
      <c r="CA74" s="326"/>
      <c r="CB74" s="326"/>
      <c r="CC74" s="331"/>
      <c r="CD74" s="332"/>
      <c r="CE74" s="333"/>
      <c r="CF74" s="334"/>
      <c r="CG74" s="330"/>
      <c r="CH74" s="326"/>
      <c r="CI74" s="326"/>
      <c r="CJ74" s="326"/>
      <c r="CK74" s="326"/>
      <c r="CL74" s="326"/>
      <c r="CM74" s="326"/>
      <c r="CN74" s="326"/>
      <c r="CO74" s="335"/>
      <c r="CP74" s="336"/>
      <c r="CQ74" s="326"/>
      <c r="CR74" s="326"/>
      <c r="CS74" s="326"/>
      <c r="CT74" s="326"/>
      <c r="CU74" s="326"/>
      <c r="CV74" s="326"/>
      <c r="CW74" s="326"/>
      <c r="CX74" s="326"/>
      <c r="CY74" s="335"/>
      <c r="CZ74" s="336"/>
      <c r="DA74" s="333"/>
      <c r="DB74" s="337"/>
      <c r="DC74" s="326"/>
      <c r="DD74" s="326"/>
      <c r="DE74" s="326"/>
      <c r="DF74" s="326"/>
      <c r="DG74" s="330"/>
      <c r="DH74" s="326"/>
      <c r="DI74" s="326"/>
      <c r="DJ74" s="326"/>
      <c r="DK74" s="336"/>
      <c r="DL74" s="336"/>
      <c r="DM74" s="326"/>
      <c r="DN74" s="326"/>
      <c r="DO74" s="326"/>
      <c r="DP74" s="326"/>
      <c r="DQ74" s="326"/>
      <c r="DR74" s="326"/>
      <c r="DS74" s="326"/>
      <c r="DT74" s="326"/>
      <c r="DU74" s="336"/>
      <c r="DV74" s="336"/>
      <c r="DW74" s="337"/>
      <c r="DX74" s="326"/>
      <c r="DY74" s="326"/>
      <c r="DZ74" s="326"/>
      <c r="EA74" s="326"/>
      <c r="EB74" s="326"/>
      <c r="EC74" s="326"/>
      <c r="ED74" s="326"/>
      <c r="EE74" s="326"/>
      <c r="EF74" s="336"/>
      <c r="EG74" s="336"/>
      <c r="EH74" s="326"/>
      <c r="EI74" s="326"/>
      <c r="EJ74" s="326"/>
      <c r="EK74" s="326"/>
    </row>
    <row r="75" spans="1:141" s="338" customFormat="1">
      <c r="A75" s="321" t="s">
        <v>1001</v>
      </c>
      <c r="B75" s="117">
        <v>37</v>
      </c>
      <c r="C75" s="322" t="s">
        <v>2103</v>
      </c>
      <c r="D75" s="323" t="s">
        <v>2360</v>
      </c>
      <c r="E75" s="324">
        <v>2011</v>
      </c>
      <c r="F75" s="321">
        <v>21377492</v>
      </c>
      <c r="G75" s="321">
        <v>1</v>
      </c>
      <c r="H75" s="321">
        <v>1</v>
      </c>
      <c r="I75" s="321"/>
      <c r="J75" s="321">
        <v>1</v>
      </c>
      <c r="K75" s="321"/>
      <c r="L75" s="321">
        <v>1</v>
      </c>
      <c r="M75" s="325">
        <v>2</v>
      </c>
      <c r="N75" s="321" t="s">
        <v>1303</v>
      </c>
      <c r="O75" s="321" t="s">
        <v>1212</v>
      </c>
      <c r="P75" s="321" t="s">
        <v>1468</v>
      </c>
      <c r="Q75" s="321"/>
      <c r="R75" s="321" t="s">
        <v>1498</v>
      </c>
      <c r="S75" s="321" t="s">
        <v>803</v>
      </c>
      <c r="T75" s="321"/>
      <c r="U75" s="321" t="s">
        <v>1469</v>
      </c>
      <c r="V75" s="321" t="s">
        <v>436</v>
      </c>
      <c r="W75" s="321"/>
      <c r="X75" s="321"/>
      <c r="Y75" s="321"/>
      <c r="Z75" s="321"/>
      <c r="AA75" s="154">
        <v>1</v>
      </c>
      <c r="AB75" s="155" t="s">
        <v>3365</v>
      </c>
      <c r="AC75" s="326">
        <v>5</v>
      </c>
      <c r="AD75" s="213" t="s">
        <v>3366</v>
      </c>
      <c r="AE75" s="327">
        <v>2</v>
      </c>
      <c r="AF75" s="215">
        <v>0</v>
      </c>
      <c r="AG75" s="134">
        <f>Table664[[#This Row],[Subjects_n_ptsd]]+Table664[[#This Row],[Subjects_n_control]]</f>
        <v>14</v>
      </c>
      <c r="AH75" s="326">
        <v>7</v>
      </c>
      <c r="AI75" s="326">
        <v>7</v>
      </c>
      <c r="AJ75" s="326" t="s">
        <v>803</v>
      </c>
      <c r="AK75" s="326" t="s">
        <v>803</v>
      </c>
      <c r="AL75" s="326" t="s">
        <v>24</v>
      </c>
      <c r="AM75" s="326" t="s">
        <v>24</v>
      </c>
      <c r="AN75" s="326" t="s">
        <v>24</v>
      </c>
      <c r="AO75" s="326" t="s">
        <v>24</v>
      </c>
      <c r="AP75" s="326" t="s">
        <v>3349</v>
      </c>
      <c r="AQ75" s="326">
        <v>1</v>
      </c>
      <c r="AR75" s="326" t="s">
        <v>3347</v>
      </c>
      <c r="AS75" s="326" t="s">
        <v>2975</v>
      </c>
      <c r="AT75" s="326" t="s">
        <v>1468</v>
      </c>
      <c r="AU75" s="326" t="s">
        <v>3279</v>
      </c>
      <c r="AV75" s="328">
        <v>1</v>
      </c>
      <c r="AW75" s="328" t="s">
        <v>1917</v>
      </c>
      <c r="AX75" s="328"/>
      <c r="AY75" s="328"/>
      <c r="AZ75" s="328"/>
      <c r="BA75" s="328"/>
      <c r="BB75" s="328"/>
      <c r="BC75" s="328"/>
      <c r="BD75" s="329" t="s">
        <v>3359</v>
      </c>
      <c r="BE75" s="326" t="s">
        <v>1876</v>
      </c>
      <c r="BF75" s="326">
        <v>2</v>
      </c>
      <c r="BG75" s="134" t="s">
        <v>3353</v>
      </c>
      <c r="BH75" s="326" t="s">
        <v>2606</v>
      </c>
      <c r="BI75" s="326" t="s">
        <v>3350</v>
      </c>
      <c r="BJ75" s="259" t="s">
        <v>3394</v>
      </c>
      <c r="BK75" s="138" t="s">
        <v>3373</v>
      </c>
      <c r="BL75" s="326">
        <v>1.9032899999999999</v>
      </c>
      <c r="BM75" s="326" t="s">
        <v>24</v>
      </c>
      <c r="BN75" s="326">
        <f>2.73446-Table664[[#This Row],[Outcome1_M]]</f>
        <v>0.83116999999999996</v>
      </c>
      <c r="BO75" s="138" t="s">
        <v>3382</v>
      </c>
      <c r="BP75" s="326">
        <v>45.3172</v>
      </c>
      <c r="BQ75" s="326" t="s">
        <v>24</v>
      </c>
      <c r="BR75" s="326">
        <f>58.2003-Table664[[#This Row],[Outcome2_M]]</f>
        <v>12.883099999999999</v>
      </c>
      <c r="BS75" s="341" t="s">
        <v>3386</v>
      </c>
      <c r="BT75" s="332" t="s">
        <v>3060</v>
      </c>
      <c r="BU75" s="330"/>
      <c r="BV75" s="326"/>
      <c r="BW75" s="326"/>
      <c r="BX75" s="326"/>
      <c r="BY75" s="330"/>
      <c r="BZ75" s="326"/>
      <c r="CA75" s="326"/>
      <c r="CB75" s="326"/>
      <c r="CC75" s="331"/>
      <c r="CD75" s="332"/>
      <c r="CE75" s="333"/>
      <c r="CF75" s="334"/>
      <c r="CG75" s="330"/>
      <c r="CH75" s="326"/>
      <c r="CI75" s="326"/>
      <c r="CJ75" s="326"/>
      <c r="CK75" s="326"/>
      <c r="CL75" s="326"/>
      <c r="CM75" s="326"/>
      <c r="CN75" s="326"/>
      <c r="CO75" s="335"/>
      <c r="CP75" s="336"/>
      <c r="CQ75" s="326"/>
      <c r="CR75" s="326"/>
      <c r="CS75" s="326"/>
      <c r="CT75" s="326"/>
      <c r="CU75" s="326"/>
      <c r="CV75" s="326"/>
      <c r="CW75" s="326"/>
      <c r="CX75" s="326"/>
      <c r="CY75" s="335"/>
      <c r="CZ75" s="336"/>
      <c r="DA75" s="333"/>
      <c r="DB75" s="337"/>
      <c r="DC75" s="326"/>
      <c r="DD75" s="326"/>
      <c r="DE75" s="326"/>
      <c r="DF75" s="326"/>
      <c r="DG75" s="330"/>
      <c r="DH75" s="326"/>
      <c r="DI75" s="326"/>
      <c r="DJ75" s="326"/>
      <c r="DK75" s="336"/>
      <c r="DL75" s="336"/>
      <c r="DM75" s="326"/>
      <c r="DN75" s="326"/>
      <c r="DO75" s="326"/>
      <c r="DP75" s="326"/>
      <c r="DQ75" s="326"/>
      <c r="DR75" s="326"/>
      <c r="DS75" s="326"/>
      <c r="DT75" s="326"/>
      <c r="DU75" s="336"/>
      <c r="DV75" s="336"/>
      <c r="DW75" s="337"/>
      <c r="DX75" s="326"/>
      <c r="DY75" s="326"/>
      <c r="DZ75" s="326"/>
      <c r="EA75" s="326"/>
      <c r="EB75" s="326"/>
      <c r="EC75" s="326"/>
      <c r="ED75" s="326"/>
      <c r="EE75" s="326"/>
      <c r="EF75" s="336"/>
      <c r="EG75" s="336"/>
      <c r="EH75" s="326"/>
      <c r="EI75" s="326"/>
      <c r="EJ75" s="326"/>
      <c r="EK75" s="326"/>
    </row>
    <row r="76" spans="1:141" s="338" customFormat="1">
      <c r="A76" s="321" t="s">
        <v>1001</v>
      </c>
      <c r="B76" s="117">
        <v>37</v>
      </c>
      <c r="C76" s="322" t="s">
        <v>2103</v>
      </c>
      <c r="D76" s="323" t="s">
        <v>2360</v>
      </c>
      <c r="E76" s="324">
        <v>2011</v>
      </c>
      <c r="F76" s="321">
        <v>21377492</v>
      </c>
      <c r="G76" s="321">
        <v>1</v>
      </c>
      <c r="H76" s="321">
        <v>1</v>
      </c>
      <c r="I76" s="321"/>
      <c r="J76" s="321">
        <v>1</v>
      </c>
      <c r="K76" s="321"/>
      <c r="L76" s="321">
        <v>1</v>
      </c>
      <c r="M76" s="325">
        <v>2</v>
      </c>
      <c r="N76" s="321" t="s">
        <v>1303</v>
      </c>
      <c r="O76" s="321" t="s">
        <v>1212</v>
      </c>
      <c r="P76" s="321" t="s">
        <v>1468</v>
      </c>
      <c r="Q76" s="321"/>
      <c r="R76" s="321" t="s">
        <v>1498</v>
      </c>
      <c r="S76" s="321" t="s">
        <v>803</v>
      </c>
      <c r="T76" s="321"/>
      <c r="U76" s="321" t="s">
        <v>1469</v>
      </c>
      <c r="V76" s="321" t="s">
        <v>436</v>
      </c>
      <c r="W76" s="321"/>
      <c r="X76" s="321"/>
      <c r="Y76" s="321"/>
      <c r="Z76" s="321"/>
      <c r="AA76" s="154">
        <v>1</v>
      </c>
      <c r="AB76" s="155" t="s">
        <v>3365</v>
      </c>
      <c r="AC76" s="326">
        <v>5</v>
      </c>
      <c r="AD76" s="213" t="s">
        <v>3366</v>
      </c>
      <c r="AE76" s="327">
        <v>2</v>
      </c>
      <c r="AF76" s="215">
        <v>0</v>
      </c>
      <c r="AG76" s="134">
        <f>Table664[[#This Row],[Subjects_n_ptsd]]+Table664[[#This Row],[Subjects_n_control]]</f>
        <v>14</v>
      </c>
      <c r="AH76" s="326">
        <v>7</v>
      </c>
      <c r="AI76" s="326">
        <v>7</v>
      </c>
      <c r="AJ76" s="326" t="s">
        <v>803</v>
      </c>
      <c r="AK76" s="326" t="s">
        <v>803</v>
      </c>
      <c r="AL76" s="326" t="s">
        <v>24</v>
      </c>
      <c r="AM76" s="326" t="s">
        <v>24</v>
      </c>
      <c r="AN76" s="326" t="s">
        <v>24</v>
      </c>
      <c r="AO76" s="326" t="s">
        <v>24</v>
      </c>
      <c r="AP76" s="326" t="s">
        <v>3349</v>
      </c>
      <c r="AQ76" s="326">
        <v>1</v>
      </c>
      <c r="AR76" s="326" t="s">
        <v>3347</v>
      </c>
      <c r="AS76" s="326" t="s">
        <v>2975</v>
      </c>
      <c r="AT76" s="326" t="s">
        <v>1468</v>
      </c>
      <c r="AU76" s="326" t="s">
        <v>3279</v>
      </c>
      <c r="AV76" s="328">
        <v>1</v>
      </c>
      <c r="AW76" s="328" t="s">
        <v>1917</v>
      </c>
      <c r="AX76" s="328"/>
      <c r="AY76" s="328"/>
      <c r="AZ76" s="328"/>
      <c r="BA76" s="328"/>
      <c r="BB76" s="328"/>
      <c r="BC76" s="328"/>
      <c r="BD76" s="329" t="s">
        <v>3359</v>
      </c>
      <c r="BE76" s="326" t="s">
        <v>1876</v>
      </c>
      <c r="BF76" s="326">
        <v>2</v>
      </c>
      <c r="BG76" s="134" t="s">
        <v>3364</v>
      </c>
      <c r="BH76" s="326" t="s">
        <v>2606</v>
      </c>
      <c r="BI76" s="326" t="s">
        <v>3350</v>
      </c>
      <c r="BJ76" s="259" t="s">
        <v>3394</v>
      </c>
      <c r="BK76" s="340" t="s">
        <v>3376</v>
      </c>
      <c r="BL76" s="326">
        <v>9.2608499999999996</v>
      </c>
      <c r="BM76" s="326" t="s">
        <v>24</v>
      </c>
      <c r="BN76" s="326">
        <f>14.0964-Table664[[#This Row],[Outcome1_M]]</f>
        <v>4.8355499999999996</v>
      </c>
      <c r="BO76" s="340" t="s">
        <v>3383</v>
      </c>
      <c r="BP76" s="326">
        <v>29.993500000000001</v>
      </c>
      <c r="BQ76" s="326" t="s">
        <v>24</v>
      </c>
      <c r="BR76" s="326">
        <f>41.848-Table664[[#This Row],[Outcome2_M]]</f>
        <v>11.854499999999998</v>
      </c>
      <c r="BS76" s="331" t="s">
        <v>3391</v>
      </c>
      <c r="BT76" s="332"/>
      <c r="BU76" s="330"/>
      <c r="BV76" s="326"/>
      <c r="BW76" s="326"/>
      <c r="BX76" s="326"/>
      <c r="BY76" s="330"/>
      <c r="BZ76" s="326"/>
      <c r="CA76" s="326"/>
      <c r="CB76" s="326"/>
      <c r="CC76" s="331"/>
      <c r="CD76" s="332"/>
      <c r="CE76" s="333"/>
      <c r="CF76" s="334"/>
      <c r="CG76" s="330"/>
      <c r="CH76" s="326"/>
      <c r="CI76" s="326"/>
      <c r="CJ76" s="326"/>
      <c r="CK76" s="326"/>
      <c r="CL76" s="326"/>
      <c r="CM76" s="326"/>
      <c r="CN76" s="326"/>
      <c r="CO76" s="335"/>
      <c r="CP76" s="336"/>
      <c r="CQ76" s="326"/>
      <c r="CR76" s="326"/>
      <c r="CS76" s="326"/>
      <c r="CT76" s="326"/>
      <c r="CU76" s="326"/>
      <c r="CV76" s="326"/>
      <c r="CW76" s="326"/>
      <c r="CX76" s="326"/>
      <c r="CY76" s="335"/>
      <c r="CZ76" s="336"/>
      <c r="DA76" s="333"/>
      <c r="DB76" s="337"/>
      <c r="DC76" s="326"/>
      <c r="DD76" s="326"/>
      <c r="DE76" s="326"/>
      <c r="DF76" s="326"/>
      <c r="DG76" s="330"/>
      <c r="DH76" s="326"/>
      <c r="DI76" s="326"/>
      <c r="DJ76" s="326"/>
      <c r="DK76" s="336"/>
      <c r="DL76" s="336"/>
      <c r="DM76" s="326"/>
      <c r="DN76" s="326"/>
      <c r="DO76" s="326"/>
      <c r="DP76" s="326"/>
      <c r="DQ76" s="326"/>
      <c r="DR76" s="326"/>
      <c r="DS76" s="326"/>
      <c r="DT76" s="326"/>
      <c r="DU76" s="336"/>
      <c r="DV76" s="336"/>
      <c r="DW76" s="337"/>
      <c r="DX76" s="326"/>
      <c r="DY76" s="326"/>
      <c r="DZ76" s="326"/>
      <c r="EA76" s="326"/>
      <c r="EB76" s="326"/>
      <c r="EC76" s="326"/>
      <c r="ED76" s="326"/>
      <c r="EE76" s="326"/>
      <c r="EF76" s="336"/>
      <c r="EG76" s="336"/>
      <c r="EH76" s="326"/>
      <c r="EI76" s="326"/>
      <c r="EJ76" s="326"/>
      <c r="EK76" s="326"/>
    </row>
    <row r="77" spans="1:141" s="338" customFormat="1">
      <c r="A77" s="321" t="s">
        <v>1001</v>
      </c>
      <c r="B77" s="117">
        <v>37</v>
      </c>
      <c r="C77" s="322" t="s">
        <v>2103</v>
      </c>
      <c r="D77" s="323" t="s">
        <v>2360</v>
      </c>
      <c r="E77" s="324">
        <v>2011</v>
      </c>
      <c r="F77" s="321">
        <v>21377492</v>
      </c>
      <c r="G77" s="321">
        <v>1</v>
      </c>
      <c r="H77" s="321">
        <v>1</v>
      </c>
      <c r="I77" s="321"/>
      <c r="J77" s="321">
        <v>1</v>
      </c>
      <c r="K77" s="321"/>
      <c r="L77" s="321">
        <v>1</v>
      </c>
      <c r="M77" s="325">
        <v>2</v>
      </c>
      <c r="N77" s="321" t="s">
        <v>1303</v>
      </c>
      <c r="O77" s="321" t="s">
        <v>1212</v>
      </c>
      <c r="P77" s="321" t="s">
        <v>1468</v>
      </c>
      <c r="Q77" s="321"/>
      <c r="R77" s="321" t="s">
        <v>1498</v>
      </c>
      <c r="S77" s="321" t="s">
        <v>803</v>
      </c>
      <c r="T77" s="321"/>
      <c r="U77" s="321" t="s">
        <v>1469</v>
      </c>
      <c r="V77" s="321" t="s">
        <v>436</v>
      </c>
      <c r="W77" s="321"/>
      <c r="X77" s="321"/>
      <c r="Y77" s="321"/>
      <c r="Z77" s="321"/>
      <c r="AA77" s="154">
        <v>1</v>
      </c>
      <c r="AB77" s="155" t="s">
        <v>3365</v>
      </c>
      <c r="AC77" s="326">
        <v>5</v>
      </c>
      <c r="AD77" s="213" t="s">
        <v>3366</v>
      </c>
      <c r="AE77" s="327">
        <v>2</v>
      </c>
      <c r="AF77" s="215">
        <v>0</v>
      </c>
      <c r="AG77" s="134">
        <f>Table664[[#This Row],[Subjects_n_ptsd]]+Table664[[#This Row],[Subjects_n_control]]</f>
        <v>13</v>
      </c>
      <c r="AH77" s="326">
        <v>6</v>
      </c>
      <c r="AI77" s="326">
        <v>7</v>
      </c>
      <c r="AJ77" s="326" t="s">
        <v>803</v>
      </c>
      <c r="AK77" s="326" t="s">
        <v>803</v>
      </c>
      <c r="AL77" s="326" t="s">
        <v>24</v>
      </c>
      <c r="AM77" s="326" t="s">
        <v>24</v>
      </c>
      <c r="AN77" s="326" t="s">
        <v>24</v>
      </c>
      <c r="AO77" s="326" t="s">
        <v>24</v>
      </c>
      <c r="AP77" s="326" t="s">
        <v>3349</v>
      </c>
      <c r="AQ77" s="326">
        <v>1</v>
      </c>
      <c r="AR77" s="326" t="s">
        <v>3347</v>
      </c>
      <c r="AS77" s="326" t="s">
        <v>2975</v>
      </c>
      <c r="AT77" s="326" t="s">
        <v>1468</v>
      </c>
      <c r="AU77" s="326" t="s">
        <v>3279</v>
      </c>
      <c r="AV77" s="328">
        <v>1</v>
      </c>
      <c r="AW77" s="328" t="s">
        <v>1917</v>
      </c>
      <c r="AX77" s="328"/>
      <c r="AY77" s="328"/>
      <c r="AZ77" s="328"/>
      <c r="BA77" s="328"/>
      <c r="BB77" s="328"/>
      <c r="BC77" s="328"/>
      <c r="BD77" s="329" t="s">
        <v>3360</v>
      </c>
      <c r="BE77" s="326" t="s">
        <v>1876</v>
      </c>
      <c r="BF77" s="326">
        <v>2</v>
      </c>
      <c r="BG77" s="339" t="s">
        <v>3354</v>
      </c>
      <c r="BH77" s="326" t="s">
        <v>2606</v>
      </c>
      <c r="BI77" s="326" t="s">
        <v>3350</v>
      </c>
      <c r="BJ77" s="259" t="s">
        <v>3394</v>
      </c>
      <c r="BK77" s="138" t="s">
        <v>3371</v>
      </c>
      <c r="BL77" s="326">
        <v>0.761154</v>
      </c>
      <c r="BM77" s="326" t="s">
        <v>24</v>
      </c>
      <c r="BN77" s="326">
        <f>1.38429-Table664[[#This Row],[Outcome1_M]]</f>
        <v>0.62313600000000002</v>
      </c>
      <c r="BO77" s="138" t="s">
        <v>3384</v>
      </c>
      <c r="BP77" s="326">
        <v>85.264700000000005</v>
      </c>
      <c r="BQ77" s="326" t="s">
        <v>24</v>
      </c>
      <c r="BR77" s="326">
        <f>105.629-Table664[[#This Row],[Outcome2_M]]</f>
        <v>20.3643</v>
      </c>
      <c r="BS77" s="341" t="s">
        <v>3386</v>
      </c>
      <c r="BT77" s="332" t="s">
        <v>3060</v>
      </c>
      <c r="BU77" s="330"/>
      <c r="BV77" s="326"/>
      <c r="BW77" s="326"/>
      <c r="BX77" s="326"/>
      <c r="BY77" s="330"/>
      <c r="BZ77" s="326"/>
      <c r="CA77" s="326"/>
      <c r="CB77" s="326"/>
      <c r="CC77" s="331"/>
      <c r="CD77" s="332"/>
      <c r="CE77" s="333"/>
      <c r="CF77" s="334"/>
      <c r="CG77" s="330"/>
      <c r="CH77" s="326"/>
      <c r="CI77" s="326"/>
      <c r="CJ77" s="326"/>
      <c r="CK77" s="326"/>
      <c r="CL77" s="326"/>
      <c r="CM77" s="326"/>
      <c r="CN77" s="326"/>
      <c r="CO77" s="335"/>
      <c r="CP77" s="336"/>
      <c r="CQ77" s="326"/>
      <c r="CR77" s="326"/>
      <c r="CS77" s="326"/>
      <c r="CT77" s="326"/>
      <c r="CU77" s="326"/>
      <c r="CV77" s="326"/>
      <c r="CW77" s="326"/>
      <c r="CX77" s="326"/>
      <c r="CY77" s="335"/>
      <c r="CZ77" s="336"/>
      <c r="DA77" s="333"/>
      <c r="DB77" s="337"/>
      <c r="DC77" s="326"/>
      <c r="DD77" s="326"/>
      <c r="DE77" s="326"/>
      <c r="DF77" s="326"/>
      <c r="DG77" s="330"/>
      <c r="DH77" s="326"/>
      <c r="DI77" s="326"/>
      <c r="DJ77" s="326"/>
      <c r="DK77" s="336"/>
      <c r="DL77" s="336"/>
      <c r="DM77" s="326"/>
      <c r="DN77" s="326"/>
      <c r="DO77" s="326"/>
      <c r="DP77" s="326"/>
      <c r="DQ77" s="326"/>
      <c r="DR77" s="326"/>
      <c r="DS77" s="326"/>
      <c r="DT77" s="326"/>
      <c r="DU77" s="336"/>
      <c r="DV77" s="336"/>
      <c r="DW77" s="337"/>
      <c r="DX77" s="326"/>
      <c r="DY77" s="326"/>
      <c r="DZ77" s="326"/>
      <c r="EA77" s="326"/>
      <c r="EB77" s="326"/>
      <c r="EC77" s="326"/>
      <c r="ED77" s="326"/>
      <c r="EE77" s="326"/>
      <c r="EF77" s="336"/>
      <c r="EG77" s="336"/>
      <c r="EH77" s="326"/>
      <c r="EI77" s="326"/>
      <c r="EJ77" s="326"/>
      <c r="EK77" s="326"/>
    </row>
    <row r="78" spans="1:141" s="338" customFormat="1">
      <c r="A78" s="321" t="s">
        <v>1001</v>
      </c>
      <c r="B78" s="117">
        <v>37</v>
      </c>
      <c r="C78" s="322" t="s">
        <v>2103</v>
      </c>
      <c r="D78" s="323" t="s">
        <v>2360</v>
      </c>
      <c r="E78" s="324">
        <v>2011</v>
      </c>
      <c r="F78" s="321">
        <v>21377492</v>
      </c>
      <c r="G78" s="321">
        <v>1</v>
      </c>
      <c r="H78" s="321">
        <v>1</v>
      </c>
      <c r="I78" s="321"/>
      <c r="J78" s="321">
        <v>1</v>
      </c>
      <c r="K78" s="321"/>
      <c r="L78" s="321">
        <v>1</v>
      </c>
      <c r="M78" s="325">
        <v>2</v>
      </c>
      <c r="N78" s="321" t="s">
        <v>1303</v>
      </c>
      <c r="O78" s="321" t="s">
        <v>1212</v>
      </c>
      <c r="P78" s="321" t="s">
        <v>1468</v>
      </c>
      <c r="Q78" s="321"/>
      <c r="R78" s="321" t="s">
        <v>1498</v>
      </c>
      <c r="S78" s="321" t="s">
        <v>803</v>
      </c>
      <c r="T78" s="321"/>
      <c r="U78" s="321" t="s">
        <v>1469</v>
      </c>
      <c r="V78" s="321" t="s">
        <v>436</v>
      </c>
      <c r="W78" s="321"/>
      <c r="X78" s="321"/>
      <c r="Y78" s="321"/>
      <c r="Z78" s="321"/>
      <c r="AA78" s="154">
        <v>1</v>
      </c>
      <c r="AB78" s="155" t="s">
        <v>3365</v>
      </c>
      <c r="AC78" s="326">
        <v>5</v>
      </c>
      <c r="AD78" s="213" t="s">
        <v>3366</v>
      </c>
      <c r="AE78" s="327">
        <v>2</v>
      </c>
      <c r="AF78" s="215">
        <v>0</v>
      </c>
      <c r="AG78" s="134">
        <f>Table664[[#This Row],[Subjects_n_ptsd]]+Table664[[#This Row],[Subjects_n_control]]</f>
        <v>14</v>
      </c>
      <c r="AH78" s="326">
        <v>7</v>
      </c>
      <c r="AI78" s="326">
        <v>7</v>
      </c>
      <c r="AJ78" s="326" t="s">
        <v>803</v>
      </c>
      <c r="AK78" s="326" t="s">
        <v>803</v>
      </c>
      <c r="AL78" s="326" t="s">
        <v>24</v>
      </c>
      <c r="AM78" s="326" t="s">
        <v>24</v>
      </c>
      <c r="AN78" s="326" t="s">
        <v>24</v>
      </c>
      <c r="AO78" s="326" t="s">
        <v>24</v>
      </c>
      <c r="AP78" s="326" t="s">
        <v>3349</v>
      </c>
      <c r="AQ78" s="326">
        <v>1</v>
      </c>
      <c r="AR78" s="326" t="s">
        <v>3347</v>
      </c>
      <c r="AS78" s="326" t="s">
        <v>2975</v>
      </c>
      <c r="AT78" s="326" t="s">
        <v>1468</v>
      </c>
      <c r="AU78" s="326" t="s">
        <v>3279</v>
      </c>
      <c r="AV78" s="328">
        <v>1</v>
      </c>
      <c r="AW78" s="328" t="s">
        <v>1917</v>
      </c>
      <c r="AX78" s="328"/>
      <c r="AY78" s="328"/>
      <c r="AZ78" s="328"/>
      <c r="BA78" s="328"/>
      <c r="BB78" s="328"/>
      <c r="BC78" s="328"/>
      <c r="BD78" s="329" t="s">
        <v>3360</v>
      </c>
      <c r="BE78" s="326" t="s">
        <v>1876</v>
      </c>
      <c r="BF78" s="326">
        <v>2</v>
      </c>
      <c r="BG78" s="339" t="s">
        <v>3367</v>
      </c>
      <c r="BH78" s="326" t="s">
        <v>2606</v>
      </c>
      <c r="BI78" s="326" t="s">
        <v>3350</v>
      </c>
      <c r="BJ78" s="259" t="s">
        <v>3394</v>
      </c>
      <c r="BK78" s="340" t="s">
        <v>3377</v>
      </c>
      <c r="BL78" s="326">
        <v>3.5308299999999999</v>
      </c>
      <c r="BM78" s="326" t="s">
        <v>24</v>
      </c>
      <c r="BN78" s="326">
        <f>5.87052-Table664[[#This Row],[Outcome1_M]]</f>
        <v>2.33969</v>
      </c>
      <c r="BO78" s="340" t="s">
        <v>3385</v>
      </c>
      <c r="BP78" s="326">
        <v>43.761200000000002</v>
      </c>
      <c r="BQ78" s="326" t="s">
        <v>24</v>
      </c>
      <c r="BR78" s="326">
        <f>61.2309-Table664[[#This Row],[Outcome2_M]]</f>
        <v>17.469699999999996</v>
      </c>
      <c r="BS78" s="341" t="s">
        <v>3386</v>
      </c>
      <c r="BT78" s="332" t="s">
        <v>2588</v>
      </c>
      <c r="BU78" s="330"/>
      <c r="BV78" s="326"/>
      <c r="BW78" s="326"/>
      <c r="BX78" s="326"/>
      <c r="BY78" s="330"/>
      <c r="BZ78" s="326"/>
      <c r="CA78" s="326"/>
      <c r="CB78" s="326"/>
      <c r="CC78" s="331"/>
      <c r="CD78" s="332"/>
      <c r="CE78" s="333"/>
      <c r="CF78" s="334"/>
      <c r="CG78" s="330"/>
      <c r="CH78" s="326"/>
      <c r="CI78" s="326"/>
      <c r="CJ78" s="326"/>
      <c r="CK78" s="326"/>
      <c r="CL78" s="326"/>
      <c r="CM78" s="326"/>
      <c r="CN78" s="326"/>
      <c r="CO78" s="335"/>
      <c r="CP78" s="336"/>
      <c r="CQ78" s="326"/>
      <c r="CR78" s="326"/>
      <c r="CS78" s="326"/>
      <c r="CT78" s="326"/>
      <c r="CU78" s="326"/>
      <c r="CV78" s="326"/>
      <c r="CW78" s="326"/>
      <c r="CX78" s="326"/>
      <c r="CY78" s="335"/>
      <c r="CZ78" s="336"/>
      <c r="DA78" s="333"/>
      <c r="DB78" s="337"/>
      <c r="DC78" s="326"/>
      <c r="DD78" s="326"/>
      <c r="DE78" s="326"/>
      <c r="DF78" s="326"/>
      <c r="DG78" s="330"/>
      <c r="DH78" s="326"/>
      <c r="DI78" s="326"/>
      <c r="DJ78" s="326"/>
      <c r="DK78" s="336"/>
      <c r="DL78" s="336"/>
      <c r="DM78" s="326"/>
      <c r="DN78" s="326"/>
      <c r="DO78" s="326"/>
      <c r="DP78" s="326"/>
      <c r="DQ78" s="326"/>
      <c r="DR78" s="326"/>
      <c r="DS78" s="326"/>
      <c r="DT78" s="326"/>
      <c r="DU78" s="336"/>
      <c r="DV78" s="336"/>
      <c r="DW78" s="337"/>
      <c r="DX78" s="326"/>
      <c r="DY78" s="326"/>
      <c r="DZ78" s="326"/>
      <c r="EA78" s="326"/>
      <c r="EB78" s="326"/>
      <c r="EC78" s="326"/>
      <c r="ED78" s="326"/>
      <c r="EE78" s="326"/>
      <c r="EF78" s="336"/>
      <c r="EG78" s="336"/>
      <c r="EH78" s="326"/>
      <c r="EI78" s="326"/>
      <c r="EJ78" s="326"/>
      <c r="EK78" s="326"/>
    </row>
    <row r="79" spans="1:141" s="338" customFormat="1">
      <c r="A79" s="321" t="s">
        <v>1001</v>
      </c>
      <c r="B79" s="117">
        <v>37</v>
      </c>
      <c r="C79" s="322" t="s">
        <v>2103</v>
      </c>
      <c r="D79" s="323" t="s">
        <v>2360</v>
      </c>
      <c r="E79" s="324">
        <v>2011</v>
      </c>
      <c r="F79" s="321">
        <v>21377492</v>
      </c>
      <c r="G79" s="321">
        <v>1</v>
      </c>
      <c r="H79" s="321">
        <v>1</v>
      </c>
      <c r="I79" s="321"/>
      <c r="J79" s="321">
        <v>1</v>
      </c>
      <c r="K79" s="321"/>
      <c r="L79" s="321">
        <v>1</v>
      </c>
      <c r="M79" s="325">
        <v>2</v>
      </c>
      <c r="N79" s="321" t="s">
        <v>1303</v>
      </c>
      <c r="O79" s="321" t="s">
        <v>1212</v>
      </c>
      <c r="P79" s="321" t="s">
        <v>1468</v>
      </c>
      <c r="Q79" s="321"/>
      <c r="R79" s="321" t="s">
        <v>1498</v>
      </c>
      <c r="S79" s="321" t="s">
        <v>803</v>
      </c>
      <c r="T79" s="321"/>
      <c r="U79" s="321" t="s">
        <v>1469</v>
      </c>
      <c r="V79" s="321" t="s">
        <v>436</v>
      </c>
      <c r="W79" s="321"/>
      <c r="X79" s="321"/>
      <c r="Y79" s="321"/>
      <c r="Z79" s="321"/>
      <c r="AA79" s="154">
        <v>1</v>
      </c>
      <c r="AB79" s="155" t="s">
        <v>3365</v>
      </c>
      <c r="AC79" s="326">
        <v>5</v>
      </c>
      <c r="AD79" s="213" t="s">
        <v>3366</v>
      </c>
      <c r="AE79" s="327">
        <v>2</v>
      </c>
      <c r="AF79" s="215">
        <v>0</v>
      </c>
      <c r="AG79" s="134">
        <f>Table664[[#This Row],[Subjects_n_ptsd]]+Table664[[#This Row],[Subjects_n_control]]</f>
        <v>18</v>
      </c>
      <c r="AH79" s="326">
        <v>9</v>
      </c>
      <c r="AI79" s="326">
        <v>9</v>
      </c>
      <c r="AJ79" s="326" t="s">
        <v>803</v>
      </c>
      <c r="AK79" s="326" t="s">
        <v>803</v>
      </c>
      <c r="AL79" s="326" t="s">
        <v>24</v>
      </c>
      <c r="AM79" s="326" t="s">
        <v>24</v>
      </c>
      <c r="AN79" s="326" t="s">
        <v>24</v>
      </c>
      <c r="AO79" s="326" t="s">
        <v>24</v>
      </c>
      <c r="AP79" s="326" t="s">
        <v>3349</v>
      </c>
      <c r="AQ79" s="326">
        <v>1</v>
      </c>
      <c r="AR79" s="326" t="s">
        <v>3347</v>
      </c>
      <c r="AS79" s="326" t="s">
        <v>2975</v>
      </c>
      <c r="AT79" s="326" t="s">
        <v>1468</v>
      </c>
      <c r="AU79" s="326" t="s">
        <v>3279</v>
      </c>
      <c r="AV79" s="328">
        <v>1</v>
      </c>
      <c r="AW79" s="328" t="s">
        <v>1917</v>
      </c>
      <c r="AX79" s="328"/>
      <c r="AY79" s="328"/>
      <c r="AZ79" s="328"/>
      <c r="BA79" s="328"/>
      <c r="BB79" s="328"/>
      <c r="BC79" s="328"/>
      <c r="BD79" s="329" t="s">
        <v>3361</v>
      </c>
      <c r="BE79" s="326" t="s">
        <v>1876</v>
      </c>
      <c r="BF79" s="326">
        <v>2</v>
      </c>
      <c r="BG79" s="339" t="s">
        <v>3355</v>
      </c>
      <c r="BH79" s="326" t="s">
        <v>2606</v>
      </c>
      <c r="BI79" s="326" t="s">
        <v>3350</v>
      </c>
      <c r="BJ79" s="259" t="s">
        <v>3394</v>
      </c>
      <c r="BK79" s="138" t="s">
        <v>3392</v>
      </c>
      <c r="BL79" s="326">
        <v>2.9942799999999998</v>
      </c>
      <c r="BM79" s="326" t="s">
        <v>24</v>
      </c>
      <c r="BN79" s="326">
        <f>4.55273-Table664[[#This Row],[Outcome1_M]]</f>
        <v>1.5584500000000006</v>
      </c>
      <c r="BO79" s="138" t="s">
        <v>3388</v>
      </c>
      <c r="BP79" s="326">
        <v>36.018099999999997</v>
      </c>
      <c r="BQ79" s="326" t="s">
        <v>24</v>
      </c>
      <c r="BR79" s="326">
        <f>45.0564-Table664[[#This Row],[Outcome2_M]]</f>
        <v>9.0382999999999996</v>
      </c>
      <c r="BS79" s="341" t="s">
        <v>3386</v>
      </c>
      <c r="BT79" s="332" t="s">
        <v>3060</v>
      </c>
      <c r="BU79" s="330"/>
      <c r="BV79" s="326"/>
      <c r="BW79" s="326"/>
      <c r="BX79" s="326"/>
      <c r="BY79" s="330"/>
      <c r="BZ79" s="326"/>
      <c r="CA79" s="326"/>
      <c r="CB79" s="326"/>
      <c r="CC79" s="331"/>
      <c r="CD79" s="332"/>
      <c r="CE79" s="333"/>
      <c r="CF79" s="334"/>
      <c r="CG79" s="330"/>
      <c r="CH79" s="326"/>
      <c r="CI79" s="326"/>
      <c r="CJ79" s="326"/>
      <c r="CK79" s="326"/>
      <c r="CL79" s="326"/>
      <c r="CM79" s="326"/>
      <c r="CN79" s="326"/>
      <c r="CO79" s="335"/>
      <c r="CP79" s="336"/>
      <c r="CQ79" s="326"/>
      <c r="CR79" s="326"/>
      <c r="CS79" s="326"/>
      <c r="CT79" s="326"/>
      <c r="CU79" s="326"/>
      <c r="CV79" s="326"/>
      <c r="CW79" s="326"/>
      <c r="CX79" s="326"/>
      <c r="CY79" s="335"/>
      <c r="CZ79" s="336"/>
      <c r="DA79" s="333"/>
      <c r="DB79" s="337"/>
      <c r="DC79" s="326"/>
      <c r="DD79" s="326"/>
      <c r="DE79" s="326"/>
      <c r="DF79" s="326"/>
      <c r="DG79" s="330"/>
      <c r="DH79" s="326"/>
      <c r="DI79" s="326"/>
      <c r="DJ79" s="326"/>
      <c r="DK79" s="336"/>
      <c r="DL79" s="336"/>
      <c r="DM79" s="326"/>
      <c r="DN79" s="326"/>
      <c r="DO79" s="326"/>
      <c r="DP79" s="326"/>
      <c r="DQ79" s="326"/>
      <c r="DR79" s="326"/>
      <c r="DS79" s="326"/>
      <c r="DT79" s="326"/>
      <c r="DU79" s="336"/>
      <c r="DV79" s="336"/>
      <c r="DW79" s="337"/>
      <c r="DX79" s="326"/>
      <c r="DY79" s="326"/>
      <c r="DZ79" s="326"/>
      <c r="EA79" s="326"/>
      <c r="EB79" s="326"/>
      <c r="EC79" s="326"/>
      <c r="ED79" s="326"/>
      <c r="EE79" s="326"/>
      <c r="EF79" s="336"/>
      <c r="EG79" s="336"/>
      <c r="EH79" s="326"/>
      <c r="EI79" s="326"/>
      <c r="EJ79" s="326"/>
      <c r="EK79" s="326"/>
    </row>
    <row r="80" spans="1:141" s="338" customFormat="1">
      <c r="A80" s="321" t="s">
        <v>1001</v>
      </c>
      <c r="B80" s="117">
        <v>37</v>
      </c>
      <c r="C80" s="322" t="s">
        <v>2103</v>
      </c>
      <c r="D80" s="323" t="s">
        <v>2360</v>
      </c>
      <c r="E80" s="324">
        <v>2011</v>
      </c>
      <c r="F80" s="321">
        <v>21377492</v>
      </c>
      <c r="G80" s="321">
        <v>1</v>
      </c>
      <c r="H80" s="321">
        <v>1</v>
      </c>
      <c r="I80" s="321"/>
      <c r="J80" s="321">
        <v>1</v>
      </c>
      <c r="K80" s="321"/>
      <c r="L80" s="321">
        <v>1</v>
      </c>
      <c r="M80" s="325">
        <v>2</v>
      </c>
      <c r="N80" s="321" t="s">
        <v>1303</v>
      </c>
      <c r="O80" s="321" t="s">
        <v>1212</v>
      </c>
      <c r="P80" s="321" t="s">
        <v>1468</v>
      </c>
      <c r="Q80" s="321"/>
      <c r="R80" s="321" t="s">
        <v>1498</v>
      </c>
      <c r="S80" s="321" t="s">
        <v>803</v>
      </c>
      <c r="T80" s="321"/>
      <c r="U80" s="321" t="s">
        <v>1469</v>
      </c>
      <c r="V80" s="321" t="s">
        <v>436</v>
      </c>
      <c r="W80" s="321"/>
      <c r="X80" s="321"/>
      <c r="Y80" s="321"/>
      <c r="Z80" s="321"/>
      <c r="AA80" s="154">
        <v>1</v>
      </c>
      <c r="AB80" s="155" t="s">
        <v>3365</v>
      </c>
      <c r="AC80" s="326">
        <v>5</v>
      </c>
      <c r="AD80" s="213" t="s">
        <v>3366</v>
      </c>
      <c r="AE80" s="327">
        <v>2</v>
      </c>
      <c r="AF80" s="215">
        <v>0</v>
      </c>
      <c r="AG80" s="134">
        <f>Table664[[#This Row],[Subjects_n_ptsd]]+Table664[[#This Row],[Subjects_n_control]]</f>
        <v>15</v>
      </c>
      <c r="AH80" s="326">
        <v>8</v>
      </c>
      <c r="AI80" s="326">
        <v>7</v>
      </c>
      <c r="AJ80" s="326" t="s">
        <v>803</v>
      </c>
      <c r="AK80" s="326" t="s">
        <v>803</v>
      </c>
      <c r="AL80" s="326" t="s">
        <v>24</v>
      </c>
      <c r="AM80" s="326" t="s">
        <v>24</v>
      </c>
      <c r="AN80" s="326" t="s">
        <v>24</v>
      </c>
      <c r="AO80" s="326" t="s">
        <v>24</v>
      </c>
      <c r="AP80" s="326" t="s">
        <v>3349</v>
      </c>
      <c r="AQ80" s="326">
        <v>1</v>
      </c>
      <c r="AR80" s="326" t="s">
        <v>3347</v>
      </c>
      <c r="AS80" s="326" t="s">
        <v>2975</v>
      </c>
      <c r="AT80" s="326" t="s">
        <v>1468</v>
      </c>
      <c r="AU80" s="326" t="s">
        <v>3279</v>
      </c>
      <c r="AV80" s="328">
        <v>1</v>
      </c>
      <c r="AW80" s="328" t="s">
        <v>1917</v>
      </c>
      <c r="AX80" s="328"/>
      <c r="AY80" s="328"/>
      <c r="AZ80" s="328"/>
      <c r="BA80" s="328"/>
      <c r="BB80" s="328"/>
      <c r="BC80" s="328"/>
      <c r="BD80" s="329" t="s">
        <v>3361</v>
      </c>
      <c r="BE80" s="326" t="s">
        <v>1876</v>
      </c>
      <c r="BF80" s="326">
        <v>2</v>
      </c>
      <c r="BG80" s="339" t="s">
        <v>3368</v>
      </c>
      <c r="BH80" s="326" t="s">
        <v>2606</v>
      </c>
      <c r="BI80" s="326" t="s">
        <v>3350</v>
      </c>
      <c r="BJ80" s="259" t="s">
        <v>3394</v>
      </c>
      <c r="BK80" s="138" t="s">
        <v>3393</v>
      </c>
      <c r="BL80" s="326">
        <v>5.5999800000000004</v>
      </c>
      <c r="BM80" s="326" t="s">
        <v>24</v>
      </c>
      <c r="BN80" s="326">
        <f>9.34368-Table664[[#This Row],[Outcome1_M]]</f>
        <v>3.7437000000000005</v>
      </c>
      <c r="BO80" s="340" t="s">
        <v>3389</v>
      </c>
      <c r="BP80" s="326">
        <v>53.161200000000001</v>
      </c>
      <c r="BQ80" s="326" t="s">
        <v>24</v>
      </c>
      <c r="BR80" s="326">
        <f>66.1078-Table664[[#This Row],[Outcome2_M]]</f>
        <v>12.946599999999997</v>
      </c>
      <c r="BS80" s="341" t="s">
        <v>3386</v>
      </c>
      <c r="BT80" s="332" t="s">
        <v>3060</v>
      </c>
      <c r="BU80" s="330"/>
      <c r="BV80" s="326"/>
      <c r="BW80" s="326"/>
      <c r="BX80" s="326"/>
      <c r="BY80" s="330"/>
      <c r="BZ80" s="326"/>
      <c r="CA80" s="326"/>
      <c r="CB80" s="326"/>
      <c r="CC80" s="331"/>
      <c r="CD80" s="332"/>
      <c r="CE80" s="333"/>
      <c r="CF80" s="334"/>
      <c r="CG80" s="330"/>
      <c r="CH80" s="326"/>
      <c r="CI80" s="326"/>
      <c r="CJ80" s="326"/>
      <c r="CK80" s="326"/>
      <c r="CL80" s="326"/>
      <c r="CM80" s="326"/>
      <c r="CN80" s="326"/>
      <c r="CO80" s="335"/>
      <c r="CP80" s="336"/>
      <c r="CQ80" s="326"/>
      <c r="CR80" s="326"/>
      <c r="CS80" s="326"/>
      <c r="CT80" s="326"/>
      <c r="CU80" s="326"/>
      <c r="CV80" s="326"/>
      <c r="CW80" s="326"/>
      <c r="CX80" s="326"/>
      <c r="CY80" s="335"/>
      <c r="CZ80" s="336"/>
      <c r="DA80" s="333"/>
      <c r="DB80" s="337"/>
      <c r="DC80" s="326"/>
      <c r="DD80" s="326"/>
      <c r="DE80" s="326"/>
      <c r="DF80" s="326"/>
      <c r="DG80" s="330"/>
      <c r="DH80" s="326"/>
      <c r="DI80" s="326"/>
      <c r="DJ80" s="326"/>
      <c r="DK80" s="336"/>
      <c r="DL80" s="336"/>
      <c r="DM80" s="326"/>
      <c r="DN80" s="326"/>
      <c r="DO80" s="326"/>
      <c r="DP80" s="326"/>
      <c r="DQ80" s="326"/>
      <c r="DR80" s="326"/>
      <c r="DS80" s="326"/>
      <c r="DT80" s="326"/>
      <c r="DU80" s="336"/>
      <c r="DV80" s="336"/>
      <c r="DW80" s="337"/>
      <c r="DX80" s="326"/>
      <c r="DY80" s="326"/>
      <c r="DZ80" s="326"/>
      <c r="EA80" s="326"/>
      <c r="EB80" s="326"/>
      <c r="EC80" s="326"/>
      <c r="ED80" s="326"/>
      <c r="EE80" s="326"/>
      <c r="EF80" s="336"/>
      <c r="EG80" s="336"/>
      <c r="EH80" s="326"/>
      <c r="EI80" s="326"/>
      <c r="EJ80" s="326"/>
      <c r="EK80" s="326"/>
    </row>
    <row r="81" spans="1:141" s="188" customFormat="1">
      <c r="A81" s="79" t="s">
        <v>997</v>
      </c>
      <c r="B81" s="117">
        <v>38</v>
      </c>
      <c r="C81" s="180" t="s">
        <v>2105</v>
      </c>
      <c r="D81" s="181" t="s">
        <v>2363</v>
      </c>
      <c r="E81" s="182">
        <v>2008</v>
      </c>
      <c r="F81" s="79">
        <v>18391192</v>
      </c>
      <c r="G81" s="79">
        <v>1</v>
      </c>
      <c r="H81" s="79">
        <v>1</v>
      </c>
      <c r="I81" s="79"/>
      <c r="J81" s="79">
        <v>1</v>
      </c>
      <c r="K81" s="79"/>
      <c r="L81" s="153">
        <v>1</v>
      </c>
      <c r="M81" s="128">
        <v>2</v>
      </c>
      <c r="N81" s="79" t="s">
        <v>1475</v>
      </c>
      <c r="O81" s="79" t="s">
        <v>1216</v>
      </c>
      <c r="P81" s="79" t="s">
        <v>1138</v>
      </c>
      <c r="Q81" s="79"/>
      <c r="R81" s="79" t="s">
        <v>1489</v>
      </c>
      <c r="S81" s="79"/>
      <c r="T81" s="79"/>
      <c r="U81" s="79" t="s">
        <v>1501</v>
      </c>
      <c r="V81" s="79"/>
      <c r="W81" s="79"/>
      <c r="X81" s="79"/>
      <c r="Y81" s="79"/>
      <c r="Z81" s="79"/>
      <c r="AA81" s="352">
        <v>1</v>
      </c>
      <c r="AB81" s="353" t="s">
        <v>3429</v>
      </c>
      <c r="AC81" s="346">
        <v>5</v>
      </c>
      <c r="AD81" s="347" t="s">
        <v>3396</v>
      </c>
      <c r="AE81" s="348">
        <v>2</v>
      </c>
      <c r="AF81" s="349">
        <v>0</v>
      </c>
      <c r="AG81" s="346">
        <f>Table664[[#This Row],[Subjects_n_ptsd]]+Table664[[#This Row],[Subjects_n_control]]</f>
        <v>10</v>
      </c>
      <c r="AH81" s="346">
        <v>5</v>
      </c>
      <c r="AI81" s="346">
        <v>5</v>
      </c>
      <c r="AJ81" s="346" t="s">
        <v>803</v>
      </c>
      <c r="AK81" s="346" t="s">
        <v>803</v>
      </c>
      <c r="AL81" s="350" t="s">
        <v>3403</v>
      </c>
      <c r="AM81" s="186" t="s">
        <v>24</v>
      </c>
      <c r="AN81" s="350" t="s">
        <v>3403</v>
      </c>
      <c r="AO81" s="186" t="s">
        <v>24</v>
      </c>
      <c r="AP81" s="346" t="s">
        <v>3311</v>
      </c>
      <c r="AQ81" s="346">
        <v>1</v>
      </c>
      <c r="AR81" s="346" t="s">
        <v>3348</v>
      </c>
      <c r="AS81" s="346" t="s">
        <v>3398</v>
      </c>
      <c r="AT81" s="346" t="s">
        <v>3397</v>
      </c>
      <c r="AU81" s="346" t="s">
        <v>3395</v>
      </c>
      <c r="AV81" s="184">
        <v>1</v>
      </c>
      <c r="AW81" s="184"/>
      <c r="AX81" s="184"/>
      <c r="AY81" s="184"/>
      <c r="AZ81" s="184"/>
      <c r="BA81" s="184"/>
      <c r="BB81" s="184"/>
      <c r="BC81" s="184"/>
      <c r="BD81" s="185" t="s">
        <v>2528</v>
      </c>
      <c r="BE81" s="186" t="s">
        <v>1876</v>
      </c>
      <c r="BF81" s="186">
        <v>2</v>
      </c>
      <c r="BG81" s="186" t="s">
        <v>3419</v>
      </c>
      <c r="BH81" s="186" t="s">
        <v>23</v>
      </c>
      <c r="BI81" s="186" t="s">
        <v>3406</v>
      </c>
      <c r="BJ81" s="261" t="s">
        <v>3447</v>
      </c>
      <c r="BK81" s="267" t="s">
        <v>3422</v>
      </c>
      <c r="BL81" s="186">
        <v>12.8</v>
      </c>
      <c r="BM81" s="186" t="s">
        <v>24</v>
      </c>
      <c r="BN81" s="186">
        <v>1.7</v>
      </c>
      <c r="BO81" s="267" t="s">
        <v>3425</v>
      </c>
      <c r="BP81" s="186">
        <v>15</v>
      </c>
      <c r="BQ81" s="186" t="s">
        <v>24</v>
      </c>
      <c r="BR81" s="186">
        <v>3.3</v>
      </c>
      <c r="BS81" s="294" t="s">
        <v>3428</v>
      </c>
      <c r="BT81" s="295" t="s">
        <v>2480</v>
      </c>
      <c r="BU81" s="267"/>
      <c r="BV81" s="186"/>
      <c r="BW81" s="186"/>
      <c r="BX81" s="186"/>
      <c r="BY81" s="267"/>
      <c r="BZ81" s="186"/>
      <c r="CA81" s="186"/>
      <c r="CB81" s="186"/>
      <c r="CC81" s="294"/>
      <c r="CD81" s="295"/>
      <c r="CE81" s="280"/>
      <c r="CF81" s="310"/>
      <c r="CG81" s="267"/>
      <c r="CH81" s="186"/>
      <c r="CI81" s="186"/>
      <c r="CJ81" s="186"/>
      <c r="CK81" s="186"/>
      <c r="CL81" s="186"/>
      <c r="CM81" s="186"/>
      <c r="CN81" s="186"/>
      <c r="CO81" s="305"/>
      <c r="CP81" s="315"/>
      <c r="CQ81" s="186"/>
      <c r="CR81" s="186"/>
      <c r="CS81" s="186"/>
      <c r="CT81" s="186"/>
      <c r="CU81" s="186"/>
      <c r="CV81" s="186"/>
      <c r="CW81" s="186"/>
      <c r="CX81" s="186"/>
      <c r="CY81" s="305"/>
      <c r="CZ81" s="315"/>
      <c r="DA81" s="280"/>
      <c r="DB81" s="281"/>
      <c r="DC81" s="186"/>
      <c r="DD81" s="186"/>
      <c r="DE81" s="186"/>
      <c r="DF81" s="186"/>
      <c r="DG81" s="267"/>
      <c r="DH81" s="186"/>
      <c r="DI81" s="186"/>
      <c r="DJ81" s="186"/>
      <c r="DK81" s="315"/>
      <c r="DL81" s="315"/>
      <c r="DM81" s="186"/>
      <c r="DN81" s="186"/>
      <c r="DO81" s="186"/>
      <c r="DP81" s="186"/>
      <c r="DQ81" s="186"/>
      <c r="DR81" s="186"/>
      <c r="DS81" s="186"/>
      <c r="DT81" s="186"/>
      <c r="DU81" s="315"/>
      <c r="DV81" s="315"/>
      <c r="DW81" s="281"/>
      <c r="DX81" s="186"/>
      <c r="DY81" s="186"/>
      <c r="DZ81" s="186"/>
      <c r="EA81" s="186"/>
      <c r="EB81" s="186"/>
      <c r="EC81" s="186"/>
      <c r="ED81" s="186"/>
      <c r="EE81" s="186"/>
      <c r="EF81" s="315"/>
      <c r="EG81" s="315"/>
      <c r="EH81" s="186"/>
      <c r="EI81" s="186"/>
      <c r="EJ81" s="186"/>
      <c r="EK81" s="186"/>
    </row>
    <row r="82" spans="1:141" s="119" customFormat="1">
      <c r="A82" s="118" t="s">
        <v>997</v>
      </c>
      <c r="B82" s="117">
        <v>38</v>
      </c>
      <c r="C82" s="139" t="s">
        <v>2105</v>
      </c>
      <c r="D82" s="140" t="s">
        <v>2363</v>
      </c>
      <c r="E82" s="141">
        <v>2008</v>
      </c>
      <c r="F82" s="118">
        <v>18391192</v>
      </c>
      <c r="G82" s="118">
        <v>1</v>
      </c>
      <c r="H82" s="118">
        <v>1</v>
      </c>
      <c r="I82" s="118"/>
      <c r="J82" s="118">
        <v>1</v>
      </c>
      <c r="K82" s="118"/>
      <c r="L82" s="158">
        <v>1</v>
      </c>
      <c r="M82" s="142">
        <v>2</v>
      </c>
      <c r="N82" s="118" t="s">
        <v>1475</v>
      </c>
      <c r="O82" s="118" t="s">
        <v>1216</v>
      </c>
      <c r="P82" s="118" t="s">
        <v>1138</v>
      </c>
      <c r="Q82" s="118"/>
      <c r="R82" s="118" t="s">
        <v>1489</v>
      </c>
      <c r="S82" s="118"/>
      <c r="T82" s="118"/>
      <c r="U82" s="118" t="s">
        <v>1501</v>
      </c>
      <c r="V82" s="118"/>
      <c r="W82" s="118"/>
      <c r="X82" s="118"/>
      <c r="Y82" s="118"/>
      <c r="Z82" s="118"/>
      <c r="AA82" s="159">
        <v>1</v>
      </c>
      <c r="AB82" s="160" t="s">
        <v>3429</v>
      </c>
      <c r="AC82" s="122">
        <v>5</v>
      </c>
      <c r="AD82" s="226" t="s">
        <v>3366</v>
      </c>
      <c r="AE82" s="348">
        <v>2</v>
      </c>
      <c r="AF82" s="349">
        <v>0</v>
      </c>
      <c r="AG82" s="122">
        <f>Table664[[#This Row],[Subjects_n_ptsd]]+Table664[[#This Row],[Subjects_n_control]]</f>
        <v>10</v>
      </c>
      <c r="AH82" s="122">
        <v>5</v>
      </c>
      <c r="AI82" s="122">
        <v>5</v>
      </c>
      <c r="AJ82" s="122" t="s">
        <v>803</v>
      </c>
      <c r="AK82" s="122" t="s">
        <v>803</v>
      </c>
      <c r="AL82" s="344" t="s">
        <v>3403</v>
      </c>
      <c r="AM82" s="150" t="s">
        <v>24</v>
      </c>
      <c r="AN82" s="344" t="s">
        <v>3403</v>
      </c>
      <c r="AO82" s="150" t="s">
        <v>24</v>
      </c>
      <c r="AP82" s="122" t="s">
        <v>3311</v>
      </c>
      <c r="AQ82" s="122">
        <v>1</v>
      </c>
      <c r="AR82" s="122" t="s">
        <v>3348</v>
      </c>
      <c r="AS82" s="122" t="s">
        <v>3398</v>
      </c>
      <c r="AT82" s="122" t="s">
        <v>3397</v>
      </c>
      <c r="AU82" s="122" t="s">
        <v>3395</v>
      </c>
      <c r="AV82" s="161">
        <v>1</v>
      </c>
      <c r="AW82" s="161"/>
      <c r="AX82" s="161"/>
      <c r="AY82" s="161"/>
      <c r="AZ82" s="161"/>
      <c r="BA82" s="161"/>
      <c r="BB82" s="161"/>
      <c r="BC82" s="161"/>
      <c r="BD82" s="162" t="s">
        <v>2528</v>
      </c>
      <c r="BE82" s="150" t="s">
        <v>1876</v>
      </c>
      <c r="BF82" s="150">
        <v>2</v>
      </c>
      <c r="BG82" s="150" t="s">
        <v>3420</v>
      </c>
      <c r="BH82" s="150" t="s">
        <v>23</v>
      </c>
      <c r="BI82" s="150" t="s">
        <v>3406</v>
      </c>
      <c r="BJ82" s="261" t="s">
        <v>3447</v>
      </c>
      <c r="BK82" s="151" t="s">
        <v>3423</v>
      </c>
      <c r="BL82" s="150">
        <v>33.200000000000003</v>
      </c>
      <c r="BM82" s="150" t="s">
        <v>24</v>
      </c>
      <c r="BN82" s="150">
        <v>1.9</v>
      </c>
      <c r="BO82" s="151" t="s">
        <v>3426</v>
      </c>
      <c r="BP82" s="150">
        <v>38.299999999999997</v>
      </c>
      <c r="BQ82" s="150" t="s">
        <v>24</v>
      </c>
      <c r="BR82" s="150">
        <v>7.1</v>
      </c>
      <c r="BS82" s="290" t="s">
        <v>3428</v>
      </c>
      <c r="BT82" s="291" t="s">
        <v>2480</v>
      </c>
      <c r="BU82" s="151"/>
      <c r="BV82" s="150"/>
      <c r="BW82" s="150"/>
      <c r="BX82" s="150"/>
      <c r="BY82" s="151"/>
      <c r="BZ82" s="150"/>
      <c r="CA82" s="150"/>
      <c r="CB82" s="150"/>
      <c r="CC82" s="290"/>
      <c r="CD82" s="291"/>
      <c r="CE82" s="278"/>
      <c r="CF82" s="285"/>
      <c r="CG82" s="151"/>
      <c r="CH82" s="150"/>
      <c r="CI82" s="150"/>
      <c r="CJ82" s="150"/>
      <c r="CK82" s="150"/>
      <c r="CL82" s="150"/>
      <c r="CM82" s="150"/>
      <c r="CN82" s="150"/>
      <c r="CO82" s="302"/>
      <c r="CP82" s="303"/>
      <c r="CQ82" s="150"/>
      <c r="CR82" s="150"/>
      <c r="CS82" s="150"/>
      <c r="CT82" s="150"/>
      <c r="CU82" s="150"/>
      <c r="CV82" s="150"/>
      <c r="CW82" s="150"/>
      <c r="CX82" s="150"/>
      <c r="CY82" s="302"/>
      <c r="CZ82" s="303"/>
      <c r="DA82" s="278"/>
      <c r="DB82" s="279"/>
      <c r="DC82" s="150"/>
      <c r="DD82" s="150"/>
      <c r="DE82" s="150"/>
      <c r="DF82" s="150"/>
      <c r="DG82" s="151"/>
      <c r="DH82" s="150"/>
      <c r="DI82" s="150"/>
      <c r="DJ82" s="150"/>
      <c r="DK82" s="303"/>
      <c r="DL82" s="303"/>
      <c r="DM82" s="150"/>
      <c r="DN82" s="150"/>
      <c r="DO82" s="150"/>
      <c r="DP82" s="150"/>
      <c r="DQ82" s="150"/>
      <c r="DR82" s="150"/>
      <c r="DS82" s="150"/>
      <c r="DT82" s="150"/>
      <c r="DU82" s="303"/>
      <c r="DV82" s="303"/>
      <c r="DW82" s="279"/>
      <c r="DX82" s="150"/>
      <c r="DY82" s="150"/>
      <c r="DZ82" s="150"/>
      <c r="EA82" s="150"/>
      <c r="EB82" s="150"/>
      <c r="EC82" s="150"/>
      <c r="ED82" s="150"/>
      <c r="EE82" s="150"/>
      <c r="EF82" s="303"/>
      <c r="EG82" s="303"/>
      <c r="EH82" s="150"/>
      <c r="EI82" s="150"/>
      <c r="EJ82" s="150"/>
      <c r="EK82" s="150"/>
    </row>
    <row r="83" spans="1:141" s="119" customFormat="1">
      <c r="A83" s="118" t="s">
        <v>997</v>
      </c>
      <c r="B83" s="117">
        <v>38</v>
      </c>
      <c r="C83" s="139" t="s">
        <v>2105</v>
      </c>
      <c r="D83" s="140" t="s">
        <v>2363</v>
      </c>
      <c r="E83" s="141">
        <v>2008</v>
      </c>
      <c r="F83" s="118">
        <v>18391192</v>
      </c>
      <c r="G83" s="118">
        <v>1</v>
      </c>
      <c r="H83" s="118">
        <v>1</v>
      </c>
      <c r="I83" s="118"/>
      <c r="J83" s="118">
        <v>1</v>
      </c>
      <c r="K83" s="118"/>
      <c r="L83" s="158">
        <v>1</v>
      </c>
      <c r="M83" s="142">
        <v>2</v>
      </c>
      <c r="N83" s="118" t="s">
        <v>1475</v>
      </c>
      <c r="O83" s="118" t="s">
        <v>1216</v>
      </c>
      <c r="P83" s="118" t="s">
        <v>1138</v>
      </c>
      <c r="Q83" s="118"/>
      <c r="R83" s="118" t="s">
        <v>1489</v>
      </c>
      <c r="S83" s="118"/>
      <c r="T83" s="118"/>
      <c r="U83" s="118" t="s">
        <v>1501</v>
      </c>
      <c r="V83" s="118"/>
      <c r="W83" s="118"/>
      <c r="X83" s="118"/>
      <c r="Y83" s="118"/>
      <c r="Z83" s="118"/>
      <c r="AA83" s="159">
        <v>1</v>
      </c>
      <c r="AB83" s="160" t="s">
        <v>3429</v>
      </c>
      <c r="AC83" s="122">
        <v>5</v>
      </c>
      <c r="AD83" s="226" t="s">
        <v>3366</v>
      </c>
      <c r="AE83" s="348">
        <v>2</v>
      </c>
      <c r="AF83" s="349">
        <v>0</v>
      </c>
      <c r="AG83" s="122">
        <f>Table664[[#This Row],[Subjects_n_ptsd]]+Table664[[#This Row],[Subjects_n_control]]</f>
        <v>10</v>
      </c>
      <c r="AH83" s="122">
        <v>5</v>
      </c>
      <c r="AI83" s="122">
        <v>5</v>
      </c>
      <c r="AJ83" s="122" t="s">
        <v>803</v>
      </c>
      <c r="AK83" s="122" t="s">
        <v>803</v>
      </c>
      <c r="AL83" s="344" t="s">
        <v>3403</v>
      </c>
      <c r="AM83" s="150" t="s">
        <v>24</v>
      </c>
      <c r="AN83" s="344" t="s">
        <v>3403</v>
      </c>
      <c r="AO83" s="150" t="s">
        <v>24</v>
      </c>
      <c r="AP83" s="122" t="s">
        <v>3311</v>
      </c>
      <c r="AQ83" s="122">
        <v>1</v>
      </c>
      <c r="AR83" s="122" t="s">
        <v>3348</v>
      </c>
      <c r="AS83" s="122" t="s">
        <v>3398</v>
      </c>
      <c r="AT83" s="122" t="s">
        <v>3397</v>
      </c>
      <c r="AU83" s="122" t="s">
        <v>3395</v>
      </c>
      <c r="AV83" s="161">
        <v>1</v>
      </c>
      <c r="AW83" s="161"/>
      <c r="AX83" s="161"/>
      <c r="AY83" s="161"/>
      <c r="AZ83" s="161"/>
      <c r="BA83" s="161"/>
      <c r="BB83" s="161"/>
      <c r="BC83" s="161"/>
      <c r="BD83" s="162" t="s">
        <v>2528</v>
      </c>
      <c r="BE83" s="150" t="s">
        <v>1876</v>
      </c>
      <c r="BF83" s="150">
        <v>2</v>
      </c>
      <c r="BG83" s="150" t="s">
        <v>3421</v>
      </c>
      <c r="BH83" s="150" t="s">
        <v>23</v>
      </c>
      <c r="BI83" s="150" t="s">
        <v>3406</v>
      </c>
      <c r="BJ83" s="261" t="s">
        <v>3447</v>
      </c>
      <c r="BK83" s="343" t="s">
        <v>3424</v>
      </c>
      <c r="BL83" s="150">
        <v>138</v>
      </c>
      <c r="BM83" s="150" t="s">
        <v>24</v>
      </c>
      <c r="BN83" s="150">
        <v>14</v>
      </c>
      <c r="BO83" s="343" t="s">
        <v>3427</v>
      </c>
      <c r="BP83" s="150">
        <v>137</v>
      </c>
      <c r="BQ83" s="150" t="s">
        <v>24</v>
      </c>
      <c r="BR83" s="150">
        <v>20</v>
      </c>
      <c r="BS83" s="290" t="s">
        <v>3428</v>
      </c>
      <c r="BT83" s="291" t="s">
        <v>2480</v>
      </c>
      <c r="BU83" s="151"/>
      <c r="BV83" s="150"/>
      <c r="BW83" s="150"/>
      <c r="BX83" s="150"/>
      <c r="BY83" s="151"/>
      <c r="BZ83" s="150"/>
      <c r="CA83" s="150"/>
      <c r="CB83" s="150"/>
      <c r="CC83" s="290"/>
      <c r="CD83" s="291"/>
      <c r="CE83" s="278"/>
      <c r="CF83" s="285"/>
      <c r="CG83" s="151"/>
      <c r="CH83" s="150"/>
      <c r="CI83" s="150"/>
      <c r="CJ83" s="150"/>
      <c r="CK83" s="150"/>
      <c r="CL83" s="150"/>
      <c r="CM83" s="150"/>
      <c r="CN83" s="150"/>
      <c r="CO83" s="302"/>
      <c r="CP83" s="303"/>
      <c r="CQ83" s="150"/>
      <c r="CR83" s="150"/>
      <c r="CS83" s="150"/>
      <c r="CT83" s="150"/>
      <c r="CU83" s="150"/>
      <c r="CV83" s="150"/>
      <c r="CW83" s="150"/>
      <c r="CX83" s="150"/>
      <c r="CY83" s="302"/>
      <c r="CZ83" s="303"/>
      <c r="DA83" s="278"/>
      <c r="DB83" s="279"/>
      <c r="DC83" s="150"/>
      <c r="DD83" s="150"/>
      <c r="DE83" s="150"/>
      <c r="DF83" s="150"/>
      <c r="DG83" s="151"/>
      <c r="DH83" s="150"/>
      <c r="DI83" s="150"/>
      <c r="DJ83" s="150"/>
      <c r="DK83" s="303"/>
      <c r="DL83" s="303"/>
      <c r="DM83" s="150"/>
      <c r="DN83" s="150"/>
      <c r="DO83" s="150"/>
      <c r="DP83" s="150"/>
      <c r="DQ83" s="150"/>
      <c r="DR83" s="150"/>
      <c r="DS83" s="150"/>
      <c r="DT83" s="150"/>
      <c r="DU83" s="303"/>
      <c r="DV83" s="303"/>
      <c r="DW83" s="279"/>
      <c r="DX83" s="150"/>
      <c r="DY83" s="150"/>
      <c r="DZ83" s="150"/>
      <c r="EA83" s="150"/>
      <c r="EB83" s="150"/>
      <c r="EC83" s="150"/>
      <c r="ED83" s="150"/>
      <c r="EE83" s="150"/>
      <c r="EF83" s="303"/>
      <c r="EG83" s="303"/>
      <c r="EH83" s="150"/>
      <c r="EI83" s="150"/>
      <c r="EJ83" s="150"/>
      <c r="EK83" s="150"/>
    </row>
    <row r="84" spans="1:141" s="119" customFormat="1">
      <c r="A84" s="118" t="s">
        <v>997</v>
      </c>
      <c r="B84" s="117">
        <v>38</v>
      </c>
      <c r="C84" s="139" t="s">
        <v>2105</v>
      </c>
      <c r="D84" s="140" t="s">
        <v>2363</v>
      </c>
      <c r="E84" s="141">
        <v>2008</v>
      </c>
      <c r="F84" s="118">
        <v>18391192</v>
      </c>
      <c r="G84" s="118">
        <v>1</v>
      </c>
      <c r="H84" s="118">
        <v>1</v>
      </c>
      <c r="I84" s="118"/>
      <c r="J84" s="118">
        <v>1</v>
      </c>
      <c r="K84" s="118"/>
      <c r="L84" s="158">
        <v>1</v>
      </c>
      <c r="M84" s="142">
        <v>2</v>
      </c>
      <c r="N84" s="118" t="s">
        <v>1475</v>
      </c>
      <c r="O84" s="118" t="s">
        <v>1216</v>
      </c>
      <c r="P84" s="118" t="s">
        <v>1138</v>
      </c>
      <c r="Q84" s="118"/>
      <c r="R84" s="118" t="s">
        <v>1489</v>
      </c>
      <c r="S84" s="118"/>
      <c r="T84" s="118"/>
      <c r="U84" s="118" t="s">
        <v>1501</v>
      </c>
      <c r="V84" s="118"/>
      <c r="W84" s="118"/>
      <c r="X84" s="118"/>
      <c r="Y84" s="118"/>
      <c r="Z84" s="118"/>
      <c r="AA84" s="159">
        <v>1</v>
      </c>
      <c r="AB84" s="160" t="s">
        <v>3429</v>
      </c>
      <c r="AC84" s="122">
        <v>5</v>
      </c>
      <c r="AD84" s="226" t="s">
        <v>3366</v>
      </c>
      <c r="AE84" s="348">
        <v>2</v>
      </c>
      <c r="AF84" s="349">
        <v>0</v>
      </c>
      <c r="AG84" s="122">
        <f>Table664[[#This Row],[Subjects_n_ptsd]]+Table664[[#This Row],[Subjects_n_control]]</f>
        <v>10</v>
      </c>
      <c r="AH84" s="122">
        <v>5</v>
      </c>
      <c r="AI84" s="122">
        <v>5</v>
      </c>
      <c r="AJ84" s="122" t="s">
        <v>803</v>
      </c>
      <c r="AK84" s="122" t="s">
        <v>803</v>
      </c>
      <c r="AL84" s="344" t="s">
        <v>3403</v>
      </c>
      <c r="AM84" s="150" t="s">
        <v>24</v>
      </c>
      <c r="AN84" s="344" t="s">
        <v>3403</v>
      </c>
      <c r="AO84" s="150" t="s">
        <v>24</v>
      </c>
      <c r="AP84" s="122" t="s">
        <v>3311</v>
      </c>
      <c r="AQ84" s="122">
        <v>1</v>
      </c>
      <c r="AR84" s="122" t="s">
        <v>3348</v>
      </c>
      <c r="AS84" s="122" t="s">
        <v>3398</v>
      </c>
      <c r="AT84" s="122" t="s">
        <v>3397</v>
      </c>
      <c r="AU84" s="122" t="s">
        <v>3395</v>
      </c>
      <c r="AV84" s="161">
        <v>1</v>
      </c>
      <c r="AW84" s="161"/>
      <c r="AX84" s="161"/>
      <c r="AY84" s="161"/>
      <c r="AZ84" s="161"/>
      <c r="BA84" s="161"/>
      <c r="BB84" s="161"/>
      <c r="BC84" s="161"/>
      <c r="BD84" s="162" t="s">
        <v>3400</v>
      </c>
      <c r="BE84" s="150" t="s">
        <v>1876</v>
      </c>
      <c r="BF84" s="150">
        <v>2</v>
      </c>
      <c r="BG84" s="150" t="s">
        <v>3407</v>
      </c>
      <c r="BH84" s="150" t="s">
        <v>23</v>
      </c>
      <c r="BI84" s="150" t="s">
        <v>3406</v>
      </c>
      <c r="BJ84" s="258" t="s">
        <v>3448</v>
      </c>
      <c r="BK84" s="151" t="s">
        <v>3411</v>
      </c>
      <c r="BL84" s="150">
        <v>60</v>
      </c>
      <c r="BM84" s="150" t="s">
        <v>24</v>
      </c>
      <c r="BN84" s="150">
        <v>1.1000000000000001</v>
      </c>
      <c r="BO84" s="151" t="s">
        <v>3415</v>
      </c>
      <c r="BP84" s="150">
        <v>37</v>
      </c>
      <c r="BQ84" s="150" t="s">
        <v>24</v>
      </c>
      <c r="BR84" s="150">
        <v>9.6999999999999993</v>
      </c>
      <c r="BS84" s="290" t="s">
        <v>3418</v>
      </c>
      <c r="BT84" s="291" t="s">
        <v>3417</v>
      </c>
      <c r="BU84" s="151"/>
      <c r="BV84" s="150"/>
      <c r="BW84" s="150"/>
      <c r="BX84" s="150"/>
      <c r="BY84" s="151"/>
      <c r="BZ84" s="150"/>
      <c r="CA84" s="150"/>
      <c r="CB84" s="150"/>
      <c r="CC84" s="290"/>
      <c r="CD84" s="291"/>
      <c r="CE84" s="278"/>
      <c r="CF84" s="285"/>
      <c r="CG84" s="151"/>
      <c r="CH84" s="150"/>
      <c r="CI84" s="150"/>
      <c r="CJ84" s="150"/>
      <c r="CK84" s="150"/>
      <c r="CL84" s="150"/>
      <c r="CM84" s="150"/>
      <c r="CN84" s="150"/>
      <c r="CO84" s="302"/>
      <c r="CP84" s="303"/>
      <c r="CQ84" s="150"/>
      <c r="CR84" s="150"/>
      <c r="CS84" s="150"/>
      <c r="CT84" s="150"/>
      <c r="CU84" s="150"/>
      <c r="CV84" s="150"/>
      <c r="CW84" s="150"/>
      <c r="CX84" s="150"/>
      <c r="CY84" s="302"/>
      <c r="CZ84" s="303"/>
      <c r="DA84" s="278"/>
      <c r="DB84" s="279"/>
      <c r="DC84" s="150"/>
      <c r="DD84" s="150"/>
      <c r="DE84" s="150"/>
      <c r="DF84" s="150"/>
      <c r="DG84" s="151"/>
      <c r="DH84" s="150"/>
      <c r="DI84" s="150"/>
      <c r="DJ84" s="150"/>
      <c r="DK84" s="303"/>
      <c r="DL84" s="303"/>
      <c r="DM84" s="150"/>
      <c r="DN84" s="150"/>
      <c r="DO84" s="150"/>
      <c r="DP84" s="150"/>
      <c r="DQ84" s="150"/>
      <c r="DR84" s="150"/>
      <c r="DS84" s="150"/>
      <c r="DT84" s="150"/>
      <c r="DU84" s="303"/>
      <c r="DV84" s="303"/>
      <c r="DW84" s="279"/>
      <c r="DX84" s="150"/>
      <c r="DY84" s="150"/>
      <c r="DZ84" s="150"/>
      <c r="EA84" s="150"/>
      <c r="EB84" s="150"/>
      <c r="EC84" s="150"/>
      <c r="ED84" s="150"/>
      <c r="EE84" s="150"/>
      <c r="EF84" s="303"/>
      <c r="EG84" s="303"/>
      <c r="EH84" s="150"/>
      <c r="EI84" s="150"/>
      <c r="EJ84" s="150"/>
      <c r="EK84" s="150"/>
    </row>
    <row r="85" spans="1:141" s="119" customFormat="1">
      <c r="A85" s="118" t="s">
        <v>997</v>
      </c>
      <c r="B85" s="117">
        <v>38</v>
      </c>
      <c r="C85" s="139" t="s">
        <v>2105</v>
      </c>
      <c r="D85" s="140" t="s">
        <v>2363</v>
      </c>
      <c r="E85" s="141">
        <v>2008</v>
      </c>
      <c r="F85" s="118">
        <v>18391192</v>
      </c>
      <c r="G85" s="118">
        <v>1</v>
      </c>
      <c r="H85" s="118">
        <v>1</v>
      </c>
      <c r="I85" s="118"/>
      <c r="J85" s="118">
        <v>1</v>
      </c>
      <c r="K85" s="118"/>
      <c r="L85" s="158">
        <v>1</v>
      </c>
      <c r="M85" s="142">
        <v>2</v>
      </c>
      <c r="N85" s="118" t="s">
        <v>1475</v>
      </c>
      <c r="O85" s="118" t="s">
        <v>1216</v>
      </c>
      <c r="P85" s="118" t="s">
        <v>1138</v>
      </c>
      <c r="Q85" s="118"/>
      <c r="R85" s="118" t="s">
        <v>1489</v>
      </c>
      <c r="S85" s="118"/>
      <c r="T85" s="118"/>
      <c r="U85" s="118" t="s">
        <v>1501</v>
      </c>
      <c r="V85" s="118"/>
      <c r="W85" s="118"/>
      <c r="X85" s="118"/>
      <c r="Y85" s="118"/>
      <c r="Z85" s="118"/>
      <c r="AA85" s="159">
        <v>1</v>
      </c>
      <c r="AB85" s="160" t="s">
        <v>3429</v>
      </c>
      <c r="AC85" s="122">
        <v>5</v>
      </c>
      <c r="AD85" s="226" t="s">
        <v>3366</v>
      </c>
      <c r="AE85" s="348">
        <v>2</v>
      </c>
      <c r="AF85" s="349">
        <v>0</v>
      </c>
      <c r="AG85" s="122">
        <f>Table664[[#This Row],[Subjects_n_ptsd]]+Table664[[#This Row],[Subjects_n_control]]</f>
        <v>10</v>
      </c>
      <c r="AH85" s="122">
        <v>5</v>
      </c>
      <c r="AI85" s="122">
        <v>5</v>
      </c>
      <c r="AJ85" s="122" t="s">
        <v>803</v>
      </c>
      <c r="AK85" s="122" t="s">
        <v>803</v>
      </c>
      <c r="AL85" s="344" t="s">
        <v>3403</v>
      </c>
      <c r="AM85" s="150" t="s">
        <v>24</v>
      </c>
      <c r="AN85" s="344" t="s">
        <v>3403</v>
      </c>
      <c r="AO85" s="150" t="s">
        <v>24</v>
      </c>
      <c r="AP85" s="122" t="s">
        <v>3311</v>
      </c>
      <c r="AQ85" s="122">
        <v>1</v>
      </c>
      <c r="AR85" s="122" t="s">
        <v>3348</v>
      </c>
      <c r="AS85" s="122" t="s">
        <v>3398</v>
      </c>
      <c r="AT85" s="122" t="s">
        <v>3397</v>
      </c>
      <c r="AU85" s="122" t="s">
        <v>3395</v>
      </c>
      <c r="AV85" s="161">
        <v>1</v>
      </c>
      <c r="AW85" s="161"/>
      <c r="AX85" s="161"/>
      <c r="AY85" s="161"/>
      <c r="AZ85" s="161"/>
      <c r="BA85" s="161"/>
      <c r="BB85" s="161"/>
      <c r="BC85" s="161"/>
      <c r="BD85" s="162" t="s">
        <v>3399</v>
      </c>
      <c r="BE85" s="150" t="s">
        <v>1876</v>
      </c>
      <c r="BF85" s="150">
        <v>2</v>
      </c>
      <c r="BG85" s="150" t="s">
        <v>3408</v>
      </c>
      <c r="BH85" s="150" t="s">
        <v>23</v>
      </c>
      <c r="BI85" s="150" t="s">
        <v>3406</v>
      </c>
      <c r="BJ85" s="258" t="s">
        <v>3449</v>
      </c>
      <c r="BK85" s="151" t="s">
        <v>3430</v>
      </c>
      <c r="BL85" s="266">
        <v>18.899999999999999</v>
      </c>
      <c r="BM85" s="228" t="s">
        <v>3433</v>
      </c>
      <c r="BN85" s="266" t="s">
        <v>24</v>
      </c>
      <c r="BO85" s="151" t="s">
        <v>3431</v>
      </c>
      <c r="BP85" s="150">
        <v>20.100000000000001</v>
      </c>
      <c r="BQ85" s="150" t="s">
        <v>3432</v>
      </c>
      <c r="BR85" s="266" t="s">
        <v>24</v>
      </c>
      <c r="BS85" s="290" t="s">
        <v>3434</v>
      </c>
      <c r="BT85" s="291" t="s">
        <v>2480</v>
      </c>
      <c r="BU85" s="151"/>
      <c r="BV85" s="150"/>
      <c r="BW85" s="150"/>
      <c r="BX85" s="150"/>
      <c r="BY85" s="151"/>
      <c r="BZ85" s="150"/>
      <c r="CA85" s="150"/>
      <c r="CB85" s="150"/>
      <c r="CC85" s="290"/>
      <c r="CD85" s="291"/>
      <c r="CE85" s="278"/>
      <c r="CF85" s="285"/>
      <c r="CG85" s="151"/>
      <c r="CH85" s="150"/>
      <c r="CI85" s="150"/>
      <c r="CJ85" s="150"/>
      <c r="CK85" s="150"/>
      <c r="CL85" s="150"/>
      <c r="CM85" s="150"/>
      <c r="CN85" s="150"/>
      <c r="CO85" s="302"/>
      <c r="CP85" s="303"/>
      <c r="CQ85" s="150"/>
      <c r="CR85" s="150"/>
      <c r="CS85" s="150"/>
      <c r="CT85" s="150"/>
      <c r="CU85" s="150"/>
      <c r="CV85" s="150"/>
      <c r="CW85" s="150"/>
      <c r="CX85" s="150"/>
      <c r="CY85" s="302"/>
      <c r="CZ85" s="303"/>
      <c r="DA85" s="278"/>
      <c r="DB85" s="279"/>
      <c r="DC85" s="150"/>
      <c r="DD85" s="150"/>
      <c r="DE85" s="150"/>
      <c r="DF85" s="150"/>
      <c r="DG85" s="151"/>
      <c r="DH85" s="150"/>
      <c r="DI85" s="150"/>
      <c r="DJ85" s="150"/>
      <c r="DK85" s="303"/>
      <c r="DL85" s="303"/>
      <c r="DM85" s="150"/>
      <c r="DN85" s="150"/>
      <c r="DO85" s="150"/>
      <c r="DP85" s="150"/>
      <c r="DQ85" s="150"/>
      <c r="DR85" s="150"/>
      <c r="DS85" s="150"/>
      <c r="DT85" s="150"/>
      <c r="DU85" s="303"/>
      <c r="DV85" s="303"/>
      <c r="DW85" s="279"/>
      <c r="DX85" s="150"/>
      <c r="DY85" s="150"/>
      <c r="DZ85" s="150"/>
      <c r="EA85" s="150"/>
      <c r="EB85" s="150"/>
      <c r="EC85" s="150"/>
      <c r="ED85" s="150"/>
      <c r="EE85" s="150"/>
      <c r="EF85" s="303"/>
      <c r="EG85" s="303"/>
      <c r="EH85" s="150"/>
      <c r="EI85" s="150"/>
      <c r="EJ85" s="150"/>
      <c r="EK85" s="150"/>
    </row>
    <row r="86" spans="1:141" s="119" customFormat="1">
      <c r="A86" s="118" t="s">
        <v>997</v>
      </c>
      <c r="B86" s="117">
        <v>38</v>
      </c>
      <c r="C86" s="139" t="s">
        <v>2105</v>
      </c>
      <c r="D86" s="140" t="s">
        <v>2363</v>
      </c>
      <c r="E86" s="141">
        <v>2008</v>
      </c>
      <c r="F86" s="118">
        <v>18391192</v>
      </c>
      <c r="G86" s="118">
        <v>1</v>
      </c>
      <c r="H86" s="118">
        <v>1</v>
      </c>
      <c r="I86" s="118"/>
      <c r="J86" s="118">
        <v>1</v>
      </c>
      <c r="K86" s="118"/>
      <c r="L86" s="158">
        <v>1</v>
      </c>
      <c r="M86" s="142">
        <v>2</v>
      </c>
      <c r="N86" s="118" t="s">
        <v>1475</v>
      </c>
      <c r="O86" s="118" t="s">
        <v>1216</v>
      </c>
      <c r="P86" s="118" t="s">
        <v>1138</v>
      </c>
      <c r="Q86" s="118"/>
      <c r="R86" s="118" t="s">
        <v>1489</v>
      </c>
      <c r="S86" s="118"/>
      <c r="T86" s="118"/>
      <c r="U86" s="118" t="s">
        <v>1501</v>
      </c>
      <c r="V86" s="118"/>
      <c r="W86" s="118"/>
      <c r="X86" s="118"/>
      <c r="Y86" s="118"/>
      <c r="Z86" s="118"/>
      <c r="AA86" s="159">
        <v>1</v>
      </c>
      <c r="AB86" s="160" t="s">
        <v>3429</v>
      </c>
      <c r="AC86" s="122">
        <v>5</v>
      </c>
      <c r="AD86" s="226" t="s">
        <v>3366</v>
      </c>
      <c r="AE86" s="192">
        <v>2</v>
      </c>
      <c r="AF86" s="349">
        <v>0</v>
      </c>
      <c r="AG86" s="122">
        <f>Table664[[#This Row],[Subjects_n_ptsd]]+Table664[[#This Row],[Subjects_n_control]]</f>
        <v>10</v>
      </c>
      <c r="AH86" s="122">
        <v>5</v>
      </c>
      <c r="AI86" s="122">
        <v>5</v>
      </c>
      <c r="AJ86" s="122" t="s">
        <v>803</v>
      </c>
      <c r="AK86" s="122" t="s">
        <v>803</v>
      </c>
      <c r="AL86" s="344" t="s">
        <v>3403</v>
      </c>
      <c r="AM86" s="150" t="s">
        <v>24</v>
      </c>
      <c r="AN86" s="344" t="s">
        <v>3403</v>
      </c>
      <c r="AO86" s="150" t="s">
        <v>24</v>
      </c>
      <c r="AP86" s="122" t="s">
        <v>3311</v>
      </c>
      <c r="AQ86" s="122">
        <v>1</v>
      </c>
      <c r="AR86" s="122" t="s">
        <v>3348</v>
      </c>
      <c r="AS86" s="122" t="s">
        <v>3398</v>
      </c>
      <c r="AT86" s="122" t="s">
        <v>3397</v>
      </c>
      <c r="AU86" s="122" t="s">
        <v>3395</v>
      </c>
      <c r="AV86" s="161">
        <v>1</v>
      </c>
      <c r="AW86" s="161"/>
      <c r="AX86" s="161"/>
      <c r="AY86" s="161"/>
      <c r="AZ86" s="161"/>
      <c r="BA86" s="161"/>
      <c r="BB86" s="161"/>
      <c r="BC86" s="161"/>
      <c r="BD86" s="162" t="s">
        <v>3400</v>
      </c>
      <c r="BE86" s="150" t="s">
        <v>1876</v>
      </c>
      <c r="BF86" s="150">
        <v>2</v>
      </c>
      <c r="BG86" s="150" t="s">
        <v>3409</v>
      </c>
      <c r="BH86" s="150" t="s">
        <v>23</v>
      </c>
      <c r="BI86" s="150" t="s">
        <v>3406</v>
      </c>
      <c r="BJ86" s="258" t="s">
        <v>3448</v>
      </c>
      <c r="BK86" s="151" t="s">
        <v>3412</v>
      </c>
      <c r="BL86" s="150">
        <v>121</v>
      </c>
      <c r="BM86" s="150" t="s">
        <v>24</v>
      </c>
      <c r="BN86" s="150">
        <v>5.6</v>
      </c>
      <c r="BO86" s="151" t="s">
        <v>3414</v>
      </c>
      <c r="BP86" s="150">
        <v>68</v>
      </c>
      <c r="BQ86" s="150" t="s">
        <v>24</v>
      </c>
      <c r="BR86" s="150">
        <v>9.9</v>
      </c>
      <c r="BS86" s="290" t="s">
        <v>3418</v>
      </c>
      <c r="BT86" s="291" t="s">
        <v>3417</v>
      </c>
      <c r="BU86" s="151"/>
      <c r="BV86" s="150"/>
      <c r="BW86" s="150"/>
      <c r="BX86" s="150"/>
      <c r="BY86" s="151"/>
      <c r="BZ86" s="150"/>
      <c r="CA86" s="150"/>
      <c r="CB86" s="150"/>
      <c r="CC86" s="290"/>
      <c r="CD86" s="291"/>
      <c r="CE86" s="278"/>
      <c r="CF86" s="285"/>
      <c r="CG86" s="151"/>
      <c r="CH86" s="150"/>
      <c r="CI86" s="150"/>
      <c r="CJ86" s="150"/>
      <c r="CK86" s="150"/>
      <c r="CL86" s="150"/>
      <c r="CM86" s="150"/>
      <c r="CN86" s="150"/>
      <c r="CO86" s="302"/>
      <c r="CP86" s="303"/>
      <c r="CQ86" s="150"/>
      <c r="CR86" s="150"/>
      <c r="CS86" s="150"/>
      <c r="CT86" s="150"/>
      <c r="CU86" s="150"/>
      <c r="CV86" s="150"/>
      <c r="CW86" s="150"/>
      <c r="CX86" s="150"/>
      <c r="CY86" s="302"/>
      <c r="CZ86" s="303"/>
      <c r="DA86" s="278"/>
      <c r="DB86" s="279"/>
      <c r="DC86" s="150"/>
      <c r="DD86" s="150"/>
      <c r="DE86" s="150"/>
      <c r="DF86" s="150"/>
      <c r="DG86" s="151"/>
      <c r="DH86" s="150"/>
      <c r="DI86" s="150"/>
      <c r="DJ86" s="150"/>
      <c r="DK86" s="303"/>
      <c r="DL86" s="303"/>
      <c r="DM86" s="150"/>
      <c r="DN86" s="150"/>
      <c r="DO86" s="150"/>
      <c r="DP86" s="150"/>
      <c r="DQ86" s="150"/>
      <c r="DR86" s="150"/>
      <c r="DS86" s="150"/>
      <c r="DT86" s="150"/>
      <c r="DU86" s="303"/>
      <c r="DV86" s="303"/>
      <c r="DW86" s="279"/>
      <c r="DX86" s="150"/>
      <c r="DY86" s="150"/>
      <c r="DZ86" s="150"/>
      <c r="EA86" s="150"/>
      <c r="EB86" s="150"/>
      <c r="EC86" s="150"/>
      <c r="ED86" s="150"/>
      <c r="EE86" s="150"/>
      <c r="EF86" s="303"/>
      <c r="EG86" s="303"/>
      <c r="EH86" s="150"/>
      <c r="EI86" s="150"/>
      <c r="EJ86" s="150"/>
      <c r="EK86" s="150"/>
    </row>
    <row r="87" spans="1:141" s="119" customFormat="1">
      <c r="A87" s="118" t="s">
        <v>997</v>
      </c>
      <c r="B87" s="117">
        <v>38</v>
      </c>
      <c r="C87" s="139" t="s">
        <v>2105</v>
      </c>
      <c r="D87" s="140" t="s">
        <v>2363</v>
      </c>
      <c r="E87" s="141">
        <v>2008</v>
      </c>
      <c r="F87" s="118">
        <v>18391192</v>
      </c>
      <c r="G87" s="118">
        <v>1</v>
      </c>
      <c r="H87" s="118">
        <v>1</v>
      </c>
      <c r="I87" s="118"/>
      <c r="J87" s="118">
        <v>1</v>
      </c>
      <c r="K87" s="118"/>
      <c r="L87" s="158">
        <v>1</v>
      </c>
      <c r="M87" s="142">
        <v>2</v>
      </c>
      <c r="N87" s="118" t="s">
        <v>1475</v>
      </c>
      <c r="O87" s="118" t="s">
        <v>1216</v>
      </c>
      <c r="P87" s="118" t="s">
        <v>1138</v>
      </c>
      <c r="Q87" s="118"/>
      <c r="R87" s="118" t="s">
        <v>1489</v>
      </c>
      <c r="S87" s="118"/>
      <c r="T87" s="118"/>
      <c r="U87" s="118" t="s">
        <v>1501</v>
      </c>
      <c r="V87" s="118"/>
      <c r="W87" s="118"/>
      <c r="X87" s="118"/>
      <c r="Y87" s="118"/>
      <c r="Z87" s="118"/>
      <c r="AA87" s="159">
        <v>1</v>
      </c>
      <c r="AB87" s="160" t="s">
        <v>3429</v>
      </c>
      <c r="AC87" s="122">
        <v>5</v>
      </c>
      <c r="AD87" s="226" t="s">
        <v>3366</v>
      </c>
      <c r="AE87" s="192">
        <v>2</v>
      </c>
      <c r="AF87" s="349">
        <v>0</v>
      </c>
      <c r="AG87" s="122">
        <f>Table664[[#This Row],[Subjects_n_ptsd]]+Table664[[#This Row],[Subjects_n_control]]</f>
        <v>10</v>
      </c>
      <c r="AH87" s="122">
        <v>5</v>
      </c>
      <c r="AI87" s="122">
        <v>5</v>
      </c>
      <c r="AJ87" s="122" t="s">
        <v>803</v>
      </c>
      <c r="AK87" s="122" t="s">
        <v>803</v>
      </c>
      <c r="AL87" s="344" t="s">
        <v>3403</v>
      </c>
      <c r="AM87" s="150" t="s">
        <v>24</v>
      </c>
      <c r="AN87" s="344" t="s">
        <v>3403</v>
      </c>
      <c r="AO87" s="150" t="s">
        <v>24</v>
      </c>
      <c r="AP87" s="122" t="s">
        <v>3311</v>
      </c>
      <c r="AQ87" s="122">
        <v>1</v>
      </c>
      <c r="AR87" s="122" t="s">
        <v>3348</v>
      </c>
      <c r="AS87" s="122" t="s">
        <v>3398</v>
      </c>
      <c r="AT87" s="122" t="s">
        <v>3397</v>
      </c>
      <c r="AU87" s="122" t="s">
        <v>3395</v>
      </c>
      <c r="AV87" s="161">
        <v>1</v>
      </c>
      <c r="AW87" s="161"/>
      <c r="AX87" s="161"/>
      <c r="AY87" s="161"/>
      <c r="AZ87" s="161"/>
      <c r="BA87" s="161"/>
      <c r="BB87" s="161"/>
      <c r="BC87" s="161"/>
      <c r="BD87" s="162" t="s">
        <v>3400</v>
      </c>
      <c r="BE87" s="150" t="s">
        <v>1876</v>
      </c>
      <c r="BF87" s="150">
        <v>2</v>
      </c>
      <c r="BG87" s="345" t="s">
        <v>3410</v>
      </c>
      <c r="BH87" s="150" t="s">
        <v>23</v>
      </c>
      <c r="BI87" s="150" t="s">
        <v>3406</v>
      </c>
      <c r="BJ87" s="258" t="s">
        <v>3448</v>
      </c>
      <c r="BK87" s="343" t="s">
        <v>3413</v>
      </c>
      <c r="BL87" s="150">
        <v>161</v>
      </c>
      <c r="BM87" s="150" t="s">
        <v>24</v>
      </c>
      <c r="BN87" s="150">
        <v>9.6</v>
      </c>
      <c r="BO87" s="343" t="s">
        <v>3416</v>
      </c>
      <c r="BP87" s="150">
        <v>94</v>
      </c>
      <c r="BQ87" s="150" t="s">
        <v>24</v>
      </c>
      <c r="BR87" s="150">
        <v>9.3000000000000007</v>
      </c>
      <c r="BS87" s="290" t="s">
        <v>3418</v>
      </c>
      <c r="BT87" s="291" t="s">
        <v>3417</v>
      </c>
      <c r="BU87" s="151"/>
      <c r="BV87" s="150"/>
      <c r="BW87" s="150"/>
      <c r="BX87" s="150"/>
      <c r="BY87" s="151"/>
      <c r="BZ87" s="150"/>
      <c r="CA87" s="150"/>
      <c r="CB87" s="150"/>
      <c r="CC87" s="290"/>
      <c r="CD87" s="291"/>
      <c r="CE87" s="278"/>
      <c r="CF87" s="285"/>
      <c r="CG87" s="151"/>
      <c r="CH87" s="150"/>
      <c r="CI87" s="150"/>
      <c r="CJ87" s="150"/>
      <c r="CK87" s="150"/>
      <c r="CL87" s="150"/>
      <c r="CM87" s="150"/>
      <c r="CN87" s="150"/>
      <c r="CO87" s="302"/>
      <c r="CP87" s="303"/>
      <c r="CQ87" s="150"/>
      <c r="CR87" s="150"/>
      <c r="CS87" s="150"/>
      <c r="CT87" s="150"/>
      <c r="CU87" s="150"/>
      <c r="CV87" s="150"/>
      <c r="CW87" s="150"/>
      <c r="CX87" s="150"/>
      <c r="CY87" s="302"/>
      <c r="CZ87" s="303"/>
      <c r="DA87" s="278"/>
      <c r="DB87" s="279"/>
      <c r="DC87" s="150"/>
      <c r="DD87" s="150"/>
      <c r="DE87" s="150"/>
      <c r="DF87" s="150"/>
      <c r="DG87" s="151"/>
      <c r="DH87" s="150"/>
      <c r="DI87" s="150"/>
      <c r="DJ87" s="150"/>
      <c r="DK87" s="303"/>
      <c r="DL87" s="303"/>
      <c r="DM87" s="150"/>
      <c r="DN87" s="150"/>
      <c r="DO87" s="150"/>
      <c r="DP87" s="150"/>
      <c r="DQ87" s="150"/>
      <c r="DR87" s="150"/>
      <c r="DS87" s="150"/>
      <c r="DT87" s="150"/>
      <c r="DU87" s="303"/>
      <c r="DV87" s="303"/>
      <c r="DW87" s="279"/>
      <c r="DX87" s="150"/>
      <c r="DY87" s="150"/>
      <c r="DZ87" s="150"/>
      <c r="EA87" s="150"/>
      <c r="EB87" s="150"/>
      <c r="EC87" s="150"/>
      <c r="ED87" s="150"/>
      <c r="EE87" s="150"/>
      <c r="EF87" s="303"/>
      <c r="EG87" s="303"/>
      <c r="EH87" s="150"/>
      <c r="EI87" s="150"/>
      <c r="EJ87" s="150"/>
      <c r="EK87" s="150"/>
    </row>
    <row r="88" spans="1:141" s="119" customFormat="1">
      <c r="A88" s="118" t="s">
        <v>997</v>
      </c>
      <c r="B88" s="117">
        <v>38</v>
      </c>
      <c r="C88" s="139" t="s">
        <v>2105</v>
      </c>
      <c r="D88" s="140" t="s">
        <v>2363</v>
      </c>
      <c r="E88" s="141">
        <v>2008</v>
      </c>
      <c r="F88" s="118">
        <v>18391192</v>
      </c>
      <c r="G88" s="118">
        <v>1</v>
      </c>
      <c r="H88" s="118">
        <v>1</v>
      </c>
      <c r="I88" s="118"/>
      <c r="J88" s="118">
        <v>1</v>
      </c>
      <c r="K88" s="118"/>
      <c r="L88" s="158">
        <v>1</v>
      </c>
      <c r="M88" s="142">
        <v>2</v>
      </c>
      <c r="N88" s="118" t="s">
        <v>1475</v>
      </c>
      <c r="O88" s="118" t="s">
        <v>1216</v>
      </c>
      <c r="P88" s="118" t="s">
        <v>1138</v>
      </c>
      <c r="Q88" s="118"/>
      <c r="R88" s="118" t="s">
        <v>1489</v>
      </c>
      <c r="S88" s="118"/>
      <c r="T88" s="118"/>
      <c r="U88" s="118" t="s">
        <v>1501</v>
      </c>
      <c r="V88" s="118"/>
      <c r="W88" s="118"/>
      <c r="X88" s="118"/>
      <c r="Y88" s="118"/>
      <c r="Z88" s="118"/>
      <c r="AA88" s="159">
        <v>1</v>
      </c>
      <c r="AB88" s="160" t="s">
        <v>3429</v>
      </c>
      <c r="AC88" s="122">
        <v>5</v>
      </c>
      <c r="AD88" s="226" t="s">
        <v>3366</v>
      </c>
      <c r="AE88" s="192">
        <v>2</v>
      </c>
      <c r="AF88" s="349">
        <v>0</v>
      </c>
      <c r="AG88" s="122">
        <f>Table664[[#This Row],[Subjects_n_ptsd]]+Table664[[#This Row],[Subjects_n_control]]</f>
        <v>10</v>
      </c>
      <c r="AH88" s="122">
        <v>5</v>
      </c>
      <c r="AI88" s="122">
        <v>5</v>
      </c>
      <c r="AJ88" s="122" t="s">
        <v>803</v>
      </c>
      <c r="AK88" s="122" t="s">
        <v>803</v>
      </c>
      <c r="AL88" s="344" t="s">
        <v>3403</v>
      </c>
      <c r="AM88" s="150" t="s">
        <v>24</v>
      </c>
      <c r="AN88" s="344" t="s">
        <v>3403</v>
      </c>
      <c r="AO88" s="150" t="s">
        <v>24</v>
      </c>
      <c r="AP88" s="122" t="s">
        <v>3311</v>
      </c>
      <c r="AQ88" s="122">
        <v>1</v>
      </c>
      <c r="AR88" s="122" t="s">
        <v>3348</v>
      </c>
      <c r="AS88" s="122" t="s">
        <v>3398</v>
      </c>
      <c r="AT88" s="122" t="s">
        <v>3397</v>
      </c>
      <c r="AU88" s="122" t="s">
        <v>3395</v>
      </c>
      <c r="AV88" s="161">
        <v>1</v>
      </c>
      <c r="AW88" s="161"/>
      <c r="AX88" s="161"/>
      <c r="AY88" s="161"/>
      <c r="AZ88" s="161"/>
      <c r="BA88" s="161"/>
      <c r="BB88" s="161"/>
      <c r="BC88" s="161"/>
      <c r="BD88" s="162" t="s">
        <v>3401</v>
      </c>
      <c r="BE88" s="150" t="s">
        <v>1876</v>
      </c>
      <c r="BF88" s="150">
        <v>2</v>
      </c>
      <c r="BG88" s="345" t="s">
        <v>3404</v>
      </c>
      <c r="BH88" s="150" t="s">
        <v>23</v>
      </c>
      <c r="BI88" s="150" t="s">
        <v>3406</v>
      </c>
      <c r="BJ88" s="258" t="s">
        <v>3446</v>
      </c>
      <c r="BK88" s="343" t="s">
        <v>3435</v>
      </c>
      <c r="BL88" s="150">
        <v>205.28100000000001</v>
      </c>
      <c r="BM88" s="150" t="s">
        <v>24</v>
      </c>
      <c r="BN88" s="150">
        <f>Table664[[#This Row],[Outcome1_M]]-181.349</f>
        <v>23.932000000000016</v>
      </c>
      <c r="BO88" s="343" t="s">
        <v>3438</v>
      </c>
      <c r="BP88" s="266">
        <v>216.82900000000001</v>
      </c>
      <c r="BQ88" s="228" t="s">
        <v>24</v>
      </c>
      <c r="BR88" s="351">
        <f>234.976-Table664[[#This Row],[Outcome2_M]]</f>
        <v>18.146999999999991</v>
      </c>
      <c r="BS88" s="290" t="s">
        <v>3441</v>
      </c>
      <c r="BT88" s="291" t="s">
        <v>2480</v>
      </c>
      <c r="BU88" s="343" t="s">
        <v>3436</v>
      </c>
      <c r="BV88" s="150">
        <v>152.14599999999999</v>
      </c>
      <c r="BW88" s="150" t="s">
        <v>24</v>
      </c>
      <c r="BX88" s="150">
        <f>174.245-Table664[[#This Row],[Outcome3_M]]</f>
        <v>22.099000000000018</v>
      </c>
      <c r="BY88" s="343" t="s">
        <v>3439</v>
      </c>
      <c r="BZ88" s="150">
        <v>139.767</v>
      </c>
      <c r="CA88" s="150" t="s">
        <v>24</v>
      </c>
      <c r="CB88" s="150">
        <f>Table664[[#This Row],[Outcome4_M]]-121.616</f>
        <v>18.150999999999996</v>
      </c>
      <c r="CC88" s="290" t="s">
        <v>3442</v>
      </c>
      <c r="CD88" s="291" t="s">
        <v>3443</v>
      </c>
      <c r="CE88" s="278"/>
      <c r="CF88" s="285"/>
      <c r="CG88" s="343" t="s">
        <v>3437</v>
      </c>
      <c r="CH88" s="150">
        <v>99.837999999999994</v>
      </c>
      <c r="CI88" s="150" t="s">
        <v>24</v>
      </c>
      <c r="CJ88" s="150">
        <f>Table664[[#This Row],[Outcome5_M]]-79.2089</f>
        <v>20.629099999999994</v>
      </c>
      <c r="CK88" s="343" t="s">
        <v>3440</v>
      </c>
      <c r="CL88" s="150">
        <v>110.56100000000001</v>
      </c>
      <c r="CM88" s="150" t="s">
        <v>24</v>
      </c>
      <c r="CN88" s="150">
        <f>122.11-Table664[[#This Row],[Outcome6_M]]</f>
        <v>11.548999999999992</v>
      </c>
      <c r="CO88" s="302" t="s">
        <v>3444</v>
      </c>
      <c r="CP88" s="303" t="s">
        <v>3445</v>
      </c>
      <c r="CQ88" s="228"/>
      <c r="CR88" s="150"/>
      <c r="CS88" s="150"/>
      <c r="CT88" s="150"/>
      <c r="CU88" s="150"/>
      <c r="CV88" s="150"/>
      <c r="CW88" s="150"/>
      <c r="CX88" s="150"/>
      <c r="CY88" s="302"/>
      <c r="CZ88" s="303"/>
      <c r="DA88" s="278"/>
      <c r="DB88" s="279"/>
      <c r="DC88" s="150"/>
      <c r="DD88" s="150"/>
      <c r="DE88" s="150"/>
      <c r="DF88" s="150"/>
      <c r="DG88" s="151"/>
      <c r="DH88" s="150"/>
      <c r="DI88" s="150"/>
      <c r="DJ88" s="150"/>
      <c r="DK88" s="303"/>
      <c r="DL88" s="303"/>
      <c r="DM88" s="150"/>
      <c r="DN88" s="150"/>
      <c r="DO88" s="150"/>
      <c r="DP88" s="150"/>
      <c r="DQ88" s="150"/>
      <c r="DR88" s="150"/>
      <c r="DS88" s="150"/>
      <c r="DT88" s="150"/>
      <c r="DU88" s="303"/>
      <c r="DV88" s="303"/>
      <c r="DW88" s="279"/>
      <c r="DX88" s="150"/>
      <c r="DY88" s="150"/>
      <c r="DZ88" s="150"/>
      <c r="EA88" s="150"/>
      <c r="EB88" s="150"/>
      <c r="EC88" s="150"/>
      <c r="ED88" s="150"/>
      <c r="EE88" s="150"/>
      <c r="EF88" s="303"/>
      <c r="EG88" s="303"/>
      <c r="EH88" s="150"/>
      <c r="EI88" s="150"/>
      <c r="EJ88" s="150"/>
      <c r="EK88" s="150"/>
    </row>
    <row r="89" spans="1:141" s="119" customFormat="1">
      <c r="A89" s="118" t="s">
        <v>997</v>
      </c>
      <c r="B89" s="117">
        <v>38</v>
      </c>
      <c r="C89" s="139" t="s">
        <v>2105</v>
      </c>
      <c r="D89" s="140" t="s">
        <v>2363</v>
      </c>
      <c r="E89" s="141">
        <v>2008</v>
      </c>
      <c r="F89" s="118">
        <v>18391192</v>
      </c>
      <c r="G89" s="118">
        <v>1</v>
      </c>
      <c r="H89" s="118">
        <v>1</v>
      </c>
      <c r="I89" s="118"/>
      <c r="J89" s="118">
        <v>1</v>
      </c>
      <c r="K89" s="118"/>
      <c r="L89" s="158">
        <v>1</v>
      </c>
      <c r="M89" s="142">
        <v>2</v>
      </c>
      <c r="N89" s="118" t="s">
        <v>1475</v>
      </c>
      <c r="O89" s="118" t="s">
        <v>1216</v>
      </c>
      <c r="P89" s="118" t="s">
        <v>1138</v>
      </c>
      <c r="Q89" s="118"/>
      <c r="R89" s="118" t="s">
        <v>1489</v>
      </c>
      <c r="S89" s="118"/>
      <c r="T89" s="118"/>
      <c r="U89" s="118" t="s">
        <v>1501</v>
      </c>
      <c r="V89" s="118"/>
      <c r="W89" s="118"/>
      <c r="X89" s="118"/>
      <c r="Y89" s="118"/>
      <c r="Z89" s="118"/>
      <c r="AA89" s="159">
        <v>1</v>
      </c>
      <c r="AB89" s="160" t="s">
        <v>3429</v>
      </c>
      <c r="AC89" s="122">
        <v>5</v>
      </c>
      <c r="AD89" s="226" t="s">
        <v>3366</v>
      </c>
      <c r="AE89" s="192">
        <v>2</v>
      </c>
      <c r="AF89" s="349">
        <v>0</v>
      </c>
      <c r="AG89" s="122">
        <f>Table664[[#This Row],[Subjects_n_ptsd]]+Table664[[#This Row],[Subjects_n_control]]</f>
        <v>10</v>
      </c>
      <c r="AH89" s="122">
        <v>5</v>
      </c>
      <c r="AI89" s="122">
        <v>5</v>
      </c>
      <c r="AJ89" s="122" t="s">
        <v>803</v>
      </c>
      <c r="AK89" s="122" t="s">
        <v>803</v>
      </c>
      <c r="AL89" s="344" t="s">
        <v>3403</v>
      </c>
      <c r="AM89" s="150" t="s">
        <v>24</v>
      </c>
      <c r="AN89" s="344" t="s">
        <v>3403</v>
      </c>
      <c r="AO89" s="150" t="s">
        <v>24</v>
      </c>
      <c r="AP89" s="122" t="s">
        <v>3311</v>
      </c>
      <c r="AQ89" s="122">
        <v>1</v>
      </c>
      <c r="AR89" s="122" t="s">
        <v>3348</v>
      </c>
      <c r="AS89" s="122" t="s">
        <v>3398</v>
      </c>
      <c r="AT89" s="122" t="s">
        <v>3397</v>
      </c>
      <c r="AU89" s="122" t="s">
        <v>3395</v>
      </c>
      <c r="AV89" s="161">
        <v>1</v>
      </c>
      <c r="AW89" s="161"/>
      <c r="AX89" s="161"/>
      <c r="AY89" s="161"/>
      <c r="AZ89" s="161"/>
      <c r="BA89" s="161"/>
      <c r="BB89" s="161"/>
      <c r="BC89" s="161"/>
      <c r="BD89" s="162" t="s">
        <v>3402</v>
      </c>
      <c r="BE89" s="150" t="s">
        <v>1876</v>
      </c>
      <c r="BF89" s="150">
        <v>2</v>
      </c>
      <c r="BG89" s="345" t="s">
        <v>3405</v>
      </c>
      <c r="BH89" s="150" t="s">
        <v>23</v>
      </c>
      <c r="BI89" s="150" t="s">
        <v>3406</v>
      </c>
      <c r="BJ89" s="354" t="s">
        <v>3464</v>
      </c>
      <c r="BK89" s="343" t="s">
        <v>3450</v>
      </c>
      <c r="BL89" s="150">
        <v>115.23</v>
      </c>
      <c r="BM89" s="150" t="s">
        <v>24</v>
      </c>
      <c r="BN89" s="150">
        <f>Table664[[#This Row],[Outcome1_M]]-104.152</f>
        <v>11.078000000000003</v>
      </c>
      <c r="BO89" s="343" t="s">
        <v>3451</v>
      </c>
      <c r="BP89" s="150">
        <v>70.930700000000002</v>
      </c>
      <c r="BQ89" s="150" t="s">
        <v>24</v>
      </c>
      <c r="BR89" s="150">
        <f>80.1688-Table664[[#This Row],[Outcome2_M]]</f>
        <v>9.2381000000000029</v>
      </c>
      <c r="BS89" s="290" t="s">
        <v>3463</v>
      </c>
      <c r="BT89" s="291" t="s">
        <v>2588</v>
      </c>
      <c r="BU89" s="343" t="s">
        <v>3452</v>
      </c>
      <c r="BV89" s="150">
        <v>93.375399999999999</v>
      </c>
      <c r="BW89" s="150" t="s">
        <v>24</v>
      </c>
      <c r="BX89" s="150">
        <f>103.992-Table664[[#This Row],[Outcome3_M]]</f>
        <v>10.616600000000005</v>
      </c>
      <c r="BY89" s="343" t="s">
        <v>3453</v>
      </c>
      <c r="BZ89" s="150">
        <v>34.304900000000004</v>
      </c>
      <c r="CA89" s="150" t="s">
        <v>24</v>
      </c>
      <c r="CB89" s="150">
        <f>46.3126-Table664[[#This Row],[Outcome4_M]]</f>
        <v>12.0077</v>
      </c>
      <c r="CC89" s="290" t="s">
        <v>3463</v>
      </c>
      <c r="CD89" s="291" t="s">
        <v>2588</v>
      </c>
      <c r="CE89" s="278"/>
      <c r="CF89" s="285"/>
      <c r="CG89" s="343" t="s">
        <v>3454</v>
      </c>
      <c r="CH89" s="345">
        <v>49.370699999999999</v>
      </c>
      <c r="CI89" s="345" t="s">
        <v>24</v>
      </c>
      <c r="CJ89" s="345">
        <f>60.9104-Table664[[#This Row],[Outcome5_M]]</f>
        <v>11.539700000000003</v>
      </c>
      <c r="CK89" s="343" t="s">
        <v>3455</v>
      </c>
      <c r="CL89" s="150">
        <v>18.918700000000001</v>
      </c>
      <c r="CM89" s="150" t="s">
        <v>24</v>
      </c>
      <c r="CN89" s="150">
        <f>25.3809-Table664[[#This Row],[Outcome6_M]]</f>
        <v>6.4621999999999993</v>
      </c>
      <c r="CO89" s="290" t="s">
        <v>3463</v>
      </c>
      <c r="CP89" s="291" t="s">
        <v>2588</v>
      </c>
      <c r="CQ89" s="343" t="s">
        <v>3456</v>
      </c>
      <c r="CR89" s="345">
        <v>37.215499999999999</v>
      </c>
      <c r="CS89" s="345" t="s">
        <v>24</v>
      </c>
      <c r="CT89" s="345">
        <f>41.8378-Table664[[#This Row],[Outcome7_M]]</f>
        <v>4.6223000000000027</v>
      </c>
      <c r="CU89" s="343" t="s">
        <v>3457</v>
      </c>
      <c r="CV89" s="150">
        <v>14.1554</v>
      </c>
      <c r="CW89" s="150" t="s">
        <v>24</v>
      </c>
      <c r="CX89" s="150">
        <f>21.5472-Table664[[#This Row],[Outcome8_M]]</f>
        <v>7.3917999999999999</v>
      </c>
      <c r="CY89" s="290" t="s">
        <v>3463</v>
      </c>
      <c r="CZ89" s="291" t="s">
        <v>2588</v>
      </c>
      <c r="DA89" s="278"/>
      <c r="DB89" s="279"/>
      <c r="DC89" s="343" t="s">
        <v>3458</v>
      </c>
      <c r="DD89" s="345">
        <v>32.458599999999997</v>
      </c>
      <c r="DE89" s="345" t="s">
        <v>24</v>
      </c>
      <c r="DF89" s="345">
        <f>37.0745-Table664[[#This Row],[Outcome9_M]]</f>
        <v>4.6159000000000034</v>
      </c>
      <c r="DG89" s="343" t="s">
        <v>3459</v>
      </c>
      <c r="DH89" s="150">
        <v>13.995100000000001</v>
      </c>
      <c r="DI89" s="150" t="s">
        <v>24</v>
      </c>
      <c r="DJ89" s="150">
        <f>21.8485-Table664[[#This Row],[Outcome10_M]]</f>
        <v>7.8534000000000006</v>
      </c>
      <c r="DK89" s="290" t="s">
        <v>3463</v>
      </c>
      <c r="DL89" s="291" t="s">
        <v>2588</v>
      </c>
      <c r="DM89" s="343" t="s">
        <v>3460</v>
      </c>
      <c r="DN89" s="345">
        <v>33.689500000000002</v>
      </c>
      <c r="DO89" s="345" t="s">
        <v>24</v>
      </c>
      <c r="DP89" s="345">
        <f>43.9213-Table664[[#This Row],[Outcome11_M]]</f>
        <v>10.2318</v>
      </c>
      <c r="DQ89" s="343" t="s">
        <v>3461</v>
      </c>
      <c r="DR89" s="150">
        <v>14.7644</v>
      </c>
      <c r="DS89" s="150" t="s">
        <v>24</v>
      </c>
      <c r="DT89" s="150">
        <f>22.1498-Table664[[#This Row],[Outcome12_M]]</f>
        <v>7.3853999999999989</v>
      </c>
      <c r="DU89" s="290" t="s">
        <v>3463</v>
      </c>
      <c r="DV89" s="291" t="s">
        <v>2588</v>
      </c>
      <c r="DW89" s="279"/>
      <c r="DX89" s="150"/>
      <c r="DY89" s="150"/>
      <c r="DZ89" s="150"/>
      <c r="EA89" s="150"/>
      <c r="EB89" s="150"/>
      <c r="EC89" s="150"/>
      <c r="ED89" s="150"/>
      <c r="EE89" s="150"/>
      <c r="EF89" s="303"/>
      <c r="EG89" s="303"/>
      <c r="EH89" s="150"/>
      <c r="EI89" s="150"/>
      <c r="EJ89" s="150"/>
      <c r="EK89" s="150"/>
    </row>
    <row r="90" spans="1:141">
      <c r="A90" s="79" t="s">
        <v>996</v>
      </c>
      <c r="B90" s="117">
        <v>39</v>
      </c>
      <c r="C90" s="123" t="s">
        <v>2106</v>
      </c>
      <c r="D90" s="124" t="s">
        <v>2364</v>
      </c>
      <c r="E90" s="125">
        <v>2009</v>
      </c>
      <c r="F90" s="79">
        <v>19167702</v>
      </c>
      <c r="G90" s="79">
        <v>1</v>
      </c>
      <c r="H90" s="126" t="s">
        <v>1848</v>
      </c>
      <c r="I90" s="127"/>
      <c r="J90" s="79">
        <v>1</v>
      </c>
      <c r="K90" s="79"/>
      <c r="L90" s="153">
        <v>1</v>
      </c>
      <c r="M90" s="128">
        <v>2</v>
      </c>
      <c r="N90" s="79" t="s">
        <v>22</v>
      </c>
      <c r="O90" s="79" t="s">
        <v>1142</v>
      </c>
      <c r="P90" s="79" t="s">
        <v>1127</v>
      </c>
      <c r="Q90" s="79"/>
      <c r="R90" s="79" t="s">
        <v>1488</v>
      </c>
      <c r="S90" s="79"/>
      <c r="T90" s="79"/>
      <c r="U90" s="79"/>
      <c r="V90" s="79"/>
      <c r="W90" s="79"/>
      <c r="X90" s="79"/>
      <c r="Y90" s="79"/>
      <c r="Z90" s="79" t="s">
        <v>424</v>
      </c>
      <c r="AA90" s="154">
        <v>1</v>
      </c>
      <c r="AB90" s="155" t="s">
        <v>3479</v>
      </c>
      <c r="AC90" s="121">
        <v>4</v>
      </c>
      <c r="AD90" s="202" t="s">
        <v>3468</v>
      </c>
      <c r="AE90" s="192">
        <v>0</v>
      </c>
      <c r="AF90" s="203">
        <v>0</v>
      </c>
      <c r="AG90" s="121">
        <f>((10+15)/2)*4</f>
        <v>50</v>
      </c>
      <c r="AH90" s="121" t="s">
        <v>3480</v>
      </c>
      <c r="AI90" s="121" t="s">
        <v>24</v>
      </c>
      <c r="AJ90" s="121" t="s">
        <v>803</v>
      </c>
      <c r="AK90" s="121" t="s">
        <v>24</v>
      </c>
      <c r="AL90" s="121" t="s">
        <v>24</v>
      </c>
      <c r="AM90" s="121" t="s">
        <v>24</v>
      </c>
      <c r="AN90" s="121" t="s">
        <v>24</v>
      </c>
      <c r="AO90" s="121" t="s">
        <v>24</v>
      </c>
      <c r="AP90" s="121" t="s">
        <v>3465</v>
      </c>
      <c r="AQ90" s="121">
        <v>1</v>
      </c>
      <c r="AR90" s="121" t="s">
        <v>3467</v>
      </c>
      <c r="AS90" s="121" t="s">
        <v>24</v>
      </c>
      <c r="AT90" s="121" t="s">
        <v>2730</v>
      </c>
      <c r="AU90" s="121" t="s">
        <v>3466</v>
      </c>
      <c r="AV90" s="156">
        <v>1</v>
      </c>
      <c r="AW90" s="156"/>
      <c r="AX90" s="156"/>
      <c r="AY90" s="156"/>
      <c r="AZ90" s="156"/>
      <c r="BA90" s="156"/>
      <c r="BB90" s="156"/>
      <c r="BC90" s="156"/>
      <c r="BD90" s="157" t="s">
        <v>3399</v>
      </c>
      <c r="BE90" s="134" t="s">
        <v>1876</v>
      </c>
      <c r="BF90" s="134"/>
      <c r="BG90" s="134" t="s">
        <v>3470</v>
      </c>
      <c r="BH90" s="134"/>
      <c r="BI90" s="134" t="s">
        <v>3469</v>
      </c>
      <c r="BJ90" s="259" t="s">
        <v>3478</v>
      </c>
      <c r="BK90" s="138" t="s">
        <v>3471</v>
      </c>
      <c r="BL90" s="134">
        <v>0.13535900000000001</v>
      </c>
      <c r="BM90" s="134" t="s">
        <v>24</v>
      </c>
      <c r="BN90" s="134">
        <f>0.180642-Table664[[#This Row],[Outcome1_M]]</f>
        <v>4.528299999999999E-2</v>
      </c>
      <c r="BO90" s="138" t="s">
        <v>3472</v>
      </c>
      <c r="BP90" s="134">
        <v>0.20613200000000001</v>
      </c>
      <c r="BQ90" s="134" t="s">
        <v>24</v>
      </c>
      <c r="BR90" s="134">
        <f>0.236321-Table664[[#This Row],[Outcome2_M]]</f>
        <v>3.0188999999999994E-2</v>
      </c>
      <c r="BS90" s="288" t="s">
        <v>3475</v>
      </c>
      <c r="BT90" s="289" t="s">
        <v>2480</v>
      </c>
      <c r="BU90" s="340" t="s">
        <v>3473</v>
      </c>
      <c r="BV90" s="134">
        <v>0.47309499999999999</v>
      </c>
      <c r="BW90" s="134" t="s">
        <v>24</v>
      </c>
      <c r="BX90" s="134">
        <f>0.537255-Table664[[#This Row],[Outcome3_M]]</f>
        <v>6.416000000000005E-2</v>
      </c>
      <c r="BY90" s="340" t="s">
        <v>3474</v>
      </c>
      <c r="BZ90" s="134">
        <v>0.43444300000000002</v>
      </c>
      <c r="CA90" s="134" t="s">
        <v>24</v>
      </c>
      <c r="CB90" s="134">
        <f>0.4835-Table664[[#This Row],[Outcome4_M]]</f>
        <v>4.9056999999999962E-2</v>
      </c>
      <c r="CC90" s="288" t="s">
        <v>3476</v>
      </c>
      <c r="CD90" s="289" t="s">
        <v>3477</v>
      </c>
      <c r="CE90" s="276"/>
      <c r="CF90" s="308"/>
      <c r="CG90" s="138"/>
      <c r="CH90" s="134"/>
      <c r="CI90" s="134"/>
      <c r="CJ90" s="134"/>
      <c r="CK90" s="134"/>
      <c r="CL90" s="134"/>
      <c r="CM90" s="134"/>
      <c r="CN90" s="134"/>
      <c r="CO90" s="300"/>
      <c r="CP90" s="301"/>
      <c r="CQ90" s="134"/>
      <c r="CR90" s="134"/>
      <c r="CS90" s="134"/>
      <c r="CT90" s="134"/>
      <c r="CU90" s="134"/>
      <c r="CV90" s="134"/>
      <c r="CW90" s="134"/>
      <c r="CX90" s="134"/>
      <c r="CY90" s="300"/>
      <c r="CZ90" s="301"/>
      <c r="DA90" s="276"/>
      <c r="DB90" s="277"/>
      <c r="DC90" s="134"/>
      <c r="DD90" s="134"/>
      <c r="DE90" s="134"/>
      <c r="DF90" s="134"/>
      <c r="DG90" s="138"/>
      <c r="DH90" s="134"/>
      <c r="DI90" s="134"/>
      <c r="DJ90" s="134"/>
      <c r="DK90" s="301"/>
      <c r="DL90" s="301"/>
      <c r="DM90" s="134"/>
      <c r="DN90" s="134"/>
      <c r="DO90" s="134"/>
      <c r="DP90" s="134"/>
      <c r="DQ90" s="134"/>
      <c r="DR90" s="134"/>
      <c r="DS90" s="134"/>
      <c r="DT90" s="134"/>
      <c r="DU90" s="301"/>
      <c r="DV90" s="301"/>
      <c r="DW90" s="277"/>
      <c r="DX90" s="134"/>
      <c r="DY90" s="134"/>
      <c r="DZ90" s="134"/>
      <c r="EA90" s="134"/>
      <c r="EB90" s="134"/>
      <c r="EC90" s="134"/>
      <c r="ED90" s="134"/>
      <c r="EE90" s="134"/>
      <c r="EF90" s="301"/>
      <c r="EG90" s="301"/>
      <c r="EH90" s="134"/>
      <c r="EI90" s="134"/>
      <c r="EJ90" s="134"/>
      <c r="EK90" s="134"/>
    </row>
    <row r="91" spans="1:141">
      <c r="A91" s="79" t="s">
        <v>995</v>
      </c>
      <c r="B91" s="117">
        <v>40</v>
      </c>
      <c r="C91" s="123" t="s">
        <v>2107</v>
      </c>
      <c r="D91" s="124" t="s">
        <v>2365</v>
      </c>
      <c r="E91" s="125">
        <v>2014</v>
      </c>
      <c r="F91" s="79">
        <v>25309317</v>
      </c>
      <c r="G91" s="79">
        <v>1</v>
      </c>
      <c r="H91" s="126"/>
      <c r="I91" s="127"/>
      <c r="J91" s="79">
        <v>1</v>
      </c>
      <c r="K91" s="79"/>
      <c r="L91" s="79">
        <v>1</v>
      </c>
      <c r="M91" s="128">
        <v>2</v>
      </c>
      <c r="N91" s="79" t="s">
        <v>1478</v>
      </c>
      <c r="O91" s="79" t="s">
        <v>1216</v>
      </c>
      <c r="P91" s="79" t="s">
        <v>1138</v>
      </c>
      <c r="Q91" s="79"/>
      <c r="R91" s="79" t="s">
        <v>1489</v>
      </c>
      <c r="S91" s="79"/>
      <c r="T91" s="79"/>
      <c r="U91" s="79" t="s">
        <v>1477</v>
      </c>
      <c r="V91" s="79" t="s">
        <v>1476</v>
      </c>
      <c r="W91" s="79"/>
      <c r="X91" s="79"/>
      <c r="Y91" s="79"/>
      <c r="Z91" s="79"/>
      <c r="AA91" s="154">
        <v>1</v>
      </c>
      <c r="AB91" s="155"/>
      <c r="AC91" s="121">
        <v>5</v>
      </c>
      <c r="AD91" s="202" t="s">
        <v>3280</v>
      </c>
      <c r="AE91" s="192">
        <v>1</v>
      </c>
      <c r="AF91" s="203" t="s">
        <v>3500</v>
      </c>
      <c r="AG91" s="121">
        <f>((10+12)/2)*2</f>
        <v>22</v>
      </c>
      <c r="AH91" s="356" t="s">
        <v>3501</v>
      </c>
      <c r="AI91" s="356" t="s">
        <v>3501</v>
      </c>
      <c r="AJ91" s="121" t="s">
        <v>803</v>
      </c>
      <c r="AK91" s="121" t="s">
        <v>803</v>
      </c>
      <c r="AL91" s="355" t="s">
        <v>3403</v>
      </c>
      <c r="AM91" s="121" t="s">
        <v>24</v>
      </c>
      <c r="AN91" s="355" t="s">
        <v>3403</v>
      </c>
      <c r="AO91" s="121" t="s">
        <v>24</v>
      </c>
      <c r="AP91" s="121" t="s">
        <v>3311</v>
      </c>
      <c r="AQ91" s="121">
        <v>1</v>
      </c>
      <c r="AR91" s="122" t="s">
        <v>3348</v>
      </c>
      <c r="AS91" s="121" t="s">
        <v>3398</v>
      </c>
      <c r="AT91" s="121" t="s">
        <v>3397</v>
      </c>
      <c r="AU91" s="121" t="s">
        <v>3395</v>
      </c>
      <c r="AV91" s="156">
        <v>1</v>
      </c>
      <c r="AW91" s="156"/>
      <c r="AX91" s="156"/>
      <c r="AY91" s="156"/>
      <c r="AZ91" s="156"/>
      <c r="BA91" s="156"/>
      <c r="BB91" s="156"/>
      <c r="BC91" s="156"/>
      <c r="BD91" s="157" t="s">
        <v>2493</v>
      </c>
      <c r="BE91" s="134" t="s">
        <v>1876</v>
      </c>
      <c r="BF91" s="134">
        <v>2</v>
      </c>
      <c r="BG91" s="134" t="s">
        <v>3499</v>
      </c>
      <c r="BH91" s="134" t="s">
        <v>3481</v>
      </c>
      <c r="BI91" s="134" t="s">
        <v>3406</v>
      </c>
      <c r="BJ91" s="259" t="s">
        <v>3505</v>
      </c>
      <c r="BK91" s="138" t="s">
        <v>3485</v>
      </c>
      <c r="BL91" s="168">
        <v>98.933300000000003</v>
      </c>
      <c r="BM91" s="168" t="s">
        <v>24</v>
      </c>
      <c r="BN91" s="190">
        <f>109.333-Table664[[#This Row],[Outcome1_M]]</f>
        <v>10.399699999999996</v>
      </c>
      <c r="BO91" s="138" t="s">
        <v>3487</v>
      </c>
      <c r="BP91" s="134">
        <v>60.533299999999997</v>
      </c>
      <c r="BQ91" s="134" t="s">
        <v>24</v>
      </c>
      <c r="BR91" s="134">
        <f>70.6667-Table664[[#This Row],[Outcome2_M]]</f>
        <v>10.133400000000009</v>
      </c>
      <c r="BS91" s="288" t="s">
        <v>3502</v>
      </c>
      <c r="BT91" s="289" t="s">
        <v>3509</v>
      </c>
      <c r="BU91" s="342" t="s">
        <v>24</v>
      </c>
      <c r="BV91" s="190"/>
      <c r="BW91" s="168"/>
      <c r="BX91" s="190"/>
      <c r="BY91" s="138" t="s">
        <v>24</v>
      </c>
      <c r="BZ91" s="134"/>
      <c r="CA91" s="134"/>
      <c r="CB91" s="134"/>
      <c r="CC91" s="288"/>
      <c r="CD91" s="289"/>
      <c r="CE91" s="276"/>
      <c r="CF91" s="308"/>
      <c r="CG91" s="138"/>
      <c r="CH91" s="134"/>
      <c r="CI91" s="134"/>
      <c r="CJ91" s="134"/>
      <c r="CK91" s="134"/>
      <c r="CL91" s="134"/>
      <c r="CM91" s="134"/>
      <c r="CN91" s="134"/>
      <c r="CO91" s="300"/>
      <c r="CP91" s="301"/>
      <c r="CQ91" s="134"/>
      <c r="CR91" s="134"/>
      <c r="CS91" s="134"/>
      <c r="CT91" s="134"/>
      <c r="CU91" s="134"/>
      <c r="CV91" s="134"/>
      <c r="CW91" s="134"/>
      <c r="CX91" s="134"/>
      <c r="CY91" s="300"/>
      <c r="CZ91" s="301"/>
      <c r="DA91" s="276"/>
      <c r="DB91" s="277"/>
      <c r="DC91" s="134"/>
      <c r="DD91" s="134"/>
      <c r="DE91" s="134"/>
      <c r="DF91" s="134"/>
      <c r="DG91" s="138"/>
      <c r="DH91" s="134"/>
      <c r="DI91" s="134"/>
      <c r="DJ91" s="134"/>
      <c r="DK91" s="301"/>
      <c r="DL91" s="301"/>
      <c r="DM91" s="134"/>
      <c r="DN91" s="134"/>
      <c r="DO91" s="134"/>
      <c r="DP91" s="134"/>
      <c r="DQ91" s="134"/>
      <c r="DR91" s="134"/>
      <c r="DS91" s="134"/>
      <c r="DT91" s="134"/>
      <c r="DU91" s="301"/>
      <c r="DV91" s="301"/>
      <c r="DW91" s="277"/>
      <c r="DX91" s="134"/>
      <c r="DY91" s="134"/>
      <c r="DZ91" s="134"/>
      <c r="EA91" s="134"/>
      <c r="EB91" s="134"/>
      <c r="EC91" s="134"/>
      <c r="ED91" s="134"/>
      <c r="EE91" s="134"/>
      <c r="EF91" s="301"/>
      <c r="EG91" s="301"/>
      <c r="EH91" s="134"/>
      <c r="EI91" s="134"/>
      <c r="EJ91" s="134"/>
      <c r="EK91" s="134"/>
    </row>
    <row r="92" spans="1:141" s="119" customFormat="1">
      <c r="A92" s="118" t="s">
        <v>995</v>
      </c>
      <c r="B92" s="117">
        <v>40</v>
      </c>
      <c r="C92" s="139" t="s">
        <v>2107</v>
      </c>
      <c r="D92" s="140" t="s">
        <v>2365</v>
      </c>
      <c r="E92" s="141">
        <v>2014</v>
      </c>
      <c r="F92" s="118">
        <v>25309317</v>
      </c>
      <c r="G92" s="118">
        <v>1</v>
      </c>
      <c r="H92" s="118"/>
      <c r="I92" s="118"/>
      <c r="J92" s="118">
        <v>1</v>
      </c>
      <c r="K92" s="118"/>
      <c r="L92" s="118">
        <v>1</v>
      </c>
      <c r="M92" s="142">
        <v>2</v>
      </c>
      <c r="N92" s="118" t="s">
        <v>1478</v>
      </c>
      <c r="O92" s="118" t="s">
        <v>1216</v>
      </c>
      <c r="P92" s="118" t="s">
        <v>1138</v>
      </c>
      <c r="Q92" s="118"/>
      <c r="R92" s="118" t="s">
        <v>1489</v>
      </c>
      <c r="S92" s="118"/>
      <c r="T92" s="118"/>
      <c r="U92" s="118" t="s">
        <v>1477</v>
      </c>
      <c r="V92" s="118" t="s">
        <v>1476</v>
      </c>
      <c r="W92" s="118"/>
      <c r="X92" s="118"/>
      <c r="Y92" s="118"/>
      <c r="Z92" s="118"/>
      <c r="AA92" s="159">
        <v>1</v>
      </c>
      <c r="AB92" s="160"/>
      <c r="AC92" s="122">
        <v>5</v>
      </c>
      <c r="AD92" s="204" t="s">
        <v>3280</v>
      </c>
      <c r="AE92" s="192">
        <v>1</v>
      </c>
      <c r="AF92" s="205">
        <v>1</v>
      </c>
      <c r="AG92" s="122">
        <f t="shared" ref="AG92:AG93" si="0">((10+12)/2)*2</f>
        <v>22</v>
      </c>
      <c r="AH92" s="357" t="s">
        <v>3501</v>
      </c>
      <c r="AI92" s="357" t="s">
        <v>3501</v>
      </c>
      <c r="AJ92" s="122" t="s">
        <v>803</v>
      </c>
      <c r="AK92" s="122" t="s">
        <v>803</v>
      </c>
      <c r="AL92" s="358" t="s">
        <v>3403</v>
      </c>
      <c r="AM92" s="122" t="s">
        <v>24</v>
      </c>
      <c r="AN92" s="358" t="s">
        <v>3403</v>
      </c>
      <c r="AO92" s="122" t="s">
        <v>24</v>
      </c>
      <c r="AP92" s="122" t="s">
        <v>3311</v>
      </c>
      <c r="AQ92" s="122">
        <v>1</v>
      </c>
      <c r="AR92" s="122" t="s">
        <v>3348</v>
      </c>
      <c r="AS92" s="122" t="s">
        <v>3398</v>
      </c>
      <c r="AT92" s="122" t="s">
        <v>3397</v>
      </c>
      <c r="AU92" s="122" t="s">
        <v>3395</v>
      </c>
      <c r="AV92" s="161">
        <v>1</v>
      </c>
      <c r="AW92" s="161"/>
      <c r="AX92" s="161"/>
      <c r="AY92" s="161"/>
      <c r="AZ92" s="161"/>
      <c r="BA92" s="161"/>
      <c r="BB92" s="161"/>
      <c r="BC92" s="161"/>
      <c r="BD92" s="162" t="s">
        <v>2977</v>
      </c>
      <c r="BE92" s="150" t="s">
        <v>1876</v>
      </c>
      <c r="BF92" s="150">
        <v>2</v>
      </c>
      <c r="BG92" s="150" t="s">
        <v>3483</v>
      </c>
      <c r="BH92" s="150" t="s">
        <v>3481</v>
      </c>
      <c r="BI92" s="150" t="s">
        <v>3406</v>
      </c>
      <c r="BJ92" s="258" t="s">
        <v>3506</v>
      </c>
      <c r="BK92" s="151" t="s">
        <v>3489</v>
      </c>
      <c r="BL92" s="150">
        <v>89.333299999999994</v>
      </c>
      <c r="BM92" s="150" t="s">
        <v>24</v>
      </c>
      <c r="BN92" s="150">
        <f>102.667-Table664[[#This Row],[Outcome1_M]]</f>
        <v>13.333700000000007</v>
      </c>
      <c r="BO92" s="151" t="s">
        <v>3486</v>
      </c>
      <c r="BP92" s="150">
        <v>53.333300000000001</v>
      </c>
      <c r="BQ92" s="150" t="s">
        <v>24</v>
      </c>
      <c r="BR92" s="150">
        <f>63.2-Table664[[#This Row],[Outcome2_M]]</f>
        <v>9.8667000000000016</v>
      </c>
      <c r="BS92" s="290" t="s">
        <v>3503</v>
      </c>
      <c r="BT92" s="291" t="s">
        <v>3508</v>
      </c>
      <c r="BU92" s="151" t="s">
        <v>3490</v>
      </c>
      <c r="BV92" s="266">
        <v>92.533299999999997</v>
      </c>
      <c r="BW92" s="228" t="s">
        <v>24</v>
      </c>
      <c r="BX92" s="266">
        <f>106.133-Table664[[#This Row],[Outcome3_M]]</f>
        <v>13.599699999999999</v>
      </c>
      <c r="BY92" s="151" t="s">
        <v>3488</v>
      </c>
      <c r="BZ92" s="150">
        <v>57.866700000000002</v>
      </c>
      <c r="CA92" s="150" t="s">
        <v>24</v>
      </c>
      <c r="CB92" s="150">
        <f>66.6667-Table664[[#This Row],[Outcome4_M]]</f>
        <v>8.8000000000000043</v>
      </c>
      <c r="CC92" s="290"/>
      <c r="CD92" s="291"/>
      <c r="CE92" s="278"/>
      <c r="CF92" s="285"/>
      <c r="CG92" s="151" t="s">
        <v>3491</v>
      </c>
      <c r="CH92" s="266">
        <v>63.2</v>
      </c>
      <c r="CI92" s="228" t="s">
        <v>24</v>
      </c>
      <c r="CJ92" s="266">
        <f>73.0667-Table664[[#This Row],[Outcome5_M]]</f>
        <v>9.8666999999999945</v>
      </c>
      <c r="CK92" s="151" t="s">
        <v>3492</v>
      </c>
      <c r="CL92" s="150">
        <v>41.6</v>
      </c>
      <c r="CM92" s="150" t="s">
        <v>24</v>
      </c>
      <c r="CN92" s="150" t="s">
        <v>3510</v>
      </c>
      <c r="CO92" s="302"/>
      <c r="CP92" s="303"/>
      <c r="CQ92" s="343" t="s">
        <v>3493</v>
      </c>
      <c r="CR92" s="359">
        <v>52.533299999999997</v>
      </c>
      <c r="CS92" s="345" t="s">
        <v>24</v>
      </c>
      <c r="CT92" s="359">
        <f>61.3333-Table664[[#This Row],[Outcome7_M]]</f>
        <v>8.8000000000000043</v>
      </c>
      <c r="CU92" s="343" t="s">
        <v>3494</v>
      </c>
      <c r="CV92" s="150">
        <v>35.200000000000003</v>
      </c>
      <c r="CW92" s="150" t="s">
        <v>24</v>
      </c>
      <c r="CX92" s="150" t="s">
        <v>3510</v>
      </c>
      <c r="CY92" s="302"/>
      <c r="CZ92" s="303"/>
      <c r="DA92" s="278"/>
      <c r="DB92" s="279"/>
      <c r="DC92" s="343" t="s">
        <v>3495</v>
      </c>
      <c r="DD92" s="359">
        <v>40</v>
      </c>
      <c r="DE92" s="345" t="s">
        <v>24</v>
      </c>
      <c r="DF92" s="359">
        <f>48-Table664[[#This Row],[Outcome9_M]]</f>
        <v>8</v>
      </c>
      <c r="DG92" s="343" t="s">
        <v>3496</v>
      </c>
      <c r="DH92" s="150">
        <v>28.667000000000002</v>
      </c>
      <c r="DI92" s="150" t="s">
        <v>24</v>
      </c>
      <c r="DJ92" s="150">
        <f>Table664[[#This Row],[Outcome10_M]]-21.6</f>
        <v>7.0670000000000002</v>
      </c>
      <c r="DK92" s="303"/>
      <c r="DL92" s="303"/>
      <c r="DM92" s="150" t="s">
        <v>24</v>
      </c>
      <c r="DN92" s="150"/>
      <c r="DO92" s="150"/>
      <c r="DP92" s="150"/>
      <c r="DQ92" s="150"/>
      <c r="DR92" s="150"/>
      <c r="DS92" s="150"/>
      <c r="DT92" s="150"/>
      <c r="DU92" s="303"/>
      <c r="DV92" s="303"/>
      <c r="DW92" s="279"/>
      <c r="DX92" s="150"/>
      <c r="DY92" s="150"/>
      <c r="DZ92" s="150"/>
      <c r="EA92" s="150"/>
      <c r="EB92" s="150"/>
      <c r="EC92" s="150"/>
      <c r="ED92" s="150"/>
      <c r="EE92" s="150"/>
      <c r="EF92" s="303"/>
      <c r="EG92" s="303"/>
      <c r="EH92" s="150"/>
      <c r="EI92" s="150"/>
      <c r="EJ92" s="150"/>
      <c r="EK92" s="150"/>
    </row>
    <row r="93" spans="1:141" s="119" customFormat="1">
      <c r="A93" s="118" t="s">
        <v>995</v>
      </c>
      <c r="B93" s="117">
        <v>40</v>
      </c>
      <c r="C93" s="139" t="s">
        <v>2107</v>
      </c>
      <c r="D93" s="140" t="s">
        <v>2365</v>
      </c>
      <c r="E93" s="141">
        <v>2014</v>
      </c>
      <c r="F93" s="118">
        <v>25309317</v>
      </c>
      <c r="G93" s="118">
        <v>1</v>
      </c>
      <c r="H93" s="118"/>
      <c r="I93" s="118"/>
      <c r="J93" s="118">
        <v>1</v>
      </c>
      <c r="K93" s="118"/>
      <c r="L93" s="118">
        <v>1</v>
      </c>
      <c r="M93" s="142">
        <v>2</v>
      </c>
      <c r="N93" s="118" t="s">
        <v>1478</v>
      </c>
      <c r="O93" s="118" t="s">
        <v>1216</v>
      </c>
      <c r="P93" s="118" t="s">
        <v>1138</v>
      </c>
      <c r="Q93" s="118"/>
      <c r="R93" s="118" t="s">
        <v>1489</v>
      </c>
      <c r="S93" s="118"/>
      <c r="T93" s="118"/>
      <c r="U93" s="118" t="s">
        <v>1477</v>
      </c>
      <c r="V93" s="118" t="s">
        <v>1476</v>
      </c>
      <c r="W93" s="118"/>
      <c r="X93" s="118"/>
      <c r="Y93" s="118"/>
      <c r="Z93" s="118"/>
      <c r="AA93" s="159">
        <v>1</v>
      </c>
      <c r="AB93" s="160"/>
      <c r="AC93" s="122">
        <v>5</v>
      </c>
      <c r="AD93" s="204" t="s">
        <v>3280</v>
      </c>
      <c r="AE93" s="192">
        <v>1</v>
      </c>
      <c r="AF93" s="205">
        <v>1</v>
      </c>
      <c r="AG93" s="122">
        <f t="shared" si="0"/>
        <v>22</v>
      </c>
      <c r="AH93" s="357" t="s">
        <v>3501</v>
      </c>
      <c r="AI93" s="357" t="s">
        <v>3501</v>
      </c>
      <c r="AJ93" s="122" t="s">
        <v>803</v>
      </c>
      <c r="AK93" s="122" t="s">
        <v>803</v>
      </c>
      <c r="AL93" s="358" t="s">
        <v>3403</v>
      </c>
      <c r="AM93" s="122" t="s">
        <v>24</v>
      </c>
      <c r="AN93" s="358" t="s">
        <v>3403</v>
      </c>
      <c r="AO93" s="122" t="s">
        <v>24</v>
      </c>
      <c r="AP93" s="122" t="s">
        <v>3311</v>
      </c>
      <c r="AQ93" s="122">
        <v>1</v>
      </c>
      <c r="AR93" s="122" t="s">
        <v>3348</v>
      </c>
      <c r="AS93" s="122" t="s">
        <v>3398</v>
      </c>
      <c r="AT93" s="122" t="s">
        <v>3397</v>
      </c>
      <c r="AU93" s="122" t="s">
        <v>3395</v>
      </c>
      <c r="AV93" s="161">
        <v>1</v>
      </c>
      <c r="AW93" s="161"/>
      <c r="AX93" s="161"/>
      <c r="AY93" s="161"/>
      <c r="AZ93" s="161"/>
      <c r="BA93" s="161"/>
      <c r="BB93" s="161"/>
      <c r="BC93" s="161"/>
      <c r="BD93" s="162" t="s">
        <v>3482</v>
      </c>
      <c r="BE93" s="150" t="s">
        <v>1876</v>
      </c>
      <c r="BF93" s="150">
        <v>2</v>
      </c>
      <c r="BG93" s="150" t="s">
        <v>3484</v>
      </c>
      <c r="BH93" s="150" t="s">
        <v>3481</v>
      </c>
      <c r="BI93" s="150" t="s">
        <v>3406</v>
      </c>
      <c r="BJ93" s="258" t="s">
        <v>3507</v>
      </c>
      <c r="BK93" s="151" t="s">
        <v>3497</v>
      </c>
      <c r="BL93" s="150">
        <v>100.267</v>
      </c>
      <c r="BM93" s="150" t="s">
        <v>24</v>
      </c>
      <c r="BN93" s="150">
        <f>Table664[[#This Row],[Outcome1_M]]-89.3333</f>
        <v>10.933700000000002</v>
      </c>
      <c r="BO93" s="151" t="s">
        <v>3498</v>
      </c>
      <c r="BP93" s="150">
        <v>38.666699999999999</v>
      </c>
      <c r="BQ93" s="150" t="s">
        <v>24</v>
      </c>
      <c r="BR93" s="150">
        <f>Table664[[#This Row],[Outcome2_M]]-30.9333</f>
        <v>7.7333999999999996</v>
      </c>
      <c r="BS93" s="290" t="s">
        <v>3504</v>
      </c>
      <c r="BT93" s="291" t="s">
        <v>3508</v>
      </c>
      <c r="BU93" s="360"/>
      <c r="BV93" s="266"/>
      <c r="BW93" s="228"/>
      <c r="BX93" s="266"/>
      <c r="BY93" s="151"/>
      <c r="BZ93" s="150"/>
      <c r="CA93" s="150"/>
      <c r="CB93" s="150"/>
      <c r="CC93" s="290"/>
      <c r="CD93" s="291"/>
      <c r="CE93" s="278"/>
      <c r="CF93" s="285"/>
      <c r="CG93" s="151"/>
      <c r="CH93" s="150"/>
      <c r="CI93" s="150"/>
      <c r="CJ93" s="150"/>
      <c r="CK93" s="150"/>
      <c r="CL93" s="150"/>
      <c r="CM93" s="150"/>
      <c r="CN93" s="150"/>
      <c r="CO93" s="302"/>
      <c r="CP93" s="303"/>
      <c r="CQ93" s="150"/>
      <c r="CR93" s="150"/>
      <c r="CS93" s="150"/>
      <c r="CT93" s="150"/>
      <c r="CU93" s="150"/>
      <c r="CV93" s="150"/>
      <c r="CW93" s="150"/>
      <c r="CX93" s="150"/>
      <c r="CY93" s="302"/>
      <c r="CZ93" s="303"/>
      <c r="DA93" s="278"/>
      <c r="DB93" s="279"/>
      <c r="DC93" s="150"/>
      <c r="DD93" s="150"/>
      <c r="DE93" s="150"/>
      <c r="DF93" s="150"/>
      <c r="DG93" s="151"/>
      <c r="DH93" s="150"/>
      <c r="DI93" s="150"/>
      <c r="DJ93" s="150"/>
      <c r="DK93" s="303"/>
      <c r="DL93" s="303"/>
      <c r="DM93" s="150"/>
      <c r="DN93" s="150"/>
      <c r="DO93" s="150"/>
      <c r="DP93" s="150"/>
      <c r="DQ93" s="150"/>
      <c r="DR93" s="150"/>
      <c r="DS93" s="150"/>
      <c r="DT93" s="150"/>
      <c r="DU93" s="303"/>
      <c r="DV93" s="303"/>
      <c r="DW93" s="279"/>
      <c r="DX93" s="150"/>
      <c r="DY93" s="150"/>
      <c r="DZ93" s="150"/>
      <c r="EA93" s="150"/>
      <c r="EB93" s="150"/>
      <c r="EC93" s="150"/>
      <c r="ED93" s="150"/>
      <c r="EE93" s="150"/>
      <c r="EF93" s="303"/>
      <c r="EG93" s="303"/>
      <c r="EH93" s="150"/>
      <c r="EI93" s="150"/>
      <c r="EJ93" s="150"/>
      <c r="EK93" s="150"/>
    </row>
    <row r="94" spans="1:141" s="20" customFormat="1">
      <c r="A94" s="153" t="s">
        <v>994</v>
      </c>
      <c r="B94" s="366">
        <v>41</v>
      </c>
      <c r="C94" s="367" t="s">
        <v>2108</v>
      </c>
      <c r="D94" s="368" t="s">
        <v>2366</v>
      </c>
      <c r="E94" s="369">
        <v>2010</v>
      </c>
      <c r="F94" s="153">
        <v>20838777</v>
      </c>
      <c r="G94" s="153">
        <v>1</v>
      </c>
      <c r="H94" s="370">
        <v>1</v>
      </c>
      <c r="I94" s="371"/>
      <c r="J94" s="153">
        <v>1</v>
      </c>
      <c r="K94" s="153"/>
      <c r="L94" s="153">
        <v>1</v>
      </c>
      <c r="M94" s="153">
        <v>2</v>
      </c>
      <c r="N94" s="153" t="s">
        <v>1481</v>
      </c>
      <c r="O94" s="153" t="s">
        <v>1482</v>
      </c>
      <c r="P94" s="153" t="s">
        <v>1479</v>
      </c>
      <c r="Q94" s="153"/>
      <c r="R94" s="153" t="s">
        <v>1488</v>
      </c>
      <c r="S94" s="153" t="s">
        <v>1539</v>
      </c>
      <c r="T94" s="153"/>
      <c r="U94" s="153" t="s">
        <v>1239</v>
      </c>
      <c r="V94" s="153"/>
      <c r="W94" s="153" t="s">
        <v>1123</v>
      </c>
      <c r="X94" s="153"/>
      <c r="Y94" s="153" t="s">
        <v>1480</v>
      </c>
      <c r="Z94" s="153"/>
      <c r="AA94" s="165">
        <v>0</v>
      </c>
      <c r="AB94" s="166" t="s">
        <v>3511</v>
      </c>
      <c r="AC94" s="120">
        <v>5</v>
      </c>
      <c r="AD94" s="206"/>
      <c r="AE94" s="372"/>
      <c r="AF94" s="207"/>
      <c r="AG94" s="120"/>
      <c r="AH94" s="120"/>
      <c r="AI94" s="120"/>
      <c r="AJ94" s="120"/>
      <c r="AK94" s="120"/>
      <c r="AL94" s="120"/>
      <c r="AM94" s="120"/>
      <c r="AN94" s="120"/>
      <c r="AO94" s="120"/>
      <c r="AP94" s="120"/>
      <c r="AQ94" s="120"/>
      <c r="AR94" s="120"/>
      <c r="AS94" s="120"/>
      <c r="AT94" s="120"/>
      <c r="AU94" s="120"/>
      <c r="AV94" s="373">
        <v>1</v>
      </c>
      <c r="AW94" s="373"/>
      <c r="AX94" s="373"/>
      <c r="AY94" s="373"/>
      <c r="AZ94" s="373"/>
      <c r="BA94" s="373"/>
      <c r="BB94" s="373"/>
      <c r="BC94" s="373"/>
      <c r="BD94" s="374"/>
      <c r="BE94" s="120"/>
      <c r="BF94" s="120"/>
      <c r="BG94" s="120"/>
      <c r="BH94" s="120"/>
      <c r="BI94" s="120"/>
      <c r="BJ94" s="375"/>
      <c r="BK94" s="376"/>
      <c r="BL94" s="120"/>
      <c r="BM94" s="120"/>
      <c r="BN94" s="120"/>
      <c r="BO94" s="376"/>
      <c r="BP94" s="120"/>
      <c r="BQ94" s="120"/>
      <c r="BR94" s="120"/>
      <c r="BS94" s="375"/>
      <c r="BT94" s="377"/>
      <c r="BU94" s="378"/>
      <c r="BV94" s="120"/>
      <c r="BW94" s="120"/>
      <c r="BX94" s="120"/>
      <c r="BY94" s="376"/>
      <c r="BZ94" s="120"/>
      <c r="CA94" s="120"/>
      <c r="CB94" s="120"/>
      <c r="CC94" s="375"/>
      <c r="CD94" s="379"/>
      <c r="CE94" s="380"/>
      <c r="CF94" s="376"/>
      <c r="CG94" s="376"/>
      <c r="CH94" s="120"/>
      <c r="CI94" s="120"/>
      <c r="CJ94" s="120"/>
      <c r="CK94" s="120"/>
      <c r="CL94" s="120"/>
      <c r="CM94" s="120"/>
      <c r="CN94" s="120"/>
      <c r="CO94" s="380"/>
      <c r="CP94" s="120"/>
      <c r="CQ94" s="120"/>
      <c r="CR94" s="120"/>
      <c r="CS94" s="120"/>
      <c r="CT94" s="120"/>
      <c r="CU94" s="120"/>
      <c r="CV94" s="120"/>
      <c r="CW94" s="120"/>
      <c r="CX94" s="120"/>
      <c r="CY94" s="380"/>
      <c r="CZ94" s="120"/>
      <c r="DA94" s="380"/>
      <c r="DB94" s="120"/>
      <c r="DC94" s="120"/>
      <c r="DD94" s="120"/>
      <c r="DE94" s="120"/>
      <c r="DF94" s="120"/>
      <c r="DG94" s="376"/>
      <c r="DH94" s="120"/>
      <c r="DI94" s="120"/>
      <c r="DJ94" s="120"/>
      <c r="DK94" s="120"/>
      <c r="DL94" s="120"/>
      <c r="DM94" s="120"/>
      <c r="DN94" s="120"/>
      <c r="DO94" s="120"/>
      <c r="DP94" s="120"/>
      <c r="DQ94" s="120"/>
      <c r="DR94" s="120"/>
      <c r="DS94" s="120"/>
      <c r="DT94" s="120"/>
      <c r="DU94" s="120"/>
      <c r="DV94" s="120"/>
      <c r="DW94" s="120"/>
      <c r="DX94" s="120"/>
      <c r="DY94" s="120"/>
      <c r="DZ94" s="120"/>
      <c r="EA94" s="120"/>
      <c r="EB94" s="120"/>
      <c r="EC94" s="120"/>
      <c r="ED94" s="120"/>
      <c r="EE94" s="120"/>
      <c r="EF94" s="120"/>
      <c r="EG94" s="120"/>
      <c r="EH94" s="120"/>
      <c r="EI94" s="120"/>
      <c r="EJ94" s="120"/>
      <c r="EK94" s="120"/>
    </row>
    <row r="95" spans="1:141">
      <c r="A95" s="79" t="s">
        <v>992</v>
      </c>
      <c r="B95" s="117">
        <v>42</v>
      </c>
      <c r="C95" s="123" t="s">
        <v>2109</v>
      </c>
      <c r="D95" s="124" t="s">
        <v>2367</v>
      </c>
      <c r="E95" s="125">
        <v>2015</v>
      </c>
      <c r="F95" s="79">
        <v>26160034</v>
      </c>
      <c r="G95" s="79">
        <v>1</v>
      </c>
      <c r="H95" s="126">
        <v>1</v>
      </c>
      <c r="I95" s="127"/>
      <c r="J95" s="79">
        <v>1</v>
      </c>
      <c r="K95" s="79"/>
      <c r="L95" s="79">
        <v>1</v>
      </c>
      <c r="M95" s="128">
        <v>2</v>
      </c>
      <c r="N95" s="79" t="s">
        <v>1220</v>
      </c>
      <c r="O95" s="79"/>
      <c r="P95" s="79" t="s">
        <v>1127</v>
      </c>
      <c r="Q95" s="79"/>
      <c r="R95" s="79" t="s">
        <v>1487</v>
      </c>
      <c r="S95" s="79"/>
      <c r="T95" s="79"/>
      <c r="U95" s="79" t="s">
        <v>1508</v>
      </c>
      <c r="V95" s="79" t="s">
        <v>1519</v>
      </c>
      <c r="W95" s="79"/>
      <c r="X95" s="79"/>
      <c r="Y95" s="79"/>
      <c r="Z95" s="79"/>
      <c r="AA95" s="154">
        <v>1</v>
      </c>
      <c r="AB95" s="155" t="s">
        <v>3512</v>
      </c>
      <c r="AC95" s="121">
        <v>4</v>
      </c>
      <c r="AD95" s="202"/>
      <c r="AE95" s="192">
        <v>0</v>
      </c>
      <c r="AF95" s="203">
        <v>1</v>
      </c>
      <c r="AG95" s="121">
        <v>20</v>
      </c>
      <c r="AH95" s="121">
        <v>10</v>
      </c>
      <c r="AI95" s="121">
        <v>10</v>
      </c>
      <c r="AJ95" s="121" t="s">
        <v>803</v>
      </c>
      <c r="AK95" s="121" t="s">
        <v>803</v>
      </c>
      <c r="AL95" s="121" t="s">
        <v>24</v>
      </c>
      <c r="AM95" s="121" t="s">
        <v>24</v>
      </c>
      <c r="AN95" s="121" t="s">
        <v>24</v>
      </c>
      <c r="AO95" s="121" t="s">
        <v>24</v>
      </c>
      <c r="AP95" s="121" t="s">
        <v>3517</v>
      </c>
      <c r="AQ95" s="121">
        <v>1</v>
      </c>
      <c r="AR95" s="121" t="s">
        <v>3516</v>
      </c>
      <c r="AS95" s="121" t="s">
        <v>3515</v>
      </c>
      <c r="AT95" s="121" t="s">
        <v>3513</v>
      </c>
      <c r="AU95" s="121"/>
      <c r="AV95" s="156">
        <v>1</v>
      </c>
      <c r="AW95" s="156"/>
      <c r="AX95" s="156"/>
      <c r="AY95" s="156"/>
      <c r="AZ95" s="156"/>
      <c r="BA95" s="156"/>
      <c r="BB95" s="156"/>
      <c r="BC95" s="156"/>
      <c r="BD95" s="157" t="s">
        <v>2493</v>
      </c>
      <c r="BE95" s="134" t="s">
        <v>1876</v>
      </c>
      <c r="BF95" s="134" t="s">
        <v>3518</v>
      </c>
      <c r="BG95" s="134" t="s">
        <v>3519</v>
      </c>
      <c r="BH95" s="134" t="s">
        <v>3514</v>
      </c>
      <c r="BI95" s="134" t="s">
        <v>3224</v>
      </c>
      <c r="BJ95" s="259" t="s">
        <v>3530</v>
      </c>
      <c r="BK95" s="138" t="s">
        <v>3520</v>
      </c>
      <c r="BL95" s="134">
        <v>18.5349</v>
      </c>
      <c r="BM95" s="134" t="s">
        <v>24</v>
      </c>
      <c r="BN95" s="134">
        <f>21.8679-Table664[[#This Row],[Outcome1_M]]</f>
        <v>3.3329999999999984</v>
      </c>
      <c r="BO95" s="138" t="s">
        <v>3521</v>
      </c>
      <c r="BP95" s="134">
        <v>2.8626999999999998</v>
      </c>
      <c r="BQ95" s="134" t="s">
        <v>24</v>
      </c>
      <c r="BR95" s="134">
        <f>3.34657-Table664[[#This Row],[Outcome2_M]]</f>
        <v>0.48387000000000002</v>
      </c>
      <c r="BS95" s="300" t="s">
        <v>3529</v>
      </c>
      <c r="BT95" s="301" t="s">
        <v>3526</v>
      </c>
      <c r="BU95" s="138" t="s">
        <v>3522</v>
      </c>
      <c r="BV95" s="134">
        <v>17.241399999999999</v>
      </c>
      <c r="BW95" s="134" t="s">
        <v>24</v>
      </c>
      <c r="BX95" s="134">
        <f>20.8513-Table664[[#This Row],[Outcome3_M]]</f>
        <v>3.6098999999999997</v>
      </c>
      <c r="BY95" s="138" t="s">
        <v>3523</v>
      </c>
      <c r="BZ95" s="134">
        <v>2.4245700000000001</v>
      </c>
      <c r="CA95" s="134" t="s">
        <v>24</v>
      </c>
      <c r="CB95" s="134">
        <f>4.20259-Table664[[#This Row],[Outcome4_M]]</f>
        <v>1.7780199999999997</v>
      </c>
      <c r="CC95" s="300" t="s">
        <v>3528</v>
      </c>
      <c r="CD95" s="301" t="s">
        <v>3526</v>
      </c>
      <c r="CE95" s="276"/>
      <c r="CF95" s="308"/>
      <c r="CG95" s="138" t="s">
        <v>3524</v>
      </c>
      <c r="CH95" s="134">
        <v>19.140799999999999</v>
      </c>
      <c r="CI95" s="134" t="s">
        <v>24</v>
      </c>
      <c r="CJ95" s="134">
        <f>24.2923-Table664[[#This Row],[Outcome5_M]]</f>
        <v>5.1515000000000022</v>
      </c>
      <c r="CK95" s="138" t="s">
        <v>3525</v>
      </c>
      <c r="CL95" s="134">
        <v>1.40201</v>
      </c>
      <c r="CM95" s="134" t="s">
        <v>24</v>
      </c>
      <c r="CN95" s="134">
        <f>2.05418-Table664[[#This Row],[Outcome6_M]]</f>
        <v>0.65217000000000014</v>
      </c>
      <c r="CO95" s="300" t="s">
        <v>3527</v>
      </c>
      <c r="CP95" s="301" t="s">
        <v>3526</v>
      </c>
      <c r="CQ95" s="134"/>
      <c r="CR95" s="134"/>
      <c r="CS95" s="134"/>
      <c r="CT95" s="134"/>
      <c r="CU95" s="134"/>
      <c r="CV95" s="134"/>
      <c r="CW95" s="134"/>
      <c r="CX95" s="134"/>
      <c r="CY95" s="300"/>
      <c r="CZ95" s="301"/>
      <c r="DA95" s="276"/>
      <c r="DB95" s="277"/>
      <c r="DC95" s="134"/>
      <c r="DD95" s="134"/>
      <c r="DE95" s="134"/>
      <c r="DF95" s="134"/>
      <c r="DG95" s="138"/>
      <c r="DH95" s="134"/>
      <c r="DI95" s="134"/>
      <c r="DJ95" s="134"/>
      <c r="DK95" s="301"/>
      <c r="DL95" s="301"/>
      <c r="DM95" s="134"/>
      <c r="DN95" s="134"/>
      <c r="DO95" s="134"/>
      <c r="DP95" s="134"/>
      <c r="DQ95" s="134"/>
      <c r="DR95" s="134"/>
      <c r="DS95" s="134"/>
      <c r="DT95" s="134"/>
      <c r="DU95" s="301"/>
      <c r="DV95" s="301"/>
      <c r="DW95" s="277"/>
      <c r="DX95" s="134"/>
      <c r="DY95" s="134"/>
      <c r="DZ95" s="134"/>
      <c r="EA95" s="134"/>
      <c r="EB95" s="134"/>
      <c r="EC95" s="134"/>
      <c r="ED95" s="134"/>
      <c r="EE95" s="134"/>
      <c r="EF95" s="301"/>
      <c r="EG95" s="301"/>
      <c r="EH95" s="134"/>
      <c r="EI95" s="134"/>
      <c r="EJ95" s="134"/>
      <c r="EK95" s="134"/>
    </row>
    <row r="96" spans="1:141">
      <c r="A96" s="79" t="s">
        <v>988</v>
      </c>
      <c r="B96" s="117">
        <v>43</v>
      </c>
      <c r="C96" s="123" t="s">
        <v>2111</v>
      </c>
      <c r="D96" s="124" t="s">
        <v>2370</v>
      </c>
      <c r="E96" s="125">
        <v>1998</v>
      </c>
      <c r="F96" s="79">
        <v>9676829</v>
      </c>
      <c r="G96" s="79">
        <v>1</v>
      </c>
      <c r="H96" s="126">
        <v>1</v>
      </c>
      <c r="I96" s="127"/>
      <c r="J96" s="79">
        <v>1</v>
      </c>
      <c r="K96" s="79"/>
      <c r="L96" s="79">
        <v>1</v>
      </c>
      <c r="M96" s="128">
        <v>2</v>
      </c>
      <c r="N96" s="79" t="s">
        <v>1220</v>
      </c>
      <c r="O96" s="79" t="s">
        <v>1216</v>
      </c>
      <c r="P96" s="79" t="s">
        <v>1127</v>
      </c>
      <c r="Q96" s="79"/>
      <c r="R96" s="79" t="s">
        <v>1525</v>
      </c>
      <c r="S96" s="79" t="s">
        <v>803</v>
      </c>
      <c r="T96" s="79"/>
      <c r="U96" s="79" t="s">
        <v>1526</v>
      </c>
      <c r="V96" s="79"/>
      <c r="W96" s="79"/>
      <c r="X96" s="79"/>
      <c r="Y96" s="79"/>
      <c r="Z96" s="79"/>
      <c r="AA96" s="154">
        <v>1</v>
      </c>
      <c r="AB96" s="155" t="s">
        <v>3532</v>
      </c>
      <c r="AC96" s="121">
        <v>4</v>
      </c>
      <c r="AD96" s="202"/>
      <c r="AE96" s="192">
        <v>2</v>
      </c>
      <c r="AF96" s="203">
        <v>0</v>
      </c>
      <c r="AG96" s="121">
        <f>Table664[[#This Row],[Subjects_n_ptsd]]+Table664[[#This Row],[Subjects_n_control]]</f>
        <v>12</v>
      </c>
      <c r="AH96" s="121">
        <v>6</v>
      </c>
      <c r="AI96" s="121">
        <v>6</v>
      </c>
      <c r="AJ96" s="121" t="s">
        <v>803</v>
      </c>
      <c r="AK96" s="121" t="s">
        <v>803</v>
      </c>
      <c r="AL96" s="121" t="s">
        <v>24</v>
      </c>
      <c r="AM96" s="121" t="s">
        <v>24</v>
      </c>
      <c r="AN96" s="121" t="s">
        <v>24</v>
      </c>
      <c r="AO96" s="121" t="s">
        <v>24</v>
      </c>
      <c r="AP96" s="121" t="s">
        <v>3548</v>
      </c>
      <c r="AQ96" s="121">
        <v>1</v>
      </c>
      <c r="AR96" s="121">
        <v>1</v>
      </c>
      <c r="AS96" s="121" t="s">
        <v>3531</v>
      </c>
      <c r="AT96" s="121" t="s">
        <v>1130</v>
      </c>
      <c r="AU96" s="121" t="s">
        <v>3279</v>
      </c>
      <c r="AV96" s="156"/>
      <c r="AW96" s="156"/>
      <c r="AX96" s="156"/>
      <c r="AY96" s="156"/>
      <c r="AZ96" s="156">
        <v>1</v>
      </c>
      <c r="BA96" s="156"/>
      <c r="BB96" s="156"/>
      <c r="BC96" s="156"/>
      <c r="BD96" s="157" t="s">
        <v>3563</v>
      </c>
      <c r="BE96" s="134" t="s">
        <v>1876</v>
      </c>
      <c r="BF96" s="134" t="s">
        <v>3533</v>
      </c>
      <c r="BG96" s="134" t="s">
        <v>3538</v>
      </c>
      <c r="BH96" s="134" t="s">
        <v>2471</v>
      </c>
      <c r="BI96" s="134" t="s">
        <v>3534</v>
      </c>
      <c r="BJ96" s="259" t="s">
        <v>3547</v>
      </c>
      <c r="BK96" s="138" t="s">
        <v>3535</v>
      </c>
      <c r="BL96" s="134">
        <v>31.807300000000001</v>
      </c>
      <c r="BM96" s="134">
        <f>51.047-Table664[[#This Row],[Outcome1_M]]</f>
        <v>19.239699999999996</v>
      </c>
      <c r="BN96" s="134" t="s">
        <v>24</v>
      </c>
      <c r="BO96" s="138" t="s">
        <v>3536</v>
      </c>
      <c r="BP96" s="134">
        <v>81.805800000000005</v>
      </c>
      <c r="BQ96" s="134">
        <f>95.0859-Table664[[#This Row],[Outcome2_M]]</f>
        <v>13.28009999999999</v>
      </c>
      <c r="BR96" s="134" t="s">
        <v>24</v>
      </c>
      <c r="BS96" s="288" t="s">
        <v>3545</v>
      </c>
      <c r="BT96" s="289" t="s">
        <v>3542</v>
      </c>
      <c r="BU96" s="138" t="s">
        <v>3539</v>
      </c>
      <c r="BV96" s="190">
        <v>37.521500000000003</v>
      </c>
      <c r="BW96" s="168">
        <f>43.7423-Table664[[#This Row],[Outcome3_M]]</f>
        <v>6.220799999999997</v>
      </c>
      <c r="BX96" s="134" t="s">
        <v>24</v>
      </c>
      <c r="BY96" s="138" t="s">
        <v>3540</v>
      </c>
      <c r="BZ96" s="134">
        <v>63.921999999999997</v>
      </c>
      <c r="CA96" s="134">
        <f>76.5082-Table664[[#This Row],[Outcome4_M]]</f>
        <v>12.586200000000005</v>
      </c>
      <c r="CB96" s="134" t="s">
        <v>24</v>
      </c>
      <c r="CC96" s="288" t="s">
        <v>3546</v>
      </c>
      <c r="CD96" s="289" t="s">
        <v>3541</v>
      </c>
      <c r="CE96" s="276" t="s">
        <v>3543</v>
      </c>
      <c r="CF96" s="308" t="s">
        <v>3544</v>
      </c>
      <c r="CG96" s="138" t="s">
        <v>24</v>
      </c>
      <c r="CH96" s="134"/>
      <c r="CI96" s="134"/>
      <c r="CJ96" s="134"/>
      <c r="CK96" s="134" t="s">
        <v>24</v>
      </c>
      <c r="CL96" s="134"/>
      <c r="CM96" s="134"/>
      <c r="CN96" s="134"/>
      <c r="CO96" s="300"/>
      <c r="CP96" s="301"/>
      <c r="CQ96" s="134"/>
      <c r="CR96" s="134"/>
      <c r="CS96" s="134"/>
      <c r="CT96" s="134"/>
      <c r="CU96" s="134"/>
      <c r="CV96" s="134"/>
      <c r="CW96" s="134"/>
      <c r="CX96" s="134"/>
      <c r="CY96" s="300"/>
      <c r="CZ96" s="301"/>
      <c r="DA96" s="276"/>
      <c r="DB96" s="277"/>
      <c r="DC96" s="134"/>
      <c r="DD96" s="134"/>
      <c r="DE96" s="134"/>
      <c r="DF96" s="134"/>
      <c r="DG96" s="138"/>
      <c r="DH96" s="134"/>
      <c r="DI96" s="134"/>
      <c r="DJ96" s="134"/>
      <c r="DK96" s="301"/>
      <c r="DL96" s="301"/>
      <c r="DM96" s="134"/>
      <c r="DN96" s="134"/>
      <c r="DO96" s="134"/>
      <c r="DP96" s="134"/>
      <c r="DQ96" s="134"/>
      <c r="DR96" s="134"/>
      <c r="DS96" s="134"/>
      <c r="DT96" s="134"/>
      <c r="DU96" s="301"/>
      <c r="DV96" s="301"/>
      <c r="DW96" s="277"/>
      <c r="DX96" s="134"/>
      <c r="DY96" s="134"/>
      <c r="DZ96" s="134"/>
      <c r="EA96" s="134"/>
      <c r="EB96" s="134"/>
      <c r="EC96" s="134"/>
      <c r="ED96" s="134"/>
      <c r="EE96" s="134"/>
      <c r="EF96" s="301"/>
      <c r="EG96" s="301"/>
      <c r="EH96" s="134"/>
      <c r="EI96" s="134"/>
      <c r="EJ96" s="134"/>
      <c r="EK96" s="134"/>
    </row>
    <row r="97" spans="1:141" s="119" customFormat="1">
      <c r="A97" s="118" t="s">
        <v>988</v>
      </c>
      <c r="B97" s="381">
        <v>43</v>
      </c>
      <c r="C97" s="139" t="s">
        <v>2111</v>
      </c>
      <c r="D97" s="140" t="s">
        <v>2370</v>
      </c>
      <c r="E97" s="141">
        <v>1998</v>
      </c>
      <c r="F97" s="118">
        <v>9676829</v>
      </c>
      <c r="G97" s="118">
        <v>1</v>
      </c>
      <c r="H97" s="118">
        <v>1</v>
      </c>
      <c r="I97" s="118"/>
      <c r="J97" s="118">
        <v>1</v>
      </c>
      <c r="K97" s="118"/>
      <c r="L97" s="118">
        <v>1</v>
      </c>
      <c r="M97" s="142">
        <v>2</v>
      </c>
      <c r="N97" s="118" t="s">
        <v>1220</v>
      </c>
      <c r="O97" s="118" t="s">
        <v>1216</v>
      </c>
      <c r="P97" s="118" t="s">
        <v>1127</v>
      </c>
      <c r="Q97" s="118"/>
      <c r="R97" s="118" t="s">
        <v>1525</v>
      </c>
      <c r="S97" s="118" t="s">
        <v>803</v>
      </c>
      <c r="T97" s="118"/>
      <c r="U97" s="118" t="s">
        <v>1526</v>
      </c>
      <c r="V97" s="118"/>
      <c r="W97" s="118"/>
      <c r="X97" s="118"/>
      <c r="Y97" s="118"/>
      <c r="Z97" s="118"/>
      <c r="AA97" s="159">
        <v>1</v>
      </c>
      <c r="AB97" s="160" t="s">
        <v>3532</v>
      </c>
      <c r="AC97" s="122">
        <v>4</v>
      </c>
      <c r="AD97" s="204"/>
      <c r="AE97" s="192">
        <v>2</v>
      </c>
      <c r="AF97" s="205">
        <v>0</v>
      </c>
      <c r="AG97" s="122">
        <f>24+12+12</f>
        <v>48</v>
      </c>
      <c r="AH97" s="122">
        <v>24</v>
      </c>
      <c r="AI97" s="122" t="s">
        <v>3550</v>
      </c>
      <c r="AJ97" s="122" t="s">
        <v>803</v>
      </c>
      <c r="AK97" s="122" t="s">
        <v>803</v>
      </c>
      <c r="AL97" s="122" t="s">
        <v>24</v>
      </c>
      <c r="AM97" s="122" t="s">
        <v>24</v>
      </c>
      <c r="AN97" s="122" t="s">
        <v>24</v>
      </c>
      <c r="AO97" s="122" t="s">
        <v>24</v>
      </c>
      <c r="AP97" s="122" t="s">
        <v>3549</v>
      </c>
      <c r="AQ97" s="122">
        <v>1</v>
      </c>
      <c r="AR97" s="122">
        <v>1</v>
      </c>
      <c r="AS97" s="121" t="s">
        <v>3531</v>
      </c>
      <c r="AT97" s="122" t="s">
        <v>1130</v>
      </c>
      <c r="AU97" s="122" t="s">
        <v>3279</v>
      </c>
      <c r="AV97" s="161"/>
      <c r="AW97" s="161"/>
      <c r="AX97" s="161"/>
      <c r="AY97" s="161"/>
      <c r="AZ97" s="161">
        <v>1</v>
      </c>
      <c r="BA97" s="161"/>
      <c r="BB97" s="161"/>
      <c r="BC97" s="161"/>
      <c r="BD97" s="162" t="s">
        <v>3562</v>
      </c>
      <c r="BE97" s="150" t="s">
        <v>1876</v>
      </c>
      <c r="BF97" s="150" t="s">
        <v>3537</v>
      </c>
      <c r="BG97" s="150" t="s">
        <v>3551</v>
      </c>
      <c r="BH97" s="150" t="s">
        <v>2471</v>
      </c>
      <c r="BI97" s="150" t="s">
        <v>3534</v>
      </c>
      <c r="BJ97" s="258" t="s">
        <v>3561</v>
      </c>
      <c r="BK97" s="151" t="s">
        <v>3552</v>
      </c>
      <c r="BL97" s="150">
        <v>22.881599999999999</v>
      </c>
      <c r="BM97" s="150">
        <f>31.0418-Table664[[#This Row],[Outcome1_M]]</f>
        <v>8.1601999999999997</v>
      </c>
      <c r="BN97" s="150" t="s">
        <v>24</v>
      </c>
      <c r="BO97" s="151" t="s">
        <v>3553</v>
      </c>
      <c r="BP97" s="150">
        <v>56.974200000000003</v>
      </c>
      <c r="BQ97" s="150">
        <f>71.3951-Table664[[#This Row],[Outcome2_M]]</f>
        <v>14.420899999999996</v>
      </c>
      <c r="BR97" s="150" t="s">
        <v>24</v>
      </c>
      <c r="BS97" s="290" t="s">
        <v>24</v>
      </c>
      <c r="BT97" s="291" t="s">
        <v>24</v>
      </c>
      <c r="BU97" s="151" t="s">
        <v>3536</v>
      </c>
      <c r="BV97" s="150">
        <v>62.602899999999998</v>
      </c>
      <c r="BW97" s="150">
        <f>75.6964-Table664[[#This Row],[Outcome3_M]]</f>
        <v>13.093499999999999</v>
      </c>
      <c r="BX97" s="150" t="s">
        <v>24</v>
      </c>
      <c r="BY97" s="151" t="s">
        <v>24</v>
      </c>
      <c r="BZ97" s="150" t="s">
        <v>24</v>
      </c>
      <c r="CA97" s="150" t="s">
        <v>24</v>
      </c>
      <c r="CB97" s="150" t="s">
        <v>24</v>
      </c>
      <c r="CC97" s="290" t="s">
        <v>3557</v>
      </c>
      <c r="CD97" s="291" t="s">
        <v>3556</v>
      </c>
      <c r="CE97" s="278" t="s">
        <v>24</v>
      </c>
      <c r="CF97" s="285" t="s">
        <v>24</v>
      </c>
      <c r="CG97" s="151" t="s">
        <v>3554</v>
      </c>
      <c r="CH97" s="150">
        <v>31.4589</v>
      </c>
      <c r="CI97" s="150">
        <f>45.8823-Table664[[#This Row],[Outcome5_M]]</f>
        <v>14.423400000000001</v>
      </c>
      <c r="CJ97" s="150" t="s">
        <v>24</v>
      </c>
      <c r="CK97" s="151" t="s">
        <v>3555</v>
      </c>
      <c r="CL97" s="150">
        <v>53.894799999999996</v>
      </c>
      <c r="CM97" s="150">
        <f>69.0874-Table664[[#This Row],[Outcome6_M]]</f>
        <v>15.192600000000006</v>
      </c>
      <c r="CN97" s="150" t="s">
        <v>24</v>
      </c>
      <c r="CO97" s="302" t="s">
        <v>24</v>
      </c>
      <c r="CP97" s="303" t="s">
        <v>24</v>
      </c>
      <c r="CQ97" s="151" t="s">
        <v>3540</v>
      </c>
      <c r="CR97" s="150">
        <v>58.446300000000001</v>
      </c>
      <c r="CS97" s="150">
        <f>75.1771-Table664[[#This Row],[Outcome7_M]]</f>
        <v>16.730799999999995</v>
      </c>
      <c r="CT97" s="150" t="s">
        <v>24</v>
      </c>
      <c r="CU97" s="150" t="s">
        <v>24</v>
      </c>
      <c r="CV97" s="150" t="s">
        <v>24</v>
      </c>
      <c r="CW97" s="150" t="s">
        <v>24</v>
      </c>
      <c r="CX97" s="150" t="s">
        <v>24</v>
      </c>
      <c r="CY97" s="302" t="s">
        <v>3560</v>
      </c>
      <c r="CZ97" s="303" t="s">
        <v>3559</v>
      </c>
      <c r="DA97" s="278" t="s">
        <v>3558</v>
      </c>
      <c r="DB97" s="279"/>
      <c r="DC97" s="150"/>
      <c r="DD97" s="150"/>
      <c r="DE97" s="150"/>
      <c r="DF97" s="150"/>
      <c r="DG97" s="151"/>
      <c r="DH97" s="150"/>
      <c r="DI97" s="150"/>
      <c r="DJ97" s="150"/>
      <c r="DK97" s="303"/>
      <c r="DL97" s="303"/>
      <c r="DM97" s="150"/>
      <c r="DN97" s="150"/>
      <c r="DO97" s="150"/>
      <c r="DP97" s="150"/>
      <c r="DQ97" s="150"/>
      <c r="DR97" s="150"/>
      <c r="DS97" s="150"/>
      <c r="DT97" s="150"/>
      <c r="DU97" s="303"/>
      <c r="DV97" s="303"/>
      <c r="DW97" s="279"/>
      <c r="DX97" s="150"/>
      <c r="DY97" s="150"/>
      <c r="DZ97" s="150"/>
      <c r="EA97" s="150"/>
      <c r="EB97" s="150"/>
      <c r="EC97" s="150"/>
      <c r="ED97" s="150"/>
      <c r="EE97" s="150"/>
      <c r="EF97" s="303"/>
      <c r="EG97" s="303"/>
      <c r="EH97" s="150"/>
      <c r="EI97" s="150"/>
      <c r="EJ97" s="150"/>
      <c r="EK97" s="150"/>
    </row>
    <row r="98" spans="1:141">
      <c r="A98" s="79" t="s">
        <v>274</v>
      </c>
      <c r="B98" s="117">
        <v>44</v>
      </c>
      <c r="C98" s="123" t="s">
        <v>2006</v>
      </c>
      <c r="D98" s="124" t="s">
        <v>2237</v>
      </c>
      <c r="E98" s="125">
        <v>2013</v>
      </c>
      <c r="F98" s="79">
        <v>23792855</v>
      </c>
      <c r="G98" s="79">
        <v>1</v>
      </c>
      <c r="H98" s="126"/>
      <c r="I98" s="127"/>
      <c r="J98" s="79">
        <v>1</v>
      </c>
      <c r="K98" s="79"/>
      <c r="L98" s="79">
        <v>1</v>
      </c>
      <c r="M98" s="128">
        <v>1</v>
      </c>
      <c r="N98" s="79" t="s">
        <v>11</v>
      </c>
      <c r="O98" s="79" t="s">
        <v>1142</v>
      </c>
      <c r="P98" s="79" t="s">
        <v>25</v>
      </c>
      <c r="Q98" s="79">
        <v>1</v>
      </c>
      <c r="R98" s="79"/>
      <c r="S98" s="79"/>
      <c r="T98" s="79"/>
      <c r="U98" s="79" t="s">
        <v>723</v>
      </c>
      <c r="V98" s="79" t="s">
        <v>24</v>
      </c>
      <c r="W98" s="79" t="s">
        <v>724</v>
      </c>
      <c r="X98" s="79"/>
      <c r="Y98" s="79"/>
      <c r="Z98" s="79"/>
      <c r="AA98" s="233">
        <v>1</v>
      </c>
      <c r="AB98" s="382" t="s">
        <v>3581</v>
      </c>
      <c r="AC98" s="121" t="s">
        <v>3565</v>
      </c>
      <c r="AD98" s="212" t="s">
        <v>3570</v>
      </c>
      <c r="AE98" s="192">
        <v>0</v>
      </c>
      <c r="AF98" s="203" t="s">
        <v>24</v>
      </c>
      <c r="AG98" s="121" t="s">
        <v>3564</v>
      </c>
      <c r="AH98" s="383" t="s">
        <v>3571</v>
      </c>
      <c r="AI98" s="383" t="s">
        <v>3571</v>
      </c>
      <c r="AJ98" s="121" t="s">
        <v>3572</v>
      </c>
      <c r="AK98" s="121" t="s">
        <v>3572</v>
      </c>
      <c r="AL98" s="121" t="s">
        <v>3573</v>
      </c>
      <c r="AM98" s="121">
        <v>7.91</v>
      </c>
      <c r="AN98" s="121" t="s">
        <v>3573</v>
      </c>
      <c r="AO98" s="121">
        <v>7.91</v>
      </c>
      <c r="AP98" s="121" t="s">
        <v>3568</v>
      </c>
      <c r="AQ98" s="121" t="s">
        <v>24</v>
      </c>
      <c r="AR98" s="121" t="s">
        <v>24</v>
      </c>
      <c r="AS98" s="121" t="s">
        <v>3566</v>
      </c>
      <c r="AT98" s="121" t="s">
        <v>2605</v>
      </c>
      <c r="AU98" s="121" t="s">
        <v>3567</v>
      </c>
      <c r="AV98" s="156">
        <v>1</v>
      </c>
      <c r="AW98" s="156"/>
      <c r="AX98" s="156"/>
      <c r="AY98" s="156"/>
      <c r="AZ98" s="156"/>
      <c r="BA98" s="156"/>
      <c r="BB98" s="156"/>
      <c r="BC98" s="156"/>
      <c r="BD98" s="157" t="s">
        <v>1891</v>
      </c>
      <c r="BE98" s="134" t="s">
        <v>1876</v>
      </c>
      <c r="BF98" s="134" t="s">
        <v>3569</v>
      </c>
      <c r="BG98" s="134" t="s">
        <v>3580</v>
      </c>
      <c r="BH98" s="134" t="s">
        <v>24</v>
      </c>
      <c r="BI98" s="134" t="s">
        <v>3582</v>
      </c>
      <c r="BJ98" s="259" t="s">
        <v>3592</v>
      </c>
      <c r="BK98" s="138" t="s">
        <v>3577</v>
      </c>
      <c r="BL98" s="134">
        <v>4.625</v>
      </c>
      <c r="BM98" s="134" t="s">
        <v>24</v>
      </c>
      <c r="BN98" s="134">
        <f>5.1-Table664[[#This Row],[Outcome1_M]]</f>
        <v>0.47499999999999964</v>
      </c>
      <c r="BO98" s="138" t="s">
        <v>3576</v>
      </c>
      <c r="BP98" s="134">
        <v>3.30375</v>
      </c>
      <c r="BQ98" s="134" t="s">
        <v>24</v>
      </c>
      <c r="BR98" s="134">
        <f>3.3125-Table664[[#This Row],[Outcome2_M]]</f>
        <v>8.7500000000000355E-3</v>
      </c>
      <c r="BS98" s="288" t="s">
        <v>24</v>
      </c>
      <c r="BT98" s="289" t="s">
        <v>24</v>
      </c>
      <c r="BU98" s="138" t="s">
        <v>3575</v>
      </c>
      <c r="BV98" s="134">
        <v>4.95</v>
      </c>
      <c r="BW98" s="134" t="s">
        <v>24</v>
      </c>
      <c r="BX98" s="134">
        <f>5.45-Table664[[#This Row],[Outcome3_M]]</f>
        <v>0.5</v>
      </c>
      <c r="BY98" s="138" t="s">
        <v>3574</v>
      </c>
      <c r="BZ98" s="134">
        <v>4.5250000000000004</v>
      </c>
      <c r="CA98" s="134" t="s">
        <v>24</v>
      </c>
      <c r="CB98" s="134">
        <f>4.8125-Table664[[#This Row],[Outcome4_M]]</f>
        <v>0.28749999999999964</v>
      </c>
      <c r="CC98" s="288" t="s">
        <v>24</v>
      </c>
      <c r="CD98" s="289" t="s">
        <v>24</v>
      </c>
      <c r="CE98" s="276" t="s">
        <v>24</v>
      </c>
      <c r="CF98" s="308" t="s">
        <v>24</v>
      </c>
      <c r="CG98" s="138" t="s">
        <v>3578</v>
      </c>
      <c r="CH98" s="134">
        <v>5.9249999999999998</v>
      </c>
      <c r="CI98" s="134" t="s">
        <v>24</v>
      </c>
      <c r="CJ98" s="134">
        <f>6.425-Table664[[#This Row],[Outcome5_M]]</f>
        <v>0.5</v>
      </c>
      <c r="CK98" s="138" t="s">
        <v>3579</v>
      </c>
      <c r="CL98" s="134">
        <v>4.5999999999999996</v>
      </c>
      <c r="CM98" s="134" t="s">
        <v>24</v>
      </c>
      <c r="CN98" s="134">
        <f>4.9-Table664[[#This Row],[Outcome6_M]]</f>
        <v>0.30000000000000071</v>
      </c>
      <c r="CO98" s="300" t="s">
        <v>3583</v>
      </c>
      <c r="CP98" s="301" t="s">
        <v>3584</v>
      </c>
      <c r="CQ98" s="138" t="s">
        <v>3587</v>
      </c>
      <c r="CR98" s="190">
        <v>2.6</v>
      </c>
      <c r="CS98" s="134" t="s">
        <v>24</v>
      </c>
      <c r="CT98" s="134">
        <f>3.1375-Table664[[#This Row],[Outcome7_M]]</f>
        <v>0.53750000000000009</v>
      </c>
      <c r="CU98" s="138" t="s">
        <v>3588</v>
      </c>
      <c r="CV98" s="134">
        <v>3.0125000000000002</v>
      </c>
      <c r="CW98" s="134" t="s">
        <v>24</v>
      </c>
      <c r="CX98" s="134">
        <f>3.275-Table664[[#This Row],[Outcome8_M]]</f>
        <v>0.26249999999999973</v>
      </c>
      <c r="CY98" s="300" t="s">
        <v>24</v>
      </c>
      <c r="CZ98" s="301" t="s">
        <v>24</v>
      </c>
      <c r="DA98" s="276" t="s">
        <v>24</v>
      </c>
      <c r="DB98" s="277" t="s">
        <v>24</v>
      </c>
      <c r="DC98" s="138" t="s">
        <v>3585</v>
      </c>
      <c r="DD98" s="190">
        <v>5.3624999999999998</v>
      </c>
      <c r="DE98" s="134" t="s">
        <v>24</v>
      </c>
      <c r="DF98" s="134">
        <f>5.85-Table664[[#This Row],[Outcome9_M]]</f>
        <v>0.48749999999999982</v>
      </c>
      <c r="DG98" s="138" t="s">
        <v>3586</v>
      </c>
      <c r="DH98" s="134">
        <v>3.4750000000000001</v>
      </c>
      <c r="DI98" s="134" t="s">
        <v>24</v>
      </c>
      <c r="DJ98" s="134">
        <f>3.7625-Table664[[#This Row],[Outcome10_M]]</f>
        <v>0.28750000000000009</v>
      </c>
      <c r="DK98" s="301" t="s">
        <v>24</v>
      </c>
      <c r="DL98" s="301" t="s">
        <v>24</v>
      </c>
      <c r="DM98" s="138" t="s">
        <v>3589</v>
      </c>
      <c r="DN98" s="190">
        <v>5.6749999999999998</v>
      </c>
      <c r="DO98" s="134" t="s">
        <v>24</v>
      </c>
      <c r="DP98" s="134">
        <f>6.15-Table664[[#This Row],[Outcome11_M]]</f>
        <v>0.47500000000000053</v>
      </c>
      <c r="DQ98" s="138" t="s">
        <v>3590</v>
      </c>
      <c r="DR98" s="134">
        <v>3.5874999999999999</v>
      </c>
      <c r="DS98" s="134" t="s">
        <v>24</v>
      </c>
      <c r="DT98" s="134">
        <f>3.875-Table664[[#This Row],[Outcome12_M]]</f>
        <v>0.28750000000000009</v>
      </c>
      <c r="DU98" s="300" t="s">
        <v>3591</v>
      </c>
      <c r="DV98" s="301" t="s">
        <v>3584</v>
      </c>
      <c r="DW98" s="277"/>
      <c r="DX98" s="134"/>
      <c r="DY98" s="134"/>
      <c r="DZ98" s="134"/>
      <c r="EA98" s="134"/>
      <c r="EB98" s="134"/>
      <c r="EC98" s="134"/>
      <c r="ED98" s="134"/>
      <c r="EE98" s="134"/>
      <c r="EF98" s="301"/>
      <c r="EG98" s="301"/>
      <c r="EH98" s="134"/>
      <c r="EI98" s="134"/>
      <c r="EJ98" s="134"/>
      <c r="EK98" s="134"/>
    </row>
    <row r="99" spans="1:141" s="20" customFormat="1">
      <c r="A99" s="153" t="s">
        <v>983</v>
      </c>
      <c r="B99" s="366">
        <v>45</v>
      </c>
      <c r="C99" s="367" t="s">
        <v>2113</v>
      </c>
      <c r="D99" s="368" t="s">
        <v>2372</v>
      </c>
      <c r="E99" s="369">
        <v>2015</v>
      </c>
      <c r="F99" s="153">
        <v>25449394</v>
      </c>
      <c r="G99" s="153">
        <v>1</v>
      </c>
      <c r="H99" s="370">
        <v>1</v>
      </c>
      <c r="I99" s="371"/>
      <c r="J99" s="153">
        <v>1</v>
      </c>
      <c r="K99" s="153"/>
      <c r="L99" s="153">
        <v>1</v>
      </c>
      <c r="M99" s="153">
        <v>2</v>
      </c>
      <c r="N99" s="153" t="s">
        <v>1404</v>
      </c>
      <c r="O99" s="153" t="s">
        <v>1212</v>
      </c>
      <c r="P99" s="153" t="s">
        <v>1127</v>
      </c>
      <c r="Q99" s="153"/>
      <c r="R99" s="153" t="s">
        <v>1488</v>
      </c>
      <c r="S99" s="153" t="s">
        <v>1539</v>
      </c>
      <c r="T99" s="153" t="s">
        <v>23</v>
      </c>
      <c r="U99" s="153" t="s">
        <v>1547</v>
      </c>
      <c r="V99" s="153"/>
      <c r="W99" s="153"/>
      <c r="X99" s="153"/>
      <c r="Y99" s="153"/>
      <c r="Z99" s="153"/>
      <c r="AA99" s="165">
        <v>0</v>
      </c>
      <c r="AB99" s="166" t="s">
        <v>3593</v>
      </c>
      <c r="AC99" s="120">
        <v>4</v>
      </c>
      <c r="AD99" s="206"/>
      <c r="AE99" s="372"/>
      <c r="AF99" s="207"/>
      <c r="AG99" s="120"/>
      <c r="AH99" s="120"/>
      <c r="AI99" s="120"/>
      <c r="AJ99" s="120"/>
      <c r="AK99" s="120"/>
      <c r="AL99" s="120"/>
      <c r="AM99" s="120"/>
      <c r="AN99" s="120"/>
      <c r="AO99" s="120"/>
      <c r="AP99" s="120"/>
      <c r="AQ99" s="120"/>
      <c r="AR99" s="120"/>
      <c r="AS99" s="120"/>
      <c r="AT99" s="120"/>
      <c r="AU99" s="120"/>
      <c r="AV99" s="373">
        <v>1</v>
      </c>
      <c r="AW99" s="373"/>
      <c r="AX99" s="373"/>
      <c r="AY99" s="373"/>
      <c r="AZ99" s="373"/>
      <c r="BA99" s="373"/>
      <c r="BB99" s="373"/>
      <c r="BC99" s="373"/>
      <c r="BD99" s="374"/>
      <c r="BE99" s="120"/>
      <c r="BF99" s="120"/>
      <c r="BG99" s="120"/>
      <c r="BH99" s="120"/>
      <c r="BI99" s="384"/>
      <c r="BJ99" s="375"/>
      <c r="BK99" s="376"/>
      <c r="BL99" s="120"/>
      <c r="BM99" s="120"/>
      <c r="BN99" s="120"/>
      <c r="BO99" s="376"/>
      <c r="BP99" s="120"/>
      <c r="BQ99" s="120"/>
      <c r="BR99" s="120"/>
      <c r="BS99" s="375"/>
      <c r="BT99" s="377"/>
      <c r="BU99" s="376"/>
      <c r="BV99" s="120"/>
      <c r="BW99" s="120"/>
      <c r="BX99" s="120"/>
      <c r="BY99" s="376"/>
      <c r="BZ99" s="120"/>
      <c r="CA99" s="120"/>
      <c r="CB99" s="120"/>
      <c r="CC99" s="375"/>
      <c r="CD99" s="377"/>
      <c r="CE99" s="380"/>
      <c r="CF99" s="376"/>
      <c r="CG99" s="376"/>
      <c r="CH99" s="120"/>
      <c r="CI99" s="120"/>
      <c r="CJ99" s="120"/>
      <c r="CK99" s="120"/>
      <c r="CL99" s="120"/>
      <c r="CM99" s="120"/>
      <c r="CN99" s="120"/>
      <c r="CO99" s="380"/>
      <c r="CP99" s="120"/>
      <c r="CQ99" s="120"/>
      <c r="CR99" s="120"/>
      <c r="CS99" s="120"/>
      <c r="CT99" s="120"/>
      <c r="CU99" s="120"/>
      <c r="CV99" s="120"/>
      <c r="CW99" s="120"/>
      <c r="CX99" s="120"/>
      <c r="CY99" s="380"/>
      <c r="CZ99" s="120"/>
      <c r="DA99" s="380"/>
      <c r="DB99" s="120"/>
      <c r="DC99" s="120"/>
      <c r="DD99" s="120"/>
      <c r="DE99" s="120"/>
      <c r="DF99" s="120"/>
      <c r="DG99" s="376"/>
      <c r="DH99" s="120"/>
      <c r="DI99" s="120"/>
      <c r="DJ99" s="120"/>
      <c r="DK99" s="120"/>
      <c r="DL99" s="120"/>
      <c r="DM99" s="120"/>
      <c r="DN99" s="120"/>
      <c r="DO99" s="120"/>
      <c r="DP99" s="120"/>
      <c r="DQ99" s="120"/>
      <c r="DR99" s="120"/>
      <c r="DS99" s="120"/>
      <c r="DT99" s="120"/>
      <c r="DU99" s="120"/>
      <c r="DV99" s="120"/>
      <c r="DW99" s="120"/>
      <c r="DX99" s="120"/>
      <c r="DY99" s="120"/>
      <c r="DZ99" s="120"/>
      <c r="EA99" s="120"/>
      <c r="EB99" s="120"/>
      <c r="EC99" s="120"/>
      <c r="ED99" s="120"/>
      <c r="EE99" s="120"/>
      <c r="EF99" s="120"/>
      <c r="EG99" s="120"/>
      <c r="EH99" s="120"/>
      <c r="EI99" s="120"/>
      <c r="EJ99" s="120"/>
      <c r="EK99" s="120"/>
    </row>
    <row r="100" spans="1:141" s="20" customFormat="1">
      <c r="A100" s="153" t="s">
        <v>969</v>
      </c>
      <c r="B100" s="366">
        <v>46</v>
      </c>
      <c r="C100" s="367" t="s">
        <v>2118</v>
      </c>
      <c r="D100" s="368" t="s">
        <v>2378</v>
      </c>
      <c r="E100" s="369">
        <v>2014</v>
      </c>
      <c r="F100" s="153">
        <v>24667363</v>
      </c>
      <c r="G100" s="153">
        <v>1</v>
      </c>
      <c r="H100" s="370">
        <v>1</v>
      </c>
      <c r="I100" s="371"/>
      <c r="J100" s="153">
        <v>1</v>
      </c>
      <c r="K100" s="153"/>
      <c r="L100" s="153">
        <v>1</v>
      </c>
      <c r="M100" s="153">
        <v>2</v>
      </c>
      <c r="N100" s="153" t="s">
        <v>1588</v>
      </c>
      <c r="O100" s="153" t="s">
        <v>1216</v>
      </c>
      <c r="P100" s="153" t="s">
        <v>1127</v>
      </c>
      <c r="Q100" s="153"/>
      <c r="R100" s="153" t="s">
        <v>1501</v>
      </c>
      <c r="S100" s="153" t="s">
        <v>1539</v>
      </c>
      <c r="T100" s="153"/>
      <c r="U100" s="153" t="s">
        <v>1589</v>
      </c>
      <c r="V100" s="153" t="s">
        <v>1213</v>
      </c>
      <c r="W100" s="153"/>
      <c r="X100" s="153"/>
      <c r="Y100" s="153"/>
      <c r="Z100" s="153"/>
      <c r="AA100" s="165">
        <v>0</v>
      </c>
      <c r="AB100" s="166" t="s">
        <v>3594</v>
      </c>
      <c r="AC100" s="120">
        <v>4</v>
      </c>
      <c r="AD100" s="206"/>
      <c r="AE100" s="372"/>
      <c r="AF100" s="207"/>
      <c r="AG100" s="120"/>
      <c r="AH100" s="120"/>
      <c r="AI100" s="120"/>
      <c r="AJ100" s="120"/>
      <c r="AK100" s="120"/>
      <c r="AL100" s="120"/>
      <c r="AM100" s="120"/>
      <c r="AN100" s="120"/>
      <c r="AO100" s="120"/>
      <c r="AP100" s="120"/>
      <c r="AQ100" s="120"/>
      <c r="AR100" s="120"/>
      <c r="AS100" s="120"/>
      <c r="AT100" s="120"/>
      <c r="AU100" s="120"/>
      <c r="AV100" s="373">
        <v>1</v>
      </c>
      <c r="AW100" s="373"/>
      <c r="AX100" s="373"/>
      <c r="AY100" s="373"/>
      <c r="AZ100" s="373">
        <v>1</v>
      </c>
      <c r="BA100" s="373"/>
      <c r="BB100" s="373"/>
      <c r="BC100" s="373"/>
      <c r="BD100" s="374"/>
      <c r="BE100" s="120"/>
      <c r="BF100" s="120"/>
      <c r="BG100" s="120"/>
      <c r="BH100" s="120"/>
      <c r="BI100" s="120"/>
      <c r="BJ100" s="385"/>
      <c r="BK100" s="376"/>
      <c r="BL100" s="120"/>
      <c r="BM100" s="120"/>
      <c r="BN100" s="120"/>
      <c r="BO100" s="376"/>
      <c r="BP100" s="120"/>
      <c r="BQ100" s="120"/>
      <c r="BR100" s="120"/>
      <c r="BS100" s="375"/>
      <c r="BT100" s="377"/>
      <c r="BU100" s="376"/>
      <c r="BV100" s="120"/>
      <c r="BW100" s="120"/>
      <c r="BX100" s="120"/>
      <c r="BY100" s="376"/>
      <c r="BZ100" s="120"/>
      <c r="CA100" s="120"/>
      <c r="CB100" s="120"/>
      <c r="CC100" s="375"/>
      <c r="CD100" s="377"/>
      <c r="CE100" s="380"/>
      <c r="CF100" s="376"/>
      <c r="CG100" s="376"/>
      <c r="CH100" s="120"/>
      <c r="CI100" s="120"/>
      <c r="CJ100" s="120"/>
      <c r="CK100" s="120"/>
      <c r="CL100" s="120"/>
      <c r="CM100" s="120"/>
      <c r="CN100" s="120"/>
      <c r="CO100" s="380"/>
      <c r="CP100" s="120"/>
      <c r="CQ100" s="120"/>
      <c r="CR100" s="120"/>
      <c r="CS100" s="120"/>
      <c r="CT100" s="120"/>
      <c r="CU100" s="120"/>
      <c r="CV100" s="120"/>
      <c r="CW100" s="120"/>
      <c r="CX100" s="120"/>
      <c r="CY100" s="380"/>
      <c r="CZ100" s="120"/>
      <c r="DA100" s="380"/>
      <c r="DB100" s="120"/>
      <c r="DC100" s="120"/>
      <c r="DD100" s="120"/>
      <c r="DE100" s="120"/>
      <c r="DF100" s="120"/>
      <c r="DG100" s="376"/>
      <c r="DH100" s="120"/>
      <c r="DI100" s="120"/>
      <c r="DJ100" s="120"/>
      <c r="DK100" s="120"/>
      <c r="DL100" s="120"/>
      <c r="DM100" s="120"/>
      <c r="DN100" s="120"/>
      <c r="DO100" s="120"/>
      <c r="DP100" s="120"/>
      <c r="DQ100" s="120"/>
      <c r="DR100" s="120"/>
      <c r="DS100" s="120"/>
      <c r="DT100" s="120"/>
      <c r="DU100" s="120"/>
      <c r="DV100" s="120"/>
      <c r="DW100" s="120"/>
      <c r="DX100" s="120"/>
      <c r="DY100" s="120"/>
      <c r="DZ100" s="120"/>
      <c r="EA100" s="120"/>
      <c r="EB100" s="120"/>
      <c r="EC100" s="120"/>
      <c r="ED100" s="120"/>
      <c r="EE100" s="120"/>
      <c r="EF100" s="120"/>
      <c r="EG100" s="120"/>
      <c r="EH100" s="120"/>
      <c r="EI100" s="120"/>
      <c r="EJ100" s="120"/>
      <c r="EK100" s="120"/>
    </row>
    <row r="101" spans="1:141">
      <c r="A101" s="79" t="s">
        <v>968</v>
      </c>
      <c r="B101" s="117">
        <v>47</v>
      </c>
      <c r="C101" s="123" t="s">
        <v>2119</v>
      </c>
      <c r="D101" s="124" t="s">
        <v>2379</v>
      </c>
      <c r="E101" s="125">
        <v>2006</v>
      </c>
      <c r="F101" s="79">
        <v>17031709</v>
      </c>
      <c r="G101" s="79">
        <v>1</v>
      </c>
      <c r="H101" s="126">
        <v>1</v>
      </c>
      <c r="I101" s="127"/>
      <c r="J101" s="79">
        <v>1</v>
      </c>
      <c r="K101" s="79"/>
      <c r="L101" s="153">
        <v>1</v>
      </c>
      <c r="M101" s="128">
        <v>2</v>
      </c>
      <c r="N101" s="79" t="s">
        <v>1227</v>
      </c>
      <c r="O101" s="79" t="s">
        <v>1216</v>
      </c>
      <c r="P101" s="79" t="s">
        <v>1127</v>
      </c>
      <c r="Q101" s="79"/>
      <c r="R101" s="79" t="s">
        <v>1487</v>
      </c>
      <c r="S101" s="79" t="s">
        <v>803</v>
      </c>
      <c r="T101" s="79"/>
      <c r="U101" s="79" t="s">
        <v>1501</v>
      </c>
      <c r="V101" s="79"/>
      <c r="W101" s="79" t="s">
        <v>1132</v>
      </c>
      <c r="X101" s="79"/>
      <c r="Y101" s="79" t="s">
        <v>1590</v>
      </c>
      <c r="Z101" s="79"/>
      <c r="AA101" s="154">
        <v>1</v>
      </c>
      <c r="AB101" s="155"/>
      <c r="AC101" s="121">
        <v>4</v>
      </c>
      <c r="AD101" s="202" t="s">
        <v>3600</v>
      </c>
      <c r="AE101" s="192">
        <v>2</v>
      </c>
      <c r="AF101" s="203">
        <v>1</v>
      </c>
      <c r="AG101" s="121">
        <f>Table664[[#This Row],[Subjects_n_ptsd]]+Table664[[#This Row],[Subjects_n_control]]</f>
        <v>18</v>
      </c>
      <c r="AH101" s="121">
        <v>9</v>
      </c>
      <c r="AI101" s="121">
        <v>9</v>
      </c>
      <c r="AJ101" s="121" t="s">
        <v>803</v>
      </c>
      <c r="AK101" s="121" t="s">
        <v>803</v>
      </c>
      <c r="AL101" s="121" t="s">
        <v>3595</v>
      </c>
      <c r="AM101" s="121" t="s">
        <v>24</v>
      </c>
      <c r="AN101" s="121" t="s">
        <v>3595</v>
      </c>
      <c r="AO101" s="121" t="s">
        <v>24</v>
      </c>
      <c r="AP101" s="121" t="s">
        <v>3596</v>
      </c>
      <c r="AQ101" s="121">
        <v>1</v>
      </c>
      <c r="AR101" s="121">
        <v>1</v>
      </c>
      <c r="AS101" s="121" t="s">
        <v>3597</v>
      </c>
      <c r="AT101" s="121" t="s">
        <v>1130</v>
      </c>
      <c r="AU101" s="121" t="s">
        <v>2798</v>
      </c>
      <c r="AV101" s="156">
        <v>1</v>
      </c>
      <c r="AW101" s="156"/>
      <c r="AX101" s="156"/>
      <c r="AY101" s="156"/>
      <c r="AZ101" s="156"/>
      <c r="BA101" s="156"/>
      <c r="BB101" s="156"/>
      <c r="BC101" s="156"/>
      <c r="BD101" s="157" t="s">
        <v>3611</v>
      </c>
      <c r="BE101" s="134" t="s">
        <v>1876</v>
      </c>
      <c r="BF101" s="134">
        <v>2</v>
      </c>
      <c r="BG101" s="150" t="s">
        <v>3605</v>
      </c>
      <c r="BH101" s="134" t="s">
        <v>3514</v>
      </c>
      <c r="BI101" s="134" t="s">
        <v>3237</v>
      </c>
      <c r="BJ101" s="259" t="s">
        <v>3604</v>
      </c>
      <c r="BK101" s="138" t="s">
        <v>3598</v>
      </c>
      <c r="BL101" s="190">
        <v>115.836</v>
      </c>
      <c r="BM101" s="168" t="s">
        <v>24</v>
      </c>
      <c r="BN101" s="190">
        <f>125.091-Table664[[#This Row],[Outcome1_M]]</f>
        <v>9.2549999999999955</v>
      </c>
      <c r="BO101" s="138" t="s">
        <v>3599</v>
      </c>
      <c r="BP101" s="134">
        <v>65.167400000000001</v>
      </c>
      <c r="BQ101" s="134" t="s">
        <v>24</v>
      </c>
      <c r="BR101" s="134">
        <f>73.4964-Table664[[#This Row],[Outcome2_M]]</f>
        <v>8.3289999999999935</v>
      </c>
      <c r="BS101" s="288" t="s">
        <v>3603</v>
      </c>
      <c r="BT101" s="289" t="s">
        <v>2555</v>
      </c>
      <c r="BU101" s="138" t="s">
        <v>24</v>
      </c>
      <c r="BV101" s="134" t="s">
        <v>24</v>
      </c>
      <c r="BW101" s="134" t="s">
        <v>24</v>
      </c>
      <c r="BX101" s="134" t="s">
        <v>24</v>
      </c>
      <c r="BY101" s="138"/>
      <c r="BZ101" s="134"/>
      <c r="CA101" s="134"/>
      <c r="CB101" s="134"/>
      <c r="CC101" s="288"/>
      <c r="CD101" s="289"/>
      <c r="CE101" s="276"/>
      <c r="CF101" s="308"/>
      <c r="CG101" s="138"/>
      <c r="CH101" s="134"/>
      <c r="CI101" s="134"/>
      <c r="CJ101" s="134"/>
      <c r="CK101" s="134"/>
      <c r="CL101" s="134"/>
      <c r="CM101" s="134"/>
      <c r="CN101" s="134"/>
      <c r="CO101" s="300"/>
      <c r="CP101" s="301"/>
      <c r="CQ101" s="134"/>
      <c r="CR101" s="134"/>
      <c r="CS101" s="134"/>
      <c r="CT101" s="134"/>
      <c r="CU101" s="134"/>
      <c r="CV101" s="134"/>
      <c r="CW101" s="134"/>
      <c r="CX101" s="134"/>
      <c r="CY101" s="300"/>
      <c r="CZ101" s="301"/>
      <c r="DA101" s="276"/>
      <c r="DB101" s="277"/>
      <c r="DC101" s="134"/>
      <c r="DD101" s="134"/>
      <c r="DE101" s="134"/>
      <c r="DF101" s="134"/>
      <c r="DG101" s="138"/>
      <c r="DH101" s="134"/>
      <c r="DI101" s="134"/>
      <c r="DJ101" s="134"/>
      <c r="DK101" s="301"/>
      <c r="DL101" s="301"/>
      <c r="DM101" s="134"/>
      <c r="DN101" s="134"/>
      <c r="DO101" s="134"/>
      <c r="DP101" s="134"/>
      <c r="DQ101" s="134"/>
      <c r="DR101" s="134"/>
      <c r="DS101" s="134"/>
      <c r="DT101" s="134"/>
      <c r="DU101" s="301"/>
      <c r="DV101" s="301"/>
      <c r="DW101" s="277"/>
      <c r="DX101" s="134"/>
      <c r="DY101" s="134"/>
      <c r="DZ101" s="134"/>
      <c r="EA101" s="134"/>
      <c r="EB101" s="134"/>
      <c r="EC101" s="134"/>
      <c r="ED101" s="134"/>
      <c r="EE101" s="134"/>
      <c r="EF101" s="301"/>
      <c r="EG101" s="301"/>
      <c r="EH101" s="134"/>
      <c r="EI101" s="134"/>
      <c r="EJ101" s="134"/>
      <c r="EK101" s="134"/>
    </row>
    <row r="102" spans="1:141" s="119" customFormat="1">
      <c r="A102" s="118" t="s">
        <v>968</v>
      </c>
      <c r="B102" s="381">
        <v>47</v>
      </c>
      <c r="C102" s="139" t="s">
        <v>2119</v>
      </c>
      <c r="D102" s="140" t="s">
        <v>2379</v>
      </c>
      <c r="E102" s="141">
        <v>2006</v>
      </c>
      <c r="F102" s="118">
        <v>17031709</v>
      </c>
      <c r="G102" s="118">
        <v>1</v>
      </c>
      <c r="H102" s="118">
        <v>1</v>
      </c>
      <c r="I102" s="118"/>
      <c r="J102" s="118">
        <v>1</v>
      </c>
      <c r="K102" s="118"/>
      <c r="L102" s="158">
        <v>1</v>
      </c>
      <c r="M102" s="142">
        <v>2</v>
      </c>
      <c r="N102" s="118" t="s">
        <v>1227</v>
      </c>
      <c r="O102" s="118" t="s">
        <v>1216</v>
      </c>
      <c r="P102" s="118" t="s">
        <v>1127</v>
      </c>
      <c r="Q102" s="118"/>
      <c r="R102" s="118" t="s">
        <v>1487</v>
      </c>
      <c r="S102" s="118" t="s">
        <v>803</v>
      </c>
      <c r="T102" s="118"/>
      <c r="U102" s="118" t="s">
        <v>1501</v>
      </c>
      <c r="V102" s="118"/>
      <c r="W102" s="118" t="s">
        <v>1132</v>
      </c>
      <c r="X102" s="118"/>
      <c r="Y102" s="118" t="s">
        <v>1590</v>
      </c>
      <c r="Z102" s="118"/>
      <c r="AA102" s="159">
        <v>1</v>
      </c>
      <c r="AB102" s="160"/>
      <c r="AC102" s="122">
        <v>4</v>
      </c>
      <c r="AD102" s="202" t="s">
        <v>3601</v>
      </c>
      <c r="AE102" s="192">
        <v>2</v>
      </c>
      <c r="AF102" s="205">
        <v>1</v>
      </c>
      <c r="AG102" s="122">
        <f>Table664[[#This Row],[Subjects_n_ptsd]]+Table664[[#This Row],[Subjects_n_control]]</f>
        <v>18</v>
      </c>
      <c r="AH102" s="122">
        <v>9</v>
      </c>
      <c r="AI102" s="122">
        <v>9</v>
      </c>
      <c r="AJ102" s="122" t="s">
        <v>803</v>
      </c>
      <c r="AK102" s="122" t="s">
        <v>803</v>
      </c>
      <c r="AL102" s="122" t="s">
        <v>3595</v>
      </c>
      <c r="AM102" s="122" t="s">
        <v>24</v>
      </c>
      <c r="AN102" s="122" t="s">
        <v>3595</v>
      </c>
      <c r="AO102" s="122" t="s">
        <v>24</v>
      </c>
      <c r="AP102" s="122" t="s">
        <v>3596</v>
      </c>
      <c r="AQ102" s="122">
        <v>1</v>
      </c>
      <c r="AR102" s="122">
        <v>1</v>
      </c>
      <c r="AS102" s="122" t="s">
        <v>3597</v>
      </c>
      <c r="AT102" s="122" t="s">
        <v>1130</v>
      </c>
      <c r="AU102" s="122" t="s">
        <v>2798</v>
      </c>
      <c r="AV102" s="161">
        <v>1</v>
      </c>
      <c r="AW102" s="161"/>
      <c r="AX102" s="161"/>
      <c r="AY102" s="161"/>
      <c r="AZ102" s="161"/>
      <c r="BA102" s="161"/>
      <c r="BB102" s="161"/>
      <c r="BC102" s="161"/>
      <c r="BD102" s="157" t="s">
        <v>3611</v>
      </c>
      <c r="BE102" s="150" t="s">
        <v>1876</v>
      </c>
      <c r="BF102" s="150">
        <v>2</v>
      </c>
      <c r="BG102" s="150" t="s">
        <v>3605</v>
      </c>
      <c r="BH102" s="150" t="s">
        <v>3514</v>
      </c>
      <c r="BI102" s="150" t="s">
        <v>3237</v>
      </c>
      <c r="BJ102" s="259" t="s">
        <v>3604</v>
      </c>
      <c r="BK102" s="151" t="s">
        <v>3598</v>
      </c>
      <c r="BL102" s="150">
        <v>107.661</v>
      </c>
      <c r="BM102" s="150" t="s">
        <v>24</v>
      </c>
      <c r="BN102" s="150">
        <f>118.766-Table664[[#This Row],[Outcome1_M]]</f>
        <v>11.105000000000004</v>
      </c>
      <c r="BO102" s="151" t="s">
        <v>3599</v>
      </c>
      <c r="BP102" s="150">
        <v>68.789199999999994</v>
      </c>
      <c r="BQ102" s="150" t="s">
        <v>24</v>
      </c>
      <c r="BR102" s="150">
        <f>79.4352-Table664[[#This Row],[Outcome2_M]]</f>
        <v>10.646000000000001</v>
      </c>
      <c r="BS102" s="288" t="s">
        <v>3603</v>
      </c>
      <c r="BT102" s="289" t="s">
        <v>2555</v>
      </c>
      <c r="BU102" s="151"/>
      <c r="BV102" s="150"/>
      <c r="BW102" s="150"/>
      <c r="BX102" s="150"/>
      <c r="BY102" s="151"/>
      <c r="BZ102" s="150"/>
      <c r="CA102" s="150"/>
      <c r="CB102" s="150"/>
      <c r="CC102" s="290"/>
      <c r="CD102" s="291"/>
      <c r="CE102" s="278"/>
      <c r="CF102" s="285"/>
      <c r="CG102" s="151"/>
      <c r="CH102" s="150"/>
      <c r="CI102" s="150"/>
      <c r="CJ102" s="150"/>
      <c r="CK102" s="150"/>
      <c r="CL102" s="150"/>
      <c r="CM102" s="150"/>
      <c r="CN102" s="150"/>
      <c r="CO102" s="302"/>
      <c r="CP102" s="303"/>
      <c r="CQ102" s="150"/>
      <c r="CR102" s="150"/>
      <c r="CS102" s="150"/>
      <c r="CT102" s="150"/>
      <c r="CU102" s="150"/>
      <c r="CV102" s="150"/>
      <c r="CW102" s="150"/>
      <c r="CX102" s="150"/>
      <c r="CY102" s="302"/>
      <c r="CZ102" s="303"/>
      <c r="DA102" s="278"/>
      <c r="DB102" s="279"/>
      <c r="DC102" s="150"/>
      <c r="DD102" s="150"/>
      <c r="DE102" s="150"/>
      <c r="DF102" s="150"/>
      <c r="DG102" s="151"/>
      <c r="DH102" s="150"/>
      <c r="DI102" s="150"/>
      <c r="DJ102" s="150"/>
      <c r="DK102" s="303"/>
      <c r="DL102" s="303"/>
      <c r="DM102" s="150"/>
      <c r="DN102" s="150"/>
      <c r="DO102" s="150"/>
      <c r="DP102" s="150"/>
      <c r="DQ102" s="150"/>
      <c r="DR102" s="150"/>
      <c r="DS102" s="150"/>
      <c r="DT102" s="150"/>
      <c r="DU102" s="303"/>
      <c r="DV102" s="303"/>
      <c r="DW102" s="279"/>
      <c r="DX102" s="150"/>
      <c r="DY102" s="150"/>
      <c r="DZ102" s="150"/>
      <c r="EA102" s="150"/>
      <c r="EB102" s="150"/>
      <c r="EC102" s="150"/>
      <c r="ED102" s="150"/>
      <c r="EE102" s="150"/>
      <c r="EF102" s="303"/>
      <c r="EG102" s="303"/>
      <c r="EH102" s="150"/>
      <c r="EI102" s="150"/>
      <c r="EJ102" s="150"/>
      <c r="EK102" s="150"/>
    </row>
    <row r="103" spans="1:141" s="119" customFormat="1">
      <c r="A103" s="118" t="s">
        <v>968</v>
      </c>
      <c r="B103" s="381">
        <v>47</v>
      </c>
      <c r="C103" s="139" t="s">
        <v>2119</v>
      </c>
      <c r="D103" s="140" t="s">
        <v>2379</v>
      </c>
      <c r="E103" s="141">
        <v>2006</v>
      </c>
      <c r="F103" s="118">
        <v>17031709</v>
      </c>
      <c r="G103" s="118">
        <v>1</v>
      </c>
      <c r="H103" s="118">
        <v>1</v>
      </c>
      <c r="I103" s="118"/>
      <c r="J103" s="118">
        <v>1</v>
      </c>
      <c r="K103" s="118"/>
      <c r="L103" s="158">
        <v>1</v>
      </c>
      <c r="M103" s="142">
        <v>2</v>
      </c>
      <c r="N103" s="118" t="s">
        <v>1227</v>
      </c>
      <c r="O103" s="118" t="s">
        <v>1216</v>
      </c>
      <c r="P103" s="118" t="s">
        <v>1127</v>
      </c>
      <c r="Q103" s="118"/>
      <c r="R103" s="118" t="s">
        <v>1487</v>
      </c>
      <c r="S103" s="118" t="s">
        <v>803</v>
      </c>
      <c r="T103" s="118"/>
      <c r="U103" s="118" t="s">
        <v>1501</v>
      </c>
      <c r="V103" s="118"/>
      <c r="W103" s="118" t="s">
        <v>1132</v>
      </c>
      <c r="X103" s="118"/>
      <c r="Y103" s="118" t="s">
        <v>1590</v>
      </c>
      <c r="Z103" s="118"/>
      <c r="AA103" s="159">
        <v>1</v>
      </c>
      <c r="AB103" s="160"/>
      <c r="AC103" s="122">
        <v>4</v>
      </c>
      <c r="AD103" s="202" t="s">
        <v>3602</v>
      </c>
      <c r="AE103" s="192">
        <v>2</v>
      </c>
      <c r="AF103" s="205">
        <v>1</v>
      </c>
      <c r="AG103" s="122">
        <f>Table664[[#This Row],[Subjects_n_ptsd]]+Table664[[#This Row],[Subjects_n_control]]</f>
        <v>18</v>
      </c>
      <c r="AH103" s="122">
        <v>9</v>
      </c>
      <c r="AI103" s="122">
        <v>9</v>
      </c>
      <c r="AJ103" s="122" t="s">
        <v>803</v>
      </c>
      <c r="AK103" s="122" t="s">
        <v>803</v>
      </c>
      <c r="AL103" s="122" t="s">
        <v>3595</v>
      </c>
      <c r="AM103" s="122" t="s">
        <v>24</v>
      </c>
      <c r="AN103" s="122" t="s">
        <v>3595</v>
      </c>
      <c r="AO103" s="122" t="s">
        <v>24</v>
      </c>
      <c r="AP103" s="122" t="s">
        <v>3596</v>
      </c>
      <c r="AQ103" s="122">
        <v>1</v>
      </c>
      <c r="AR103" s="122">
        <v>1</v>
      </c>
      <c r="AS103" s="122" t="s">
        <v>3597</v>
      </c>
      <c r="AT103" s="122" t="s">
        <v>1130</v>
      </c>
      <c r="AU103" s="122" t="s">
        <v>2798</v>
      </c>
      <c r="AV103" s="161">
        <v>1</v>
      </c>
      <c r="AW103" s="161"/>
      <c r="AX103" s="161"/>
      <c r="AY103" s="161"/>
      <c r="AZ103" s="161"/>
      <c r="BA103" s="161"/>
      <c r="BB103" s="161"/>
      <c r="BC103" s="161"/>
      <c r="BD103" s="157" t="s">
        <v>3611</v>
      </c>
      <c r="BE103" s="150" t="s">
        <v>1876</v>
      </c>
      <c r="BF103" s="150">
        <v>2</v>
      </c>
      <c r="BG103" s="150" t="s">
        <v>3605</v>
      </c>
      <c r="BH103" s="150" t="s">
        <v>3514</v>
      </c>
      <c r="BI103" s="150" t="s">
        <v>3237</v>
      </c>
      <c r="BJ103" s="259" t="s">
        <v>3604</v>
      </c>
      <c r="BK103" s="151" t="s">
        <v>3598</v>
      </c>
      <c r="BL103" s="150">
        <v>110.181</v>
      </c>
      <c r="BM103" s="150" t="s">
        <v>24</v>
      </c>
      <c r="BN103" s="150">
        <f>125.143-Table664[[#This Row],[Outcome1_M]]</f>
        <v>14.962000000000003</v>
      </c>
      <c r="BO103" s="151" t="s">
        <v>3599</v>
      </c>
      <c r="BP103" s="150">
        <v>64.597700000000003</v>
      </c>
      <c r="BQ103" s="150" t="s">
        <v>24</v>
      </c>
      <c r="BR103" s="150">
        <f>75.3511-Table664[[#This Row],[Outcome2_M]]</f>
        <v>10.753399999999999</v>
      </c>
      <c r="BS103" s="288" t="s">
        <v>3603</v>
      </c>
      <c r="BT103" s="289" t="s">
        <v>2555</v>
      </c>
      <c r="BU103" s="151"/>
      <c r="BV103" s="150"/>
      <c r="BW103" s="150"/>
      <c r="BX103" s="150"/>
      <c r="BY103" s="151"/>
      <c r="BZ103" s="150"/>
      <c r="CA103" s="150"/>
      <c r="CB103" s="150"/>
      <c r="CC103" s="290"/>
      <c r="CD103" s="291"/>
      <c r="CE103" s="278"/>
      <c r="CF103" s="285"/>
      <c r="CG103" s="151"/>
      <c r="CH103" s="150"/>
      <c r="CI103" s="150"/>
      <c r="CJ103" s="150"/>
      <c r="CK103" s="150"/>
      <c r="CL103" s="150"/>
      <c r="CM103" s="150"/>
      <c r="CN103" s="150"/>
      <c r="CO103" s="302"/>
      <c r="CP103" s="303"/>
      <c r="CQ103" s="150"/>
      <c r="CR103" s="150"/>
      <c r="CS103" s="150"/>
      <c r="CT103" s="150"/>
      <c r="CU103" s="150"/>
      <c r="CV103" s="150"/>
      <c r="CW103" s="150"/>
      <c r="CX103" s="150"/>
      <c r="CY103" s="302"/>
      <c r="CZ103" s="303"/>
      <c r="DA103" s="278"/>
      <c r="DB103" s="279"/>
      <c r="DC103" s="150"/>
      <c r="DD103" s="150"/>
      <c r="DE103" s="150"/>
      <c r="DF103" s="150"/>
      <c r="DG103" s="151"/>
      <c r="DH103" s="150"/>
      <c r="DI103" s="150"/>
      <c r="DJ103" s="150"/>
      <c r="DK103" s="303"/>
      <c r="DL103" s="303"/>
      <c r="DM103" s="150"/>
      <c r="DN103" s="150"/>
      <c r="DO103" s="150"/>
      <c r="DP103" s="150"/>
      <c r="DQ103" s="150"/>
      <c r="DR103" s="150"/>
      <c r="DS103" s="150"/>
      <c r="DT103" s="150"/>
      <c r="DU103" s="303"/>
      <c r="DV103" s="303"/>
      <c r="DW103" s="279"/>
      <c r="DX103" s="150"/>
      <c r="DY103" s="150"/>
      <c r="DZ103" s="150"/>
      <c r="EA103" s="150"/>
      <c r="EB103" s="150"/>
      <c r="EC103" s="150"/>
      <c r="ED103" s="150"/>
      <c r="EE103" s="150"/>
      <c r="EF103" s="303"/>
      <c r="EG103" s="303"/>
      <c r="EH103" s="150"/>
      <c r="EI103" s="150"/>
      <c r="EJ103" s="150"/>
      <c r="EK103" s="150"/>
    </row>
    <row r="104" spans="1:141" s="119" customFormat="1">
      <c r="A104" s="118" t="s">
        <v>968</v>
      </c>
      <c r="B104" s="381">
        <v>47</v>
      </c>
      <c r="C104" s="139" t="s">
        <v>2119</v>
      </c>
      <c r="D104" s="140" t="s">
        <v>2379</v>
      </c>
      <c r="E104" s="141">
        <v>2006</v>
      </c>
      <c r="F104" s="118">
        <v>17031709</v>
      </c>
      <c r="G104" s="118">
        <v>1</v>
      </c>
      <c r="H104" s="118">
        <v>1</v>
      </c>
      <c r="I104" s="118"/>
      <c r="J104" s="118">
        <v>1</v>
      </c>
      <c r="K104" s="118"/>
      <c r="L104" s="158">
        <v>1</v>
      </c>
      <c r="M104" s="142">
        <v>2</v>
      </c>
      <c r="N104" s="118" t="s">
        <v>1227</v>
      </c>
      <c r="O104" s="118" t="s">
        <v>1216</v>
      </c>
      <c r="P104" s="118" t="s">
        <v>1127</v>
      </c>
      <c r="Q104" s="118"/>
      <c r="R104" s="118" t="s">
        <v>1487</v>
      </c>
      <c r="S104" s="118" t="s">
        <v>803</v>
      </c>
      <c r="T104" s="118"/>
      <c r="U104" s="118" t="s">
        <v>1501</v>
      </c>
      <c r="V104" s="118"/>
      <c r="W104" s="118" t="s">
        <v>1132</v>
      </c>
      <c r="X104" s="118"/>
      <c r="Y104" s="118" t="s">
        <v>1590</v>
      </c>
      <c r="Z104" s="118"/>
      <c r="AA104" s="159">
        <v>1</v>
      </c>
      <c r="AB104" s="160"/>
      <c r="AC104" s="122">
        <v>4</v>
      </c>
      <c r="AD104" s="202" t="s">
        <v>3602</v>
      </c>
      <c r="AE104" s="192">
        <v>2</v>
      </c>
      <c r="AF104" s="205">
        <v>1</v>
      </c>
      <c r="AG104" s="122">
        <f>Table664[[#This Row],[Subjects_n_ptsd]]+Table664[[#This Row],[Subjects_n_control]]</f>
        <v>18</v>
      </c>
      <c r="AH104" s="122">
        <v>9</v>
      </c>
      <c r="AI104" s="122">
        <v>9</v>
      </c>
      <c r="AJ104" s="122" t="s">
        <v>803</v>
      </c>
      <c r="AK104" s="122" t="s">
        <v>803</v>
      </c>
      <c r="AL104" s="122" t="s">
        <v>3595</v>
      </c>
      <c r="AM104" s="122" t="s">
        <v>24</v>
      </c>
      <c r="AN104" s="122" t="s">
        <v>3595</v>
      </c>
      <c r="AO104" s="122" t="s">
        <v>24</v>
      </c>
      <c r="AP104" s="122" t="s">
        <v>3596</v>
      </c>
      <c r="AQ104" s="122">
        <v>1</v>
      </c>
      <c r="AR104" s="122">
        <v>1</v>
      </c>
      <c r="AS104" s="122" t="s">
        <v>3597</v>
      </c>
      <c r="AT104" s="122" t="s">
        <v>1130</v>
      </c>
      <c r="AU104" s="122" t="s">
        <v>2798</v>
      </c>
      <c r="AV104" s="161">
        <v>1</v>
      </c>
      <c r="AW104" s="161"/>
      <c r="AX104" s="161"/>
      <c r="AY104" s="161"/>
      <c r="AZ104" s="161"/>
      <c r="BA104" s="161"/>
      <c r="BB104" s="161"/>
      <c r="BC104" s="161"/>
      <c r="BD104" s="157" t="s">
        <v>3610</v>
      </c>
      <c r="BE104" s="150" t="s">
        <v>1876</v>
      </c>
      <c r="BF104" s="150">
        <v>2</v>
      </c>
      <c r="BG104" s="150" t="s">
        <v>3606</v>
      </c>
      <c r="BH104" s="150" t="s">
        <v>3514</v>
      </c>
      <c r="BI104" s="150" t="s">
        <v>3237</v>
      </c>
      <c r="BJ104" s="259" t="s">
        <v>3607</v>
      </c>
      <c r="BK104" s="151" t="s">
        <v>3608</v>
      </c>
      <c r="BL104" s="150">
        <v>68.599999999999994</v>
      </c>
      <c r="BM104" s="150" t="s">
        <v>24</v>
      </c>
      <c r="BN104" s="150">
        <v>21.2</v>
      </c>
      <c r="BO104" s="386" t="s">
        <v>3609</v>
      </c>
      <c r="BP104" s="150">
        <v>77.5</v>
      </c>
      <c r="BQ104" s="150" t="s">
        <v>24</v>
      </c>
      <c r="BR104" s="150">
        <v>23.3</v>
      </c>
      <c r="BS104" s="288" t="s">
        <v>3390</v>
      </c>
      <c r="BT104" s="289" t="s">
        <v>2480</v>
      </c>
      <c r="BU104" s="151"/>
      <c r="BV104" s="150"/>
      <c r="BW104" s="150"/>
      <c r="BX104" s="150"/>
      <c r="BY104" s="151"/>
      <c r="BZ104" s="150"/>
      <c r="CA104" s="150"/>
      <c r="CB104" s="150"/>
      <c r="CC104" s="290"/>
      <c r="CD104" s="291"/>
      <c r="CE104" s="278"/>
      <c r="CF104" s="285"/>
      <c r="CG104" s="151"/>
      <c r="CH104" s="150"/>
      <c r="CI104" s="150"/>
      <c r="CJ104" s="150"/>
      <c r="CK104" s="150"/>
      <c r="CL104" s="150"/>
      <c r="CM104" s="150"/>
      <c r="CN104" s="150"/>
      <c r="CO104" s="302"/>
      <c r="CP104" s="303"/>
      <c r="CQ104" s="150"/>
      <c r="CR104" s="150"/>
      <c r="CS104" s="150"/>
      <c r="CT104" s="150"/>
      <c r="CU104" s="150"/>
      <c r="CV104" s="150"/>
      <c r="CW104" s="150"/>
      <c r="CX104" s="150"/>
      <c r="CY104" s="302"/>
      <c r="CZ104" s="303"/>
      <c r="DA104" s="278"/>
      <c r="DB104" s="279"/>
      <c r="DC104" s="150"/>
      <c r="DD104" s="150"/>
      <c r="DE104" s="150"/>
      <c r="DF104" s="150"/>
      <c r="DG104" s="151"/>
      <c r="DH104" s="150"/>
      <c r="DI104" s="150"/>
      <c r="DJ104" s="150"/>
      <c r="DK104" s="303"/>
      <c r="DL104" s="303"/>
      <c r="DM104" s="150"/>
      <c r="DN104" s="150"/>
      <c r="DO104" s="150"/>
      <c r="DP104" s="150"/>
      <c r="DQ104" s="150"/>
      <c r="DR104" s="150"/>
      <c r="DS104" s="150"/>
      <c r="DT104" s="150"/>
      <c r="DU104" s="303"/>
      <c r="DV104" s="303"/>
      <c r="DW104" s="279"/>
      <c r="DX104" s="150"/>
      <c r="DY104" s="150"/>
      <c r="DZ104" s="150"/>
      <c r="EA104" s="150"/>
      <c r="EB104" s="150"/>
      <c r="EC104" s="150"/>
      <c r="ED104" s="150"/>
      <c r="EE104" s="150"/>
      <c r="EF104" s="303"/>
      <c r="EG104" s="303"/>
      <c r="EH104" s="150"/>
      <c r="EI104" s="150"/>
      <c r="EJ104" s="150"/>
      <c r="EK104" s="150"/>
    </row>
    <row r="105" spans="1:141">
      <c r="A105" s="79" t="s">
        <v>963</v>
      </c>
      <c r="B105" s="117">
        <v>48</v>
      </c>
      <c r="C105" s="123" t="s">
        <v>2122</v>
      </c>
      <c r="D105" s="124" t="s">
        <v>2383</v>
      </c>
      <c r="E105" s="125">
        <v>2012</v>
      </c>
      <c r="F105" s="79">
        <v>22516520</v>
      </c>
      <c r="G105" s="79">
        <v>1</v>
      </c>
      <c r="H105" s="126" t="s">
        <v>1788</v>
      </c>
      <c r="I105" s="127" t="s">
        <v>23</v>
      </c>
      <c r="J105" s="79">
        <v>1</v>
      </c>
      <c r="K105" s="79"/>
      <c r="L105" s="79">
        <v>1</v>
      </c>
      <c r="M105" s="128">
        <v>2</v>
      </c>
      <c r="N105" s="79" t="s">
        <v>1220</v>
      </c>
      <c r="O105" s="79" t="s">
        <v>1162</v>
      </c>
      <c r="P105" s="79" t="s">
        <v>1229</v>
      </c>
      <c r="Q105" s="79"/>
      <c r="R105" s="79" t="s">
        <v>1488</v>
      </c>
      <c r="S105" s="79" t="s">
        <v>803</v>
      </c>
      <c r="T105" s="79"/>
      <c r="U105" s="79" t="s">
        <v>1501</v>
      </c>
      <c r="V105" s="79" t="s">
        <v>1602</v>
      </c>
      <c r="W105" s="79" t="s">
        <v>1132</v>
      </c>
      <c r="X105" s="79"/>
      <c r="Y105" s="79"/>
      <c r="Z105" s="79"/>
      <c r="AA105" s="233" t="s">
        <v>3003</v>
      </c>
      <c r="AB105" s="234" t="s">
        <v>3631</v>
      </c>
      <c r="AC105" s="121">
        <v>4</v>
      </c>
      <c r="AD105" s="202" t="s">
        <v>3622</v>
      </c>
      <c r="AE105" s="192">
        <v>2</v>
      </c>
      <c r="AF105" s="203">
        <v>0</v>
      </c>
      <c r="AG105" s="121" t="s">
        <v>3630</v>
      </c>
      <c r="AH105" s="121">
        <v>9</v>
      </c>
      <c r="AI105" s="121">
        <v>9</v>
      </c>
      <c r="AJ105" s="121" t="s">
        <v>803</v>
      </c>
      <c r="AK105" s="121" t="s">
        <v>803</v>
      </c>
      <c r="AL105" s="121" t="s">
        <v>24</v>
      </c>
      <c r="AM105" s="121" t="s">
        <v>24</v>
      </c>
      <c r="AN105" s="121" t="s">
        <v>24</v>
      </c>
      <c r="AO105" s="121" t="s">
        <v>24</v>
      </c>
      <c r="AP105" s="121" t="s">
        <v>3623</v>
      </c>
      <c r="AQ105" s="121">
        <v>1</v>
      </c>
      <c r="AR105" s="121" t="s">
        <v>3629</v>
      </c>
      <c r="AS105" s="121" t="s">
        <v>3515</v>
      </c>
      <c r="AT105" s="121" t="s">
        <v>2912</v>
      </c>
      <c r="AU105" s="121" t="s">
        <v>3279</v>
      </c>
      <c r="AV105" s="156">
        <v>1</v>
      </c>
      <c r="AW105" s="156"/>
      <c r="AX105" s="156"/>
      <c r="AY105" s="156"/>
      <c r="AZ105" s="156"/>
      <c r="BA105" s="156"/>
      <c r="BB105" s="156"/>
      <c r="BC105" s="156"/>
      <c r="BD105" s="157" t="s">
        <v>2879</v>
      </c>
      <c r="BE105" s="134" t="s">
        <v>1876</v>
      </c>
      <c r="BF105" s="134">
        <v>2</v>
      </c>
      <c r="BG105" s="134" t="s">
        <v>3625</v>
      </c>
      <c r="BH105" s="134" t="s">
        <v>3613</v>
      </c>
      <c r="BI105" s="134" t="s">
        <v>3224</v>
      </c>
      <c r="BJ105" s="259" t="s">
        <v>3627</v>
      </c>
      <c r="BK105" s="138" t="s">
        <v>3614</v>
      </c>
      <c r="BL105" s="134">
        <v>73.751800000000003</v>
      </c>
      <c r="BM105" s="134"/>
      <c r="BN105" s="134">
        <f>78.6429-Table664[[#This Row],[Outcome1_M]]</f>
        <v>4.8910999999999945</v>
      </c>
      <c r="BO105" s="138" t="s">
        <v>3617</v>
      </c>
      <c r="BP105" s="134">
        <v>2.91533</v>
      </c>
      <c r="BQ105" s="134" t="s">
        <v>24</v>
      </c>
      <c r="BR105" s="134">
        <f>5.08914-Table664[[#This Row],[Outcome2_M]]</f>
        <v>2.1738100000000005</v>
      </c>
      <c r="BS105" s="288" t="s">
        <v>3618</v>
      </c>
      <c r="BT105" s="289" t="s">
        <v>3621</v>
      </c>
      <c r="BU105" s="138"/>
      <c r="BV105" s="134"/>
      <c r="BW105" s="134"/>
      <c r="BX105" s="134"/>
      <c r="BY105" s="138"/>
      <c r="BZ105" s="134"/>
      <c r="CA105" s="134"/>
      <c r="CB105" s="134"/>
      <c r="CC105" s="288"/>
      <c r="CD105" s="289"/>
      <c r="CE105" s="276"/>
      <c r="CF105" s="308"/>
      <c r="CG105" s="138"/>
      <c r="CH105" s="134"/>
      <c r="CI105" s="134"/>
      <c r="CJ105" s="134"/>
      <c r="CK105" s="134"/>
      <c r="CL105" s="134"/>
      <c r="CM105" s="134"/>
      <c r="CN105" s="134"/>
      <c r="CO105" s="300"/>
      <c r="CP105" s="301"/>
      <c r="CQ105" s="134"/>
      <c r="CR105" s="134"/>
      <c r="CS105" s="134"/>
      <c r="CT105" s="134"/>
      <c r="CU105" s="134"/>
      <c r="CV105" s="134"/>
      <c r="CW105" s="134"/>
      <c r="CX105" s="134"/>
      <c r="CY105" s="300"/>
      <c r="CZ105" s="301"/>
      <c r="DA105" s="276"/>
      <c r="DB105" s="277"/>
      <c r="DC105" s="134"/>
      <c r="DD105" s="134"/>
      <c r="DE105" s="134"/>
      <c r="DF105" s="134"/>
      <c r="DG105" s="138"/>
      <c r="DH105" s="134"/>
      <c r="DI105" s="134"/>
      <c r="DJ105" s="134"/>
      <c r="DK105" s="301"/>
      <c r="DL105" s="301"/>
      <c r="DM105" s="134"/>
      <c r="DN105" s="134"/>
      <c r="DO105" s="134"/>
      <c r="DP105" s="134"/>
      <c r="DQ105" s="134"/>
      <c r="DR105" s="134"/>
      <c r="DS105" s="134"/>
      <c r="DT105" s="134"/>
      <c r="DU105" s="301"/>
      <c r="DV105" s="301"/>
      <c r="DW105" s="277"/>
      <c r="DX105" s="134"/>
      <c r="DY105" s="134"/>
      <c r="DZ105" s="134"/>
      <c r="EA105" s="134"/>
      <c r="EB105" s="134"/>
      <c r="EC105" s="134"/>
      <c r="ED105" s="134"/>
      <c r="EE105" s="134"/>
      <c r="EF105" s="301"/>
      <c r="EG105" s="301"/>
      <c r="EH105" s="134"/>
      <c r="EI105" s="134"/>
      <c r="EJ105" s="134"/>
      <c r="EK105" s="134"/>
    </row>
    <row r="106" spans="1:141" s="119" customFormat="1">
      <c r="A106" s="118" t="s">
        <v>963</v>
      </c>
      <c r="B106" s="381">
        <v>48</v>
      </c>
      <c r="C106" s="139" t="s">
        <v>2122</v>
      </c>
      <c r="D106" s="140" t="s">
        <v>2383</v>
      </c>
      <c r="E106" s="141">
        <v>2012</v>
      </c>
      <c r="F106" s="118">
        <v>22516520</v>
      </c>
      <c r="G106" s="118">
        <v>1</v>
      </c>
      <c r="H106" s="118" t="s">
        <v>1788</v>
      </c>
      <c r="I106" s="118" t="s">
        <v>23</v>
      </c>
      <c r="J106" s="118">
        <v>1</v>
      </c>
      <c r="K106" s="118"/>
      <c r="L106" s="118">
        <v>1</v>
      </c>
      <c r="M106" s="142">
        <v>2</v>
      </c>
      <c r="N106" s="118" t="s">
        <v>1220</v>
      </c>
      <c r="O106" s="118" t="s">
        <v>1162</v>
      </c>
      <c r="P106" s="118" t="s">
        <v>1229</v>
      </c>
      <c r="Q106" s="118"/>
      <c r="R106" s="118" t="s">
        <v>1488</v>
      </c>
      <c r="S106" s="118" t="s">
        <v>803</v>
      </c>
      <c r="T106" s="118"/>
      <c r="U106" s="118" t="s">
        <v>1501</v>
      </c>
      <c r="V106" s="118" t="s">
        <v>1602</v>
      </c>
      <c r="W106" s="118" t="s">
        <v>1132</v>
      </c>
      <c r="X106" s="118"/>
      <c r="Y106" s="118"/>
      <c r="Z106" s="118"/>
      <c r="AA106" s="159">
        <v>1</v>
      </c>
      <c r="AB106" s="160" t="s">
        <v>3365</v>
      </c>
      <c r="AC106" s="122">
        <v>4</v>
      </c>
      <c r="AD106" s="204" t="s">
        <v>3622</v>
      </c>
      <c r="AE106" s="192">
        <v>2</v>
      </c>
      <c r="AF106" s="205">
        <v>0</v>
      </c>
      <c r="AG106" s="122">
        <f>Table664[[#This Row],[Subjects_n_ptsd]]+Table664[[#This Row],[Subjects_n_control]]</f>
        <v>18</v>
      </c>
      <c r="AH106" s="122">
        <v>9</v>
      </c>
      <c r="AI106" s="122">
        <v>9</v>
      </c>
      <c r="AJ106" s="122" t="s">
        <v>803</v>
      </c>
      <c r="AK106" s="122" t="s">
        <v>803</v>
      </c>
      <c r="AL106" s="122" t="s">
        <v>24</v>
      </c>
      <c r="AM106" s="122" t="s">
        <v>24</v>
      </c>
      <c r="AN106" s="122" t="s">
        <v>24</v>
      </c>
      <c r="AO106" s="122" t="s">
        <v>24</v>
      </c>
      <c r="AP106" s="122" t="s">
        <v>3624</v>
      </c>
      <c r="AQ106" s="122">
        <v>1</v>
      </c>
      <c r="AR106" s="122" t="s">
        <v>3612</v>
      </c>
      <c r="AS106" s="122" t="s">
        <v>3515</v>
      </c>
      <c r="AT106" s="122" t="s">
        <v>2912</v>
      </c>
      <c r="AU106" s="122" t="s">
        <v>3279</v>
      </c>
      <c r="AV106" s="161">
        <v>1</v>
      </c>
      <c r="AW106" s="161"/>
      <c r="AX106" s="161"/>
      <c r="AY106" s="161"/>
      <c r="AZ106" s="161"/>
      <c r="BA106" s="161"/>
      <c r="BB106" s="161"/>
      <c r="BC106" s="161"/>
      <c r="BD106" s="162" t="s">
        <v>2879</v>
      </c>
      <c r="BE106" s="150" t="s">
        <v>1876</v>
      </c>
      <c r="BF106" s="150">
        <v>2</v>
      </c>
      <c r="BG106" s="150" t="s">
        <v>3626</v>
      </c>
      <c r="BH106" s="150" t="s">
        <v>3613</v>
      </c>
      <c r="BI106" s="150" t="s">
        <v>3224</v>
      </c>
      <c r="BJ106" s="258" t="s">
        <v>3628</v>
      </c>
      <c r="BK106" s="151" t="s">
        <v>3615</v>
      </c>
      <c r="BL106" s="150">
        <v>84.1815</v>
      </c>
      <c r="BM106" s="150" t="s">
        <v>24</v>
      </c>
      <c r="BN106" s="150">
        <f>88.2574-Table664[[#This Row],[Outcome1_M]]</f>
        <v>4.0759000000000043</v>
      </c>
      <c r="BO106" s="151" t="s">
        <v>3616</v>
      </c>
      <c r="BP106" s="150">
        <v>13.0784</v>
      </c>
      <c r="BQ106" s="150" t="s">
        <v>24</v>
      </c>
      <c r="BR106" s="150">
        <f>15.2522-Table664[[#This Row],[Outcome2_M]]</f>
        <v>2.1738</v>
      </c>
      <c r="BS106" s="290" t="s">
        <v>3620</v>
      </c>
      <c r="BT106" s="291" t="s">
        <v>3619</v>
      </c>
      <c r="BU106" s="360"/>
      <c r="BV106" s="266"/>
      <c r="BW106" s="228"/>
      <c r="BX106" s="266"/>
      <c r="BY106" s="228"/>
      <c r="BZ106" s="266"/>
      <c r="CA106" s="228"/>
      <c r="CB106" s="351"/>
      <c r="CC106" s="290"/>
      <c r="CD106" s="388"/>
      <c r="CE106" s="278"/>
      <c r="CF106" s="285"/>
      <c r="CG106" s="151"/>
      <c r="CH106" s="150"/>
      <c r="CI106" s="150"/>
      <c r="CJ106" s="150"/>
      <c r="CK106" s="150"/>
      <c r="CL106" s="150"/>
      <c r="CM106" s="150"/>
      <c r="CN106" s="150"/>
      <c r="CO106" s="302"/>
      <c r="CP106" s="303"/>
      <c r="CQ106" s="150"/>
      <c r="CR106" s="150"/>
      <c r="CS106" s="150"/>
      <c r="CT106" s="150"/>
      <c r="CU106" s="150"/>
      <c r="CV106" s="150"/>
      <c r="CW106" s="150"/>
      <c r="CX106" s="150"/>
      <c r="CY106" s="302"/>
      <c r="CZ106" s="303"/>
      <c r="DA106" s="278"/>
      <c r="DB106" s="279"/>
      <c r="DC106" s="150"/>
      <c r="DD106" s="150"/>
      <c r="DE106" s="150"/>
      <c r="DF106" s="150"/>
      <c r="DG106" s="151"/>
      <c r="DH106" s="150"/>
      <c r="DI106" s="150"/>
      <c r="DJ106" s="150"/>
      <c r="DK106" s="303"/>
      <c r="DL106" s="303"/>
      <c r="DM106" s="150"/>
      <c r="DN106" s="150"/>
      <c r="DO106" s="150"/>
      <c r="DP106" s="150"/>
      <c r="DQ106" s="150"/>
      <c r="DR106" s="150"/>
      <c r="DS106" s="150"/>
      <c r="DT106" s="150"/>
      <c r="DU106" s="303"/>
      <c r="DV106" s="303"/>
      <c r="DW106" s="279"/>
      <c r="DX106" s="150"/>
      <c r="DY106" s="150"/>
      <c r="DZ106" s="150"/>
      <c r="EA106" s="150"/>
      <c r="EB106" s="150"/>
      <c r="EC106" s="150"/>
      <c r="ED106" s="150"/>
      <c r="EE106" s="150"/>
      <c r="EF106" s="303"/>
      <c r="EG106" s="303"/>
      <c r="EH106" s="150"/>
      <c r="EI106" s="150"/>
      <c r="EJ106" s="150"/>
      <c r="EK106" s="150"/>
    </row>
    <row r="107" spans="1:141">
      <c r="A107" s="79" t="s">
        <v>962</v>
      </c>
      <c r="B107" s="117">
        <v>49</v>
      </c>
      <c r="C107" s="123" t="s">
        <v>2123</v>
      </c>
      <c r="D107" s="124" t="s">
        <v>2384</v>
      </c>
      <c r="E107" s="125">
        <v>2015</v>
      </c>
      <c r="F107" s="79">
        <v>26019008</v>
      </c>
      <c r="G107" s="79">
        <v>1</v>
      </c>
      <c r="H107" s="126"/>
      <c r="I107" s="127"/>
      <c r="J107" s="79">
        <v>1</v>
      </c>
      <c r="K107" s="79"/>
      <c r="L107" s="164">
        <v>1</v>
      </c>
      <c r="M107" s="128">
        <v>2</v>
      </c>
      <c r="N107" s="79" t="s">
        <v>1604</v>
      </c>
      <c r="O107" s="79" t="s">
        <v>1216</v>
      </c>
      <c r="P107" s="79" t="s">
        <v>1603</v>
      </c>
      <c r="Q107" s="79"/>
      <c r="R107" s="79" t="s">
        <v>1487</v>
      </c>
      <c r="S107" s="79" t="s">
        <v>803</v>
      </c>
      <c r="T107" s="79"/>
      <c r="U107" s="79" t="s">
        <v>1605</v>
      </c>
      <c r="V107" s="79"/>
      <c r="W107" s="79"/>
      <c r="X107" s="79"/>
      <c r="Y107" s="79"/>
      <c r="Z107" s="79"/>
      <c r="AA107" s="154">
        <v>1</v>
      </c>
      <c r="AB107" s="155" t="s">
        <v>3657</v>
      </c>
      <c r="AC107" s="121">
        <v>4</v>
      </c>
      <c r="AD107" s="202" t="s">
        <v>3635</v>
      </c>
      <c r="AE107" s="192">
        <v>1</v>
      </c>
      <c r="AF107" s="203" t="s">
        <v>3632</v>
      </c>
      <c r="AG107" s="121">
        <v>28</v>
      </c>
      <c r="AH107" s="121" t="s">
        <v>3634</v>
      </c>
      <c r="AI107" s="121">
        <v>11</v>
      </c>
      <c r="AJ107" s="121" t="s">
        <v>803</v>
      </c>
      <c r="AK107" s="121" t="s">
        <v>803</v>
      </c>
      <c r="AL107" s="121" t="s">
        <v>3633</v>
      </c>
      <c r="AM107" s="121" t="s">
        <v>24</v>
      </c>
      <c r="AN107" s="121" t="s">
        <v>3633</v>
      </c>
      <c r="AO107" s="121" t="s">
        <v>24</v>
      </c>
      <c r="AP107" s="121" t="s">
        <v>2963</v>
      </c>
      <c r="AQ107" s="121">
        <v>1</v>
      </c>
      <c r="AR107" s="121">
        <v>1</v>
      </c>
      <c r="AS107" s="121" t="s">
        <v>3004</v>
      </c>
      <c r="AT107" s="121" t="s">
        <v>2730</v>
      </c>
      <c r="AU107" s="121" t="s">
        <v>2798</v>
      </c>
      <c r="AV107" s="156">
        <v>1</v>
      </c>
      <c r="AW107" s="156"/>
      <c r="AX107" s="156"/>
      <c r="AY107" s="156"/>
      <c r="AZ107" s="156"/>
      <c r="BA107" s="156"/>
      <c r="BB107" s="156"/>
      <c r="BC107" s="156"/>
      <c r="BD107" s="157" t="s">
        <v>2528</v>
      </c>
      <c r="BE107" s="134" t="s">
        <v>1876</v>
      </c>
      <c r="BF107" s="134">
        <v>2</v>
      </c>
      <c r="BG107" s="134" t="s">
        <v>3638</v>
      </c>
      <c r="BH107" s="134" t="s">
        <v>3656</v>
      </c>
      <c r="BI107" s="134" t="s">
        <v>3640</v>
      </c>
      <c r="BJ107" s="259" t="s">
        <v>3654</v>
      </c>
      <c r="BK107" s="138" t="s">
        <v>3641</v>
      </c>
      <c r="BL107" s="134">
        <v>41.8</v>
      </c>
      <c r="BM107" s="134">
        <v>3.98</v>
      </c>
      <c r="BN107" s="134" t="s">
        <v>24</v>
      </c>
      <c r="BO107" s="138" t="s">
        <v>3644</v>
      </c>
      <c r="BP107" s="134">
        <v>43.7</v>
      </c>
      <c r="BQ107" s="134">
        <v>5.08</v>
      </c>
      <c r="BR107" s="134" t="s">
        <v>24</v>
      </c>
      <c r="BS107" s="288" t="s">
        <v>3647</v>
      </c>
      <c r="BT107" s="289" t="s">
        <v>3648</v>
      </c>
      <c r="BU107" s="138"/>
      <c r="BV107" s="134"/>
      <c r="BW107" s="134"/>
      <c r="BX107" s="134"/>
      <c r="BY107" s="138"/>
      <c r="BZ107" s="134"/>
      <c r="CA107" s="134"/>
      <c r="CB107" s="134"/>
      <c r="CC107" s="288"/>
      <c r="CD107" s="289"/>
      <c r="CE107" s="276"/>
      <c r="CF107" s="308"/>
      <c r="CG107" s="138"/>
      <c r="CH107" s="134"/>
      <c r="CI107" s="134"/>
      <c r="CJ107" s="134"/>
      <c r="CK107" s="134"/>
      <c r="CL107" s="134"/>
      <c r="CM107" s="134"/>
      <c r="CN107" s="134"/>
      <c r="CO107" s="300"/>
      <c r="CP107" s="301"/>
      <c r="CQ107" s="134"/>
      <c r="CR107" s="134"/>
      <c r="CS107" s="134"/>
      <c r="CT107" s="134"/>
      <c r="CU107" s="134"/>
      <c r="CV107" s="134"/>
      <c r="CW107" s="134"/>
      <c r="CX107" s="134"/>
      <c r="CY107" s="300"/>
      <c r="CZ107" s="301"/>
      <c r="DA107" s="276"/>
      <c r="DB107" s="277"/>
      <c r="DC107" s="134"/>
      <c r="DD107" s="134"/>
      <c r="DE107" s="134"/>
      <c r="DF107" s="134"/>
      <c r="DG107" s="138"/>
      <c r="DH107" s="134"/>
      <c r="DI107" s="134"/>
      <c r="DJ107" s="134"/>
      <c r="DK107" s="301"/>
      <c r="DL107" s="301"/>
      <c r="DM107" s="134"/>
      <c r="DN107" s="134"/>
      <c r="DO107" s="134"/>
      <c r="DP107" s="134"/>
      <c r="DQ107" s="134"/>
      <c r="DR107" s="134"/>
      <c r="DS107" s="134"/>
      <c r="DT107" s="134"/>
      <c r="DU107" s="301"/>
      <c r="DV107" s="301"/>
      <c r="DW107" s="277"/>
      <c r="DX107" s="134"/>
      <c r="DY107" s="134"/>
      <c r="DZ107" s="134"/>
      <c r="EA107" s="134"/>
      <c r="EB107" s="134"/>
      <c r="EC107" s="134"/>
      <c r="ED107" s="134"/>
      <c r="EE107" s="134"/>
      <c r="EF107" s="301"/>
      <c r="EG107" s="301"/>
      <c r="EH107" s="134"/>
      <c r="EI107" s="134"/>
      <c r="EJ107" s="134"/>
      <c r="EK107" s="134"/>
    </row>
    <row r="108" spans="1:141" s="119" customFormat="1">
      <c r="A108" s="118" t="s">
        <v>962</v>
      </c>
      <c r="B108" s="381">
        <v>49</v>
      </c>
      <c r="C108" s="139" t="s">
        <v>2123</v>
      </c>
      <c r="D108" s="140" t="s">
        <v>2384</v>
      </c>
      <c r="E108" s="141">
        <v>2015</v>
      </c>
      <c r="F108" s="118">
        <v>26019008</v>
      </c>
      <c r="G108" s="118">
        <v>1</v>
      </c>
      <c r="H108" s="118"/>
      <c r="I108" s="118"/>
      <c r="J108" s="118">
        <v>1</v>
      </c>
      <c r="K108" s="118"/>
      <c r="L108" s="387">
        <v>1</v>
      </c>
      <c r="M108" s="142">
        <v>2</v>
      </c>
      <c r="N108" s="118" t="s">
        <v>1604</v>
      </c>
      <c r="O108" s="118" t="s">
        <v>1216</v>
      </c>
      <c r="P108" s="118" t="s">
        <v>1603</v>
      </c>
      <c r="Q108" s="118"/>
      <c r="R108" s="118" t="s">
        <v>1487</v>
      </c>
      <c r="S108" s="118" t="s">
        <v>803</v>
      </c>
      <c r="T108" s="118"/>
      <c r="U108" s="118" t="s">
        <v>1605</v>
      </c>
      <c r="V108" s="118"/>
      <c r="W108" s="118"/>
      <c r="X108" s="118"/>
      <c r="Y108" s="118"/>
      <c r="Z108" s="118"/>
      <c r="AA108" s="159">
        <v>1</v>
      </c>
      <c r="AB108" s="155" t="s">
        <v>3657</v>
      </c>
      <c r="AC108" s="122">
        <v>4</v>
      </c>
      <c r="AD108" s="204" t="s">
        <v>3635</v>
      </c>
      <c r="AE108" s="192">
        <v>1</v>
      </c>
      <c r="AF108" s="205" t="s">
        <v>3632</v>
      </c>
      <c r="AG108" s="122">
        <v>28</v>
      </c>
      <c r="AH108" s="122" t="s">
        <v>3634</v>
      </c>
      <c r="AI108" s="122">
        <v>11</v>
      </c>
      <c r="AJ108" s="122" t="s">
        <v>803</v>
      </c>
      <c r="AK108" s="122" t="s">
        <v>803</v>
      </c>
      <c r="AL108" s="122" t="s">
        <v>3633</v>
      </c>
      <c r="AM108" s="122" t="s">
        <v>24</v>
      </c>
      <c r="AN108" s="122" t="s">
        <v>3633</v>
      </c>
      <c r="AO108" s="122" t="s">
        <v>24</v>
      </c>
      <c r="AP108" s="122" t="s">
        <v>2963</v>
      </c>
      <c r="AQ108" s="122">
        <v>1</v>
      </c>
      <c r="AR108" s="122">
        <v>1</v>
      </c>
      <c r="AS108" s="122" t="s">
        <v>3004</v>
      </c>
      <c r="AT108" s="122" t="s">
        <v>2730</v>
      </c>
      <c r="AU108" s="122" t="s">
        <v>2798</v>
      </c>
      <c r="AV108" s="161">
        <v>1</v>
      </c>
      <c r="AW108" s="161"/>
      <c r="AX108" s="161"/>
      <c r="AY108" s="161"/>
      <c r="AZ108" s="161"/>
      <c r="BA108" s="161"/>
      <c r="BB108" s="161"/>
      <c r="BC108" s="161"/>
      <c r="BD108" s="162" t="s">
        <v>2529</v>
      </c>
      <c r="BE108" s="150" t="s">
        <v>1876</v>
      </c>
      <c r="BF108" s="150">
        <v>2</v>
      </c>
      <c r="BG108" s="150" t="s">
        <v>3637</v>
      </c>
      <c r="BH108" s="150" t="s">
        <v>3656</v>
      </c>
      <c r="BI108" s="345" t="s">
        <v>3640</v>
      </c>
      <c r="BJ108" s="258" t="s">
        <v>3655</v>
      </c>
      <c r="BK108" s="151" t="s">
        <v>3642</v>
      </c>
      <c r="BL108" s="150">
        <v>37.700000000000003</v>
      </c>
      <c r="BM108" s="150">
        <v>4.03</v>
      </c>
      <c r="BN108" s="150" t="s">
        <v>24</v>
      </c>
      <c r="BO108" s="151" t="s">
        <v>3645</v>
      </c>
      <c r="BP108" s="150">
        <v>25.4</v>
      </c>
      <c r="BQ108" s="150">
        <v>4.9800000000000004</v>
      </c>
      <c r="BR108" s="150" t="s">
        <v>24</v>
      </c>
      <c r="BS108" s="290" t="s">
        <v>3649</v>
      </c>
      <c r="BT108" s="291" t="s">
        <v>3650</v>
      </c>
      <c r="BU108" s="151"/>
      <c r="BV108" s="150"/>
      <c r="BW108" s="150"/>
      <c r="BX108" s="150"/>
      <c r="BY108" s="151"/>
      <c r="BZ108" s="150"/>
      <c r="CA108" s="150"/>
      <c r="CB108" s="150"/>
      <c r="CC108" s="290"/>
      <c r="CD108" s="291"/>
      <c r="CE108" s="278"/>
      <c r="CF108" s="285"/>
      <c r="CG108" s="151"/>
      <c r="CH108" s="150"/>
      <c r="CI108" s="150"/>
      <c r="CJ108" s="150"/>
      <c r="CK108" s="150"/>
      <c r="CL108" s="150"/>
      <c r="CM108" s="150"/>
      <c r="CN108" s="150"/>
      <c r="CO108" s="302"/>
      <c r="CP108" s="303"/>
      <c r="CQ108" s="150"/>
      <c r="CR108" s="150"/>
      <c r="CS108" s="150"/>
      <c r="CT108" s="150"/>
      <c r="CU108" s="150"/>
      <c r="CV108" s="150"/>
      <c r="CW108" s="150"/>
      <c r="CX108" s="150"/>
      <c r="CY108" s="302"/>
      <c r="CZ108" s="303"/>
      <c r="DA108" s="278"/>
      <c r="DB108" s="279"/>
      <c r="DC108" s="150"/>
      <c r="DD108" s="150"/>
      <c r="DE108" s="150"/>
      <c r="DF108" s="150"/>
      <c r="DG108" s="151"/>
      <c r="DH108" s="150"/>
      <c r="DI108" s="150"/>
      <c r="DJ108" s="150"/>
      <c r="DK108" s="303"/>
      <c r="DL108" s="303"/>
      <c r="DM108" s="150"/>
      <c r="DN108" s="150"/>
      <c r="DO108" s="150"/>
      <c r="DP108" s="150"/>
      <c r="DQ108" s="150"/>
      <c r="DR108" s="150"/>
      <c r="DS108" s="150"/>
      <c r="DT108" s="150"/>
      <c r="DU108" s="303"/>
      <c r="DV108" s="303"/>
      <c r="DW108" s="279"/>
      <c r="DX108" s="150"/>
      <c r="DY108" s="150"/>
      <c r="DZ108" s="150"/>
      <c r="EA108" s="150"/>
      <c r="EB108" s="150"/>
      <c r="EC108" s="150"/>
      <c r="ED108" s="150"/>
      <c r="EE108" s="150"/>
      <c r="EF108" s="303"/>
      <c r="EG108" s="303"/>
      <c r="EH108" s="150"/>
      <c r="EI108" s="150"/>
      <c r="EJ108" s="150"/>
      <c r="EK108" s="150"/>
    </row>
    <row r="109" spans="1:141" s="119" customFormat="1">
      <c r="A109" s="118" t="s">
        <v>962</v>
      </c>
      <c r="B109" s="381">
        <v>49</v>
      </c>
      <c r="C109" s="139" t="s">
        <v>2123</v>
      </c>
      <c r="D109" s="140" t="s">
        <v>2384</v>
      </c>
      <c r="E109" s="141">
        <v>2015</v>
      </c>
      <c r="F109" s="118">
        <v>26019008</v>
      </c>
      <c r="G109" s="118">
        <v>1</v>
      </c>
      <c r="H109" s="118"/>
      <c r="I109" s="118"/>
      <c r="J109" s="118">
        <v>1</v>
      </c>
      <c r="K109" s="118"/>
      <c r="L109" s="387">
        <v>1</v>
      </c>
      <c r="M109" s="142">
        <v>2</v>
      </c>
      <c r="N109" s="118" t="s">
        <v>1604</v>
      </c>
      <c r="O109" s="118" t="s">
        <v>1216</v>
      </c>
      <c r="P109" s="118" t="s">
        <v>1603</v>
      </c>
      <c r="Q109" s="118"/>
      <c r="R109" s="118" t="s">
        <v>1487</v>
      </c>
      <c r="S109" s="118" t="s">
        <v>803</v>
      </c>
      <c r="T109" s="118"/>
      <c r="U109" s="118" t="s">
        <v>1605</v>
      </c>
      <c r="V109" s="118"/>
      <c r="W109" s="118"/>
      <c r="X109" s="118"/>
      <c r="Y109" s="118"/>
      <c r="Z109" s="118"/>
      <c r="AA109" s="159">
        <v>1</v>
      </c>
      <c r="AB109" s="155" t="s">
        <v>3657</v>
      </c>
      <c r="AC109" s="122">
        <v>4</v>
      </c>
      <c r="AD109" s="204" t="s">
        <v>3635</v>
      </c>
      <c r="AE109" s="192">
        <v>1</v>
      </c>
      <c r="AF109" s="205" t="s">
        <v>3632</v>
      </c>
      <c r="AG109" s="122">
        <v>28</v>
      </c>
      <c r="AH109" s="122" t="s">
        <v>3634</v>
      </c>
      <c r="AI109" s="122">
        <v>11</v>
      </c>
      <c r="AJ109" s="122" t="s">
        <v>803</v>
      </c>
      <c r="AK109" s="122" t="s">
        <v>803</v>
      </c>
      <c r="AL109" s="122" t="s">
        <v>3633</v>
      </c>
      <c r="AM109" s="122" t="s">
        <v>24</v>
      </c>
      <c r="AN109" s="122" t="s">
        <v>3633</v>
      </c>
      <c r="AO109" s="122" t="s">
        <v>24</v>
      </c>
      <c r="AP109" s="122" t="s">
        <v>2963</v>
      </c>
      <c r="AQ109" s="122">
        <v>1</v>
      </c>
      <c r="AR109" s="122">
        <v>1</v>
      </c>
      <c r="AS109" s="122" t="s">
        <v>3004</v>
      </c>
      <c r="AT109" s="122" t="s">
        <v>2730</v>
      </c>
      <c r="AU109" s="122" t="s">
        <v>2798</v>
      </c>
      <c r="AV109" s="161">
        <v>1</v>
      </c>
      <c r="AW109" s="161"/>
      <c r="AX109" s="161"/>
      <c r="AY109" s="161"/>
      <c r="AZ109" s="161"/>
      <c r="BA109" s="161"/>
      <c r="BB109" s="161"/>
      <c r="BC109" s="161"/>
      <c r="BD109" s="162" t="s">
        <v>3636</v>
      </c>
      <c r="BE109" s="150" t="s">
        <v>1876</v>
      </c>
      <c r="BF109" s="150">
        <v>2</v>
      </c>
      <c r="BG109" s="150" t="s">
        <v>3639</v>
      </c>
      <c r="BH109" s="150" t="s">
        <v>3656</v>
      </c>
      <c r="BI109" s="345" t="s">
        <v>3640</v>
      </c>
      <c r="BJ109" s="258" t="s">
        <v>3653</v>
      </c>
      <c r="BK109" s="151" t="s">
        <v>3643</v>
      </c>
      <c r="BL109" s="150">
        <v>18.100000000000001</v>
      </c>
      <c r="BM109" s="150">
        <v>4.5999999999999996</v>
      </c>
      <c r="BN109" s="150" t="s">
        <v>24</v>
      </c>
      <c r="BO109" s="151" t="s">
        <v>3646</v>
      </c>
      <c r="BP109" s="266">
        <v>6</v>
      </c>
      <c r="BQ109" s="228">
        <v>2</v>
      </c>
      <c r="BR109" s="351" t="s">
        <v>24</v>
      </c>
      <c r="BS109" s="290" t="s">
        <v>3651</v>
      </c>
      <c r="BT109" s="291" t="s">
        <v>3652</v>
      </c>
      <c r="BU109" s="151"/>
      <c r="BV109" s="150"/>
      <c r="BW109" s="150"/>
      <c r="BX109" s="150"/>
      <c r="BY109" s="151"/>
      <c r="BZ109" s="150"/>
      <c r="CA109" s="150"/>
      <c r="CB109" s="150"/>
      <c r="CC109" s="290"/>
      <c r="CD109" s="291"/>
      <c r="CE109" s="278"/>
      <c r="CF109" s="285"/>
      <c r="CG109" s="151"/>
      <c r="CH109" s="150"/>
      <c r="CI109" s="150"/>
      <c r="CJ109" s="150"/>
      <c r="CK109" s="150"/>
      <c r="CL109" s="150"/>
      <c r="CM109" s="150"/>
      <c r="CN109" s="150"/>
      <c r="CO109" s="302"/>
      <c r="CP109" s="303"/>
      <c r="CQ109" s="150"/>
      <c r="CR109" s="150"/>
      <c r="CS109" s="150"/>
      <c r="CT109" s="150"/>
      <c r="CU109" s="150"/>
      <c r="CV109" s="150"/>
      <c r="CW109" s="150"/>
      <c r="CX109" s="150"/>
      <c r="CY109" s="302"/>
      <c r="CZ109" s="303"/>
      <c r="DA109" s="278"/>
      <c r="DB109" s="279"/>
      <c r="DC109" s="150"/>
      <c r="DD109" s="150"/>
      <c r="DE109" s="150"/>
      <c r="DF109" s="150"/>
      <c r="DG109" s="151"/>
      <c r="DH109" s="150"/>
      <c r="DI109" s="150"/>
      <c r="DJ109" s="150"/>
      <c r="DK109" s="303"/>
      <c r="DL109" s="303"/>
      <c r="DM109" s="150"/>
      <c r="DN109" s="150"/>
      <c r="DO109" s="150"/>
      <c r="DP109" s="150"/>
      <c r="DQ109" s="150"/>
      <c r="DR109" s="150"/>
      <c r="DS109" s="150"/>
      <c r="DT109" s="150"/>
      <c r="DU109" s="303"/>
      <c r="DV109" s="303"/>
      <c r="DW109" s="279"/>
      <c r="DX109" s="150"/>
      <c r="DY109" s="150"/>
      <c r="DZ109" s="150"/>
      <c r="EA109" s="150"/>
      <c r="EB109" s="150"/>
      <c r="EC109" s="150"/>
      <c r="ED109" s="150"/>
      <c r="EE109" s="150"/>
      <c r="EF109" s="303"/>
      <c r="EG109" s="303"/>
      <c r="EH109" s="150"/>
      <c r="EI109" s="150"/>
      <c r="EJ109" s="150"/>
      <c r="EK109" s="150"/>
    </row>
    <row r="110" spans="1:141">
      <c r="A110" s="79" t="s">
        <v>955</v>
      </c>
      <c r="B110" s="117">
        <v>50</v>
      </c>
      <c r="C110" s="123" t="s">
        <v>2126</v>
      </c>
      <c r="D110" s="124" t="s">
        <v>2389</v>
      </c>
      <c r="E110" s="125">
        <v>2008</v>
      </c>
      <c r="F110" s="79">
        <v>18577419</v>
      </c>
      <c r="G110" s="79">
        <v>1</v>
      </c>
      <c r="H110" s="126"/>
      <c r="I110" s="127"/>
      <c r="J110" s="79">
        <v>1</v>
      </c>
      <c r="K110" s="79"/>
      <c r="L110" s="169">
        <v>1</v>
      </c>
      <c r="M110" s="128">
        <v>2</v>
      </c>
      <c r="N110" s="79" t="s">
        <v>22</v>
      </c>
      <c r="O110" s="79" t="s">
        <v>24</v>
      </c>
      <c r="P110" s="79" t="s">
        <v>1130</v>
      </c>
      <c r="Q110" s="79"/>
      <c r="R110" s="79" t="s">
        <v>1619</v>
      </c>
      <c r="S110" s="79" t="s">
        <v>803</v>
      </c>
      <c r="T110" s="79"/>
      <c r="U110" s="79" t="s">
        <v>1722</v>
      </c>
      <c r="V110" s="79"/>
      <c r="W110" s="79"/>
      <c r="X110" s="79"/>
      <c r="Y110" s="79" t="s">
        <v>1620</v>
      </c>
      <c r="Z110" s="79" t="s">
        <v>424</v>
      </c>
      <c r="AA110" s="154">
        <v>1</v>
      </c>
      <c r="AB110" s="155" t="s">
        <v>3682</v>
      </c>
      <c r="AC110" s="121">
        <v>4</v>
      </c>
      <c r="AD110" s="202" t="s">
        <v>3660</v>
      </c>
      <c r="AE110" s="192">
        <v>2</v>
      </c>
      <c r="AF110" s="203">
        <v>1</v>
      </c>
      <c r="AG110" s="121">
        <f>12+9+12</f>
        <v>33</v>
      </c>
      <c r="AH110" s="121">
        <v>12</v>
      </c>
      <c r="AI110" s="121" t="s">
        <v>3675</v>
      </c>
      <c r="AJ110" s="121" t="s">
        <v>803</v>
      </c>
      <c r="AK110" s="121" t="s">
        <v>803</v>
      </c>
      <c r="AL110" s="121" t="s">
        <v>2667</v>
      </c>
      <c r="AM110" s="121" t="s">
        <v>24</v>
      </c>
      <c r="AN110" s="121" t="s">
        <v>2667</v>
      </c>
      <c r="AO110" s="121" t="s">
        <v>24</v>
      </c>
      <c r="AP110" s="121" t="s">
        <v>3662</v>
      </c>
      <c r="AQ110" s="121">
        <v>1</v>
      </c>
      <c r="AR110" s="121">
        <v>1</v>
      </c>
      <c r="AS110" s="121" t="s">
        <v>3661</v>
      </c>
      <c r="AT110" s="121" t="s">
        <v>1130</v>
      </c>
      <c r="AU110" s="121" t="s">
        <v>2798</v>
      </c>
      <c r="AV110" s="156">
        <v>1</v>
      </c>
      <c r="AW110" s="156"/>
      <c r="AX110" s="156"/>
      <c r="AY110" s="156"/>
      <c r="AZ110" s="156"/>
      <c r="BA110" s="156"/>
      <c r="BB110" s="156"/>
      <c r="BC110" s="156"/>
      <c r="BD110" s="157" t="s">
        <v>3681</v>
      </c>
      <c r="BE110" s="134" t="s">
        <v>1876</v>
      </c>
      <c r="BF110" s="134" t="s">
        <v>3659</v>
      </c>
      <c r="BG110" s="134" t="s">
        <v>3663</v>
      </c>
      <c r="BH110" s="134" t="s">
        <v>3658</v>
      </c>
      <c r="BI110" s="134" t="s">
        <v>3237</v>
      </c>
      <c r="BJ110" s="259" t="s">
        <v>3679</v>
      </c>
      <c r="BK110" s="138" t="s">
        <v>3666</v>
      </c>
      <c r="BL110" s="134">
        <v>100.126</v>
      </c>
      <c r="BM110" s="134" t="s">
        <v>24</v>
      </c>
      <c r="BN110" s="134">
        <f>115.891-Table664[[#This Row],[Outcome1_M]]</f>
        <v>15.765000000000001</v>
      </c>
      <c r="BO110" s="138" t="s">
        <v>3667</v>
      </c>
      <c r="BP110" s="134">
        <v>65.911900000000003</v>
      </c>
      <c r="BQ110" s="134" t="s">
        <v>24</v>
      </c>
      <c r="BR110" s="134">
        <f>71.6143-Table664[[#This Row],[Outcome2_M]]</f>
        <v>5.7023999999999972</v>
      </c>
      <c r="BS110" s="288" t="s">
        <v>24</v>
      </c>
      <c r="BT110" s="289" t="s">
        <v>24</v>
      </c>
      <c r="BU110" s="138" t="s">
        <v>3668</v>
      </c>
      <c r="BV110" s="134">
        <v>31.6981</v>
      </c>
      <c r="BW110" s="134" t="s">
        <v>24</v>
      </c>
      <c r="BX110" s="134">
        <f>35.3878-Table664[[#This Row],[Outcome3_M]]</f>
        <v>3.6896999999999984</v>
      </c>
      <c r="BY110" s="138" t="s">
        <v>24</v>
      </c>
      <c r="BZ110" s="134"/>
      <c r="CA110" s="134"/>
      <c r="CB110" s="134"/>
      <c r="CC110" s="288" t="s">
        <v>24</v>
      </c>
      <c r="CD110" s="289" t="s">
        <v>24</v>
      </c>
      <c r="CE110" s="276" t="s">
        <v>3677</v>
      </c>
      <c r="CF110" s="308" t="s">
        <v>3678</v>
      </c>
      <c r="CG110" s="138"/>
      <c r="CH110" s="134"/>
      <c r="CI110" s="134"/>
      <c r="CJ110" s="134"/>
      <c r="CK110" s="134"/>
      <c r="CL110" s="134"/>
      <c r="CM110" s="134"/>
      <c r="CN110" s="134"/>
      <c r="CO110" s="300"/>
      <c r="CP110" s="301"/>
      <c r="CQ110" s="134"/>
      <c r="CR110" s="134"/>
      <c r="CS110" s="134"/>
      <c r="CT110" s="134"/>
      <c r="CU110" s="134"/>
      <c r="CV110" s="134"/>
      <c r="CW110" s="134"/>
      <c r="CX110" s="134"/>
      <c r="CY110" s="300"/>
      <c r="CZ110" s="301"/>
      <c r="DA110" s="276"/>
      <c r="DB110" s="277"/>
      <c r="DC110" s="134"/>
      <c r="DD110" s="134"/>
      <c r="DE110" s="134"/>
      <c r="DF110" s="134"/>
      <c r="DG110" s="138"/>
      <c r="DH110" s="134"/>
      <c r="DI110" s="134"/>
      <c r="DJ110" s="134"/>
      <c r="DK110" s="301"/>
      <c r="DL110" s="301"/>
      <c r="DM110" s="134"/>
      <c r="DN110" s="134"/>
      <c r="DO110" s="134"/>
      <c r="DP110" s="134"/>
      <c r="DQ110" s="134"/>
      <c r="DR110" s="134"/>
      <c r="DS110" s="134"/>
      <c r="DT110" s="134"/>
      <c r="DU110" s="301"/>
      <c r="DV110" s="301"/>
      <c r="DW110" s="277"/>
      <c r="DX110" s="134"/>
      <c r="DY110" s="134"/>
      <c r="DZ110" s="134"/>
      <c r="EA110" s="134"/>
      <c r="EB110" s="134"/>
      <c r="EC110" s="134"/>
      <c r="ED110" s="134"/>
      <c r="EE110" s="134"/>
      <c r="EF110" s="301"/>
      <c r="EG110" s="301"/>
      <c r="EH110" s="134"/>
      <c r="EI110" s="134"/>
      <c r="EJ110" s="134"/>
      <c r="EK110" s="134"/>
    </row>
    <row r="111" spans="1:141" s="119" customFormat="1">
      <c r="A111" s="118" t="s">
        <v>955</v>
      </c>
      <c r="B111" s="381">
        <v>50</v>
      </c>
      <c r="C111" s="139" t="s">
        <v>2126</v>
      </c>
      <c r="D111" s="140" t="s">
        <v>2389</v>
      </c>
      <c r="E111" s="141">
        <v>2008</v>
      </c>
      <c r="F111" s="118">
        <v>18577419</v>
      </c>
      <c r="G111" s="118">
        <v>1</v>
      </c>
      <c r="H111" s="118"/>
      <c r="I111" s="118"/>
      <c r="J111" s="118">
        <v>1</v>
      </c>
      <c r="K111" s="118"/>
      <c r="L111" s="158">
        <v>1</v>
      </c>
      <c r="M111" s="142">
        <v>2</v>
      </c>
      <c r="N111" s="118" t="s">
        <v>22</v>
      </c>
      <c r="O111" s="118" t="s">
        <v>24</v>
      </c>
      <c r="P111" s="118" t="s">
        <v>1130</v>
      </c>
      <c r="Q111" s="118"/>
      <c r="R111" s="118" t="s">
        <v>1619</v>
      </c>
      <c r="S111" s="118" t="s">
        <v>803</v>
      </c>
      <c r="T111" s="118"/>
      <c r="U111" s="118" t="s">
        <v>1722</v>
      </c>
      <c r="V111" s="118"/>
      <c r="W111" s="118"/>
      <c r="X111" s="118"/>
      <c r="Y111" s="118" t="s">
        <v>1620</v>
      </c>
      <c r="Z111" s="118" t="s">
        <v>424</v>
      </c>
      <c r="AA111" s="159">
        <v>1</v>
      </c>
      <c r="AB111" s="155" t="s">
        <v>3682</v>
      </c>
      <c r="AC111" s="122">
        <v>4</v>
      </c>
      <c r="AD111" s="204" t="s">
        <v>3660</v>
      </c>
      <c r="AE111" s="192">
        <v>2</v>
      </c>
      <c r="AF111" s="205">
        <v>1</v>
      </c>
      <c r="AG111" s="122">
        <f>14+9+12</f>
        <v>35</v>
      </c>
      <c r="AH111" s="122">
        <v>14</v>
      </c>
      <c r="AI111" s="122" t="s">
        <v>3675</v>
      </c>
      <c r="AJ111" s="122" t="s">
        <v>803</v>
      </c>
      <c r="AK111" s="122" t="s">
        <v>803</v>
      </c>
      <c r="AL111" s="122" t="s">
        <v>2667</v>
      </c>
      <c r="AM111" s="122" t="s">
        <v>24</v>
      </c>
      <c r="AN111" s="122" t="s">
        <v>2667</v>
      </c>
      <c r="AO111" s="122" t="s">
        <v>24</v>
      </c>
      <c r="AP111" s="122" t="s">
        <v>3662</v>
      </c>
      <c r="AQ111" s="122">
        <v>1</v>
      </c>
      <c r="AR111" s="122">
        <v>1</v>
      </c>
      <c r="AS111" s="122" t="s">
        <v>3661</v>
      </c>
      <c r="AT111" s="122" t="s">
        <v>1130</v>
      </c>
      <c r="AU111" s="122" t="s">
        <v>2798</v>
      </c>
      <c r="AV111" s="161">
        <v>1</v>
      </c>
      <c r="AW111" s="161"/>
      <c r="AX111" s="161"/>
      <c r="AY111" s="161"/>
      <c r="AZ111" s="161"/>
      <c r="BA111" s="161"/>
      <c r="BB111" s="161"/>
      <c r="BC111" s="161"/>
      <c r="BD111" s="157" t="s">
        <v>3680</v>
      </c>
      <c r="BE111" s="150" t="s">
        <v>1876</v>
      </c>
      <c r="BF111" s="150" t="s">
        <v>3659</v>
      </c>
      <c r="BG111" s="150" t="s">
        <v>3664</v>
      </c>
      <c r="BH111" s="150" t="s">
        <v>3658</v>
      </c>
      <c r="BI111" s="150" t="s">
        <v>3237</v>
      </c>
      <c r="BJ111" s="259" t="s">
        <v>3679</v>
      </c>
      <c r="BK111" s="343" t="s">
        <v>3670</v>
      </c>
      <c r="BL111" s="150">
        <v>109.182</v>
      </c>
      <c r="BM111" s="150" t="s">
        <v>24</v>
      </c>
      <c r="BN111" s="150">
        <f>125.618-Table664[[#This Row],[Outcome1_M]]</f>
        <v>16.435999999999993</v>
      </c>
      <c r="BO111" s="151" t="s">
        <v>3671</v>
      </c>
      <c r="BP111" s="150">
        <v>28.679200000000002</v>
      </c>
      <c r="BQ111" s="150" t="s">
        <v>24</v>
      </c>
      <c r="BR111" s="150">
        <f>32.7044-Table664[[#This Row],[Outcome2_M]]</f>
        <v>4.0251999999999981</v>
      </c>
      <c r="BS111" s="290" t="s">
        <v>24</v>
      </c>
      <c r="BT111" s="291" t="s">
        <v>24</v>
      </c>
      <c r="BU111" s="151" t="s">
        <v>3673</v>
      </c>
      <c r="BV111" s="150">
        <v>19.622599999999998</v>
      </c>
      <c r="BW111" s="150" t="s">
        <v>24</v>
      </c>
      <c r="BX111" s="150">
        <f>23.3124-Table664[[#This Row],[Outcome3_M]]</f>
        <v>3.6898000000000017</v>
      </c>
      <c r="BY111" s="151" t="s">
        <v>24</v>
      </c>
      <c r="BZ111" s="150"/>
      <c r="CA111" s="150"/>
      <c r="CB111" s="150"/>
      <c r="CC111" s="290" t="s">
        <v>24</v>
      </c>
      <c r="CD111" s="291" t="s">
        <v>24</v>
      </c>
      <c r="CE111" s="276" t="s">
        <v>3677</v>
      </c>
      <c r="CF111" s="308" t="s">
        <v>3678</v>
      </c>
      <c r="CG111" s="151"/>
      <c r="CH111" s="150"/>
      <c r="CI111" s="150"/>
      <c r="CJ111" s="150"/>
      <c r="CK111" s="150"/>
      <c r="CL111" s="150"/>
      <c r="CM111" s="150"/>
      <c r="CN111" s="150"/>
      <c r="CO111" s="302"/>
      <c r="CP111" s="303"/>
      <c r="CQ111" s="150"/>
      <c r="CR111" s="150"/>
      <c r="CS111" s="150"/>
      <c r="CT111" s="150"/>
      <c r="CU111" s="150"/>
      <c r="CV111" s="150"/>
      <c r="CW111" s="150"/>
      <c r="CX111" s="150"/>
      <c r="CY111" s="302"/>
      <c r="CZ111" s="303"/>
      <c r="DA111" s="278"/>
      <c r="DB111" s="279"/>
      <c r="DC111" s="150"/>
      <c r="DD111" s="150"/>
      <c r="DE111" s="150"/>
      <c r="DF111" s="150"/>
      <c r="DG111" s="151"/>
      <c r="DH111" s="150"/>
      <c r="DI111" s="150"/>
      <c r="DJ111" s="150"/>
      <c r="DK111" s="303"/>
      <c r="DL111" s="303"/>
      <c r="DM111" s="150"/>
      <c r="DN111" s="150"/>
      <c r="DO111" s="150"/>
      <c r="DP111" s="150"/>
      <c r="DQ111" s="150"/>
      <c r="DR111" s="150"/>
      <c r="DS111" s="150"/>
      <c r="DT111" s="150"/>
      <c r="DU111" s="303"/>
      <c r="DV111" s="303"/>
      <c r="DW111" s="279"/>
      <c r="DX111" s="150"/>
      <c r="DY111" s="150"/>
      <c r="DZ111" s="150"/>
      <c r="EA111" s="150"/>
      <c r="EB111" s="150"/>
      <c r="EC111" s="150"/>
      <c r="ED111" s="150"/>
      <c r="EE111" s="150"/>
      <c r="EF111" s="303"/>
      <c r="EG111" s="303"/>
      <c r="EH111" s="150"/>
      <c r="EI111" s="150"/>
      <c r="EJ111" s="150"/>
      <c r="EK111" s="150"/>
    </row>
    <row r="112" spans="1:141" s="119" customFormat="1">
      <c r="A112" s="118" t="s">
        <v>955</v>
      </c>
      <c r="B112" s="381">
        <v>50</v>
      </c>
      <c r="C112" s="139" t="s">
        <v>2126</v>
      </c>
      <c r="D112" s="140" t="s">
        <v>2389</v>
      </c>
      <c r="E112" s="141">
        <v>2008</v>
      </c>
      <c r="F112" s="118">
        <v>18577419</v>
      </c>
      <c r="G112" s="118">
        <v>1</v>
      </c>
      <c r="H112" s="118"/>
      <c r="I112" s="118"/>
      <c r="J112" s="118">
        <v>1</v>
      </c>
      <c r="K112" s="118"/>
      <c r="L112" s="158">
        <v>1</v>
      </c>
      <c r="M112" s="142">
        <v>2</v>
      </c>
      <c r="N112" s="118" t="s">
        <v>22</v>
      </c>
      <c r="O112" s="118" t="s">
        <v>24</v>
      </c>
      <c r="P112" s="118" t="s">
        <v>1130</v>
      </c>
      <c r="Q112" s="118"/>
      <c r="R112" s="118" t="s">
        <v>1619</v>
      </c>
      <c r="S112" s="118" t="s">
        <v>803</v>
      </c>
      <c r="T112" s="118"/>
      <c r="U112" s="118" t="s">
        <v>1722</v>
      </c>
      <c r="V112" s="118"/>
      <c r="W112" s="118"/>
      <c r="X112" s="118"/>
      <c r="Y112" s="118" t="s">
        <v>1620</v>
      </c>
      <c r="Z112" s="118" t="s">
        <v>424</v>
      </c>
      <c r="AA112" s="159">
        <v>1</v>
      </c>
      <c r="AB112" s="155" t="s">
        <v>3682</v>
      </c>
      <c r="AC112" s="122">
        <v>4</v>
      </c>
      <c r="AD112" s="204" t="s">
        <v>3660</v>
      </c>
      <c r="AE112" s="192">
        <v>2</v>
      </c>
      <c r="AF112" s="205">
        <v>1</v>
      </c>
      <c r="AG112" s="122">
        <f>14+9+15</f>
        <v>38</v>
      </c>
      <c r="AH112" s="122">
        <v>14</v>
      </c>
      <c r="AI112" s="122" t="s">
        <v>3676</v>
      </c>
      <c r="AJ112" s="122" t="s">
        <v>803</v>
      </c>
      <c r="AK112" s="122" t="s">
        <v>803</v>
      </c>
      <c r="AL112" s="122" t="s">
        <v>2667</v>
      </c>
      <c r="AM112" s="122" t="s">
        <v>24</v>
      </c>
      <c r="AN112" s="122" t="s">
        <v>2667</v>
      </c>
      <c r="AO112" s="122" t="s">
        <v>24</v>
      </c>
      <c r="AP112" s="122" t="s">
        <v>3662</v>
      </c>
      <c r="AQ112" s="122">
        <v>1</v>
      </c>
      <c r="AR112" s="122">
        <v>1</v>
      </c>
      <c r="AS112" s="122" t="s">
        <v>3661</v>
      </c>
      <c r="AT112" s="122" t="s">
        <v>1130</v>
      </c>
      <c r="AU112" s="122" t="s">
        <v>2798</v>
      </c>
      <c r="AV112" s="161">
        <v>1</v>
      </c>
      <c r="AW112" s="161"/>
      <c r="AX112" s="161"/>
      <c r="AY112" s="161"/>
      <c r="AZ112" s="161"/>
      <c r="BA112" s="161"/>
      <c r="BB112" s="161"/>
      <c r="BC112" s="161"/>
      <c r="BD112" s="162" t="s">
        <v>3680</v>
      </c>
      <c r="BE112" s="150" t="s">
        <v>1876</v>
      </c>
      <c r="BF112" s="150" t="s">
        <v>3659</v>
      </c>
      <c r="BG112" s="345" t="s">
        <v>3665</v>
      </c>
      <c r="BH112" s="150" t="s">
        <v>3658</v>
      </c>
      <c r="BI112" s="150" t="s">
        <v>3237</v>
      </c>
      <c r="BJ112" s="259" t="s">
        <v>3679</v>
      </c>
      <c r="BK112" s="151" t="s">
        <v>3669</v>
      </c>
      <c r="BL112" s="150">
        <v>106.499</v>
      </c>
      <c r="BM112" s="150" t="s">
        <v>24</v>
      </c>
      <c r="BN112" s="150">
        <f>120.587-Table664[[#This Row],[Outcome1_M]]</f>
        <v>14.088000000000008</v>
      </c>
      <c r="BO112" s="151" t="s">
        <v>3672</v>
      </c>
      <c r="BP112" s="150">
        <v>21.635200000000001</v>
      </c>
      <c r="BQ112" s="150" t="s">
        <v>24</v>
      </c>
      <c r="BR112" s="150">
        <f>24.3187-Table664[[#This Row],[Outcome2_M]]</f>
        <v>2.6834999999999987</v>
      </c>
      <c r="BS112" s="290" t="s">
        <v>24</v>
      </c>
      <c r="BT112" s="291" t="s">
        <v>24</v>
      </c>
      <c r="BU112" s="151" t="s">
        <v>3674</v>
      </c>
      <c r="BV112" s="150">
        <v>12.2432</v>
      </c>
      <c r="BW112" s="150" t="s">
        <v>24</v>
      </c>
      <c r="BX112" s="150">
        <f>14.5912-Table664[[#This Row],[Outcome3_M]]</f>
        <v>2.3480000000000008</v>
      </c>
      <c r="BY112" s="151" t="s">
        <v>24</v>
      </c>
      <c r="BZ112" s="150"/>
      <c r="CA112" s="150"/>
      <c r="CB112" s="150"/>
      <c r="CC112" s="290" t="s">
        <v>24</v>
      </c>
      <c r="CD112" s="291" t="s">
        <v>24</v>
      </c>
      <c r="CE112" s="276" t="s">
        <v>3677</v>
      </c>
      <c r="CF112" s="308" t="s">
        <v>3678</v>
      </c>
      <c r="CG112" s="151"/>
      <c r="CH112" s="150"/>
      <c r="CI112" s="150"/>
      <c r="CJ112" s="150"/>
      <c r="CK112" s="150"/>
      <c r="CL112" s="150"/>
      <c r="CM112" s="150"/>
      <c r="CN112" s="150"/>
      <c r="CO112" s="302"/>
      <c r="CP112" s="303"/>
      <c r="CQ112" s="150"/>
      <c r="CR112" s="150"/>
      <c r="CS112" s="150"/>
      <c r="CT112" s="150"/>
      <c r="CU112" s="150"/>
      <c r="CV112" s="150"/>
      <c r="CW112" s="150"/>
      <c r="CX112" s="150"/>
      <c r="CY112" s="302"/>
      <c r="CZ112" s="303"/>
      <c r="DA112" s="278"/>
      <c r="DB112" s="279"/>
      <c r="DC112" s="150"/>
      <c r="DD112" s="150"/>
      <c r="DE112" s="150"/>
      <c r="DF112" s="150"/>
      <c r="DG112" s="151"/>
      <c r="DH112" s="150"/>
      <c r="DI112" s="150"/>
      <c r="DJ112" s="150"/>
      <c r="DK112" s="303"/>
      <c r="DL112" s="303"/>
      <c r="DM112" s="150"/>
      <c r="DN112" s="150"/>
      <c r="DO112" s="150"/>
      <c r="DP112" s="150"/>
      <c r="DQ112" s="150"/>
      <c r="DR112" s="150"/>
      <c r="DS112" s="150"/>
      <c r="DT112" s="150"/>
      <c r="DU112" s="303"/>
      <c r="DV112" s="303"/>
      <c r="DW112" s="279"/>
      <c r="DX112" s="150"/>
      <c r="DY112" s="150"/>
      <c r="DZ112" s="150"/>
      <c r="EA112" s="150"/>
      <c r="EB112" s="150"/>
      <c r="EC112" s="150"/>
      <c r="ED112" s="150"/>
      <c r="EE112" s="150"/>
      <c r="EF112" s="303"/>
      <c r="EG112" s="303"/>
      <c r="EH112" s="150"/>
      <c r="EI112" s="150"/>
      <c r="EJ112" s="150"/>
      <c r="EK112" s="150"/>
    </row>
    <row r="113" spans="1:141">
      <c r="A113" s="79" t="s">
        <v>952</v>
      </c>
      <c r="B113" s="117">
        <v>51</v>
      </c>
      <c r="C113" s="123" t="s">
        <v>2127</v>
      </c>
      <c r="D113" s="124" t="s">
        <v>2391</v>
      </c>
      <c r="E113" s="125">
        <v>2014</v>
      </c>
      <c r="F113" s="79">
        <v>24519098</v>
      </c>
      <c r="G113" s="79">
        <v>1</v>
      </c>
      <c r="H113" s="126">
        <v>1</v>
      </c>
      <c r="I113" s="127"/>
      <c r="J113" s="79">
        <v>1</v>
      </c>
      <c r="K113" s="79"/>
      <c r="L113" s="164">
        <v>1</v>
      </c>
      <c r="M113" s="128">
        <v>2</v>
      </c>
      <c r="N113" s="79" t="s">
        <v>1626</v>
      </c>
      <c r="O113" s="79" t="s">
        <v>1251</v>
      </c>
      <c r="P113" s="79" t="s">
        <v>1229</v>
      </c>
      <c r="Q113" s="79"/>
      <c r="R113" s="79" t="s">
        <v>1498</v>
      </c>
      <c r="S113" s="79"/>
      <c r="T113" s="79"/>
      <c r="U113" s="79" t="s">
        <v>1667</v>
      </c>
      <c r="V113" s="79" t="s">
        <v>436</v>
      </c>
      <c r="W113" s="79" t="s">
        <v>1625</v>
      </c>
      <c r="X113" s="79"/>
      <c r="Y113" s="79"/>
      <c r="Z113" s="79" t="s">
        <v>1279</v>
      </c>
      <c r="AA113" s="154">
        <v>1</v>
      </c>
      <c r="AB113" s="155" t="s">
        <v>3689</v>
      </c>
      <c r="AC113" s="121">
        <v>4</v>
      </c>
      <c r="AD113" s="202" t="s">
        <v>3689</v>
      </c>
      <c r="AE113" s="192">
        <v>0</v>
      </c>
      <c r="AF113" s="203" t="s">
        <v>3688</v>
      </c>
      <c r="AG113" s="121">
        <v>7</v>
      </c>
      <c r="AH113" s="121" t="s">
        <v>3687</v>
      </c>
      <c r="AI113" s="121" t="s">
        <v>24</v>
      </c>
      <c r="AJ113" s="121" t="s">
        <v>23</v>
      </c>
      <c r="AK113" s="121" t="s">
        <v>24</v>
      </c>
      <c r="AL113" s="121" t="s">
        <v>3031</v>
      </c>
      <c r="AM113" s="121" t="s">
        <v>24</v>
      </c>
      <c r="AN113" s="121" t="s">
        <v>24</v>
      </c>
      <c r="AO113" s="121" t="s">
        <v>24</v>
      </c>
      <c r="AP113" s="121" t="s">
        <v>3685</v>
      </c>
      <c r="AQ113" s="121">
        <v>1</v>
      </c>
      <c r="AR113" s="121" t="s">
        <v>3683</v>
      </c>
      <c r="AS113" s="121" t="s">
        <v>24</v>
      </c>
      <c r="AT113" s="121" t="s">
        <v>2912</v>
      </c>
      <c r="AU113" s="121" t="s">
        <v>3466</v>
      </c>
      <c r="AV113" s="156">
        <v>1</v>
      </c>
      <c r="AW113" s="156"/>
      <c r="AX113" s="156"/>
      <c r="AY113" s="156"/>
      <c r="AZ113" s="156"/>
      <c r="BA113" s="156"/>
      <c r="BB113" s="156"/>
      <c r="BC113" s="156"/>
      <c r="BD113" s="157" t="s">
        <v>2493</v>
      </c>
      <c r="BE113" s="134" t="s">
        <v>2789</v>
      </c>
      <c r="BF113" s="134" t="s">
        <v>3686</v>
      </c>
      <c r="BG113" s="134" t="s">
        <v>3684</v>
      </c>
      <c r="BH113" s="134" t="s">
        <v>2471</v>
      </c>
      <c r="BI113" s="134" t="s">
        <v>3224</v>
      </c>
      <c r="BJ113" s="259" t="s">
        <v>3696</v>
      </c>
      <c r="BK113" s="138" t="s">
        <v>3692</v>
      </c>
      <c r="BL113" s="134">
        <v>0.149533</v>
      </c>
      <c r="BM113" s="134" t="s">
        <v>24</v>
      </c>
      <c r="BN113" s="134">
        <f>0.224299-Table664[[#This Row],[Outcome1_M]]</f>
        <v>7.4765999999999999E-2</v>
      </c>
      <c r="BO113" s="138" t="s">
        <v>3690</v>
      </c>
      <c r="BP113" s="134">
        <v>17.981300000000001</v>
      </c>
      <c r="BQ113" s="134" t="s">
        <v>24</v>
      </c>
      <c r="BR113" s="134">
        <f>22.6916-Table664[[#This Row],[Outcome2_M]]</f>
        <v>4.7103000000000002</v>
      </c>
      <c r="BS113" s="288" t="s">
        <v>3695</v>
      </c>
      <c r="BT113" s="289" t="s">
        <v>3060</v>
      </c>
      <c r="BU113" s="340" t="s">
        <v>3691</v>
      </c>
      <c r="BV113" s="134">
        <v>14.7563</v>
      </c>
      <c r="BW113" s="134" t="s">
        <v>24</v>
      </c>
      <c r="BX113" s="134">
        <f>18.1919-Table664[[#This Row],[Outcome3_M]]</f>
        <v>3.4356000000000009</v>
      </c>
      <c r="BY113" s="138" t="s">
        <v>24</v>
      </c>
      <c r="BZ113" s="134" t="s">
        <v>24</v>
      </c>
      <c r="CA113" s="134" t="s">
        <v>24</v>
      </c>
      <c r="CB113" s="134" t="s">
        <v>24</v>
      </c>
      <c r="CC113" s="288" t="s">
        <v>3694</v>
      </c>
      <c r="CD113" s="289" t="s">
        <v>2850</v>
      </c>
      <c r="CE113" s="276" t="s">
        <v>3693</v>
      </c>
      <c r="CF113" s="308" t="s">
        <v>2785</v>
      </c>
      <c r="CG113" s="138"/>
      <c r="CH113" s="134"/>
      <c r="CI113" s="134"/>
      <c r="CJ113" s="134"/>
      <c r="CK113" s="134"/>
      <c r="CL113" s="134"/>
      <c r="CM113" s="134"/>
      <c r="CN113" s="134"/>
      <c r="CO113" s="300"/>
      <c r="CP113" s="301"/>
      <c r="CQ113" s="134"/>
      <c r="CR113" s="134"/>
      <c r="CS113" s="134"/>
      <c r="CT113" s="134"/>
      <c r="CU113" s="134"/>
      <c r="CV113" s="134"/>
      <c r="CW113" s="134"/>
      <c r="CX113" s="134"/>
      <c r="CY113" s="300"/>
      <c r="CZ113" s="301"/>
      <c r="DA113" s="276"/>
      <c r="DB113" s="277"/>
      <c r="DC113" s="134"/>
      <c r="DD113" s="134"/>
      <c r="DE113" s="134"/>
      <c r="DF113" s="134"/>
      <c r="DG113" s="138"/>
      <c r="DH113" s="134"/>
      <c r="DI113" s="134"/>
      <c r="DJ113" s="134"/>
      <c r="DK113" s="301"/>
      <c r="DL113" s="301"/>
      <c r="DM113" s="134"/>
      <c r="DN113" s="134"/>
      <c r="DO113" s="134"/>
      <c r="DP113" s="134"/>
      <c r="DQ113" s="134"/>
      <c r="DR113" s="134"/>
      <c r="DS113" s="134"/>
      <c r="DT113" s="134"/>
      <c r="DU113" s="301"/>
      <c r="DV113" s="301"/>
      <c r="DW113" s="277"/>
      <c r="DX113" s="134"/>
      <c r="DY113" s="134"/>
      <c r="DZ113" s="134"/>
      <c r="EA113" s="134"/>
      <c r="EB113" s="134"/>
      <c r="EC113" s="134"/>
      <c r="ED113" s="134"/>
      <c r="EE113" s="134"/>
      <c r="EF113" s="301"/>
      <c r="EG113" s="301"/>
      <c r="EH113" s="134"/>
      <c r="EI113" s="134"/>
      <c r="EJ113" s="134"/>
      <c r="EK113" s="134"/>
    </row>
    <row r="114" spans="1:141">
      <c r="A114" s="79" t="s">
        <v>947</v>
      </c>
      <c r="B114" s="117">
        <v>52</v>
      </c>
      <c r="C114" s="123" t="s">
        <v>2128</v>
      </c>
      <c r="D114" s="124" t="s">
        <v>2392</v>
      </c>
      <c r="E114" s="125">
        <v>2008</v>
      </c>
      <c r="F114" s="79">
        <v>17957211</v>
      </c>
      <c r="G114" s="79">
        <v>1</v>
      </c>
      <c r="H114" s="126">
        <v>1</v>
      </c>
      <c r="I114" s="127"/>
      <c r="J114" s="79">
        <v>1</v>
      </c>
      <c r="K114" s="79"/>
      <c r="L114" s="153">
        <v>1</v>
      </c>
      <c r="M114" s="128">
        <v>2</v>
      </c>
      <c r="N114" s="79" t="s">
        <v>1220</v>
      </c>
      <c r="O114" s="79" t="s">
        <v>1216</v>
      </c>
      <c r="P114" s="79" t="s">
        <v>1127</v>
      </c>
      <c r="Q114" s="79"/>
      <c r="R114" s="79" t="s">
        <v>1487</v>
      </c>
      <c r="S114" s="79" t="s">
        <v>803</v>
      </c>
      <c r="T114" s="79"/>
      <c r="U114" s="79" t="s">
        <v>1501</v>
      </c>
      <c r="V114" s="79" t="s">
        <v>1636</v>
      </c>
      <c r="W114" s="79"/>
      <c r="X114" s="79"/>
      <c r="Y114" s="79" t="s">
        <v>1549</v>
      </c>
      <c r="Z114" s="79"/>
      <c r="AA114" s="154">
        <v>1</v>
      </c>
      <c r="AB114" s="155"/>
      <c r="AC114" s="121">
        <v>4</v>
      </c>
      <c r="AD114" s="202" t="s">
        <v>3699</v>
      </c>
      <c r="AE114" s="192">
        <v>0</v>
      </c>
      <c r="AF114" s="203"/>
      <c r="AG114" s="121">
        <v>20</v>
      </c>
      <c r="AH114" s="121">
        <v>10</v>
      </c>
      <c r="AI114" s="121">
        <v>10</v>
      </c>
      <c r="AJ114" s="121" t="s">
        <v>803</v>
      </c>
      <c r="AK114" s="121" t="s">
        <v>803</v>
      </c>
      <c r="AL114" s="121" t="s">
        <v>24</v>
      </c>
      <c r="AM114" s="121" t="s">
        <v>24</v>
      </c>
      <c r="AN114" s="121" t="s">
        <v>24</v>
      </c>
      <c r="AO114" s="121" t="s">
        <v>24</v>
      </c>
      <c r="AP114" s="121" t="s">
        <v>2963</v>
      </c>
      <c r="AQ114" s="121">
        <v>1</v>
      </c>
      <c r="AR114" s="121">
        <v>1</v>
      </c>
      <c r="AS114" s="121" t="s">
        <v>3697</v>
      </c>
      <c r="AT114" s="121" t="s">
        <v>3698</v>
      </c>
      <c r="AU114" s="121" t="s">
        <v>2798</v>
      </c>
      <c r="AV114" s="156">
        <v>1</v>
      </c>
      <c r="AW114" s="156"/>
      <c r="AX114" s="156"/>
      <c r="AY114" s="156"/>
      <c r="AZ114" s="156"/>
      <c r="BA114" s="156"/>
      <c r="BB114" s="156"/>
      <c r="BC114" s="156"/>
      <c r="BD114" s="157" t="s">
        <v>3402</v>
      </c>
      <c r="BE114" s="134" t="s">
        <v>1876</v>
      </c>
      <c r="BF114" s="134">
        <v>2</v>
      </c>
      <c r="BG114" s="134" t="s">
        <v>3700</v>
      </c>
      <c r="BH114" s="134" t="s">
        <v>3514</v>
      </c>
      <c r="BI114" s="134" t="s">
        <v>3224</v>
      </c>
      <c r="BJ114" s="259" t="s">
        <v>3716</v>
      </c>
      <c r="BK114" s="138" t="s">
        <v>3701</v>
      </c>
      <c r="BL114" s="134">
        <v>78.253299999999996</v>
      </c>
      <c r="BM114" s="134" t="s">
        <v>24</v>
      </c>
      <c r="BN114" s="134">
        <f>83.3222-Table664[[#This Row],[Outcome1_M]]</f>
        <v>5.0688999999999993</v>
      </c>
      <c r="BO114" s="138" t="s">
        <v>3702</v>
      </c>
      <c r="BP114" s="134">
        <v>68.776799999999994</v>
      </c>
      <c r="BQ114" s="134" t="s">
        <v>24</v>
      </c>
      <c r="BR114" s="134">
        <f>72.9646-Table664[[#This Row],[Outcome2_M]]</f>
        <v>4.18780000000001</v>
      </c>
      <c r="BS114" s="288" t="s">
        <v>3711</v>
      </c>
      <c r="BT114" s="289" t="s">
        <v>3717</v>
      </c>
      <c r="BU114" s="138" t="s">
        <v>3703</v>
      </c>
      <c r="BV114" s="134">
        <v>57.459899999999998</v>
      </c>
      <c r="BW114" s="134" t="s">
        <v>24</v>
      </c>
      <c r="BX114" s="134">
        <f>62.3083-Table664[[#This Row],[Outcome3_M]]</f>
        <v>4.8484000000000052</v>
      </c>
      <c r="BY114" s="138" t="s">
        <v>3704</v>
      </c>
      <c r="BZ114" s="134">
        <v>33.988999999999997</v>
      </c>
      <c r="CA114" s="134" t="s">
        <v>24</v>
      </c>
      <c r="CB114" s="134">
        <f>40.3802-Table664[[#This Row],[Outcome4_M]]</f>
        <v>6.3912000000000049</v>
      </c>
      <c r="CC114" s="288" t="s">
        <v>3712</v>
      </c>
      <c r="CD114" s="289" t="s">
        <v>3718</v>
      </c>
      <c r="CE114" s="276" t="s">
        <v>24</v>
      </c>
      <c r="CF114" s="308" t="s">
        <v>24</v>
      </c>
      <c r="CG114" s="340" t="s">
        <v>3705</v>
      </c>
      <c r="CH114" s="339">
        <v>53.415999999999997</v>
      </c>
      <c r="CI114" s="340" t="s">
        <v>24</v>
      </c>
      <c r="CJ114" s="339">
        <f>59.9173-Table664[[#This Row],[Outcome5_M]]</f>
        <v>6.5013000000000005</v>
      </c>
      <c r="CK114" s="340" t="s">
        <v>3706</v>
      </c>
      <c r="CL114" s="134">
        <v>22.2315</v>
      </c>
      <c r="CM114" s="134" t="s">
        <v>24</v>
      </c>
      <c r="CN114" s="134">
        <f>27.3004-Table664[[#This Row],[Outcome6_M]]</f>
        <v>5.0688999999999993</v>
      </c>
      <c r="CO114" s="300" t="s">
        <v>3713</v>
      </c>
      <c r="CP114" s="301" t="s">
        <v>3719</v>
      </c>
      <c r="CQ114" s="340" t="s">
        <v>3707</v>
      </c>
      <c r="CR114" s="340">
        <v>47.1676</v>
      </c>
      <c r="CS114" s="340" t="s">
        <v>24</v>
      </c>
      <c r="CT114" s="339">
        <f>54.1098-Table664[[#This Row],[Outcome7_M]]</f>
        <v>6.9421999999999997</v>
      </c>
      <c r="CU114" s="340" t="s">
        <v>3708</v>
      </c>
      <c r="CV114" s="134">
        <v>13.8894</v>
      </c>
      <c r="CW114" s="134" t="s">
        <v>24</v>
      </c>
      <c r="CX114" s="134">
        <f>18.6277-Table664[[#This Row],[Outcome8_M]]</f>
        <v>4.7383000000000006</v>
      </c>
      <c r="CY114" s="300" t="s">
        <v>3714</v>
      </c>
      <c r="CZ114" s="301" t="s">
        <v>3720</v>
      </c>
      <c r="DA114" s="276" t="s">
        <v>24</v>
      </c>
      <c r="DB114" s="277" t="s">
        <v>24</v>
      </c>
      <c r="DC114" s="340" t="s">
        <v>3709</v>
      </c>
      <c r="DD114" s="340">
        <v>44.886499999999998</v>
      </c>
      <c r="DE114" s="340" t="s">
        <v>24</v>
      </c>
      <c r="DF114" s="339">
        <f>52.9307-Table664[[#This Row],[Outcome9_M]]</f>
        <v>8.0442000000000036</v>
      </c>
      <c r="DG114" s="340" t="s">
        <v>3710</v>
      </c>
      <c r="DH114" s="134">
        <v>7.7513399999999999</v>
      </c>
      <c r="DI114" s="134" t="s">
        <v>24</v>
      </c>
      <c r="DJ114" s="134">
        <f>10.727-Table664[[#This Row],[Outcome10_M]]</f>
        <v>2.9756600000000004</v>
      </c>
      <c r="DK114" s="301" t="s">
        <v>3715</v>
      </c>
      <c r="DL114" s="301" t="s">
        <v>3721</v>
      </c>
      <c r="DM114" s="134" t="s">
        <v>24</v>
      </c>
      <c r="DN114" s="134" t="s">
        <v>24</v>
      </c>
      <c r="DO114" s="134" t="s">
        <v>24</v>
      </c>
      <c r="DP114" s="134" t="s">
        <v>24</v>
      </c>
      <c r="DQ114" s="134"/>
      <c r="DR114" s="134"/>
      <c r="DS114" s="134"/>
      <c r="DT114" s="134"/>
      <c r="DU114" s="301"/>
      <c r="DV114" s="301"/>
      <c r="DW114" s="277"/>
      <c r="DX114" s="134"/>
      <c r="DY114" s="134"/>
      <c r="DZ114" s="134"/>
      <c r="EA114" s="134"/>
      <c r="EB114" s="134"/>
      <c r="EC114" s="134"/>
      <c r="ED114" s="134"/>
      <c r="EE114" s="134"/>
      <c r="EF114" s="301"/>
      <c r="EG114" s="301"/>
      <c r="EH114" s="134"/>
      <c r="EI114" s="134"/>
      <c r="EJ114" s="134"/>
      <c r="EK114" s="134"/>
    </row>
    <row r="115" spans="1:141">
      <c r="A115" s="79" t="s">
        <v>946</v>
      </c>
      <c r="B115" s="117">
        <v>53</v>
      </c>
      <c r="C115" s="123" t="s">
        <v>2129</v>
      </c>
      <c r="D115" s="124" t="s">
        <v>2393</v>
      </c>
      <c r="E115" s="125">
        <v>2012</v>
      </c>
      <c r="F115" s="79">
        <v>22927935</v>
      </c>
      <c r="G115" s="79">
        <v>1</v>
      </c>
      <c r="H115" s="126">
        <v>1</v>
      </c>
      <c r="I115" s="127"/>
      <c r="J115" s="79">
        <v>1</v>
      </c>
      <c r="K115" s="79"/>
      <c r="L115" s="79">
        <v>1</v>
      </c>
      <c r="M115" s="128">
        <v>2</v>
      </c>
      <c r="N115" s="79" t="s">
        <v>1220</v>
      </c>
      <c r="O115" s="79" t="s">
        <v>1216</v>
      </c>
      <c r="P115" s="79" t="s">
        <v>1138</v>
      </c>
      <c r="Q115" s="79"/>
      <c r="R115" s="79" t="s">
        <v>1541</v>
      </c>
      <c r="S115" s="79" t="s">
        <v>1638</v>
      </c>
      <c r="T115" s="79"/>
      <c r="U115" s="79" t="s">
        <v>1501</v>
      </c>
      <c r="V115" s="79"/>
      <c r="W115" s="79" t="s">
        <v>1637</v>
      </c>
      <c r="X115" s="79"/>
      <c r="Y115" s="79"/>
      <c r="Z115" s="79"/>
      <c r="AA115" s="154">
        <v>1</v>
      </c>
      <c r="AB115" s="155"/>
      <c r="AC115" s="121">
        <v>5</v>
      </c>
      <c r="AD115" s="202"/>
      <c r="AE115" s="192">
        <v>2</v>
      </c>
      <c r="AF115" s="203">
        <v>0</v>
      </c>
      <c r="AG115" s="121">
        <f>Table664[[#This Row],[Subjects_n_ptsd]]+Table664[[#This Row],[Subjects_n_control]]</f>
        <v>36</v>
      </c>
      <c r="AH115" s="121">
        <v>24</v>
      </c>
      <c r="AI115" s="121">
        <v>12</v>
      </c>
      <c r="AJ115" s="121" t="s">
        <v>1878</v>
      </c>
      <c r="AK115" s="121" t="s">
        <v>1878</v>
      </c>
      <c r="AL115" s="121" t="s">
        <v>3723</v>
      </c>
      <c r="AM115" s="121" t="s">
        <v>24</v>
      </c>
      <c r="AN115" s="121" t="s">
        <v>3723</v>
      </c>
      <c r="AO115" s="121" t="s">
        <v>24</v>
      </c>
      <c r="AP115" s="121" t="s">
        <v>3724</v>
      </c>
      <c r="AQ115" s="121">
        <v>1</v>
      </c>
      <c r="AR115" s="121" t="s">
        <v>3731</v>
      </c>
      <c r="AS115" s="121" t="s">
        <v>3515</v>
      </c>
      <c r="AT115" s="121" t="s">
        <v>3725</v>
      </c>
      <c r="AU115" s="121" t="s">
        <v>3279</v>
      </c>
      <c r="AV115" s="156">
        <v>1</v>
      </c>
      <c r="AW115" s="156"/>
      <c r="AX115" s="156"/>
      <c r="AY115" s="156"/>
      <c r="AZ115" s="156"/>
      <c r="BA115" s="156"/>
      <c r="BB115" s="156"/>
      <c r="BC115" s="156"/>
      <c r="BD115" s="157" t="s">
        <v>3736</v>
      </c>
      <c r="BE115" s="134" t="s">
        <v>1876</v>
      </c>
      <c r="BF115" s="134">
        <v>2</v>
      </c>
      <c r="BG115" s="134" t="s">
        <v>3733</v>
      </c>
      <c r="BH115" s="134" t="s">
        <v>3726</v>
      </c>
      <c r="BI115" s="134" t="s">
        <v>3722</v>
      </c>
      <c r="BJ115" s="259" t="s">
        <v>3758</v>
      </c>
      <c r="BK115" s="138" t="s">
        <v>3738</v>
      </c>
      <c r="BL115" s="134">
        <v>3.84</v>
      </c>
      <c r="BM115" s="134" t="s">
        <v>24</v>
      </c>
      <c r="BN115" s="134">
        <v>0.37</v>
      </c>
      <c r="BO115" s="138" t="s">
        <v>3739</v>
      </c>
      <c r="BP115" s="134">
        <v>1.17</v>
      </c>
      <c r="BQ115" s="134" t="s">
        <v>24</v>
      </c>
      <c r="BR115" s="134">
        <v>0.13</v>
      </c>
      <c r="BS115" s="288" t="s">
        <v>3744</v>
      </c>
      <c r="BT115" s="289" t="s">
        <v>2588</v>
      </c>
      <c r="BU115" s="138" t="s">
        <v>3740</v>
      </c>
      <c r="BV115" s="190">
        <v>4.13</v>
      </c>
      <c r="BW115" s="168" t="s">
        <v>24</v>
      </c>
      <c r="BX115" s="190">
        <v>0.35</v>
      </c>
      <c r="BY115" s="138" t="s">
        <v>3741</v>
      </c>
      <c r="BZ115" s="190">
        <v>1.56</v>
      </c>
      <c r="CA115" s="168" t="s">
        <v>24</v>
      </c>
      <c r="CB115" s="389">
        <v>0.4</v>
      </c>
      <c r="CC115" s="288" t="s">
        <v>3745</v>
      </c>
      <c r="CD115" s="289" t="s">
        <v>2588</v>
      </c>
      <c r="CE115" s="276" t="s">
        <v>24</v>
      </c>
      <c r="CF115" s="308" t="s">
        <v>24</v>
      </c>
      <c r="CG115" s="340" t="s">
        <v>3742</v>
      </c>
      <c r="CH115" s="340">
        <v>4.71</v>
      </c>
      <c r="CI115" s="134" t="s">
        <v>24</v>
      </c>
      <c r="CJ115" s="134">
        <v>0.47</v>
      </c>
      <c r="CK115" s="138" t="s">
        <v>3743</v>
      </c>
      <c r="CL115" s="134">
        <v>1.95</v>
      </c>
      <c r="CM115" s="134" t="s">
        <v>24</v>
      </c>
      <c r="CN115" s="134">
        <v>0.31</v>
      </c>
      <c r="CO115" s="341" t="s">
        <v>3746</v>
      </c>
      <c r="CP115" s="410" t="s">
        <v>2588</v>
      </c>
      <c r="CQ115" s="134" t="s">
        <v>24</v>
      </c>
      <c r="CR115" s="134" t="s">
        <v>24</v>
      </c>
      <c r="CS115" s="134" t="s">
        <v>24</v>
      </c>
      <c r="CT115" s="134" t="s">
        <v>24</v>
      </c>
      <c r="CU115" s="134" t="s">
        <v>24</v>
      </c>
      <c r="CV115" s="134" t="s">
        <v>24</v>
      </c>
      <c r="CW115" s="134" t="s">
        <v>24</v>
      </c>
      <c r="CX115" s="134" t="s">
        <v>24</v>
      </c>
      <c r="CY115" s="300" t="s">
        <v>24</v>
      </c>
      <c r="CZ115" s="301" t="s">
        <v>24</v>
      </c>
      <c r="DA115" s="276" t="s">
        <v>24</v>
      </c>
      <c r="DB115" s="277" t="s">
        <v>24</v>
      </c>
      <c r="DC115" s="134"/>
      <c r="DD115" s="134"/>
      <c r="DE115" s="134"/>
      <c r="DF115" s="134"/>
      <c r="DG115" s="138"/>
      <c r="DH115" s="134"/>
      <c r="DI115" s="134"/>
      <c r="DJ115" s="134"/>
      <c r="DK115" s="301"/>
      <c r="DL115" s="301"/>
      <c r="DM115" s="134"/>
      <c r="DN115" s="134"/>
      <c r="DO115" s="134"/>
      <c r="DP115" s="134"/>
      <c r="DQ115" s="134"/>
      <c r="DR115" s="134"/>
      <c r="DS115" s="134"/>
      <c r="DT115" s="134"/>
      <c r="DU115" s="301"/>
      <c r="DV115" s="301"/>
      <c r="DW115" s="277"/>
      <c r="DX115" s="134"/>
      <c r="DY115" s="134"/>
      <c r="DZ115" s="134"/>
      <c r="EA115" s="134"/>
      <c r="EB115" s="134"/>
      <c r="EC115" s="134"/>
      <c r="ED115" s="134"/>
      <c r="EE115" s="134"/>
      <c r="EF115" s="301"/>
      <c r="EG115" s="301"/>
      <c r="EH115" s="134"/>
      <c r="EI115" s="134"/>
      <c r="EJ115" s="134"/>
      <c r="EK115" s="134"/>
    </row>
    <row r="116" spans="1:141" s="36" customFormat="1">
      <c r="A116" s="127" t="s">
        <v>946</v>
      </c>
      <c r="B116" s="390">
        <v>53</v>
      </c>
      <c r="C116" s="391" t="s">
        <v>2129</v>
      </c>
      <c r="D116" s="392" t="s">
        <v>2393</v>
      </c>
      <c r="E116" s="393">
        <v>2012</v>
      </c>
      <c r="F116" s="127">
        <v>22927935</v>
      </c>
      <c r="G116" s="127">
        <v>1</v>
      </c>
      <c r="H116" s="127">
        <v>1</v>
      </c>
      <c r="I116" s="127"/>
      <c r="J116" s="127">
        <v>1</v>
      </c>
      <c r="K116" s="127"/>
      <c r="L116" s="127">
        <v>1</v>
      </c>
      <c r="M116" s="221">
        <v>2</v>
      </c>
      <c r="N116" s="127" t="s">
        <v>1220</v>
      </c>
      <c r="O116" s="127" t="s">
        <v>1216</v>
      </c>
      <c r="P116" s="127" t="s">
        <v>1138</v>
      </c>
      <c r="Q116" s="127"/>
      <c r="R116" s="127" t="s">
        <v>1541</v>
      </c>
      <c r="S116" s="127" t="s">
        <v>1638</v>
      </c>
      <c r="T116" s="127"/>
      <c r="U116" s="127" t="s">
        <v>1501</v>
      </c>
      <c r="V116" s="127"/>
      <c r="W116" s="127" t="s">
        <v>1637</v>
      </c>
      <c r="X116" s="127"/>
      <c r="Y116" s="127"/>
      <c r="Z116" s="127"/>
      <c r="AA116" s="394" t="s">
        <v>1917</v>
      </c>
      <c r="AB116" s="395" t="s">
        <v>3756</v>
      </c>
      <c r="AC116" s="163">
        <v>5</v>
      </c>
      <c r="AD116" s="396" t="s">
        <v>3755</v>
      </c>
      <c r="AE116" s="397">
        <v>2</v>
      </c>
      <c r="AF116" s="398" t="s">
        <v>3757</v>
      </c>
      <c r="AG116" s="163">
        <f>24+12</f>
        <v>36</v>
      </c>
      <c r="AH116" s="163" t="s">
        <v>3728</v>
      </c>
      <c r="AI116" s="163">
        <v>12</v>
      </c>
      <c r="AJ116" s="163" t="s">
        <v>1878</v>
      </c>
      <c r="AK116" s="163" t="s">
        <v>1878</v>
      </c>
      <c r="AL116" s="163" t="s">
        <v>3727</v>
      </c>
      <c r="AM116" s="163" t="s">
        <v>24</v>
      </c>
      <c r="AN116" s="163" t="s">
        <v>3727</v>
      </c>
      <c r="AO116" s="163" t="s">
        <v>24</v>
      </c>
      <c r="AP116" s="163" t="s">
        <v>3729</v>
      </c>
      <c r="AQ116" s="163" t="s">
        <v>3730</v>
      </c>
      <c r="AR116" s="163" t="s">
        <v>3732</v>
      </c>
      <c r="AS116" s="163" t="s">
        <v>3515</v>
      </c>
      <c r="AT116" s="121" t="s">
        <v>3725</v>
      </c>
      <c r="AU116" s="163" t="s">
        <v>3279</v>
      </c>
      <c r="AV116" s="399">
        <v>1</v>
      </c>
      <c r="AW116" s="399"/>
      <c r="AX116" s="399"/>
      <c r="AY116" s="399"/>
      <c r="AZ116" s="399"/>
      <c r="BA116" s="399"/>
      <c r="BB116" s="399"/>
      <c r="BC116" s="399"/>
      <c r="BD116" s="157" t="s">
        <v>3736</v>
      </c>
      <c r="BE116" s="400" t="s">
        <v>1876</v>
      </c>
      <c r="BF116" s="400" t="s">
        <v>3737</v>
      </c>
      <c r="BG116" s="134" t="s">
        <v>3734</v>
      </c>
      <c r="BH116" s="134" t="s">
        <v>3726</v>
      </c>
      <c r="BI116" s="400" t="s">
        <v>3722</v>
      </c>
      <c r="BJ116" s="259" t="s">
        <v>3759</v>
      </c>
      <c r="BK116" s="138" t="s">
        <v>3747</v>
      </c>
      <c r="BL116" s="400">
        <v>6.88</v>
      </c>
      <c r="BM116" s="400" t="s">
        <v>24</v>
      </c>
      <c r="BN116" s="400">
        <v>0.41</v>
      </c>
      <c r="BO116" s="138" t="s">
        <v>3748</v>
      </c>
      <c r="BP116" s="400">
        <v>1.29</v>
      </c>
      <c r="BQ116" s="400" t="s">
        <v>24</v>
      </c>
      <c r="BR116" s="400">
        <v>0.23</v>
      </c>
      <c r="BS116" s="288" t="s">
        <v>3744</v>
      </c>
      <c r="BT116" s="289" t="s">
        <v>2588</v>
      </c>
      <c r="BU116" s="138" t="s">
        <v>3749</v>
      </c>
      <c r="BV116" s="400">
        <v>4.74</v>
      </c>
      <c r="BW116" s="400" t="s">
        <v>24</v>
      </c>
      <c r="BX116" s="400">
        <v>0.46</v>
      </c>
      <c r="BY116" s="138" t="s">
        <v>3750</v>
      </c>
      <c r="BZ116" s="400">
        <v>1.29</v>
      </c>
      <c r="CA116" s="400" t="s">
        <v>24</v>
      </c>
      <c r="CB116" s="400">
        <v>0.23</v>
      </c>
      <c r="CC116" s="288" t="s">
        <v>3745</v>
      </c>
      <c r="CD116" s="289" t="s">
        <v>2588</v>
      </c>
      <c r="CE116" s="405" t="s">
        <v>24</v>
      </c>
      <c r="CF116" s="406" t="s">
        <v>24</v>
      </c>
      <c r="CG116" s="340" t="s">
        <v>3751</v>
      </c>
      <c r="CH116" s="340">
        <v>3.66</v>
      </c>
      <c r="CI116" s="340" t="s">
        <v>24</v>
      </c>
      <c r="CJ116" s="340">
        <v>0.33</v>
      </c>
      <c r="CK116" s="340" t="s">
        <v>3752</v>
      </c>
      <c r="CL116" s="400">
        <v>1.65</v>
      </c>
      <c r="CM116" s="400" t="s">
        <v>24</v>
      </c>
      <c r="CN116" s="400">
        <v>0.4</v>
      </c>
      <c r="CO116" s="341" t="s">
        <v>3746</v>
      </c>
      <c r="CP116" s="410" t="s">
        <v>2588</v>
      </c>
      <c r="CQ116" s="340" t="s">
        <v>3753</v>
      </c>
      <c r="CR116" s="340">
        <v>2.89</v>
      </c>
      <c r="CS116" s="340" t="s">
        <v>24</v>
      </c>
      <c r="CT116" s="340">
        <v>0.56999999999999995</v>
      </c>
      <c r="CU116" s="340" t="s">
        <v>3754</v>
      </c>
      <c r="CV116" s="400">
        <v>1.24</v>
      </c>
      <c r="CW116" s="400" t="s">
        <v>24</v>
      </c>
      <c r="CX116" s="400">
        <v>0.17</v>
      </c>
      <c r="CY116" s="341" t="s">
        <v>3746</v>
      </c>
      <c r="CZ116" s="410" t="s">
        <v>2588</v>
      </c>
      <c r="DA116" s="405"/>
      <c r="DB116" s="409"/>
      <c r="DC116" s="400"/>
      <c r="DD116" s="400"/>
      <c r="DE116" s="400"/>
      <c r="DF116" s="400"/>
      <c r="DG116" s="402"/>
      <c r="DH116" s="400"/>
      <c r="DI116" s="400"/>
      <c r="DJ116" s="400"/>
      <c r="DK116" s="408"/>
      <c r="DL116" s="408"/>
      <c r="DM116" s="400"/>
      <c r="DN116" s="400"/>
      <c r="DO116" s="400"/>
      <c r="DP116" s="400"/>
      <c r="DQ116" s="400"/>
      <c r="DR116" s="400"/>
      <c r="DS116" s="400"/>
      <c r="DT116" s="400"/>
      <c r="DU116" s="408"/>
      <c r="DV116" s="408"/>
      <c r="DW116" s="409"/>
      <c r="DX116" s="400"/>
      <c r="DY116" s="400"/>
      <c r="DZ116" s="400"/>
      <c r="EA116" s="400"/>
      <c r="EB116" s="400"/>
      <c r="EC116" s="400"/>
      <c r="ED116" s="400"/>
      <c r="EE116" s="400"/>
      <c r="EF116" s="408"/>
      <c r="EG116" s="408"/>
      <c r="EH116" s="400"/>
      <c r="EI116" s="400"/>
      <c r="EJ116" s="400"/>
      <c r="EK116" s="400"/>
    </row>
    <row r="117" spans="1:141">
      <c r="A117" s="79" t="s">
        <v>944</v>
      </c>
      <c r="B117" s="117">
        <v>54</v>
      </c>
      <c r="C117" s="123" t="s">
        <v>2131</v>
      </c>
      <c r="D117" s="124" t="s">
        <v>2395</v>
      </c>
      <c r="E117" s="125">
        <v>2012</v>
      </c>
      <c r="F117" s="79">
        <v>22137886</v>
      </c>
      <c r="G117" s="79">
        <v>1</v>
      </c>
      <c r="H117" s="126" t="s">
        <v>1803</v>
      </c>
      <c r="I117" s="127"/>
      <c r="J117" s="79">
        <v>0</v>
      </c>
      <c r="K117" s="79"/>
      <c r="L117" s="153">
        <v>0</v>
      </c>
      <c r="M117" s="128">
        <v>2</v>
      </c>
      <c r="N117" s="79" t="s">
        <v>1220</v>
      </c>
      <c r="O117" s="79" t="s">
        <v>1216</v>
      </c>
      <c r="P117" s="79" t="s">
        <v>1642</v>
      </c>
      <c r="Q117" s="79"/>
      <c r="R117" s="79" t="s">
        <v>24</v>
      </c>
      <c r="S117" s="79"/>
      <c r="T117" s="79"/>
      <c r="U117" s="79" t="s">
        <v>1501</v>
      </c>
      <c r="V117" s="79" t="s">
        <v>1643</v>
      </c>
      <c r="W117" s="79" t="s">
        <v>1381</v>
      </c>
      <c r="X117" s="79"/>
      <c r="Y117" s="79" t="s">
        <v>1641</v>
      </c>
      <c r="Z117" s="79" t="s">
        <v>1644</v>
      </c>
      <c r="AA117" s="233" t="s">
        <v>1917</v>
      </c>
      <c r="AB117" s="234" t="s">
        <v>3774</v>
      </c>
      <c r="AC117" s="121">
        <v>5</v>
      </c>
      <c r="AD117" s="202" t="s">
        <v>3760</v>
      </c>
      <c r="AE117" s="192">
        <v>0</v>
      </c>
      <c r="AF117" s="203" t="s">
        <v>3764</v>
      </c>
      <c r="AG117" s="411">
        <f>Table664[[#This Row],[Subjects_n_ptsd]]</f>
        <v>8</v>
      </c>
      <c r="AH117" s="121">
        <v>8</v>
      </c>
      <c r="AI117" s="121" t="s">
        <v>3761</v>
      </c>
      <c r="AJ117" s="121" t="s">
        <v>803</v>
      </c>
      <c r="AK117" s="121" t="s">
        <v>24</v>
      </c>
      <c r="AL117" s="121" t="s">
        <v>2494</v>
      </c>
      <c r="AM117" s="121" t="s">
        <v>24</v>
      </c>
      <c r="AN117" s="121" t="s">
        <v>24</v>
      </c>
      <c r="AO117" s="121" t="s">
        <v>24</v>
      </c>
      <c r="AP117" s="121" t="s">
        <v>3762</v>
      </c>
      <c r="AQ117" s="121">
        <v>1</v>
      </c>
      <c r="AR117" s="121" t="s">
        <v>3763</v>
      </c>
      <c r="AS117" s="121" t="s">
        <v>24</v>
      </c>
      <c r="AT117" s="121" t="s">
        <v>3725</v>
      </c>
      <c r="AU117" s="121" t="s">
        <v>3236</v>
      </c>
      <c r="AV117" s="156">
        <v>1</v>
      </c>
      <c r="AW117" s="156"/>
      <c r="AX117" s="156"/>
      <c r="AY117" s="156"/>
      <c r="AZ117" s="156"/>
      <c r="BA117" s="156"/>
      <c r="BB117" s="156"/>
      <c r="BC117" s="156"/>
      <c r="BD117" s="157" t="s">
        <v>3735</v>
      </c>
      <c r="BE117" s="134" t="s">
        <v>2789</v>
      </c>
      <c r="BF117" s="134">
        <v>1</v>
      </c>
      <c r="BG117" s="134" t="s">
        <v>3765</v>
      </c>
      <c r="BH117" s="134" t="s">
        <v>3769</v>
      </c>
      <c r="BI117" s="134" t="s">
        <v>2659</v>
      </c>
      <c r="BJ117" s="259" t="s">
        <v>3773</v>
      </c>
      <c r="BK117" s="138" t="s">
        <v>3766</v>
      </c>
      <c r="BL117" s="134">
        <v>38.945999999999998</v>
      </c>
      <c r="BM117" s="134" t="s">
        <v>3770</v>
      </c>
      <c r="BN117" s="134">
        <f>48.2998-Table664[[#This Row],[Outcome1_M]]</f>
        <v>9.3537999999999997</v>
      </c>
      <c r="BO117" s="138" t="s">
        <v>3767</v>
      </c>
      <c r="BP117" s="134">
        <v>47.750599999999999</v>
      </c>
      <c r="BQ117" s="134" t="s">
        <v>24</v>
      </c>
      <c r="BR117" s="134">
        <f>55.9359-Table664[[#This Row],[Outcome2_M]]</f>
        <v>8.185299999999998</v>
      </c>
      <c r="BS117" s="288" t="s">
        <v>3771</v>
      </c>
      <c r="BT117" s="289" t="s">
        <v>24</v>
      </c>
      <c r="BU117" s="138" t="s">
        <v>3768</v>
      </c>
      <c r="BV117" s="134">
        <v>68.247900000000001</v>
      </c>
      <c r="BW117" s="134" t="s">
        <v>24</v>
      </c>
      <c r="BX117" s="134">
        <f>78.104-Table664[[#This Row],[Outcome3_M]]</f>
        <v>9.8560999999999979</v>
      </c>
      <c r="BY117" s="138" t="s">
        <v>24</v>
      </c>
      <c r="BZ117" s="134" t="s">
        <v>24</v>
      </c>
      <c r="CA117" s="134" t="s">
        <v>24</v>
      </c>
      <c r="CB117" s="134" t="s">
        <v>24</v>
      </c>
      <c r="CC117" s="288" t="s">
        <v>3772</v>
      </c>
      <c r="CD117" s="289" t="s">
        <v>24</v>
      </c>
      <c r="CE117" s="276"/>
      <c r="CF117" s="308"/>
      <c r="CG117" s="138"/>
      <c r="CH117" s="134"/>
      <c r="CI117" s="134"/>
      <c r="CJ117" s="134"/>
      <c r="CK117" s="134"/>
      <c r="CL117" s="134"/>
      <c r="CM117" s="134"/>
      <c r="CN117" s="134"/>
      <c r="CO117" s="300"/>
      <c r="CP117" s="301"/>
      <c r="CQ117" s="134"/>
      <c r="CR117" s="134"/>
      <c r="CS117" s="134"/>
      <c r="CT117" s="134"/>
      <c r="CU117" s="134"/>
      <c r="CV117" s="134"/>
      <c r="CW117" s="134"/>
      <c r="CX117" s="134"/>
      <c r="CY117" s="300"/>
      <c r="CZ117" s="301"/>
      <c r="DA117" s="276"/>
      <c r="DB117" s="277"/>
      <c r="DC117" s="134"/>
      <c r="DD117" s="134"/>
      <c r="DE117" s="134"/>
      <c r="DF117" s="134"/>
      <c r="DG117" s="138"/>
      <c r="DH117" s="134"/>
      <c r="DI117" s="134"/>
      <c r="DJ117" s="134"/>
      <c r="DK117" s="301"/>
      <c r="DL117" s="301"/>
      <c r="DM117" s="134"/>
      <c r="DN117" s="134"/>
      <c r="DO117" s="134"/>
      <c r="DP117" s="134"/>
      <c r="DQ117" s="134"/>
      <c r="DR117" s="134"/>
      <c r="DS117" s="134"/>
      <c r="DT117" s="134"/>
      <c r="DU117" s="301"/>
      <c r="DV117" s="301"/>
      <c r="DW117" s="277"/>
      <c r="DX117" s="134"/>
      <c r="DY117" s="134"/>
      <c r="DZ117" s="134"/>
      <c r="EA117" s="134"/>
      <c r="EB117" s="134"/>
      <c r="EC117" s="134"/>
      <c r="ED117" s="134"/>
      <c r="EE117" s="134"/>
      <c r="EF117" s="301"/>
      <c r="EG117" s="301"/>
      <c r="EH117" s="134"/>
      <c r="EI117" s="134"/>
      <c r="EJ117" s="134"/>
      <c r="EK117" s="134"/>
    </row>
    <row r="118" spans="1:141">
      <c r="A118" s="79" t="s">
        <v>941</v>
      </c>
      <c r="B118" s="117">
        <v>55</v>
      </c>
      <c r="C118" s="123" t="s">
        <v>2133</v>
      </c>
      <c r="D118" s="124" t="s">
        <v>2397</v>
      </c>
      <c r="E118" s="125">
        <v>2012</v>
      </c>
      <c r="F118" s="79">
        <v>22421563</v>
      </c>
      <c r="G118" s="79">
        <v>1</v>
      </c>
      <c r="H118" s="170" t="s">
        <v>1803</v>
      </c>
      <c r="I118" s="127"/>
      <c r="J118" s="164">
        <v>1</v>
      </c>
      <c r="K118" s="79"/>
      <c r="L118" s="164">
        <v>0</v>
      </c>
      <c r="M118" s="128">
        <v>2</v>
      </c>
      <c r="N118" s="79" t="s">
        <v>1726</v>
      </c>
      <c r="O118" s="79" t="s">
        <v>1216</v>
      </c>
      <c r="P118" s="79" t="s">
        <v>1130</v>
      </c>
      <c r="Q118" s="79"/>
      <c r="R118" s="79" t="s">
        <v>1495</v>
      </c>
      <c r="S118" s="79" t="s">
        <v>803</v>
      </c>
      <c r="T118" s="79"/>
      <c r="U118" s="79" t="s">
        <v>1723</v>
      </c>
      <c r="V118" s="79"/>
      <c r="W118" s="79" t="s">
        <v>1649</v>
      </c>
      <c r="X118" s="79"/>
      <c r="Y118" s="79"/>
      <c r="Z118" s="79" t="s">
        <v>1698</v>
      </c>
      <c r="AA118" s="233">
        <v>1</v>
      </c>
      <c r="AB118" s="412" t="s">
        <v>3792</v>
      </c>
      <c r="AC118" s="121">
        <v>4</v>
      </c>
      <c r="AD118" s="202" t="s">
        <v>3779</v>
      </c>
      <c r="AE118" s="203" t="s">
        <v>3797</v>
      </c>
      <c r="AF118" s="203">
        <v>0</v>
      </c>
      <c r="AG118" s="121">
        <v>20</v>
      </c>
      <c r="AH118" s="121">
        <v>10</v>
      </c>
      <c r="AI118" s="121">
        <v>10</v>
      </c>
      <c r="AJ118" s="121" t="s">
        <v>803</v>
      </c>
      <c r="AK118" s="121" t="s">
        <v>803</v>
      </c>
      <c r="AL118" s="355" t="s">
        <v>3403</v>
      </c>
      <c r="AM118" s="121" t="s">
        <v>24</v>
      </c>
      <c r="AN118" s="355" t="s">
        <v>3403</v>
      </c>
      <c r="AO118" s="121" t="s">
        <v>24</v>
      </c>
      <c r="AP118" s="121" t="s">
        <v>3775</v>
      </c>
      <c r="AQ118" s="121">
        <v>1</v>
      </c>
      <c r="AR118" s="121" t="s">
        <v>3782</v>
      </c>
      <c r="AS118" s="121" t="s">
        <v>3776</v>
      </c>
      <c r="AT118" s="121" t="s">
        <v>1130</v>
      </c>
      <c r="AU118" s="121" t="s">
        <v>3279</v>
      </c>
      <c r="AV118" s="156">
        <v>1</v>
      </c>
      <c r="AW118" s="156"/>
      <c r="AX118" s="156"/>
      <c r="AY118" s="156"/>
      <c r="AZ118" s="156"/>
      <c r="BA118" s="156"/>
      <c r="BB118" s="156"/>
      <c r="BC118" s="156"/>
      <c r="BD118" s="157" t="s">
        <v>3780</v>
      </c>
      <c r="BE118" s="134" t="s">
        <v>1876</v>
      </c>
      <c r="BF118" s="134">
        <v>2</v>
      </c>
      <c r="BG118" s="134" t="s">
        <v>3778</v>
      </c>
      <c r="BH118" s="134" t="s">
        <v>3777</v>
      </c>
      <c r="BI118" s="134" t="s">
        <v>3808</v>
      </c>
      <c r="BJ118" s="259" t="s">
        <v>3794</v>
      </c>
      <c r="BK118" s="138" t="s">
        <v>3781</v>
      </c>
      <c r="BL118" s="134">
        <v>60.821899999999999</v>
      </c>
      <c r="BM118" s="134" t="s">
        <v>24</v>
      </c>
      <c r="BN118" s="134">
        <f>70.3196-Table664[[#This Row],[Outcome1_M]]</f>
        <v>9.4976999999999947</v>
      </c>
      <c r="BO118" s="138" t="s">
        <v>3783</v>
      </c>
      <c r="BP118" s="134">
        <v>8.5844699999999996</v>
      </c>
      <c r="BQ118" s="134" t="s">
        <v>24</v>
      </c>
      <c r="BR118" s="134">
        <f>12.6027-Table664[[#This Row],[Outcome2_M]]</f>
        <v>4.0182300000000009</v>
      </c>
      <c r="BS118" s="288" t="s">
        <v>3784</v>
      </c>
      <c r="BT118" s="289" t="s">
        <v>3793</v>
      </c>
      <c r="BU118" s="138" t="s">
        <v>3785</v>
      </c>
      <c r="BV118" s="134">
        <v>6.9387800000000004</v>
      </c>
      <c r="BW118" s="134" t="s">
        <v>24</v>
      </c>
      <c r="BX118" s="134">
        <f>9.52381-Table664[[#This Row],[Outcome3_M]]</f>
        <v>2.5850299999999988</v>
      </c>
      <c r="BY118" s="138" t="s">
        <v>3787</v>
      </c>
      <c r="BZ118" s="134">
        <v>4.0816299999999996</v>
      </c>
      <c r="CA118" s="134" t="s">
        <v>24</v>
      </c>
      <c r="CB118" s="134">
        <f>6.39456-Table664[[#This Row],[Outcome4_M]]</f>
        <v>2.3129300000000006</v>
      </c>
      <c r="CC118" s="288" t="s">
        <v>3789</v>
      </c>
      <c r="CD118" s="289" t="s">
        <v>3790</v>
      </c>
      <c r="CE118" s="276" t="s">
        <v>24</v>
      </c>
      <c r="CF118" s="308" t="s">
        <v>24</v>
      </c>
      <c r="CG118" s="138" t="s">
        <v>3786</v>
      </c>
      <c r="CH118" s="134">
        <v>42.176900000000003</v>
      </c>
      <c r="CI118" s="134" t="s">
        <v>24</v>
      </c>
      <c r="CJ118" s="134">
        <f>52.381-Table664[[#This Row],[Outcome5_M]]</f>
        <v>10.204099999999997</v>
      </c>
      <c r="CK118" s="138" t="s">
        <v>3788</v>
      </c>
      <c r="CL118" s="134">
        <v>8.4353700000000007</v>
      </c>
      <c r="CM118" s="134" t="s">
        <v>24</v>
      </c>
      <c r="CN118" s="134">
        <f>21.517-Table664[[#This Row],[Outcome6_M]]</f>
        <v>13.081629999999999</v>
      </c>
      <c r="CO118" s="300" t="s">
        <v>3791</v>
      </c>
      <c r="CP118" s="301" t="s">
        <v>2555</v>
      </c>
      <c r="CQ118" s="134" t="s">
        <v>24</v>
      </c>
      <c r="CR118" s="134" t="s">
        <v>24</v>
      </c>
      <c r="CS118" s="134"/>
      <c r="CT118" s="134"/>
      <c r="CU118" s="134"/>
      <c r="CV118" s="134"/>
      <c r="CW118" s="134"/>
      <c r="CX118" s="134"/>
      <c r="CY118" s="300"/>
      <c r="CZ118" s="301" t="s">
        <v>24</v>
      </c>
      <c r="DA118" s="317" t="s">
        <v>3796</v>
      </c>
      <c r="DB118" s="276" t="s">
        <v>3795</v>
      </c>
      <c r="DC118" s="134"/>
      <c r="DD118" s="134"/>
      <c r="DE118" s="134"/>
      <c r="DF118" s="134"/>
      <c r="DG118" s="138"/>
      <c r="DH118" s="134"/>
      <c r="DI118" s="134"/>
      <c r="DJ118" s="134"/>
      <c r="DK118" s="301"/>
      <c r="DL118" s="301"/>
      <c r="DM118" s="134"/>
      <c r="DN118" s="134"/>
      <c r="DO118" s="134"/>
      <c r="DP118" s="134"/>
      <c r="DQ118" s="134"/>
      <c r="DR118" s="134"/>
      <c r="DS118" s="134"/>
      <c r="DT118" s="134"/>
      <c r="DU118" s="301"/>
      <c r="DV118" s="301"/>
      <c r="DW118" s="277"/>
      <c r="DX118" s="134"/>
      <c r="DY118" s="134"/>
      <c r="DZ118" s="134"/>
      <c r="EA118" s="134"/>
      <c r="EB118" s="134"/>
      <c r="EC118" s="134"/>
      <c r="ED118" s="134"/>
      <c r="EE118" s="134"/>
      <c r="EF118" s="301"/>
      <c r="EG118" s="301"/>
      <c r="EH118" s="134"/>
      <c r="EI118" s="134"/>
      <c r="EJ118" s="134"/>
      <c r="EK118" s="134"/>
    </row>
    <row r="119" spans="1:141">
      <c r="A119" s="79" t="s">
        <v>942</v>
      </c>
      <c r="B119" s="117">
        <v>56</v>
      </c>
      <c r="C119" s="123" t="s">
        <v>2133</v>
      </c>
      <c r="D119" s="124" t="s">
        <v>2397</v>
      </c>
      <c r="E119" s="125">
        <v>2013</v>
      </c>
      <c r="F119" s="79">
        <v>23318688</v>
      </c>
      <c r="G119" s="79">
        <v>1</v>
      </c>
      <c r="H119" s="170" t="s">
        <v>1803</v>
      </c>
      <c r="I119" s="127"/>
      <c r="J119" s="164">
        <v>1</v>
      </c>
      <c r="K119" s="79"/>
      <c r="L119" s="164">
        <v>0</v>
      </c>
      <c r="M119" s="128">
        <v>2</v>
      </c>
      <c r="N119" s="79" t="s">
        <v>1725</v>
      </c>
      <c r="O119" s="79" t="s">
        <v>1216</v>
      </c>
      <c r="P119" s="79" t="s">
        <v>1130</v>
      </c>
      <c r="Q119" s="79"/>
      <c r="R119" s="79" t="s">
        <v>1495</v>
      </c>
      <c r="S119" s="79" t="s">
        <v>803</v>
      </c>
      <c r="T119" s="79"/>
      <c r="U119" s="79" t="s">
        <v>1724</v>
      </c>
      <c r="V119" s="79"/>
      <c r="W119" s="79" t="s">
        <v>1648</v>
      </c>
      <c r="X119" s="79"/>
      <c r="Y119" s="79" t="s">
        <v>1647</v>
      </c>
      <c r="Z119" s="79" t="s">
        <v>1698</v>
      </c>
      <c r="AA119" s="233" t="s">
        <v>1917</v>
      </c>
      <c r="AB119" s="412" t="s">
        <v>3792</v>
      </c>
      <c r="AC119" s="121">
        <v>4</v>
      </c>
      <c r="AD119" s="202" t="s">
        <v>3803</v>
      </c>
      <c r="AE119" s="203" t="s">
        <v>3798</v>
      </c>
      <c r="AF119" s="203">
        <v>1</v>
      </c>
      <c r="AG119" s="121">
        <v>20</v>
      </c>
      <c r="AH119" s="121">
        <v>10</v>
      </c>
      <c r="AI119" s="121">
        <v>10</v>
      </c>
      <c r="AJ119" s="121" t="s">
        <v>803</v>
      </c>
      <c r="AK119" s="121" t="s">
        <v>803</v>
      </c>
      <c r="AL119" s="355" t="s">
        <v>3403</v>
      </c>
      <c r="AM119" s="121" t="s">
        <v>24</v>
      </c>
      <c r="AN119" s="355" t="s">
        <v>3403</v>
      </c>
      <c r="AO119" s="121" t="s">
        <v>24</v>
      </c>
      <c r="AP119" s="121" t="s">
        <v>3775</v>
      </c>
      <c r="AQ119" s="121">
        <v>1</v>
      </c>
      <c r="AR119" s="121" t="s">
        <v>3782</v>
      </c>
      <c r="AS119" s="121" t="s">
        <v>3776</v>
      </c>
      <c r="AT119" s="121" t="s">
        <v>1130</v>
      </c>
      <c r="AU119" s="121" t="s">
        <v>3279</v>
      </c>
      <c r="AV119" s="156">
        <v>1</v>
      </c>
      <c r="AW119" s="156"/>
      <c r="AX119" s="156"/>
      <c r="AY119" s="156"/>
      <c r="AZ119" s="156"/>
      <c r="BA119" s="156"/>
      <c r="BB119" s="156"/>
      <c r="BC119" s="156"/>
      <c r="BD119" s="157" t="s">
        <v>3780</v>
      </c>
      <c r="BE119" s="134" t="s">
        <v>1876</v>
      </c>
      <c r="BF119" s="134">
        <v>2</v>
      </c>
      <c r="BG119" s="134" t="s">
        <v>3778</v>
      </c>
      <c r="BH119" s="134" t="s">
        <v>3777</v>
      </c>
      <c r="BI119" s="134" t="s">
        <v>3808</v>
      </c>
      <c r="BJ119" s="259" t="s">
        <v>3794</v>
      </c>
      <c r="BK119" s="138" t="s">
        <v>3801</v>
      </c>
      <c r="BL119" s="134">
        <v>60.578299999999999</v>
      </c>
      <c r="BM119" s="134" t="s">
        <v>24</v>
      </c>
      <c r="BN119" s="134">
        <f>70.0311-Table664[[#This Row],[Outcome1_M]]</f>
        <v>9.4527999999999963</v>
      </c>
      <c r="BO119" s="138" t="s">
        <v>3802</v>
      </c>
      <c r="BP119" s="134">
        <v>26.0871</v>
      </c>
      <c r="BQ119" s="134" t="s">
        <v>24</v>
      </c>
      <c r="BR119" s="134">
        <f>37.4657-Table664[[#This Row],[Outcome2_M]]</f>
        <v>11.378599999999999</v>
      </c>
      <c r="BS119" s="288" t="s">
        <v>3784</v>
      </c>
      <c r="BT119" s="289" t="s">
        <v>3814</v>
      </c>
      <c r="BU119" s="138" t="s">
        <v>3810</v>
      </c>
      <c r="BV119" s="134">
        <v>7.2820799999999997</v>
      </c>
      <c r="BW119" s="134" t="s">
        <v>24</v>
      </c>
      <c r="BX119" s="134">
        <f>9.55779-Table664[[#This Row],[Outcome3_M]]</f>
        <v>2.275710000000001</v>
      </c>
      <c r="BY119" s="138" t="s">
        <v>3811</v>
      </c>
      <c r="BZ119" s="134">
        <v>3.9507500000000002</v>
      </c>
      <c r="CA119" s="134" t="s">
        <v>24</v>
      </c>
      <c r="CB119" s="134">
        <f>6.40152-Table664[[#This Row],[Outcome4_M]]</f>
        <v>2.4507699999999994</v>
      </c>
      <c r="CC119" s="288" t="s">
        <v>3789</v>
      </c>
      <c r="CD119" s="289" t="s">
        <v>3790</v>
      </c>
      <c r="CE119" s="276" t="s">
        <v>24</v>
      </c>
      <c r="CF119" s="308" t="s">
        <v>24</v>
      </c>
      <c r="CG119" s="138" t="s">
        <v>3812</v>
      </c>
      <c r="CH119" s="134">
        <v>42.701799999999999</v>
      </c>
      <c r="CI119" s="134" t="s">
        <v>24</v>
      </c>
      <c r="CJ119" s="134">
        <f>52.8708-Table664[[#This Row],[Outcome5_M]]</f>
        <v>10.169000000000004</v>
      </c>
      <c r="CK119" s="138" t="s">
        <v>3813</v>
      </c>
      <c r="CL119" s="134">
        <v>8.5231300000000001</v>
      </c>
      <c r="CM119" s="134" t="s">
        <v>24</v>
      </c>
      <c r="CN119" s="134">
        <f>12.9091-Table664[[#This Row],[Outcome6_M]]</f>
        <v>4.3859700000000004</v>
      </c>
      <c r="CO119" s="300" t="s">
        <v>3791</v>
      </c>
      <c r="CP119" s="301" t="s">
        <v>2555</v>
      </c>
      <c r="CQ119" s="134"/>
      <c r="CR119" s="134"/>
      <c r="CS119" s="134"/>
      <c r="CT119" s="134"/>
      <c r="CU119" s="134"/>
      <c r="CV119" s="134"/>
      <c r="CW119" s="134"/>
      <c r="CX119" s="134"/>
      <c r="CY119" s="300"/>
      <c r="CZ119" s="301"/>
      <c r="DA119" s="317" t="s">
        <v>3796</v>
      </c>
      <c r="DB119" s="276" t="s">
        <v>3815</v>
      </c>
      <c r="DC119" s="134"/>
      <c r="DD119" s="134"/>
      <c r="DE119" s="134"/>
      <c r="DF119" s="134"/>
      <c r="DG119" s="138"/>
      <c r="DH119" s="134"/>
      <c r="DI119" s="134"/>
      <c r="DJ119" s="134"/>
      <c r="DK119" s="301"/>
      <c r="DL119" s="301"/>
      <c r="DM119" s="134"/>
      <c r="DN119" s="134"/>
      <c r="DO119" s="134"/>
      <c r="DP119" s="134"/>
      <c r="DQ119" s="134"/>
      <c r="DR119" s="134"/>
      <c r="DS119" s="134"/>
      <c r="DT119" s="134"/>
      <c r="DU119" s="301"/>
      <c r="DV119" s="301"/>
      <c r="DW119" s="277"/>
      <c r="DX119" s="134"/>
      <c r="DY119" s="134"/>
      <c r="DZ119" s="134"/>
      <c r="EA119" s="134"/>
      <c r="EB119" s="134"/>
      <c r="EC119" s="134"/>
      <c r="ED119" s="134"/>
      <c r="EE119" s="134"/>
      <c r="EF119" s="301"/>
      <c r="EG119" s="301"/>
      <c r="EH119" s="134"/>
      <c r="EI119" s="134"/>
      <c r="EJ119" s="134"/>
      <c r="EK119" s="134"/>
    </row>
    <row r="120" spans="1:141" s="36" customFormat="1">
      <c r="A120" s="127" t="s">
        <v>942</v>
      </c>
      <c r="B120" s="390">
        <v>56</v>
      </c>
      <c r="C120" s="391" t="s">
        <v>2133</v>
      </c>
      <c r="D120" s="392" t="s">
        <v>2397</v>
      </c>
      <c r="E120" s="393">
        <v>2013</v>
      </c>
      <c r="F120" s="127">
        <v>23318688</v>
      </c>
      <c r="G120" s="127">
        <v>1</v>
      </c>
      <c r="H120" s="413" t="s">
        <v>1803</v>
      </c>
      <c r="I120" s="127"/>
      <c r="J120" s="413">
        <v>1</v>
      </c>
      <c r="K120" s="127"/>
      <c r="L120" s="413">
        <v>0</v>
      </c>
      <c r="M120" s="221">
        <v>2</v>
      </c>
      <c r="N120" s="127" t="s">
        <v>1725</v>
      </c>
      <c r="O120" s="127" t="s">
        <v>1216</v>
      </c>
      <c r="P120" s="127" t="s">
        <v>1130</v>
      </c>
      <c r="Q120" s="127"/>
      <c r="R120" s="127" t="s">
        <v>1495</v>
      </c>
      <c r="S120" s="127" t="s">
        <v>803</v>
      </c>
      <c r="T120" s="127"/>
      <c r="U120" s="127" t="s">
        <v>1724</v>
      </c>
      <c r="V120" s="127"/>
      <c r="W120" s="127" t="s">
        <v>1648</v>
      </c>
      <c r="X120" s="127"/>
      <c r="Y120" s="127" t="s">
        <v>1647</v>
      </c>
      <c r="Z120" s="127" t="s">
        <v>1698</v>
      </c>
      <c r="AA120" s="416" t="s">
        <v>1917</v>
      </c>
      <c r="AB120" s="412" t="s">
        <v>3816</v>
      </c>
      <c r="AC120" s="163">
        <v>4</v>
      </c>
      <c r="AD120" s="396" t="s">
        <v>3804</v>
      </c>
      <c r="AE120" s="398" t="s">
        <v>3799</v>
      </c>
      <c r="AF120" s="398">
        <v>1</v>
      </c>
      <c r="AG120" s="163">
        <v>20</v>
      </c>
      <c r="AH120" s="163">
        <v>10</v>
      </c>
      <c r="AI120" s="163">
        <v>10</v>
      </c>
      <c r="AJ120" s="163" t="s">
        <v>803</v>
      </c>
      <c r="AK120" s="163" t="s">
        <v>803</v>
      </c>
      <c r="AL120" s="414" t="s">
        <v>3403</v>
      </c>
      <c r="AM120" s="163" t="s">
        <v>24</v>
      </c>
      <c r="AN120" s="414" t="s">
        <v>3403</v>
      </c>
      <c r="AO120" s="163" t="s">
        <v>24</v>
      </c>
      <c r="AP120" s="163" t="s">
        <v>3775</v>
      </c>
      <c r="AQ120" s="163">
        <v>1</v>
      </c>
      <c r="AR120" s="163" t="s">
        <v>3782</v>
      </c>
      <c r="AS120" s="163" t="s">
        <v>3776</v>
      </c>
      <c r="AT120" s="163" t="s">
        <v>1130</v>
      </c>
      <c r="AU120" s="163" t="s">
        <v>3279</v>
      </c>
      <c r="AV120" s="399"/>
      <c r="AW120" s="399"/>
      <c r="AX120" s="399"/>
      <c r="AY120" s="399"/>
      <c r="AZ120" s="399">
        <v>1</v>
      </c>
      <c r="BA120" s="399"/>
      <c r="BB120" s="399"/>
      <c r="BC120" s="399"/>
      <c r="BD120" s="232" t="s">
        <v>1893</v>
      </c>
      <c r="BE120" s="400" t="s">
        <v>1876</v>
      </c>
      <c r="BF120" s="400">
        <v>2</v>
      </c>
      <c r="BG120" s="400" t="s">
        <v>3800</v>
      </c>
      <c r="BH120" s="400" t="s">
        <v>3777</v>
      </c>
      <c r="BI120" s="400" t="s">
        <v>3809</v>
      </c>
      <c r="BJ120" s="401" t="s">
        <v>3806</v>
      </c>
      <c r="BK120" s="402" t="s">
        <v>3805</v>
      </c>
      <c r="BL120" s="400" t="s">
        <v>24</v>
      </c>
      <c r="BM120" s="400" t="s">
        <v>24</v>
      </c>
      <c r="BN120" s="400" t="s">
        <v>24</v>
      </c>
      <c r="BO120" s="402" t="s">
        <v>24</v>
      </c>
      <c r="BP120" s="400"/>
      <c r="BQ120" s="400"/>
      <c r="BR120" s="400"/>
      <c r="BS120" s="401" t="s">
        <v>3806</v>
      </c>
      <c r="BT120" s="404" t="s">
        <v>3807</v>
      </c>
      <c r="BU120" s="402"/>
      <c r="BV120" s="400"/>
      <c r="BW120" s="400"/>
      <c r="BX120" s="400"/>
      <c r="BY120" s="415"/>
      <c r="BZ120" s="400"/>
      <c r="CA120" s="400"/>
      <c r="CB120" s="400"/>
      <c r="CC120" s="403"/>
      <c r="CD120" s="404"/>
      <c r="CE120" s="405"/>
      <c r="CF120" s="406"/>
      <c r="CG120" s="402"/>
      <c r="CH120" s="400"/>
      <c r="CI120" s="400"/>
      <c r="CJ120" s="400"/>
      <c r="CK120" s="400"/>
      <c r="CL120" s="400"/>
      <c r="CM120" s="400"/>
      <c r="CN120" s="400"/>
      <c r="CO120" s="407"/>
      <c r="CP120" s="408"/>
      <c r="CQ120" s="400"/>
      <c r="CR120" s="400"/>
      <c r="CS120" s="400"/>
      <c r="CT120" s="400"/>
      <c r="CU120" s="400"/>
      <c r="CV120" s="400"/>
      <c r="CW120" s="400"/>
      <c r="CX120" s="400"/>
      <c r="CY120" s="407"/>
      <c r="CZ120" s="408"/>
      <c r="DA120" s="405"/>
      <c r="DB120" s="409"/>
      <c r="DC120" s="400"/>
      <c r="DD120" s="400"/>
      <c r="DE120" s="400"/>
      <c r="DF120" s="400"/>
      <c r="DG120" s="402"/>
      <c r="DH120" s="400"/>
      <c r="DI120" s="400"/>
      <c r="DJ120" s="400"/>
      <c r="DK120" s="408"/>
      <c r="DL120" s="408"/>
      <c r="DM120" s="400"/>
      <c r="DN120" s="400"/>
      <c r="DO120" s="400"/>
      <c r="DP120" s="400"/>
      <c r="DQ120" s="400"/>
      <c r="DR120" s="400"/>
      <c r="DS120" s="400"/>
      <c r="DT120" s="400"/>
      <c r="DU120" s="408"/>
      <c r="DV120" s="408"/>
      <c r="DW120" s="409"/>
      <c r="DX120" s="400"/>
      <c r="DY120" s="400"/>
      <c r="DZ120" s="400"/>
      <c r="EA120" s="400"/>
      <c r="EB120" s="400"/>
      <c r="EC120" s="400"/>
      <c r="ED120" s="400"/>
      <c r="EE120" s="400"/>
      <c r="EF120" s="408"/>
      <c r="EG120" s="408"/>
      <c r="EH120" s="400"/>
      <c r="EI120" s="400"/>
      <c r="EJ120" s="400"/>
      <c r="EK120" s="400"/>
    </row>
    <row r="121" spans="1:141">
      <c r="A121" s="79" t="s">
        <v>283</v>
      </c>
      <c r="B121" s="117">
        <v>57</v>
      </c>
      <c r="C121" s="123" t="s">
        <v>2012</v>
      </c>
      <c r="D121" s="124" t="s">
        <v>2244</v>
      </c>
      <c r="E121" s="125">
        <v>2016</v>
      </c>
      <c r="F121" s="79">
        <v>27459209</v>
      </c>
      <c r="G121" s="79">
        <v>1</v>
      </c>
      <c r="H121" s="126"/>
      <c r="I121" s="127"/>
      <c r="J121" s="79">
        <v>1</v>
      </c>
      <c r="K121" s="79"/>
      <c r="L121" s="79">
        <v>1</v>
      </c>
      <c r="M121" s="128">
        <v>1</v>
      </c>
      <c r="N121" s="79" t="s">
        <v>742</v>
      </c>
      <c r="O121" s="79" t="s">
        <v>1188</v>
      </c>
      <c r="P121" s="79" t="s">
        <v>25</v>
      </c>
      <c r="Q121" s="79">
        <v>1</v>
      </c>
      <c r="R121" s="79"/>
      <c r="S121" s="79"/>
      <c r="T121" s="79"/>
      <c r="U121" s="79" t="s">
        <v>743</v>
      </c>
      <c r="V121" s="79" t="s">
        <v>24</v>
      </c>
      <c r="W121" s="79" t="s">
        <v>24</v>
      </c>
      <c r="X121" s="79"/>
      <c r="Y121" s="79"/>
      <c r="Z121" s="79"/>
      <c r="AA121" s="154"/>
      <c r="AB121" s="155"/>
      <c r="AC121" s="121">
        <v>2</v>
      </c>
      <c r="AD121" s="202"/>
      <c r="AE121" s="192"/>
      <c r="AF121" s="203"/>
      <c r="AG121" s="121"/>
      <c r="AH121" s="121"/>
      <c r="AI121" s="121"/>
      <c r="AJ121" s="121"/>
      <c r="AK121" s="121"/>
      <c r="AL121" s="121"/>
      <c r="AM121" s="121"/>
      <c r="AN121" s="121"/>
      <c r="AO121" s="121"/>
      <c r="AP121" s="121"/>
      <c r="AQ121" s="121"/>
      <c r="AR121" s="121"/>
      <c r="AS121" s="121"/>
      <c r="AT121" s="121"/>
      <c r="AU121" s="121"/>
      <c r="AV121" s="156" t="s">
        <v>1917</v>
      </c>
      <c r="AW121" s="156"/>
      <c r="AX121" s="156"/>
      <c r="AY121" s="156"/>
      <c r="AZ121" s="156"/>
      <c r="BA121" s="156"/>
      <c r="BB121" s="156"/>
      <c r="BC121" s="156"/>
      <c r="BD121" s="157"/>
      <c r="BE121" s="134"/>
      <c r="BF121" s="134"/>
      <c r="BG121" s="134"/>
      <c r="BH121" s="134"/>
      <c r="BI121" s="134"/>
      <c r="BJ121" s="259"/>
      <c r="BK121" s="138"/>
      <c r="BL121" s="134"/>
      <c r="BM121" s="134"/>
      <c r="BN121" s="134"/>
      <c r="BO121" s="138"/>
      <c r="BP121" s="134"/>
      <c r="BQ121" s="134"/>
      <c r="BR121" s="134"/>
      <c r="BS121" s="288"/>
      <c r="BT121" s="289"/>
      <c r="BU121" s="138"/>
      <c r="BV121" s="134"/>
      <c r="BW121" s="134"/>
      <c r="BX121" s="134"/>
      <c r="BY121" s="138"/>
      <c r="BZ121" s="134"/>
      <c r="CA121" s="134"/>
      <c r="CB121" s="134"/>
      <c r="CC121" s="288"/>
      <c r="CD121" s="289"/>
      <c r="CE121" s="276"/>
      <c r="CF121" s="308"/>
      <c r="CG121" s="138"/>
      <c r="CH121" s="134"/>
      <c r="CI121" s="134"/>
      <c r="CJ121" s="134"/>
      <c r="CK121" s="134"/>
      <c r="CL121" s="134"/>
      <c r="CM121" s="134"/>
      <c r="CN121" s="134"/>
      <c r="CO121" s="300"/>
      <c r="CP121" s="301"/>
      <c r="CQ121" s="134"/>
      <c r="CR121" s="134"/>
      <c r="CS121" s="134"/>
      <c r="CT121" s="134"/>
      <c r="CU121" s="134"/>
      <c r="CV121" s="134"/>
      <c r="CW121" s="134"/>
      <c r="CX121" s="134"/>
      <c r="CY121" s="300"/>
      <c r="CZ121" s="301"/>
      <c r="DA121" s="276"/>
      <c r="DB121" s="277"/>
      <c r="DC121" s="134"/>
      <c r="DD121" s="134"/>
      <c r="DE121" s="134"/>
      <c r="DF121" s="134"/>
      <c r="DG121" s="138"/>
      <c r="DH121" s="134"/>
      <c r="DI121" s="134"/>
      <c r="DJ121" s="134"/>
      <c r="DK121" s="301"/>
      <c r="DL121" s="301"/>
      <c r="DM121" s="134"/>
      <c r="DN121" s="134"/>
      <c r="DO121" s="134"/>
      <c r="DP121" s="134"/>
      <c r="DQ121" s="134"/>
      <c r="DR121" s="134"/>
      <c r="DS121" s="134"/>
      <c r="DT121" s="134"/>
      <c r="DU121" s="301"/>
      <c r="DV121" s="301"/>
      <c r="DW121" s="277"/>
      <c r="DX121" s="134"/>
      <c r="DY121" s="134"/>
      <c r="DZ121" s="134"/>
      <c r="EA121" s="134"/>
      <c r="EB121" s="134"/>
      <c r="EC121" s="134"/>
      <c r="ED121" s="134"/>
      <c r="EE121" s="134"/>
      <c r="EF121" s="301"/>
      <c r="EG121" s="301"/>
      <c r="EH121" s="134"/>
      <c r="EI121" s="134"/>
      <c r="EJ121" s="134"/>
      <c r="EK121" s="134"/>
    </row>
    <row r="122" spans="1:141">
      <c r="A122" s="79" t="s">
        <v>945</v>
      </c>
      <c r="B122" s="117">
        <v>58</v>
      </c>
      <c r="C122" s="123" t="s">
        <v>2130</v>
      </c>
      <c r="D122" s="124" t="s">
        <v>2394</v>
      </c>
      <c r="E122" s="125">
        <v>2016</v>
      </c>
      <c r="F122" s="79">
        <v>26888649</v>
      </c>
      <c r="G122" s="79">
        <v>1</v>
      </c>
      <c r="H122" s="126" t="s">
        <v>1803</v>
      </c>
      <c r="I122" s="127"/>
      <c r="J122" s="79">
        <v>0</v>
      </c>
      <c r="K122" s="79"/>
      <c r="L122" s="153">
        <v>0</v>
      </c>
      <c r="M122" s="128">
        <v>2</v>
      </c>
      <c r="N122" s="79" t="s">
        <v>23</v>
      </c>
      <c r="O122" s="79"/>
      <c r="P122" s="79" t="s">
        <v>1639</v>
      </c>
      <c r="Q122" s="79"/>
      <c r="R122" s="79" t="s">
        <v>1319</v>
      </c>
      <c r="S122" s="79"/>
      <c r="T122" s="79"/>
      <c r="U122" s="79" t="s">
        <v>1669</v>
      </c>
      <c r="V122" s="79"/>
      <c r="W122" s="79"/>
      <c r="X122" s="79"/>
      <c r="Y122" s="79"/>
      <c r="Z122" s="79" t="s">
        <v>1640</v>
      </c>
      <c r="AA122" s="154"/>
      <c r="AB122" s="155"/>
      <c r="AC122" s="121">
        <v>5</v>
      </c>
      <c r="AD122" s="202"/>
      <c r="AE122" s="192"/>
      <c r="AF122" s="203"/>
      <c r="AG122" s="121"/>
      <c r="AH122" s="121"/>
      <c r="AI122" s="121"/>
      <c r="AJ122" s="121"/>
      <c r="AK122" s="121"/>
      <c r="AL122" s="121"/>
      <c r="AM122" s="121"/>
      <c r="AN122" s="121"/>
      <c r="AO122" s="121"/>
      <c r="AP122" s="121"/>
      <c r="AQ122" s="121"/>
      <c r="AR122" s="121"/>
      <c r="AS122" s="121"/>
      <c r="AT122" s="121"/>
      <c r="AU122" s="121"/>
      <c r="AV122" s="156" t="s">
        <v>1917</v>
      </c>
      <c r="AW122" s="156"/>
      <c r="AX122" s="156"/>
      <c r="AY122" s="156"/>
      <c r="AZ122" s="156"/>
      <c r="BA122" s="156"/>
      <c r="BB122" s="156"/>
      <c r="BC122" s="156"/>
      <c r="BD122" s="157"/>
      <c r="BE122" s="134"/>
      <c r="BF122" s="134"/>
      <c r="BG122" s="134"/>
      <c r="BH122" s="134"/>
      <c r="BI122" s="134"/>
      <c r="BJ122" s="259"/>
      <c r="BK122" s="138"/>
      <c r="BL122" s="134"/>
      <c r="BM122" s="134"/>
      <c r="BN122" s="134"/>
      <c r="BO122" s="138"/>
      <c r="BP122" s="134"/>
      <c r="BQ122" s="134"/>
      <c r="BR122" s="134"/>
      <c r="BS122" s="288"/>
      <c r="BT122" s="289"/>
      <c r="BU122" s="138"/>
      <c r="BV122" s="134"/>
      <c r="BW122" s="134"/>
      <c r="BX122" s="134"/>
      <c r="BY122" s="138"/>
      <c r="BZ122" s="134"/>
      <c r="CA122" s="134"/>
      <c r="CB122" s="134"/>
      <c r="CC122" s="288"/>
      <c r="CD122" s="289"/>
      <c r="CE122" s="276"/>
      <c r="CF122" s="308"/>
      <c r="CG122" s="138"/>
      <c r="CH122" s="134"/>
      <c r="CI122" s="134"/>
      <c r="CJ122" s="134"/>
      <c r="CK122" s="134"/>
      <c r="CL122" s="134"/>
      <c r="CM122" s="134"/>
      <c r="CN122" s="134"/>
      <c r="CO122" s="300"/>
      <c r="CP122" s="301"/>
      <c r="CQ122" s="134"/>
      <c r="CR122" s="134"/>
      <c r="CS122" s="134"/>
      <c r="CT122" s="134"/>
      <c r="CU122" s="134"/>
      <c r="CV122" s="134"/>
      <c r="CW122" s="134"/>
      <c r="CX122" s="134"/>
      <c r="CY122" s="300"/>
      <c r="CZ122" s="301"/>
      <c r="DA122" s="276"/>
      <c r="DB122" s="277"/>
      <c r="DC122" s="134"/>
      <c r="DD122" s="134"/>
      <c r="DE122" s="134"/>
      <c r="DF122" s="134"/>
      <c r="DG122" s="138"/>
      <c r="DH122" s="134"/>
      <c r="DI122" s="134"/>
      <c r="DJ122" s="134"/>
      <c r="DK122" s="301"/>
      <c r="DL122" s="301"/>
      <c r="DM122" s="134"/>
      <c r="DN122" s="134"/>
      <c r="DO122" s="134"/>
      <c r="DP122" s="134"/>
      <c r="DQ122" s="134"/>
      <c r="DR122" s="134"/>
      <c r="DS122" s="134"/>
      <c r="DT122" s="134"/>
      <c r="DU122" s="301"/>
      <c r="DV122" s="301"/>
      <c r="DW122" s="277"/>
      <c r="DX122" s="134"/>
      <c r="DY122" s="134"/>
      <c r="DZ122" s="134"/>
      <c r="EA122" s="134"/>
      <c r="EB122" s="134"/>
      <c r="EC122" s="134"/>
      <c r="ED122" s="134"/>
      <c r="EE122" s="134"/>
      <c r="EF122" s="301"/>
      <c r="EG122" s="301"/>
      <c r="EH122" s="134"/>
      <c r="EI122" s="134"/>
      <c r="EJ122" s="134"/>
      <c r="EK122" s="134"/>
    </row>
    <row r="123" spans="1:141">
      <c r="A123" s="79" t="s">
        <v>77</v>
      </c>
      <c r="B123" s="117">
        <v>59</v>
      </c>
      <c r="C123" s="123" t="s">
        <v>1920</v>
      </c>
      <c r="D123" s="124" t="s">
        <v>2137</v>
      </c>
      <c r="E123" s="125">
        <v>2013</v>
      </c>
      <c r="F123" s="79">
        <v>23823533</v>
      </c>
      <c r="G123" s="79">
        <v>1</v>
      </c>
      <c r="H123" s="126"/>
      <c r="I123" s="127"/>
      <c r="J123" s="79">
        <v>1</v>
      </c>
      <c r="K123" s="79"/>
      <c r="L123" s="79">
        <v>1</v>
      </c>
      <c r="M123" s="128">
        <v>1</v>
      </c>
      <c r="N123" s="79" t="s">
        <v>15</v>
      </c>
      <c r="O123" s="79" t="s">
        <v>1192</v>
      </c>
      <c r="P123" s="79" t="s">
        <v>17</v>
      </c>
      <c r="Q123" s="79">
        <v>1</v>
      </c>
      <c r="R123" s="79"/>
      <c r="S123" s="79"/>
      <c r="T123" s="79"/>
      <c r="U123" s="79" t="s">
        <v>16</v>
      </c>
      <c r="V123" s="79"/>
      <c r="W123" s="79"/>
      <c r="X123" s="79"/>
      <c r="Y123" s="79"/>
      <c r="Z123" s="79"/>
      <c r="AA123" s="154"/>
      <c r="AB123" s="155"/>
      <c r="AC123" s="121">
        <v>2</v>
      </c>
      <c r="AD123" s="202"/>
      <c r="AE123" s="192"/>
      <c r="AF123" s="203"/>
      <c r="AG123" s="121"/>
      <c r="AH123" s="121"/>
      <c r="AI123" s="121"/>
      <c r="AJ123" s="121"/>
      <c r="AK123" s="121"/>
      <c r="AL123" s="121"/>
      <c r="AM123" s="121"/>
      <c r="AN123" s="121"/>
      <c r="AO123" s="121"/>
      <c r="AP123" s="121"/>
      <c r="AQ123" s="121"/>
      <c r="AR123" s="121"/>
      <c r="AS123" s="121"/>
      <c r="AT123" s="121"/>
      <c r="AU123" s="121"/>
      <c r="AV123" s="156"/>
      <c r="AW123" s="156"/>
      <c r="AX123" s="156"/>
      <c r="AY123" s="156">
        <v>1</v>
      </c>
      <c r="AZ123" s="156"/>
      <c r="BA123" s="156"/>
      <c r="BB123" s="156"/>
      <c r="BC123" s="156"/>
      <c r="BD123" s="157"/>
      <c r="BE123" s="134"/>
      <c r="BF123" s="134"/>
      <c r="BG123" s="134"/>
      <c r="BH123" s="134"/>
      <c r="BI123" s="134"/>
      <c r="BJ123" s="259"/>
      <c r="BK123" s="138"/>
      <c r="BL123" s="134"/>
      <c r="BM123" s="134"/>
      <c r="BN123" s="134"/>
      <c r="BO123" s="138"/>
      <c r="BP123" s="134"/>
      <c r="BQ123" s="134"/>
      <c r="BR123" s="134"/>
      <c r="BS123" s="288"/>
      <c r="BT123" s="289"/>
      <c r="BU123" s="138"/>
      <c r="BV123" s="134"/>
      <c r="BW123" s="134"/>
      <c r="BX123" s="134"/>
      <c r="BY123" s="138"/>
      <c r="BZ123" s="134"/>
      <c r="CA123" s="134"/>
      <c r="CB123" s="134"/>
      <c r="CC123" s="288"/>
      <c r="CD123" s="289"/>
      <c r="CE123" s="276"/>
      <c r="CF123" s="308"/>
      <c r="CG123" s="138"/>
      <c r="CH123" s="134"/>
      <c r="CI123" s="134"/>
      <c r="CJ123" s="134"/>
      <c r="CK123" s="134"/>
      <c r="CL123" s="134"/>
      <c r="CM123" s="134"/>
      <c r="CN123" s="134"/>
      <c r="CO123" s="300"/>
      <c r="CP123" s="301"/>
      <c r="CQ123" s="134"/>
      <c r="CR123" s="134"/>
      <c r="CS123" s="134"/>
      <c r="CT123" s="134"/>
      <c r="CU123" s="134"/>
      <c r="CV123" s="134"/>
      <c r="CW123" s="134"/>
      <c r="CX123" s="134"/>
      <c r="CY123" s="300"/>
      <c r="CZ123" s="301"/>
      <c r="DA123" s="276"/>
      <c r="DB123" s="277"/>
      <c r="DC123" s="134"/>
      <c r="DD123" s="134"/>
      <c r="DE123" s="134"/>
      <c r="DF123" s="134"/>
      <c r="DG123" s="138"/>
      <c r="DH123" s="134"/>
      <c r="DI123" s="134"/>
      <c r="DJ123" s="134"/>
      <c r="DK123" s="301"/>
      <c r="DL123" s="301"/>
      <c r="DM123" s="134"/>
      <c r="DN123" s="134"/>
      <c r="DO123" s="134"/>
      <c r="DP123" s="134"/>
      <c r="DQ123" s="134"/>
      <c r="DR123" s="134"/>
      <c r="DS123" s="134"/>
      <c r="DT123" s="134"/>
      <c r="DU123" s="301"/>
      <c r="DV123" s="301"/>
      <c r="DW123" s="277"/>
      <c r="DX123" s="134"/>
      <c r="DY123" s="134"/>
      <c r="DZ123" s="134"/>
      <c r="EA123" s="134"/>
      <c r="EB123" s="134"/>
      <c r="EC123" s="134"/>
      <c r="ED123" s="134"/>
      <c r="EE123" s="134"/>
      <c r="EF123" s="301"/>
      <c r="EG123" s="301"/>
      <c r="EH123" s="134"/>
      <c r="EI123" s="134"/>
      <c r="EJ123" s="134"/>
      <c r="EK123" s="134"/>
    </row>
    <row r="124" spans="1:141">
      <c r="A124" s="79" t="s">
        <v>78</v>
      </c>
      <c r="B124" s="117">
        <v>60</v>
      </c>
      <c r="C124" s="123" t="s">
        <v>1921</v>
      </c>
      <c r="D124" s="124" t="s">
        <v>2138</v>
      </c>
      <c r="E124" s="125">
        <v>2015</v>
      </c>
      <c r="F124" s="79">
        <v>26372003</v>
      </c>
      <c r="G124" s="79">
        <v>1</v>
      </c>
      <c r="H124" s="126"/>
      <c r="I124" s="127"/>
      <c r="J124" s="79">
        <v>1</v>
      </c>
      <c r="K124" s="79"/>
      <c r="L124" s="79">
        <v>1</v>
      </c>
      <c r="M124" s="128">
        <v>1</v>
      </c>
      <c r="N124" s="79"/>
      <c r="O124" s="79" t="s">
        <v>1146</v>
      </c>
      <c r="P124" s="79" t="s">
        <v>20</v>
      </c>
      <c r="Q124" s="79">
        <v>1</v>
      </c>
      <c r="R124" s="79"/>
      <c r="S124" s="79"/>
      <c r="T124" s="79"/>
      <c r="U124" s="79" t="s">
        <v>19</v>
      </c>
      <c r="V124" s="79" t="s">
        <v>12</v>
      </c>
      <c r="W124" s="79" t="s">
        <v>12</v>
      </c>
      <c r="X124" s="79"/>
      <c r="Y124" s="79"/>
      <c r="Z124" s="79"/>
      <c r="AA124" s="154"/>
      <c r="AB124" s="155"/>
      <c r="AC124" s="121">
        <v>2</v>
      </c>
      <c r="AD124" s="202"/>
      <c r="AE124" s="192"/>
      <c r="AF124" s="203"/>
      <c r="AG124" s="121"/>
      <c r="AH124" s="121"/>
      <c r="AI124" s="121"/>
      <c r="AJ124" s="121"/>
      <c r="AK124" s="121"/>
      <c r="AL124" s="121"/>
      <c r="AM124" s="121"/>
      <c r="AN124" s="121"/>
      <c r="AO124" s="121"/>
      <c r="AP124" s="121"/>
      <c r="AQ124" s="121"/>
      <c r="AR124" s="121"/>
      <c r="AS124" s="121"/>
      <c r="AT124" s="121"/>
      <c r="AU124" s="121"/>
      <c r="AV124" s="156"/>
      <c r="AW124" s="156"/>
      <c r="AX124" s="156"/>
      <c r="AY124" s="156">
        <v>1</v>
      </c>
      <c r="AZ124" s="156"/>
      <c r="BA124" s="156">
        <v>1</v>
      </c>
      <c r="BB124" s="156"/>
      <c r="BC124" s="156"/>
      <c r="BD124" s="157"/>
      <c r="BE124" s="134"/>
      <c r="BF124" s="134"/>
      <c r="BG124" s="134"/>
      <c r="BH124" s="134"/>
      <c r="BI124" s="134"/>
      <c r="BJ124" s="259"/>
      <c r="BK124" s="138"/>
      <c r="BL124" s="134"/>
      <c r="BM124" s="134"/>
      <c r="BN124" s="134"/>
      <c r="BO124" s="138"/>
      <c r="BP124" s="134"/>
      <c r="BQ124" s="134"/>
      <c r="BR124" s="134"/>
      <c r="BS124" s="288"/>
      <c r="BT124" s="289"/>
      <c r="BU124" s="138"/>
      <c r="BV124" s="134"/>
      <c r="BW124" s="134"/>
      <c r="BX124" s="134"/>
      <c r="BY124" s="138"/>
      <c r="BZ124" s="134"/>
      <c r="CA124" s="134"/>
      <c r="CB124" s="134"/>
      <c r="CC124" s="288"/>
      <c r="CD124" s="289"/>
      <c r="CE124" s="276"/>
      <c r="CF124" s="308"/>
      <c r="CG124" s="138"/>
      <c r="CH124" s="134"/>
      <c r="CI124" s="134"/>
      <c r="CJ124" s="134"/>
      <c r="CK124" s="134"/>
      <c r="CL124" s="134"/>
      <c r="CM124" s="134"/>
      <c r="CN124" s="134"/>
      <c r="CO124" s="300"/>
      <c r="CP124" s="301"/>
      <c r="CQ124" s="134"/>
      <c r="CR124" s="134"/>
      <c r="CS124" s="134"/>
      <c r="CT124" s="134"/>
      <c r="CU124" s="134"/>
      <c r="CV124" s="134"/>
      <c r="CW124" s="134"/>
      <c r="CX124" s="134"/>
      <c r="CY124" s="300"/>
      <c r="CZ124" s="301"/>
      <c r="DA124" s="276"/>
      <c r="DB124" s="277"/>
      <c r="DC124" s="134"/>
      <c r="DD124" s="134"/>
      <c r="DE124" s="134"/>
      <c r="DF124" s="134"/>
      <c r="DG124" s="138"/>
      <c r="DH124" s="134"/>
      <c r="DI124" s="134"/>
      <c r="DJ124" s="134"/>
      <c r="DK124" s="301"/>
      <c r="DL124" s="301"/>
      <c r="DM124" s="134"/>
      <c r="DN124" s="134"/>
      <c r="DO124" s="134"/>
      <c r="DP124" s="134"/>
      <c r="DQ124" s="134"/>
      <c r="DR124" s="134"/>
      <c r="DS124" s="134"/>
      <c r="DT124" s="134"/>
      <c r="DU124" s="301"/>
      <c r="DV124" s="301"/>
      <c r="DW124" s="277"/>
      <c r="DX124" s="134"/>
      <c r="DY124" s="134"/>
      <c r="DZ124" s="134"/>
      <c r="EA124" s="134"/>
      <c r="EB124" s="134"/>
      <c r="EC124" s="134"/>
      <c r="ED124" s="134"/>
      <c r="EE124" s="134"/>
      <c r="EF124" s="301"/>
      <c r="EG124" s="301"/>
      <c r="EH124" s="134"/>
      <c r="EI124" s="134"/>
      <c r="EJ124" s="134"/>
      <c r="EK124" s="134"/>
    </row>
    <row r="125" spans="1:141">
      <c r="A125" s="79" t="s">
        <v>79</v>
      </c>
      <c r="B125" s="117">
        <v>61</v>
      </c>
      <c r="C125" s="123" t="s">
        <v>1922</v>
      </c>
      <c r="D125" s="124" t="s">
        <v>2139</v>
      </c>
      <c r="E125" s="125">
        <v>1999</v>
      </c>
      <c r="F125" s="79">
        <v>10217920</v>
      </c>
      <c r="G125" s="79">
        <v>1</v>
      </c>
      <c r="H125" s="126"/>
      <c r="I125" s="127"/>
      <c r="J125" s="164">
        <v>1</v>
      </c>
      <c r="K125" s="79" t="s">
        <v>1730</v>
      </c>
      <c r="L125" s="79">
        <v>1</v>
      </c>
      <c r="M125" s="128">
        <v>1</v>
      </c>
      <c r="N125" s="79" t="s">
        <v>23</v>
      </c>
      <c r="O125" s="79"/>
      <c r="P125" s="79" t="s">
        <v>25</v>
      </c>
      <c r="Q125" s="79">
        <v>1</v>
      </c>
      <c r="R125" s="79"/>
      <c r="S125" s="79"/>
      <c r="T125" s="79"/>
      <c r="U125" s="79" t="s">
        <v>23</v>
      </c>
      <c r="V125" s="79"/>
      <c r="W125" s="79"/>
      <c r="X125" s="79"/>
      <c r="Y125" s="79"/>
      <c r="Z125" s="79"/>
      <c r="AA125" s="154"/>
      <c r="AB125" s="155"/>
      <c r="AC125" s="121">
        <v>2</v>
      </c>
      <c r="AD125" s="202"/>
      <c r="AE125" s="192"/>
      <c r="AF125" s="203"/>
      <c r="AG125" s="121"/>
      <c r="AH125" s="121"/>
      <c r="AI125" s="121"/>
      <c r="AJ125" s="121"/>
      <c r="AK125" s="121"/>
      <c r="AL125" s="121"/>
      <c r="AM125" s="121"/>
      <c r="AN125" s="121"/>
      <c r="AO125" s="121"/>
      <c r="AP125" s="121"/>
      <c r="AQ125" s="121"/>
      <c r="AR125" s="121"/>
      <c r="AS125" s="121"/>
      <c r="AT125" s="121"/>
      <c r="AU125" s="121"/>
      <c r="AV125" s="156"/>
      <c r="AW125" s="156"/>
      <c r="AX125" s="156"/>
      <c r="AY125" s="156"/>
      <c r="AZ125" s="156"/>
      <c r="BA125" s="156"/>
      <c r="BB125" s="156"/>
      <c r="BC125" s="156"/>
      <c r="BD125" s="157"/>
      <c r="BE125" s="134"/>
      <c r="BF125" s="134"/>
      <c r="BG125" s="134"/>
      <c r="BH125" s="134"/>
      <c r="BI125" s="134"/>
      <c r="BJ125" s="259"/>
      <c r="BK125" s="138"/>
      <c r="BL125" s="134"/>
      <c r="BM125" s="134"/>
      <c r="BN125" s="134"/>
      <c r="BO125" s="138"/>
      <c r="BP125" s="134"/>
      <c r="BQ125" s="134"/>
      <c r="BR125" s="134"/>
      <c r="BS125" s="288"/>
      <c r="BT125" s="289"/>
      <c r="BU125" s="138"/>
      <c r="BV125" s="134"/>
      <c r="BW125" s="134"/>
      <c r="BX125" s="134"/>
      <c r="BY125" s="138"/>
      <c r="BZ125" s="134"/>
      <c r="CA125" s="134"/>
      <c r="CB125" s="134"/>
      <c r="CC125" s="288"/>
      <c r="CD125" s="289"/>
      <c r="CE125" s="276"/>
      <c r="CF125" s="308"/>
      <c r="CG125" s="138"/>
      <c r="CH125" s="134"/>
      <c r="CI125" s="134"/>
      <c r="CJ125" s="134"/>
      <c r="CK125" s="134"/>
      <c r="CL125" s="134"/>
      <c r="CM125" s="134"/>
      <c r="CN125" s="134"/>
      <c r="CO125" s="300"/>
      <c r="CP125" s="301"/>
      <c r="CQ125" s="134"/>
      <c r="CR125" s="134"/>
      <c r="CS125" s="134"/>
      <c r="CT125" s="134"/>
      <c r="CU125" s="134"/>
      <c r="CV125" s="134"/>
      <c r="CW125" s="134"/>
      <c r="CX125" s="134"/>
      <c r="CY125" s="300"/>
      <c r="CZ125" s="301"/>
      <c r="DA125" s="276"/>
      <c r="DB125" s="277"/>
      <c r="DC125" s="134"/>
      <c r="DD125" s="134"/>
      <c r="DE125" s="134"/>
      <c r="DF125" s="134"/>
      <c r="DG125" s="138"/>
      <c r="DH125" s="134"/>
      <c r="DI125" s="134"/>
      <c r="DJ125" s="134"/>
      <c r="DK125" s="301"/>
      <c r="DL125" s="301"/>
      <c r="DM125" s="134"/>
      <c r="DN125" s="134"/>
      <c r="DO125" s="134"/>
      <c r="DP125" s="134"/>
      <c r="DQ125" s="134"/>
      <c r="DR125" s="134"/>
      <c r="DS125" s="134"/>
      <c r="DT125" s="134"/>
      <c r="DU125" s="301"/>
      <c r="DV125" s="301"/>
      <c r="DW125" s="277"/>
      <c r="DX125" s="134"/>
      <c r="DY125" s="134"/>
      <c r="DZ125" s="134"/>
      <c r="EA125" s="134"/>
      <c r="EB125" s="134"/>
      <c r="EC125" s="134"/>
      <c r="ED125" s="134"/>
      <c r="EE125" s="134"/>
      <c r="EF125" s="301"/>
      <c r="EG125" s="301"/>
      <c r="EH125" s="134"/>
      <c r="EI125" s="134"/>
      <c r="EJ125" s="134"/>
      <c r="EK125" s="134"/>
    </row>
    <row r="126" spans="1:141">
      <c r="A126" s="79" t="s">
        <v>83</v>
      </c>
      <c r="B126" s="117">
        <v>62</v>
      </c>
      <c r="C126" s="123" t="s">
        <v>1923</v>
      </c>
      <c r="D126" s="124" t="s">
        <v>2140</v>
      </c>
      <c r="E126" s="125">
        <v>2013</v>
      </c>
      <c r="F126" s="79">
        <v>23496805</v>
      </c>
      <c r="G126" s="79">
        <v>1</v>
      </c>
      <c r="H126" s="126"/>
      <c r="I126" s="127"/>
      <c r="J126" s="79">
        <v>1</v>
      </c>
      <c r="K126" s="79"/>
      <c r="L126" s="79">
        <v>1</v>
      </c>
      <c r="M126" s="128">
        <v>1</v>
      </c>
      <c r="N126" s="79" t="s">
        <v>32</v>
      </c>
      <c r="O126" s="79" t="s">
        <v>1164</v>
      </c>
      <c r="P126" s="79" t="s">
        <v>25</v>
      </c>
      <c r="Q126" s="79">
        <v>1</v>
      </c>
      <c r="R126" s="79"/>
      <c r="S126" s="79"/>
      <c r="T126" s="79"/>
      <c r="U126" s="79" t="s">
        <v>30</v>
      </c>
      <c r="V126" s="79"/>
      <c r="W126" s="79"/>
      <c r="X126" s="79"/>
      <c r="Y126" s="79"/>
      <c r="Z126" s="79"/>
      <c r="AA126" s="154"/>
      <c r="AB126" s="155"/>
      <c r="AC126" s="121">
        <v>2</v>
      </c>
      <c r="AD126" s="202"/>
      <c r="AE126" s="192"/>
      <c r="AF126" s="203"/>
      <c r="AG126" s="121"/>
      <c r="AH126" s="121"/>
      <c r="AI126" s="121"/>
      <c r="AJ126" s="121"/>
      <c r="AK126" s="121"/>
      <c r="AL126" s="121"/>
      <c r="AM126" s="121"/>
      <c r="AN126" s="121"/>
      <c r="AO126" s="121"/>
      <c r="AP126" s="121"/>
      <c r="AQ126" s="121"/>
      <c r="AR126" s="121"/>
      <c r="AS126" s="121"/>
      <c r="AT126" s="121"/>
      <c r="AU126" s="121"/>
      <c r="AV126" s="156"/>
      <c r="AW126" s="156"/>
      <c r="AX126" s="156">
        <v>1</v>
      </c>
      <c r="AY126" s="156">
        <v>1</v>
      </c>
      <c r="AZ126" s="156"/>
      <c r="BA126" s="156"/>
      <c r="BB126" s="156"/>
      <c r="BC126" s="156"/>
      <c r="BD126" s="157"/>
      <c r="BE126" s="134"/>
      <c r="BF126" s="134"/>
      <c r="BG126" s="134"/>
      <c r="BH126" s="134"/>
      <c r="BI126" s="134"/>
      <c r="BJ126" s="259"/>
      <c r="BK126" s="138"/>
      <c r="BL126" s="134"/>
      <c r="BM126" s="134"/>
      <c r="BN126" s="134"/>
      <c r="BO126" s="138"/>
      <c r="BP126" s="134"/>
      <c r="BQ126" s="134"/>
      <c r="BR126" s="134"/>
      <c r="BS126" s="288"/>
      <c r="BT126" s="289"/>
      <c r="BU126" s="138"/>
      <c r="BV126" s="134"/>
      <c r="BW126" s="134"/>
      <c r="BX126" s="134"/>
      <c r="BY126" s="138"/>
      <c r="BZ126" s="134"/>
      <c r="CA126" s="134"/>
      <c r="CB126" s="134"/>
      <c r="CC126" s="288"/>
      <c r="CD126" s="289"/>
      <c r="CE126" s="276"/>
      <c r="CF126" s="308"/>
      <c r="CG126" s="138"/>
      <c r="CH126" s="134"/>
      <c r="CI126" s="134"/>
      <c r="CJ126" s="134"/>
      <c r="CK126" s="134"/>
      <c r="CL126" s="134"/>
      <c r="CM126" s="134"/>
      <c r="CN126" s="134"/>
      <c r="CO126" s="300"/>
      <c r="CP126" s="301"/>
      <c r="CQ126" s="134"/>
      <c r="CR126" s="134"/>
      <c r="CS126" s="134"/>
      <c r="CT126" s="134"/>
      <c r="CU126" s="134"/>
      <c r="CV126" s="134"/>
      <c r="CW126" s="134"/>
      <c r="CX126" s="134"/>
      <c r="CY126" s="300"/>
      <c r="CZ126" s="301"/>
      <c r="DA126" s="276"/>
      <c r="DB126" s="277"/>
      <c r="DC126" s="134"/>
      <c r="DD126" s="134"/>
      <c r="DE126" s="134"/>
      <c r="DF126" s="134"/>
      <c r="DG126" s="138"/>
      <c r="DH126" s="134"/>
      <c r="DI126" s="134"/>
      <c r="DJ126" s="134"/>
      <c r="DK126" s="301"/>
      <c r="DL126" s="301"/>
      <c r="DM126" s="134"/>
      <c r="DN126" s="134"/>
      <c r="DO126" s="134"/>
      <c r="DP126" s="134"/>
      <c r="DQ126" s="134"/>
      <c r="DR126" s="134"/>
      <c r="DS126" s="134"/>
      <c r="DT126" s="134"/>
      <c r="DU126" s="301"/>
      <c r="DV126" s="301"/>
      <c r="DW126" s="277"/>
      <c r="DX126" s="134"/>
      <c r="DY126" s="134"/>
      <c r="DZ126" s="134"/>
      <c r="EA126" s="134"/>
      <c r="EB126" s="134"/>
      <c r="EC126" s="134"/>
      <c r="ED126" s="134"/>
      <c r="EE126" s="134"/>
      <c r="EF126" s="301"/>
      <c r="EG126" s="301"/>
      <c r="EH126" s="134"/>
      <c r="EI126" s="134"/>
      <c r="EJ126" s="134"/>
      <c r="EK126" s="134"/>
    </row>
    <row r="127" spans="1:141">
      <c r="A127" s="79" t="s">
        <v>84</v>
      </c>
      <c r="B127" s="117">
        <v>63</v>
      </c>
      <c r="C127" s="123" t="s">
        <v>1924</v>
      </c>
      <c r="D127" s="124" t="s">
        <v>2141</v>
      </c>
      <c r="E127" s="125">
        <v>1996</v>
      </c>
      <c r="F127" s="79">
        <v>8770439</v>
      </c>
      <c r="G127" s="79">
        <v>1</v>
      </c>
      <c r="H127" s="126"/>
      <c r="I127" s="127"/>
      <c r="J127" s="164">
        <v>1</v>
      </c>
      <c r="K127" s="79"/>
      <c r="L127" s="79">
        <v>1</v>
      </c>
      <c r="M127" s="128">
        <v>1</v>
      </c>
      <c r="N127" s="79" t="s">
        <v>35</v>
      </c>
      <c r="O127" s="79" t="s">
        <v>1143</v>
      </c>
      <c r="P127" s="79" t="s">
        <v>25</v>
      </c>
      <c r="Q127" s="79">
        <v>1</v>
      </c>
      <c r="R127" s="79"/>
      <c r="S127" s="79"/>
      <c r="T127" s="79"/>
      <c r="U127" s="79" t="s">
        <v>34</v>
      </c>
      <c r="V127" s="79" t="s">
        <v>33</v>
      </c>
      <c r="W127" s="79" t="s">
        <v>33</v>
      </c>
      <c r="X127" s="79"/>
      <c r="Y127" s="79"/>
      <c r="Z127" s="79"/>
      <c r="AA127" s="154"/>
      <c r="AB127" s="155"/>
      <c r="AC127" s="121">
        <v>2</v>
      </c>
      <c r="AD127" s="202"/>
      <c r="AE127" s="192"/>
      <c r="AF127" s="203"/>
      <c r="AG127" s="121"/>
      <c r="AH127" s="121"/>
      <c r="AI127" s="121"/>
      <c r="AJ127" s="121"/>
      <c r="AK127" s="121"/>
      <c r="AL127" s="121"/>
      <c r="AM127" s="121"/>
      <c r="AN127" s="121"/>
      <c r="AO127" s="121"/>
      <c r="AP127" s="121"/>
      <c r="AQ127" s="121"/>
      <c r="AR127" s="121"/>
      <c r="AS127" s="121"/>
      <c r="AT127" s="121"/>
      <c r="AU127" s="121"/>
      <c r="AV127" s="156"/>
      <c r="AW127" s="156"/>
      <c r="AX127" s="156">
        <v>1</v>
      </c>
      <c r="AY127" s="156"/>
      <c r="AZ127" s="156"/>
      <c r="BA127" s="156"/>
      <c r="BB127" s="156"/>
      <c r="BC127" s="156"/>
      <c r="BD127" s="157"/>
      <c r="BE127" s="134"/>
      <c r="BF127" s="134"/>
      <c r="BG127" s="134"/>
      <c r="BH127" s="134"/>
      <c r="BI127" s="134"/>
      <c r="BJ127" s="259"/>
      <c r="BK127" s="138"/>
      <c r="BL127" s="134"/>
      <c r="BM127" s="134"/>
      <c r="BN127" s="134"/>
      <c r="BO127" s="138"/>
      <c r="BP127" s="134"/>
      <c r="BQ127" s="134"/>
      <c r="BR127" s="134"/>
      <c r="BS127" s="288"/>
      <c r="BT127" s="289"/>
      <c r="BU127" s="138"/>
      <c r="BV127" s="134"/>
      <c r="BW127" s="134"/>
      <c r="BX127" s="134"/>
      <c r="BY127" s="138"/>
      <c r="BZ127" s="134"/>
      <c r="CA127" s="134"/>
      <c r="CB127" s="134"/>
      <c r="CC127" s="288"/>
      <c r="CD127" s="289"/>
      <c r="CE127" s="276"/>
      <c r="CF127" s="308"/>
      <c r="CG127" s="138"/>
      <c r="CH127" s="134"/>
      <c r="CI127" s="134"/>
      <c r="CJ127" s="134"/>
      <c r="CK127" s="134"/>
      <c r="CL127" s="134"/>
      <c r="CM127" s="134"/>
      <c r="CN127" s="134"/>
      <c r="CO127" s="300"/>
      <c r="CP127" s="301"/>
      <c r="CQ127" s="134"/>
      <c r="CR127" s="134"/>
      <c r="CS127" s="134"/>
      <c r="CT127" s="134"/>
      <c r="CU127" s="134"/>
      <c r="CV127" s="134"/>
      <c r="CW127" s="134"/>
      <c r="CX127" s="134"/>
      <c r="CY127" s="300"/>
      <c r="CZ127" s="301"/>
      <c r="DA127" s="276"/>
      <c r="DB127" s="277"/>
      <c r="DC127" s="134"/>
      <c r="DD127" s="134"/>
      <c r="DE127" s="134"/>
      <c r="DF127" s="134"/>
      <c r="DG127" s="138"/>
      <c r="DH127" s="134"/>
      <c r="DI127" s="134"/>
      <c r="DJ127" s="134"/>
      <c r="DK127" s="301"/>
      <c r="DL127" s="301"/>
      <c r="DM127" s="134"/>
      <c r="DN127" s="134"/>
      <c r="DO127" s="134"/>
      <c r="DP127" s="134"/>
      <c r="DQ127" s="134"/>
      <c r="DR127" s="134"/>
      <c r="DS127" s="134"/>
      <c r="DT127" s="134"/>
      <c r="DU127" s="301"/>
      <c r="DV127" s="301"/>
      <c r="DW127" s="277"/>
      <c r="DX127" s="134"/>
      <c r="DY127" s="134"/>
      <c r="DZ127" s="134"/>
      <c r="EA127" s="134"/>
      <c r="EB127" s="134"/>
      <c r="EC127" s="134"/>
      <c r="ED127" s="134"/>
      <c r="EE127" s="134"/>
      <c r="EF127" s="301"/>
      <c r="EG127" s="301"/>
      <c r="EH127" s="134"/>
      <c r="EI127" s="134"/>
      <c r="EJ127" s="134"/>
      <c r="EK127" s="134"/>
    </row>
    <row r="128" spans="1:141">
      <c r="A128" s="79" t="s">
        <v>1115</v>
      </c>
      <c r="B128" s="117">
        <v>64</v>
      </c>
      <c r="C128" s="123" t="s">
        <v>2049</v>
      </c>
      <c r="D128" s="124" t="s">
        <v>2292</v>
      </c>
      <c r="E128" s="125">
        <v>2012</v>
      </c>
      <c r="F128" s="79">
        <v>22522023</v>
      </c>
      <c r="G128" s="79">
        <v>1</v>
      </c>
      <c r="H128" s="126" t="s">
        <v>1835</v>
      </c>
      <c r="I128" s="127"/>
      <c r="J128" s="79">
        <v>0</v>
      </c>
      <c r="K128" s="79"/>
      <c r="L128" s="79">
        <v>0</v>
      </c>
      <c r="M128" s="128">
        <v>2</v>
      </c>
      <c r="N128" s="79" t="s">
        <v>24</v>
      </c>
      <c r="O128" s="79" t="s">
        <v>1171</v>
      </c>
      <c r="P128" s="79" t="s">
        <v>1130</v>
      </c>
      <c r="Q128" s="79"/>
      <c r="R128" s="79" t="s">
        <v>1495</v>
      </c>
      <c r="S128" s="79" t="s">
        <v>1539</v>
      </c>
      <c r="T128" s="79" t="s">
        <v>23</v>
      </c>
      <c r="U128" s="79" t="s">
        <v>1799</v>
      </c>
      <c r="V128" s="79" t="s">
        <v>1131</v>
      </c>
      <c r="W128" s="79" t="s">
        <v>1132</v>
      </c>
      <c r="X128" s="79"/>
      <c r="Y128" s="79"/>
      <c r="Z128" s="79" t="s">
        <v>1798</v>
      </c>
      <c r="AA128" s="154"/>
      <c r="AB128" s="155"/>
      <c r="AC128" s="121">
        <v>4</v>
      </c>
      <c r="AD128" s="202"/>
      <c r="AE128" s="192"/>
      <c r="AF128" s="203"/>
      <c r="AG128" s="121"/>
      <c r="AH128" s="121"/>
      <c r="AI128" s="121"/>
      <c r="AJ128" s="121"/>
      <c r="AK128" s="121"/>
      <c r="AL128" s="121"/>
      <c r="AM128" s="121"/>
      <c r="AN128" s="121"/>
      <c r="AO128" s="121"/>
      <c r="AP128" s="121"/>
      <c r="AQ128" s="121"/>
      <c r="AR128" s="121"/>
      <c r="AS128" s="121"/>
      <c r="AT128" s="121"/>
      <c r="AU128" s="121"/>
      <c r="AV128" s="156"/>
      <c r="AW128" s="156"/>
      <c r="AX128" s="156"/>
      <c r="AY128" s="156"/>
      <c r="AZ128" s="156"/>
      <c r="BA128" s="156"/>
      <c r="BB128" s="156"/>
      <c r="BC128" s="156"/>
      <c r="BD128" s="157"/>
      <c r="BE128" s="134"/>
      <c r="BF128" s="134"/>
      <c r="BG128" s="134"/>
      <c r="BH128" s="134"/>
      <c r="BI128" s="134"/>
      <c r="BJ128" s="259"/>
      <c r="BK128" s="138"/>
      <c r="BL128" s="134"/>
      <c r="BM128" s="134"/>
      <c r="BN128" s="134"/>
      <c r="BO128" s="138"/>
      <c r="BP128" s="134"/>
      <c r="BQ128" s="134"/>
      <c r="BR128" s="134"/>
      <c r="BS128" s="288"/>
      <c r="BT128" s="289"/>
      <c r="BU128" s="138"/>
      <c r="BV128" s="134"/>
      <c r="BW128" s="134"/>
      <c r="BX128" s="134"/>
      <c r="BY128" s="138"/>
      <c r="BZ128" s="134"/>
      <c r="CA128" s="134"/>
      <c r="CB128" s="134"/>
      <c r="CC128" s="288"/>
      <c r="CD128" s="289"/>
      <c r="CE128" s="276"/>
      <c r="CF128" s="308"/>
      <c r="CG128" s="138"/>
      <c r="CH128" s="134"/>
      <c r="CI128" s="134"/>
      <c r="CJ128" s="134"/>
      <c r="CK128" s="134"/>
      <c r="CL128" s="134"/>
      <c r="CM128" s="134"/>
      <c r="CN128" s="134"/>
      <c r="CO128" s="300"/>
      <c r="CP128" s="301"/>
      <c r="CQ128" s="134"/>
      <c r="CR128" s="134"/>
      <c r="CS128" s="134"/>
      <c r="CT128" s="134"/>
      <c r="CU128" s="134"/>
      <c r="CV128" s="134"/>
      <c r="CW128" s="134"/>
      <c r="CX128" s="134"/>
      <c r="CY128" s="300"/>
      <c r="CZ128" s="301"/>
      <c r="DA128" s="276"/>
      <c r="DB128" s="277"/>
      <c r="DC128" s="134"/>
      <c r="DD128" s="134"/>
      <c r="DE128" s="134"/>
      <c r="DF128" s="134"/>
      <c r="DG128" s="138"/>
      <c r="DH128" s="134"/>
      <c r="DI128" s="134"/>
      <c r="DJ128" s="134"/>
      <c r="DK128" s="301"/>
      <c r="DL128" s="301"/>
      <c r="DM128" s="134"/>
      <c r="DN128" s="134"/>
      <c r="DO128" s="134"/>
      <c r="DP128" s="134"/>
      <c r="DQ128" s="134"/>
      <c r="DR128" s="134"/>
      <c r="DS128" s="134"/>
      <c r="DT128" s="134"/>
      <c r="DU128" s="301"/>
      <c r="DV128" s="301"/>
      <c r="DW128" s="277"/>
      <c r="DX128" s="134"/>
      <c r="DY128" s="134"/>
      <c r="DZ128" s="134"/>
      <c r="EA128" s="134"/>
      <c r="EB128" s="134"/>
      <c r="EC128" s="134"/>
      <c r="ED128" s="134"/>
      <c r="EE128" s="134"/>
      <c r="EF128" s="301"/>
      <c r="EG128" s="301"/>
      <c r="EH128" s="134"/>
      <c r="EI128" s="134"/>
      <c r="EJ128" s="134"/>
      <c r="EK128" s="134"/>
    </row>
    <row r="129" spans="1:141">
      <c r="A129" s="79" t="s">
        <v>87</v>
      </c>
      <c r="B129" s="117">
        <v>65</v>
      </c>
      <c r="C129" s="123" t="s">
        <v>1925</v>
      </c>
      <c r="D129" s="124" t="s">
        <v>2142</v>
      </c>
      <c r="E129" s="125">
        <v>2015</v>
      </c>
      <c r="F129" s="79">
        <v>26184460</v>
      </c>
      <c r="G129" s="79">
        <v>1</v>
      </c>
      <c r="H129" s="170" t="s">
        <v>1773</v>
      </c>
      <c r="I129" s="127" t="s">
        <v>1755</v>
      </c>
      <c r="J129" s="79">
        <v>0</v>
      </c>
      <c r="K129" s="79" t="s">
        <v>1731</v>
      </c>
      <c r="L129" s="79">
        <v>1</v>
      </c>
      <c r="M129" s="128">
        <v>1</v>
      </c>
      <c r="N129" s="79" t="s">
        <v>38</v>
      </c>
      <c r="O129" s="79" t="s">
        <v>1144</v>
      </c>
      <c r="P129" s="79" t="s">
        <v>25</v>
      </c>
      <c r="Q129" s="79">
        <v>1</v>
      </c>
      <c r="R129" s="79"/>
      <c r="S129" s="79"/>
      <c r="T129" s="79"/>
      <c r="U129" s="79"/>
      <c r="V129" s="79" t="s">
        <v>39</v>
      </c>
      <c r="W129" s="79"/>
      <c r="X129" s="79"/>
      <c r="Y129" s="79"/>
      <c r="Z129" s="79"/>
      <c r="AA129" s="154"/>
      <c r="AB129" s="155"/>
      <c r="AC129" s="121">
        <v>2</v>
      </c>
      <c r="AD129" s="202"/>
      <c r="AE129" s="192"/>
      <c r="AF129" s="203"/>
      <c r="AG129" s="121"/>
      <c r="AH129" s="121"/>
      <c r="AI129" s="121"/>
      <c r="AJ129" s="121"/>
      <c r="AK129" s="121"/>
      <c r="AL129" s="121"/>
      <c r="AM129" s="121"/>
      <c r="AN129" s="121"/>
      <c r="AO129" s="121"/>
      <c r="AP129" s="121"/>
      <c r="AQ129" s="121"/>
      <c r="AR129" s="121"/>
      <c r="AS129" s="121"/>
      <c r="AT129" s="121"/>
      <c r="AU129" s="121"/>
      <c r="AV129" s="156"/>
      <c r="AW129" s="156"/>
      <c r="AX129" s="156"/>
      <c r="AY129" s="156"/>
      <c r="AZ129" s="156"/>
      <c r="BA129" s="156"/>
      <c r="BB129" s="156"/>
      <c r="BC129" s="156">
        <v>1</v>
      </c>
      <c r="BD129" s="157"/>
      <c r="BE129" s="134"/>
      <c r="BF129" s="134"/>
      <c r="BG129" s="134"/>
      <c r="BH129" s="134"/>
      <c r="BI129" s="134"/>
      <c r="BJ129" s="259"/>
      <c r="BK129" s="138"/>
      <c r="BL129" s="134"/>
      <c r="BM129" s="134"/>
      <c r="BN129" s="134"/>
      <c r="BO129" s="138"/>
      <c r="BP129" s="134"/>
      <c r="BQ129" s="134"/>
      <c r="BR129" s="134"/>
      <c r="BS129" s="288"/>
      <c r="BT129" s="289"/>
      <c r="BU129" s="138"/>
      <c r="BV129" s="134"/>
      <c r="BW129" s="134"/>
      <c r="BX129" s="134"/>
      <c r="BY129" s="138"/>
      <c r="BZ129" s="134"/>
      <c r="CA129" s="134"/>
      <c r="CB129" s="134"/>
      <c r="CC129" s="288"/>
      <c r="CD129" s="289"/>
      <c r="CE129" s="276"/>
      <c r="CF129" s="308"/>
      <c r="CG129" s="138"/>
      <c r="CH129" s="134"/>
      <c r="CI129" s="134"/>
      <c r="CJ129" s="134"/>
      <c r="CK129" s="134"/>
      <c r="CL129" s="134"/>
      <c r="CM129" s="134"/>
      <c r="CN129" s="134"/>
      <c r="CO129" s="300"/>
      <c r="CP129" s="301"/>
      <c r="CQ129" s="134"/>
      <c r="CR129" s="134"/>
      <c r="CS129" s="134"/>
      <c r="CT129" s="134"/>
      <c r="CU129" s="134"/>
      <c r="CV129" s="134"/>
      <c r="CW129" s="134"/>
      <c r="CX129" s="134"/>
      <c r="CY129" s="300"/>
      <c r="CZ129" s="301"/>
      <c r="DA129" s="276"/>
      <c r="DB129" s="277"/>
      <c r="DC129" s="134"/>
      <c r="DD129" s="134"/>
      <c r="DE129" s="134"/>
      <c r="DF129" s="134"/>
      <c r="DG129" s="138"/>
      <c r="DH129" s="134"/>
      <c r="DI129" s="134"/>
      <c r="DJ129" s="134"/>
      <c r="DK129" s="301"/>
      <c r="DL129" s="301"/>
      <c r="DM129" s="134"/>
      <c r="DN129" s="134"/>
      <c r="DO129" s="134"/>
      <c r="DP129" s="134"/>
      <c r="DQ129" s="134"/>
      <c r="DR129" s="134"/>
      <c r="DS129" s="134"/>
      <c r="DT129" s="134"/>
      <c r="DU129" s="301"/>
      <c r="DV129" s="301"/>
      <c r="DW129" s="277"/>
      <c r="DX129" s="134"/>
      <c r="DY129" s="134"/>
      <c r="DZ129" s="134"/>
      <c r="EA129" s="134"/>
      <c r="EB129" s="134"/>
      <c r="EC129" s="134"/>
      <c r="ED129" s="134"/>
      <c r="EE129" s="134"/>
      <c r="EF129" s="301"/>
      <c r="EG129" s="301"/>
      <c r="EH129" s="134"/>
      <c r="EI129" s="134"/>
      <c r="EJ129" s="134"/>
      <c r="EK129" s="134"/>
    </row>
    <row r="130" spans="1:141">
      <c r="A130" s="79" t="s">
        <v>1114</v>
      </c>
      <c r="B130" s="117">
        <v>66</v>
      </c>
      <c r="C130" s="123" t="s">
        <v>2050</v>
      </c>
      <c r="D130" s="124" t="s">
        <v>2293</v>
      </c>
      <c r="E130" s="125">
        <v>2011</v>
      </c>
      <c r="F130" s="79">
        <v>21843541</v>
      </c>
      <c r="G130" s="79">
        <v>1</v>
      </c>
      <c r="H130" s="126">
        <v>1</v>
      </c>
      <c r="I130" s="127" t="s">
        <v>1786</v>
      </c>
      <c r="J130" s="164">
        <v>1</v>
      </c>
      <c r="K130" s="79"/>
      <c r="L130" s="79">
        <v>0</v>
      </c>
      <c r="M130" s="128">
        <v>2</v>
      </c>
      <c r="N130" s="79" t="s">
        <v>1133</v>
      </c>
      <c r="O130" s="79" t="s">
        <v>1170</v>
      </c>
      <c r="P130" s="79" t="s">
        <v>1127</v>
      </c>
      <c r="Q130" s="79"/>
      <c r="R130" s="79" t="s">
        <v>1543</v>
      </c>
      <c r="S130" s="79" t="s">
        <v>23</v>
      </c>
      <c r="T130" s="79" t="s">
        <v>23</v>
      </c>
      <c r="U130" s="79" t="s">
        <v>23</v>
      </c>
      <c r="V130" s="79" t="s">
        <v>1134</v>
      </c>
      <c r="W130" s="79" t="s">
        <v>24</v>
      </c>
      <c r="X130" s="79"/>
      <c r="Y130" s="79"/>
      <c r="Z130" s="79" t="s">
        <v>1135</v>
      </c>
      <c r="AA130" s="154"/>
      <c r="AB130" s="155"/>
      <c r="AC130" s="121">
        <v>4</v>
      </c>
      <c r="AD130" s="202"/>
      <c r="AE130" s="192"/>
      <c r="AF130" s="203"/>
      <c r="AG130" s="121"/>
      <c r="AH130" s="121"/>
      <c r="AI130" s="121"/>
      <c r="AJ130" s="121"/>
      <c r="AK130" s="121"/>
      <c r="AL130" s="121"/>
      <c r="AM130" s="121"/>
      <c r="AN130" s="121"/>
      <c r="AO130" s="121"/>
      <c r="AP130" s="121"/>
      <c r="AQ130" s="121"/>
      <c r="AR130" s="121"/>
      <c r="AS130" s="121"/>
      <c r="AT130" s="121"/>
      <c r="AU130" s="121"/>
      <c r="AV130" s="156"/>
      <c r="AW130" s="156"/>
      <c r="AX130" s="156"/>
      <c r="AY130" s="156" t="s">
        <v>1917</v>
      </c>
      <c r="AZ130" s="156"/>
      <c r="BA130" s="156"/>
      <c r="BB130" s="156"/>
      <c r="BC130" s="156"/>
      <c r="BD130" s="157"/>
      <c r="BE130" s="134"/>
      <c r="BF130" s="134"/>
      <c r="BG130" s="134"/>
      <c r="BH130" s="134"/>
      <c r="BI130" s="134"/>
      <c r="BJ130" s="259"/>
      <c r="BK130" s="138"/>
      <c r="BL130" s="134"/>
      <c r="BM130" s="134"/>
      <c r="BN130" s="134"/>
      <c r="BO130" s="138"/>
      <c r="BP130" s="134"/>
      <c r="BQ130" s="134"/>
      <c r="BR130" s="134"/>
      <c r="BS130" s="288"/>
      <c r="BT130" s="289"/>
      <c r="BU130" s="138"/>
      <c r="BV130" s="134"/>
      <c r="BW130" s="134"/>
      <c r="BX130" s="134"/>
      <c r="BY130" s="138"/>
      <c r="BZ130" s="134"/>
      <c r="CA130" s="134"/>
      <c r="CB130" s="134"/>
      <c r="CC130" s="288"/>
      <c r="CD130" s="289"/>
      <c r="CE130" s="276"/>
      <c r="CF130" s="308"/>
      <c r="CG130" s="138"/>
      <c r="CH130" s="134"/>
      <c r="CI130" s="134"/>
      <c r="CJ130" s="134"/>
      <c r="CK130" s="134"/>
      <c r="CL130" s="134"/>
      <c r="CM130" s="134"/>
      <c r="CN130" s="134"/>
      <c r="CO130" s="300"/>
      <c r="CP130" s="301"/>
      <c r="CQ130" s="134"/>
      <c r="CR130" s="134"/>
      <c r="CS130" s="134"/>
      <c r="CT130" s="134"/>
      <c r="CU130" s="134"/>
      <c r="CV130" s="134"/>
      <c r="CW130" s="134"/>
      <c r="CX130" s="134"/>
      <c r="CY130" s="300"/>
      <c r="CZ130" s="301"/>
      <c r="DA130" s="276"/>
      <c r="DB130" s="277"/>
      <c r="DC130" s="134"/>
      <c r="DD130" s="134"/>
      <c r="DE130" s="134"/>
      <c r="DF130" s="134"/>
      <c r="DG130" s="138"/>
      <c r="DH130" s="134"/>
      <c r="DI130" s="134"/>
      <c r="DJ130" s="134"/>
      <c r="DK130" s="301"/>
      <c r="DL130" s="301"/>
      <c r="DM130" s="134"/>
      <c r="DN130" s="134"/>
      <c r="DO130" s="134"/>
      <c r="DP130" s="134"/>
      <c r="DQ130" s="134"/>
      <c r="DR130" s="134"/>
      <c r="DS130" s="134"/>
      <c r="DT130" s="134"/>
      <c r="DU130" s="301"/>
      <c r="DV130" s="301"/>
      <c r="DW130" s="277"/>
      <c r="DX130" s="134"/>
      <c r="DY130" s="134"/>
      <c r="DZ130" s="134"/>
      <c r="EA130" s="134"/>
      <c r="EB130" s="134"/>
      <c r="EC130" s="134"/>
      <c r="ED130" s="134"/>
      <c r="EE130" s="134"/>
      <c r="EF130" s="301"/>
      <c r="EG130" s="301"/>
      <c r="EH130" s="134"/>
      <c r="EI130" s="134"/>
      <c r="EJ130" s="134"/>
      <c r="EK130" s="134"/>
    </row>
    <row r="131" spans="1:141">
      <c r="A131" s="79" t="s">
        <v>90</v>
      </c>
      <c r="B131" s="117">
        <v>67</v>
      </c>
      <c r="C131" s="123" t="s">
        <v>1926</v>
      </c>
      <c r="D131" s="124" t="s">
        <v>2143</v>
      </c>
      <c r="E131" s="125">
        <v>2012</v>
      </c>
      <c r="F131" s="79">
        <v>23341282</v>
      </c>
      <c r="G131" s="79">
        <v>1</v>
      </c>
      <c r="H131" s="126"/>
      <c r="I131" s="127"/>
      <c r="J131" s="79">
        <v>1</v>
      </c>
      <c r="K131" s="79"/>
      <c r="L131" s="79">
        <v>1</v>
      </c>
      <c r="M131" s="128">
        <v>1</v>
      </c>
      <c r="N131" s="79" t="s">
        <v>46</v>
      </c>
      <c r="O131" s="79" t="s">
        <v>1143</v>
      </c>
      <c r="P131" s="79" t="s">
        <v>47</v>
      </c>
      <c r="Q131" s="79">
        <v>1</v>
      </c>
      <c r="R131" s="79"/>
      <c r="S131" s="79"/>
      <c r="T131" s="79"/>
      <c r="U131" s="79" t="s">
        <v>46</v>
      </c>
      <c r="V131" s="79" t="s">
        <v>12</v>
      </c>
      <c r="W131" s="79" t="s">
        <v>12</v>
      </c>
      <c r="X131" s="79"/>
      <c r="Y131" s="79"/>
      <c r="Z131" s="79"/>
      <c r="AA131" s="154"/>
      <c r="AB131" s="155"/>
      <c r="AC131" s="121">
        <v>2</v>
      </c>
      <c r="AD131" s="202"/>
      <c r="AE131" s="192"/>
      <c r="AF131" s="203"/>
      <c r="AG131" s="121"/>
      <c r="AH131" s="121"/>
      <c r="AI131" s="121"/>
      <c r="AJ131" s="121"/>
      <c r="AK131" s="121"/>
      <c r="AL131" s="121"/>
      <c r="AM131" s="121"/>
      <c r="AN131" s="121"/>
      <c r="AO131" s="121"/>
      <c r="AP131" s="121"/>
      <c r="AQ131" s="121"/>
      <c r="AR131" s="121"/>
      <c r="AS131" s="121"/>
      <c r="AT131" s="121"/>
      <c r="AU131" s="121"/>
      <c r="AV131" s="156"/>
      <c r="AW131" s="156"/>
      <c r="AX131" s="156">
        <v>1</v>
      </c>
      <c r="AY131" s="156"/>
      <c r="AZ131" s="156"/>
      <c r="BA131" s="156"/>
      <c r="BB131" s="156"/>
      <c r="BC131" s="156"/>
      <c r="BD131" s="157"/>
      <c r="BE131" s="134"/>
      <c r="BF131" s="134"/>
      <c r="BG131" s="134"/>
      <c r="BH131" s="134"/>
      <c r="BI131" s="134"/>
      <c r="BJ131" s="259"/>
      <c r="BK131" s="138"/>
      <c r="BL131" s="134"/>
      <c r="BM131" s="134"/>
      <c r="BN131" s="134"/>
      <c r="BO131" s="138"/>
      <c r="BP131" s="134"/>
      <c r="BQ131" s="134"/>
      <c r="BR131" s="134"/>
      <c r="BS131" s="288"/>
      <c r="BT131" s="289"/>
      <c r="BU131" s="138"/>
      <c r="BV131" s="134"/>
      <c r="BW131" s="134"/>
      <c r="BX131" s="134"/>
      <c r="BY131" s="138"/>
      <c r="BZ131" s="134"/>
      <c r="CA131" s="134"/>
      <c r="CB131" s="134"/>
      <c r="CC131" s="288"/>
      <c r="CD131" s="289"/>
      <c r="CE131" s="276"/>
      <c r="CF131" s="308"/>
      <c r="CG131" s="138"/>
      <c r="CH131" s="134"/>
      <c r="CI131" s="134"/>
      <c r="CJ131" s="134"/>
      <c r="CK131" s="134"/>
      <c r="CL131" s="134"/>
      <c r="CM131" s="134"/>
      <c r="CN131" s="134"/>
      <c r="CO131" s="300"/>
      <c r="CP131" s="301"/>
      <c r="CQ131" s="134"/>
      <c r="CR131" s="134"/>
      <c r="CS131" s="134"/>
      <c r="CT131" s="134"/>
      <c r="CU131" s="134"/>
      <c r="CV131" s="134"/>
      <c r="CW131" s="134"/>
      <c r="CX131" s="134"/>
      <c r="CY131" s="300"/>
      <c r="CZ131" s="301"/>
      <c r="DA131" s="276"/>
      <c r="DB131" s="277"/>
      <c r="DC131" s="134"/>
      <c r="DD131" s="134"/>
      <c r="DE131" s="134"/>
      <c r="DF131" s="134"/>
      <c r="DG131" s="138"/>
      <c r="DH131" s="134"/>
      <c r="DI131" s="134"/>
      <c r="DJ131" s="134"/>
      <c r="DK131" s="301"/>
      <c r="DL131" s="301"/>
      <c r="DM131" s="134"/>
      <c r="DN131" s="134"/>
      <c r="DO131" s="134"/>
      <c r="DP131" s="134"/>
      <c r="DQ131" s="134"/>
      <c r="DR131" s="134"/>
      <c r="DS131" s="134"/>
      <c r="DT131" s="134"/>
      <c r="DU131" s="301"/>
      <c r="DV131" s="301"/>
      <c r="DW131" s="277"/>
      <c r="DX131" s="134"/>
      <c r="DY131" s="134"/>
      <c r="DZ131" s="134"/>
      <c r="EA131" s="134"/>
      <c r="EB131" s="134"/>
      <c r="EC131" s="134"/>
      <c r="ED131" s="134"/>
      <c r="EE131" s="134"/>
      <c r="EF131" s="301"/>
      <c r="EG131" s="301"/>
      <c r="EH131" s="134"/>
      <c r="EI131" s="134"/>
      <c r="EJ131" s="134"/>
      <c r="EK131" s="134"/>
    </row>
    <row r="132" spans="1:141">
      <c r="A132" s="79" t="s">
        <v>1112</v>
      </c>
      <c r="B132" s="117">
        <v>68</v>
      </c>
      <c r="C132" s="123" t="s">
        <v>2051</v>
      </c>
      <c r="D132" s="124" t="s">
        <v>2294</v>
      </c>
      <c r="E132" s="125">
        <v>2011</v>
      </c>
      <c r="F132" s="79">
        <v>20849863</v>
      </c>
      <c r="G132" s="79">
        <v>1</v>
      </c>
      <c r="H132" s="126">
        <v>1</v>
      </c>
      <c r="I132" s="127"/>
      <c r="J132" s="79">
        <v>0</v>
      </c>
      <c r="K132" s="79"/>
      <c r="L132" s="79">
        <v>0</v>
      </c>
      <c r="M132" s="128">
        <v>2</v>
      </c>
      <c r="N132" s="79" t="s">
        <v>1834</v>
      </c>
      <c r="O132" s="79" t="s">
        <v>24</v>
      </c>
      <c r="P132" s="79" t="s">
        <v>1127</v>
      </c>
      <c r="Q132" s="79"/>
      <c r="R132" s="79" t="s">
        <v>1541</v>
      </c>
      <c r="S132" s="79" t="s">
        <v>23</v>
      </c>
      <c r="T132" s="79" t="s">
        <v>23</v>
      </c>
      <c r="U132" s="79" t="s">
        <v>1813</v>
      </c>
      <c r="V132" s="79" t="s">
        <v>23</v>
      </c>
      <c r="W132" s="79" t="s">
        <v>1137</v>
      </c>
      <c r="X132" s="79"/>
      <c r="Y132" s="79"/>
      <c r="Z132" s="79" t="s">
        <v>424</v>
      </c>
      <c r="AA132" s="154"/>
      <c r="AB132" s="155"/>
      <c r="AC132" s="121">
        <v>4</v>
      </c>
      <c r="AD132" s="202"/>
      <c r="AE132" s="192"/>
      <c r="AF132" s="203"/>
      <c r="AG132" s="121"/>
      <c r="AH132" s="121"/>
      <c r="AI132" s="121"/>
      <c r="AJ132" s="121"/>
      <c r="AK132" s="121"/>
      <c r="AL132" s="121"/>
      <c r="AM132" s="121"/>
      <c r="AN132" s="121"/>
      <c r="AO132" s="121"/>
      <c r="AP132" s="121"/>
      <c r="AQ132" s="121"/>
      <c r="AR132" s="121"/>
      <c r="AS132" s="121"/>
      <c r="AT132" s="121"/>
      <c r="AU132" s="121"/>
      <c r="AV132" s="156"/>
      <c r="AW132" s="156"/>
      <c r="AX132" s="156">
        <v>1</v>
      </c>
      <c r="AY132" s="156"/>
      <c r="AZ132" s="156">
        <v>1</v>
      </c>
      <c r="BA132" s="156"/>
      <c r="BB132" s="156"/>
      <c r="BC132" s="156"/>
      <c r="BD132" s="157"/>
      <c r="BE132" s="134"/>
      <c r="BF132" s="134"/>
      <c r="BG132" s="134"/>
      <c r="BH132" s="134"/>
      <c r="BI132" s="134"/>
      <c r="BJ132" s="259"/>
      <c r="BK132" s="138"/>
      <c r="BL132" s="134"/>
      <c r="BM132" s="134"/>
      <c r="BN132" s="134"/>
      <c r="BO132" s="138"/>
      <c r="BP132" s="134"/>
      <c r="BQ132" s="134"/>
      <c r="BR132" s="134"/>
      <c r="BS132" s="288"/>
      <c r="BT132" s="289"/>
      <c r="BU132" s="138"/>
      <c r="BV132" s="134"/>
      <c r="BW132" s="134"/>
      <c r="BX132" s="134"/>
      <c r="BY132" s="138"/>
      <c r="BZ132" s="134"/>
      <c r="CA132" s="134"/>
      <c r="CB132" s="134"/>
      <c r="CC132" s="288"/>
      <c r="CD132" s="289"/>
      <c r="CE132" s="276"/>
      <c r="CF132" s="308"/>
      <c r="CG132" s="138"/>
      <c r="CH132" s="134"/>
      <c r="CI132" s="134"/>
      <c r="CJ132" s="134"/>
      <c r="CK132" s="134"/>
      <c r="CL132" s="134"/>
      <c r="CM132" s="134"/>
      <c r="CN132" s="134"/>
      <c r="CO132" s="300"/>
      <c r="CP132" s="301"/>
      <c r="CQ132" s="134"/>
      <c r="CR132" s="134"/>
      <c r="CS132" s="134"/>
      <c r="CT132" s="134"/>
      <c r="CU132" s="134"/>
      <c r="CV132" s="134"/>
      <c r="CW132" s="134"/>
      <c r="CX132" s="134"/>
      <c r="CY132" s="300"/>
      <c r="CZ132" s="301"/>
      <c r="DA132" s="276"/>
      <c r="DB132" s="277"/>
      <c r="DC132" s="134"/>
      <c r="DD132" s="134"/>
      <c r="DE132" s="134"/>
      <c r="DF132" s="134"/>
      <c r="DG132" s="138"/>
      <c r="DH132" s="134"/>
      <c r="DI132" s="134"/>
      <c r="DJ132" s="134"/>
      <c r="DK132" s="301"/>
      <c r="DL132" s="301"/>
      <c r="DM132" s="134"/>
      <c r="DN132" s="134"/>
      <c r="DO132" s="134"/>
      <c r="DP132" s="134"/>
      <c r="DQ132" s="134"/>
      <c r="DR132" s="134"/>
      <c r="DS132" s="134"/>
      <c r="DT132" s="134"/>
      <c r="DU132" s="301"/>
      <c r="DV132" s="301"/>
      <c r="DW132" s="277"/>
      <c r="DX132" s="134"/>
      <c r="DY132" s="134"/>
      <c r="DZ132" s="134"/>
      <c r="EA132" s="134"/>
      <c r="EB132" s="134"/>
      <c r="EC132" s="134"/>
      <c r="ED132" s="134"/>
      <c r="EE132" s="134"/>
      <c r="EF132" s="301"/>
      <c r="EG132" s="301"/>
      <c r="EH132" s="134"/>
      <c r="EI132" s="134"/>
      <c r="EJ132" s="134"/>
      <c r="EK132" s="134"/>
    </row>
    <row r="133" spans="1:141">
      <c r="A133" s="79" t="s">
        <v>91</v>
      </c>
      <c r="B133" s="117">
        <v>69</v>
      </c>
      <c r="C133" s="123" t="s">
        <v>1927</v>
      </c>
      <c r="D133" s="124" t="s">
        <v>2144</v>
      </c>
      <c r="E133" s="125">
        <v>1998</v>
      </c>
      <c r="F133" s="79">
        <v>9870231</v>
      </c>
      <c r="G133" s="79">
        <v>1</v>
      </c>
      <c r="H133" s="126"/>
      <c r="I133" s="127"/>
      <c r="J133" s="79">
        <v>1</v>
      </c>
      <c r="K133" s="79"/>
      <c r="L133" s="79">
        <v>1</v>
      </c>
      <c r="M133" s="128">
        <v>1</v>
      </c>
      <c r="N133" s="79" t="s">
        <v>1182</v>
      </c>
      <c r="O133" s="79" t="s">
        <v>1181</v>
      </c>
      <c r="P133" s="79" t="s">
        <v>47</v>
      </c>
      <c r="Q133" s="79">
        <v>1</v>
      </c>
      <c r="R133" s="79"/>
      <c r="S133" s="79"/>
      <c r="T133" s="79"/>
      <c r="U133" s="79" t="s">
        <v>49</v>
      </c>
      <c r="V133" s="79" t="s">
        <v>12</v>
      </c>
      <c r="W133" s="79" t="s">
        <v>48</v>
      </c>
      <c r="X133" s="79"/>
      <c r="Y133" s="79"/>
      <c r="Z133" s="79"/>
      <c r="AA133" s="154"/>
      <c r="AB133" s="155"/>
      <c r="AC133" s="121">
        <v>2</v>
      </c>
      <c r="AD133" s="202"/>
      <c r="AE133" s="192"/>
      <c r="AF133" s="203"/>
      <c r="AG133" s="121"/>
      <c r="AH133" s="121"/>
      <c r="AI133" s="121"/>
      <c r="AJ133" s="121"/>
      <c r="AK133" s="121"/>
      <c r="AL133" s="121"/>
      <c r="AM133" s="121"/>
      <c r="AN133" s="121"/>
      <c r="AO133" s="121"/>
      <c r="AP133" s="121"/>
      <c r="AQ133" s="121"/>
      <c r="AR133" s="121"/>
      <c r="AS133" s="121"/>
      <c r="AT133" s="121"/>
      <c r="AU133" s="121"/>
      <c r="AV133" s="156"/>
      <c r="AW133" s="156"/>
      <c r="AX133" s="156">
        <v>1</v>
      </c>
      <c r="AY133" s="156">
        <v>1</v>
      </c>
      <c r="AZ133" s="156"/>
      <c r="BA133" s="156"/>
      <c r="BB133" s="156"/>
      <c r="BC133" s="156"/>
      <c r="BD133" s="157"/>
      <c r="BE133" s="134"/>
      <c r="BF133" s="134"/>
      <c r="BG133" s="134"/>
      <c r="BH133" s="134"/>
      <c r="BI133" s="134"/>
      <c r="BJ133" s="259"/>
      <c r="BK133" s="138"/>
      <c r="BL133" s="134"/>
      <c r="BM133" s="134"/>
      <c r="BN133" s="134"/>
      <c r="BO133" s="138"/>
      <c r="BP133" s="134"/>
      <c r="BQ133" s="134"/>
      <c r="BR133" s="134"/>
      <c r="BS133" s="288"/>
      <c r="BT133" s="289"/>
      <c r="BU133" s="138"/>
      <c r="BV133" s="134"/>
      <c r="BW133" s="134"/>
      <c r="BX133" s="134"/>
      <c r="BY133" s="138"/>
      <c r="BZ133" s="134"/>
      <c r="CA133" s="134"/>
      <c r="CB133" s="134"/>
      <c r="CC133" s="288"/>
      <c r="CD133" s="289"/>
      <c r="CE133" s="276"/>
      <c r="CF133" s="308"/>
      <c r="CG133" s="138"/>
      <c r="CH133" s="134"/>
      <c r="CI133" s="134"/>
      <c r="CJ133" s="134"/>
      <c r="CK133" s="134"/>
      <c r="CL133" s="134"/>
      <c r="CM133" s="134"/>
      <c r="CN133" s="134"/>
      <c r="CO133" s="300"/>
      <c r="CP133" s="301"/>
      <c r="CQ133" s="134"/>
      <c r="CR133" s="134"/>
      <c r="CS133" s="134"/>
      <c r="CT133" s="134"/>
      <c r="CU133" s="134"/>
      <c r="CV133" s="134"/>
      <c r="CW133" s="134"/>
      <c r="CX133" s="134"/>
      <c r="CY133" s="300"/>
      <c r="CZ133" s="301"/>
      <c r="DA133" s="276"/>
      <c r="DB133" s="277"/>
      <c r="DC133" s="134"/>
      <c r="DD133" s="134"/>
      <c r="DE133" s="134"/>
      <c r="DF133" s="134"/>
      <c r="DG133" s="138"/>
      <c r="DH133" s="134"/>
      <c r="DI133" s="134"/>
      <c r="DJ133" s="134"/>
      <c r="DK133" s="301"/>
      <c r="DL133" s="301"/>
      <c r="DM133" s="134"/>
      <c r="DN133" s="134"/>
      <c r="DO133" s="134"/>
      <c r="DP133" s="134"/>
      <c r="DQ133" s="134"/>
      <c r="DR133" s="134"/>
      <c r="DS133" s="134"/>
      <c r="DT133" s="134"/>
      <c r="DU133" s="301"/>
      <c r="DV133" s="301"/>
      <c r="DW133" s="277"/>
      <c r="DX133" s="134"/>
      <c r="DY133" s="134"/>
      <c r="DZ133" s="134"/>
      <c r="EA133" s="134"/>
      <c r="EB133" s="134"/>
      <c r="EC133" s="134"/>
      <c r="ED133" s="134"/>
      <c r="EE133" s="134"/>
      <c r="EF133" s="301"/>
      <c r="EG133" s="301"/>
      <c r="EH133" s="134"/>
      <c r="EI133" s="134"/>
      <c r="EJ133" s="134"/>
      <c r="EK133" s="134"/>
    </row>
    <row r="134" spans="1:141">
      <c r="A134" s="79" t="s">
        <v>1104</v>
      </c>
      <c r="B134" s="117">
        <v>70</v>
      </c>
      <c r="C134" s="123" t="s">
        <v>2054</v>
      </c>
      <c r="D134" s="124" t="s">
        <v>2297</v>
      </c>
      <c r="E134" s="125">
        <v>2006</v>
      </c>
      <c r="F134" s="79">
        <v>19412447</v>
      </c>
      <c r="G134" s="79">
        <v>1</v>
      </c>
      <c r="H134" s="126">
        <v>1</v>
      </c>
      <c r="I134" s="127"/>
      <c r="J134" s="79">
        <v>1</v>
      </c>
      <c r="K134" s="79"/>
      <c r="L134" s="79">
        <v>1</v>
      </c>
      <c r="M134" s="128">
        <v>2</v>
      </c>
      <c r="N134" s="79" t="s">
        <v>1206</v>
      </c>
      <c r="O134" s="79" t="s">
        <v>1207</v>
      </c>
      <c r="P134" s="79" t="s">
        <v>1127</v>
      </c>
      <c r="Q134" s="79"/>
      <c r="R134" s="79" t="s">
        <v>1506</v>
      </c>
      <c r="S134" s="79" t="s">
        <v>23</v>
      </c>
      <c r="T134" s="79" t="s">
        <v>23</v>
      </c>
      <c r="U134" s="79" t="s">
        <v>1205</v>
      </c>
      <c r="V134" s="79" t="s">
        <v>24</v>
      </c>
      <c r="W134" s="79" t="s">
        <v>1209</v>
      </c>
      <c r="X134" s="79"/>
      <c r="Y134" s="79" t="s">
        <v>1208</v>
      </c>
      <c r="Z134" s="79"/>
      <c r="AA134" s="154"/>
      <c r="AB134" s="155"/>
      <c r="AC134" s="121">
        <v>4</v>
      </c>
      <c r="AD134" s="202"/>
      <c r="AE134" s="192"/>
      <c r="AF134" s="203"/>
      <c r="AG134" s="121"/>
      <c r="AH134" s="121"/>
      <c r="AI134" s="121"/>
      <c r="AJ134" s="121"/>
      <c r="AK134" s="121"/>
      <c r="AL134" s="121"/>
      <c r="AM134" s="121"/>
      <c r="AN134" s="121"/>
      <c r="AO134" s="121"/>
      <c r="AP134" s="121"/>
      <c r="AQ134" s="121"/>
      <c r="AR134" s="121"/>
      <c r="AS134" s="121"/>
      <c r="AT134" s="121"/>
      <c r="AU134" s="121"/>
      <c r="AV134" s="156"/>
      <c r="AW134" s="156"/>
      <c r="AX134" s="156"/>
      <c r="AY134" s="156"/>
      <c r="AZ134" s="156"/>
      <c r="BA134" s="156"/>
      <c r="BB134" s="156"/>
      <c r="BC134" s="156"/>
      <c r="BD134" s="157"/>
      <c r="BE134" s="134"/>
      <c r="BF134" s="134"/>
      <c r="BG134" s="134"/>
      <c r="BH134" s="134"/>
      <c r="BI134" s="134"/>
      <c r="BJ134" s="259"/>
      <c r="BK134" s="138"/>
      <c r="BL134" s="134"/>
      <c r="BM134" s="134"/>
      <c r="BN134" s="134"/>
      <c r="BO134" s="138"/>
      <c r="BP134" s="134"/>
      <c r="BQ134" s="134"/>
      <c r="BR134" s="134"/>
      <c r="BS134" s="288"/>
      <c r="BT134" s="289"/>
      <c r="BU134" s="138"/>
      <c r="BV134" s="134"/>
      <c r="BW134" s="134"/>
      <c r="BX134" s="134"/>
      <c r="BY134" s="138"/>
      <c r="BZ134" s="134"/>
      <c r="CA134" s="134"/>
      <c r="CB134" s="134"/>
      <c r="CC134" s="288"/>
      <c r="CD134" s="289"/>
      <c r="CE134" s="276"/>
      <c r="CF134" s="308"/>
      <c r="CG134" s="138"/>
      <c r="CH134" s="134"/>
      <c r="CI134" s="134"/>
      <c r="CJ134" s="134"/>
      <c r="CK134" s="134"/>
      <c r="CL134" s="134"/>
      <c r="CM134" s="134"/>
      <c r="CN134" s="134"/>
      <c r="CO134" s="300"/>
      <c r="CP134" s="301"/>
      <c r="CQ134" s="134"/>
      <c r="CR134" s="134"/>
      <c r="CS134" s="134"/>
      <c r="CT134" s="134"/>
      <c r="CU134" s="134"/>
      <c r="CV134" s="134"/>
      <c r="CW134" s="134"/>
      <c r="CX134" s="134"/>
      <c r="CY134" s="300"/>
      <c r="CZ134" s="301"/>
      <c r="DA134" s="276"/>
      <c r="DB134" s="277"/>
      <c r="DC134" s="134"/>
      <c r="DD134" s="134"/>
      <c r="DE134" s="134"/>
      <c r="DF134" s="134"/>
      <c r="DG134" s="138"/>
      <c r="DH134" s="134"/>
      <c r="DI134" s="134"/>
      <c r="DJ134" s="134"/>
      <c r="DK134" s="301"/>
      <c r="DL134" s="301"/>
      <c r="DM134" s="134"/>
      <c r="DN134" s="134"/>
      <c r="DO134" s="134"/>
      <c r="DP134" s="134"/>
      <c r="DQ134" s="134"/>
      <c r="DR134" s="134"/>
      <c r="DS134" s="134"/>
      <c r="DT134" s="134"/>
      <c r="DU134" s="301"/>
      <c r="DV134" s="301"/>
      <c r="DW134" s="277"/>
      <c r="DX134" s="134"/>
      <c r="DY134" s="134"/>
      <c r="DZ134" s="134"/>
      <c r="EA134" s="134"/>
      <c r="EB134" s="134"/>
      <c r="EC134" s="134"/>
      <c r="ED134" s="134"/>
      <c r="EE134" s="134"/>
      <c r="EF134" s="301"/>
      <c r="EG134" s="301"/>
      <c r="EH134" s="134"/>
      <c r="EI134" s="134"/>
      <c r="EJ134" s="134"/>
      <c r="EK134" s="134"/>
    </row>
    <row r="135" spans="1:141">
      <c r="A135" s="79" t="s">
        <v>1105</v>
      </c>
      <c r="B135" s="117">
        <v>71</v>
      </c>
      <c r="C135" s="123" t="s">
        <v>2054</v>
      </c>
      <c r="D135" s="124" t="s">
        <v>2298</v>
      </c>
      <c r="E135" s="125">
        <v>2005</v>
      </c>
      <c r="F135" s="79">
        <v>18568126</v>
      </c>
      <c r="G135" s="79">
        <v>1</v>
      </c>
      <c r="H135" s="126">
        <v>1</v>
      </c>
      <c r="I135" s="127"/>
      <c r="J135" s="79">
        <v>1</v>
      </c>
      <c r="K135" s="79"/>
      <c r="L135" s="79">
        <v>1</v>
      </c>
      <c r="M135" s="128">
        <v>2</v>
      </c>
      <c r="N135" s="79" t="s">
        <v>1206</v>
      </c>
      <c r="O135" s="79" t="s">
        <v>1207</v>
      </c>
      <c r="P135" s="79" t="s">
        <v>1127</v>
      </c>
      <c r="Q135" s="79"/>
      <c r="R135" s="79" t="s">
        <v>1805</v>
      </c>
      <c r="S135" s="79" t="s">
        <v>23</v>
      </c>
      <c r="T135" s="79" t="s">
        <v>23</v>
      </c>
      <c r="U135" s="79" t="s">
        <v>1205</v>
      </c>
      <c r="V135" s="79" t="s">
        <v>24</v>
      </c>
      <c r="W135" s="79" t="s">
        <v>1209</v>
      </c>
      <c r="X135" s="79"/>
      <c r="Y135" s="79"/>
      <c r="Z135" s="79"/>
      <c r="AA135" s="154"/>
      <c r="AB135" s="155"/>
      <c r="AC135" s="121">
        <v>4</v>
      </c>
      <c r="AD135" s="202"/>
      <c r="AE135" s="192"/>
      <c r="AF135" s="203"/>
      <c r="AG135" s="121"/>
      <c r="AH135" s="121"/>
      <c r="AI135" s="121"/>
      <c r="AJ135" s="121"/>
      <c r="AK135" s="121"/>
      <c r="AL135" s="121"/>
      <c r="AM135" s="121"/>
      <c r="AN135" s="121"/>
      <c r="AO135" s="121"/>
      <c r="AP135" s="121"/>
      <c r="AQ135" s="121"/>
      <c r="AR135" s="121"/>
      <c r="AS135" s="121"/>
      <c r="AT135" s="121"/>
      <c r="AU135" s="121"/>
      <c r="AV135" s="156"/>
      <c r="AW135" s="156"/>
      <c r="AX135" s="156"/>
      <c r="AY135" s="156"/>
      <c r="AZ135" s="156"/>
      <c r="BA135" s="156"/>
      <c r="BB135" s="156"/>
      <c r="BC135" s="156"/>
      <c r="BD135" s="157"/>
      <c r="BE135" s="134"/>
      <c r="BF135" s="134"/>
      <c r="BG135" s="134"/>
      <c r="BH135" s="134"/>
      <c r="BI135" s="134"/>
      <c r="BJ135" s="259"/>
      <c r="BK135" s="138"/>
      <c r="BL135" s="134"/>
      <c r="BM135" s="134"/>
      <c r="BN135" s="134"/>
      <c r="BO135" s="138"/>
      <c r="BP135" s="134"/>
      <c r="BQ135" s="134"/>
      <c r="BR135" s="134"/>
      <c r="BS135" s="288"/>
      <c r="BT135" s="289"/>
      <c r="BU135" s="138"/>
      <c r="BV135" s="134"/>
      <c r="BW135" s="134"/>
      <c r="BX135" s="134"/>
      <c r="BY135" s="138"/>
      <c r="BZ135" s="134"/>
      <c r="CA135" s="134"/>
      <c r="CB135" s="134"/>
      <c r="CC135" s="288"/>
      <c r="CD135" s="289"/>
      <c r="CE135" s="276"/>
      <c r="CF135" s="308"/>
      <c r="CG135" s="138"/>
      <c r="CH135" s="134"/>
      <c r="CI135" s="134"/>
      <c r="CJ135" s="134"/>
      <c r="CK135" s="134"/>
      <c r="CL135" s="134"/>
      <c r="CM135" s="134"/>
      <c r="CN135" s="134"/>
      <c r="CO135" s="300"/>
      <c r="CP135" s="301"/>
      <c r="CQ135" s="134"/>
      <c r="CR135" s="134"/>
      <c r="CS135" s="134"/>
      <c r="CT135" s="134"/>
      <c r="CU135" s="134"/>
      <c r="CV135" s="134"/>
      <c r="CW135" s="134"/>
      <c r="CX135" s="134"/>
      <c r="CY135" s="300"/>
      <c r="CZ135" s="301"/>
      <c r="DA135" s="276"/>
      <c r="DB135" s="277"/>
      <c r="DC135" s="134"/>
      <c r="DD135" s="134"/>
      <c r="DE135" s="134"/>
      <c r="DF135" s="134"/>
      <c r="DG135" s="138"/>
      <c r="DH135" s="134"/>
      <c r="DI135" s="134"/>
      <c r="DJ135" s="134"/>
      <c r="DK135" s="301"/>
      <c r="DL135" s="301"/>
      <c r="DM135" s="134"/>
      <c r="DN135" s="134"/>
      <c r="DO135" s="134"/>
      <c r="DP135" s="134"/>
      <c r="DQ135" s="134"/>
      <c r="DR135" s="134"/>
      <c r="DS135" s="134"/>
      <c r="DT135" s="134"/>
      <c r="DU135" s="301"/>
      <c r="DV135" s="301"/>
      <c r="DW135" s="277"/>
      <c r="DX135" s="134"/>
      <c r="DY135" s="134"/>
      <c r="DZ135" s="134"/>
      <c r="EA135" s="134"/>
      <c r="EB135" s="134"/>
      <c r="EC135" s="134"/>
      <c r="ED135" s="134"/>
      <c r="EE135" s="134"/>
      <c r="EF135" s="301"/>
      <c r="EG135" s="301"/>
      <c r="EH135" s="134"/>
      <c r="EI135" s="134"/>
      <c r="EJ135" s="134"/>
      <c r="EK135" s="134"/>
    </row>
    <row r="136" spans="1:141">
      <c r="A136" s="79" t="s">
        <v>97</v>
      </c>
      <c r="B136" s="117">
        <v>72</v>
      </c>
      <c r="C136" s="123" t="s">
        <v>1928</v>
      </c>
      <c r="D136" s="124" t="s">
        <v>2145</v>
      </c>
      <c r="E136" s="125">
        <v>2009</v>
      </c>
      <c r="F136" s="79">
        <v>19485102</v>
      </c>
      <c r="G136" s="79">
        <v>1</v>
      </c>
      <c r="H136" s="126"/>
      <c r="I136" s="127"/>
      <c r="J136" s="79">
        <v>1</v>
      </c>
      <c r="K136" s="79"/>
      <c r="L136" s="79">
        <v>1</v>
      </c>
      <c r="M136" s="128">
        <v>1</v>
      </c>
      <c r="N136" s="79" t="s">
        <v>64</v>
      </c>
      <c r="O136" s="79" t="s">
        <v>1173</v>
      </c>
      <c r="P136" s="79" t="s">
        <v>62</v>
      </c>
      <c r="Q136" s="79">
        <v>0</v>
      </c>
      <c r="R136" s="79"/>
      <c r="S136" s="79"/>
      <c r="T136" s="79"/>
      <c r="U136" s="79" t="s">
        <v>63</v>
      </c>
      <c r="V136" s="79" t="s">
        <v>56</v>
      </c>
      <c r="W136" s="79"/>
      <c r="X136" s="79"/>
      <c r="Y136" s="79"/>
      <c r="Z136" s="79" t="s">
        <v>65</v>
      </c>
      <c r="AA136" s="154"/>
      <c r="AB136" s="155"/>
      <c r="AC136" s="121"/>
      <c r="AD136" s="202"/>
      <c r="AE136" s="192"/>
      <c r="AF136" s="203"/>
      <c r="AG136" s="121"/>
      <c r="AH136" s="121"/>
      <c r="AI136" s="121"/>
      <c r="AJ136" s="121"/>
      <c r="AK136" s="121"/>
      <c r="AL136" s="121"/>
      <c r="AM136" s="121"/>
      <c r="AN136" s="121"/>
      <c r="AO136" s="121"/>
      <c r="AP136" s="121"/>
      <c r="AQ136" s="121"/>
      <c r="AR136" s="121"/>
      <c r="AS136" s="121"/>
      <c r="AT136" s="121"/>
      <c r="AU136" s="121"/>
      <c r="AV136" s="156"/>
      <c r="AW136" s="156"/>
      <c r="AX136" s="156"/>
      <c r="AY136" s="156"/>
      <c r="AZ136" s="156">
        <v>1</v>
      </c>
      <c r="BA136" s="156"/>
      <c r="BB136" s="156"/>
      <c r="BC136" s="156">
        <v>1</v>
      </c>
      <c r="BD136" s="157"/>
      <c r="BE136" s="134"/>
      <c r="BF136" s="134"/>
      <c r="BG136" s="134"/>
      <c r="BH136" s="134"/>
      <c r="BI136" s="134"/>
      <c r="BJ136" s="259"/>
      <c r="BK136" s="138"/>
      <c r="BL136" s="134"/>
      <c r="BM136" s="134"/>
      <c r="BN136" s="134"/>
      <c r="BO136" s="138"/>
      <c r="BP136" s="134"/>
      <c r="BQ136" s="134"/>
      <c r="BR136" s="134"/>
      <c r="BS136" s="288"/>
      <c r="BT136" s="289"/>
      <c r="BU136" s="138"/>
      <c r="BV136" s="134"/>
      <c r="BW136" s="134"/>
      <c r="BX136" s="134"/>
      <c r="BY136" s="138"/>
      <c r="BZ136" s="134"/>
      <c r="CA136" s="134"/>
      <c r="CB136" s="134"/>
      <c r="CC136" s="288"/>
      <c r="CD136" s="289"/>
      <c r="CE136" s="276"/>
      <c r="CF136" s="308"/>
      <c r="CG136" s="138"/>
      <c r="CH136" s="134"/>
      <c r="CI136" s="134"/>
      <c r="CJ136" s="134"/>
      <c r="CK136" s="134"/>
      <c r="CL136" s="134"/>
      <c r="CM136" s="134"/>
      <c r="CN136" s="134"/>
      <c r="CO136" s="300"/>
      <c r="CP136" s="301"/>
      <c r="CQ136" s="134"/>
      <c r="CR136" s="134"/>
      <c r="CS136" s="134"/>
      <c r="CT136" s="134"/>
      <c r="CU136" s="134"/>
      <c r="CV136" s="134"/>
      <c r="CW136" s="134"/>
      <c r="CX136" s="134"/>
      <c r="CY136" s="300"/>
      <c r="CZ136" s="301"/>
      <c r="DA136" s="276"/>
      <c r="DB136" s="277"/>
      <c r="DC136" s="134"/>
      <c r="DD136" s="134"/>
      <c r="DE136" s="134"/>
      <c r="DF136" s="134"/>
      <c r="DG136" s="138"/>
      <c r="DH136" s="134"/>
      <c r="DI136" s="134"/>
      <c r="DJ136" s="134"/>
      <c r="DK136" s="301"/>
      <c r="DL136" s="301"/>
      <c r="DM136" s="134"/>
      <c r="DN136" s="134"/>
      <c r="DO136" s="134"/>
      <c r="DP136" s="134"/>
      <c r="DQ136" s="134"/>
      <c r="DR136" s="134"/>
      <c r="DS136" s="134"/>
      <c r="DT136" s="134"/>
      <c r="DU136" s="301"/>
      <c r="DV136" s="301"/>
      <c r="DW136" s="277"/>
      <c r="DX136" s="134"/>
      <c r="DY136" s="134"/>
      <c r="DZ136" s="134"/>
      <c r="EA136" s="134"/>
      <c r="EB136" s="134"/>
      <c r="EC136" s="134"/>
      <c r="ED136" s="134"/>
      <c r="EE136" s="134"/>
      <c r="EF136" s="301"/>
      <c r="EG136" s="301"/>
      <c r="EH136" s="134"/>
      <c r="EI136" s="134"/>
      <c r="EJ136" s="134"/>
      <c r="EK136" s="134"/>
    </row>
    <row r="137" spans="1:141">
      <c r="A137" s="79" t="s">
        <v>98</v>
      </c>
      <c r="B137" s="117">
        <v>73</v>
      </c>
      <c r="C137" s="123" t="s">
        <v>1929</v>
      </c>
      <c r="D137" s="124" t="s">
        <v>2146</v>
      </c>
      <c r="E137" s="125">
        <v>1985</v>
      </c>
      <c r="F137" s="79">
        <v>3989520</v>
      </c>
      <c r="G137" s="79">
        <v>1</v>
      </c>
      <c r="H137" s="126"/>
      <c r="I137" s="127"/>
      <c r="J137" s="79">
        <v>1</v>
      </c>
      <c r="K137" s="79"/>
      <c r="L137" s="79">
        <v>1</v>
      </c>
      <c r="M137" s="128">
        <v>1</v>
      </c>
      <c r="N137" s="79" t="s">
        <v>1179</v>
      </c>
      <c r="O137" s="79" t="s">
        <v>1142</v>
      </c>
      <c r="P137" s="79" t="s">
        <v>25</v>
      </c>
      <c r="Q137" s="79">
        <v>1</v>
      </c>
      <c r="R137" s="79"/>
      <c r="S137" s="79"/>
      <c r="T137" s="79"/>
      <c r="U137" s="79" t="s">
        <v>67</v>
      </c>
      <c r="V137" s="79" t="s">
        <v>12</v>
      </c>
      <c r="W137" s="79"/>
      <c r="X137" s="79"/>
      <c r="Y137" s="79"/>
      <c r="Z137" s="79"/>
      <c r="AA137" s="154"/>
      <c r="AB137" s="155"/>
      <c r="AC137" s="121">
        <v>2</v>
      </c>
      <c r="AD137" s="202"/>
      <c r="AE137" s="192"/>
      <c r="AF137" s="203"/>
      <c r="AG137" s="121"/>
      <c r="AH137" s="121"/>
      <c r="AI137" s="121"/>
      <c r="AJ137" s="121"/>
      <c r="AK137" s="121"/>
      <c r="AL137" s="121"/>
      <c r="AM137" s="121"/>
      <c r="AN137" s="121"/>
      <c r="AO137" s="121"/>
      <c r="AP137" s="121"/>
      <c r="AQ137" s="121"/>
      <c r="AR137" s="121"/>
      <c r="AS137" s="121"/>
      <c r="AT137" s="121"/>
      <c r="AU137" s="121"/>
      <c r="AV137" s="156"/>
      <c r="AW137" s="156"/>
      <c r="AX137" s="156"/>
      <c r="AY137" s="156"/>
      <c r="AZ137" s="156"/>
      <c r="BA137" s="156"/>
      <c r="BB137" s="156"/>
      <c r="BC137" s="156"/>
      <c r="BD137" s="157"/>
      <c r="BE137" s="134"/>
      <c r="BF137" s="134"/>
      <c r="BG137" s="134"/>
      <c r="BH137" s="134"/>
      <c r="BI137" s="134"/>
      <c r="BJ137" s="259"/>
      <c r="BK137" s="138"/>
      <c r="BL137" s="134"/>
      <c r="BM137" s="134"/>
      <c r="BN137" s="134"/>
      <c r="BO137" s="138"/>
      <c r="BP137" s="134"/>
      <c r="BQ137" s="134"/>
      <c r="BR137" s="134"/>
      <c r="BS137" s="288"/>
      <c r="BT137" s="289"/>
      <c r="BU137" s="138"/>
      <c r="BV137" s="134"/>
      <c r="BW137" s="134"/>
      <c r="BX137" s="134"/>
      <c r="BY137" s="138"/>
      <c r="BZ137" s="134"/>
      <c r="CA137" s="134"/>
      <c r="CB137" s="134"/>
      <c r="CC137" s="288"/>
      <c r="CD137" s="289"/>
      <c r="CE137" s="276"/>
      <c r="CF137" s="308"/>
      <c r="CG137" s="138"/>
      <c r="CH137" s="134"/>
      <c r="CI137" s="134"/>
      <c r="CJ137" s="134"/>
      <c r="CK137" s="134"/>
      <c r="CL137" s="134"/>
      <c r="CM137" s="134"/>
      <c r="CN137" s="134"/>
      <c r="CO137" s="300"/>
      <c r="CP137" s="301"/>
      <c r="CQ137" s="134"/>
      <c r="CR137" s="134"/>
      <c r="CS137" s="134"/>
      <c r="CT137" s="134"/>
      <c r="CU137" s="134"/>
      <c r="CV137" s="134"/>
      <c r="CW137" s="134"/>
      <c r="CX137" s="134"/>
      <c r="CY137" s="300"/>
      <c r="CZ137" s="301"/>
      <c r="DA137" s="276"/>
      <c r="DB137" s="277"/>
      <c r="DC137" s="134"/>
      <c r="DD137" s="134"/>
      <c r="DE137" s="134"/>
      <c r="DF137" s="134"/>
      <c r="DG137" s="138"/>
      <c r="DH137" s="134"/>
      <c r="DI137" s="134"/>
      <c r="DJ137" s="134"/>
      <c r="DK137" s="301"/>
      <c r="DL137" s="301"/>
      <c r="DM137" s="134"/>
      <c r="DN137" s="134"/>
      <c r="DO137" s="134"/>
      <c r="DP137" s="134"/>
      <c r="DQ137" s="134"/>
      <c r="DR137" s="134"/>
      <c r="DS137" s="134"/>
      <c r="DT137" s="134"/>
      <c r="DU137" s="301"/>
      <c r="DV137" s="301"/>
      <c r="DW137" s="277"/>
      <c r="DX137" s="134"/>
      <c r="DY137" s="134"/>
      <c r="DZ137" s="134"/>
      <c r="EA137" s="134"/>
      <c r="EB137" s="134"/>
      <c r="EC137" s="134"/>
      <c r="ED137" s="134"/>
      <c r="EE137" s="134"/>
      <c r="EF137" s="301"/>
      <c r="EG137" s="301"/>
      <c r="EH137" s="134"/>
      <c r="EI137" s="134"/>
      <c r="EJ137" s="134"/>
      <c r="EK137" s="134"/>
    </row>
    <row r="138" spans="1:141">
      <c r="A138" s="79" t="s">
        <v>100</v>
      </c>
      <c r="B138" s="117">
        <v>74</v>
      </c>
      <c r="C138" s="123" t="s">
        <v>1930</v>
      </c>
      <c r="D138" s="124" t="s">
        <v>2147</v>
      </c>
      <c r="E138" s="125">
        <v>2005</v>
      </c>
      <c r="F138" s="79">
        <v>15820703</v>
      </c>
      <c r="G138" s="79">
        <v>1</v>
      </c>
      <c r="H138" s="126" t="s">
        <v>1774</v>
      </c>
      <c r="I138" s="127" t="s">
        <v>1756</v>
      </c>
      <c r="J138" s="79">
        <v>1</v>
      </c>
      <c r="K138" s="79" t="s">
        <v>1733</v>
      </c>
      <c r="L138" s="79">
        <v>1</v>
      </c>
      <c r="M138" s="128">
        <v>1</v>
      </c>
      <c r="N138" s="79" t="s">
        <v>1179</v>
      </c>
      <c r="O138" s="79" t="s">
        <v>1142</v>
      </c>
      <c r="P138" s="79" t="s">
        <v>25</v>
      </c>
      <c r="Q138" s="79">
        <v>1</v>
      </c>
      <c r="R138" s="79"/>
      <c r="S138" s="79"/>
      <c r="T138" s="79"/>
      <c r="U138" s="79" t="s">
        <v>69</v>
      </c>
      <c r="V138" s="79" t="s">
        <v>56</v>
      </c>
      <c r="W138" s="79"/>
      <c r="X138" s="79"/>
      <c r="Y138" s="79"/>
      <c r="Z138" s="79"/>
      <c r="AA138" s="154"/>
      <c r="AB138" s="155"/>
      <c r="AC138" s="121">
        <v>2</v>
      </c>
      <c r="AD138" s="202"/>
      <c r="AE138" s="192"/>
      <c r="AF138" s="203"/>
      <c r="AG138" s="121"/>
      <c r="AH138" s="121"/>
      <c r="AI138" s="121"/>
      <c r="AJ138" s="121"/>
      <c r="AK138" s="121"/>
      <c r="AL138" s="121"/>
      <c r="AM138" s="121"/>
      <c r="AN138" s="121"/>
      <c r="AO138" s="121"/>
      <c r="AP138" s="121"/>
      <c r="AQ138" s="121"/>
      <c r="AR138" s="121"/>
      <c r="AS138" s="121"/>
      <c r="AT138" s="121"/>
      <c r="AU138" s="121"/>
      <c r="AV138" s="156"/>
      <c r="AW138" s="156"/>
      <c r="AX138" s="156"/>
      <c r="AY138" s="156"/>
      <c r="AZ138" s="156"/>
      <c r="BA138" s="156"/>
      <c r="BB138" s="156"/>
      <c r="BC138" s="156"/>
      <c r="BD138" s="157"/>
      <c r="BE138" s="134"/>
      <c r="BF138" s="134"/>
      <c r="BG138" s="134"/>
      <c r="BH138" s="134"/>
      <c r="BI138" s="134"/>
      <c r="BJ138" s="259"/>
      <c r="BK138" s="138"/>
      <c r="BL138" s="134"/>
      <c r="BM138" s="134"/>
      <c r="BN138" s="134"/>
      <c r="BO138" s="138"/>
      <c r="BP138" s="134"/>
      <c r="BQ138" s="134"/>
      <c r="BR138" s="134"/>
      <c r="BS138" s="288"/>
      <c r="BT138" s="289"/>
      <c r="BU138" s="138"/>
      <c r="BV138" s="134"/>
      <c r="BW138" s="134"/>
      <c r="BX138" s="134"/>
      <c r="BY138" s="138"/>
      <c r="BZ138" s="134"/>
      <c r="CA138" s="134"/>
      <c r="CB138" s="134"/>
      <c r="CC138" s="288"/>
      <c r="CD138" s="289"/>
      <c r="CE138" s="276"/>
      <c r="CF138" s="308"/>
      <c r="CG138" s="138"/>
      <c r="CH138" s="134"/>
      <c r="CI138" s="134"/>
      <c r="CJ138" s="134"/>
      <c r="CK138" s="134"/>
      <c r="CL138" s="134"/>
      <c r="CM138" s="134"/>
      <c r="CN138" s="134"/>
      <c r="CO138" s="300"/>
      <c r="CP138" s="301"/>
      <c r="CQ138" s="134"/>
      <c r="CR138" s="134"/>
      <c r="CS138" s="134"/>
      <c r="CT138" s="134"/>
      <c r="CU138" s="134"/>
      <c r="CV138" s="134"/>
      <c r="CW138" s="134"/>
      <c r="CX138" s="134"/>
      <c r="CY138" s="300"/>
      <c r="CZ138" s="301"/>
      <c r="DA138" s="276"/>
      <c r="DB138" s="277"/>
      <c r="DC138" s="134"/>
      <c r="DD138" s="134"/>
      <c r="DE138" s="134"/>
      <c r="DF138" s="134"/>
      <c r="DG138" s="138"/>
      <c r="DH138" s="134"/>
      <c r="DI138" s="134"/>
      <c r="DJ138" s="134"/>
      <c r="DK138" s="301"/>
      <c r="DL138" s="301"/>
      <c r="DM138" s="134"/>
      <c r="DN138" s="134"/>
      <c r="DO138" s="134"/>
      <c r="DP138" s="134"/>
      <c r="DQ138" s="134"/>
      <c r="DR138" s="134"/>
      <c r="DS138" s="134"/>
      <c r="DT138" s="134"/>
      <c r="DU138" s="301"/>
      <c r="DV138" s="301"/>
      <c r="DW138" s="277"/>
      <c r="DX138" s="134"/>
      <c r="DY138" s="134"/>
      <c r="DZ138" s="134"/>
      <c r="EA138" s="134"/>
      <c r="EB138" s="134"/>
      <c r="EC138" s="134"/>
      <c r="ED138" s="134"/>
      <c r="EE138" s="134"/>
      <c r="EF138" s="301"/>
      <c r="EG138" s="301"/>
      <c r="EH138" s="134"/>
      <c r="EI138" s="134"/>
      <c r="EJ138" s="134"/>
      <c r="EK138" s="134"/>
    </row>
    <row r="139" spans="1:141">
      <c r="A139" s="79" t="s">
        <v>102</v>
      </c>
      <c r="B139" s="117">
        <v>75</v>
      </c>
      <c r="C139" s="123" t="s">
        <v>1931</v>
      </c>
      <c r="D139" s="124" t="s">
        <v>2148</v>
      </c>
      <c r="E139" s="125">
        <v>2016</v>
      </c>
      <c r="F139" s="79">
        <v>27236589</v>
      </c>
      <c r="G139" s="79">
        <v>1</v>
      </c>
      <c r="H139" s="126"/>
      <c r="I139" s="127"/>
      <c r="J139" s="79">
        <v>1</v>
      </c>
      <c r="K139" s="79"/>
      <c r="L139" s="79">
        <v>1</v>
      </c>
      <c r="M139" s="128">
        <v>1</v>
      </c>
      <c r="N139" s="79" t="s">
        <v>72</v>
      </c>
      <c r="O139" s="79" t="s">
        <v>1148</v>
      </c>
      <c r="P139" s="79" t="s">
        <v>25</v>
      </c>
      <c r="Q139" s="79">
        <v>1</v>
      </c>
      <c r="R139" s="79"/>
      <c r="S139" s="79"/>
      <c r="T139" s="79"/>
      <c r="U139" s="79" t="s">
        <v>71</v>
      </c>
      <c r="V139" s="79"/>
      <c r="W139" s="79"/>
      <c r="X139" s="79"/>
      <c r="Y139" s="79"/>
      <c r="Z139" s="79"/>
      <c r="AA139" s="154"/>
      <c r="AB139" s="155"/>
      <c r="AC139" s="121">
        <v>2</v>
      </c>
      <c r="AD139" s="202"/>
      <c r="AE139" s="192"/>
      <c r="AF139" s="203"/>
      <c r="AG139" s="121"/>
      <c r="AH139" s="121"/>
      <c r="AI139" s="121"/>
      <c r="AJ139" s="121"/>
      <c r="AK139" s="121"/>
      <c r="AL139" s="121"/>
      <c r="AM139" s="121"/>
      <c r="AN139" s="121"/>
      <c r="AO139" s="121"/>
      <c r="AP139" s="121"/>
      <c r="AQ139" s="121"/>
      <c r="AR139" s="121"/>
      <c r="AS139" s="121"/>
      <c r="AT139" s="121"/>
      <c r="AU139" s="121"/>
      <c r="AV139" s="156"/>
      <c r="AW139" s="156"/>
      <c r="AX139" s="156"/>
      <c r="AY139" s="156">
        <v>1</v>
      </c>
      <c r="AZ139" s="156">
        <v>1</v>
      </c>
      <c r="BA139" s="156"/>
      <c r="BB139" s="156"/>
      <c r="BC139" s="156"/>
      <c r="BD139" s="157"/>
      <c r="BE139" s="134"/>
      <c r="BF139" s="134"/>
      <c r="BG139" s="134"/>
      <c r="BH139" s="134"/>
      <c r="BI139" s="134"/>
      <c r="BJ139" s="259"/>
      <c r="BK139" s="138"/>
      <c r="BL139" s="134"/>
      <c r="BM139" s="134"/>
      <c r="BN139" s="134"/>
      <c r="BO139" s="138"/>
      <c r="BP139" s="134"/>
      <c r="BQ139" s="134"/>
      <c r="BR139" s="134"/>
      <c r="BS139" s="288"/>
      <c r="BT139" s="289"/>
      <c r="BU139" s="138"/>
      <c r="BV139" s="134"/>
      <c r="BW139" s="134"/>
      <c r="BX139" s="134"/>
      <c r="BY139" s="138"/>
      <c r="BZ139" s="134"/>
      <c r="CA139" s="134"/>
      <c r="CB139" s="134"/>
      <c r="CC139" s="288"/>
      <c r="CD139" s="289"/>
      <c r="CE139" s="276"/>
      <c r="CF139" s="308"/>
      <c r="CG139" s="138"/>
      <c r="CH139" s="134"/>
      <c r="CI139" s="134"/>
      <c r="CJ139" s="134"/>
      <c r="CK139" s="134"/>
      <c r="CL139" s="134"/>
      <c r="CM139" s="134"/>
      <c r="CN139" s="134"/>
      <c r="CO139" s="300"/>
      <c r="CP139" s="301"/>
      <c r="CQ139" s="134"/>
      <c r="CR139" s="134"/>
      <c r="CS139" s="134"/>
      <c r="CT139" s="134"/>
      <c r="CU139" s="134"/>
      <c r="CV139" s="134"/>
      <c r="CW139" s="134"/>
      <c r="CX139" s="134"/>
      <c r="CY139" s="300"/>
      <c r="CZ139" s="301"/>
      <c r="DA139" s="276"/>
      <c r="DB139" s="277"/>
      <c r="DC139" s="134"/>
      <c r="DD139" s="134"/>
      <c r="DE139" s="134"/>
      <c r="DF139" s="134"/>
      <c r="DG139" s="138"/>
      <c r="DH139" s="134"/>
      <c r="DI139" s="134"/>
      <c r="DJ139" s="134"/>
      <c r="DK139" s="301"/>
      <c r="DL139" s="301"/>
      <c r="DM139" s="134"/>
      <c r="DN139" s="134"/>
      <c r="DO139" s="134"/>
      <c r="DP139" s="134"/>
      <c r="DQ139" s="134"/>
      <c r="DR139" s="134"/>
      <c r="DS139" s="134"/>
      <c r="DT139" s="134"/>
      <c r="DU139" s="301"/>
      <c r="DV139" s="301"/>
      <c r="DW139" s="277"/>
      <c r="DX139" s="134"/>
      <c r="DY139" s="134"/>
      <c r="DZ139" s="134"/>
      <c r="EA139" s="134"/>
      <c r="EB139" s="134"/>
      <c r="EC139" s="134"/>
      <c r="ED139" s="134"/>
      <c r="EE139" s="134"/>
      <c r="EF139" s="301"/>
      <c r="EG139" s="301"/>
      <c r="EH139" s="134"/>
      <c r="EI139" s="134"/>
      <c r="EJ139" s="134"/>
      <c r="EK139" s="134"/>
    </row>
    <row r="140" spans="1:141">
      <c r="A140" s="79" t="s">
        <v>103</v>
      </c>
      <c r="B140" s="117">
        <v>76</v>
      </c>
      <c r="C140" s="123" t="s">
        <v>1931</v>
      </c>
      <c r="D140" s="124" t="s">
        <v>2149</v>
      </c>
      <c r="E140" s="125">
        <v>2013</v>
      </c>
      <c r="F140" s="79">
        <v>22200095</v>
      </c>
      <c r="G140" s="79">
        <v>1</v>
      </c>
      <c r="H140" s="126"/>
      <c r="I140" s="127"/>
      <c r="J140" s="79">
        <v>1</v>
      </c>
      <c r="K140" s="79"/>
      <c r="L140" s="79">
        <v>1</v>
      </c>
      <c r="M140" s="128">
        <v>1</v>
      </c>
      <c r="N140" s="79" t="s">
        <v>74</v>
      </c>
      <c r="O140" s="79" t="s">
        <v>1147</v>
      </c>
      <c r="P140" s="79" t="s">
        <v>25</v>
      </c>
      <c r="Q140" s="79"/>
      <c r="R140" s="79"/>
      <c r="S140" s="79"/>
      <c r="T140" s="79"/>
      <c r="U140" s="79"/>
      <c r="V140" s="79"/>
      <c r="W140" s="79"/>
      <c r="X140" s="79"/>
      <c r="Y140" s="79"/>
      <c r="Z140" s="79"/>
      <c r="AA140" s="154"/>
      <c r="AB140" s="155"/>
      <c r="AC140" s="121">
        <v>2</v>
      </c>
      <c r="AD140" s="202"/>
      <c r="AE140" s="192"/>
      <c r="AF140" s="203"/>
      <c r="AG140" s="121"/>
      <c r="AH140" s="121"/>
      <c r="AI140" s="121"/>
      <c r="AJ140" s="121"/>
      <c r="AK140" s="121"/>
      <c r="AL140" s="121"/>
      <c r="AM140" s="121"/>
      <c r="AN140" s="121"/>
      <c r="AO140" s="121"/>
      <c r="AP140" s="121"/>
      <c r="AQ140" s="121"/>
      <c r="AR140" s="121"/>
      <c r="AS140" s="121"/>
      <c r="AT140" s="121"/>
      <c r="AU140" s="121"/>
      <c r="AV140" s="156"/>
      <c r="AW140" s="156"/>
      <c r="AX140" s="156"/>
      <c r="AY140" s="156"/>
      <c r="AZ140" s="156">
        <v>1</v>
      </c>
      <c r="BA140" s="156"/>
      <c r="BB140" s="156"/>
      <c r="BC140" s="156"/>
      <c r="BD140" s="157"/>
      <c r="BE140" s="134"/>
      <c r="BF140" s="134"/>
      <c r="BG140" s="134"/>
      <c r="BH140" s="134"/>
      <c r="BI140" s="134"/>
      <c r="BJ140" s="259"/>
      <c r="BK140" s="138"/>
      <c r="BL140" s="134"/>
      <c r="BM140" s="134"/>
      <c r="BN140" s="134"/>
      <c r="BO140" s="138"/>
      <c r="BP140" s="134"/>
      <c r="BQ140" s="134"/>
      <c r="BR140" s="134"/>
      <c r="BS140" s="288"/>
      <c r="BT140" s="289"/>
      <c r="BU140" s="138"/>
      <c r="BV140" s="134"/>
      <c r="BW140" s="134"/>
      <c r="BX140" s="134"/>
      <c r="BY140" s="138"/>
      <c r="BZ140" s="134"/>
      <c r="CA140" s="134"/>
      <c r="CB140" s="134"/>
      <c r="CC140" s="288"/>
      <c r="CD140" s="289"/>
      <c r="CE140" s="276"/>
      <c r="CF140" s="308"/>
      <c r="CG140" s="138"/>
      <c r="CH140" s="134"/>
      <c r="CI140" s="134"/>
      <c r="CJ140" s="134"/>
      <c r="CK140" s="134"/>
      <c r="CL140" s="134"/>
      <c r="CM140" s="134"/>
      <c r="CN140" s="134"/>
      <c r="CO140" s="300"/>
      <c r="CP140" s="301"/>
      <c r="CQ140" s="134"/>
      <c r="CR140" s="134"/>
      <c r="CS140" s="134"/>
      <c r="CT140" s="134"/>
      <c r="CU140" s="134"/>
      <c r="CV140" s="134"/>
      <c r="CW140" s="134"/>
      <c r="CX140" s="134"/>
      <c r="CY140" s="300"/>
      <c r="CZ140" s="301"/>
      <c r="DA140" s="276"/>
      <c r="DB140" s="277"/>
      <c r="DC140" s="134"/>
      <c r="DD140" s="134"/>
      <c r="DE140" s="134"/>
      <c r="DF140" s="134"/>
      <c r="DG140" s="138"/>
      <c r="DH140" s="134"/>
      <c r="DI140" s="134"/>
      <c r="DJ140" s="134"/>
      <c r="DK140" s="301"/>
      <c r="DL140" s="301"/>
      <c r="DM140" s="134"/>
      <c r="DN140" s="134"/>
      <c r="DO140" s="134"/>
      <c r="DP140" s="134"/>
      <c r="DQ140" s="134"/>
      <c r="DR140" s="134"/>
      <c r="DS140" s="134"/>
      <c r="DT140" s="134"/>
      <c r="DU140" s="301"/>
      <c r="DV140" s="301"/>
      <c r="DW140" s="277"/>
      <c r="DX140" s="134"/>
      <c r="DY140" s="134"/>
      <c r="DZ140" s="134"/>
      <c r="EA140" s="134"/>
      <c r="EB140" s="134"/>
      <c r="EC140" s="134"/>
      <c r="ED140" s="134"/>
      <c r="EE140" s="134"/>
      <c r="EF140" s="301"/>
      <c r="EG140" s="301"/>
      <c r="EH140" s="134"/>
      <c r="EI140" s="134"/>
      <c r="EJ140" s="134"/>
      <c r="EK140" s="134"/>
    </row>
    <row r="141" spans="1:141">
      <c r="A141" s="79" t="s">
        <v>104</v>
      </c>
      <c r="B141" s="117">
        <v>77</v>
      </c>
      <c r="C141" s="123" t="s">
        <v>1932</v>
      </c>
      <c r="D141" s="124" t="s">
        <v>2150</v>
      </c>
      <c r="E141" s="125">
        <v>2015</v>
      </c>
      <c r="F141" s="79">
        <v>25915799</v>
      </c>
      <c r="G141" s="79">
        <v>1</v>
      </c>
      <c r="H141" s="126"/>
      <c r="I141" s="127"/>
      <c r="J141" s="79">
        <v>1</v>
      </c>
      <c r="K141" s="79"/>
      <c r="L141" s="79">
        <v>1</v>
      </c>
      <c r="M141" s="128">
        <v>1</v>
      </c>
      <c r="N141" s="79" t="s">
        <v>370</v>
      </c>
      <c r="O141" s="79" t="s">
        <v>1147</v>
      </c>
      <c r="P141" s="79" t="s">
        <v>369</v>
      </c>
      <c r="Q141" s="79"/>
      <c r="R141" s="79"/>
      <c r="S141" s="79"/>
      <c r="T141" s="79"/>
      <c r="U141" s="79"/>
      <c r="V141" s="79" t="s">
        <v>368</v>
      </c>
      <c r="W141" s="79"/>
      <c r="X141" s="79"/>
      <c r="Y141" s="79"/>
      <c r="Z141" s="79"/>
      <c r="AA141" s="154"/>
      <c r="AB141" s="155"/>
      <c r="AC141" s="121"/>
      <c r="AD141" s="202"/>
      <c r="AE141" s="192"/>
      <c r="AF141" s="203"/>
      <c r="AG141" s="121"/>
      <c r="AH141" s="121"/>
      <c r="AI141" s="121"/>
      <c r="AJ141" s="121"/>
      <c r="AK141" s="121"/>
      <c r="AL141" s="121"/>
      <c r="AM141" s="121"/>
      <c r="AN141" s="121"/>
      <c r="AO141" s="121"/>
      <c r="AP141" s="121"/>
      <c r="AQ141" s="121"/>
      <c r="AR141" s="121"/>
      <c r="AS141" s="121"/>
      <c r="AT141" s="121"/>
      <c r="AU141" s="121"/>
      <c r="AV141" s="156"/>
      <c r="AW141" s="156"/>
      <c r="AX141" s="156"/>
      <c r="AY141" s="156"/>
      <c r="AZ141" s="156">
        <v>1</v>
      </c>
      <c r="BA141" s="156"/>
      <c r="BB141" s="156"/>
      <c r="BC141" s="156"/>
      <c r="BD141" s="157"/>
      <c r="BE141" s="134"/>
      <c r="BF141" s="134"/>
      <c r="BG141" s="134"/>
      <c r="BH141" s="134"/>
      <c r="BI141" s="134"/>
      <c r="BJ141" s="259"/>
      <c r="BK141" s="138"/>
      <c r="BL141" s="134"/>
      <c r="BM141" s="134"/>
      <c r="BN141" s="134"/>
      <c r="BO141" s="138"/>
      <c r="BP141" s="134"/>
      <c r="BQ141" s="134"/>
      <c r="BR141" s="134"/>
      <c r="BS141" s="288"/>
      <c r="BT141" s="289"/>
      <c r="BU141" s="138"/>
      <c r="BV141" s="134"/>
      <c r="BW141" s="134"/>
      <c r="BX141" s="134"/>
      <c r="BY141" s="138"/>
      <c r="BZ141" s="134"/>
      <c r="CA141" s="134"/>
      <c r="CB141" s="134"/>
      <c r="CC141" s="288"/>
      <c r="CD141" s="289"/>
      <c r="CE141" s="276"/>
      <c r="CF141" s="308"/>
      <c r="CG141" s="138"/>
      <c r="CH141" s="134"/>
      <c r="CI141" s="134"/>
      <c r="CJ141" s="134"/>
      <c r="CK141" s="134"/>
      <c r="CL141" s="134"/>
      <c r="CM141" s="134"/>
      <c r="CN141" s="134"/>
      <c r="CO141" s="300"/>
      <c r="CP141" s="301"/>
      <c r="CQ141" s="134"/>
      <c r="CR141" s="134"/>
      <c r="CS141" s="134"/>
      <c r="CT141" s="134"/>
      <c r="CU141" s="134"/>
      <c r="CV141" s="134"/>
      <c r="CW141" s="134"/>
      <c r="CX141" s="134"/>
      <c r="CY141" s="300"/>
      <c r="CZ141" s="301"/>
      <c r="DA141" s="276"/>
      <c r="DB141" s="277"/>
      <c r="DC141" s="134"/>
      <c r="DD141" s="134"/>
      <c r="DE141" s="134"/>
      <c r="DF141" s="134"/>
      <c r="DG141" s="138"/>
      <c r="DH141" s="134"/>
      <c r="DI141" s="134"/>
      <c r="DJ141" s="134"/>
      <c r="DK141" s="301"/>
      <c r="DL141" s="301"/>
      <c r="DM141" s="134"/>
      <c r="DN141" s="134"/>
      <c r="DO141" s="134"/>
      <c r="DP141" s="134"/>
      <c r="DQ141" s="134"/>
      <c r="DR141" s="134"/>
      <c r="DS141" s="134"/>
      <c r="DT141" s="134"/>
      <c r="DU141" s="301"/>
      <c r="DV141" s="301"/>
      <c r="DW141" s="277"/>
      <c r="DX141" s="134"/>
      <c r="DY141" s="134"/>
      <c r="DZ141" s="134"/>
      <c r="EA141" s="134"/>
      <c r="EB141" s="134"/>
      <c r="EC141" s="134"/>
      <c r="ED141" s="134"/>
      <c r="EE141" s="134"/>
      <c r="EF141" s="301"/>
      <c r="EG141" s="301"/>
      <c r="EH141" s="134"/>
      <c r="EI141" s="134"/>
      <c r="EJ141" s="134"/>
      <c r="EK141" s="134"/>
    </row>
    <row r="142" spans="1:141">
      <c r="A142" s="79" t="s">
        <v>105</v>
      </c>
      <c r="B142" s="117">
        <v>78</v>
      </c>
      <c r="C142" s="123" t="s">
        <v>1933</v>
      </c>
      <c r="D142" s="124" t="s">
        <v>2151</v>
      </c>
      <c r="E142" s="125">
        <v>2008</v>
      </c>
      <c r="F142" s="79">
        <v>17352380</v>
      </c>
      <c r="G142" s="79">
        <v>1</v>
      </c>
      <c r="H142" s="126"/>
      <c r="I142" s="127"/>
      <c r="J142" s="79">
        <v>1</v>
      </c>
      <c r="K142" s="79"/>
      <c r="L142" s="79">
        <v>1</v>
      </c>
      <c r="M142" s="128">
        <v>1</v>
      </c>
      <c r="N142" s="79" t="s">
        <v>73</v>
      </c>
      <c r="O142" s="79" t="s">
        <v>1147</v>
      </c>
      <c r="P142" s="79" t="s">
        <v>25</v>
      </c>
      <c r="Q142" s="79"/>
      <c r="R142" s="79"/>
      <c r="S142" s="79"/>
      <c r="T142" s="79"/>
      <c r="U142" s="79" t="s">
        <v>371</v>
      </c>
      <c r="V142" s="79"/>
      <c r="W142" s="79"/>
      <c r="X142" s="79"/>
      <c r="Y142" s="79"/>
      <c r="Z142" s="79" t="s">
        <v>372</v>
      </c>
      <c r="AA142" s="154"/>
      <c r="AB142" s="155"/>
      <c r="AC142" s="121">
        <v>2</v>
      </c>
      <c r="AD142" s="202"/>
      <c r="AE142" s="192"/>
      <c r="AF142" s="203"/>
      <c r="AG142" s="121"/>
      <c r="AH142" s="121"/>
      <c r="AI142" s="121"/>
      <c r="AJ142" s="121"/>
      <c r="AK142" s="121"/>
      <c r="AL142" s="121"/>
      <c r="AM142" s="121"/>
      <c r="AN142" s="121"/>
      <c r="AO142" s="121"/>
      <c r="AP142" s="121"/>
      <c r="AQ142" s="121"/>
      <c r="AR142" s="121"/>
      <c r="AS142" s="121"/>
      <c r="AT142" s="121"/>
      <c r="AU142" s="121"/>
      <c r="AV142" s="156"/>
      <c r="AW142" s="156"/>
      <c r="AX142" s="156"/>
      <c r="AY142" s="156"/>
      <c r="AZ142" s="156">
        <v>1</v>
      </c>
      <c r="BA142" s="156"/>
      <c r="BB142" s="156"/>
      <c r="BC142" s="156"/>
      <c r="BD142" s="157"/>
      <c r="BE142" s="134"/>
      <c r="BF142" s="134"/>
      <c r="BG142" s="134"/>
      <c r="BH142" s="134"/>
      <c r="BI142" s="134"/>
      <c r="BJ142" s="259"/>
      <c r="BK142" s="138"/>
      <c r="BL142" s="134"/>
      <c r="BM142" s="134"/>
      <c r="BN142" s="134"/>
      <c r="BO142" s="138"/>
      <c r="BP142" s="134"/>
      <c r="BQ142" s="134"/>
      <c r="BR142" s="134"/>
      <c r="BS142" s="288"/>
      <c r="BT142" s="289"/>
      <c r="BU142" s="138"/>
      <c r="BV142" s="134"/>
      <c r="BW142" s="134"/>
      <c r="BX142" s="134"/>
      <c r="BY142" s="138"/>
      <c r="BZ142" s="134"/>
      <c r="CA142" s="134"/>
      <c r="CB142" s="134"/>
      <c r="CC142" s="288"/>
      <c r="CD142" s="289"/>
      <c r="CE142" s="276"/>
      <c r="CF142" s="308"/>
      <c r="CG142" s="138"/>
      <c r="CH142" s="134"/>
      <c r="CI142" s="134"/>
      <c r="CJ142" s="134"/>
      <c r="CK142" s="134"/>
      <c r="CL142" s="134"/>
      <c r="CM142" s="134"/>
      <c r="CN142" s="134"/>
      <c r="CO142" s="300"/>
      <c r="CP142" s="301"/>
      <c r="CQ142" s="134"/>
      <c r="CR142" s="134"/>
      <c r="CS142" s="134"/>
      <c r="CT142" s="134"/>
      <c r="CU142" s="134"/>
      <c r="CV142" s="134"/>
      <c r="CW142" s="134"/>
      <c r="CX142" s="134"/>
      <c r="CY142" s="300"/>
      <c r="CZ142" s="301"/>
      <c r="DA142" s="276"/>
      <c r="DB142" s="277"/>
      <c r="DC142" s="134"/>
      <c r="DD142" s="134"/>
      <c r="DE142" s="134"/>
      <c r="DF142" s="134"/>
      <c r="DG142" s="138"/>
      <c r="DH142" s="134"/>
      <c r="DI142" s="134"/>
      <c r="DJ142" s="134"/>
      <c r="DK142" s="301"/>
      <c r="DL142" s="301"/>
      <c r="DM142" s="134"/>
      <c r="DN142" s="134"/>
      <c r="DO142" s="134"/>
      <c r="DP142" s="134"/>
      <c r="DQ142" s="134"/>
      <c r="DR142" s="134"/>
      <c r="DS142" s="134"/>
      <c r="DT142" s="134"/>
      <c r="DU142" s="301"/>
      <c r="DV142" s="301"/>
      <c r="DW142" s="277"/>
      <c r="DX142" s="134"/>
      <c r="DY142" s="134"/>
      <c r="DZ142" s="134"/>
      <c r="EA142" s="134"/>
      <c r="EB142" s="134"/>
      <c r="EC142" s="134"/>
      <c r="ED142" s="134"/>
      <c r="EE142" s="134"/>
      <c r="EF142" s="301"/>
      <c r="EG142" s="301"/>
      <c r="EH142" s="134"/>
      <c r="EI142" s="134"/>
      <c r="EJ142" s="134"/>
      <c r="EK142" s="134"/>
    </row>
    <row r="143" spans="1:141">
      <c r="A143" s="79" t="s">
        <v>111</v>
      </c>
      <c r="B143" s="117">
        <v>79</v>
      </c>
      <c r="C143" s="123" t="s">
        <v>1934</v>
      </c>
      <c r="D143" s="124" t="s">
        <v>2152</v>
      </c>
      <c r="E143" s="125">
        <v>1999</v>
      </c>
      <c r="F143" s="79">
        <v>10378168</v>
      </c>
      <c r="G143" s="79">
        <v>1</v>
      </c>
      <c r="H143" s="126"/>
      <c r="I143" s="127"/>
      <c r="J143" s="79">
        <v>1</v>
      </c>
      <c r="K143" s="79" t="s">
        <v>1734</v>
      </c>
      <c r="L143" s="171">
        <v>1</v>
      </c>
      <c r="M143" s="128">
        <v>1</v>
      </c>
      <c r="N143" s="79" t="s">
        <v>383</v>
      </c>
      <c r="O143" s="79" t="s">
        <v>1143</v>
      </c>
      <c r="P143" s="79" t="s">
        <v>25</v>
      </c>
      <c r="Q143" s="79">
        <v>1</v>
      </c>
      <c r="R143" s="79"/>
      <c r="S143" s="79"/>
      <c r="T143" s="79"/>
      <c r="U143" s="79" t="s">
        <v>382</v>
      </c>
      <c r="V143" s="79"/>
      <c r="W143" s="79"/>
      <c r="X143" s="79"/>
      <c r="Y143" s="79"/>
      <c r="Z143" s="79"/>
      <c r="AA143" s="154"/>
      <c r="AB143" s="155"/>
      <c r="AC143" s="121">
        <v>2</v>
      </c>
      <c r="AD143" s="202"/>
      <c r="AE143" s="192"/>
      <c r="AF143" s="203"/>
      <c r="AG143" s="121"/>
      <c r="AH143" s="121"/>
      <c r="AI143" s="121"/>
      <c r="AJ143" s="121"/>
      <c r="AK143" s="121"/>
      <c r="AL143" s="121"/>
      <c r="AM143" s="121"/>
      <c r="AN143" s="121"/>
      <c r="AO143" s="121"/>
      <c r="AP143" s="121"/>
      <c r="AQ143" s="121"/>
      <c r="AR143" s="121"/>
      <c r="AS143" s="121"/>
      <c r="AT143" s="121"/>
      <c r="AU143" s="121"/>
      <c r="AV143" s="156"/>
      <c r="AW143" s="156"/>
      <c r="AX143" s="156">
        <v>1</v>
      </c>
      <c r="AY143" s="156"/>
      <c r="AZ143" s="156"/>
      <c r="BA143" s="156"/>
      <c r="BB143" s="156"/>
      <c r="BC143" s="156"/>
      <c r="BD143" s="157"/>
      <c r="BE143" s="134"/>
      <c r="BF143" s="134"/>
      <c r="BG143" s="134"/>
      <c r="BH143" s="134"/>
      <c r="BI143" s="134"/>
      <c r="BJ143" s="259"/>
      <c r="BK143" s="138"/>
      <c r="BL143" s="134"/>
      <c r="BM143" s="134"/>
      <c r="BN143" s="134"/>
      <c r="BO143" s="138"/>
      <c r="BP143" s="134"/>
      <c r="BQ143" s="134"/>
      <c r="BR143" s="134"/>
      <c r="BS143" s="288"/>
      <c r="BT143" s="289"/>
      <c r="BU143" s="138"/>
      <c r="BV143" s="134"/>
      <c r="BW143" s="134"/>
      <c r="BX143" s="134"/>
      <c r="BY143" s="138"/>
      <c r="BZ143" s="134"/>
      <c r="CA143" s="134"/>
      <c r="CB143" s="134"/>
      <c r="CC143" s="288"/>
      <c r="CD143" s="289"/>
      <c r="CE143" s="276"/>
      <c r="CF143" s="308"/>
      <c r="CG143" s="138"/>
      <c r="CH143" s="134"/>
      <c r="CI143" s="134"/>
      <c r="CJ143" s="134"/>
      <c r="CK143" s="134"/>
      <c r="CL143" s="134"/>
      <c r="CM143" s="134"/>
      <c r="CN143" s="134"/>
      <c r="CO143" s="300"/>
      <c r="CP143" s="301"/>
      <c r="CQ143" s="134"/>
      <c r="CR143" s="134"/>
      <c r="CS143" s="134"/>
      <c r="CT143" s="134"/>
      <c r="CU143" s="134"/>
      <c r="CV143" s="134"/>
      <c r="CW143" s="134"/>
      <c r="CX143" s="134"/>
      <c r="CY143" s="300"/>
      <c r="CZ143" s="301"/>
      <c r="DA143" s="276"/>
      <c r="DB143" s="277"/>
      <c r="DC143" s="134"/>
      <c r="DD143" s="134"/>
      <c r="DE143" s="134"/>
      <c r="DF143" s="134"/>
      <c r="DG143" s="138"/>
      <c r="DH143" s="134"/>
      <c r="DI143" s="134"/>
      <c r="DJ143" s="134"/>
      <c r="DK143" s="301"/>
      <c r="DL143" s="301"/>
      <c r="DM143" s="134"/>
      <c r="DN143" s="134"/>
      <c r="DO143" s="134"/>
      <c r="DP143" s="134"/>
      <c r="DQ143" s="134"/>
      <c r="DR143" s="134"/>
      <c r="DS143" s="134"/>
      <c r="DT143" s="134"/>
      <c r="DU143" s="301"/>
      <c r="DV143" s="301"/>
      <c r="DW143" s="277"/>
      <c r="DX143" s="134"/>
      <c r="DY143" s="134"/>
      <c r="DZ143" s="134"/>
      <c r="EA143" s="134"/>
      <c r="EB143" s="134"/>
      <c r="EC143" s="134"/>
      <c r="ED143" s="134"/>
      <c r="EE143" s="134"/>
      <c r="EF143" s="301"/>
      <c r="EG143" s="301"/>
      <c r="EH143" s="134"/>
      <c r="EI143" s="134"/>
      <c r="EJ143" s="134"/>
      <c r="EK143" s="134"/>
    </row>
    <row r="144" spans="1:141">
      <c r="A144" s="79" t="s">
        <v>1093</v>
      </c>
      <c r="B144" s="117">
        <v>80</v>
      </c>
      <c r="C144" s="123" t="s">
        <v>2059</v>
      </c>
      <c r="D144" s="124" t="s">
        <v>2304</v>
      </c>
      <c r="E144" s="125">
        <v>2011</v>
      </c>
      <c r="F144" s="79">
        <v>21701068</v>
      </c>
      <c r="G144" s="79">
        <v>1</v>
      </c>
      <c r="H144" s="126"/>
      <c r="I144" s="127"/>
      <c r="J144" s="79">
        <v>1</v>
      </c>
      <c r="K144" s="79"/>
      <c r="L144" s="79">
        <v>1</v>
      </c>
      <c r="M144" s="128">
        <v>2</v>
      </c>
      <c r="N144" s="79" t="s">
        <v>1240</v>
      </c>
      <c r="O144" s="79" t="s">
        <v>1244</v>
      </c>
      <c r="P144" s="79"/>
      <c r="Q144" s="79"/>
      <c r="R144" s="79" t="s">
        <v>1493</v>
      </c>
      <c r="S144" s="79"/>
      <c r="T144" s="79"/>
      <c r="U144" s="79" t="s">
        <v>1239</v>
      </c>
      <c r="V144" s="79" t="s">
        <v>1243</v>
      </c>
      <c r="W144" s="79" t="s">
        <v>1242</v>
      </c>
      <c r="X144" s="79"/>
      <c r="Y144" s="79"/>
      <c r="Z144" s="79" t="s">
        <v>1241</v>
      </c>
      <c r="AA144" s="154"/>
      <c r="AB144" s="155"/>
      <c r="AC144" s="121"/>
      <c r="AD144" s="202"/>
      <c r="AE144" s="192"/>
      <c r="AF144" s="203"/>
      <c r="AG144" s="121"/>
      <c r="AH144" s="121"/>
      <c r="AI144" s="121"/>
      <c r="AJ144" s="121"/>
      <c r="AK144" s="121"/>
      <c r="AL144" s="121"/>
      <c r="AM144" s="121"/>
      <c r="AN144" s="121"/>
      <c r="AO144" s="121"/>
      <c r="AP144" s="121"/>
      <c r="AQ144" s="121"/>
      <c r="AR144" s="121"/>
      <c r="AS144" s="121"/>
      <c r="AT144" s="121"/>
      <c r="AU144" s="121"/>
      <c r="AV144" s="156"/>
      <c r="AW144" s="156"/>
      <c r="AX144" s="156"/>
      <c r="AY144" s="156"/>
      <c r="AZ144" s="156"/>
      <c r="BA144" s="156"/>
      <c r="BB144" s="156"/>
      <c r="BC144" s="156"/>
      <c r="BD144" s="157"/>
      <c r="BE144" s="134"/>
      <c r="BF144" s="134"/>
      <c r="BG144" s="134"/>
      <c r="BH144" s="134"/>
      <c r="BI144" s="134"/>
      <c r="BJ144" s="259"/>
      <c r="BK144" s="138"/>
      <c r="BL144" s="134"/>
      <c r="BM144" s="134"/>
      <c r="BN144" s="134"/>
      <c r="BO144" s="138"/>
      <c r="BP144" s="134"/>
      <c r="BQ144" s="134"/>
      <c r="BR144" s="134"/>
      <c r="BS144" s="288"/>
      <c r="BT144" s="289"/>
      <c r="BU144" s="138"/>
      <c r="BV144" s="134"/>
      <c r="BW144" s="134"/>
      <c r="BX144" s="134"/>
      <c r="BY144" s="138"/>
      <c r="BZ144" s="134"/>
      <c r="CA144" s="134"/>
      <c r="CB144" s="134"/>
      <c r="CC144" s="288"/>
      <c r="CD144" s="289"/>
      <c r="CE144" s="276"/>
      <c r="CF144" s="308"/>
      <c r="CG144" s="138"/>
      <c r="CH144" s="134"/>
      <c r="CI144" s="134"/>
      <c r="CJ144" s="134"/>
      <c r="CK144" s="134"/>
      <c r="CL144" s="134"/>
      <c r="CM144" s="134"/>
      <c r="CN144" s="134"/>
      <c r="CO144" s="300"/>
      <c r="CP144" s="301"/>
      <c r="CQ144" s="134"/>
      <c r="CR144" s="134"/>
      <c r="CS144" s="134"/>
      <c r="CT144" s="134"/>
      <c r="CU144" s="134"/>
      <c r="CV144" s="134"/>
      <c r="CW144" s="134"/>
      <c r="CX144" s="134"/>
      <c r="CY144" s="300"/>
      <c r="CZ144" s="301"/>
      <c r="DA144" s="276"/>
      <c r="DB144" s="277"/>
      <c r="DC144" s="134"/>
      <c r="DD144" s="134"/>
      <c r="DE144" s="134"/>
      <c r="DF144" s="134"/>
      <c r="DG144" s="138"/>
      <c r="DH144" s="134"/>
      <c r="DI144" s="134"/>
      <c r="DJ144" s="134"/>
      <c r="DK144" s="301"/>
      <c r="DL144" s="301"/>
      <c r="DM144" s="134"/>
      <c r="DN144" s="134"/>
      <c r="DO144" s="134"/>
      <c r="DP144" s="134"/>
      <c r="DQ144" s="134"/>
      <c r="DR144" s="134"/>
      <c r="DS144" s="134"/>
      <c r="DT144" s="134"/>
      <c r="DU144" s="301"/>
      <c r="DV144" s="301"/>
      <c r="DW144" s="277"/>
      <c r="DX144" s="134"/>
      <c r="DY144" s="134"/>
      <c r="DZ144" s="134"/>
      <c r="EA144" s="134"/>
      <c r="EB144" s="134"/>
      <c r="EC144" s="134"/>
      <c r="ED144" s="134"/>
      <c r="EE144" s="134"/>
      <c r="EF144" s="301"/>
      <c r="EG144" s="301"/>
      <c r="EH144" s="134"/>
      <c r="EI144" s="134"/>
      <c r="EJ144" s="134"/>
      <c r="EK144" s="134"/>
    </row>
    <row r="145" spans="1:141">
      <c r="A145" s="79" t="s">
        <v>114</v>
      </c>
      <c r="B145" s="117">
        <v>81</v>
      </c>
      <c r="C145" s="123" t="s">
        <v>1936</v>
      </c>
      <c r="D145" s="124" t="s">
        <v>2154</v>
      </c>
      <c r="E145" s="125">
        <v>2014</v>
      </c>
      <c r="F145" s="79">
        <v>24766521</v>
      </c>
      <c r="G145" s="79">
        <v>1</v>
      </c>
      <c r="H145" s="126"/>
      <c r="I145" s="127"/>
      <c r="J145" s="79">
        <v>1</v>
      </c>
      <c r="K145" s="79"/>
      <c r="L145" s="79">
        <v>1</v>
      </c>
      <c r="M145" s="128">
        <v>1</v>
      </c>
      <c r="N145" s="79" t="s">
        <v>394</v>
      </c>
      <c r="O145" s="79" t="s">
        <v>1147</v>
      </c>
      <c r="P145" s="79" t="s">
        <v>25</v>
      </c>
      <c r="Q145" s="79"/>
      <c r="R145" s="79"/>
      <c r="S145" s="79"/>
      <c r="T145" s="79"/>
      <c r="U145" s="79" t="s">
        <v>393</v>
      </c>
      <c r="V145" s="79"/>
      <c r="W145" s="79"/>
      <c r="X145" s="79"/>
      <c r="Y145" s="79"/>
      <c r="Z145" s="79"/>
      <c r="AA145" s="154"/>
      <c r="AB145" s="155"/>
      <c r="AC145" s="121">
        <v>2</v>
      </c>
      <c r="AD145" s="202"/>
      <c r="AE145" s="192"/>
      <c r="AF145" s="203"/>
      <c r="AG145" s="121"/>
      <c r="AH145" s="121"/>
      <c r="AI145" s="121"/>
      <c r="AJ145" s="121"/>
      <c r="AK145" s="121"/>
      <c r="AL145" s="121"/>
      <c r="AM145" s="121"/>
      <c r="AN145" s="121"/>
      <c r="AO145" s="121"/>
      <c r="AP145" s="121"/>
      <c r="AQ145" s="121"/>
      <c r="AR145" s="121"/>
      <c r="AS145" s="121"/>
      <c r="AT145" s="121"/>
      <c r="AU145" s="121"/>
      <c r="AV145" s="156"/>
      <c r="AW145" s="156"/>
      <c r="AX145" s="156"/>
      <c r="AY145" s="156"/>
      <c r="AZ145" s="156">
        <v>1</v>
      </c>
      <c r="BA145" s="156"/>
      <c r="BB145" s="156"/>
      <c r="BC145" s="156"/>
      <c r="BD145" s="157"/>
      <c r="BE145" s="134"/>
      <c r="BF145" s="134"/>
      <c r="BG145" s="134"/>
      <c r="BH145" s="134"/>
      <c r="BI145" s="134"/>
      <c r="BJ145" s="259"/>
      <c r="BK145" s="138"/>
      <c r="BL145" s="134"/>
      <c r="BM145" s="134"/>
      <c r="BN145" s="134"/>
      <c r="BO145" s="138"/>
      <c r="BP145" s="134"/>
      <c r="BQ145" s="134"/>
      <c r="BR145" s="134"/>
      <c r="BS145" s="288"/>
      <c r="BT145" s="289"/>
      <c r="BU145" s="138"/>
      <c r="BV145" s="134"/>
      <c r="BW145" s="134"/>
      <c r="BX145" s="134"/>
      <c r="BY145" s="138"/>
      <c r="BZ145" s="134"/>
      <c r="CA145" s="134"/>
      <c r="CB145" s="134"/>
      <c r="CC145" s="288"/>
      <c r="CD145" s="289"/>
      <c r="CE145" s="276"/>
      <c r="CF145" s="308"/>
      <c r="CG145" s="138"/>
      <c r="CH145" s="134"/>
      <c r="CI145" s="134"/>
      <c r="CJ145" s="134"/>
      <c r="CK145" s="134"/>
      <c r="CL145" s="134"/>
      <c r="CM145" s="134"/>
      <c r="CN145" s="134"/>
      <c r="CO145" s="300"/>
      <c r="CP145" s="301"/>
      <c r="CQ145" s="134"/>
      <c r="CR145" s="134"/>
      <c r="CS145" s="134"/>
      <c r="CT145" s="134"/>
      <c r="CU145" s="134"/>
      <c r="CV145" s="134"/>
      <c r="CW145" s="134"/>
      <c r="CX145" s="134"/>
      <c r="CY145" s="300"/>
      <c r="CZ145" s="301"/>
      <c r="DA145" s="276"/>
      <c r="DB145" s="277"/>
      <c r="DC145" s="134"/>
      <c r="DD145" s="134"/>
      <c r="DE145" s="134"/>
      <c r="DF145" s="134"/>
      <c r="DG145" s="138"/>
      <c r="DH145" s="134"/>
      <c r="DI145" s="134"/>
      <c r="DJ145" s="134"/>
      <c r="DK145" s="301"/>
      <c r="DL145" s="301"/>
      <c r="DM145" s="134"/>
      <c r="DN145" s="134"/>
      <c r="DO145" s="134"/>
      <c r="DP145" s="134"/>
      <c r="DQ145" s="134"/>
      <c r="DR145" s="134"/>
      <c r="DS145" s="134"/>
      <c r="DT145" s="134"/>
      <c r="DU145" s="301"/>
      <c r="DV145" s="301"/>
      <c r="DW145" s="277"/>
      <c r="DX145" s="134"/>
      <c r="DY145" s="134"/>
      <c r="DZ145" s="134"/>
      <c r="EA145" s="134"/>
      <c r="EB145" s="134"/>
      <c r="EC145" s="134"/>
      <c r="ED145" s="134"/>
      <c r="EE145" s="134"/>
      <c r="EF145" s="301"/>
      <c r="EG145" s="301"/>
      <c r="EH145" s="134"/>
      <c r="EI145" s="134"/>
      <c r="EJ145" s="134"/>
      <c r="EK145" s="134"/>
    </row>
    <row r="146" spans="1:141">
      <c r="A146" s="79" t="s">
        <v>115</v>
      </c>
      <c r="B146" s="117">
        <v>82</v>
      </c>
      <c r="C146" s="123" t="s">
        <v>1936</v>
      </c>
      <c r="D146" s="124" t="s">
        <v>2155</v>
      </c>
      <c r="E146" s="125">
        <v>2016</v>
      </c>
      <c r="F146" s="79">
        <v>27058006</v>
      </c>
      <c r="G146" s="79">
        <v>1</v>
      </c>
      <c r="H146" s="126"/>
      <c r="I146" s="127"/>
      <c r="J146" s="79">
        <v>1</v>
      </c>
      <c r="K146" s="79"/>
      <c r="L146" s="79">
        <v>1</v>
      </c>
      <c r="M146" s="128">
        <v>1</v>
      </c>
      <c r="N146" s="79" t="s">
        <v>390</v>
      </c>
      <c r="O146" s="79" t="s">
        <v>1147</v>
      </c>
      <c r="P146" s="79" t="s">
        <v>391</v>
      </c>
      <c r="Q146" s="79">
        <v>1</v>
      </c>
      <c r="R146" s="79"/>
      <c r="S146" s="79"/>
      <c r="T146" s="79"/>
      <c r="U146" s="79"/>
      <c r="V146" s="79" t="s">
        <v>389</v>
      </c>
      <c r="W146" s="79"/>
      <c r="X146" s="79"/>
      <c r="Y146" s="79"/>
      <c r="Z146" s="79" t="s">
        <v>392</v>
      </c>
      <c r="AA146" s="154"/>
      <c r="AB146" s="155"/>
      <c r="AC146" s="121">
        <v>2</v>
      </c>
      <c r="AD146" s="202"/>
      <c r="AE146" s="192"/>
      <c r="AF146" s="203"/>
      <c r="AG146" s="121"/>
      <c r="AH146" s="121"/>
      <c r="AI146" s="121"/>
      <c r="AJ146" s="121"/>
      <c r="AK146" s="121"/>
      <c r="AL146" s="121"/>
      <c r="AM146" s="121"/>
      <c r="AN146" s="121"/>
      <c r="AO146" s="121"/>
      <c r="AP146" s="121"/>
      <c r="AQ146" s="121"/>
      <c r="AR146" s="121"/>
      <c r="AS146" s="121"/>
      <c r="AT146" s="121"/>
      <c r="AU146" s="121"/>
      <c r="AV146" s="156"/>
      <c r="AW146" s="156"/>
      <c r="AX146" s="156"/>
      <c r="AY146" s="156"/>
      <c r="AZ146" s="156">
        <v>1</v>
      </c>
      <c r="BA146" s="156"/>
      <c r="BB146" s="156"/>
      <c r="BC146" s="156"/>
      <c r="BD146" s="157"/>
      <c r="BE146" s="134"/>
      <c r="BF146" s="134"/>
      <c r="BG146" s="134"/>
      <c r="BH146" s="134"/>
      <c r="BI146" s="134"/>
      <c r="BJ146" s="259"/>
      <c r="BK146" s="138"/>
      <c r="BL146" s="134"/>
      <c r="BM146" s="134"/>
      <c r="BN146" s="134"/>
      <c r="BO146" s="138"/>
      <c r="BP146" s="134"/>
      <c r="BQ146" s="134"/>
      <c r="BR146" s="134"/>
      <c r="BS146" s="288"/>
      <c r="BT146" s="289"/>
      <c r="BU146" s="138"/>
      <c r="BV146" s="134"/>
      <c r="BW146" s="134"/>
      <c r="BX146" s="134"/>
      <c r="BY146" s="138"/>
      <c r="BZ146" s="134"/>
      <c r="CA146" s="134"/>
      <c r="CB146" s="134"/>
      <c r="CC146" s="288"/>
      <c r="CD146" s="289"/>
      <c r="CE146" s="276"/>
      <c r="CF146" s="308"/>
      <c r="CG146" s="138"/>
      <c r="CH146" s="134"/>
      <c r="CI146" s="134"/>
      <c r="CJ146" s="134"/>
      <c r="CK146" s="134"/>
      <c r="CL146" s="134"/>
      <c r="CM146" s="134"/>
      <c r="CN146" s="134"/>
      <c r="CO146" s="300"/>
      <c r="CP146" s="301"/>
      <c r="CQ146" s="134"/>
      <c r="CR146" s="134"/>
      <c r="CS146" s="134"/>
      <c r="CT146" s="134"/>
      <c r="CU146" s="134"/>
      <c r="CV146" s="134"/>
      <c r="CW146" s="134"/>
      <c r="CX146" s="134"/>
      <c r="CY146" s="300"/>
      <c r="CZ146" s="301"/>
      <c r="DA146" s="276"/>
      <c r="DB146" s="277"/>
      <c r="DC146" s="134"/>
      <c r="DD146" s="134"/>
      <c r="DE146" s="134"/>
      <c r="DF146" s="134"/>
      <c r="DG146" s="138"/>
      <c r="DH146" s="134"/>
      <c r="DI146" s="134"/>
      <c r="DJ146" s="134"/>
      <c r="DK146" s="301"/>
      <c r="DL146" s="301"/>
      <c r="DM146" s="134"/>
      <c r="DN146" s="134"/>
      <c r="DO146" s="134"/>
      <c r="DP146" s="134"/>
      <c r="DQ146" s="134"/>
      <c r="DR146" s="134"/>
      <c r="DS146" s="134"/>
      <c r="DT146" s="134"/>
      <c r="DU146" s="301"/>
      <c r="DV146" s="301"/>
      <c r="DW146" s="277"/>
      <c r="DX146" s="134"/>
      <c r="DY146" s="134"/>
      <c r="DZ146" s="134"/>
      <c r="EA146" s="134"/>
      <c r="EB146" s="134"/>
      <c r="EC146" s="134"/>
      <c r="ED146" s="134"/>
      <c r="EE146" s="134"/>
      <c r="EF146" s="301"/>
      <c r="EG146" s="301"/>
      <c r="EH146" s="134"/>
      <c r="EI146" s="134"/>
      <c r="EJ146" s="134"/>
      <c r="EK146" s="134"/>
    </row>
    <row r="147" spans="1:141">
      <c r="A147" s="79" t="s">
        <v>117</v>
      </c>
      <c r="B147" s="117">
        <v>83</v>
      </c>
      <c r="C147" s="123" t="s">
        <v>1937</v>
      </c>
      <c r="D147" s="124" t="s">
        <v>2156</v>
      </c>
      <c r="E147" s="125">
        <v>2016</v>
      </c>
      <c r="F147" s="79">
        <v>27252673</v>
      </c>
      <c r="G147" s="79">
        <v>1</v>
      </c>
      <c r="H147" s="126"/>
      <c r="I147" s="127"/>
      <c r="J147" s="79">
        <v>1</v>
      </c>
      <c r="K147" s="79"/>
      <c r="L147" s="79">
        <v>1</v>
      </c>
      <c r="M147" s="128">
        <v>1</v>
      </c>
      <c r="N147" s="79" t="s">
        <v>397</v>
      </c>
      <c r="O147" s="79" t="s">
        <v>1183</v>
      </c>
      <c r="P147" s="79" t="s">
        <v>25</v>
      </c>
      <c r="Q147" s="79">
        <v>1</v>
      </c>
      <c r="R147" s="79"/>
      <c r="S147" s="79"/>
      <c r="T147" s="79"/>
      <c r="U147" s="79" t="s">
        <v>398</v>
      </c>
      <c r="V147" s="79"/>
      <c r="W147" s="79"/>
      <c r="X147" s="79"/>
      <c r="Y147" s="79"/>
      <c r="Z147" s="79"/>
      <c r="AA147" s="154"/>
      <c r="AB147" s="155"/>
      <c r="AC147" s="121">
        <v>2</v>
      </c>
      <c r="AD147" s="202"/>
      <c r="AE147" s="192"/>
      <c r="AF147" s="203"/>
      <c r="AG147" s="121"/>
      <c r="AH147" s="121"/>
      <c r="AI147" s="121"/>
      <c r="AJ147" s="121"/>
      <c r="AK147" s="121"/>
      <c r="AL147" s="121"/>
      <c r="AM147" s="121"/>
      <c r="AN147" s="121"/>
      <c r="AO147" s="121"/>
      <c r="AP147" s="121"/>
      <c r="AQ147" s="121"/>
      <c r="AR147" s="121"/>
      <c r="AS147" s="121"/>
      <c r="AT147" s="121"/>
      <c r="AU147" s="121"/>
      <c r="AV147" s="156"/>
      <c r="AW147" s="156"/>
      <c r="AX147" s="156"/>
      <c r="AY147" s="156"/>
      <c r="AZ147" s="156"/>
      <c r="BA147" s="156"/>
      <c r="BB147" s="156">
        <v>1</v>
      </c>
      <c r="BC147" s="156"/>
      <c r="BD147" s="157"/>
      <c r="BE147" s="134"/>
      <c r="BF147" s="134"/>
      <c r="BG147" s="134"/>
      <c r="BH147" s="134"/>
      <c r="BI147" s="134"/>
      <c r="BJ147" s="259"/>
      <c r="BK147" s="138"/>
      <c r="BL147" s="134"/>
      <c r="BM147" s="134"/>
      <c r="BN147" s="134"/>
      <c r="BO147" s="138"/>
      <c r="BP147" s="134"/>
      <c r="BQ147" s="134"/>
      <c r="BR147" s="134"/>
      <c r="BS147" s="288"/>
      <c r="BT147" s="289"/>
      <c r="BU147" s="138"/>
      <c r="BV147" s="134"/>
      <c r="BW147" s="134"/>
      <c r="BX147" s="134"/>
      <c r="BY147" s="138"/>
      <c r="BZ147" s="134"/>
      <c r="CA147" s="134"/>
      <c r="CB147" s="134"/>
      <c r="CC147" s="288"/>
      <c r="CD147" s="289"/>
      <c r="CE147" s="276"/>
      <c r="CF147" s="308"/>
      <c r="CG147" s="138"/>
      <c r="CH147" s="134"/>
      <c r="CI147" s="134"/>
      <c r="CJ147" s="134"/>
      <c r="CK147" s="134"/>
      <c r="CL147" s="134"/>
      <c r="CM147" s="134"/>
      <c r="CN147" s="134"/>
      <c r="CO147" s="300"/>
      <c r="CP147" s="301"/>
      <c r="CQ147" s="134"/>
      <c r="CR147" s="134"/>
      <c r="CS147" s="134"/>
      <c r="CT147" s="134"/>
      <c r="CU147" s="134"/>
      <c r="CV147" s="134"/>
      <c r="CW147" s="134"/>
      <c r="CX147" s="134"/>
      <c r="CY147" s="300"/>
      <c r="CZ147" s="301"/>
      <c r="DA147" s="276"/>
      <c r="DB147" s="277"/>
      <c r="DC147" s="134"/>
      <c r="DD147" s="134"/>
      <c r="DE147" s="134"/>
      <c r="DF147" s="134"/>
      <c r="DG147" s="138"/>
      <c r="DH147" s="134"/>
      <c r="DI147" s="134"/>
      <c r="DJ147" s="134"/>
      <c r="DK147" s="301"/>
      <c r="DL147" s="301"/>
      <c r="DM147" s="134"/>
      <c r="DN147" s="134"/>
      <c r="DO147" s="134"/>
      <c r="DP147" s="134"/>
      <c r="DQ147" s="134"/>
      <c r="DR147" s="134"/>
      <c r="DS147" s="134"/>
      <c r="DT147" s="134"/>
      <c r="DU147" s="301"/>
      <c r="DV147" s="301"/>
      <c r="DW147" s="277"/>
      <c r="DX147" s="134"/>
      <c r="DY147" s="134"/>
      <c r="DZ147" s="134"/>
      <c r="EA147" s="134"/>
      <c r="EB147" s="134"/>
      <c r="EC147" s="134"/>
      <c r="ED147" s="134"/>
      <c r="EE147" s="134"/>
      <c r="EF147" s="301"/>
      <c r="EG147" s="301"/>
      <c r="EH147" s="134"/>
      <c r="EI147" s="134"/>
      <c r="EJ147" s="134"/>
      <c r="EK147" s="134"/>
    </row>
    <row r="148" spans="1:141">
      <c r="A148" s="79" t="s">
        <v>119</v>
      </c>
      <c r="B148" s="117">
        <v>84</v>
      </c>
      <c r="C148" s="123" t="s">
        <v>1938</v>
      </c>
      <c r="D148" s="124" t="s">
        <v>2157</v>
      </c>
      <c r="E148" s="125">
        <v>2013</v>
      </c>
      <c r="F148" s="79">
        <v>24330891</v>
      </c>
      <c r="G148" s="172" t="s">
        <v>1796</v>
      </c>
      <c r="H148" s="126"/>
      <c r="I148" s="127"/>
      <c r="J148" s="79">
        <v>1</v>
      </c>
      <c r="K148" s="79"/>
      <c r="L148" s="79">
        <v>1</v>
      </c>
      <c r="M148" s="128">
        <v>1</v>
      </c>
      <c r="N148" s="79" t="s">
        <v>401</v>
      </c>
      <c r="O148" s="79" t="s">
        <v>1180</v>
      </c>
      <c r="P148" s="79" t="s">
        <v>402</v>
      </c>
      <c r="Q148" s="79">
        <v>1</v>
      </c>
      <c r="R148" s="79"/>
      <c r="S148" s="79"/>
      <c r="T148" s="79"/>
      <c r="U148" s="79" t="s">
        <v>400</v>
      </c>
      <c r="V148" s="79" t="s">
        <v>24</v>
      </c>
      <c r="W148" s="79"/>
      <c r="X148" s="79"/>
      <c r="Y148" s="79"/>
      <c r="Z148" s="79"/>
      <c r="AA148" s="154"/>
      <c r="AB148" s="155"/>
      <c r="AC148" s="121"/>
      <c r="AD148" s="202"/>
      <c r="AE148" s="192"/>
      <c r="AF148" s="203"/>
      <c r="AG148" s="121"/>
      <c r="AH148" s="121"/>
      <c r="AI148" s="121"/>
      <c r="AJ148" s="121"/>
      <c r="AK148" s="121"/>
      <c r="AL148" s="121"/>
      <c r="AM148" s="121"/>
      <c r="AN148" s="121"/>
      <c r="AO148" s="121"/>
      <c r="AP148" s="121"/>
      <c r="AQ148" s="121"/>
      <c r="AR148" s="121"/>
      <c r="AS148" s="121"/>
      <c r="AT148" s="121"/>
      <c r="AU148" s="121"/>
      <c r="AV148" s="156"/>
      <c r="AW148" s="156"/>
      <c r="AX148" s="156"/>
      <c r="AY148" s="156">
        <v>1</v>
      </c>
      <c r="AZ148" s="156">
        <v>1</v>
      </c>
      <c r="BA148" s="156">
        <v>1</v>
      </c>
      <c r="BB148" s="156"/>
      <c r="BC148" s="156"/>
      <c r="BD148" s="157"/>
      <c r="BE148" s="134"/>
      <c r="BF148" s="134"/>
      <c r="BG148" s="134"/>
      <c r="BH148" s="134"/>
      <c r="BI148" s="134"/>
      <c r="BJ148" s="259"/>
      <c r="BK148" s="138"/>
      <c r="BL148" s="134"/>
      <c r="BM148" s="134"/>
      <c r="BN148" s="134"/>
      <c r="BO148" s="138"/>
      <c r="BP148" s="134"/>
      <c r="BQ148" s="134"/>
      <c r="BR148" s="134"/>
      <c r="BS148" s="288"/>
      <c r="BT148" s="289"/>
      <c r="BU148" s="138"/>
      <c r="BV148" s="134"/>
      <c r="BW148" s="134"/>
      <c r="BX148" s="134"/>
      <c r="BY148" s="138"/>
      <c r="BZ148" s="134"/>
      <c r="CA148" s="134"/>
      <c r="CB148" s="134"/>
      <c r="CC148" s="288"/>
      <c r="CD148" s="289"/>
      <c r="CE148" s="276"/>
      <c r="CF148" s="308"/>
      <c r="CG148" s="138"/>
      <c r="CH148" s="134"/>
      <c r="CI148" s="134"/>
      <c r="CJ148" s="134"/>
      <c r="CK148" s="134"/>
      <c r="CL148" s="134"/>
      <c r="CM148" s="134"/>
      <c r="CN148" s="134"/>
      <c r="CO148" s="300"/>
      <c r="CP148" s="301"/>
      <c r="CQ148" s="134"/>
      <c r="CR148" s="134"/>
      <c r="CS148" s="134"/>
      <c r="CT148" s="134"/>
      <c r="CU148" s="134"/>
      <c r="CV148" s="134"/>
      <c r="CW148" s="134"/>
      <c r="CX148" s="134"/>
      <c r="CY148" s="300"/>
      <c r="CZ148" s="301"/>
      <c r="DA148" s="276"/>
      <c r="DB148" s="277"/>
      <c r="DC148" s="134"/>
      <c r="DD148" s="134"/>
      <c r="DE148" s="134"/>
      <c r="DF148" s="134"/>
      <c r="DG148" s="138"/>
      <c r="DH148" s="134"/>
      <c r="DI148" s="134"/>
      <c r="DJ148" s="134"/>
      <c r="DK148" s="301"/>
      <c r="DL148" s="301"/>
      <c r="DM148" s="134"/>
      <c r="DN148" s="134"/>
      <c r="DO148" s="134"/>
      <c r="DP148" s="134"/>
      <c r="DQ148" s="134"/>
      <c r="DR148" s="134"/>
      <c r="DS148" s="134"/>
      <c r="DT148" s="134"/>
      <c r="DU148" s="301"/>
      <c r="DV148" s="301"/>
      <c r="DW148" s="277"/>
      <c r="DX148" s="134"/>
      <c r="DY148" s="134"/>
      <c r="DZ148" s="134"/>
      <c r="EA148" s="134"/>
      <c r="EB148" s="134"/>
      <c r="EC148" s="134"/>
      <c r="ED148" s="134"/>
      <c r="EE148" s="134"/>
      <c r="EF148" s="301"/>
      <c r="EG148" s="301"/>
      <c r="EH148" s="134"/>
      <c r="EI148" s="134"/>
      <c r="EJ148" s="134"/>
      <c r="EK148" s="134"/>
    </row>
    <row r="149" spans="1:141">
      <c r="A149" s="79" t="s">
        <v>1091</v>
      </c>
      <c r="B149" s="117">
        <v>85</v>
      </c>
      <c r="C149" s="123" t="s">
        <v>1938</v>
      </c>
      <c r="D149" s="124" t="s">
        <v>2305</v>
      </c>
      <c r="E149" s="125">
        <v>2011</v>
      </c>
      <c r="F149" s="79">
        <v>21194896</v>
      </c>
      <c r="G149" s="79">
        <v>1</v>
      </c>
      <c r="H149" s="126"/>
      <c r="I149" s="127"/>
      <c r="J149" s="79">
        <v>1</v>
      </c>
      <c r="K149" s="79"/>
      <c r="L149" s="79">
        <v>1</v>
      </c>
      <c r="M149" s="128">
        <v>2</v>
      </c>
      <c r="N149" s="79" t="s">
        <v>1253</v>
      </c>
      <c r="O149" s="79" t="s">
        <v>1251</v>
      </c>
      <c r="P149" s="79" t="s">
        <v>1127</v>
      </c>
      <c r="Q149" s="79"/>
      <c r="R149" s="79" t="s">
        <v>1507</v>
      </c>
      <c r="S149" s="79" t="s">
        <v>23</v>
      </c>
      <c r="T149" s="79" t="s">
        <v>23</v>
      </c>
      <c r="U149" s="79" t="s">
        <v>1250</v>
      </c>
      <c r="V149" s="79"/>
      <c r="W149" s="79" t="s">
        <v>1252</v>
      </c>
      <c r="X149" s="79"/>
      <c r="Y149" s="79" t="s">
        <v>1249</v>
      </c>
      <c r="Z149" s="79"/>
      <c r="AA149" s="154"/>
      <c r="AB149" s="155"/>
      <c r="AC149" s="121">
        <v>4</v>
      </c>
      <c r="AD149" s="202"/>
      <c r="AE149" s="192"/>
      <c r="AF149" s="203"/>
      <c r="AG149" s="121"/>
      <c r="AH149" s="121"/>
      <c r="AI149" s="121"/>
      <c r="AJ149" s="121"/>
      <c r="AK149" s="121"/>
      <c r="AL149" s="121"/>
      <c r="AM149" s="121"/>
      <c r="AN149" s="121"/>
      <c r="AO149" s="121"/>
      <c r="AP149" s="121"/>
      <c r="AQ149" s="121"/>
      <c r="AR149" s="121"/>
      <c r="AS149" s="121"/>
      <c r="AT149" s="121"/>
      <c r="AU149" s="121"/>
      <c r="AV149" s="156"/>
      <c r="AW149" s="156"/>
      <c r="AX149" s="156"/>
      <c r="AY149" s="156"/>
      <c r="AZ149" s="156">
        <v>1</v>
      </c>
      <c r="BA149" s="156"/>
      <c r="BB149" s="156"/>
      <c r="BC149" s="156"/>
      <c r="BD149" s="157"/>
      <c r="BE149" s="134"/>
      <c r="BF149" s="134"/>
      <c r="BG149" s="134"/>
      <c r="BH149" s="134"/>
      <c r="BI149" s="134"/>
      <c r="BJ149" s="259"/>
      <c r="BK149" s="138"/>
      <c r="BL149" s="134"/>
      <c r="BM149" s="134"/>
      <c r="BN149" s="134"/>
      <c r="BO149" s="138"/>
      <c r="BP149" s="134"/>
      <c r="BQ149" s="134"/>
      <c r="BR149" s="134"/>
      <c r="BS149" s="288"/>
      <c r="BT149" s="289"/>
      <c r="BU149" s="138"/>
      <c r="BV149" s="134"/>
      <c r="BW149" s="134"/>
      <c r="BX149" s="134"/>
      <c r="BY149" s="138"/>
      <c r="BZ149" s="134"/>
      <c r="CA149" s="134"/>
      <c r="CB149" s="134"/>
      <c r="CC149" s="288"/>
      <c r="CD149" s="289"/>
      <c r="CE149" s="276"/>
      <c r="CF149" s="308"/>
      <c r="CG149" s="138"/>
      <c r="CH149" s="134"/>
      <c r="CI149" s="134"/>
      <c r="CJ149" s="134"/>
      <c r="CK149" s="134"/>
      <c r="CL149" s="134"/>
      <c r="CM149" s="134"/>
      <c r="CN149" s="134"/>
      <c r="CO149" s="300"/>
      <c r="CP149" s="301"/>
      <c r="CQ149" s="134"/>
      <c r="CR149" s="134"/>
      <c r="CS149" s="134"/>
      <c r="CT149" s="134"/>
      <c r="CU149" s="134"/>
      <c r="CV149" s="134"/>
      <c r="CW149" s="134"/>
      <c r="CX149" s="134"/>
      <c r="CY149" s="300"/>
      <c r="CZ149" s="301"/>
      <c r="DA149" s="276"/>
      <c r="DB149" s="277"/>
      <c r="DC149" s="134"/>
      <c r="DD149" s="134"/>
      <c r="DE149" s="134"/>
      <c r="DF149" s="134"/>
      <c r="DG149" s="138"/>
      <c r="DH149" s="134"/>
      <c r="DI149" s="134"/>
      <c r="DJ149" s="134"/>
      <c r="DK149" s="301"/>
      <c r="DL149" s="301"/>
      <c r="DM149" s="134"/>
      <c r="DN149" s="134"/>
      <c r="DO149" s="134"/>
      <c r="DP149" s="134"/>
      <c r="DQ149" s="134"/>
      <c r="DR149" s="134"/>
      <c r="DS149" s="134"/>
      <c r="DT149" s="134"/>
      <c r="DU149" s="301"/>
      <c r="DV149" s="301"/>
      <c r="DW149" s="277"/>
      <c r="DX149" s="134"/>
      <c r="DY149" s="134"/>
      <c r="DZ149" s="134"/>
      <c r="EA149" s="134"/>
      <c r="EB149" s="134"/>
      <c r="EC149" s="134"/>
      <c r="ED149" s="134"/>
      <c r="EE149" s="134"/>
      <c r="EF149" s="301"/>
      <c r="EG149" s="301"/>
      <c r="EH149" s="134"/>
      <c r="EI149" s="134"/>
      <c r="EJ149" s="134"/>
      <c r="EK149" s="134"/>
    </row>
    <row r="150" spans="1:141">
      <c r="A150" s="79" t="s">
        <v>1092</v>
      </c>
      <c r="B150" s="117">
        <v>86</v>
      </c>
      <c r="C150" s="123" t="s">
        <v>1938</v>
      </c>
      <c r="D150" s="124" t="s">
        <v>2306</v>
      </c>
      <c r="E150" s="125">
        <v>2010</v>
      </c>
      <c r="F150" s="79">
        <v>20403087</v>
      </c>
      <c r="G150" s="79">
        <v>1</v>
      </c>
      <c r="H150" s="126" t="s">
        <v>1827</v>
      </c>
      <c r="I150" s="127"/>
      <c r="J150" s="79">
        <v>0</v>
      </c>
      <c r="K150" s="79"/>
      <c r="L150" s="79">
        <v>0</v>
      </c>
      <c r="M150" s="128">
        <v>2</v>
      </c>
      <c r="N150" s="79" t="s">
        <v>1247</v>
      </c>
      <c r="O150" s="79" t="s">
        <v>1171</v>
      </c>
      <c r="P150" s="79" t="s">
        <v>1127</v>
      </c>
      <c r="Q150" s="79"/>
      <c r="R150" s="79" t="s">
        <v>1495</v>
      </c>
      <c r="S150" s="79" t="s">
        <v>803</v>
      </c>
      <c r="T150" s="79" t="s">
        <v>23</v>
      </c>
      <c r="U150" s="79" t="s">
        <v>1826</v>
      </c>
      <c r="V150" s="79" t="s">
        <v>1245</v>
      </c>
      <c r="W150" s="79" t="s">
        <v>1246</v>
      </c>
      <c r="X150" s="79"/>
      <c r="Y150" s="79"/>
      <c r="Z150" s="79" t="s">
        <v>424</v>
      </c>
      <c r="AA150" s="154"/>
      <c r="AB150" s="155"/>
      <c r="AC150" s="121">
        <v>4</v>
      </c>
      <c r="AD150" s="202"/>
      <c r="AE150" s="192"/>
      <c r="AF150" s="203"/>
      <c r="AG150" s="121"/>
      <c r="AH150" s="121"/>
      <c r="AI150" s="121"/>
      <c r="AJ150" s="121"/>
      <c r="AK150" s="121"/>
      <c r="AL150" s="121"/>
      <c r="AM150" s="121"/>
      <c r="AN150" s="121"/>
      <c r="AO150" s="121"/>
      <c r="AP150" s="121"/>
      <c r="AQ150" s="121"/>
      <c r="AR150" s="121"/>
      <c r="AS150" s="121"/>
      <c r="AT150" s="121"/>
      <c r="AU150" s="121"/>
      <c r="AV150" s="156"/>
      <c r="AW150" s="156"/>
      <c r="AX150" s="156"/>
      <c r="AY150" s="156"/>
      <c r="AZ150" s="156"/>
      <c r="BA150" s="156"/>
      <c r="BB150" s="156"/>
      <c r="BC150" s="156"/>
      <c r="BD150" s="157"/>
      <c r="BE150" s="134"/>
      <c r="BF150" s="134"/>
      <c r="BG150" s="134"/>
      <c r="BH150" s="134"/>
      <c r="BI150" s="134"/>
      <c r="BJ150" s="259"/>
      <c r="BK150" s="138"/>
      <c r="BL150" s="134"/>
      <c r="BM150" s="134"/>
      <c r="BN150" s="134"/>
      <c r="BO150" s="138"/>
      <c r="BP150" s="134"/>
      <c r="BQ150" s="134"/>
      <c r="BR150" s="134"/>
      <c r="BS150" s="288"/>
      <c r="BT150" s="289"/>
      <c r="BU150" s="138"/>
      <c r="BV150" s="134"/>
      <c r="BW150" s="134"/>
      <c r="BX150" s="134"/>
      <c r="BY150" s="138"/>
      <c r="BZ150" s="134"/>
      <c r="CA150" s="134"/>
      <c r="CB150" s="134"/>
      <c r="CC150" s="288"/>
      <c r="CD150" s="289"/>
      <c r="CE150" s="276"/>
      <c r="CF150" s="308"/>
      <c r="CG150" s="138"/>
      <c r="CH150" s="134"/>
      <c r="CI150" s="134"/>
      <c r="CJ150" s="134"/>
      <c r="CK150" s="134"/>
      <c r="CL150" s="134"/>
      <c r="CM150" s="134"/>
      <c r="CN150" s="134"/>
      <c r="CO150" s="300"/>
      <c r="CP150" s="301"/>
      <c r="CQ150" s="134"/>
      <c r="CR150" s="134"/>
      <c r="CS150" s="134"/>
      <c r="CT150" s="134"/>
      <c r="CU150" s="134"/>
      <c r="CV150" s="134"/>
      <c r="CW150" s="134"/>
      <c r="CX150" s="134"/>
      <c r="CY150" s="300"/>
      <c r="CZ150" s="301"/>
      <c r="DA150" s="276"/>
      <c r="DB150" s="277"/>
      <c r="DC150" s="134"/>
      <c r="DD150" s="134"/>
      <c r="DE150" s="134"/>
      <c r="DF150" s="134"/>
      <c r="DG150" s="138"/>
      <c r="DH150" s="134"/>
      <c r="DI150" s="134"/>
      <c r="DJ150" s="134"/>
      <c r="DK150" s="301"/>
      <c r="DL150" s="301"/>
      <c r="DM150" s="134"/>
      <c r="DN150" s="134"/>
      <c r="DO150" s="134"/>
      <c r="DP150" s="134"/>
      <c r="DQ150" s="134"/>
      <c r="DR150" s="134"/>
      <c r="DS150" s="134"/>
      <c r="DT150" s="134"/>
      <c r="DU150" s="301"/>
      <c r="DV150" s="301"/>
      <c r="DW150" s="277"/>
      <c r="DX150" s="134"/>
      <c r="DY150" s="134"/>
      <c r="DZ150" s="134"/>
      <c r="EA150" s="134"/>
      <c r="EB150" s="134"/>
      <c r="EC150" s="134"/>
      <c r="ED150" s="134"/>
      <c r="EE150" s="134"/>
      <c r="EF150" s="301"/>
      <c r="EG150" s="301"/>
      <c r="EH150" s="134"/>
      <c r="EI150" s="134"/>
      <c r="EJ150" s="134"/>
      <c r="EK150" s="134"/>
    </row>
    <row r="151" spans="1:141">
      <c r="A151" s="79" t="s">
        <v>1089</v>
      </c>
      <c r="B151" s="117">
        <v>87</v>
      </c>
      <c r="C151" s="123" t="s">
        <v>1938</v>
      </c>
      <c r="D151" s="124" t="s">
        <v>2307</v>
      </c>
      <c r="E151" s="125">
        <v>2009</v>
      </c>
      <c r="F151" s="79">
        <v>18700055</v>
      </c>
      <c r="G151" s="79">
        <v>1</v>
      </c>
      <c r="H151" s="126"/>
      <c r="I151" s="127"/>
      <c r="J151" s="79">
        <v>1</v>
      </c>
      <c r="K151" s="79"/>
      <c r="L151" s="171">
        <v>1</v>
      </c>
      <c r="M151" s="128">
        <v>2</v>
      </c>
      <c r="N151" s="79" t="s">
        <v>1258</v>
      </c>
      <c r="O151" s="79" t="s">
        <v>1251</v>
      </c>
      <c r="P151" s="79" t="s">
        <v>1127</v>
      </c>
      <c r="Q151" s="79"/>
      <c r="R151" s="79" t="s">
        <v>1707</v>
      </c>
      <c r="S151" s="79" t="s">
        <v>23</v>
      </c>
      <c r="T151" s="79" t="s">
        <v>23</v>
      </c>
      <c r="U151" s="79" t="s">
        <v>1257</v>
      </c>
      <c r="V151" s="79" t="s">
        <v>24</v>
      </c>
      <c r="W151" s="79" t="s">
        <v>1132</v>
      </c>
      <c r="X151" s="79"/>
      <c r="Y151" s="79"/>
      <c r="Z151" s="79"/>
      <c r="AA151" s="154"/>
      <c r="AB151" s="155"/>
      <c r="AC151" s="121">
        <v>4</v>
      </c>
      <c r="AD151" s="202"/>
      <c r="AE151" s="192"/>
      <c r="AF151" s="203"/>
      <c r="AG151" s="121"/>
      <c r="AH151" s="121"/>
      <c r="AI151" s="121"/>
      <c r="AJ151" s="121"/>
      <c r="AK151" s="121"/>
      <c r="AL151" s="121"/>
      <c r="AM151" s="121"/>
      <c r="AN151" s="121"/>
      <c r="AO151" s="121"/>
      <c r="AP151" s="121"/>
      <c r="AQ151" s="121"/>
      <c r="AR151" s="121"/>
      <c r="AS151" s="121"/>
      <c r="AT151" s="121"/>
      <c r="AU151" s="121"/>
      <c r="AV151" s="156"/>
      <c r="AW151" s="156"/>
      <c r="AX151" s="156"/>
      <c r="AY151" s="156"/>
      <c r="AZ151" s="156">
        <v>1</v>
      </c>
      <c r="BA151" s="156"/>
      <c r="BB151" s="156"/>
      <c r="BC151" s="156"/>
      <c r="BD151" s="157"/>
      <c r="BE151" s="134"/>
      <c r="BF151" s="134"/>
      <c r="BG151" s="134"/>
      <c r="BH151" s="134"/>
      <c r="BI151" s="134"/>
      <c r="BJ151" s="259"/>
      <c r="BK151" s="138"/>
      <c r="BL151" s="134"/>
      <c r="BM151" s="134"/>
      <c r="BN151" s="134"/>
      <c r="BO151" s="138"/>
      <c r="BP151" s="134"/>
      <c r="BQ151" s="134"/>
      <c r="BR151" s="134"/>
      <c r="BS151" s="288"/>
      <c r="BT151" s="289"/>
      <c r="BU151" s="138"/>
      <c r="BV151" s="134"/>
      <c r="BW151" s="134"/>
      <c r="BX151" s="134"/>
      <c r="BY151" s="138"/>
      <c r="BZ151" s="134"/>
      <c r="CA151" s="134"/>
      <c r="CB151" s="134"/>
      <c r="CC151" s="288"/>
      <c r="CD151" s="289"/>
      <c r="CE151" s="276"/>
      <c r="CF151" s="308"/>
      <c r="CG151" s="138"/>
      <c r="CH151" s="134"/>
      <c r="CI151" s="134"/>
      <c r="CJ151" s="134"/>
      <c r="CK151" s="134"/>
      <c r="CL151" s="134"/>
      <c r="CM151" s="134"/>
      <c r="CN151" s="134"/>
      <c r="CO151" s="300"/>
      <c r="CP151" s="301"/>
      <c r="CQ151" s="134"/>
      <c r="CR151" s="134"/>
      <c r="CS151" s="134"/>
      <c r="CT151" s="134"/>
      <c r="CU151" s="134"/>
      <c r="CV151" s="134"/>
      <c r="CW151" s="134"/>
      <c r="CX151" s="134"/>
      <c r="CY151" s="300"/>
      <c r="CZ151" s="301"/>
      <c r="DA151" s="276"/>
      <c r="DB151" s="277"/>
      <c r="DC151" s="134"/>
      <c r="DD151" s="134"/>
      <c r="DE151" s="134"/>
      <c r="DF151" s="134"/>
      <c r="DG151" s="138"/>
      <c r="DH151" s="134"/>
      <c r="DI151" s="134"/>
      <c r="DJ151" s="134"/>
      <c r="DK151" s="301"/>
      <c r="DL151" s="301"/>
      <c r="DM151" s="134"/>
      <c r="DN151" s="134"/>
      <c r="DO151" s="134"/>
      <c r="DP151" s="134"/>
      <c r="DQ151" s="134"/>
      <c r="DR151" s="134"/>
      <c r="DS151" s="134"/>
      <c r="DT151" s="134"/>
      <c r="DU151" s="301"/>
      <c r="DV151" s="301"/>
      <c r="DW151" s="277"/>
      <c r="DX151" s="134"/>
      <c r="DY151" s="134"/>
      <c r="DZ151" s="134"/>
      <c r="EA151" s="134"/>
      <c r="EB151" s="134"/>
      <c r="EC151" s="134"/>
      <c r="ED151" s="134"/>
      <c r="EE151" s="134"/>
      <c r="EF151" s="301"/>
      <c r="EG151" s="301"/>
      <c r="EH151" s="134"/>
      <c r="EI151" s="134"/>
      <c r="EJ151" s="134"/>
      <c r="EK151" s="134"/>
    </row>
    <row r="152" spans="1:141">
      <c r="A152" s="79" t="s">
        <v>1087</v>
      </c>
      <c r="B152" s="117">
        <v>88</v>
      </c>
      <c r="C152" s="123" t="s">
        <v>1938</v>
      </c>
      <c r="D152" s="124" t="s">
        <v>2309</v>
      </c>
      <c r="E152" s="125">
        <v>2008</v>
      </c>
      <c r="F152" s="79">
        <v>18635156</v>
      </c>
      <c r="G152" s="79">
        <v>1</v>
      </c>
      <c r="H152" s="126"/>
      <c r="I152" s="127"/>
      <c r="J152" s="79">
        <v>1</v>
      </c>
      <c r="K152" s="79"/>
      <c r="L152" s="79">
        <v>1</v>
      </c>
      <c r="M152" s="128">
        <v>2</v>
      </c>
      <c r="N152" s="79" t="s">
        <v>1253</v>
      </c>
      <c r="O152" s="79" t="s">
        <v>1147</v>
      </c>
      <c r="P152" s="79" t="s">
        <v>1127</v>
      </c>
      <c r="Q152" s="79"/>
      <c r="R152" s="79" t="s">
        <v>1507</v>
      </c>
      <c r="S152" s="79" t="s">
        <v>23</v>
      </c>
      <c r="T152" s="79" t="s">
        <v>23</v>
      </c>
      <c r="U152" s="79" t="s">
        <v>1584</v>
      </c>
      <c r="V152" s="79" t="s">
        <v>24</v>
      </c>
      <c r="W152" s="79" t="s">
        <v>1261</v>
      </c>
      <c r="X152" s="79"/>
      <c r="Y152" s="79" t="s">
        <v>1262</v>
      </c>
      <c r="Z152" s="79"/>
      <c r="AA152" s="154"/>
      <c r="AB152" s="155"/>
      <c r="AC152" s="121">
        <v>4</v>
      </c>
      <c r="AD152" s="202"/>
      <c r="AE152" s="192"/>
      <c r="AF152" s="203"/>
      <c r="AG152" s="121"/>
      <c r="AH152" s="121"/>
      <c r="AI152" s="121"/>
      <c r="AJ152" s="121"/>
      <c r="AK152" s="121"/>
      <c r="AL152" s="121"/>
      <c r="AM152" s="121"/>
      <c r="AN152" s="121"/>
      <c r="AO152" s="121"/>
      <c r="AP152" s="121"/>
      <c r="AQ152" s="121"/>
      <c r="AR152" s="121"/>
      <c r="AS152" s="121"/>
      <c r="AT152" s="121"/>
      <c r="AU152" s="121"/>
      <c r="AV152" s="156"/>
      <c r="AW152" s="156"/>
      <c r="AX152" s="156"/>
      <c r="AY152" s="156"/>
      <c r="AZ152" s="156">
        <v>1</v>
      </c>
      <c r="BA152" s="156"/>
      <c r="BB152" s="156"/>
      <c r="BC152" s="156"/>
      <c r="BD152" s="157"/>
      <c r="BE152" s="134"/>
      <c r="BF152" s="134"/>
      <c r="BG152" s="134"/>
      <c r="BH152" s="134"/>
      <c r="BI152" s="134"/>
      <c r="BJ152" s="259"/>
      <c r="BK152" s="138"/>
      <c r="BL152" s="134"/>
      <c r="BM152" s="134"/>
      <c r="BN152" s="134"/>
      <c r="BO152" s="138"/>
      <c r="BP152" s="134"/>
      <c r="BQ152" s="134"/>
      <c r="BR152" s="134"/>
      <c r="BS152" s="288"/>
      <c r="BT152" s="289"/>
      <c r="BU152" s="138"/>
      <c r="BV152" s="134"/>
      <c r="BW152" s="134"/>
      <c r="BX152" s="134"/>
      <c r="BY152" s="138"/>
      <c r="BZ152" s="134"/>
      <c r="CA152" s="134"/>
      <c r="CB152" s="134"/>
      <c r="CC152" s="288"/>
      <c r="CD152" s="289"/>
      <c r="CE152" s="276"/>
      <c r="CF152" s="308"/>
      <c r="CG152" s="138"/>
      <c r="CH152" s="134"/>
      <c r="CI152" s="134"/>
      <c r="CJ152" s="134"/>
      <c r="CK152" s="134"/>
      <c r="CL152" s="134"/>
      <c r="CM152" s="134"/>
      <c r="CN152" s="134"/>
      <c r="CO152" s="300"/>
      <c r="CP152" s="301"/>
      <c r="CQ152" s="134"/>
      <c r="CR152" s="134"/>
      <c r="CS152" s="134"/>
      <c r="CT152" s="134"/>
      <c r="CU152" s="134"/>
      <c r="CV152" s="134"/>
      <c r="CW152" s="134"/>
      <c r="CX152" s="134"/>
      <c r="CY152" s="300"/>
      <c r="CZ152" s="301"/>
      <c r="DA152" s="276"/>
      <c r="DB152" s="277"/>
      <c r="DC152" s="134"/>
      <c r="DD152" s="134"/>
      <c r="DE152" s="134"/>
      <c r="DF152" s="134"/>
      <c r="DG152" s="138"/>
      <c r="DH152" s="134"/>
      <c r="DI152" s="134"/>
      <c r="DJ152" s="134"/>
      <c r="DK152" s="301"/>
      <c r="DL152" s="301"/>
      <c r="DM152" s="134"/>
      <c r="DN152" s="134"/>
      <c r="DO152" s="134"/>
      <c r="DP152" s="134"/>
      <c r="DQ152" s="134"/>
      <c r="DR152" s="134"/>
      <c r="DS152" s="134"/>
      <c r="DT152" s="134"/>
      <c r="DU152" s="301"/>
      <c r="DV152" s="301"/>
      <c r="DW152" s="277"/>
      <c r="DX152" s="134"/>
      <c r="DY152" s="134"/>
      <c r="DZ152" s="134"/>
      <c r="EA152" s="134"/>
      <c r="EB152" s="134"/>
      <c r="EC152" s="134"/>
      <c r="ED152" s="134"/>
      <c r="EE152" s="134"/>
      <c r="EF152" s="301"/>
      <c r="EG152" s="301"/>
      <c r="EH152" s="134"/>
      <c r="EI152" s="134"/>
      <c r="EJ152" s="134"/>
      <c r="EK152" s="134"/>
    </row>
    <row r="153" spans="1:141">
      <c r="A153" s="79" t="s">
        <v>1086</v>
      </c>
      <c r="B153" s="117">
        <v>89</v>
      </c>
      <c r="C153" s="123" t="s">
        <v>1938</v>
      </c>
      <c r="D153" s="124" t="s">
        <v>2310</v>
      </c>
      <c r="E153" s="125">
        <v>2006</v>
      </c>
      <c r="F153" s="79">
        <v>16555237</v>
      </c>
      <c r="G153" s="79">
        <v>1</v>
      </c>
      <c r="H153" s="126" t="s">
        <v>1824</v>
      </c>
      <c r="I153" s="127"/>
      <c r="J153" s="79">
        <v>1</v>
      </c>
      <c r="K153" s="79"/>
      <c r="L153" s="79">
        <v>1</v>
      </c>
      <c r="M153" s="128">
        <v>2</v>
      </c>
      <c r="N153" s="79" t="s">
        <v>1263</v>
      </c>
      <c r="O153" s="79" t="s">
        <v>1264</v>
      </c>
      <c r="P153" s="79" t="s">
        <v>1265</v>
      </c>
      <c r="Q153" s="79"/>
      <c r="R153" s="79" t="s">
        <v>1495</v>
      </c>
      <c r="S153" s="79" t="s">
        <v>23</v>
      </c>
      <c r="T153" s="79" t="s">
        <v>23</v>
      </c>
      <c r="U153" s="79" t="s">
        <v>1267</v>
      </c>
      <c r="V153" s="79" t="s">
        <v>1266</v>
      </c>
      <c r="W153" s="79" t="s">
        <v>13</v>
      </c>
      <c r="X153" s="79"/>
      <c r="Y153" s="79"/>
      <c r="Z153" s="79"/>
      <c r="AA153" s="154"/>
      <c r="AB153" s="155"/>
      <c r="AC153" s="121">
        <v>5</v>
      </c>
      <c r="AD153" s="202"/>
      <c r="AE153" s="192"/>
      <c r="AF153" s="203"/>
      <c r="AG153" s="121"/>
      <c r="AH153" s="121"/>
      <c r="AI153" s="121"/>
      <c r="AJ153" s="121"/>
      <c r="AK153" s="121"/>
      <c r="AL153" s="121"/>
      <c r="AM153" s="121"/>
      <c r="AN153" s="121"/>
      <c r="AO153" s="121"/>
      <c r="AP153" s="121"/>
      <c r="AQ153" s="121"/>
      <c r="AR153" s="121"/>
      <c r="AS153" s="121"/>
      <c r="AT153" s="121"/>
      <c r="AU153" s="121"/>
      <c r="AV153" s="156"/>
      <c r="AW153" s="156"/>
      <c r="AX153" s="156"/>
      <c r="AY153" s="156"/>
      <c r="AZ153" s="156"/>
      <c r="BA153" s="156"/>
      <c r="BB153" s="156"/>
      <c r="BC153" s="156"/>
      <c r="BD153" s="157"/>
      <c r="BE153" s="134"/>
      <c r="BF153" s="134"/>
      <c r="BG153" s="134"/>
      <c r="BH153" s="134"/>
      <c r="BI153" s="134"/>
      <c r="BJ153" s="259"/>
      <c r="BK153" s="138"/>
      <c r="BL153" s="134"/>
      <c r="BM153" s="134"/>
      <c r="BN153" s="134"/>
      <c r="BO153" s="138"/>
      <c r="BP153" s="134"/>
      <c r="BQ153" s="134"/>
      <c r="BR153" s="134"/>
      <c r="BS153" s="288"/>
      <c r="BT153" s="289"/>
      <c r="BU153" s="138"/>
      <c r="BV153" s="134"/>
      <c r="BW153" s="134"/>
      <c r="BX153" s="134"/>
      <c r="BY153" s="138"/>
      <c r="BZ153" s="134"/>
      <c r="CA153" s="134"/>
      <c r="CB153" s="134"/>
      <c r="CC153" s="288"/>
      <c r="CD153" s="289"/>
      <c r="CE153" s="276"/>
      <c r="CF153" s="308"/>
      <c r="CG153" s="138"/>
      <c r="CH153" s="134"/>
      <c r="CI153" s="134"/>
      <c r="CJ153" s="134"/>
      <c r="CK153" s="134"/>
      <c r="CL153" s="134"/>
      <c r="CM153" s="134"/>
      <c r="CN153" s="134"/>
      <c r="CO153" s="300"/>
      <c r="CP153" s="301"/>
      <c r="CQ153" s="134"/>
      <c r="CR153" s="134"/>
      <c r="CS153" s="134"/>
      <c r="CT153" s="134"/>
      <c r="CU153" s="134"/>
      <c r="CV153" s="134"/>
      <c r="CW153" s="134"/>
      <c r="CX153" s="134"/>
      <c r="CY153" s="300"/>
      <c r="CZ153" s="301"/>
      <c r="DA153" s="276"/>
      <c r="DB153" s="277"/>
      <c r="DC153" s="134"/>
      <c r="DD153" s="134"/>
      <c r="DE153" s="134"/>
      <c r="DF153" s="134"/>
      <c r="DG153" s="138"/>
      <c r="DH153" s="134"/>
      <c r="DI153" s="134"/>
      <c r="DJ153" s="134"/>
      <c r="DK153" s="301"/>
      <c r="DL153" s="301"/>
      <c r="DM153" s="134"/>
      <c r="DN153" s="134"/>
      <c r="DO153" s="134"/>
      <c r="DP153" s="134"/>
      <c r="DQ153" s="134"/>
      <c r="DR153" s="134"/>
      <c r="DS153" s="134"/>
      <c r="DT153" s="134"/>
      <c r="DU153" s="301"/>
      <c r="DV153" s="301"/>
      <c r="DW153" s="277"/>
      <c r="DX153" s="134"/>
      <c r="DY153" s="134"/>
      <c r="DZ153" s="134"/>
      <c r="EA153" s="134"/>
      <c r="EB153" s="134"/>
      <c r="EC153" s="134"/>
      <c r="ED153" s="134"/>
      <c r="EE153" s="134"/>
      <c r="EF153" s="301"/>
      <c r="EG153" s="301"/>
      <c r="EH153" s="134"/>
      <c r="EI153" s="134"/>
      <c r="EJ153" s="134"/>
      <c r="EK153" s="134"/>
    </row>
    <row r="154" spans="1:141">
      <c r="A154" s="79" t="s">
        <v>1084</v>
      </c>
      <c r="B154" s="117">
        <v>90</v>
      </c>
      <c r="C154" s="123" t="s">
        <v>1938</v>
      </c>
      <c r="D154" s="124" t="s">
        <v>2311</v>
      </c>
      <c r="E154" s="125">
        <v>2012</v>
      </c>
      <c r="F154" s="79">
        <v>22713910</v>
      </c>
      <c r="G154" s="79">
        <v>1</v>
      </c>
      <c r="H154" s="126" t="s">
        <v>1827</v>
      </c>
      <c r="I154" s="127"/>
      <c r="J154" s="79">
        <v>0</v>
      </c>
      <c r="K154" s="79"/>
      <c r="L154" s="79">
        <v>0</v>
      </c>
      <c r="M154" s="128">
        <v>2</v>
      </c>
      <c r="N154" s="79" t="s">
        <v>23</v>
      </c>
      <c r="O154" s="79"/>
      <c r="P154" s="79" t="s">
        <v>1127</v>
      </c>
      <c r="Q154" s="79"/>
      <c r="R154" s="79" t="s">
        <v>1505</v>
      </c>
      <c r="S154" s="79" t="s">
        <v>803</v>
      </c>
      <c r="T154" s="79" t="s">
        <v>23</v>
      </c>
      <c r="U154" s="79" t="s">
        <v>1825</v>
      </c>
      <c r="V154" s="79" t="s">
        <v>1272</v>
      </c>
      <c r="W154" s="79" t="s">
        <v>1270</v>
      </c>
      <c r="X154" s="79"/>
      <c r="Y154" s="79" t="s">
        <v>1271</v>
      </c>
      <c r="Z154" s="79"/>
      <c r="AA154" s="154"/>
      <c r="AB154" s="155"/>
      <c r="AC154" s="121">
        <v>4</v>
      </c>
      <c r="AD154" s="202"/>
      <c r="AE154" s="192"/>
      <c r="AF154" s="203"/>
      <c r="AG154" s="121"/>
      <c r="AH154" s="121"/>
      <c r="AI154" s="121"/>
      <c r="AJ154" s="121"/>
      <c r="AK154" s="121"/>
      <c r="AL154" s="121"/>
      <c r="AM154" s="121"/>
      <c r="AN154" s="121"/>
      <c r="AO154" s="121"/>
      <c r="AP154" s="121"/>
      <c r="AQ154" s="121"/>
      <c r="AR154" s="121"/>
      <c r="AS154" s="121"/>
      <c r="AT154" s="121"/>
      <c r="AU154" s="121"/>
      <c r="AV154" s="156"/>
      <c r="AW154" s="156"/>
      <c r="AX154" s="156"/>
      <c r="AY154" s="156"/>
      <c r="AZ154" s="156"/>
      <c r="BA154" s="156"/>
      <c r="BB154" s="156"/>
      <c r="BC154" s="156"/>
      <c r="BD154" s="157"/>
      <c r="BE154" s="134"/>
      <c r="BF154" s="134"/>
      <c r="BG154" s="134"/>
      <c r="BH154" s="134"/>
      <c r="BI154" s="134"/>
      <c r="BJ154" s="259"/>
      <c r="BK154" s="138"/>
      <c r="BL154" s="134"/>
      <c r="BM154" s="134"/>
      <c r="BN154" s="134"/>
      <c r="BO154" s="138"/>
      <c r="BP154" s="134"/>
      <c r="BQ154" s="134"/>
      <c r="BR154" s="134"/>
      <c r="BS154" s="288"/>
      <c r="BT154" s="289"/>
      <c r="BU154" s="138"/>
      <c r="BV154" s="134"/>
      <c r="BW154" s="134"/>
      <c r="BX154" s="134"/>
      <c r="BY154" s="138"/>
      <c r="BZ154" s="134"/>
      <c r="CA154" s="134"/>
      <c r="CB154" s="134"/>
      <c r="CC154" s="288"/>
      <c r="CD154" s="289"/>
      <c r="CE154" s="276"/>
      <c r="CF154" s="308"/>
      <c r="CG154" s="138"/>
      <c r="CH154" s="134"/>
      <c r="CI154" s="134"/>
      <c r="CJ154" s="134"/>
      <c r="CK154" s="134"/>
      <c r="CL154" s="134"/>
      <c r="CM154" s="134"/>
      <c r="CN154" s="134"/>
      <c r="CO154" s="300"/>
      <c r="CP154" s="301"/>
      <c r="CQ154" s="134"/>
      <c r="CR154" s="134"/>
      <c r="CS154" s="134"/>
      <c r="CT154" s="134"/>
      <c r="CU154" s="134"/>
      <c r="CV154" s="134"/>
      <c r="CW154" s="134"/>
      <c r="CX154" s="134"/>
      <c r="CY154" s="300"/>
      <c r="CZ154" s="301"/>
      <c r="DA154" s="276"/>
      <c r="DB154" s="277"/>
      <c r="DC154" s="134"/>
      <c r="DD154" s="134"/>
      <c r="DE154" s="134"/>
      <c r="DF154" s="134"/>
      <c r="DG154" s="138"/>
      <c r="DH154" s="134"/>
      <c r="DI154" s="134"/>
      <c r="DJ154" s="134"/>
      <c r="DK154" s="301"/>
      <c r="DL154" s="301"/>
      <c r="DM154" s="134"/>
      <c r="DN154" s="134"/>
      <c r="DO154" s="134"/>
      <c r="DP154" s="134"/>
      <c r="DQ154" s="134"/>
      <c r="DR154" s="134"/>
      <c r="DS154" s="134"/>
      <c r="DT154" s="134"/>
      <c r="DU154" s="301"/>
      <c r="DV154" s="301"/>
      <c r="DW154" s="277"/>
      <c r="DX154" s="134"/>
      <c r="DY154" s="134"/>
      <c r="DZ154" s="134"/>
      <c r="EA154" s="134"/>
      <c r="EB154" s="134"/>
      <c r="EC154" s="134"/>
      <c r="ED154" s="134"/>
      <c r="EE154" s="134"/>
      <c r="EF154" s="301"/>
      <c r="EG154" s="301"/>
      <c r="EH154" s="134"/>
      <c r="EI154" s="134"/>
      <c r="EJ154" s="134"/>
      <c r="EK154" s="134"/>
    </row>
    <row r="155" spans="1:141">
      <c r="A155" s="79" t="s">
        <v>120</v>
      </c>
      <c r="B155" s="117">
        <v>91</v>
      </c>
      <c r="C155" s="123" t="s">
        <v>1939</v>
      </c>
      <c r="D155" s="124" t="s">
        <v>2158</v>
      </c>
      <c r="E155" s="125">
        <v>2016</v>
      </c>
      <c r="F155" s="79">
        <v>27214523</v>
      </c>
      <c r="G155" s="79">
        <v>1</v>
      </c>
      <c r="H155" s="170" t="s">
        <v>1775</v>
      </c>
      <c r="I155" s="127" t="s">
        <v>1760</v>
      </c>
      <c r="J155" s="164">
        <v>1</v>
      </c>
      <c r="K155" s="79"/>
      <c r="L155" s="79">
        <v>0</v>
      </c>
      <c r="M155" s="128">
        <v>1</v>
      </c>
      <c r="N155" s="79" t="s">
        <v>403</v>
      </c>
      <c r="O155" s="79" t="s">
        <v>1192</v>
      </c>
      <c r="P155" s="79" t="s">
        <v>405</v>
      </c>
      <c r="Q155" s="79">
        <v>1</v>
      </c>
      <c r="R155" s="79"/>
      <c r="S155" s="79"/>
      <c r="T155" s="79"/>
      <c r="U155" s="79" t="s">
        <v>406</v>
      </c>
      <c r="V155" s="79" t="s">
        <v>404</v>
      </c>
      <c r="W155" s="79"/>
      <c r="X155" s="79"/>
      <c r="Y155" s="79"/>
      <c r="Z155" s="79" t="s">
        <v>407</v>
      </c>
      <c r="AA155" s="154"/>
      <c r="AB155" s="155"/>
      <c r="AC155" s="121">
        <v>2</v>
      </c>
      <c r="AD155" s="202"/>
      <c r="AE155" s="192"/>
      <c r="AF155" s="203"/>
      <c r="AG155" s="121"/>
      <c r="AH155" s="121"/>
      <c r="AI155" s="121"/>
      <c r="AJ155" s="121"/>
      <c r="AK155" s="121"/>
      <c r="AL155" s="121"/>
      <c r="AM155" s="121"/>
      <c r="AN155" s="121"/>
      <c r="AO155" s="121"/>
      <c r="AP155" s="121"/>
      <c r="AQ155" s="121"/>
      <c r="AR155" s="121"/>
      <c r="AS155" s="121"/>
      <c r="AT155" s="121"/>
      <c r="AU155" s="121"/>
      <c r="AV155" s="156"/>
      <c r="AW155" s="156"/>
      <c r="AX155" s="156">
        <v>1</v>
      </c>
      <c r="AY155" s="156">
        <v>1</v>
      </c>
      <c r="AZ155" s="156"/>
      <c r="BA155" s="156"/>
      <c r="BB155" s="156"/>
      <c r="BC155" s="156"/>
      <c r="BD155" s="157"/>
      <c r="BE155" s="134"/>
      <c r="BF155" s="134"/>
      <c r="BG155" s="134"/>
      <c r="BH155" s="134"/>
      <c r="BI155" s="134"/>
      <c r="BJ155" s="259"/>
      <c r="BK155" s="138"/>
      <c r="BL155" s="134"/>
      <c r="BM155" s="134"/>
      <c r="BN155" s="134"/>
      <c r="BO155" s="138"/>
      <c r="BP155" s="134"/>
      <c r="BQ155" s="134"/>
      <c r="BR155" s="134"/>
      <c r="BS155" s="288"/>
      <c r="BT155" s="289"/>
      <c r="BU155" s="138"/>
      <c r="BV155" s="134"/>
      <c r="BW155" s="134"/>
      <c r="BX155" s="134"/>
      <c r="BY155" s="138"/>
      <c r="BZ155" s="134"/>
      <c r="CA155" s="134"/>
      <c r="CB155" s="134"/>
      <c r="CC155" s="288"/>
      <c r="CD155" s="289"/>
      <c r="CE155" s="276"/>
      <c r="CF155" s="308"/>
      <c r="CG155" s="138"/>
      <c r="CH155" s="134"/>
      <c r="CI155" s="134"/>
      <c r="CJ155" s="134"/>
      <c r="CK155" s="134"/>
      <c r="CL155" s="134"/>
      <c r="CM155" s="134"/>
      <c r="CN155" s="134"/>
      <c r="CO155" s="300"/>
      <c r="CP155" s="301"/>
      <c r="CQ155" s="134"/>
      <c r="CR155" s="134"/>
      <c r="CS155" s="134"/>
      <c r="CT155" s="134"/>
      <c r="CU155" s="134"/>
      <c r="CV155" s="134"/>
      <c r="CW155" s="134"/>
      <c r="CX155" s="134"/>
      <c r="CY155" s="300"/>
      <c r="CZ155" s="301"/>
      <c r="DA155" s="276"/>
      <c r="DB155" s="277"/>
      <c r="DC155" s="134"/>
      <c r="DD155" s="134"/>
      <c r="DE155" s="134"/>
      <c r="DF155" s="134"/>
      <c r="DG155" s="138"/>
      <c r="DH155" s="134"/>
      <c r="DI155" s="134"/>
      <c r="DJ155" s="134"/>
      <c r="DK155" s="301"/>
      <c r="DL155" s="301"/>
      <c r="DM155" s="134"/>
      <c r="DN155" s="134"/>
      <c r="DO155" s="134"/>
      <c r="DP155" s="134"/>
      <c r="DQ155" s="134"/>
      <c r="DR155" s="134"/>
      <c r="DS155" s="134"/>
      <c r="DT155" s="134"/>
      <c r="DU155" s="301"/>
      <c r="DV155" s="301"/>
      <c r="DW155" s="277"/>
      <c r="DX155" s="134"/>
      <c r="DY155" s="134"/>
      <c r="DZ155" s="134"/>
      <c r="EA155" s="134"/>
      <c r="EB155" s="134"/>
      <c r="EC155" s="134"/>
      <c r="ED155" s="134"/>
      <c r="EE155" s="134"/>
      <c r="EF155" s="301"/>
      <c r="EG155" s="301"/>
      <c r="EH155" s="134"/>
      <c r="EI155" s="134"/>
      <c r="EJ155" s="134"/>
      <c r="EK155" s="134"/>
    </row>
    <row r="156" spans="1:141">
      <c r="A156" s="79" t="s">
        <v>1082</v>
      </c>
      <c r="B156" s="117">
        <v>92</v>
      </c>
      <c r="C156" s="123" t="s">
        <v>2061</v>
      </c>
      <c r="D156" s="124" t="s">
        <v>2313</v>
      </c>
      <c r="E156" s="125">
        <v>2013</v>
      </c>
      <c r="F156" s="79">
        <v>23011267</v>
      </c>
      <c r="G156" s="79">
        <v>1</v>
      </c>
      <c r="H156" s="126" t="s">
        <v>1836</v>
      </c>
      <c r="I156" s="127"/>
      <c r="J156" s="79">
        <v>0</v>
      </c>
      <c r="K156" s="79"/>
      <c r="L156" s="79">
        <v>0</v>
      </c>
      <c r="M156" s="128">
        <v>2</v>
      </c>
      <c r="N156" s="79" t="s">
        <v>1275</v>
      </c>
      <c r="O156" s="79" t="s">
        <v>1162</v>
      </c>
      <c r="P156" s="79" t="s">
        <v>1127</v>
      </c>
      <c r="Q156" s="79"/>
      <c r="R156" s="79" t="s">
        <v>1500</v>
      </c>
      <c r="S156" s="79"/>
      <c r="T156" s="79"/>
      <c r="U156" s="79" t="s">
        <v>1275</v>
      </c>
      <c r="V156" s="79" t="s">
        <v>1274</v>
      </c>
      <c r="W156" s="79"/>
      <c r="X156" s="79"/>
      <c r="Y156" s="79"/>
      <c r="Z156" s="79" t="s">
        <v>1124</v>
      </c>
      <c r="AA156" s="154"/>
      <c r="AB156" s="155"/>
      <c r="AC156" s="121">
        <v>4</v>
      </c>
      <c r="AD156" s="202"/>
      <c r="AE156" s="192"/>
      <c r="AF156" s="203"/>
      <c r="AG156" s="121"/>
      <c r="AH156" s="121"/>
      <c r="AI156" s="121"/>
      <c r="AJ156" s="121"/>
      <c r="AK156" s="121"/>
      <c r="AL156" s="121"/>
      <c r="AM156" s="121"/>
      <c r="AN156" s="121"/>
      <c r="AO156" s="121"/>
      <c r="AP156" s="121"/>
      <c r="AQ156" s="121"/>
      <c r="AR156" s="121"/>
      <c r="AS156" s="121"/>
      <c r="AT156" s="121"/>
      <c r="AU156" s="121"/>
      <c r="AV156" s="156"/>
      <c r="AW156" s="156"/>
      <c r="AX156" s="156"/>
      <c r="AY156" s="156"/>
      <c r="AZ156" s="156"/>
      <c r="BA156" s="156"/>
      <c r="BB156" s="156"/>
      <c r="BC156" s="156"/>
      <c r="BD156" s="157"/>
      <c r="BE156" s="134"/>
      <c r="BF156" s="134"/>
      <c r="BG156" s="134"/>
      <c r="BH156" s="134"/>
      <c r="BI156" s="134"/>
      <c r="BJ156" s="259"/>
      <c r="BK156" s="138"/>
      <c r="BL156" s="134"/>
      <c r="BM156" s="134"/>
      <c r="BN156" s="134"/>
      <c r="BO156" s="138"/>
      <c r="BP156" s="134"/>
      <c r="BQ156" s="134"/>
      <c r="BR156" s="134"/>
      <c r="BS156" s="288"/>
      <c r="BT156" s="289"/>
      <c r="BU156" s="138"/>
      <c r="BV156" s="134"/>
      <c r="BW156" s="134"/>
      <c r="BX156" s="134"/>
      <c r="BY156" s="138"/>
      <c r="BZ156" s="134"/>
      <c r="CA156" s="134"/>
      <c r="CB156" s="134"/>
      <c r="CC156" s="288"/>
      <c r="CD156" s="289"/>
      <c r="CE156" s="276"/>
      <c r="CF156" s="308"/>
      <c r="CG156" s="138"/>
      <c r="CH156" s="134"/>
      <c r="CI156" s="134"/>
      <c r="CJ156" s="134"/>
      <c r="CK156" s="134"/>
      <c r="CL156" s="134"/>
      <c r="CM156" s="134"/>
      <c r="CN156" s="134"/>
      <c r="CO156" s="300"/>
      <c r="CP156" s="301"/>
      <c r="CQ156" s="134"/>
      <c r="CR156" s="134"/>
      <c r="CS156" s="134"/>
      <c r="CT156" s="134"/>
      <c r="CU156" s="134"/>
      <c r="CV156" s="134"/>
      <c r="CW156" s="134"/>
      <c r="CX156" s="134"/>
      <c r="CY156" s="300"/>
      <c r="CZ156" s="301"/>
      <c r="DA156" s="276"/>
      <c r="DB156" s="277"/>
      <c r="DC156" s="134"/>
      <c r="DD156" s="134"/>
      <c r="DE156" s="134"/>
      <c r="DF156" s="134"/>
      <c r="DG156" s="138"/>
      <c r="DH156" s="134"/>
      <c r="DI156" s="134"/>
      <c r="DJ156" s="134"/>
      <c r="DK156" s="301"/>
      <c r="DL156" s="301"/>
      <c r="DM156" s="134"/>
      <c r="DN156" s="134"/>
      <c r="DO156" s="134"/>
      <c r="DP156" s="134"/>
      <c r="DQ156" s="134"/>
      <c r="DR156" s="134"/>
      <c r="DS156" s="134"/>
      <c r="DT156" s="134"/>
      <c r="DU156" s="301"/>
      <c r="DV156" s="301"/>
      <c r="DW156" s="277"/>
      <c r="DX156" s="134"/>
      <c r="DY156" s="134"/>
      <c r="DZ156" s="134"/>
      <c r="EA156" s="134"/>
      <c r="EB156" s="134"/>
      <c r="EC156" s="134"/>
      <c r="ED156" s="134"/>
      <c r="EE156" s="134"/>
      <c r="EF156" s="301"/>
      <c r="EG156" s="301"/>
      <c r="EH156" s="134"/>
      <c r="EI156" s="134"/>
      <c r="EJ156" s="134"/>
      <c r="EK156" s="134"/>
    </row>
    <row r="157" spans="1:141">
      <c r="A157" s="79" t="s">
        <v>121</v>
      </c>
      <c r="B157" s="117">
        <v>93</v>
      </c>
      <c r="C157" s="123" t="s">
        <v>1940</v>
      </c>
      <c r="D157" s="124" t="s">
        <v>2159</v>
      </c>
      <c r="E157" s="125">
        <v>2002</v>
      </c>
      <c r="F157" s="79">
        <v>12607144</v>
      </c>
      <c r="G157" s="79">
        <v>1</v>
      </c>
      <c r="H157" s="126"/>
      <c r="I157" s="127"/>
      <c r="J157" s="79">
        <v>1</v>
      </c>
      <c r="K157" s="79"/>
      <c r="L157" s="79">
        <v>1</v>
      </c>
      <c r="M157" s="128">
        <v>1</v>
      </c>
      <c r="N157" s="79" t="s">
        <v>408</v>
      </c>
      <c r="O157" s="79"/>
      <c r="P157" s="79" t="s">
        <v>25</v>
      </c>
      <c r="Q157" s="79">
        <v>1</v>
      </c>
      <c r="R157" s="79"/>
      <c r="S157" s="79"/>
      <c r="T157" s="79"/>
      <c r="U157" s="79"/>
      <c r="V157" s="79"/>
      <c r="W157" s="79"/>
      <c r="X157" s="79"/>
      <c r="Y157" s="79"/>
      <c r="Z157" s="79"/>
      <c r="AA157" s="154"/>
      <c r="AB157" s="155"/>
      <c r="AC157" s="121">
        <v>2</v>
      </c>
      <c r="AD157" s="202"/>
      <c r="AE157" s="192"/>
      <c r="AF157" s="203"/>
      <c r="AG157" s="121"/>
      <c r="AH157" s="121"/>
      <c r="AI157" s="121"/>
      <c r="AJ157" s="121"/>
      <c r="AK157" s="121"/>
      <c r="AL157" s="121"/>
      <c r="AM157" s="121"/>
      <c r="AN157" s="121"/>
      <c r="AO157" s="121"/>
      <c r="AP157" s="121"/>
      <c r="AQ157" s="121"/>
      <c r="AR157" s="121"/>
      <c r="AS157" s="121"/>
      <c r="AT157" s="121"/>
      <c r="AU157" s="121"/>
      <c r="AV157" s="156"/>
      <c r="AW157" s="156"/>
      <c r="AX157" s="156"/>
      <c r="AY157" s="156"/>
      <c r="AZ157" s="156">
        <v>1</v>
      </c>
      <c r="BA157" s="156"/>
      <c r="BB157" s="156"/>
      <c r="BC157" s="156"/>
      <c r="BD157" s="157"/>
      <c r="BE157" s="134"/>
      <c r="BF157" s="134"/>
      <c r="BG157" s="134"/>
      <c r="BH157" s="134"/>
      <c r="BI157" s="134"/>
      <c r="BJ157" s="259"/>
      <c r="BK157" s="138"/>
      <c r="BL157" s="134"/>
      <c r="BM157" s="134"/>
      <c r="BN157" s="134"/>
      <c r="BO157" s="138"/>
      <c r="BP157" s="134"/>
      <c r="BQ157" s="134"/>
      <c r="BR157" s="134"/>
      <c r="BS157" s="288"/>
      <c r="BT157" s="289"/>
      <c r="BU157" s="138"/>
      <c r="BV157" s="134"/>
      <c r="BW157" s="134"/>
      <c r="BX157" s="134"/>
      <c r="BY157" s="138"/>
      <c r="BZ157" s="134"/>
      <c r="CA157" s="134"/>
      <c r="CB157" s="134"/>
      <c r="CC157" s="288"/>
      <c r="CD157" s="289"/>
      <c r="CE157" s="276"/>
      <c r="CF157" s="308"/>
      <c r="CG157" s="138"/>
      <c r="CH157" s="134"/>
      <c r="CI157" s="134"/>
      <c r="CJ157" s="134"/>
      <c r="CK157" s="134"/>
      <c r="CL157" s="134"/>
      <c r="CM157" s="134"/>
      <c r="CN157" s="134"/>
      <c r="CO157" s="300"/>
      <c r="CP157" s="301"/>
      <c r="CQ157" s="134"/>
      <c r="CR157" s="134"/>
      <c r="CS157" s="134"/>
      <c r="CT157" s="134"/>
      <c r="CU157" s="134"/>
      <c r="CV157" s="134"/>
      <c r="CW157" s="134"/>
      <c r="CX157" s="134"/>
      <c r="CY157" s="300"/>
      <c r="CZ157" s="301"/>
      <c r="DA157" s="276"/>
      <c r="DB157" s="277"/>
      <c r="DC157" s="134"/>
      <c r="DD157" s="134"/>
      <c r="DE157" s="134"/>
      <c r="DF157" s="134"/>
      <c r="DG157" s="138"/>
      <c r="DH157" s="134"/>
      <c r="DI157" s="134"/>
      <c r="DJ157" s="134"/>
      <c r="DK157" s="301"/>
      <c r="DL157" s="301"/>
      <c r="DM157" s="134"/>
      <c r="DN157" s="134"/>
      <c r="DO157" s="134"/>
      <c r="DP157" s="134"/>
      <c r="DQ157" s="134"/>
      <c r="DR157" s="134"/>
      <c r="DS157" s="134"/>
      <c r="DT157" s="134"/>
      <c r="DU157" s="301"/>
      <c r="DV157" s="301"/>
      <c r="DW157" s="277"/>
      <c r="DX157" s="134"/>
      <c r="DY157" s="134"/>
      <c r="DZ157" s="134"/>
      <c r="EA157" s="134"/>
      <c r="EB157" s="134"/>
      <c r="EC157" s="134"/>
      <c r="ED157" s="134"/>
      <c r="EE157" s="134"/>
      <c r="EF157" s="301"/>
      <c r="EG157" s="301"/>
      <c r="EH157" s="134"/>
      <c r="EI157" s="134"/>
      <c r="EJ157" s="134"/>
      <c r="EK157" s="134"/>
    </row>
    <row r="158" spans="1:141">
      <c r="A158" s="79" t="s">
        <v>123</v>
      </c>
      <c r="B158" s="117">
        <v>94</v>
      </c>
      <c r="C158" s="123" t="s">
        <v>1941</v>
      </c>
      <c r="D158" s="124" t="s">
        <v>2160</v>
      </c>
      <c r="E158" s="125">
        <v>2014</v>
      </c>
      <c r="F158" s="79">
        <v>24724093</v>
      </c>
      <c r="G158" s="79">
        <v>1</v>
      </c>
      <c r="H158" s="126"/>
      <c r="I158" s="127"/>
      <c r="J158" s="79">
        <v>1</v>
      </c>
      <c r="K158" s="79"/>
      <c r="L158" s="79">
        <v>1</v>
      </c>
      <c r="M158" s="128">
        <v>1</v>
      </c>
      <c r="N158" s="79" t="s">
        <v>411</v>
      </c>
      <c r="O158" s="79" t="s">
        <v>1192</v>
      </c>
      <c r="P158" s="79" t="s">
        <v>412</v>
      </c>
      <c r="Q158" s="79">
        <v>1</v>
      </c>
      <c r="R158" s="79"/>
      <c r="S158" s="79"/>
      <c r="T158" s="79"/>
      <c r="U158" s="79" t="s">
        <v>1155</v>
      </c>
      <c r="V158" s="79" t="s">
        <v>56</v>
      </c>
      <c r="W158" s="79"/>
      <c r="X158" s="79"/>
      <c r="Y158" s="79"/>
      <c r="Z158" s="79"/>
      <c r="AA158" s="154"/>
      <c r="AB158" s="155"/>
      <c r="AC158" s="121"/>
      <c r="AD158" s="202"/>
      <c r="AE158" s="192"/>
      <c r="AF158" s="203"/>
      <c r="AG158" s="121"/>
      <c r="AH158" s="121"/>
      <c r="AI158" s="121"/>
      <c r="AJ158" s="121"/>
      <c r="AK158" s="121"/>
      <c r="AL158" s="121"/>
      <c r="AM158" s="121"/>
      <c r="AN158" s="121"/>
      <c r="AO158" s="121"/>
      <c r="AP158" s="121"/>
      <c r="AQ158" s="121"/>
      <c r="AR158" s="121"/>
      <c r="AS158" s="121"/>
      <c r="AT158" s="121"/>
      <c r="AU158" s="121"/>
      <c r="AV158" s="156"/>
      <c r="AW158" s="156"/>
      <c r="AX158" s="156"/>
      <c r="AY158" s="156">
        <v>1</v>
      </c>
      <c r="AZ158" s="156"/>
      <c r="BA158" s="156"/>
      <c r="BB158" s="156"/>
      <c r="BC158" s="156"/>
      <c r="BD158" s="157"/>
      <c r="BE158" s="134"/>
      <c r="BF158" s="134"/>
      <c r="BG158" s="134"/>
      <c r="BH158" s="134"/>
      <c r="BI158" s="134"/>
      <c r="BJ158" s="259"/>
      <c r="BK158" s="138"/>
      <c r="BL158" s="134"/>
      <c r="BM158" s="134"/>
      <c r="BN158" s="134"/>
      <c r="BO158" s="138"/>
      <c r="BP158" s="134"/>
      <c r="BQ158" s="134"/>
      <c r="BR158" s="134"/>
      <c r="BS158" s="288"/>
      <c r="BT158" s="289"/>
      <c r="BU158" s="138"/>
      <c r="BV158" s="134"/>
      <c r="BW158" s="134"/>
      <c r="BX158" s="134"/>
      <c r="BY158" s="138"/>
      <c r="BZ158" s="134"/>
      <c r="CA158" s="134"/>
      <c r="CB158" s="134"/>
      <c r="CC158" s="288"/>
      <c r="CD158" s="289"/>
      <c r="CE158" s="276"/>
      <c r="CF158" s="308"/>
      <c r="CG158" s="138"/>
      <c r="CH158" s="134"/>
      <c r="CI158" s="134"/>
      <c r="CJ158" s="134"/>
      <c r="CK158" s="134"/>
      <c r="CL158" s="134"/>
      <c r="CM158" s="134"/>
      <c r="CN158" s="134"/>
      <c r="CO158" s="300"/>
      <c r="CP158" s="301"/>
      <c r="CQ158" s="134"/>
      <c r="CR158" s="134"/>
      <c r="CS158" s="134"/>
      <c r="CT158" s="134"/>
      <c r="CU158" s="134"/>
      <c r="CV158" s="134"/>
      <c r="CW158" s="134"/>
      <c r="CX158" s="134"/>
      <c r="CY158" s="300"/>
      <c r="CZ158" s="301"/>
      <c r="DA158" s="276"/>
      <c r="DB158" s="277"/>
      <c r="DC158" s="134"/>
      <c r="DD158" s="134"/>
      <c r="DE158" s="134"/>
      <c r="DF158" s="134"/>
      <c r="DG158" s="138"/>
      <c r="DH158" s="134"/>
      <c r="DI158" s="134"/>
      <c r="DJ158" s="134"/>
      <c r="DK158" s="301"/>
      <c r="DL158" s="301"/>
      <c r="DM158" s="134"/>
      <c r="DN158" s="134"/>
      <c r="DO158" s="134"/>
      <c r="DP158" s="134"/>
      <c r="DQ158" s="134"/>
      <c r="DR158" s="134"/>
      <c r="DS158" s="134"/>
      <c r="DT158" s="134"/>
      <c r="DU158" s="301"/>
      <c r="DV158" s="301"/>
      <c r="DW158" s="277"/>
      <c r="DX158" s="134"/>
      <c r="DY158" s="134"/>
      <c r="DZ158" s="134"/>
      <c r="EA158" s="134"/>
      <c r="EB158" s="134"/>
      <c r="EC158" s="134"/>
      <c r="ED158" s="134"/>
      <c r="EE158" s="134"/>
      <c r="EF158" s="301"/>
      <c r="EG158" s="301"/>
      <c r="EH158" s="134"/>
      <c r="EI158" s="134"/>
      <c r="EJ158" s="134"/>
      <c r="EK158" s="134"/>
    </row>
    <row r="159" spans="1:141">
      <c r="A159" s="79" t="s">
        <v>1078</v>
      </c>
      <c r="B159" s="117">
        <v>95</v>
      </c>
      <c r="C159" s="123" t="s">
        <v>2062</v>
      </c>
      <c r="D159" s="124" t="s">
        <v>2314</v>
      </c>
      <c r="E159" s="125">
        <v>2012</v>
      </c>
      <c r="F159" s="79">
        <v>22108759</v>
      </c>
      <c r="G159" s="79">
        <v>1</v>
      </c>
      <c r="H159" s="126"/>
      <c r="I159" s="127"/>
      <c r="J159" s="79">
        <v>1</v>
      </c>
      <c r="K159" s="79"/>
      <c r="L159" s="79">
        <v>1</v>
      </c>
      <c r="M159" s="128">
        <v>2</v>
      </c>
      <c r="N159" s="79" t="s">
        <v>73</v>
      </c>
      <c r="O159" s="79" t="s">
        <v>1147</v>
      </c>
      <c r="P159" s="79" t="s">
        <v>1282</v>
      </c>
      <c r="Q159" s="79"/>
      <c r="R159" s="79" t="s">
        <v>1500</v>
      </c>
      <c r="S159" s="79" t="s">
        <v>1539</v>
      </c>
      <c r="T159" s="79" t="s">
        <v>23</v>
      </c>
      <c r="U159" s="79" t="s">
        <v>1512</v>
      </c>
      <c r="V159" s="79" t="s">
        <v>1284</v>
      </c>
      <c r="W159" s="79" t="s">
        <v>24</v>
      </c>
      <c r="X159" s="79"/>
      <c r="Y159" s="79"/>
      <c r="Z159" s="79" t="s">
        <v>1283</v>
      </c>
      <c r="AA159" s="154"/>
      <c r="AB159" s="155"/>
      <c r="AC159" s="121">
        <v>4</v>
      </c>
      <c r="AD159" s="202"/>
      <c r="AE159" s="192"/>
      <c r="AF159" s="203"/>
      <c r="AG159" s="121"/>
      <c r="AH159" s="121"/>
      <c r="AI159" s="121"/>
      <c r="AJ159" s="121"/>
      <c r="AK159" s="121"/>
      <c r="AL159" s="121"/>
      <c r="AM159" s="121"/>
      <c r="AN159" s="121"/>
      <c r="AO159" s="121"/>
      <c r="AP159" s="121"/>
      <c r="AQ159" s="121"/>
      <c r="AR159" s="121"/>
      <c r="AS159" s="121"/>
      <c r="AT159" s="121"/>
      <c r="AU159" s="121"/>
      <c r="AV159" s="156"/>
      <c r="AW159" s="156"/>
      <c r="AX159" s="156"/>
      <c r="AY159" s="156"/>
      <c r="AZ159" s="156">
        <v>1</v>
      </c>
      <c r="BA159" s="156"/>
      <c r="BB159" s="156"/>
      <c r="BC159" s="156"/>
      <c r="BD159" s="157"/>
      <c r="BE159" s="134"/>
      <c r="BF159" s="134"/>
      <c r="BG159" s="134"/>
      <c r="BH159" s="134"/>
      <c r="BI159" s="134"/>
      <c r="BJ159" s="259"/>
      <c r="BK159" s="138"/>
      <c r="BL159" s="134"/>
      <c r="BM159" s="134"/>
      <c r="BN159" s="134"/>
      <c r="BO159" s="138"/>
      <c r="BP159" s="134"/>
      <c r="BQ159" s="134"/>
      <c r="BR159" s="134"/>
      <c r="BS159" s="288"/>
      <c r="BT159" s="289"/>
      <c r="BU159" s="138"/>
      <c r="BV159" s="134"/>
      <c r="BW159" s="134"/>
      <c r="BX159" s="134"/>
      <c r="BY159" s="138"/>
      <c r="BZ159" s="134"/>
      <c r="CA159" s="134"/>
      <c r="CB159" s="134"/>
      <c r="CC159" s="288"/>
      <c r="CD159" s="289"/>
      <c r="CE159" s="276"/>
      <c r="CF159" s="308"/>
      <c r="CG159" s="138"/>
      <c r="CH159" s="134"/>
      <c r="CI159" s="134"/>
      <c r="CJ159" s="134"/>
      <c r="CK159" s="134"/>
      <c r="CL159" s="134"/>
      <c r="CM159" s="134"/>
      <c r="CN159" s="134"/>
      <c r="CO159" s="300"/>
      <c r="CP159" s="301"/>
      <c r="CQ159" s="134"/>
      <c r="CR159" s="134"/>
      <c r="CS159" s="134"/>
      <c r="CT159" s="134"/>
      <c r="CU159" s="134"/>
      <c r="CV159" s="134"/>
      <c r="CW159" s="134"/>
      <c r="CX159" s="134"/>
      <c r="CY159" s="300"/>
      <c r="CZ159" s="301"/>
      <c r="DA159" s="276"/>
      <c r="DB159" s="277"/>
      <c r="DC159" s="134"/>
      <c r="DD159" s="134"/>
      <c r="DE159" s="134"/>
      <c r="DF159" s="134"/>
      <c r="DG159" s="138"/>
      <c r="DH159" s="134"/>
      <c r="DI159" s="134"/>
      <c r="DJ159" s="134"/>
      <c r="DK159" s="301"/>
      <c r="DL159" s="301"/>
      <c r="DM159" s="134"/>
      <c r="DN159" s="134"/>
      <c r="DO159" s="134"/>
      <c r="DP159" s="134"/>
      <c r="DQ159" s="134"/>
      <c r="DR159" s="134"/>
      <c r="DS159" s="134"/>
      <c r="DT159" s="134"/>
      <c r="DU159" s="301"/>
      <c r="DV159" s="301"/>
      <c r="DW159" s="277"/>
      <c r="DX159" s="134"/>
      <c r="DY159" s="134"/>
      <c r="DZ159" s="134"/>
      <c r="EA159" s="134"/>
      <c r="EB159" s="134"/>
      <c r="EC159" s="134"/>
      <c r="ED159" s="134"/>
      <c r="EE159" s="134"/>
      <c r="EF159" s="301"/>
      <c r="EG159" s="301"/>
      <c r="EH159" s="134"/>
      <c r="EI159" s="134"/>
      <c r="EJ159" s="134"/>
      <c r="EK159" s="134"/>
    </row>
    <row r="160" spans="1:141">
      <c r="A160" s="79" t="s">
        <v>125</v>
      </c>
      <c r="B160" s="117">
        <v>96</v>
      </c>
      <c r="C160" s="123" t="s">
        <v>1942</v>
      </c>
      <c r="D160" s="124" t="s">
        <v>2161</v>
      </c>
      <c r="E160" s="125">
        <v>2012</v>
      </c>
      <c r="F160" s="79">
        <v>22950039</v>
      </c>
      <c r="G160" s="79">
        <v>1</v>
      </c>
      <c r="H160" s="126"/>
      <c r="I160" s="127"/>
      <c r="J160" s="79">
        <v>1</v>
      </c>
      <c r="K160" s="79"/>
      <c r="L160" s="79">
        <v>1</v>
      </c>
      <c r="M160" s="128">
        <v>1</v>
      </c>
      <c r="N160" s="79" t="s">
        <v>414</v>
      </c>
      <c r="O160" s="79" t="s">
        <v>1149</v>
      </c>
      <c r="P160" s="79" t="s">
        <v>20</v>
      </c>
      <c r="Q160" s="79">
        <v>1</v>
      </c>
      <c r="R160" s="79"/>
      <c r="S160" s="79"/>
      <c r="T160" s="79"/>
      <c r="U160" s="79" t="s">
        <v>415</v>
      </c>
      <c r="V160" s="79"/>
      <c r="W160" s="79"/>
      <c r="X160" s="79"/>
      <c r="Y160" s="79"/>
      <c r="Z160" s="79"/>
      <c r="AA160" s="154"/>
      <c r="AB160" s="155"/>
      <c r="AC160" s="121">
        <v>2</v>
      </c>
      <c r="AD160" s="202"/>
      <c r="AE160" s="192"/>
      <c r="AF160" s="203"/>
      <c r="AG160" s="121"/>
      <c r="AH160" s="121"/>
      <c r="AI160" s="121"/>
      <c r="AJ160" s="121"/>
      <c r="AK160" s="121"/>
      <c r="AL160" s="121"/>
      <c r="AM160" s="121"/>
      <c r="AN160" s="121"/>
      <c r="AO160" s="121"/>
      <c r="AP160" s="121"/>
      <c r="AQ160" s="121"/>
      <c r="AR160" s="121"/>
      <c r="AS160" s="121"/>
      <c r="AT160" s="121"/>
      <c r="AU160" s="121"/>
      <c r="AV160" s="156"/>
      <c r="AW160" s="156"/>
      <c r="AX160" s="156">
        <v>1</v>
      </c>
      <c r="AY160" s="156"/>
      <c r="AZ160" s="156"/>
      <c r="BA160" s="156">
        <v>1</v>
      </c>
      <c r="BB160" s="156"/>
      <c r="BC160" s="156"/>
      <c r="BD160" s="157"/>
      <c r="BE160" s="134"/>
      <c r="BF160" s="134"/>
      <c r="BG160" s="134"/>
      <c r="BH160" s="134"/>
      <c r="BI160" s="134"/>
      <c r="BJ160" s="259"/>
      <c r="BK160" s="138"/>
      <c r="BL160" s="134"/>
      <c r="BM160" s="134"/>
      <c r="BN160" s="134"/>
      <c r="BO160" s="138"/>
      <c r="BP160" s="134"/>
      <c r="BQ160" s="134"/>
      <c r="BR160" s="134"/>
      <c r="BS160" s="288"/>
      <c r="BT160" s="289"/>
      <c r="BU160" s="138"/>
      <c r="BV160" s="134"/>
      <c r="BW160" s="134"/>
      <c r="BX160" s="134"/>
      <c r="BY160" s="138"/>
      <c r="BZ160" s="134"/>
      <c r="CA160" s="134"/>
      <c r="CB160" s="134"/>
      <c r="CC160" s="288"/>
      <c r="CD160" s="289"/>
      <c r="CE160" s="276"/>
      <c r="CF160" s="308"/>
      <c r="CG160" s="138"/>
      <c r="CH160" s="134"/>
      <c r="CI160" s="134"/>
      <c r="CJ160" s="134"/>
      <c r="CK160" s="134"/>
      <c r="CL160" s="134"/>
      <c r="CM160" s="134"/>
      <c r="CN160" s="134"/>
      <c r="CO160" s="300"/>
      <c r="CP160" s="301"/>
      <c r="CQ160" s="134"/>
      <c r="CR160" s="134"/>
      <c r="CS160" s="134"/>
      <c r="CT160" s="134"/>
      <c r="CU160" s="134"/>
      <c r="CV160" s="134"/>
      <c r="CW160" s="134"/>
      <c r="CX160" s="134"/>
      <c r="CY160" s="300"/>
      <c r="CZ160" s="301"/>
      <c r="DA160" s="276"/>
      <c r="DB160" s="277"/>
      <c r="DC160" s="134"/>
      <c r="DD160" s="134"/>
      <c r="DE160" s="134"/>
      <c r="DF160" s="134"/>
      <c r="DG160" s="138"/>
      <c r="DH160" s="134"/>
      <c r="DI160" s="134"/>
      <c r="DJ160" s="134"/>
      <c r="DK160" s="301"/>
      <c r="DL160" s="301"/>
      <c r="DM160" s="134"/>
      <c r="DN160" s="134"/>
      <c r="DO160" s="134"/>
      <c r="DP160" s="134"/>
      <c r="DQ160" s="134"/>
      <c r="DR160" s="134"/>
      <c r="DS160" s="134"/>
      <c r="DT160" s="134"/>
      <c r="DU160" s="301"/>
      <c r="DV160" s="301"/>
      <c r="DW160" s="277"/>
      <c r="DX160" s="134"/>
      <c r="DY160" s="134"/>
      <c r="DZ160" s="134"/>
      <c r="EA160" s="134"/>
      <c r="EB160" s="134"/>
      <c r="EC160" s="134"/>
      <c r="ED160" s="134"/>
      <c r="EE160" s="134"/>
      <c r="EF160" s="301"/>
      <c r="EG160" s="301"/>
      <c r="EH160" s="134"/>
      <c r="EI160" s="134"/>
      <c r="EJ160" s="134"/>
      <c r="EK160" s="134"/>
    </row>
    <row r="161" spans="1:141">
      <c r="A161" s="79" t="s">
        <v>128</v>
      </c>
      <c r="B161" s="117">
        <v>97</v>
      </c>
      <c r="C161" s="123" t="s">
        <v>1944</v>
      </c>
      <c r="D161" s="124" t="s">
        <v>2163</v>
      </c>
      <c r="E161" s="125">
        <v>2005</v>
      </c>
      <c r="F161" s="79">
        <v>15993948</v>
      </c>
      <c r="G161" s="79">
        <v>1</v>
      </c>
      <c r="H161" s="126"/>
      <c r="I161" s="127"/>
      <c r="J161" s="79">
        <v>1</v>
      </c>
      <c r="K161" s="79"/>
      <c r="L161" s="79">
        <v>1</v>
      </c>
      <c r="M161" s="128">
        <v>1</v>
      </c>
      <c r="N161" s="79" t="s">
        <v>418</v>
      </c>
      <c r="O161" s="79" t="s">
        <v>1150</v>
      </c>
      <c r="P161" s="79" t="s">
        <v>25</v>
      </c>
      <c r="Q161" s="79">
        <v>1</v>
      </c>
      <c r="R161" s="79"/>
      <c r="S161" s="79"/>
      <c r="T161" s="79"/>
      <c r="U161" s="79" t="s">
        <v>419</v>
      </c>
      <c r="V161" s="79"/>
      <c r="W161" s="79"/>
      <c r="X161" s="79"/>
      <c r="Y161" s="79"/>
      <c r="Z161" s="79"/>
      <c r="AA161" s="154"/>
      <c r="AB161" s="155"/>
      <c r="AC161" s="121">
        <v>2</v>
      </c>
      <c r="AD161" s="202"/>
      <c r="AE161" s="192"/>
      <c r="AF161" s="203"/>
      <c r="AG161" s="121"/>
      <c r="AH161" s="121"/>
      <c r="AI161" s="121"/>
      <c r="AJ161" s="121"/>
      <c r="AK161" s="121"/>
      <c r="AL161" s="121"/>
      <c r="AM161" s="121"/>
      <c r="AN161" s="121"/>
      <c r="AO161" s="121"/>
      <c r="AP161" s="121"/>
      <c r="AQ161" s="121"/>
      <c r="AR161" s="121"/>
      <c r="AS161" s="121"/>
      <c r="AT161" s="121"/>
      <c r="AU161" s="121"/>
      <c r="AV161" s="156"/>
      <c r="AW161" s="156"/>
      <c r="AX161" s="156"/>
      <c r="AY161" s="156"/>
      <c r="AZ161" s="156"/>
      <c r="BA161" s="156"/>
      <c r="BB161" s="156">
        <v>1</v>
      </c>
      <c r="BC161" s="156"/>
      <c r="BD161" s="157"/>
      <c r="BE161" s="134"/>
      <c r="BF161" s="134"/>
      <c r="BG161" s="134"/>
      <c r="BH161" s="134"/>
      <c r="BI161" s="134"/>
      <c r="BJ161" s="259"/>
      <c r="BK161" s="138"/>
      <c r="BL161" s="134"/>
      <c r="BM161" s="134"/>
      <c r="BN161" s="134"/>
      <c r="BO161" s="138"/>
      <c r="BP161" s="134"/>
      <c r="BQ161" s="134"/>
      <c r="BR161" s="134"/>
      <c r="BS161" s="288"/>
      <c r="BT161" s="289"/>
      <c r="BU161" s="138"/>
      <c r="BV161" s="134"/>
      <c r="BW161" s="134"/>
      <c r="BX161" s="134"/>
      <c r="BY161" s="138"/>
      <c r="BZ161" s="134"/>
      <c r="CA161" s="134"/>
      <c r="CB161" s="134"/>
      <c r="CC161" s="288"/>
      <c r="CD161" s="289"/>
      <c r="CE161" s="276"/>
      <c r="CF161" s="308"/>
      <c r="CG161" s="138"/>
      <c r="CH161" s="134"/>
      <c r="CI161" s="134"/>
      <c r="CJ161" s="134"/>
      <c r="CK161" s="134"/>
      <c r="CL161" s="134"/>
      <c r="CM161" s="134"/>
      <c r="CN161" s="134"/>
      <c r="CO161" s="300"/>
      <c r="CP161" s="301"/>
      <c r="CQ161" s="134"/>
      <c r="CR161" s="134"/>
      <c r="CS161" s="134"/>
      <c r="CT161" s="134"/>
      <c r="CU161" s="134"/>
      <c r="CV161" s="134"/>
      <c r="CW161" s="134"/>
      <c r="CX161" s="134"/>
      <c r="CY161" s="300"/>
      <c r="CZ161" s="301"/>
      <c r="DA161" s="276"/>
      <c r="DB161" s="277"/>
      <c r="DC161" s="134"/>
      <c r="DD161" s="134"/>
      <c r="DE161" s="134"/>
      <c r="DF161" s="134"/>
      <c r="DG161" s="138"/>
      <c r="DH161" s="134"/>
      <c r="DI161" s="134"/>
      <c r="DJ161" s="134"/>
      <c r="DK161" s="301"/>
      <c r="DL161" s="301"/>
      <c r="DM161" s="134"/>
      <c r="DN161" s="134"/>
      <c r="DO161" s="134"/>
      <c r="DP161" s="134"/>
      <c r="DQ161" s="134"/>
      <c r="DR161" s="134"/>
      <c r="DS161" s="134"/>
      <c r="DT161" s="134"/>
      <c r="DU161" s="301"/>
      <c r="DV161" s="301"/>
      <c r="DW161" s="277"/>
      <c r="DX161" s="134"/>
      <c r="DY161" s="134"/>
      <c r="DZ161" s="134"/>
      <c r="EA161" s="134"/>
      <c r="EB161" s="134"/>
      <c r="EC161" s="134"/>
      <c r="ED161" s="134"/>
      <c r="EE161" s="134"/>
      <c r="EF161" s="301"/>
      <c r="EG161" s="301"/>
      <c r="EH161" s="134"/>
      <c r="EI161" s="134"/>
      <c r="EJ161" s="134"/>
      <c r="EK161" s="134"/>
    </row>
    <row r="162" spans="1:141">
      <c r="A162" s="79" t="s">
        <v>129</v>
      </c>
      <c r="B162" s="117">
        <v>98</v>
      </c>
      <c r="C162" s="123" t="s">
        <v>1945</v>
      </c>
      <c r="D162" s="124" t="s">
        <v>2164</v>
      </c>
      <c r="E162" s="125">
        <v>2013</v>
      </c>
      <c r="F162" s="79">
        <v>23803518</v>
      </c>
      <c r="G162" s="79">
        <v>1</v>
      </c>
      <c r="H162" s="126"/>
      <c r="I162" s="127"/>
      <c r="J162" s="79">
        <v>1</v>
      </c>
      <c r="K162" s="79"/>
      <c r="L162" s="79">
        <v>1</v>
      </c>
      <c r="M162" s="128">
        <v>1</v>
      </c>
      <c r="N162" s="79" t="s">
        <v>31</v>
      </c>
      <c r="O162" s="79" t="s">
        <v>1143</v>
      </c>
      <c r="P162" s="79"/>
      <c r="Q162" s="79"/>
      <c r="R162" s="79"/>
      <c r="S162" s="79"/>
      <c r="T162" s="79"/>
      <c r="U162" s="79"/>
      <c r="V162" s="79"/>
      <c r="W162" s="79"/>
      <c r="X162" s="79"/>
      <c r="Y162" s="79"/>
      <c r="Z162" s="79"/>
      <c r="AA162" s="154"/>
      <c r="AB162" s="155"/>
      <c r="AC162" s="121"/>
      <c r="AD162" s="202"/>
      <c r="AE162" s="192"/>
      <c r="AF162" s="203"/>
      <c r="AG162" s="121"/>
      <c r="AH162" s="121"/>
      <c r="AI162" s="121"/>
      <c r="AJ162" s="121"/>
      <c r="AK162" s="121"/>
      <c r="AL162" s="121"/>
      <c r="AM162" s="121"/>
      <c r="AN162" s="121"/>
      <c r="AO162" s="121"/>
      <c r="AP162" s="121"/>
      <c r="AQ162" s="121"/>
      <c r="AR162" s="121"/>
      <c r="AS162" s="121"/>
      <c r="AT162" s="121"/>
      <c r="AU162" s="121"/>
      <c r="AV162" s="156"/>
      <c r="AW162" s="156"/>
      <c r="AX162" s="156">
        <v>1</v>
      </c>
      <c r="AY162" s="156"/>
      <c r="AZ162" s="156"/>
      <c r="BA162" s="156"/>
      <c r="BB162" s="156"/>
      <c r="BC162" s="156"/>
      <c r="BD162" s="157"/>
      <c r="BE162" s="134"/>
      <c r="BF162" s="134"/>
      <c r="BG162" s="134"/>
      <c r="BH162" s="134"/>
      <c r="BI162" s="134"/>
      <c r="BJ162" s="259"/>
      <c r="BK162" s="138"/>
      <c r="BL162" s="134"/>
      <c r="BM162" s="134"/>
      <c r="BN162" s="134"/>
      <c r="BO162" s="138"/>
      <c r="BP162" s="134"/>
      <c r="BQ162" s="134"/>
      <c r="BR162" s="134"/>
      <c r="BS162" s="288"/>
      <c r="BT162" s="289"/>
      <c r="BU162" s="138"/>
      <c r="BV162" s="134"/>
      <c r="BW162" s="134"/>
      <c r="BX162" s="134"/>
      <c r="BY162" s="138"/>
      <c r="BZ162" s="134"/>
      <c r="CA162" s="134"/>
      <c r="CB162" s="134"/>
      <c r="CC162" s="288"/>
      <c r="CD162" s="289"/>
      <c r="CE162" s="276"/>
      <c r="CF162" s="308"/>
      <c r="CG162" s="138"/>
      <c r="CH162" s="134"/>
      <c r="CI162" s="134"/>
      <c r="CJ162" s="134"/>
      <c r="CK162" s="134"/>
      <c r="CL162" s="134"/>
      <c r="CM162" s="134"/>
      <c r="CN162" s="134"/>
      <c r="CO162" s="300"/>
      <c r="CP162" s="301"/>
      <c r="CQ162" s="134"/>
      <c r="CR162" s="134"/>
      <c r="CS162" s="134"/>
      <c r="CT162" s="134"/>
      <c r="CU162" s="134"/>
      <c r="CV162" s="134"/>
      <c r="CW162" s="134"/>
      <c r="CX162" s="134"/>
      <c r="CY162" s="300"/>
      <c r="CZ162" s="301"/>
      <c r="DA162" s="276"/>
      <c r="DB162" s="277"/>
      <c r="DC162" s="134"/>
      <c r="DD162" s="134"/>
      <c r="DE162" s="134"/>
      <c r="DF162" s="134"/>
      <c r="DG162" s="138"/>
      <c r="DH162" s="134"/>
      <c r="DI162" s="134"/>
      <c r="DJ162" s="134"/>
      <c r="DK162" s="301"/>
      <c r="DL162" s="301"/>
      <c r="DM162" s="134"/>
      <c r="DN162" s="134"/>
      <c r="DO162" s="134"/>
      <c r="DP162" s="134"/>
      <c r="DQ162" s="134"/>
      <c r="DR162" s="134"/>
      <c r="DS162" s="134"/>
      <c r="DT162" s="134"/>
      <c r="DU162" s="301"/>
      <c r="DV162" s="301"/>
      <c r="DW162" s="277"/>
      <c r="DX162" s="134"/>
      <c r="DY162" s="134"/>
      <c r="DZ162" s="134"/>
      <c r="EA162" s="134"/>
      <c r="EB162" s="134"/>
      <c r="EC162" s="134"/>
      <c r="ED162" s="134"/>
      <c r="EE162" s="134"/>
      <c r="EF162" s="301"/>
      <c r="EG162" s="301"/>
      <c r="EH162" s="134"/>
      <c r="EI162" s="134"/>
      <c r="EJ162" s="134"/>
      <c r="EK162" s="134"/>
    </row>
    <row r="163" spans="1:141">
      <c r="A163" s="79" t="s">
        <v>130</v>
      </c>
      <c r="B163" s="117">
        <v>99</v>
      </c>
      <c r="C163" s="123" t="s">
        <v>1946</v>
      </c>
      <c r="D163" s="124" t="s">
        <v>2165</v>
      </c>
      <c r="E163" s="125">
        <v>2008</v>
      </c>
      <c r="F163" s="79">
        <v>18423611</v>
      </c>
      <c r="G163" s="79">
        <v>1</v>
      </c>
      <c r="H163" s="126"/>
      <c r="I163" s="127"/>
      <c r="J163" s="79">
        <v>1</v>
      </c>
      <c r="K163" s="79"/>
      <c r="L163" s="164">
        <v>1</v>
      </c>
      <c r="M163" s="128">
        <v>1</v>
      </c>
      <c r="N163" s="79" t="s">
        <v>421</v>
      </c>
      <c r="O163" s="79" t="s">
        <v>1151</v>
      </c>
      <c r="P163" s="79" t="s">
        <v>420</v>
      </c>
      <c r="Q163" s="79">
        <v>0</v>
      </c>
      <c r="R163" s="79"/>
      <c r="S163" s="79"/>
      <c r="T163" s="79"/>
      <c r="U163" s="79" t="s">
        <v>23</v>
      </c>
      <c r="V163" s="79"/>
      <c r="W163" s="79"/>
      <c r="X163" s="79"/>
      <c r="Y163" s="79"/>
      <c r="Z163" s="79" t="s">
        <v>422</v>
      </c>
      <c r="AA163" s="154"/>
      <c r="AB163" s="155"/>
      <c r="AC163" s="121"/>
      <c r="AD163" s="202"/>
      <c r="AE163" s="192"/>
      <c r="AF163" s="203"/>
      <c r="AG163" s="121"/>
      <c r="AH163" s="121"/>
      <c r="AI163" s="121"/>
      <c r="AJ163" s="121"/>
      <c r="AK163" s="121"/>
      <c r="AL163" s="121"/>
      <c r="AM163" s="121"/>
      <c r="AN163" s="121"/>
      <c r="AO163" s="121"/>
      <c r="AP163" s="121"/>
      <c r="AQ163" s="121"/>
      <c r="AR163" s="121"/>
      <c r="AS163" s="121"/>
      <c r="AT163" s="121"/>
      <c r="AU163" s="121"/>
      <c r="AV163" s="156"/>
      <c r="AW163" s="156"/>
      <c r="AX163" s="156">
        <v>1</v>
      </c>
      <c r="AY163" s="156"/>
      <c r="AZ163" s="156">
        <v>1</v>
      </c>
      <c r="BA163" s="156">
        <v>1</v>
      </c>
      <c r="BB163" s="156"/>
      <c r="BC163" s="156"/>
      <c r="BD163" s="157"/>
      <c r="BE163" s="134"/>
      <c r="BF163" s="134"/>
      <c r="BG163" s="134"/>
      <c r="BH163" s="134"/>
      <c r="BI163" s="134"/>
      <c r="BJ163" s="259"/>
      <c r="BK163" s="138"/>
      <c r="BL163" s="134"/>
      <c r="BM163" s="134"/>
      <c r="BN163" s="134"/>
      <c r="BO163" s="138"/>
      <c r="BP163" s="134"/>
      <c r="BQ163" s="134"/>
      <c r="BR163" s="134"/>
      <c r="BS163" s="288"/>
      <c r="BT163" s="289"/>
      <c r="BU163" s="138"/>
      <c r="BV163" s="134"/>
      <c r="BW163" s="134"/>
      <c r="BX163" s="134"/>
      <c r="BY163" s="138"/>
      <c r="BZ163" s="134"/>
      <c r="CA163" s="134"/>
      <c r="CB163" s="134"/>
      <c r="CC163" s="288"/>
      <c r="CD163" s="289"/>
      <c r="CE163" s="276"/>
      <c r="CF163" s="308"/>
      <c r="CG163" s="138"/>
      <c r="CH163" s="134"/>
      <c r="CI163" s="134"/>
      <c r="CJ163" s="134"/>
      <c r="CK163" s="134"/>
      <c r="CL163" s="134"/>
      <c r="CM163" s="134"/>
      <c r="CN163" s="134"/>
      <c r="CO163" s="300"/>
      <c r="CP163" s="301"/>
      <c r="CQ163" s="134"/>
      <c r="CR163" s="134"/>
      <c r="CS163" s="134"/>
      <c r="CT163" s="134"/>
      <c r="CU163" s="134"/>
      <c r="CV163" s="134"/>
      <c r="CW163" s="134"/>
      <c r="CX163" s="134"/>
      <c r="CY163" s="300"/>
      <c r="CZ163" s="301"/>
      <c r="DA163" s="276"/>
      <c r="DB163" s="277"/>
      <c r="DC163" s="134"/>
      <c r="DD163" s="134"/>
      <c r="DE163" s="134"/>
      <c r="DF163" s="134"/>
      <c r="DG163" s="138"/>
      <c r="DH163" s="134"/>
      <c r="DI163" s="134"/>
      <c r="DJ163" s="134"/>
      <c r="DK163" s="301"/>
      <c r="DL163" s="301"/>
      <c r="DM163" s="134"/>
      <c r="DN163" s="134"/>
      <c r="DO163" s="134"/>
      <c r="DP163" s="134"/>
      <c r="DQ163" s="134"/>
      <c r="DR163" s="134"/>
      <c r="DS163" s="134"/>
      <c r="DT163" s="134"/>
      <c r="DU163" s="301"/>
      <c r="DV163" s="301"/>
      <c r="DW163" s="277"/>
      <c r="DX163" s="134"/>
      <c r="DY163" s="134"/>
      <c r="DZ163" s="134"/>
      <c r="EA163" s="134"/>
      <c r="EB163" s="134"/>
      <c r="EC163" s="134"/>
      <c r="ED163" s="134"/>
      <c r="EE163" s="134"/>
      <c r="EF163" s="301"/>
      <c r="EG163" s="301"/>
      <c r="EH163" s="134"/>
      <c r="EI163" s="134"/>
      <c r="EJ163" s="134"/>
      <c r="EK163" s="134"/>
    </row>
    <row r="164" spans="1:141">
      <c r="A164" s="79" t="s">
        <v>1076</v>
      </c>
      <c r="B164" s="117">
        <v>100</v>
      </c>
      <c r="C164" s="123" t="s">
        <v>2064</v>
      </c>
      <c r="D164" s="124" t="s">
        <v>2316</v>
      </c>
      <c r="E164" s="125">
        <v>2015</v>
      </c>
      <c r="F164" s="79">
        <v>25979764</v>
      </c>
      <c r="G164" s="79">
        <v>1</v>
      </c>
      <c r="H164" s="126"/>
      <c r="I164" s="127"/>
      <c r="J164" s="164">
        <v>1</v>
      </c>
      <c r="K164" s="79"/>
      <c r="L164" s="164">
        <v>1</v>
      </c>
      <c r="M164" s="128">
        <v>2</v>
      </c>
      <c r="N164" s="79" t="s">
        <v>1293</v>
      </c>
      <c r="O164" s="79" t="s">
        <v>23</v>
      </c>
      <c r="P164" s="79" t="s">
        <v>1127</v>
      </c>
      <c r="Q164" s="79"/>
      <c r="R164" s="79" t="s">
        <v>1487</v>
      </c>
      <c r="S164" s="79"/>
      <c r="T164" s="79"/>
      <c r="U164" s="79" t="s">
        <v>1293</v>
      </c>
      <c r="V164" s="79" t="s">
        <v>1292</v>
      </c>
      <c r="W164" s="79"/>
      <c r="X164" s="79"/>
      <c r="Y164" s="79"/>
      <c r="Z164" s="79" t="s">
        <v>1294</v>
      </c>
      <c r="AA164" s="154"/>
      <c r="AB164" s="155"/>
      <c r="AC164" s="121">
        <v>4</v>
      </c>
      <c r="AD164" s="202"/>
      <c r="AE164" s="192"/>
      <c r="AF164" s="203"/>
      <c r="AG164" s="121"/>
      <c r="AH164" s="121"/>
      <c r="AI164" s="121"/>
      <c r="AJ164" s="121"/>
      <c r="AK164" s="121"/>
      <c r="AL164" s="121"/>
      <c r="AM164" s="121"/>
      <c r="AN164" s="121"/>
      <c r="AO164" s="121"/>
      <c r="AP164" s="121"/>
      <c r="AQ164" s="121"/>
      <c r="AR164" s="121"/>
      <c r="AS164" s="121"/>
      <c r="AT164" s="121"/>
      <c r="AU164" s="121"/>
      <c r="AV164" s="156"/>
      <c r="AW164" s="156"/>
      <c r="AX164" s="156"/>
      <c r="AY164" s="156"/>
      <c r="AZ164" s="156"/>
      <c r="BA164" s="156"/>
      <c r="BB164" s="156"/>
      <c r="BC164" s="156"/>
      <c r="BD164" s="157"/>
      <c r="BE164" s="134"/>
      <c r="BF164" s="134"/>
      <c r="BG164" s="134"/>
      <c r="BH164" s="134"/>
      <c r="BI164" s="134"/>
      <c r="BJ164" s="259"/>
      <c r="BK164" s="138"/>
      <c r="BL164" s="134"/>
      <c r="BM164" s="134"/>
      <c r="BN164" s="134"/>
      <c r="BO164" s="138"/>
      <c r="BP164" s="134"/>
      <c r="BQ164" s="134"/>
      <c r="BR164" s="134"/>
      <c r="BS164" s="288"/>
      <c r="BT164" s="289"/>
      <c r="BU164" s="138"/>
      <c r="BV164" s="134"/>
      <c r="BW164" s="134"/>
      <c r="BX164" s="134"/>
      <c r="BY164" s="138"/>
      <c r="BZ164" s="134"/>
      <c r="CA164" s="134"/>
      <c r="CB164" s="134"/>
      <c r="CC164" s="288"/>
      <c r="CD164" s="289"/>
      <c r="CE164" s="276"/>
      <c r="CF164" s="308"/>
      <c r="CG164" s="138"/>
      <c r="CH164" s="134"/>
      <c r="CI164" s="134"/>
      <c r="CJ164" s="134"/>
      <c r="CK164" s="134"/>
      <c r="CL164" s="134"/>
      <c r="CM164" s="134"/>
      <c r="CN164" s="134"/>
      <c r="CO164" s="300"/>
      <c r="CP164" s="301"/>
      <c r="CQ164" s="134"/>
      <c r="CR164" s="134"/>
      <c r="CS164" s="134"/>
      <c r="CT164" s="134"/>
      <c r="CU164" s="134"/>
      <c r="CV164" s="134"/>
      <c r="CW164" s="134"/>
      <c r="CX164" s="134"/>
      <c r="CY164" s="300"/>
      <c r="CZ164" s="301"/>
      <c r="DA164" s="276"/>
      <c r="DB164" s="277"/>
      <c r="DC164" s="134"/>
      <c r="DD164" s="134"/>
      <c r="DE164" s="134"/>
      <c r="DF164" s="134"/>
      <c r="DG164" s="138"/>
      <c r="DH164" s="134"/>
      <c r="DI164" s="134"/>
      <c r="DJ164" s="134"/>
      <c r="DK164" s="301"/>
      <c r="DL164" s="301"/>
      <c r="DM164" s="134"/>
      <c r="DN164" s="134"/>
      <c r="DO164" s="134"/>
      <c r="DP164" s="134"/>
      <c r="DQ164" s="134"/>
      <c r="DR164" s="134"/>
      <c r="DS164" s="134"/>
      <c r="DT164" s="134"/>
      <c r="DU164" s="301"/>
      <c r="DV164" s="301"/>
      <c r="DW164" s="277"/>
      <c r="DX164" s="134"/>
      <c r="DY164" s="134"/>
      <c r="DZ164" s="134"/>
      <c r="EA164" s="134"/>
      <c r="EB164" s="134"/>
      <c r="EC164" s="134"/>
      <c r="ED164" s="134"/>
      <c r="EE164" s="134"/>
      <c r="EF164" s="301"/>
      <c r="EG164" s="301"/>
      <c r="EH164" s="134"/>
      <c r="EI164" s="134"/>
      <c r="EJ164" s="134"/>
      <c r="EK164" s="134"/>
    </row>
    <row r="165" spans="1:141">
      <c r="A165" s="79" t="s">
        <v>135</v>
      </c>
      <c r="B165" s="117">
        <v>101</v>
      </c>
      <c r="C165" s="123" t="s">
        <v>1947</v>
      </c>
      <c r="D165" s="124" t="s">
        <v>2166</v>
      </c>
      <c r="E165" s="125">
        <v>2015</v>
      </c>
      <c r="F165" s="79">
        <v>24695267</v>
      </c>
      <c r="G165" s="79">
        <v>1</v>
      </c>
      <c r="H165" s="126"/>
      <c r="I165" s="127"/>
      <c r="J165" s="79">
        <v>1</v>
      </c>
      <c r="K165" s="79"/>
      <c r="L165" s="79">
        <v>1</v>
      </c>
      <c r="M165" s="128">
        <v>1</v>
      </c>
      <c r="N165" s="79" t="s">
        <v>429</v>
      </c>
      <c r="O165" s="79" t="s">
        <v>1173</v>
      </c>
      <c r="P165" s="79" t="s">
        <v>412</v>
      </c>
      <c r="Q165" s="79">
        <v>1</v>
      </c>
      <c r="R165" s="79"/>
      <c r="S165" s="79"/>
      <c r="T165" s="79"/>
      <c r="U165" s="79" t="s">
        <v>428</v>
      </c>
      <c r="V165" s="79"/>
      <c r="W165" s="79"/>
      <c r="X165" s="79"/>
      <c r="Y165" s="79"/>
      <c r="Z165" s="79"/>
      <c r="AA165" s="154"/>
      <c r="AB165" s="155"/>
      <c r="AC165" s="121"/>
      <c r="AD165" s="202"/>
      <c r="AE165" s="192"/>
      <c r="AF165" s="203"/>
      <c r="AG165" s="121"/>
      <c r="AH165" s="121"/>
      <c r="AI165" s="121"/>
      <c r="AJ165" s="121"/>
      <c r="AK165" s="121"/>
      <c r="AL165" s="121"/>
      <c r="AM165" s="121"/>
      <c r="AN165" s="121"/>
      <c r="AO165" s="121"/>
      <c r="AP165" s="121"/>
      <c r="AQ165" s="121"/>
      <c r="AR165" s="121"/>
      <c r="AS165" s="121"/>
      <c r="AT165" s="121"/>
      <c r="AU165" s="121"/>
      <c r="AV165" s="156"/>
      <c r="AW165" s="156"/>
      <c r="AX165" s="156">
        <v>1</v>
      </c>
      <c r="AY165" s="156"/>
      <c r="AZ165" s="156">
        <v>1</v>
      </c>
      <c r="BA165" s="156"/>
      <c r="BB165" s="156"/>
      <c r="BC165" s="156"/>
      <c r="BD165" s="157"/>
      <c r="BE165" s="134"/>
      <c r="BF165" s="134"/>
      <c r="BG165" s="134"/>
      <c r="BH165" s="134"/>
      <c r="BI165" s="134"/>
      <c r="BJ165" s="259"/>
      <c r="BK165" s="138"/>
      <c r="BL165" s="134"/>
      <c r="BM165" s="134"/>
      <c r="BN165" s="134"/>
      <c r="BO165" s="138"/>
      <c r="BP165" s="134"/>
      <c r="BQ165" s="134"/>
      <c r="BR165" s="134"/>
      <c r="BS165" s="288"/>
      <c r="BT165" s="289"/>
      <c r="BU165" s="138"/>
      <c r="BV165" s="134"/>
      <c r="BW165" s="134"/>
      <c r="BX165" s="134"/>
      <c r="BY165" s="138"/>
      <c r="BZ165" s="134"/>
      <c r="CA165" s="134"/>
      <c r="CB165" s="134"/>
      <c r="CC165" s="288"/>
      <c r="CD165" s="289"/>
      <c r="CE165" s="276"/>
      <c r="CF165" s="308"/>
      <c r="CG165" s="138"/>
      <c r="CH165" s="134"/>
      <c r="CI165" s="134"/>
      <c r="CJ165" s="134"/>
      <c r="CK165" s="134"/>
      <c r="CL165" s="134"/>
      <c r="CM165" s="134"/>
      <c r="CN165" s="134"/>
      <c r="CO165" s="300"/>
      <c r="CP165" s="301"/>
      <c r="CQ165" s="134"/>
      <c r="CR165" s="134"/>
      <c r="CS165" s="134"/>
      <c r="CT165" s="134"/>
      <c r="CU165" s="134"/>
      <c r="CV165" s="134"/>
      <c r="CW165" s="134"/>
      <c r="CX165" s="134"/>
      <c r="CY165" s="300"/>
      <c r="CZ165" s="301"/>
      <c r="DA165" s="276"/>
      <c r="DB165" s="277"/>
      <c r="DC165" s="134"/>
      <c r="DD165" s="134"/>
      <c r="DE165" s="134"/>
      <c r="DF165" s="134"/>
      <c r="DG165" s="138"/>
      <c r="DH165" s="134"/>
      <c r="DI165" s="134"/>
      <c r="DJ165" s="134"/>
      <c r="DK165" s="301"/>
      <c r="DL165" s="301"/>
      <c r="DM165" s="134"/>
      <c r="DN165" s="134"/>
      <c r="DO165" s="134"/>
      <c r="DP165" s="134"/>
      <c r="DQ165" s="134"/>
      <c r="DR165" s="134"/>
      <c r="DS165" s="134"/>
      <c r="DT165" s="134"/>
      <c r="DU165" s="301"/>
      <c r="DV165" s="301"/>
      <c r="DW165" s="277"/>
      <c r="DX165" s="134"/>
      <c r="DY165" s="134"/>
      <c r="DZ165" s="134"/>
      <c r="EA165" s="134"/>
      <c r="EB165" s="134"/>
      <c r="EC165" s="134"/>
      <c r="ED165" s="134"/>
      <c r="EE165" s="134"/>
      <c r="EF165" s="301"/>
      <c r="EG165" s="301"/>
      <c r="EH165" s="134"/>
      <c r="EI165" s="134"/>
      <c r="EJ165" s="134"/>
      <c r="EK165" s="134"/>
    </row>
    <row r="166" spans="1:141">
      <c r="A166" s="79" t="s">
        <v>136</v>
      </c>
      <c r="B166" s="117">
        <v>102</v>
      </c>
      <c r="C166" s="123" t="s">
        <v>1948</v>
      </c>
      <c r="D166" s="124" t="s">
        <v>2167</v>
      </c>
      <c r="E166" s="125">
        <v>2009</v>
      </c>
      <c r="F166" s="79">
        <v>19359452</v>
      </c>
      <c r="G166" s="79">
        <v>1</v>
      </c>
      <c r="H166" s="126"/>
      <c r="I166" s="127"/>
      <c r="J166" s="79">
        <v>1</v>
      </c>
      <c r="K166" s="79"/>
      <c r="L166" s="79">
        <v>1</v>
      </c>
      <c r="M166" s="128">
        <v>1</v>
      </c>
      <c r="N166" s="79" t="s">
        <v>430</v>
      </c>
      <c r="O166" s="79" t="s">
        <v>1164</v>
      </c>
      <c r="P166" s="79" t="s">
        <v>25</v>
      </c>
      <c r="Q166" s="79">
        <v>1</v>
      </c>
      <c r="R166" s="79"/>
      <c r="S166" s="79"/>
      <c r="T166" s="79"/>
      <c r="U166" s="79" t="s">
        <v>432</v>
      </c>
      <c r="V166" s="79" t="s">
        <v>431</v>
      </c>
      <c r="W166" s="79"/>
      <c r="X166" s="79"/>
      <c r="Y166" s="79"/>
      <c r="Z166" s="79"/>
      <c r="AA166" s="154"/>
      <c r="AB166" s="155"/>
      <c r="AC166" s="121">
        <v>2</v>
      </c>
      <c r="AD166" s="202"/>
      <c r="AE166" s="192"/>
      <c r="AF166" s="203"/>
      <c r="AG166" s="121"/>
      <c r="AH166" s="121"/>
      <c r="AI166" s="121"/>
      <c r="AJ166" s="121"/>
      <c r="AK166" s="121"/>
      <c r="AL166" s="121"/>
      <c r="AM166" s="121"/>
      <c r="AN166" s="121"/>
      <c r="AO166" s="121"/>
      <c r="AP166" s="121"/>
      <c r="AQ166" s="121"/>
      <c r="AR166" s="121"/>
      <c r="AS166" s="121"/>
      <c r="AT166" s="121"/>
      <c r="AU166" s="121"/>
      <c r="AV166" s="156"/>
      <c r="AW166" s="156"/>
      <c r="AX166" s="156"/>
      <c r="AY166" s="156"/>
      <c r="AZ166" s="156"/>
      <c r="BA166" s="156"/>
      <c r="BB166" s="156"/>
      <c r="BC166" s="156">
        <v>1</v>
      </c>
      <c r="BD166" s="157"/>
      <c r="BE166" s="134"/>
      <c r="BF166" s="134"/>
      <c r="BG166" s="134"/>
      <c r="BH166" s="134"/>
      <c r="BI166" s="134"/>
      <c r="BJ166" s="259"/>
      <c r="BK166" s="138"/>
      <c r="BL166" s="134"/>
      <c r="BM166" s="134"/>
      <c r="BN166" s="134"/>
      <c r="BO166" s="138"/>
      <c r="BP166" s="134"/>
      <c r="BQ166" s="134"/>
      <c r="BR166" s="134"/>
      <c r="BS166" s="288"/>
      <c r="BT166" s="289"/>
      <c r="BU166" s="138"/>
      <c r="BV166" s="134"/>
      <c r="BW166" s="134"/>
      <c r="BX166" s="134"/>
      <c r="BY166" s="138"/>
      <c r="BZ166" s="134"/>
      <c r="CA166" s="134"/>
      <c r="CB166" s="134"/>
      <c r="CC166" s="288"/>
      <c r="CD166" s="289"/>
      <c r="CE166" s="276"/>
      <c r="CF166" s="308"/>
      <c r="CG166" s="138"/>
      <c r="CH166" s="134"/>
      <c r="CI166" s="134"/>
      <c r="CJ166" s="134"/>
      <c r="CK166" s="134"/>
      <c r="CL166" s="134"/>
      <c r="CM166" s="134"/>
      <c r="CN166" s="134"/>
      <c r="CO166" s="300"/>
      <c r="CP166" s="301"/>
      <c r="CQ166" s="134"/>
      <c r="CR166" s="134"/>
      <c r="CS166" s="134"/>
      <c r="CT166" s="134"/>
      <c r="CU166" s="134"/>
      <c r="CV166" s="134"/>
      <c r="CW166" s="134"/>
      <c r="CX166" s="134"/>
      <c r="CY166" s="300"/>
      <c r="CZ166" s="301"/>
      <c r="DA166" s="276"/>
      <c r="DB166" s="277"/>
      <c r="DC166" s="134"/>
      <c r="DD166" s="134"/>
      <c r="DE166" s="134"/>
      <c r="DF166" s="134"/>
      <c r="DG166" s="138"/>
      <c r="DH166" s="134"/>
      <c r="DI166" s="134"/>
      <c r="DJ166" s="134"/>
      <c r="DK166" s="301"/>
      <c r="DL166" s="301"/>
      <c r="DM166" s="134"/>
      <c r="DN166" s="134"/>
      <c r="DO166" s="134"/>
      <c r="DP166" s="134"/>
      <c r="DQ166" s="134"/>
      <c r="DR166" s="134"/>
      <c r="DS166" s="134"/>
      <c r="DT166" s="134"/>
      <c r="DU166" s="301"/>
      <c r="DV166" s="301"/>
      <c r="DW166" s="277"/>
      <c r="DX166" s="134"/>
      <c r="DY166" s="134"/>
      <c r="DZ166" s="134"/>
      <c r="EA166" s="134"/>
      <c r="EB166" s="134"/>
      <c r="EC166" s="134"/>
      <c r="ED166" s="134"/>
      <c r="EE166" s="134"/>
      <c r="EF166" s="301"/>
      <c r="EG166" s="301"/>
      <c r="EH166" s="134"/>
      <c r="EI166" s="134"/>
      <c r="EJ166" s="134"/>
      <c r="EK166" s="134"/>
    </row>
    <row r="167" spans="1:141">
      <c r="A167" s="79" t="s">
        <v>1074</v>
      </c>
      <c r="B167" s="117">
        <v>103</v>
      </c>
      <c r="C167" s="123" t="s">
        <v>2065</v>
      </c>
      <c r="D167" s="124" t="s">
        <v>2317</v>
      </c>
      <c r="E167" s="125">
        <v>2016</v>
      </c>
      <c r="F167" s="79">
        <v>27417516</v>
      </c>
      <c r="G167" s="79">
        <v>1</v>
      </c>
      <c r="H167" s="126">
        <v>1</v>
      </c>
      <c r="I167" s="127"/>
      <c r="J167" s="79">
        <v>1</v>
      </c>
      <c r="K167" s="79"/>
      <c r="L167" s="79">
        <v>1</v>
      </c>
      <c r="M167" s="128">
        <v>2</v>
      </c>
      <c r="N167" s="79" t="s">
        <v>1296</v>
      </c>
      <c r="O167" s="79" t="s">
        <v>1166</v>
      </c>
      <c r="P167" s="79" t="s">
        <v>1127</v>
      </c>
      <c r="Q167" s="79"/>
      <c r="R167" s="79" t="s">
        <v>1542</v>
      </c>
      <c r="S167" s="79"/>
      <c r="T167" s="79"/>
      <c r="U167" s="79" t="s">
        <v>1297</v>
      </c>
      <c r="V167" s="79" t="s">
        <v>1298</v>
      </c>
      <c r="W167" s="79"/>
      <c r="X167" s="79"/>
      <c r="Y167" s="79"/>
      <c r="Z167" s="79" t="s">
        <v>1299</v>
      </c>
      <c r="AA167" s="154"/>
      <c r="AB167" s="155"/>
      <c r="AC167" s="121">
        <v>4</v>
      </c>
      <c r="AD167" s="202"/>
      <c r="AE167" s="192"/>
      <c r="AF167" s="203"/>
      <c r="AG167" s="121"/>
      <c r="AH167" s="121"/>
      <c r="AI167" s="121"/>
      <c r="AJ167" s="121"/>
      <c r="AK167" s="121"/>
      <c r="AL167" s="121"/>
      <c r="AM167" s="121"/>
      <c r="AN167" s="121"/>
      <c r="AO167" s="121"/>
      <c r="AP167" s="121"/>
      <c r="AQ167" s="121"/>
      <c r="AR167" s="121"/>
      <c r="AS167" s="121"/>
      <c r="AT167" s="121"/>
      <c r="AU167" s="121"/>
      <c r="AV167" s="156"/>
      <c r="AW167" s="156"/>
      <c r="AX167" s="156">
        <v>1</v>
      </c>
      <c r="AY167" s="156" t="s">
        <v>1917</v>
      </c>
      <c r="AZ167" s="156"/>
      <c r="BA167" s="156"/>
      <c r="BB167" s="156"/>
      <c r="BC167" s="156"/>
      <c r="BD167" s="157"/>
      <c r="BE167" s="134"/>
      <c r="BF167" s="134"/>
      <c r="BG167" s="134"/>
      <c r="BH167" s="134"/>
      <c r="BI167" s="134"/>
      <c r="BJ167" s="259"/>
      <c r="BK167" s="138"/>
      <c r="BL167" s="134"/>
      <c r="BM167" s="134"/>
      <c r="BN167" s="134"/>
      <c r="BO167" s="138"/>
      <c r="BP167" s="134"/>
      <c r="BQ167" s="134"/>
      <c r="BR167" s="134"/>
      <c r="BS167" s="288"/>
      <c r="BT167" s="289"/>
      <c r="BU167" s="138"/>
      <c r="BV167" s="134"/>
      <c r="BW167" s="134"/>
      <c r="BX167" s="134"/>
      <c r="BY167" s="138"/>
      <c r="BZ167" s="134"/>
      <c r="CA167" s="134"/>
      <c r="CB167" s="134"/>
      <c r="CC167" s="288"/>
      <c r="CD167" s="289"/>
      <c r="CE167" s="276"/>
      <c r="CF167" s="308"/>
      <c r="CG167" s="138"/>
      <c r="CH167" s="134"/>
      <c r="CI167" s="134"/>
      <c r="CJ167" s="134"/>
      <c r="CK167" s="134"/>
      <c r="CL167" s="134"/>
      <c r="CM167" s="134"/>
      <c r="CN167" s="134"/>
      <c r="CO167" s="300"/>
      <c r="CP167" s="301"/>
      <c r="CQ167" s="134"/>
      <c r="CR167" s="134"/>
      <c r="CS167" s="134"/>
      <c r="CT167" s="134"/>
      <c r="CU167" s="134"/>
      <c r="CV167" s="134"/>
      <c r="CW167" s="134"/>
      <c r="CX167" s="134"/>
      <c r="CY167" s="300"/>
      <c r="CZ167" s="301"/>
      <c r="DA167" s="276"/>
      <c r="DB167" s="277"/>
      <c r="DC167" s="134"/>
      <c r="DD167" s="134"/>
      <c r="DE167" s="134"/>
      <c r="DF167" s="134"/>
      <c r="DG167" s="138"/>
      <c r="DH167" s="134"/>
      <c r="DI167" s="134"/>
      <c r="DJ167" s="134"/>
      <c r="DK167" s="301"/>
      <c r="DL167" s="301"/>
      <c r="DM167" s="134"/>
      <c r="DN167" s="134"/>
      <c r="DO167" s="134"/>
      <c r="DP167" s="134"/>
      <c r="DQ167" s="134"/>
      <c r="DR167" s="134"/>
      <c r="DS167" s="134"/>
      <c r="DT167" s="134"/>
      <c r="DU167" s="301"/>
      <c r="DV167" s="301"/>
      <c r="DW167" s="277"/>
      <c r="DX167" s="134"/>
      <c r="DY167" s="134"/>
      <c r="DZ167" s="134"/>
      <c r="EA167" s="134"/>
      <c r="EB167" s="134"/>
      <c r="EC167" s="134"/>
      <c r="ED167" s="134"/>
      <c r="EE167" s="134"/>
      <c r="EF167" s="301"/>
      <c r="EG167" s="301"/>
      <c r="EH167" s="134"/>
      <c r="EI167" s="134"/>
      <c r="EJ167" s="134"/>
      <c r="EK167" s="134"/>
    </row>
    <row r="168" spans="1:141">
      <c r="A168" s="79" t="s">
        <v>137</v>
      </c>
      <c r="B168" s="117">
        <v>104</v>
      </c>
      <c r="C168" s="123" t="s">
        <v>1949</v>
      </c>
      <c r="D168" s="124" t="s">
        <v>2168</v>
      </c>
      <c r="E168" s="125">
        <v>2008</v>
      </c>
      <c r="F168" s="79">
        <v>18423610</v>
      </c>
      <c r="G168" s="79">
        <v>1</v>
      </c>
      <c r="H168" s="126"/>
      <c r="I168" s="127"/>
      <c r="J168" s="79">
        <v>1</v>
      </c>
      <c r="K168" s="79"/>
      <c r="L168" s="79">
        <v>1</v>
      </c>
      <c r="M168" s="128">
        <v>1</v>
      </c>
      <c r="N168" s="79" t="s">
        <v>433</v>
      </c>
      <c r="O168" s="79" t="s">
        <v>1152</v>
      </c>
      <c r="P168" s="79" t="s">
        <v>434</v>
      </c>
      <c r="Q168" s="79">
        <v>0</v>
      </c>
      <c r="R168" s="79"/>
      <c r="S168" s="79"/>
      <c r="T168" s="79"/>
      <c r="U168" s="79" t="s">
        <v>435</v>
      </c>
      <c r="V168" s="79" t="s">
        <v>436</v>
      </c>
      <c r="W168" s="79"/>
      <c r="X168" s="79"/>
      <c r="Y168" s="79"/>
      <c r="Z168" s="79"/>
      <c r="AA168" s="154"/>
      <c r="AB168" s="155"/>
      <c r="AC168" s="121"/>
      <c r="AD168" s="202"/>
      <c r="AE168" s="192"/>
      <c r="AF168" s="203"/>
      <c r="AG168" s="121"/>
      <c r="AH168" s="121"/>
      <c r="AI168" s="121"/>
      <c r="AJ168" s="121"/>
      <c r="AK168" s="121"/>
      <c r="AL168" s="121"/>
      <c r="AM168" s="121"/>
      <c r="AN168" s="121"/>
      <c r="AO168" s="121"/>
      <c r="AP168" s="121"/>
      <c r="AQ168" s="121"/>
      <c r="AR168" s="121"/>
      <c r="AS168" s="121"/>
      <c r="AT168" s="121"/>
      <c r="AU168" s="121"/>
      <c r="AV168" s="156"/>
      <c r="AW168" s="156"/>
      <c r="AX168" s="156"/>
      <c r="AY168" s="156"/>
      <c r="AZ168" s="156"/>
      <c r="BA168" s="156">
        <v>1</v>
      </c>
      <c r="BB168" s="156"/>
      <c r="BC168" s="156"/>
      <c r="BD168" s="157"/>
      <c r="BE168" s="134"/>
      <c r="BF168" s="134"/>
      <c r="BG168" s="134"/>
      <c r="BH168" s="134"/>
      <c r="BI168" s="134"/>
      <c r="BJ168" s="259"/>
      <c r="BK168" s="138"/>
      <c r="BL168" s="134"/>
      <c r="BM168" s="134"/>
      <c r="BN168" s="134"/>
      <c r="BO168" s="138"/>
      <c r="BP168" s="134"/>
      <c r="BQ168" s="134"/>
      <c r="BR168" s="134"/>
      <c r="BS168" s="288"/>
      <c r="BT168" s="289"/>
      <c r="BU168" s="138"/>
      <c r="BV168" s="134"/>
      <c r="BW168" s="134"/>
      <c r="BX168" s="134"/>
      <c r="BY168" s="138"/>
      <c r="BZ168" s="134"/>
      <c r="CA168" s="134"/>
      <c r="CB168" s="134"/>
      <c r="CC168" s="288"/>
      <c r="CD168" s="289"/>
      <c r="CE168" s="276"/>
      <c r="CF168" s="308"/>
      <c r="CG168" s="138"/>
      <c r="CH168" s="134"/>
      <c r="CI168" s="134"/>
      <c r="CJ168" s="134"/>
      <c r="CK168" s="134"/>
      <c r="CL168" s="134"/>
      <c r="CM168" s="134"/>
      <c r="CN168" s="134"/>
      <c r="CO168" s="300"/>
      <c r="CP168" s="301"/>
      <c r="CQ168" s="134"/>
      <c r="CR168" s="134"/>
      <c r="CS168" s="134"/>
      <c r="CT168" s="134"/>
      <c r="CU168" s="134"/>
      <c r="CV168" s="134"/>
      <c r="CW168" s="134"/>
      <c r="CX168" s="134"/>
      <c r="CY168" s="300"/>
      <c r="CZ168" s="301"/>
      <c r="DA168" s="276"/>
      <c r="DB168" s="277"/>
      <c r="DC168" s="134"/>
      <c r="DD168" s="134"/>
      <c r="DE168" s="134"/>
      <c r="DF168" s="134"/>
      <c r="DG168" s="138"/>
      <c r="DH168" s="134"/>
      <c r="DI168" s="134"/>
      <c r="DJ168" s="134"/>
      <c r="DK168" s="301"/>
      <c r="DL168" s="301"/>
      <c r="DM168" s="134"/>
      <c r="DN168" s="134"/>
      <c r="DO168" s="134"/>
      <c r="DP168" s="134"/>
      <c r="DQ168" s="134"/>
      <c r="DR168" s="134"/>
      <c r="DS168" s="134"/>
      <c r="DT168" s="134"/>
      <c r="DU168" s="301"/>
      <c r="DV168" s="301"/>
      <c r="DW168" s="277"/>
      <c r="DX168" s="134"/>
      <c r="DY168" s="134"/>
      <c r="DZ168" s="134"/>
      <c r="EA168" s="134"/>
      <c r="EB168" s="134"/>
      <c r="EC168" s="134"/>
      <c r="ED168" s="134"/>
      <c r="EE168" s="134"/>
      <c r="EF168" s="301"/>
      <c r="EG168" s="301"/>
      <c r="EH168" s="134"/>
      <c r="EI168" s="134"/>
      <c r="EJ168" s="134"/>
      <c r="EK168" s="134"/>
    </row>
    <row r="169" spans="1:141">
      <c r="A169" s="79" t="s">
        <v>1070</v>
      </c>
      <c r="B169" s="117">
        <v>105</v>
      </c>
      <c r="C169" s="123" t="s">
        <v>2068</v>
      </c>
      <c r="D169" s="124" t="s">
        <v>2320</v>
      </c>
      <c r="E169" s="125">
        <v>2014</v>
      </c>
      <c r="F169" s="79">
        <v>24675061</v>
      </c>
      <c r="G169" s="79">
        <v>1</v>
      </c>
      <c r="H169" s="126"/>
      <c r="I169" s="127"/>
      <c r="J169" s="79">
        <v>1</v>
      </c>
      <c r="K169" s="79"/>
      <c r="L169" s="79">
        <v>1</v>
      </c>
      <c r="M169" s="128">
        <v>2</v>
      </c>
      <c r="N169" s="79" t="s">
        <v>1307</v>
      </c>
      <c r="O169" s="79" t="s">
        <v>1224</v>
      </c>
      <c r="P169" s="79" t="s">
        <v>1127</v>
      </c>
      <c r="Q169" s="79"/>
      <c r="R169" s="79" t="s">
        <v>1498</v>
      </c>
      <c r="S169" s="79"/>
      <c r="T169" s="79"/>
      <c r="U169" s="79" t="s">
        <v>1516</v>
      </c>
      <c r="V169" s="79" t="s">
        <v>1308</v>
      </c>
      <c r="W169" s="79" t="s">
        <v>1309</v>
      </c>
      <c r="X169" s="79"/>
      <c r="Y169" s="79"/>
      <c r="Z169" s="79"/>
      <c r="AA169" s="154"/>
      <c r="AB169" s="155"/>
      <c r="AC169" s="121">
        <v>4</v>
      </c>
      <c r="AD169" s="202"/>
      <c r="AE169" s="192"/>
      <c r="AF169" s="203"/>
      <c r="AG169" s="121"/>
      <c r="AH169" s="121"/>
      <c r="AI169" s="121"/>
      <c r="AJ169" s="121"/>
      <c r="AK169" s="121"/>
      <c r="AL169" s="121"/>
      <c r="AM169" s="121"/>
      <c r="AN169" s="121"/>
      <c r="AO169" s="121"/>
      <c r="AP169" s="121"/>
      <c r="AQ169" s="121"/>
      <c r="AR169" s="121"/>
      <c r="AS169" s="121"/>
      <c r="AT169" s="121"/>
      <c r="AU169" s="121"/>
      <c r="AV169" s="156"/>
      <c r="AW169" s="156"/>
      <c r="AX169" s="156"/>
      <c r="AY169" s="156"/>
      <c r="AZ169" s="156"/>
      <c r="BA169" s="156"/>
      <c r="BB169" s="156"/>
      <c r="BC169" s="156"/>
      <c r="BD169" s="157"/>
      <c r="BE169" s="134"/>
      <c r="BF169" s="134"/>
      <c r="BG169" s="134"/>
      <c r="BH169" s="134"/>
      <c r="BI169" s="134"/>
      <c r="BJ169" s="259"/>
      <c r="BK169" s="138"/>
      <c r="BL169" s="134"/>
      <c r="BM169" s="134"/>
      <c r="BN169" s="134"/>
      <c r="BO169" s="138"/>
      <c r="BP169" s="134"/>
      <c r="BQ169" s="134"/>
      <c r="BR169" s="134"/>
      <c r="BS169" s="288"/>
      <c r="BT169" s="289"/>
      <c r="BU169" s="138"/>
      <c r="BV169" s="134"/>
      <c r="BW169" s="134"/>
      <c r="BX169" s="134"/>
      <c r="BY169" s="138"/>
      <c r="BZ169" s="134"/>
      <c r="CA169" s="134"/>
      <c r="CB169" s="134"/>
      <c r="CC169" s="288"/>
      <c r="CD169" s="289"/>
      <c r="CE169" s="276"/>
      <c r="CF169" s="308"/>
      <c r="CG169" s="138"/>
      <c r="CH169" s="134"/>
      <c r="CI169" s="134"/>
      <c r="CJ169" s="134"/>
      <c r="CK169" s="134"/>
      <c r="CL169" s="134"/>
      <c r="CM169" s="134"/>
      <c r="CN169" s="134"/>
      <c r="CO169" s="300"/>
      <c r="CP169" s="301"/>
      <c r="CQ169" s="134"/>
      <c r="CR169" s="134"/>
      <c r="CS169" s="134"/>
      <c r="CT169" s="134"/>
      <c r="CU169" s="134"/>
      <c r="CV169" s="134"/>
      <c r="CW169" s="134"/>
      <c r="CX169" s="134"/>
      <c r="CY169" s="300"/>
      <c r="CZ169" s="301"/>
      <c r="DA169" s="276"/>
      <c r="DB169" s="277"/>
      <c r="DC169" s="134"/>
      <c r="DD169" s="134"/>
      <c r="DE169" s="134"/>
      <c r="DF169" s="134"/>
      <c r="DG169" s="138"/>
      <c r="DH169" s="134"/>
      <c r="DI169" s="134"/>
      <c r="DJ169" s="134"/>
      <c r="DK169" s="301"/>
      <c r="DL169" s="301"/>
      <c r="DM169" s="134"/>
      <c r="DN169" s="134"/>
      <c r="DO169" s="134"/>
      <c r="DP169" s="134"/>
      <c r="DQ169" s="134"/>
      <c r="DR169" s="134"/>
      <c r="DS169" s="134"/>
      <c r="DT169" s="134"/>
      <c r="DU169" s="301"/>
      <c r="DV169" s="301"/>
      <c r="DW169" s="277"/>
      <c r="DX169" s="134"/>
      <c r="DY169" s="134"/>
      <c r="DZ169" s="134"/>
      <c r="EA169" s="134"/>
      <c r="EB169" s="134"/>
      <c r="EC169" s="134"/>
      <c r="ED169" s="134"/>
      <c r="EE169" s="134"/>
      <c r="EF169" s="301"/>
      <c r="EG169" s="301"/>
      <c r="EH169" s="134"/>
      <c r="EI169" s="134"/>
      <c r="EJ169" s="134"/>
      <c r="EK169" s="134"/>
    </row>
    <row r="170" spans="1:141">
      <c r="A170" s="79" t="s">
        <v>1069</v>
      </c>
      <c r="B170" s="117">
        <v>106</v>
      </c>
      <c r="C170" s="123" t="s">
        <v>2069</v>
      </c>
      <c r="D170" s="124" t="s">
        <v>2321</v>
      </c>
      <c r="E170" s="125">
        <v>2015</v>
      </c>
      <c r="F170" s="79">
        <v>25750029</v>
      </c>
      <c r="G170" s="79">
        <v>1</v>
      </c>
      <c r="H170" s="126"/>
      <c r="I170" s="127"/>
      <c r="J170" s="79">
        <v>1</v>
      </c>
      <c r="K170" s="79"/>
      <c r="L170" s="79">
        <v>1</v>
      </c>
      <c r="M170" s="128">
        <v>2</v>
      </c>
      <c r="N170" s="79" t="s">
        <v>1585</v>
      </c>
      <c r="O170" s="79" t="s">
        <v>1216</v>
      </c>
      <c r="P170" s="79" t="s">
        <v>1127</v>
      </c>
      <c r="Q170" s="79"/>
      <c r="R170" s="79" t="s">
        <v>1310</v>
      </c>
      <c r="S170" s="79" t="s">
        <v>803</v>
      </c>
      <c r="T170" s="79"/>
      <c r="U170" s="79" t="s">
        <v>1311</v>
      </c>
      <c r="V170" s="79"/>
      <c r="W170" s="79"/>
      <c r="X170" s="79"/>
      <c r="Y170" s="79"/>
      <c r="Z170" s="79"/>
      <c r="AA170" s="154"/>
      <c r="AB170" s="155"/>
      <c r="AC170" s="121">
        <v>4</v>
      </c>
      <c r="AD170" s="202"/>
      <c r="AE170" s="192"/>
      <c r="AF170" s="203"/>
      <c r="AG170" s="121"/>
      <c r="AH170" s="121"/>
      <c r="AI170" s="121"/>
      <c r="AJ170" s="121"/>
      <c r="AK170" s="121"/>
      <c r="AL170" s="121"/>
      <c r="AM170" s="121"/>
      <c r="AN170" s="121"/>
      <c r="AO170" s="121"/>
      <c r="AP170" s="121"/>
      <c r="AQ170" s="121"/>
      <c r="AR170" s="121"/>
      <c r="AS170" s="121"/>
      <c r="AT170" s="121"/>
      <c r="AU170" s="121"/>
      <c r="AV170" s="156"/>
      <c r="AW170" s="156"/>
      <c r="AX170" s="156"/>
      <c r="AY170" s="156"/>
      <c r="AZ170" s="156">
        <v>1</v>
      </c>
      <c r="BA170" s="156"/>
      <c r="BB170" s="156"/>
      <c r="BC170" s="156"/>
      <c r="BD170" s="157"/>
      <c r="BE170" s="134"/>
      <c r="BF170" s="134"/>
      <c r="BG170" s="134"/>
      <c r="BH170" s="134"/>
      <c r="BI170" s="134"/>
      <c r="BJ170" s="259"/>
      <c r="BK170" s="138"/>
      <c r="BL170" s="134"/>
      <c r="BM170" s="134"/>
      <c r="BN170" s="134"/>
      <c r="BO170" s="138"/>
      <c r="BP170" s="134"/>
      <c r="BQ170" s="134"/>
      <c r="BR170" s="134"/>
      <c r="BS170" s="288"/>
      <c r="BT170" s="289"/>
      <c r="BU170" s="138"/>
      <c r="BV170" s="134"/>
      <c r="BW170" s="134"/>
      <c r="BX170" s="134"/>
      <c r="BY170" s="138"/>
      <c r="BZ170" s="134"/>
      <c r="CA170" s="134"/>
      <c r="CB170" s="134"/>
      <c r="CC170" s="288"/>
      <c r="CD170" s="289"/>
      <c r="CE170" s="276"/>
      <c r="CF170" s="308"/>
      <c r="CG170" s="138"/>
      <c r="CH170" s="134"/>
      <c r="CI170" s="134"/>
      <c r="CJ170" s="134"/>
      <c r="CK170" s="134"/>
      <c r="CL170" s="134"/>
      <c r="CM170" s="134"/>
      <c r="CN170" s="134"/>
      <c r="CO170" s="300"/>
      <c r="CP170" s="301"/>
      <c r="CQ170" s="134"/>
      <c r="CR170" s="134"/>
      <c r="CS170" s="134"/>
      <c r="CT170" s="134"/>
      <c r="CU170" s="134"/>
      <c r="CV170" s="134"/>
      <c r="CW170" s="134"/>
      <c r="CX170" s="134"/>
      <c r="CY170" s="300"/>
      <c r="CZ170" s="301"/>
      <c r="DA170" s="276"/>
      <c r="DB170" s="277"/>
      <c r="DC170" s="134"/>
      <c r="DD170" s="134"/>
      <c r="DE170" s="134"/>
      <c r="DF170" s="134"/>
      <c r="DG170" s="138"/>
      <c r="DH170" s="134"/>
      <c r="DI170" s="134"/>
      <c r="DJ170" s="134"/>
      <c r="DK170" s="301"/>
      <c r="DL170" s="301"/>
      <c r="DM170" s="134"/>
      <c r="DN170" s="134"/>
      <c r="DO170" s="134"/>
      <c r="DP170" s="134"/>
      <c r="DQ170" s="134"/>
      <c r="DR170" s="134"/>
      <c r="DS170" s="134"/>
      <c r="DT170" s="134"/>
      <c r="DU170" s="301"/>
      <c r="DV170" s="301"/>
      <c r="DW170" s="277"/>
      <c r="DX170" s="134"/>
      <c r="DY170" s="134"/>
      <c r="DZ170" s="134"/>
      <c r="EA170" s="134"/>
      <c r="EB170" s="134"/>
      <c r="EC170" s="134"/>
      <c r="ED170" s="134"/>
      <c r="EE170" s="134"/>
      <c r="EF170" s="301"/>
      <c r="EG170" s="301"/>
      <c r="EH170" s="134"/>
      <c r="EI170" s="134"/>
      <c r="EJ170" s="134"/>
      <c r="EK170" s="134"/>
    </row>
    <row r="171" spans="1:141">
      <c r="A171" s="79" t="s">
        <v>1065</v>
      </c>
      <c r="B171" s="117">
        <v>107</v>
      </c>
      <c r="C171" s="123" t="s">
        <v>2070</v>
      </c>
      <c r="D171" s="124" t="s">
        <v>2322</v>
      </c>
      <c r="E171" s="125">
        <v>2015</v>
      </c>
      <c r="F171" s="79">
        <v>25746511</v>
      </c>
      <c r="G171" s="79">
        <v>1</v>
      </c>
      <c r="H171" s="126"/>
      <c r="I171" s="127"/>
      <c r="J171" s="79">
        <v>1</v>
      </c>
      <c r="K171" s="79"/>
      <c r="L171" s="79">
        <v>1</v>
      </c>
      <c r="M171" s="128">
        <v>2</v>
      </c>
      <c r="N171" s="79" t="s">
        <v>1317</v>
      </c>
      <c r="O171" s="79" t="s">
        <v>1166</v>
      </c>
      <c r="P171" s="79" t="s">
        <v>1127</v>
      </c>
      <c r="Q171" s="79"/>
      <c r="R171" s="79" t="s">
        <v>1487</v>
      </c>
      <c r="S171" s="79"/>
      <c r="T171" s="79"/>
      <c r="U171" s="79" t="s">
        <v>1316</v>
      </c>
      <c r="V171" s="79"/>
      <c r="W171" s="79"/>
      <c r="X171" s="79"/>
      <c r="Y171" s="79"/>
      <c r="Z171" s="79"/>
      <c r="AA171" s="154"/>
      <c r="AB171" s="155"/>
      <c r="AC171" s="121">
        <v>4</v>
      </c>
      <c r="AD171" s="202"/>
      <c r="AE171" s="192"/>
      <c r="AF171" s="203"/>
      <c r="AG171" s="121"/>
      <c r="AH171" s="121"/>
      <c r="AI171" s="121"/>
      <c r="AJ171" s="121"/>
      <c r="AK171" s="121"/>
      <c r="AL171" s="121"/>
      <c r="AM171" s="121"/>
      <c r="AN171" s="121"/>
      <c r="AO171" s="121"/>
      <c r="AP171" s="121"/>
      <c r="AQ171" s="121"/>
      <c r="AR171" s="121"/>
      <c r="AS171" s="121"/>
      <c r="AT171" s="121"/>
      <c r="AU171" s="121"/>
      <c r="AV171" s="156"/>
      <c r="AW171" s="156"/>
      <c r="AX171" s="156"/>
      <c r="AY171" s="156">
        <v>1</v>
      </c>
      <c r="AZ171" s="156"/>
      <c r="BA171" s="156"/>
      <c r="BB171" s="156"/>
      <c r="BC171" s="156"/>
      <c r="BD171" s="157"/>
      <c r="BE171" s="134"/>
      <c r="BF171" s="134"/>
      <c r="BG171" s="134"/>
      <c r="BH171" s="134"/>
      <c r="BI171" s="134"/>
      <c r="BJ171" s="259"/>
      <c r="BK171" s="138"/>
      <c r="BL171" s="134"/>
      <c r="BM171" s="134"/>
      <c r="BN171" s="134"/>
      <c r="BO171" s="138"/>
      <c r="BP171" s="134"/>
      <c r="BQ171" s="134"/>
      <c r="BR171" s="134"/>
      <c r="BS171" s="288"/>
      <c r="BT171" s="289"/>
      <c r="BU171" s="138"/>
      <c r="BV171" s="134"/>
      <c r="BW171" s="134"/>
      <c r="BX171" s="134"/>
      <c r="BY171" s="138"/>
      <c r="BZ171" s="134"/>
      <c r="CA171" s="134"/>
      <c r="CB171" s="134"/>
      <c r="CC171" s="288"/>
      <c r="CD171" s="289"/>
      <c r="CE171" s="276"/>
      <c r="CF171" s="308"/>
      <c r="CG171" s="138"/>
      <c r="CH171" s="134"/>
      <c r="CI171" s="134"/>
      <c r="CJ171" s="134"/>
      <c r="CK171" s="134"/>
      <c r="CL171" s="134"/>
      <c r="CM171" s="134"/>
      <c r="CN171" s="134"/>
      <c r="CO171" s="300"/>
      <c r="CP171" s="301"/>
      <c r="CQ171" s="134"/>
      <c r="CR171" s="134"/>
      <c r="CS171" s="134"/>
      <c r="CT171" s="134"/>
      <c r="CU171" s="134"/>
      <c r="CV171" s="134"/>
      <c r="CW171" s="134"/>
      <c r="CX171" s="134"/>
      <c r="CY171" s="300"/>
      <c r="CZ171" s="301"/>
      <c r="DA171" s="276"/>
      <c r="DB171" s="277"/>
      <c r="DC171" s="134"/>
      <c r="DD171" s="134"/>
      <c r="DE171" s="134"/>
      <c r="DF171" s="134"/>
      <c r="DG171" s="138"/>
      <c r="DH171" s="134"/>
      <c r="DI171" s="134"/>
      <c r="DJ171" s="134"/>
      <c r="DK171" s="301"/>
      <c r="DL171" s="301"/>
      <c r="DM171" s="134"/>
      <c r="DN171" s="134"/>
      <c r="DO171" s="134"/>
      <c r="DP171" s="134"/>
      <c r="DQ171" s="134"/>
      <c r="DR171" s="134"/>
      <c r="DS171" s="134"/>
      <c r="DT171" s="134"/>
      <c r="DU171" s="301"/>
      <c r="DV171" s="301"/>
      <c r="DW171" s="277"/>
      <c r="DX171" s="134"/>
      <c r="DY171" s="134"/>
      <c r="DZ171" s="134"/>
      <c r="EA171" s="134"/>
      <c r="EB171" s="134"/>
      <c r="EC171" s="134"/>
      <c r="ED171" s="134"/>
      <c r="EE171" s="134"/>
      <c r="EF171" s="301"/>
      <c r="EG171" s="301"/>
      <c r="EH171" s="134"/>
      <c r="EI171" s="134"/>
      <c r="EJ171" s="134"/>
      <c r="EK171" s="134"/>
    </row>
    <row r="172" spans="1:141">
      <c r="A172" s="79" t="s">
        <v>141</v>
      </c>
      <c r="B172" s="117">
        <v>108</v>
      </c>
      <c r="C172" s="123" t="s">
        <v>1950</v>
      </c>
      <c r="D172" s="124" t="s">
        <v>2169</v>
      </c>
      <c r="E172" s="125">
        <v>2013</v>
      </c>
      <c r="F172" s="79">
        <v>23540599</v>
      </c>
      <c r="G172" s="79">
        <v>1</v>
      </c>
      <c r="H172" s="126" t="s">
        <v>1776</v>
      </c>
      <c r="I172" s="127" t="s">
        <v>1759</v>
      </c>
      <c r="J172" s="164">
        <v>1</v>
      </c>
      <c r="K172" s="79" t="s">
        <v>1737</v>
      </c>
      <c r="L172" s="164">
        <v>1</v>
      </c>
      <c r="M172" s="128">
        <v>1</v>
      </c>
      <c r="N172" s="79" t="s">
        <v>442</v>
      </c>
      <c r="O172" s="79" t="s">
        <v>1142</v>
      </c>
      <c r="P172" s="79" t="s">
        <v>443</v>
      </c>
      <c r="Q172" s="79">
        <v>1</v>
      </c>
      <c r="R172" s="79"/>
      <c r="S172" s="79"/>
      <c r="T172" s="79"/>
      <c r="U172" s="79" t="s">
        <v>444</v>
      </c>
      <c r="V172" s="79" t="s">
        <v>445</v>
      </c>
      <c r="W172" s="79" t="s">
        <v>446</v>
      </c>
      <c r="X172" s="79"/>
      <c r="Y172" s="79"/>
      <c r="Z172" s="79" t="s">
        <v>447</v>
      </c>
      <c r="AA172" s="154"/>
      <c r="AB172" s="155"/>
      <c r="AC172" s="121">
        <v>2</v>
      </c>
      <c r="AD172" s="202"/>
      <c r="AE172" s="192"/>
      <c r="AF172" s="203"/>
      <c r="AG172" s="121"/>
      <c r="AH172" s="121"/>
      <c r="AI172" s="121"/>
      <c r="AJ172" s="121"/>
      <c r="AK172" s="121"/>
      <c r="AL172" s="121"/>
      <c r="AM172" s="121"/>
      <c r="AN172" s="121"/>
      <c r="AO172" s="121"/>
      <c r="AP172" s="121"/>
      <c r="AQ172" s="121"/>
      <c r="AR172" s="121"/>
      <c r="AS172" s="121"/>
      <c r="AT172" s="121"/>
      <c r="AU172" s="121"/>
      <c r="AV172" s="156"/>
      <c r="AW172" s="156"/>
      <c r="AX172" s="156"/>
      <c r="AY172" s="156"/>
      <c r="AZ172" s="156" t="s">
        <v>1917</v>
      </c>
      <c r="BA172" s="156"/>
      <c r="BB172" s="156"/>
      <c r="BC172" s="156"/>
      <c r="BD172" s="157"/>
      <c r="BE172" s="134"/>
      <c r="BF172" s="134"/>
      <c r="BG172" s="134"/>
      <c r="BH172" s="134"/>
      <c r="BI172" s="134"/>
      <c r="BJ172" s="259"/>
      <c r="BK172" s="138"/>
      <c r="BL172" s="134"/>
      <c r="BM172" s="134"/>
      <c r="BN172" s="134"/>
      <c r="BO172" s="138"/>
      <c r="BP172" s="134"/>
      <c r="BQ172" s="134"/>
      <c r="BR172" s="134"/>
      <c r="BS172" s="288"/>
      <c r="BT172" s="289"/>
      <c r="BU172" s="138"/>
      <c r="BV172" s="134"/>
      <c r="BW172" s="134"/>
      <c r="BX172" s="134"/>
      <c r="BY172" s="138"/>
      <c r="BZ172" s="134"/>
      <c r="CA172" s="134"/>
      <c r="CB172" s="134"/>
      <c r="CC172" s="288"/>
      <c r="CD172" s="289"/>
      <c r="CE172" s="276"/>
      <c r="CF172" s="308"/>
      <c r="CG172" s="138"/>
      <c r="CH172" s="134"/>
      <c r="CI172" s="134"/>
      <c r="CJ172" s="134"/>
      <c r="CK172" s="134"/>
      <c r="CL172" s="134"/>
      <c r="CM172" s="134"/>
      <c r="CN172" s="134"/>
      <c r="CO172" s="300"/>
      <c r="CP172" s="301"/>
      <c r="CQ172" s="134"/>
      <c r="CR172" s="134"/>
      <c r="CS172" s="134"/>
      <c r="CT172" s="134"/>
      <c r="CU172" s="134"/>
      <c r="CV172" s="134"/>
      <c r="CW172" s="134"/>
      <c r="CX172" s="134"/>
      <c r="CY172" s="300"/>
      <c r="CZ172" s="301"/>
      <c r="DA172" s="276"/>
      <c r="DB172" s="277"/>
      <c r="DC172" s="134"/>
      <c r="DD172" s="134"/>
      <c r="DE172" s="134"/>
      <c r="DF172" s="134"/>
      <c r="DG172" s="138"/>
      <c r="DH172" s="134"/>
      <c r="DI172" s="134"/>
      <c r="DJ172" s="134"/>
      <c r="DK172" s="301"/>
      <c r="DL172" s="301"/>
      <c r="DM172" s="134"/>
      <c r="DN172" s="134"/>
      <c r="DO172" s="134"/>
      <c r="DP172" s="134"/>
      <c r="DQ172" s="134"/>
      <c r="DR172" s="134"/>
      <c r="DS172" s="134"/>
      <c r="DT172" s="134"/>
      <c r="DU172" s="301"/>
      <c r="DV172" s="301"/>
      <c r="DW172" s="277"/>
      <c r="DX172" s="134"/>
      <c r="DY172" s="134"/>
      <c r="DZ172" s="134"/>
      <c r="EA172" s="134"/>
      <c r="EB172" s="134"/>
      <c r="EC172" s="134"/>
      <c r="ED172" s="134"/>
      <c r="EE172" s="134"/>
      <c r="EF172" s="301"/>
      <c r="EG172" s="301"/>
      <c r="EH172" s="134"/>
      <c r="EI172" s="134"/>
      <c r="EJ172" s="134"/>
      <c r="EK172" s="134"/>
    </row>
    <row r="173" spans="1:141">
      <c r="A173" s="79" t="s">
        <v>143</v>
      </c>
      <c r="B173" s="117">
        <v>109</v>
      </c>
      <c r="C173" s="123" t="s">
        <v>1951</v>
      </c>
      <c r="D173" s="124" t="s">
        <v>2170</v>
      </c>
      <c r="E173" s="125">
        <v>2009</v>
      </c>
      <c r="F173" s="79">
        <v>18800372</v>
      </c>
      <c r="G173" s="79">
        <v>1</v>
      </c>
      <c r="H173" s="126"/>
      <c r="I173" s="127"/>
      <c r="J173" s="79">
        <v>1</v>
      </c>
      <c r="K173" s="79"/>
      <c r="L173" s="79">
        <v>1</v>
      </c>
      <c r="M173" s="128">
        <v>1</v>
      </c>
      <c r="N173" s="79" t="s">
        <v>450</v>
      </c>
      <c r="O173" s="79" t="s">
        <v>1147</v>
      </c>
      <c r="P173" s="79" t="s">
        <v>25</v>
      </c>
      <c r="Q173" s="79">
        <v>1</v>
      </c>
      <c r="R173" s="79"/>
      <c r="S173" s="79"/>
      <c r="T173" s="79"/>
      <c r="U173" s="79" t="s">
        <v>449</v>
      </c>
      <c r="V173" s="79"/>
      <c r="W173" s="79"/>
      <c r="X173" s="79"/>
      <c r="Y173" s="79"/>
      <c r="Z173" s="79"/>
      <c r="AA173" s="154"/>
      <c r="AB173" s="155"/>
      <c r="AC173" s="121">
        <v>2</v>
      </c>
      <c r="AD173" s="202"/>
      <c r="AE173" s="192"/>
      <c r="AF173" s="203"/>
      <c r="AG173" s="121"/>
      <c r="AH173" s="121"/>
      <c r="AI173" s="121"/>
      <c r="AJ173" s="121"/>
      <c r="AK173" s="121"/>
      <c r="AL173" s="121"/>
      <c r="AM173" s="121"/>
      <c r="AN173" s="121"/>
      <c r="AO173" s="121"/>
      <c r="AP173" s="121"/>
      <c r="AQ173" s="121"/>
      <c r="AR173" s="121"/>
      <c r="AS173" s="121"/>
      <c r="AT173" s="121"/>
      <c r="AU173" s="121"/>
      <c r="AV173" s="156"/>
      <c r="AW173" s="156"/>
      <c r="AX173" s="156"/>
      <c r="AY173" s="156"/>
      <c r="AZ173" s="156">
        <v>1</v>
      </c>
      <c r="BA173" s="156"/>
      <c r="BB173" s="156"/>
      <c r="BC173" s="156"/>
      <c r="BD173" s="157"/>
      <c r="BE173" s="134"/>
      <c r="BF173" s="134"/>
      <c r="BG173" s="134"/>
      <c r="BH173" s="134"/>
      <c r="BI173" s="134"/>
      <c r="BJ173" s="259"/>
      <c r="BK173" s="138"/>
      <c r="BL173" s="134"/>
      <c r="BM173" s="134"/>
      <c r="BN173" s="134"/>
      <c r="BO173" s="138"/>
      <c r="BP173" s="134"/>
      <c r="BQ173" s="134"/>
      <c r="BR173" s="134"/>
      <c r="BS173" s="288"/>
      <c r="BT173" s="289"/>
      <c r="BU173" s="138"/>
      <c r="BV173" s="134"/>
      <c r="BW173" s="134"/>
      <c r="BX173" s="134"/>
      <c r="BY173" s="138"/>
      <c r="BZ173" s="134"/>
      <c r="CA173" s="134"/>
      <c r="CB173" s="134"/>
      <c r="CC173" s="288"/>
      <c r="CD173" s="289"/>
      <c r="CE173" s="276"/>
      <c r="CF173" s="308"/>
      <c r="CG173" s="138"/>
      <c r="CH173" s="134"/>
      <c r="CI173" s="134"/>
      <c r="CJ173" s="134"/>
      <c r="CK173" s="134"/>
      <c r="CL173" s="134"/>
      <c r="CM173" s="134"/>
      <c r="CN173" s="134"/>
      <c r="CO173" s="300"/>
      <c r="CP173" s="301"/>
      <c r="CQ173" s="134"/>
      <c r="CR173" s="134"/>
      <c r="CS173" s="134"/>
      <c r="CT173" s="134"/>
      <c r="CU173" s="134"/>
      <c r="CV173" s="134"/>
      <c r="CW173" s="134"/>
      <c r="CX173" s="134"/>
      <c r="CY173" s="300"/>
      <c r="CZ173" s="301"/>
      <c r="DA173" s="276"/>
      <c r="DB173" s="277"/>
      <c r="DC173" s="134"/>
      <c r="DD173" s="134"/>
      <c r="DE173" s="134"/>
      <c r="DF173" s="134"/>
      <c r="DG173" s="138"/>
      <c r="DH173" s="134"/>
      <c r="DI173" s="134"/>
      <c r="DJ173" s="134"/>
      <c r="DK173" s="301"/>
      <c r="DL173" s="301"/>
      <c r="DM173" s="134"/>
      <c r="DN173" s="134"/>
      <c r="DO173" s="134"/>
      <c r="DP173" s="134"/>
      <c r="DQ173" s="134"/>
      <c r="DR173" s="134"/>
      <c r="DS173" s="134"/>
      <c r="DT173" s="134"/>
      <c r="DU173" s="301"/>
      <c r="DV173" s="301"/>
      <c r="DW173" s="277"/>
      <c r="DX173" s="134"/>
      <c r="DY173" s="134"/>
      <c r="DZ173" s="134"/>
      <c r="EA173" s="134"/>
      <c r="EB173" s="134"/>
      <c r="EC173" s="134"/>
      <c r="ED173" s="134"/>
      <c r="EE173" s="134"/>
      <c r="EF173" s="301"/>
      <c r="EG173" s="301"/>
      <c r="EH173" s="134"/>
      <c r="EI173" s="134"/>
      <c r="EJ173" s="134"/>
      <c r="EK173" s="134"/>
    </row>
    <row r="174" spans="1:141">
      <c r="A174" s="79" t="s">
        <v>144</v>
      </c>
      <c r="B174" s="117">
        <v>110</v>
      </c>
      <c r="C174" s="123" t="s">
        <v>1951</v>
      </c>
      <c r="D174" s="124" t="s">
        <v>2171</v>
      </c>
      <c r="E174" s="125">
        <v>2008</v>
      </c>
      <c r="F174" s="79">
        <v>17698081</v>
      </c>
      <c r="G174" s="79">
        <v>1</v>
      </c>
      <c r="H174" s="126"/>
      <c r="I174" s="127"/>
      <c r="J174" s="79">
        <v>1</v>
      </c>
      <c r="K174" s="79"/>
      <c r="L174" s="79">
        <v>1</v>
      </c>
      <c r="M174" s="128">
        <v>1</v>
      </c>
      <c r="N174" s="79" t="s">
        <v>73</v>
      </c>
      <c r="O174" s="79" t="s">
        <v>1147</v>
      </c>
      <c r="P174" s="79" t="s">
        <v>25</v>
      </c>
      <c r="Q174" s="79">
        <v>1</v>
      </c>
      <c r="R174" s="79"/>
      <c r="S174" s="79"/>
      <c r="T174" s="79"/>
      <c r="U174" s="79" t="s">
        <v>451</v>
      </c>
      <c r="V174" s="79" t="s">
        <v>56</v>
      </c>
      <c r="W174" s="79"/>
      <c r="X174" s="79"/>
      <c r="Y174" s="79"/>
      <c r="Z174" s="79"/>
      <c r="AA174" s="154"/>
      <c r="AB174" s="155"/>
      <c r="AC174" s="121">
        <v>2</v>
      </c>
      <c r="AD174" s="202"/>
      <c r="AE174" s="192"/>
      <c r="AF174" s="203"/>
      <c r="AG174" s="121"/>
      <c r="AH174" s="121"/>
      <c r="AI174" s="121"/>
      <c r="AJ174" s="121"/>
      <c r="AK174" s="121"/>
      <c r="AL174" s="121"/>
      <c r="AM174" s="121"/>
      <c r="AN174" s="121"/>
      <c r="AO174" s="121"/>
      <c r="AP174" s="121"/>
      <c r="AQ174" s="121"/>
      <c r="AR174" s="121"/>
      <c r="AS174" s="121"/>
      <c r="AT174" s="121"/>
      <c r="AU174" s="121"/>
      <c r="AV174" s="156"/>
      <c r="AW174" s="156"/>
      <c r="AX174" s="156"/>
      <c r="AY174" s="156"/>
      <c r="AZ174" s="156">
        <v>1</v>
      </c>
      <c r="BA174" s="156"/>
      <c r="BB174" s="156"/>
      <c r="BC174" s="156"/>
      <c r="BD174" s="157"/>
      <c r="BE174" s="134"/>
      <c r="BF174" s="134"/>
      <c r="BG174" s="134"/>
      <c r="BH174" s="134"/>
      <c r="BI174" s="134"/>
      <c r="BJ174" s="259"/>
      <c r="BK174" s="138"/>
      <c r="BL174" s="134"/>
      <c r="BM174" s="134"/>
      <c r="BN174" s="134"/>
      <c r="BO174" s="138"/>
      <c r="BP174" s="134"/>
      <c r="BQ174" s="134"/>
      <c r="BR174" s="134"/>
      <c r="BS174" s="288"/>
      <c r="BT174" s="289"/>
      <c r="BU174" s="138"/>
      <c r="BV174" s="134"/>
      <c r="BW174" s="134"/>
      <c r="BX174" s="134"/>
      <c r="BY174" s="138"/>
      <c r="BZ174" s="134"/>
      <c r="CA174" s="134"/>
      <c r="CB174" s="134"/>
      <c r="CC174" s="288"/>
      <c r="CD174" s="289"/>
      <c r="CE174" s="276"/>
      <c r="CF174" s="308"/>
      <c r="CG174" s="138"/>
      <c r="CH174" s="134"/>
      <c r="CI174" s="134"/>
      <c r="CJ174" s="134"/>
      <c r="CK174" s="134"/>
      <c r="CL174" s="134"/>
      <c r="CM174" s="134"/>
      <c r="CN174" s="134"/>
      <c r="CO174" s="300"/>
      <c r="CP174" s="301"/>
      <c r="CQ174" s="134"/>
      <c r="CR174" s="134"/>
      <c r="CS174" s="134"/>
      <c r="CT174" s="134"/>
      <c r="CU174" s="134"/>
      <c r="CV174" s="134"/>
      <c r="CW174" s="134"/>
      <c r="CX174" s="134"/>
      <c r="CY174" s="300"/>
      <c r="CZ174" s="301"/>
      <c r="DA174" s="276"/>
      <c r="DB174" s="277"/>
      <c r="DC174" s="134"/>
      <c r="DD174" s="134"/>
      <c r="DE174" s="134"/>
      <c r="DF174" s="134"/>
      <c r="DG174" s="138"/>
      <c r="DH174" s="134"/>
      <c r="DI174" s="134"/>
      <c r="DJ174" s="134"/>
      <c r="DK174" s="301"/>
      <c r="DL174" s="301"/>
      <c r="DM174" s="134"/>
      <c r="DN174" s="134"/>
      <c r="DO174" s="134"/>
      <c r="DP174" s="134"/>
      <c r="DQ174" s="134"/>
      <c r="DR174" s="134"/>
      <c r="DS174" s="134"/>
      <c r="DT174" s="134"/>
      <c r="DU174" s="301"/>
      <c r="DV174" s="301"/>
      <c r="DW174" s="277"/>
      <c r="DX174" s="134"/>
      <c r="DY174" s="134"/>
      <c r="DZ174" s="134"/>
      <c r="EA174" s="134"/>
      <c r="EB174" s="134"/>
      <c r="EC174" s="134"/>
      <c r="ED174" s="134"/>
      <c r="EE174" s="134"/>
      <c r="EF174" s="301"/>
      <c r="EG174" s="301"/>
      <c r="EH174" s="134"/>
      <c r="EI174" s="134"/>
      <c r="EJ174" s="134"/>
      <c r="EK174" s="134"/>
    </row>
    <row r="175" spans="1:141">
      <c r="A175" s="79" t="s">
        <v>145</v>
      </c>
      <c r="B175" s="117">
        <v>111</v>
      </c>
      <c r="C175" s="123" t="s">
        <v>1952</v>
      </c>
      <c r="D175" s="124" t="s">
        <v>2172</v>
      </c>
      <c r="E175" s="125">
        <v>2001</v>
      </c>
      <c r="F175" s="79">
        <v>11469166</v>
      </c>
      <c r="G175" s="79">
        <v>1</v>
      </c>
      <c r="H175" s="126"/>
      <c r="I175" s="127"/>
      <c r="J175" s="79">
        <v>1</v>
      </c>
      <c r="K175" s="79"/>
      <c r="L175" s="79">
        <v>1</v>
      </c>
      <c r="M175" s="128">
        <v>1</v>
      </c>
      <c r="N175" s="79" t="s">
        <v>452</v>
      </c>
      <c r="O175" s="79"/>
      <c r="P175" s="79" t="s">
        <v>25</v>
      </c>
      <c r="Q175" s="79">
        <v>1</v>
      </c>
      <c r="R175" s="79"/>
      <c r="S175" s="79"/>
      <c r="T175" s="79"/>
      <c r="U175" s="79" t="s">
        <v>24</v>
      </c>
      <c r="V175" s="79"/>
      <c r="W175" s="79"/>
      <c r="X175" s="79"/>
      <c r="Y175" s="79"/>
      <c r="Z175" s="79"/>
      <c r="AA175" s="154"/>
      <c r="AB175" s="155"/>
      <c r="AC175" s="121">
        <v>2</v>
      </c>
      <c r="AD175" s="202"/>
      <c r="AE175" s="192"/>
      <c r="AF175" s="203"/>
      <c r="AG175" s="121"/>
      <c r="AH175" s="121"/>
      <c r="AI175" s="121"/>
      <c r="AJ175" s="121"/>
      <c r="AK175" s="121"/>
      <c r="AL175" s="121"/>
      <c r="AM175" s="121"/>
      <c r="AN175" s="121"/>
      <c r="AO175" s="121"/>
      <c r="AP175" s="121"/>
      <c r="AQ175" s="121"/>
      <c r="AR175" s="121"/>
      <c r="AS175" s="121"/>
      <c r="AT175" s="121"/>
      <c r="AU175" s="121"/>
      <c r="AV175" s="156"/>
      <c r="AW175" s="156"/>
      <c r="AX175" s="156"/>
      <c r="AY175" s="156"/>
      <c r="AZ175" s="156">
        <v>1</v>
      </c>
      <c r="BA175" s="156"/>
      <c r="BB175" s="156"/>
      <c r="BC175" s="156"/>
      <c r="BD175" s="157"/>
      <c r="BE175" s="134"/>
      <c r="BF175" s="134"/>
      <c r="BG175" s="134"/>
      <c r="BH175" s="134"/>
      <c r="BI175" s="134"/>
      <c r="BJ175" s="259"/>
      <c r="BK175" s="138"/>
      <c r="BL175" s="134"/>
      <c r="BM175" s="134"/>
      <c r="BN175" s="134"/>
      <c r="BO175" s="138"/>
      <c r="BP175" s="134"/>
      <c r="BQ175" s="134"/>
      <c r="BR175" s="134"/>
      <c r="BS175" s="288"/>
      <c r="BT175" s="289"/>
      <c r="BU175" s="138"/>
      <c r="BV175" s="134"/>
      <c r="BW175" s="134"/>
      <c r="BX175" s="134"/>
      <c r="BY175" s="138"/>
      <c r="BZ175" s="134"/>
      <c r="CA175" s="134"/>
      <c r="CB175" s="134"/>
      <c r="CC175" s="288"/>
      <c r="CD175" s="289"/>
      <c r="CE175" s="276"/>
      <c r="CF175" s="308"/>
      <c r="CG175" s="138"/>
      <c r="CH175" s="134"/>
      <c r="CI175" s="134"/>
      <c r="CJ175" s="134"/>
      <c r="CK175" s="134"/>
      <c r="CL175" s="134"/>
      <c r="CM175" s="134"/>
      <c r="CN175" s="134"/>
      <c r="CO175" s="300"/>
      <c r="CP175" s="301"/>
      <c r="CQ175" s="134"/>
      <c r="CR175" s="134"/>
      <c r="CS175" s="134"/>
      <c r="CT175" s="134"/>
      <c r="CU175" s="134"/>
      <c r="CV175" s="134"/>
      <c r="CW175" s="134"/>
      <c r="CX175" s="134"/>
      <c r="CY175" s="300"/>
      <c r="CZ175" s="301"/>
      <c r="DA175" s="276"/>
      <c r="DB175" s="277"/>
      <c r="DC175" s="134"/>
      <c r="DD175" s="134"/>
      <c r="DE175" s="134"/>
      <c r="DF175" s="134"/>
      <c r="DG175" s="138"/>
      <c r="DH175" s="134"/>
      <c r="DI175" s="134"/>
      <c r="DJ175" s="134"/>
      <c r="DK175" s="301"/>
      <c r="DL175" s="301"/>
      <c r="DM175" s="134"/>
      <c r="DN175" s="134"/>
      <c r="DO175" s="134"/>
      <c r="DP175" s="134"/>
      <c r="DQ175" s="134"/>
      <c r="DR175" s="134"/>
      <c r="DS175" s="134"/>
      <c r="DT175" s="134"/>
      <c r="DU175" s="301"/>
      <c r="DV175" s="301"/>
      <c r="DW175" s="277"/>
      <c r="DX175" s="134"/>
      <c r="DY175" s="134"/>
      <c r="DZ175" s="134"/>
      <c r="EA175" s="134"/>
      <c r="EB175" s="134"/>
      <c r="EC175" s="134"/>
      <c r="ED175" s="134"/>
      <c r="EE175" s="134"/>
      <c r="EF175" s="301"/>
      <c r="EG175" s="301"/>
      <c r="EH175" s="134"/>
      <c r="EI175" s="134"/>
      <c r="EJ175" s="134"/>
      <c r="EK175" s="134"/>
    </row>
    <row r="176" spans="1:141">
      <c r="A176" s="79" t="s">
        <v>146</v>
      </c>
      <c r="B176" s="117">
        <v>112</v>
      </c>
      <c r="C176" s="123" t="s">
        <v>1952</v>
      </c>
      <c r="D176" s="124" t="s">
        <v>2173</v>
      </c>
      <c r="E176" s="125">
        <v>2007</v>
      </c>
      <c r="F176" s="79">
        <v>17509537</v>
      </c>
      <c r="G176" s="79">
        <v>1</v>
      </c>
      <c r="H176" s="126"/>
      <c r="I176" s="127"/>
      <c r="J176" s="79">
        <v>1</v>
      </c>
      <c r="K176" s="79"/>
      <c r="L176" s="79">
        <v>1</v>
      </c>
      <c r="M176" s="128">
        <v>1</v>
      </c>
      <c r="N176" s="79" t="s">
        <v>453</v>
      </c>
      <c r="O176" s="79" t="s">
        <v>1147</v>
      </c>
      <c r="P176" s="79" t="s">
        <v>25</v>
      </c>
      <c r="Q176" s="79">
        <v>1</v>
      </c>
      <c r="R176" s="79"/>
      <c r="S176" s="79"/>
      <c r="T176" s="79"/>
      <c r="U176" s="79" t="s">
        <v>454</v>
      </c>
      <c r="V176" s="79" t="s">
        <v>56</v>
      </c>
      <c r="W176" s="79"/>
      <c r="X176" s="79"/>
      <c r="Y176" s="79"/>
      <c r="Z176" s="79"/>
      <c r="AA176" s="154"/>
      <c r="AB176" s="155"/>
      <c r="AC176" s="121">
        <v>2</v>
      </c>
      <c r="AD176" s="202"/>
      <c r="AE176" s="192"/>
      <c r="AF176" s="203"/>
      <c r="AG176" s="121"/>
      <c r="AH176" s="121"/>
      <c r="AI176" s="121"/>
      <c r="AJ176" s="121"/>
      <c r="AK176" s="121"/>
      <c r="AL176" s="121"/>
      <c r="AM176" s="121"/>
      <c r="AN176" s="121"/>
      <c r="AO176" s="121"/>
      <c r="AP176" s="121"/>
      <c r="AQ176" s="121"/>
      <c r="AR176" s="121"/>
      <c r="AS176" s="121"/>
      <c r="AT176" s="121"/>
      <c r="AU176" s="121"/>
      <c r="AV176" s="156"/>
      <c r="AW176" s="156"/>
      <c r="AX176" s="156"/>
      <c r="AY176" s="156"/>
      <c r="AZ176" s="156">
        <v>1</v>
      </c>
      <c r="BA176" s="156"/>
      <c r="BB176" s="156"/>
      <c r="BC176" s="156"/>
      <c r="BD176" s="157"/>
      <c r="BE176" s="134"/>
      <c r="BF176" s="134"/>
      <c r="BG176" s="134"/>
      <c r="BH176" s="134"/>
      <c r="BI176" s="134"/>
      <c r="BJ176" s="259"/>
      <c r="BK176" s="138"/>
      <c r="BL176" s="134"/>
      <c r="BM176" s="134"/>
      <c r="BN176" s="134"/>
      <c r="BO176" s="138"/>
      <c r="BP176" s="134"/>
      <c r="BQ176" s="134"/>
      <c r="BR176" s="134"/>
      <c r="BS176" s="288"/>
      <c r="BT176" s="289"/>
      <c r="BU176" s="138"/>
      <c r="BV176" s="134"/>
      <c r="BW176" s="134"/>
      <c r="BX176" s="134"/>
      <c r="BY176" s="138"/>
      <c r="BZ176" s="134"/>
      <c r="CA176" s="134"/>
      <c r="CB176" s="134"/>
      <c r="CC176" s="288"/>
      <c r="CD176" s="289"/>
      <c r="CE176" s="276"/>
      <c r="CF176" s="308"/>
      <c r="CG176" s="138"/>
      <c r="CH176" s="134"/>
      <c r="CI176" s="134"/>
      <c r="CJ176" s="134"/>
      <c r="CK176" s="134"/>
      <c r="CL176" s="134"/>
      <c r="CM176" s="134"/>
      <c r="CN176" s="134"/>
      <c r="CO176" s="300"/>
      <c r="CP176" s="301"/>
      <c r="CQ176" s="134"/>
      <c r="CR176" s="134"/>
      <c r="CS176" s="134"/>
      <c r="CT176" s="134"/>
      <c r="CU176" s="134"/>
      <c r="CV176" s="134"/>
      <c r="CW176" s="134"/>
      <c r="CX176" s="134"/>
      <c r="CY176" s="300"/>
      <c r="CZ176" s="301"/>
      <c r="DA176" s="276"/>
      <c r="DB176" s="277"/>
      <c r="DC176" s="134"/>
      <c r="DD176" s="134"/>
      <c r="DE176" s="134"/>
      <c r="DF176" s="134"/>
      <c r="DG176" s="138"/>
      <c r="DH176" s="134"/>
      <c r="DI176" s="134"/>
      <c r="DJ176" s="134"/>
      <c r="DK176" s="301"/>
      <c r="DL176" s="301"/>
      <c r="DM176" s="134"/>
      <c r="DN176" s="134"/>
      <c r="DO176" s="134"/>
      <c r="DP176" s="134"/>
      <c r="DQ176" s="134"/>
      <c r="DR176" s="134"/>
      <c r="DS176" s="134"/>
      <c r="DT176" s="134"/>
      <c r="DU176" s="301"/>
      <c r="DV176" s="301"/>
      <c r="DW176" s="277"/>
      <c r="DX176" s="134"/>
      <c r="DY176" s="134"/>
      <c r="DZ176" s="134"/>
      <c r="EA176" s="134"/>
      <c r="EB176" s="134"/>
      <c r="EC176" s="134"/>
      <c r="ED176" s="134"/>
      <c r="EE176" s="134"/>
      <c r="EF176" s="301"/>
      <c r="EG176" s="301"/>
      <c r="EH176" s="134"/>
      <c r="EI176" s="134"/>
      <c r="EJ176" s="134"/>
      <c r="EK176" s="134"/>
    </row>
    <row r="177" spans="1:141">
      <c r="A177" s="79" t="s">
        <v>148</v>
      </c>
      <c r="B177" s="117">
        <v>113</v>
      </c>
      <c r="C177" s="123" t="s">
        <v>1953</v>
      </c>
      <c r="D177" s="124" t="s">
        <v>2174</v>
      </c>
      <c r="E177" s="125">
        <v>2006</v>
      </c>
      <c r="F177" s="79">
        <v>16891562</v>
      </c>
      <c r="G177" s="79">
        <v>1</v>
      </c>
      <c r="H177" s="126"/>
      <c r="I177" s="127"/>
      <c r="J177" s="79">
        <v>1</v>
      </c>
      <c r="K177" s="79"/>
      <c r="L177" s="79">
        <v>1</v>
      </c>
      <c r="M177" s="128">
        <v>1</v>
      </c>
      <c r="N177" s="79" t="s">
        <v>457</v>
      </c>
      <c r="O177" s="79" t="s">
        <v>1147</v>
      </c>
      <c r="P177" s="79" t="s">
        <v>459</v>
      </c>
      <c r="Q177" s="79">
        <v>0</v>
      </c>
      <c r="R177" s="79"/>
      <c r="S177" s="79"/>
      <c r="T177" s="79"/>
      <c r="U177" s="79" t="s">
        <v>458</v>
      </c>
      <c r="V177" s="79"/>
      <c r="W177" s="79"/>
      <c r="X177" s="79"/>
      <c r="Y177" s="79"/>
      <c r="Z177" s="79"/>
      <c r="AA177" s="154"/>
      <c r="AB177" s="155"/>
      <c r="AC177" s="121"/>
      <c r="AD177" s="202"/>
      <c r="AE177" s="192"/>
      <c r="AF177" s="203"/>
      <c r="AG177" s="121"/>
      <c r="AH177" s="121"/>
      <c r="AI177" s="121"/>
      <c r="AJ177" s="121"/>
      <c r="AK177" s="121"/>
      <c r="AL177" s="121"/>
      <c r="AM177" s="121"/>
      <c r="AN177" s="121"/>
      <c r="AO177" s="121"/>
      <c r="AP177" s="121"/>
      <c r="AQ177" s="121"/>
      <c r="AR177" s="121"/>
      <c r="AS177" s="121"/>
      <c r="AT177" s="121"/>
      <c r="AU177" s="121"/>
      <c r="AV177" s="156"/>
      <c r="AW177" s="156"/>
      <c r="AX177" s="156"/>
      <c r="AY177" s="156"/>
      <c r="AZ177" s="156">
        <v>1</v>
      </c>
      <c r="BA177" s="156"/>
      <c r="BB177" s="156"/>
      <c r="BC177" s="156"/>
      <c r="BD177" s="157"/>
      <c r="BE177" s="134"/>
      <c r="BF177" s="134"/>
      <c r="BG177" s="134"/>
      <c r="BH177" s="134"/>
      <c r="BI177" s="134"/>
      <c r="BJ177" s="259"/>
      <c r="BK177" s="138"/>
      <c r="BL177" s="134"/>
      <c r="BM177" s="134"/>
      <c r="BN177" s="134"/>
      <c r="BO177" s="138"/>
      <c r="BP177" s="134"/>
      <c r="BQ177" s="134"/>
      <c r="BR177" s="134"/>
      <c r="BS177" s="288"/>
      <c r="BT177" s="289"/>
      <c r="BU177" s="138"/>
      <c r="BV177" s="134"/>
      <c r="BW177" s="134"/>
      <c r="BX177" s="134"/>
      <c r="BY177" s="138"/>
      <c r="BZ177" s="134"/>
      <c r="CA177" s="134"/>
      <c r="CB177" s="134"/>
      <c r="CC177" s="288"/>
      <c r="CD177" s="289"/>
      <c r="CE177" s="276"/>
      <c r="CF177" s="308"/>
      <c r="CG177" s="138"/>
      <c r="CH177" s="134"/>
      <c r="CI177" s="134"/>
      <c r="CJ177" s="134"/>
      <c r="CK177" s="134"/>
      <c r="CL177" s="134"/>
      <c r="CM177" s="134"/>
      <c r="CN177" s="134"/>
      <c r="CO177" s="300"/>
      <c r="CP177" s="301"/>
      <c r="CQ177" s="134"/>
      <c r="CR177" s="134"/>
      <c r="CS177" s="134"/>
      <c r="CT177" s="134"/>
      <c r="CU177" s="134"/>
      <c r="CV177" s="134"/>
      <c r="CW177" s="134"/>
      <c r="CX177" s="134"/>
      <c r="CY177" s="300"/>
      <c r="CZ177" s="301"/>
      <c r="DA177" s="276"/>
      <c r="DB177" s="277"/>
      <c r="DC177" s="134"/>
      <c r="DD177" s="134"/>
      <c r="DE177" s="134"/>
      <c r="DF177" s="134"/>
      <c r="DG177" s="138"/>
      <c r="DH177" s="134"/>
      <c r="DI177" s="134"/>
      <c r="DJ177" s="134"/>
      <c r="DK177" s="301"/>
      <c r="DL177" s="301"/>
      <c r="DM177" s="134"/>
      <c r="DN177" s="134"/>
      <c r="DO177" s="134"/>
      <c r="DP177" s="134"/>
      <c r="DQ177" s="134"/>
      <c r="DR177" s="134"/>
      <c r="DS177" s="134"/>
      <c r="DT177" s="134"/>
      <c r="DU177" s="301"/>
      <c r="DV177" s="301"/>
      <c r="DW177" s="277"/>
      <c r="DX177" s="134"/>
      <c r="DY177" s="134"/>
      <c r="DZ177" s="134"/>
      <c r="EA177" s="134"/>
      <c r="EB177" s="134"/>
      <c r="EC177" s="134"/>
      <c r="ED177" s="134"/>
      <c r="EE177" s="134"/>
      <c r="EF177" s="301"/>
      <c r="EG177" s="301"/>
      <c r="EH177" s="134"/>
      <c r="EI177" s="134"/>
      <c r="EJ177" s="134"/>
      <c r="EK177" s="134"/>
    </row>
    <row r="178" spans="1:141">
      <c r="A178" s="79" t="s">
        <v>1063</v>
      </c>
      <c r="B178" s="117">
        <v>114</v>
      </c>
      <c r="C178" s="123" t="s">
        <v>2071</v>
      </c>
      <c r="D178" s="124" t="s">
        <v>2323</v>
      </c>
      <c r="E178" s="125">
        <v>2012</v>
      </c>
      <c r="F178" s="79">
        <v>22701407</v>
      </c>
      <c r="G178" s="79">
        <v>1</v>
      </c>
      <c r="H178" s="126"/>
      <c r="I178" s="127"/>
      <c r="J178" s="79">
        <v>1</v>
      </c>
      <c r="K178" s="79"/>
      <c r="L178" s="79">
        <v>1</v>
      </c>
      <c r="M178" s="128">
        <v>2</v>
      </c>
      <c r="N178" s="79" t="s">
        <v>1258</v>
      </c>
      <c r="O178" s="79" t="s">
        <v>1147</v>
      </c>
      <c r="P178" s="79" t="s">
        <v>1321</v>
      </c>
      <c r="Q178" s="79"/>
      <c r="R178" s="79" t="s">
        <v>1495</v>
      </c>
      <c r="S178" s="79"/>
      <c r="T178" s="79"/>
      <c r="U178" s="79" t="s">
        <v>1681</v>
      </c>
      <c r="V178" s="79"/>
      <c r="W178" s="79"/>
      <c r="X178" s="79"/>
      <c r="Y178" s="79"/>
      <c r="Z178" s="79"/>
      <c r="AA178" s="154"/>
      <c r="AB178" s="155"/>
      <c r="AC178" s="121">
        <v>4</v>
      </c>
      <c r="AD178" s="202"/>
      <c r="AE178" s="192"/>
      <c r="AF178" s="203"/>
      <c r="AG178" s="121"/>
      <c r="AH178" s="121"/>
      <c r="AI178" s="121"/>
      <c r="AJ178" s="121"/>
      <c r="AK178" s="121"/>
      <c r="AL178" s="121"/>
      <c r="AM178" s="121"/>
      <c r="AN178" s="121"/>
      <c r="AO178" s="121"/>
      <c r="AP178" s="121"/>
      <c r="AQ178" s="121"/>
      <c r="AR178" s="121"/>
      <c r="AS178" s="121"/>
      <c r="AT178" s="121"/>
      <c r="AU178" s="121"/>
      <c r="AV178" s="156"/>
      <c r="AW178" s="156"/>
      <c r="AX178" s="156"/>
      <c r="AY178" s="156"/>
      <c r="AZ178" s="156">
        <v>1</v>
      </c>
      <c r="BA178" s="156"/>
      <c r="BB178" s="156"/>
      <c r="BC178" s="156"/>
      <c r="BD178" s="157"/>
      <c r="BE178" s="134"/>
      <c r="BF178" s="134"/>
      <c r="BG178" s="134"/>
      <c r="BH178" s="134"/>
      <c r="BI178" s="134"/>
      <c r="BJ178" s="259"/>
      <c r="BK178" s="138"/>
      <c r="BL178" s="134"/>
      <c r="BM178" s="134"/>
      <c r="BN178" s="134"/>
      <c r="BO178" s="138"/>
      <c r="BP178" s="134"/>
      <c r="BQ178" s="134"/>
      <c r="BR178" s="134"/>
      <c r="BS178" s="288"/>
      <c r="BT178" s="289"/>
      <c r="BU178" s="138"/>
      <c r="BV178" s="134"/>
      <c r="BW178" s="134"/>
      <c r="BX178" s="134"/>
      <c r="BY178" s="138"/>
      <c r="BZ178" s="134"/>
      <c r="CA178" s="134"/>
      <c r="CB178" s="134"/>
      <c r="CC178" s="288"/>
      <c r="CD178" s="289"/>
      <c r="CE178" s="276"/>
      <c r="CF178" s="308"/>
      <c r="CG178" s="138"/>
      <c r="CH178" s="134"/>
      <c r="CI178" s="134"/>
      <c r="CJ178" s="134"/>
      <c r="CK178" s="134"/>
      <c r="CL178" s="134"/>
      <c r="CM178" s="134"/>
      <c r="CN178" s="134"/>
      <c r="CO178" s="300"/>
      <c r="CP178" s="301"/>
      <c r="CQ178" s="134"/>
      <c r="CR178" s="134"/>
      <c r="CS178" s="134"/>
      <c r="CT178" s="134"/>
      <c r="CU178" s="134"/>
      <c r="CV178" s="134"/>
      <c r="CW178" s="134"/>
      <c r="CX178" s="134"/>
      <c r="CY178" s="300"/>
      <c r="CZ178" s="301"/>
      <c r="DA178" s="276"/>
      <c r="DB178" s="277"/>
      <c r="DC178" s="134"/>
      <c r="DD178" s="134"/>
      <c r="DE178" s="134"/>
      <c r="DF178" s="134"/>
      <c r="DG178" s="138"/>
      <c r="DH178" s="134"/>
      <c r="DI178" s="134"/>
      <c r="DJ178" s="134"/>
      <c r="DK178" s="301"/>
      <c r="DL178" s="301"/>
      <c r="DM178" s="134"/>
      <c r="DN178" s="134"/>
      <c r="DO178" s="134"/>
      <c r="DP178" s="134"/>
      <c r="DQ178" s="134"/>
      <c r="DR178" s="134"/>
      <c r="DS178" s="134"/>
      <c r="DT178" s="134"/>
      <c r="DU178" s="301"/>
      <c r="DV178" s="301"/>
      <c r="DW178" s="277"/>
      <c r="DX178" s="134"/>
      <c r="DY178" s="134"/>
      <c r="DZ178" s="134"/>
      <c r="EA178" s="134"/>
      <c r="EB178" s="134"/>
      <c r="EC178" s="134"/>
      <c r="ED178" s="134"/>
      <c r="EE178" s="134"/>
      <c r="EF178" s="301"/>
      <c r="EG178" s="301"/>
      <c r="EH178" s="134"/>
      <c r="EI178" s="134"/>
      <c r="EJ178" s="134"/>
      <c r="EK178" s="134"/>
    </row>
    <row r="179" spans="1:141">
      <c r="A179" s="79" t="s">
        <v>151</v>
      </c>
      <c r="B179" s="117">
        <v>115</v>
      </c>
      <c r="C179" s="123" t="s">
        <v>1954</v>
      </c>
      <c r="D179" s="124" t="s">
        <v>2175</v>
      </c>
      <c r="E179" s="125">
        <v>2016</v>
      </c>
      <c r="F179" s="79">
        <v>26220415</v>
      </c>
      <c r="G179" s="79">
        <v>1</v>
      </c>
      <c r="H179" s="126"/>
      <c r="I179" s="127"/>
      <c r="J179" s="79">
        <v>1</v>
      </c>
      <c r="K179" s="79"/>
      <c r="L179" s="79">
        <v>1</v>
      </c>
      <c r="M179" s="128">
        <v>1</v>
      </c>
      <c r="N179" s="79" t="s">
        <v>465</v>
      </c>
      <c r="O179" s="79" t="s">
        <v>1153</v>
      </c>
      <c r="P179" s="79" t="s">
        <v>466</v>
      </c>
      <c r="Q179" s="79">
        <v>1</v>
      </c>
      <c r="R179" s="79"/>
      <c r="S179" s="79"/>
      <c r="T179" s="79"/>
      <c r="U179" s="79" t="s">
        <v>465</v>
      </c>
      <c r="V179" s="79" t="s">
        <v>24</v>
      </c>
      <c r="W179" s="79"/>
      <c r="X179" s="79"/>
      <c r="Y179" s="79"/>
      <c r="Z179" s="79" t="s">
        <v>467</v>
      </c>
      <c r="AA179" s="154"/>
      <c r="AB179" s="155"/>
      <c r="AC179" s="121">
        <v>2</v>
      </c>
      <c r="AD179" s="202"/>
      <c r="AE179" s="192"/>
      <c r="AF179" s="203"/>
      <c r="AG179" s="121"/>
      <c r="AH179" s="121"/>
      <c r="AI179" s="121"/>
      <c r="AJ179" s="121"/>
      <c r="AK179" s="121"/>
      <c r="AL179" s="121"/>
      <c r="AM179" s="121"/>
      <c r="AN179" s="121"/>
      <c r="AO179" s="121"/>
      <c r="AP179" s="121"/>
      <c r="AQ179" s="121"/>
      <c r="AR179" s="121"/>
      <c r="AS179" s="121"/>
      <c r="AT179" s="121"/>
      <c r="AU179" s="121"/>
      <c r="AV179" s="156"/>
      <c r="AW179" s="156"/>
      <c r="AX179" s="156"/>
      <c r="AY179" s="156"/>
      <c r="AZ179" s="156">
        <v>1</v>
      </c>
      <c r="BA179" s="156">
        <v>1</v>
      </c>
      <c r="BB179" s="156"/>
      <c r="BC179" s="156"/>
      <c r="BD179" s="157"/>
      <c r="BE179" s="134"/>
      <c r="BF179" s="134"/>
      <c r="BG179" s="134"/>
      <c r="BH179" s="134"/>
      <c r="BI179" s="134"/>
      <c r="BJ179" s="259"/>
      <c r="BK179" s="138"/>
      <c r="BL179" s="134"/>
      <c r="BM179" s="134"/>
      <c r="BN179" s="134"/>
      <c r="BO179" s="138"/>
      <c r="BP179" s="134"/>
      <c r="BQ179" s="134"/>
      <c r="BR179" s="134"/>
      <c r="BS179" s="288"/>
      <c r="BT179" s="289"/>
      <c r="BU179" s="138"/>
      <c r="BV179" s="134"/>
      <c r="BW179" s="134"/>
      <c r="BX179" s="134"/>
      <c r="BY179" s="138"/>
      <c r="BZ179" s="134"/>
      <c r="CA179" s="134"/>
      <c r="CB179" s="134"/>
      <c r="CC179" s="288"/>
      <c r="CD179" s="289"/>
      <c r="CE179" s="276"/>
      <c r="CF179" s="308"/>
      <c r="CG179" s="138"/>
      <c r="CH179" s="134"/>
      <c r="CI179" s="134"/>
      <c r="CJ179" s="134"/>
      <c r="CK179" s="134"/>
      <c r="CL179" s="134"/>
      <c r="CM179" s="134"/>
      <c r="CN179" s="134"/>
      <c r="CO179" s="300"/>
      <c r="CP179" s="301"/>
      <c r="CQ179" s="134"/>
      <c r="CR179" s="134"/>
      <c r="CS179" s="134"/>
      <c r="CT179" s="134"/>
      <c r="CU179" s="134"/>
      <c r="CV179" s="134"/>
      <c r="CW179" s="134"/>
      <c r="CX179" s="134"/>
      <c r="CY179" s="300"/>
      <c r="CZ179" s="301"/>
      <c r="DA179" s="276"/>
      <c r="DB179" s="277"/>
      <c r="DC179" s="134"/>
      <c r="DD179" s="134"/>
      <c r="DE179" s="134"/>
      <c r="DF179" s="134"/>
      <c r="DG179" s="138"/>
      <c r="DH179" s="134"/>
      <c r="DI179" s="134"/>
      <c r="DJ179" s="134"/>
      <c r="DK179" s="301"/>
      <c r="DL179" s="301"/>
      <c r="DM179" s="134"/>
      <c r="DN179" s="134"/>
      <c r="DO179" s="134"/>
      <c r="DP179" s="134"/>
      <c r="DQ179" s="134"/>
      <c r="DR179" s="134"/>
      <c r="DS179" s="134"/>
      <c r="DT179" s="134"/>
      <c r="DU179" s="301"/>
      <c r="DV179" s="301"/>
      <c r="DW179" s="277"/>
      <c r="DX179" s="134"/>
      <c r="DY179" s="134"/>
      <c r="DZ179" s="134"/>
      <c r="EA179" s="134"/>
      <c r="EB179" s="134"/>
      <c r="EC179" s="134"/>
      <c r="ED179" s="134"/>
      <c r="EE179" s="134"/>
      <c r="EF179" s="301"/>
      <c r="EG179" s="301"/>
      <c r="EH179" s="134"/>
      <c r="EI179" s="134"/>
      <c r="EJ179" s="134"/>
      <c r="EK179" s="134"/>
    </row>
    <row r="180" spans="1:141">
      <c r="A180" s="79" t="s">
        <v>154</v>
      </c>
      <c r="B180" s="117">
        <v>116</v>
      </c>
      <c r="C180" s="123" t="s">
        <v>1956</v>
      </c>
      <c r="D180" s="124" t="s">
        <v>2178</v>
      </c>
      <c r="E180" s="125">
        <v>2007</v>
      </c>
      <c r="F180" s="79">
        <v>18037391</v>
      </c>
      <c r="G180" s="79">
        <v>1</v>
      </c>
      <c r="H180" s="126"/>
      <c r="I180" s="127"/>
      <c r="J180" s="79">
        <v>1</v>
      </c>
      <c r="K180" s="79"/>
      <c r="L180" s="164">
        <v>1</v>
      </c>
      <c r="M180" s="128">
        <v>1</v>
      </c>
      <c r="N180" s="79" t="s">
        <v>449</v>
      </c>
      <c r="O180" s="79"/>
      <c r="P180" s="79" t="s">
        <v>471</v>
      </c>
      <c r="Q180" s="79">
        <v>0</v>
      </c>
      <c r="R180" s="79"/>
      <c r="S180" s="79"/>
      <c r="T180" s="79"/>
      <c r="U180" s="79" t="s">
        <v>24</v>
      </c>
      <c r="V180" s="79"/>
      <c r="W180" s="79" t="s">
        <v>23</v>
      </c>
      <c r="X180" s="79"/>
      <c r="Y180" s="79"/>
      <c r="Z180" s="79" t="s">
        <v>470</v>
      </c>
      <c r="AA180" s="154"/>
      <c r="AB180" s="155"/>
      <c r="AC180" s="121"/>
      <c r="AD180" s="202"/>
      <c r="AE180" s="192"/>
      <c r="AF180" s="203"/>
      <c r="AG180" s="121"/>
      <c r="AH180" s="121"/>
      <c r="AI180" s="121"/>
      <c r="AJ180" s="121"/>
      <c r="AK180" s="121"/>
      <c r="AL180" s="121"/>
      <c r="AM180" s="121"/>
      <c r="AN180" s="121"/>
      <c r="AO180" s="121"/>
      <c r="AP180" s="121"/>
      <c r="AQ180" s="121"/>
      <c r="AR180" s="121"/>
      <c r="AS180" s="121"/>
      <c r="AT180" s="121"/>
      <c r="AU180" s="121"/>
      <c r="AV180" s="156"/>
      <c r="AW180" s="156"/>
      <c r="AX180" s="156"/>
      <c r="AY180" s="156"/>
      <c r="AZ180" s="156"/>
      <c r="BA180" s="156"/>
      <c r="BB180" s="156"/>
      <c r="BC180" s="156"/>
      <c r="BD180" s="157"/>
      <c r="BE180" s="134"/>
      <c r="BF180" s="134"/>
      <c r="BG180" s="134"/>
      <c r="BH180" s="134"/>
      <c r="BI180" s="134"/>
      <c r="BJ180" s="259"/>
      <c r="BK180" s="138"/>
      <c r="BL180" s="134"/>
      <c r="BM180" s="134"/>
      <c r="BN180" s="134"/>
      <c r="BO180" s="138"/>
      <c r="BP180" s="134"/>
      <c r="BQ180" s="134"/>
      <c r="BR180" s="134"/>
      <c r="BS180" s="288"/>
      <c r="BT180" s="289"/>
      <c r="BU180" s="138"/>
      <c r="BV180" s="134"/>
      <c r="BW180" s="134"/>
      <c r="BX180" s="134"/>
      <c r="BY180" s="138"/>
      <c r="BZ180" s="134"/>
      <c r="CA180" s="134"/>
      <c r="CB180" s="134"/>
      <c r="CC180" s="288"/>
      <c r="CD180" s="289"/>
      <c r="CE180" s="276"/>
      <c r="CF180" s="308"/>
      <c r="CG180" s="138"/>
      <c r="CH180" s="134"/>
      <c r="CI180" s="134"/>
      <c r="CJ180" s="134"/>
      <c r="CK180" s="134"/>
      <c r="CL180" s="134"/>
      <c r="CM180" s="134"/>
      <c r="CN180" s="134"/>
      <c r="CO180" s="300"/>
      <c r="CP180" s="301"/>
      <c r="CQ180" s="134"/>
      <c r="CR180" s="134"/>
      <c r="CS180" s="134"/>
      <c r="CT180" s="134"/>
      <c r="CU180" s="134"/>
      <c r="CV180" s="134"/>
      <c r="CW180" s="134"/>
      <c r="CX180" s="134"/>
      <c r="CY180" s="300"/>
      <c r="CZ180" s="301"/>
      <c r="DA180" s="276"/>
      <c r="DB180" s="277"/>
      <c r="DC180" s="134"/>
      <c r="DD180" s="134"/>
      <c r="DE180" s="134"/>
      <c r="DF180" s="134"/>
      <c r="DG180" s="138"/>
      <c r="DH180" s="134"/>
      <c r="DI180" s="134"/>
      <c r="DJ180" s="134"/>
      <c r="DK180" s="301"/>
      <c r="DL180" s="301"/>
      <c r="DM180" s="134"/>
      <c r="DN180" s="134"/>
      <c r="DO180" s="134"/>
      <c r="DP180" s="134"/>
      <c r="DQ180" s="134"/>
      <c r="DR180" s="134"/>
      <c r="DS180" s="134"/>
      <c r="DT180" s="134"/>
      <c r="DU180" s="301"/>
      <c r="DV180" s="301"/>
      <c r="DW180" s="277"/>
      <c r="DX180" s="134"/>
      <c r="DY180" s="134"/>
      <c r="DZ180" s="134"/>
      <c r="EA180" s="134"/>
      <c r="EB180" s="134"/>
      <c r="EC180" s="134"/>
      <c r="ED180" s="134"/>
      <c r="EE180" s="134"/>
      <c r="EF180" s="301"/>
      <c r="EG180" s="301"/>
      <c r="EH180" s="134"/>
      <c r="EI180" s="134"/>
      <c r="EJ180" s="134"/>
      <c r="EK180" s="134"/>
    </row>
    <row r="181" spans="1:141">
      <c r="A181" s="79" t="s">
        <v>156</v>
      </c>
      <c r="B181" s="117">
        <v>117</v>
      </c>
      <c r="C181" s="123" t="s">
        <v>1957</v>
      </c>
      <c r="D181" s="124" t="s">
        <v>2179</v>
      </c>
      <c r="E181" s="125">
        <v>2002</v>
      </c>
      <c r="F181" s="79">
        <v>12450636</v>
      </c>
      <c r="G181" s="79">
        <v>1</v>
      </c>
      <c r="H181" s="126"/>
      <c r="I181" s="127"/>
      <c r="J181" s="79">
        <v>1</v>
      </c>
      <c r="K181" s="79"/>
      <c r="L181" s="79">
        <v>1</v>
      </c>
      <c r="M181" s="128">
        <v>1</v>
      </c>
      <c r="N181" s="79" t="s">
        <v>473</v>
      </c>
      <c r="O181" s="79" t="s">
        <v>1184</v>
      </c>
      <c r="P181" s="79" t="s">
        <v>471</v>
      </c>
      <c r="Q181" s="79">
        <v>0</v>
      </c>
      <c r="R181" s="79"/>
      <c r="S181" s="79"/>
      <c r="T181" s="79"/>
      <c r="U181" s="79" t="s">
        <v>474</v>
      </c>
      <c r="V181" s="79" t="s">
        <v>24</v>
      </c>
      <c r="W181" s="79" t="s">
        <v>24</v>
      </c>
      <c r="X181" s="79"/>
      <c r="Y181" s="79"/>
      <c r="Z181" s="79"/>
      <c r="AA181" s="154"/>
      <c r="AB181" s="155"/>
      <c r="AC181" s="121"/>
      <c r="AD181" s="202"/>
      <c r="AE181" s="192"/>
      <c r="AF181" s="203"/>
      <c r="AG181" s="121"/>
      <c r="AH181" s="121"/>
      <c r="AI181" s="121"/>
      <c r="AJ181" s="121"/>
      <c r="AK181" s="121"/>
      <c r="AL181" s="121"/>
      <c r="AM181" s="121"/>
      <c r="AN181" s="121"/>
      <c r="AO181" s="121"/>
      <c r="AP181" s="121"/>
      <c r="AQ181" s="121"/>
      <c r="AR181" s="121"/>
      <c r="AS181" s="121"/>
      <c r="AT181" s="121"/>
      <c r="AU181" s="121"/>
      <c r="AV181" s="156"/>
      <c r="AW181" s="156"/>
      <c r="AX181" s="156"/>
      <c r="AY181" s="156"/>
      <c r="AZ181" s="156"/>
      <c r="BA181" s="156">
        <v>1</v>
      </c>
      <c r="BB181" s="156"/>
      <c r="BC181" s="156"/>
      <c r="BD181" s="157"/>
      <c r="BE181" s="134"/>
      <c r="BF181" s="134"/>
      <c r="BG181" s="134"/>
      <c r="BH181" s="134"/>
      <c r="BI181" s="134"/>
      <c r="BJ181" s="259"/>
      <c r="BK181" s="138"/>
      <c r="BL181" s="134"/>
      <c r="BM181" s="134"/>
      <c r="BN181" s="134"/>
      <c r="BO181" s="138"/>
      <c r="BP181" s="134"/>
      <c r="BQ181" s="134"/>
      <c r="BR181" s="134"/>
      <c r="BS181" s="288"/>
      <c r="BT181" s="289"/>
      <c r="BU181" s="138"/>
      <c r="BV181" s="134"/>
      <c r="BW181" s="134"/>
      <c r="BX181" s="134"/>
      <c r="BY181" s="138"/>
      <c r="BZ181" s="134"/>
      <c r="CA181" s="134"/>
      <c r="CB181" s="134"/>
      <c r="CC181" s="288"/>
      <c r="CD181" s="289"/>
      <c r="CE181" s="276"/>
      <c r="CF181" s="308"/>
      <c r="CG181" s="138"/>
      <c r="CH181" s="134"/>
      <c r="CI181" s="134"/>
      <c r="CJ181" s="134"/>
      <c r="CK181" s="134"/>
      <c r="CL181" s="134"/>
      <c r="CM181" s="134"/>
      <c r="CN181" s="134"/>
      <c r="CO181" s="300"/>
      <c r="CP181" s="301"/>
      <c r="CQ181" s="134"/>
      <c r="CR181" s="134"/>
      <c r="CS181" s="134"/>
      <c r="CT181" s="134"/>
      <c r="CU181" s="134"/>
      <c r="CV181" s="134"/>
      <c r="CW181" s="134"/>
      <c r="CX181" s="134"/>
      <c r="CY181" s="300"/>
      <c r="CZ181" s="301"/>
      <c r="DA181" s="276"/>
      <c r="DB181" s="277"/>
      <c r="DC181" s="134"/>
      <c r="DD181" s="134"/>
      <c r="DE181" s="134"/>
      <c r="DF181" s="134"/>
      <c r="DG181" s="138"/>
      <c r="DH181" s="134"/>
      <c r="DI181" s="134"/>
      <c r="DJ181" s="134"/>
      <c r="DK181" s="301"/>
      <c r="DL181" s="301"/>
      <c r="DM181" s="134"/>
      <c r="DN181" s="134"/>
      <c r="DO181" s="134"/>
      <c r="DP181" s="134"/>
      <c r="DQ181" s="134"/>
      <c r="DR181" s="134"/>
      <c r="DS181" s="134"/>
      <c r="DT181" s="134"/>
      <c r="DU181" s="301"/>
      <c r="DV181" s="301"/>
      <c r="DW181" s="277"/>
      <c r="DX181" s="134"/>
      <c r="DY181" s="134"/>
      <c r="DZ181" s="134"/>
      <c r="EA181" s="134"/>
      <c r="EB181" s="134"/>
      <c r="EC181" s="134"/>
      <c r="ED181" s="134"/>
      <c r="EE181" s="134"/>
      <c r="EF181" s="301"/>
      <c r="EG181" s="301"/>
      <c r="EH181" s="134"/>
      <c r="EI181" s="134"/>
      <c r="EJ181" s="134"/>
      <c r="EK181" s="134"/>
    </row>
    <row r="182" spans="1:141">
      <c r="A182" s="79" t="s">
        <v>160</v>
      </c>
      <c r="B182" s="117">
        <v>118</v>
      </c>
      <c r="C182" s="123" t="s">
        <v>1958</v>
      </c>
      <c r="D182" s="124" t="s">
        <v>2180</v>
      </c>
      <c r="E182" s="125">
        <v>2012</v>
      </c>
      <c r="F182" s="79">
        <v>23198722</v>
      </c>
      <c r="G182" s="79">
        <v>1</v>
      </c>
      <c r="H182" s="126"/>
      <c r="I182" s="127"/>
      <c r="J182" s="79">
        <v>1</v>
      </c>
      <c r="K182" s="79"/>
      <c r="L182" s="79">
        <v>1</v>
      </c>
      <c r="M182" s="128">
        <v>1</v>
      </c>
      <c r="N182" s="79" t="s">
        <v>484</v>
      </c>
      <c r="O182" s="79" t="s">
        <v>1161</v>
      </c>
      <c r="P182" s="79" t="s">
        <v>483</v>
      </c>
      <c r="Q182" s="79">
        <v>1</v>
      </c>
      <c r="R182" s="79"/>
      <c r="S182" s="79"/>
      <c r="T182" s="79"/>
      <c r="U182" s="79" t="s">
        <v>482</v>
      </c>
      <c r="V182" s="79" t="s">
        <v>480</v>
      </c>
      <c r="W182" s="79"/>
      <c r="X182" s="79"/>
      <c r="Y182" s="79"/>
      <c r="Z182" s="79" t="s">
        <v>481</v>
      </c>
      <c r="AA182" s="154"/>
      <c r="AB182" s="155"/>
      <c r="AC182" s="121"/>
      <c r="AD182" s="202"/>
      <c r="AE182" s="192"/>
      <c r="AF182" s="203"/>
      <c r="AG182" s="121"/>
      <c r="AH182" s="121"/>
      <c r="AI182" s="121"/>
      <c r="AJ182" s="121"/>
      <c r="AK182" s="121"/>
      <c r="AL182" s="121"/>
      <c r="AM182" s="121"/>
      <c r="AN182" s="121"/>
      <c r="AO182" s="121"/>
      <c r="AP182" s="121"/>
      <c r="AQ182" s="121"/>
      <c r="AR182" s="121"/>
      <c r="AS182" s="121"/>
      <c r="AT182" s="121"/>
      <c r="AU182" s="121"/>
      <c r="AV182" s="156"/>
      <c r="AW182" s="156"/>
      <c r="AX182" s="156">
        <v>1</v>
      </c>
      <c r="AY182" s="156"/>
      <c r="AZ182" s="156"/>
      <c r="BA182" s="156"/>
      <c r="BB182" s="156"/>
      <c r="BC182" s="156">
        <v>1</v>
      </c>
      <c r="BD182" s="157"/>
      <c r="BE182" s="134"/>
      <c r="BF182" s="134"/>
      <c r="BG182" s="134"/>
      <c r="BH182" s="134"/>
      <c r="BI182" s="134"/>
      <c r="BJ182" s="259"/>
      <c r="BK182" s="138"/>
      <c r="BL182" s="134"/>
      <c r="BM182" s="134"/>
      <c r="BN182" s="134"/>
      <c r="BO182" s="138"/>
      <c r="BP182" s="134"/>
      <c r="BQ182" s="134"/>
      <c r="BR182" s="134"/>
      <c r="BS182" s="288"/>
      <c r="BT182" s="289"/>
      <c r="BU182" s="138"/>
      <c r="BV182" s="134"/>
      <c r="BW182" s="134"/>
      <c r="BX182" s="134"/>
      <c r="BY182" s="138"/>
      <c r="BZ182" s="134"/>
      <c r="CA182" s="134"/>
      <c r="CB182" s="134"/>
      <c r="CC182" s="288"/>
      <c r="CD182" s="289"/>
      <c r="CE182" s="276"/>
      <c r="CF182" s="308"/>
      <c r="CG182" s="138"/>
      <c r="CH182" s="134"/>
      <c r="CI182" s="134"/>
      <c r="CJ182" s="134"/>
      <c r="CK182" s="134"/>
      <c r="CL182" s="134"/>
      <c r="CM182" s="134"/>
      <c r="CN182" s="134"/>
      <c r="CO182" s="300"/>
      <c r="CP182" s="301"/>
      <c r="CQ182" s="134"/>
      <c r="CR182" s="134"/>
      <c r="CS182" s="134"/>
      <c r="CT182" s="134"/>
      <c r="CU182" s="134"/>
      <c r="CV182" s="134"/>
      <c r="CW182" s="134"/>
      <c r="CX182" s="134"/>
      <c r="CY182" s="300"/>
      <c r="CZ182" s="301"/>
      <c r="DA182" s="276"/>
      <c r="DB182" s="277"/>
      <c r="DC182" s="134"/>
      <c r="DD182" s="134"/>
      <c r="DE182" s="134"/>
      <c r="DF182" s="134"/>
      <c r="DG182" s="138"/>
      <c r="DH182" s="134"/>
      <c r="DI182" s="134"/>
      <c r="DJ182" s="134"/>
      <c r="DK182" s="301"/>
      <c r="DL182" s="301"/>
      <c r="DM182" s="134"/>
      <c r="DN182" s="134"/>
      <c r="DO182" s="134"/>
      <c r="DP182" s="134"/>
      <c r="DQ182" s="134"/>
      <c r="DR182" s="134"/>
      <c r="DS182" s="134"/>
      <c r="DT182" s="134"/>
      <c r="DU182" s="301"/>
      <c r="DV182" s="301"/>
      <c r="DW182" s="277"/>
      <c r="DX182" s="134"/>
      <c r="DY182" s="134"/>
      <c r="DZ182" s="134"/>
      <c r="EA182" s="134"/>
      <c r="EB182" s="134"/>
      <c r="EC182" s="134"/>
      <c r="ED182" s="134"/>
      <c r="EE182" s="134"/>
      <c r="EF182" s="301"/>
      <c r="EG182" s="301"/>
      <c r="EH182" s="134"/>
      <c r="EI182" s="134"/>
      <c r="EJ182" s="134"/>
      <c r="EK182" s="134"/>
    </row>
    <row r="183" spans="1:141">
      <c r="A183" s="79" t="s">
        <v>163</v>
      </c>
      <c r="B183" s="117">
        <v>119</v>
      </c>
      <c r="C183" s="123" t="s">
        <v>1959</v>
      </c>
      <c r="D183" s="124" t="s">
        <v>2181</v>
      </c>
      <c r="E183" s="125">
        <v>2008</v>
      </c>
      <c r="F183" s="79">
        <v>18806234</v>
      </c>
      <c r="G183" s="79">
        <v>1</v>
      </c>
      <c r="H183" s="126"/>
      <c r="I183" s="127"/>
      <c r="J183" s="79">
        <v>1</v>
      </c>
      <c r="K183" s="79"/>
      <c r="L183" s="79">
        <v>1</v>
      </c>
      <c r="M183" s="128">
        <v>1</v>
      </c>
      <c r="N183" s="79" t="s">
        <v>486</v>
      </c>
      <c r="O183" s="79"/>
      <c r="P183" s="79" t="s">
        <v>487</v>
      </c>
      <c r="Q183" s="79">
        <v>0</v>
      </c>
      <c r="R183" s="79"/>
      <c r="S183" s="79"/>
      <c r="T183" s="79"/>
      <c r="U183" s="79"/>
      <c r="V183" s="79"/>
      <c r="W183" s="79"/>
      <c r="X183" s="79"/>
      <c r="Y183" s="79"/>
      <c r="Z183" s="79"/>
      <c r="AA183" s="154"/>
      <c r="AB183" s="155"/>
      <c r="AC183" s="121"/>
      <c r="AD183" s="202"/>
      <c r="AE183" s="192"/>
      <c r="AF183" s="203"/>
      <c r="AG183" s="121"/>
      <c r="AH183" s="121"/>
      <c r="AI183" s="121"/>
      <c r="AJ183" s="121"/>
      <c r="AK183" s="121"/>
      <c r="AL183" s="121"/>
      <c r="AM183" s="121"/>
      <c r="AN183" s="121"/>
      <c r="AO183" s="121"/>
      <c r="AP183" s="121"/>
      <c r="AQ183" s="121"/>
      <c r="AR183" s="121"/>
      <c r="AS183" s="121"/>
      <c r="AT183" s="121"/>
      <c r="AU183" s="121"/>
      <c r="AV183" s="156"/>
      <c r="AW183" s="156"/>
      <c r="AX183" s="156"/>
      <c r="AY183" s="156"/>
      <c r="AZ183" s="156"/>
      <c r="BA183" s="156"/>
      <c r="BB183" s="156"/>
      <c r="BC183" s="156"/>
      <c r="BD183" s="157"/>
      <c r="BE183" s="134"/>
      <c r="BF183" s="134"/>
      <c r="BG183" s="134"/>
      <c r="BH183" s="134"/>
      <c r="BI183" s="134"/>
      <c r="BJ183" s="259"/>
      <c r="BK183" s="138"/>
      <c r="BL183" s="134"/>
      <c r="BM183" s="134"/>
      <c r="BN183" s="134"/>
      <c r="BO183" s="138"/>
      <c r="BP183" s="134"/>
      <c r="BQ183" s="134"/>
      <c r="BR183" s="134"/>
      <c r="BS183" s="288"/>
      <c r="BT183" s="289"/>
      <c r="BU183" s="138"/>
      <c r="BV183" s="134"/>
      <c r="BW183" s="134"/>
      <c r="BX183" s="134"/>
      <c r="BY183" s="138"/>
      <c r="BZ183" s="134"/>
      <c r="CA183" s="134"/>
      <c r="CB183" s="134"/>
      <c r="CC183" s="288"/>
      <c r="CD183" s="289"/>
      <c r="CE183" s="276"/>
      <c r="CF183" s="308"/>
      <c r="CG183" s="138"/>
      <c r="CH183" s="134"/>
      <c r="CI183" s="134"/>
      <c r="CJ183" s="134"/>
      <c r="CK183" s="134"/>
      <c r="CL183" s="134"/>
      <c r="CM183" s="134"/>
      <c r="CN183" s="134"/>
      <c r="CO183" s="300"/>
      <c r="CP183" s="301"/>
      <c r="CQ183" s="134"/>
      <c r="CR183" s="134"/>
      <c r="CS183" s="134"/>
      <c r="CT183" s="134"/>
      <c r="CU183" s="134"/>
      <c r="CV183" s="134"/>
      <c r="CW183" s="134"/>
      <c r="CX183" s="134"/>
      <c r="CY183" s="300"/>
      <c r="CZ183" s="301"/>
      <c r="DA183" s="276"/>
      <c r="DB183" s="277"/>
      <c r="DC183" s="134"/>
      <c r="DD183" s="134"/>
      <c r="DE183" s="134"/>
      <c r="DF183" s="134"/>
      <c r="DG183" s="138"/>
      <c r="DH183" s="134"/>
      <c r="DI183" s="134"/>
      <c r="DJ183" s="134"/>
      <c r="DK183" s="301"/>
      <c r="DL183" s="301"/>
      <c r="DM183" s="134"/>
      <c r="DN183" s="134"/>
      <c r="DO183" s="134"/>
      <c r="DP183" s="134"/>
      <c r="DQ183" s="134"/>
      <c r="DR183" s="134"/>
      <c r="DS183" s="134"/>
      <c r="DT183" s="134"/>
      <c r="DU183" s="301"/>
      <c r="DV183" s="301"/>
      <c r="DW183" s="277"/>
      <c r="DX183" s="134"/>
      <c r="DY183" s="134"/>
      <c r="DZ183" s="134"/>
      <c r="EA183" s="134"/>
      <c r="EB183" s="134"/>
      <c r="EC183" s="134"/>
      <c r="ED183" s="134"/>
      <c r="EE183" s="134"/>
      <c r="EF183" s="301"/>
      <c r="EG183" s="301"/>
      <c r="EH183" s="134"/>
      <c r="EI183" s="134"/>
      <c r="EJ183" s="134"/>
      <c r="EK183" s="134"/>
    </row>
    <row r="184" spans="1:141">
      <c r="A184" s="79" t="s">
        <v>1058</v>
      </c>
      <c r="B184" s="117">
        <v>120</v>
      </c>
      <c r="C184" s="123" t="s">
        <v>2073</v>
      </c>
      <c r="D184" s="124" t="s">
        <v>2325</v>
      </c>
      <c r="E184" s="125">
        <v>2004</v>
      </c>
      <c r="F184" s="79">
        <v>15677425</v>
      </c>
      <c r="G184" s="79">
        <v>1</v>
      </c>
      <c r="H184" s="126"/>
      <c r="I184" s="127"/>
      <c r="J184" s="79">
        <v>1</v>
      </c>
      <c r="K184" s="79"/>
      <c r="L184" s="79">
        <v>1</v>
      </c>
      <c r="M184" s="128">
        <v>2</v>
      </c>
      <c r="N184" s="79" t="s">
        <v>1586</v>
      </c>
      <c r="O184" s="79" t="s">
        <v>1147</v>
      </c>
      <c r="P184" s="79" t="s">
        <v>1127</v>
      </c>
      <c r="Q184" s="79"/>
      <c r="R184" s="79" t="s">
        <v>1334</v>
      </c>
      <c r="S184" s="79"/>
      <c r="T184" s="79"/>
      <c r="U184" s="79"/>
      <c r="V184" s="79" t="s">
        <v>1335</v>
      </c>
      <c r="W184" s="79"/>
      <c r="X184" s="79"/>
      <c r="Y184" s="79"/>
      <c r="Z184" s="79"/>
      <c r="AA184" s="154"/>
      <c r="AB184" s="155"/>
      <c r="AC184" s="121">
        <v>4</v>
      </c>
      <c r="AD184" s="202"/>
      <c r="AE184" s="192"/>
      <c r="AF184" s="203"/>
      <c r="AG184" s="121"/>
      <c r="AH184" s="121"/>
      <c r="AI184" s="121"/>
      <c r="AJ184" s="121"/>
      <c r="AK184" s="121"/>
      <c r="AL184" s="121"/>
      <c r="AM184" s="121"/>
      <c r="AN184" s="121"/>
      <c r="AO184" s="121"/>
      <c r="AP184" s="121"/>
      <c r="AQ184" s="121"/>
      <c r="AR184" s="121"/>
      <c r="AS184" s="121"/>
      <c r="AT184" s="121"/>
      <c r="AU184" s="121"/>
      <c r="AV184" s="156"/>
      <c r="AW184" s="156"/>
      <c r="AX184" s="156"/>
      <c r="AY184" s="156"/>
      <c r="AZ184" s="156">
        <v>1</v>
      </c>
      <c r="BA184" s="156"/>
      <c r="BB184" s="156"/>
      <c r="BC184" s="156"/>
      <c r="BD184" s="157"/>
      <c r="BE184" s="134"/>
      <c r="BF184" s="134"/>
      <c r="BG184" s="134"/>
      <c r="BH184" s="134"/>
      <c r="BI184" s="134"/>
      <c r="BJ184" s="259"/>
      <c r="BK184" s="138"/>
      <c r="BL184" s="134"/>
      <c r="BM184" s="134"/>
      <c r="BN184" s="134"/>
      <c r="BO184" s="138"/>
      <c r="BP184" s="134"/>
      <c r="BQ184" s="134"/>
      <c r="BR184" s="134"/>
      <c r="BS184" s="288"/>
      <c r="BT184" s="289"/>
      <c r="BU184" s="138"/>
      <c r="BV184" s="134"/>
      <c r="BW184" s="134"/>
      <c r="BX184" s="134"/>
      <c r="BY184" s="138"/>
      <c r="BZ184" s="134"/>
      <c r="CA184" s="134"/>
      <c r="CB184" s="134"/>
      <c r="CC184" s="288"/>
      <c r="CD184" s="289"/>
      <c r="CE184" s="276"/>
      <c r="CF184" s="308"/>
      <c r="CG184" s="138"/>
      <c r="CH184" s="134"/>
      <c r="CI184" s="134"/>
      <c r="CJ184" s="134"/>
      <c r="CK184" s="134"/>
      <c r="CL184" s="134"/>
      <c r="CM184" s="134"/>
      <c r="CN184" s="134"/>
      <c r="CO184" s="300"/>
      <c r="CP184" s="301"/>
      <c r="CQ184" s="134"/>
      <c r="CR184" s="134"/>
      <c r="CS184" s="134"/>
      <c r="CT184" s="134"/>
      <c r="CU184" s="134"/>
      <c r="CV184" s="134"/>
      <c r="CW184" s="134"/>
      <c r="CX184" s="134"/>
      <c r="CY184" s="300"/>
      <c r="CZ184" s="301"/>
      <c r="DA184" s="276"/>
      <c r="DB184" s="277"/>
      <c r="DC184" s="134"/>
      <c r="DD184" s="134"/>
      <c r="DE184" s="134"/>
      <c r="DF184" s="134"/>
      <c r="DG184" s="138"/>
      <c r="DH184" s="134"/>
      <c r="DI184" s="134"/>
      <c r="DJ184" s="134"/>
      <c r="DK184" s="301"/>
      <c r="DL184" s="301"/>
      <c r="DM184" s="134"/>
      <c r="DN184" s="134"/>
      <c r="DO184" s="134"/>
      <c r="DP184" s="134"/>
      <c r="DQ184" s="134"/>
      <c r="DR184" s="134"/>
      <c r="DS184" s="134"/>
      <c r="DT184" s="134"/>
      <c r="DU184" s="301"/>
      <c r="DV184" s="301"/>
      <c r="DW184" s="277"/>
      <c r="DX184" s="134"/>
      <c r="DY184" s="134"/>
      <c r="DZ184" s="134"/>
      <c r="EA184" s="134"/>
      <c r="EB184" s="134"/>
      <c r="EC184" s="134"/>
      <c r="ED184" s="134"/>
      <c r="EE184" s="134"/>
      <c r="EF184" s="301"/>
      <c r="EG184" s="301"/>
      <c r="EH184" s="134"/>
      <c r="EI184" s="134"/>
      <c r="EJ184" s="134"/>
      <c r="EK184" s="134"/>
    </row>
    <row r="185" spans="1:141">
      <c r="A185" s="79" t="s">
        <v>167</v>
      </c>
      <c r="B185" s="117">
        <v>121</v>
      </c>
      <c r="C185" s="123" t="s">
        <v>1960</v>
      </c>
      <c r="D185" s="124" t="s">
        <v>2182</v>
      </c>
      <c r="E185" s="125">
        <v>2011</v>
      </c>
      <c r="F185" s="79">
        <v>21047644</v>
      </c>
      <c r="G185" s="79">
        <v>1</v>
      </c>
      <c r="H185" s="126"/>
      <c r="I185" s="127"/>
      <c r="J185" s="79">
        <v>1</v>
      </c>
      <c r="K185" s="79"/>
      <c r="L185" s="79">
        <v>1</v>
      </c>
      <c r="M185" s="128">
        <v>1</v>
      </c>
      <c r="N185" s="79" t="s">
        <v>493</v>
      </c>
      <c r="O185" s="79" t="s">
        <v>1147</v>
      </c>
      <c r="P185" s="79" t="s">
        <v>20</v>
      </c>
      <c r="Q185" s="79">
        <v>1</v>
      </c>
      <c r="R185" s="79"/>
      <c r="S185" s="79"/>
      <c r="T185" s="79"/>
      <c r="U185" s="79"/>
      <c r="V185" s="79" t="s">
        <v>56</v>
      </c>
      <c r="W185" s="79"/>
      <c r="X185" s="79"/>
      <c r="Y185" s="79"/>
      <c r="Z185" s="79" t="s">
        <v>494</v>
      </c>
      <c r="AA185" s="154"/>
      <c r="AB185" s="155"/>
      <c r="AC185" s="121">
        <v>2</v>
      </c>
      <c r="AD185" s="202"/>
      <c r="AE185" s="192"/>
      <c r="AF185" s="203"/>
      <c r="AG185" s="121"/>
      <c r="AH185" s="121"/>
      <c r="AI185" s="121"/>
      <c r="AJ185" s="121"/>
      <c r="AK185" s="121"/>
      <c r="AL185" s="121"/>
      <c r="AM185" s="121"/>
      <c r="AN185" s="121"/>
      <c r="AO185" s="121"/>
      <c r="AP185" s="121"/>
      <c r="AQ185" s="121"/>
      <c r="AR185" s="121"/>
      <c r="AS185" s="121"/>
      <c r="AT185" s="121"/>
      <c r="AU185" s="121"/>
      <c r="AV185" s="156"/>
      <c r="AW185" s="156"/>
      <c r="AX185" s="156"/>
      <c r="AY185" s="156"/>
      <c r="AZ185" s="156">
        <v>1</v>
      </c>
      <c r="BA185" s="156"/>
      <c r="BB185" s="156"/>
      <c r="BC185" s="156"/>
      <c r="BD185" s="157"/>
      <c r="BE185" s="134"/>
      <c r="BF185" s="134"/>
      <c r="BG185" s="134"/>
      <c r="BH185" s="134"/>
      <c r="BI185" s="134"/>
      <c r="BJ185" s="259"/>
      <c r="BK185" s="138"/>
      <c r="BL185" s="134"/>
      <c r="BM185" s="134"/>
      <c r="BN185" s="134"/>
      <c r="BO185" s="138"/>
      <c r="BP185" s="134"/>
      <c r="BQ185" s="134"/>
      <c r="BR185" s="134"/>
      <c r="BS185" s="288"/>
      <c r="BT185" s="289"/>
      <c r="BU185" s="138"/>
      <c r="BV185" s="134"/>
      <c r="BW185" s="134"/>
      <c r="BX185" s="134"/>
      <c r="BY185" s="138"/>
      <c r="BZ185" s="134"/>
      <c r="CA185" s="134"/>
      <c r="CB185" s="134"/>
      <c r="CC185" s="288"/>
      <c r="CD185" s="289"/>
      <c r="CE185" s="276"/>
      <c r="CF185" s="308"/>
      <c r="CG185" s="138"/>
      <c r="CH185" s="134"/>
      <c r="CI185" s="134"/>
      <c r="CJ185" s="134"/>
      <c r="CK185" s="134"/>
      <c r="CL185" s="134"/>
      <c r="CM185" s="134"/>
      <c r="CN185" s="134"/>
      <c r="CO185" s="300"/>
      <c r="CP185" s="301"/>
      <c r="CQ185" s="134"/>
      <c r="CR185" s="134"/>
      <c r="CS185" s="134"/>
      <c r="CT185" s="134"/>
      <c r="CU185" s="134"/>
      <c r="CV185" s="134"/>
      <c r="CW185" s="134"/>
      <c r="CX185" s="134"/>
      <c r="CY185" s="300"/>
      <c r="CZ185" s="301"/>
      <c r="DA185" s="276"/>
      <c r="DB185" s="277"/>
      <c r="DC185" s="134"/>
      <c r="DD185" s="134"/>
      <c r="DE185" s="134"/>
      <c r="DF185" s="134"/>
      <c r="DG185" s="138"/>
      <c r="DH185" s="134"/>
      <c r="DI185" s="134"/>
      <c r="DJ185" s="134"/>
      <c r="DK185" s="301"/>
      <c r="DL185" s="301"/>
      <c r="DM185" s="134"/>
      <c r="DN185" s="134"/>
      <c r="DO185" s="134"/>
      <c r="DP185" s="134"/>
      <c r="DQ185" s="134"/>
      <c r="DR185" s="134"/>
      <c r="DS185" s="134"/>
      <c r="DT185" s="134"/>
      <c r="DU185" s="301"/>
      <c r="DV185" s="301"/>
      <c r="DW185" s="277"/>
      <c r="DX185" s="134"/>
      <c r="DY185" s="134"/>
      <c r="DZ185" s="134"/>
      <c r="EA185" s="134"/>
      <c r="EB185" s="134"/>
      <c r="EC185" s="134"/>
      <c r="ED185" s="134"/>
      <c r="EE185" s="134"/>
      <c r="EF185" s="301"/>
      <c r="EG185" s="301"/>
      <c r="EH185" s="134"/>
      <c r="EI185" s="134"/>
      <c r="EJ185" s="134"/>
      <c r="EK185" s="134"/>
    </row>
    <row r="186" spans="1:141">
      <c r="A186" s="79" t="s">
        <v>166</v>
      </c>
      <c r="B186" s="117">
        <v>122</v>
      </c>
      <c r="C186" s="123" t="s">
        <v>1960</v>
      </c>
      <c r="D186" s="124" t="s">
        <v>2183</v>
      </c>
      <c r="E186" s="125">
        <v>2015</v>
      </c>
      <c r="F186" s="79">
        <v>26106539</v>
      </c>
      <c r="G186" s="79">
        <v>1</v>
      </c>
      <c r="H186" s="126"/>
      <c r="I186" s="127"/>
      <c r="J186" s="79">
        <v>1</v>
      </c>
      <c r="K186" s="79"/>
      <c r="L186" s="79">
        <v>1</v>
      </c>
      <c r="M186" s="128">
        <v>1</v>
      </c>
      <c r="N186" s="79" t="s">
        <v>73</v>
      </c>
      <c r="O186" s="79" t="s">
        <v>1147</v>
      </c>
      <c r="P186" s="79" t="s">
        <v>391</v>
      </c>
      <c r="Q186" s="79">
        <v>1</v>
      </c>
      <c r="R186" s="79"/>
      <c r="S186" s="79"/>
      <c r="T186" s="79"/>
      <c r="U186" s="79" t="s">
        <v>492</v>
      </c>
      <c r="V186" s="79" t="s">
        <v>491</v>
      </c>
      <c r="W186" s="79"/>
      <c r="X186" s="79"/>
      <c r="Y186" s="79"/>
      <c r="Z186" s="79"/>
      <c r="AA186" s="154"/>
      <c r="AB186" s="155"/>
      <c r="AC186" s="121">
        <v>2</v>
      </c>
      <c r="AD186" s="202"/>
      <c r="AE186" s="192"/>
      <c r="AF186" s="203"/>
      <c r="AG186" s="121"/>
      <c r="AH186" s="121"/>
      <c r="AI186" s="121"/>
      <c r="AJ186" s="121"/>
      <c r="AK186" s="121"/>
      <c r="AL186" s="121"/>
      <c r="AM186" s="121"/>
      <c r="AN186" s="121"/>
      <c r="AO186" s="121"/>
      <c r="AP186" s="121"/>
      <c r="AQ186" s="121"/>
      <c r="AR186" s="121"/>
      <c r="AS186" s="121"/>
      <c r="AT186" s="121"/>
      <c r="AU186" s="121"/>
      <c r="AV186" s="156"/>
      <c r="AW186" s="156"/>
      <c r="AX186" s="156"/>
      <c r="AY186" s="156"/>
      <c r="AZ186" s="156">
        <v>1</v>
      </c>
      <c r="BA186" s="156"/>
      <c r="BB186" s="156"/>
      <c r="BC186" s="156"/>
      <c r="BD186" s="157"/>
      <c r="BE186" s="134"/>
      <c r="BF186" s="134"/>
      <c r="BG186" s="134"/>
      <c r="BH186" s="134"/>
      <c r="BI186" s="134"/>
      <c r="BJ186" s="259"/>
      <c r="BK186" s="138"/>
      <c r="BL186" s="134"/>
      <c r="BM186" s="134"/>
      <c r="BN186" s="134"/>
      <c r="BO186" s="138"/>
      <c r="BP186" s="134"/>
      <c r="BQ186" s="134"/>
      <c r="BR186" s="134"/>
      <c r="BS186" s="288"/>
      <c r="BT186" s="289"/>
      <c r="BU186" s="138"/>
      <c r="BV186" s="134"/>
      <c r="BW186" s="134"/>
      <c r="BX186" s="134"/>
      <c r="BY186" s="138"/>
      <c r="BZ186" s="134"/>
      <c r="CA186" s="134"/>
      <c r="CB186" s="134"/>
      <c r="CC186" s="288"/>
      <c r="CD186" s="289"/>
      <c r="CE186" s="276"/>
      <c r="CF186" s="308"/>
      <c r="CG186" s="138"/>
      <c r="CH186" s="134"/>
      <c r="CI186" s="134"/>
      <c r="CJ186" s="134"/>
      <c r="CK186" s="134"/>
      <c r="CL186" s="134"/>
      <c r="CM186" s="134"/>
      <c r="CN186" s="134"/>
      <c r="CO186" s="300"/>
      <c r="CP186" s="301"/>
      <c r="CQ186" s="134"/>
      <c r="CR186" s="134"/>
      <c r="CS186" s="134"/>
      <c r="CT186" s="134"/>
      <c r="CU186" s="134"/>
      <c r="CV186" s="134"/>
      <c r="CW186" s="134"/>
      <c r="CX186" s="134"/>
      <c r="CY186" s="300"/>
      <c r="CZ186" s="301"/>
      <c r="DA186" s="276"/>
      <c r="DB186" s="277"/>
      <c r="DC186" s="134"/>
      <c r="DD186" s="134"/>
      <c r="DE186" s="134"/>
      <c r="DF186" s="134"/>
      <c r="DG186" s="138"/>
      <c r="DH186" s="134"/>
      <c r="DI186" s="134"/>
      <c r="DJ186" s="134"/>
      <c r="DK186" s="301"/>
      <c r="DL186" s="301"/>
      <c r="DM186" s="134"/>
      <c r="DN186" s="134"/>
      <c r="DO186" s="134"/>
      <c r="DP186" s="134"/>
      <c r="DQ186" s="134"/>
      <c r="DR186" s="134"/>
      <c r="DS186" s="134"/>
      <c r="DT186" s="134"/>
      <c r="DU186" s="301"/>
      <c r="DV186" s="301"/>
      <c r="DW186" s="277"/>
      <c r="DX186" s="134"/>
      <c r="DY186" s="134"/>
      <c r="DZ186" s="134"/>
      <c r="EA186" s="134"/>
      <c r="EB186" s="134"/>
      <c r="EC186" s="134"/>
      <c r="ED186" s="134"/>
      <c r="EE186" s="134"/>
      <c r="EF186" s="301"/>
      <c r="EG186" s="301"/>
      <c r="EH186" s="134"/>
      <c r="EI186" s="134"/>
      <c r="EJ186" s="134"/>
      <c r="EK186" s="134"/>
    </row>
    <row r="187" spans="1:141">
      <c r="A187" s="79" t="s">
        <v>1057</v>
      </c>
      <c r="B187" s="117">
        <v>123</v>
      </c>
      <c r="C187" s="123" t="s">
        <v>2074</v>
      </c>
      <c r="D187" s="124" t="s">
        <v>2326</v>
      </c>
      <c r="E187" s="125">
        <v>2012</v>
      </c>
      <c r="F187" s="79">
        <v>22659471</v>
      </c>
      <c r="G187" s="79">
        <v>1</v>
      </c>
      <c r="H187" s="126"/>
      <c r="I187" s="127"/>
      <c r="J187" s="79">
        <v>1</v>
      </c>
      <c r="K187" s="79"/>
      <c r="L187" s="79">
        <v>1</v>
      </c>
      <c r="M187" s="128">
        <v>2</v>
      </c>
      <c r="N187" s="79" t="s">
        <v>1336</v>
      </c>
      <c r="O187" s="79" t="s">
        <v>1224</v>
      </c>
      <c r="P187" s="79" t="s">
        <v>1127</v>
      </c>
      <c r="Q187" s="79"/>
      <c r="R187" s="79" t="s">
        <v>1498</v>
      </c>
      <c r="S187" s="79" t="s">
        <v>803</v>
      </c>
      <c r="T187" s="79"/>
      <c r="U187" s="79" t="s">
        <v>1337</v>
      </c>
      <c r="V187" s="79" t="s">
        <v>1338</v>
      </c>
      <c r="W187" s="79"/>
      <c r="X187" s="79"/>
      <c r="Y187" s="79"/>
      <c r="Z187" s="79"/>
      <c r="AA187" s="154"/>
      <c r="AB187" s="155"/>
      <c r="AC187" s="121">
        <v>4</v>
      </c>
      <c r="AD187" s="202"/>
      <c r="AE187" s="192"/>
      <c r="AF187" s="203"/>
      <c r="AG187" s="121"/>
      <c r="AH187" s="121"/>
      <c r="AI187" s="121"/>
      <c r="AJ187" s="121"/>
      <c r="AK187" s="121"/>
      <c r="AL187" s="121"/>
      <c r="AM187" s="121"/>
      <c r="AN187" s="121"/>
      <c r="AO187" s="121"/>
      <c r="AP187" s="121"/>
      <c r="AQ187" s="121"/>
      <c r="AR187" s="121"/>
      <c r="AS187" s="121"/>
      <c r="AT187" s="121"/>
      <c r="AU187" s="121"/>
      <c r="AV187" s="156"/>
      <c r="AW187" s="156"/>
      <c r="AX187" s="156"/>
      <c r="AY187" s="156"/>
      <c r="AZ187" s="156"/>
      <c r="BA187" s="156"/>
      <c r="BB187" s="156"/>
      <c r="BC187" s="156"/>
      <c r="BD187" s="157"/>
      <c r="BE187" s="134"/>
      <c r="BF187" s="134"/>
      <c r="BG187" s="134"/>
      <c r="BH187" s="134"/>
      <c r="BI187" s="134"/>
      <c r="BJ187" s="259"/>
      <c r="BK187" s="138"/>
      <c r="BL187" s="134"/>
      <c r="BM187" s="134"/>
      <c r="BN187" s="134"/>
      <c r="BO187" s="138"/>
      <c r="BP187" s="134"/>
      <c r="BQ187" s="134"/>
      <c r="BR187" s="134"/>
      <c r="BS187" s="288"/>
      <c r="BT187" s="289"/>
      <c r="BU187" s="138"/>
      <c r="BV187" s="134"/>
      <c r="BW187" s="134"/>
      <c r="BX187" s="134"/>
      <c r="BY187" s="138"/>
      <c r="BZ187" s="134"/>
      <c r="CA187" s="134"/>
      <c r="CB187" s="134"/>
      <c r="CC187" s="288"/>
      <c r="CD187" s="289"/>
      <c r="CE187" s="276"/>
      <c r="CF187" s="308"/>
      <c r="CG187" s="138"/>
      <c r="CH187" s="134"/>
      <c r="CI187" s="134"/>
      <c r="CJ187" s="134"/>
      <c r="CK187" s="134"/>
      <c r="CL187" s="134"/>
      <c r="CM187" s="134"/>
      <c r="CN187" s="134"/>
      <c r="CO187" s="300"/>
      <c r="CP187" s="301"/>
      <c r="CQ187" s="134"/>
      <c r="CR187" s="134"/>
      <c r="CS187" s="134"/>
      <c r="CT187" s="134"/>
      <c r="CU187" s="134"/>
      <c r="CV187" s="134"/>
      <c r="CW187" s="134"/>
      <c r="CX187" s="134"/>
      <c r="CY187" s="300"/>
      <c r="CZ187" s="301"/>
      <c r="DA187" s="276"/>
      <c r="DB187" s="277"/>
      <c r="DC187" s="134"/>
      <c r="DD187" s="134"/>
      <c r="DE187" s="134"/>
      <c r="DF187" s="134"/>
      <c r="DG187" s="138"/>
      <c r="DH187" s="134"/>
      <c r="DI187" s="134"/>
      <c r="DJ187" s="134"/>
      <c r="DK187" s="301"/>
      <c r="DL187" s="301"/>
      <c r="DM187" s="134"/>
      <c r="DN187" s="134"/>
      <c r="DO187" s="134"/>
      <c r="DP187" s="134"/>
      <c r="DQ187" s="134"/>
      <c r="DR187" s="134"/>
      <c r="DS187" s="134"/>
      <c r="DT187" s="134"/>
      <c r="DU187" s="301"/>
      <c r="DV187" s="301"/>
      <c r="DW187" s="277"/>
      <c r="DX187" s="134"/>
      <c r="DY187" s="134"/>
      <c r="DZ187" s="134"/>
      <c r="EA187" s="134"/>
      <c r="EB187" s="134"/>
      <c r="EC187" s="134"/>
      <c r="ED187" s="134"/>
      <c r="EE187" s="134"/>
      <c r="EF187" s="301"/>
      <c r="EG187" s="301"/>
      <c r="EH187" s="134"/>
      <c r="EI187" s="134"/>
      <c r="EJ187" s="134"/>
      <c r="EK187" s="134"/>
    </row>
    <row r="188" spans="1:141">
      <c r="A188" s="79" t="s">
        <v>1055</v>
      </c>
      <c r="B188" s="117">
        <v>124</v>
      </c>
      <c r="C188" s="123" t="s">
        <v>2074</v>
      </c>
      <c r="D188" s="124" t="s">
        <v>2327</v>
      </c>
      <c r="E188" s="125">
        <v>2010</v>
      </c>
      <c r="F188" s="79">
        <v>20700523</v>
      </c>
      <c r="G188" s="79">
        <v>1</v>
      </c>
      <c r="H188" s="126"/>
      <c r="I188" s="127"/>
      <c r="J188" s="79">
        <v>1</v>
      </c>
      <c r="K188" s="79"/>
      <c r="L188" s="79">
        <v>1</v>
      </c>
      <c r="M188" s="128">
        <v>2</v>
      </c>
      <c r="N188" s="79" t="s">
        <v>1342</v>
      </c>
      <c r="O188" s="79" t="s">
        <v>1224</v>
      </c>
      <c r="P188" s="79" t="s">
        <v>1127</v>
      </c>
      <c r="Q188" s="79"/>
      <c r="R188" s="79" t="s">
        <v>1498</v>
      </c>
      <c r="S188" s="79" t="s">
        <v>803</v>
      </c>
      <c r="T188" s="79"/>
      <c r="U188" s="79" t="s">
        <v>1341</v>
      </c>
      <c r="V188" s="79"/>
      <c r="W188" s="79"/>
      <c r="X188" s="79"/>
      <c r="Y188" s="79"/>
      <c r="Z188" s="79"/>
      <c r="AA188" s="154"/>
      <c r="AB188" s="155"/>
      <c r="AC188" s="121">
        <v>4</v>
      </c>
      <c r="AD188" s="202"/>
      <c r="AE188" s="192"/>
      <c r="AF188" s="203"/>
      <c r="AG188" s="121"/>
      <c r="AH188" s="121"/>
      <c r="AI188" s="121"/>
      <c r="AJ188" s="121"/>
      <c r="AK188" s="121"/>
      <c r="AL188" s="121"/>
      <c r="AM188" s="121"/>
      <c r="AN188" s="121"/>
      <c r="AO188" s="121"/>
      <c r="AP188" s="121"/>
      <c r="AQ188" s="121"/>
      <c r="AR188" s="121"/>
      <c r="AS188" s="121"/>
      <c r="AT188" s="121"/>
      <c r="AU188" s="121"/>
      <c r="AV188" s="156"/>
      <c r="AW188" s="156"/>
      <c r="AX188" s="156"/>
      <c r="AY188" s="156"/>
      <c r="AZ188" s="156">
        <v>1</v>
      </c>
      <c r="BA188" s="156"/>
      <c r="BB188" s="156"/>
      <c r="BC188" s="156"/>
      <c r="BD188" s="157"/>
      <c r="BE188" s="134"/>
      <c r="BF188" s="134"/>
      <c r="BG188" s="134"/>
      <c r="BH188" s="134"/>
      <c r="BI188" s="134"/>
      <c r="BJ188" s="259"/>
      <c r="BK188" s="138"/>
      <c r="BL188" s="134"/>
      <c r="BM188" s="134"/>
      <c r="BN188" s="134"/>
      <c r="BO188" s="138"/>
      <c r="BP188" s="134"/>
      <c r="BQ188" s="134"/>
      <c r="BR188" s="134"/>
      <c r="BS188" s="288"/>
      <c r="BT188" s="289"/>
      <c r="BU188" s="138"/>
      <c r="BV188" s="134"/>
      <c r="BW188" s="134"/>
      <c r="BX188" s="134"/>
      <c r="BY188" s="138"/>
      <c r="BZ188" s="134"/>
      <c r="CA188" s="134"/>
      <c r="CB188" s="134"/>
      <c r="CC188" s="288"/>
      <c r="CD188" s="289"/>
      <c r="CE188" s="276"/>
      <c r="CF188" s="308"/>
      <c r="CG188" s="138"/>
      <c r="CH188" s="134"/>
      <c r="CI188" s="134"/>
      <c r="CJ188" s="134"/>
      <c r="CK188" s="134"/>
      <c r="CL188" s="134"/>
      <c r="CM188" s="134"/>
      <c r="CN188" s="134"/>
      <c r="CO188" s="300"/>
      <c r="CP188" s="301"/>
      <c r="CQ188" s="134"/>
      <c r="CR188" s="134"/>
      <c r="CS188" s="134"/>
      <c r="CT188" s="134"/>
      <c r="CU188" s="134"/>
      <c r="CV188" s="134"/>
      <c r="CW188" s="134"/>
      <c r="CX188" s="134"/>
      <c r="CY188" s="300"/>
      <c r="CZ188" s="301"/>
      <c r="DA188" s="276"/>
      <c r="DB188" s="277"/>
      <c r="DC188" s="134"/>
      <c r="DD188" s="134"/>
      <c r="DE188" s="134"/>
      <c r="DF188" s="134"/>
      <c r="DG188" s="138"/>
      <c r="DH188" s="134"/>
      <c r="DI188" s="134"/>
      <c r="DJ188" s="134"/>
      <c r="DK188" s="301"/>
      <c r="DL188" s="301"/>
      <c r="DM188" s="134"/>
      <c r="DN188" s="134"/>
      <c r="DO188" s="134"/>
      <c r="DP188" s="134"/>
      <c r="DQ188" s="134"/>
      <c r="DR188" s="134"/>
      <c r="DS188" s="134"/>
      <c r="DT188" s="134"/>
      <c r="DU188" s="301"/>
      <c r="DV188" s="301"/>
      <c r="DW188" s="277"/>
      <c r="DX188" s="134"/>
      <c r="DY188" s="134"/>
      <c r="DZ188" s="134"/>
      <c r="EA188" s="134"/>
      <c r="EB188" s="134"/>
      <c r="EC188" s="134"/>
      <c r="ED188" s="134"/>
      <c r="EE188" s="134"/>
      <c r="EF188" s="301"/>
      <c r="EG188" s="301"/>
      <c r="EH188" s="134"/>
      <c r="EI188" s="134"/>
      <c r="EJ188" s="134"/>
      <c r="EK188" s="134"/>
    </row>
    <row r="189" spans="1:141">
      <c r="A189" s="79" t="s">
        <v>170</v>
      </c>
      <c r="B189" s="117">
        <v>125</v>
      </c>
      <c r="C189" s="123" t="s">
        <v>1961</v>
      </c>
      <c r="D189" s="124" t="s">
        <v>2184</v>
      </c>
      <c r="E189" s="125">
        <v>2014</v>
      </c>
      <c r="F189" s="79">
        <v>24165904</v>
      </c>
      <c r="G189" s="79">
        <v>1</v>
      </c>
      <c r="H189" s="126"/>
      <c r="I189" s="127"/>
      <c r="J189" s="79">
        <v>1</v>
      </c>
      <c r="K189" s="79"/>
      <c r="L189" s="79">
        <v>1</v>
      </c>
      <c r="M189" s="128">
        <v>1</v>
      </c>
      <c r="N189" s="79" t="s">
        <v>497</v>
      </c>
      <c r="O189" s="79" t="s">
        <v>1198</v>
      </c>
      <c r="P189" s="79" t="s">
        <v>498</v>
      </c>
      <c r="Q189" s="79">
        <v>0</v>
      </c>
      <c r="R189" s="79"/>
      <c r="S189" s="79"/>
      <c r="T189" s="79"/>
      <c r="U189" s="79" t="s">
        <v>496</v>
      </c>
      <c r="V189" s="79" t="s">
        <v>499</v>
      </c>
      <c r="W189" s="79"/>
      <c r="X189" s="79"/>
      <c r="Y189" s="79"/>
      <c r="Z189" s="79"/>
      <c r="AA189" s="154"/>
      <c r="AB189" s="155"/>
      <c r="AC189" s="121"/>
      <c r="AD189" s="202"/>
      <c r="AE189" s="192"/>
      <c r="AF189" s="203"/>
      <c r="AG189" s="121"/>
      <c r="AH189" s="121"/>
      <c r="AI189" s="121"/>
      <c r="AJ189" s="121"/>
      <c r="AK189" s="121"/>
      <c r="AL189" s="121"/>
      <c r="AM189" s="121"/>
      <c r="AN189" s="121"/>
      <c r="AO189" s="121"/>
      <c r="AP189" s="121"/>
      <c r="AQ189" s="121"/>
      <c r="AR189" s="121"/>
      <c r="AS189" s="121"/>
      <c r="AT189" s="121"/>
      <c r="AU189" s="121"/>
      <c r="AV189" s="156"/>
      <c r="AW189" s="156"/>
      <c r="AX189" s="156"/>
      <c r="AY189" s="156" t="s">
        <v>1917</v>
      </c>
      <c r="AZ189" s="156"/>
      <c r="BA189" s="156">
        <v>1</v>
      </c>
      <c r="BB189" s="156"/>
      <c r="BC189" s="156"/>
      <c r="BD189" s="157"/>
      <c r="BE189" s="134"/>
      <c r="BF189" s="134"/>
      <c r="BG189" s="134"/>
      <c r="BH189" s="134"/>
      <c r="BI189" s="134"/>
      <c r="BJ189" s="259"/>
      <c r="BK189" s="138"/>
      <c r="BL189" s="134"/>
      <c r="BM189" s="134"/>
      <c r="BN189" s="134"/>
      <c r="BO189" s="138"/>
      <c r="BP189" s="134"/>
      <c r="BQ189" s="134"/>
      <c r="BR189" s="134"/>
      <c r="BS189" s="288"/>
      <c r="BT189" s="289"/>
      <c r="BU189" s="138"/>
      <c r="BV189" s="134"/>
      <c r="BW189" s="134"/>
      <c r="BX189" s="134"/>
      <c r="BY189" s="138"/>
      <c r="BZ189" s="134"/>
      <c r="CA189" s="134"/>
      <c r="CB189" s="134"/>
      <c r="CC189" s="288"/>
      <c r="CD189" s="289"/>
      <c r="CE189" s="276"/>
      <c r="CF189" s="308"/>
      <c r="CG189" s="138"/>
      <c r="CH189" s="134"/>
      <c r="CI189" s="134"/>
      <c r="CJ189" s="134"/>
      <c r="CK189" s="134"/>
      <c r="CL189" s="134"/>
      <c r="CM189" s="134"/>
      <c r="CN189" s="134"/>
      <c r="CO189" s="300"/>
      <c r="CP189" s="301"/>
      <c r="CQ189" s="134"/>
      <c r="CR189" s="134"/>
      <c r="CS189" s="134"/>
      <c r="CT189" s="134"/>
      <c r="CU189" s="134"/>
      <c r="CV189" s="134"/>
      <c r="CW189" s="134"/>
      <c r="CX189" s="134"/>
      <c r="CY189" s="300"/>
      <c r="CZ189" s="301"/>
      <c r="DA189" s="276"/>
      <c r="DB189" s="277"/>
      <c r="DC189" s="134"/>
      <c r="DD189" s="134"/>
      <c r="DE189" s="134"/>
      <c r="DF189" s="134"/>
      <c r="DG189" s="138"/>
      <c r="DH189" s="134"/>
      <c r="DI189" s="134"/>
      <c r="DJ189" s="134"/>
      <c r="DK189" s="301"/>
      <c r="DL189" s="301"/>
      <c r="DM189" s="134"/>
      <c r="DN189" s="134"/>
      <c r="DO189" s="134"/>
      <c r="DP189" s="134"/>
      <c r="DQ189" s="134"/>
      <c r="DR189" s="134"/>
      <c r="DS189" s="134"/>
      <c r="DT189" s="134"/>
      <c r="DU189" s="301"/>
      <c r="DV189" s="301"/>
      <c r="DW189" s="277"/>
      <c r="DX189" s="134"/>
      <c r="DY189" s="134"/>
      <c r="DZ189" s="134"/>
      <c r="EA189" s="134"/>
      <c r="EB189" s="134"/>
      <c r="EC189" s="134"/>
      <c r="ED189" s="134"/>
      <c r="EE189" s="134"/>
      <c r="EF189" s="301"/>
      <c r="EG189" s="301"/>
      <c r="EH189" s="134"/>
      <c r="EI189" s="134"/>
      <c r="EJ189" s="134"/>
      <c r="EK189" s="134"/>
    </row>
    <row r="190" spans="1:141">
      <c r="A190" s="79" t="s">
        <v>171</v>
      </c>
      <c r="B190" s="117">
        <v>126</v>
      </c>
      <c r="C190" s="123" t="s">
        <v>1962</v>
      </c>
      <c r="D190" s="124" t="s">
        <v>2185</v>
      </c>
      <c r="E190" s="125">
        <v>2008</v>
      </c>
      <c r="F190" s="79">
        <v>18068725</v>
      </c>
      <c r="G190" s="79">
        <v>1</v>
      </c>
      <c r="H190" s="126"/>
      <c r="I190" s="127"/>
      <c r="J190" s="79">
        <v>1</v>
      </c>
      <c r="K190" s="79"/>
      <c r="L190" s="79">
        <v>1</v>
      </c>
      <c r="M190" s="128">
        <v>1</v>
      </c>
      <c r="N190" s="79" t="s">
        <v>397</v>
      </c>
      <c r="O190" s="79"/>
      <c r="P190" s="79" t="s">
        <v>500</v>
      </c>
      <c r="Q190" s="79">
        <v>1</v>
      </c>
      <c r="R190" s="79"/>
      <c r="S190" s="79"/>
      <c r="T190" s="79"/>
      <c r="U190" s="79" t="s">
        <v>501</v>
      </c>
      <c r="V190" s="79"/>
      <c r="W190" s="79"/>
      <c r="X190" s="79"/>
      <c r="Y190" s="79"/>
      <c r="Z190" s="79"/>
      <c r="AA190" s="154"/>
      <c r="AB190" s="155"/>
      <c r="AC190" s="121">
        <v>2</v>
      </c>
      <c r="AD190" s="202"/>
      <c r="AE190" s="192"/>
      <c r="AF190" s="203"/>
      <c r="AG190" s="121"/>
      <c r="AH190" s="121"/>
      <c r="AI190" s="121"/>
      <c r="AJ190" s="121"/>
      <c r="AK190" s="121"/>
      <c r="AL190" s="121"/>
      <c r="AM190" s="121"/>
      <c r="AN190" s="121"/>
      <c r="AO190" s="121"/>
      <c r="AP190" s="121"/>
      <c r="AQ190" s="121"/>
      <c r="AR190" s="121"/>
      <c r="AS190" s="121"/>
      <c r="AT190" s="121"/>
      <c r="AU190" s="121"/>
      <c r="AV190" s="156"/>
      <c r="AW190" s="156"/>
      <c r="AX190" s="156"/>
      <c r="AY190" s="156"/>
      <c r="AZ190" s="156"/>
      <c r="BA190" s="156"/>
      <c r="BB190" s="156">
        <v>1</v>
      </c>
      <c r="BC190" s="156"/>
      <c r="BD190" s="157"/>
      <c r="BE190" s="134"/>
      <c r="BF190" s="134"/>
      <c r="BG190" s="134"/>
      <c r="BH190" s="134"/>
      <c r="BI190" s="134"/>
      <c r="BJ190" s="259"/>
      <c r="BK190" s="138"/>
      <c r="BL190" s="134"/>
      <c r="BM190" s="134"/>
      <c r="BN190" s="134"/>
      <c r="BO190" s="138"/>
      <c r="BP190" s="134"/>
      <c r="BQ190" s="134"/>
      <c r="BR190" s="134"/>
      <c r="BS190" s="288"/>
      <c r="BT190" s="289"/>
      <c r="BU190" s="138"/>
      <c r="BV190" s="134"/>
      <c r="BW190" s="134"/>
      <c r="BX190" s="134"/>
      <c r="BY190" s="138"/>
      <c r="BZ190" s="134"/>
      <c r="CA190" s="134"/>
      <c r="CB190" s="134"/>
      <c r="CC190" s="288"/>
      <c r="CD190" s="289"/>
      <c r="CE190" s="276"/>
      <c r="CF190" s="308"/>
      <c r="CG190" s="138"/>
      <c r="CH190" s="134"/>
      <c r="CI190" s="134"/>
      <c r="CJ190" s="134"/>
      <c r="CK190" s="134"/>
      <c r="CL190" s="134"/>
      <c r="CM190" s="134"/>
      <c r="CN190" s="134"/>
      <c r="CO190" s="300"/>
      <c r="CP190" s="301"/>
      <c r="CQ190" s="134"/>
      <c r="CR190" s="134"/>
      <c r="CS190" s="134"/>
      <c r="CT190" s="134"/>
      <c r="CU190" s="134"/>
      <c r="CV190" s="134"/>
      <c r="CW190" s="134"/>
      <c r="CX190" s="134"/>
      <c r="CY190" s="300"/>
      <c r="CZ190" s="301"/>
      <c r="DA190" s="276"/>
      <c r="DB190" s="277"/>
      <c r="DC190" s="134"/>
      <c r="DD190" s="134"/>
      <c r="DE190" s="134"/>
      <c r="DF190" s="134"/>
      <c r="DG190" s="138"/>
      <c r="DH190" s="134"/>
      <c r="DI190" s="134"/>
      <c r="DJ190" s="134"/>
      <c r="DK190" s="301"/>
      <c r="DL190" s="301"/>
      <c r="DM190" s="134"/>
      <c r="DN190" s="134"/>
      <c r="DO190" s="134"/>
      <c r="DP190" s="134"/>
      <c r="DQ190" s="134"/>
      <c r="DR190" s="134"/>
      <c r="DS190" s="134"/>
      <c r="DT190" s="134"/>
      <c r="DU190" s="301"/>
      <c r="DV190" s="301"/>
      <c r="DW190" s="277"/>
      <c r="DX190" s="134"/>
      <c r="DY190" s="134"/>
      <c r="DZ190" s="134"/>
      <c r="EA190" s="134"/>
      <c r="EB190" s="134"/>
      <c r="EC190" s="134"/>
      <c r="ED190" s="134"/>
      <c r="EE190" s="134"/>
      <c r="EF190" s="301"/>
      <c r="EG190" s="301"/>
      <c r="EH190" s="134"/>
      <c r="EI190" s="134"/>
      <c r="EJ190" s="134"/>
      <c r="EK190" s="134"/>
    </row>
    <row r="191" spans="1:141">
      <c r="A191" s="79" t="s">
        <v>1053</v>
      </c>
      <c r="B191" s="117">
        <v>127</v>
      </c>
      <c r="C191" s="123" t="s">
        <v>2075</v>
      </c>
      <c r="D191" s="124" t="s">
        <v>2328</v>
      </c>
      <c r="E191" s="125">
        <v>2016</v>
      </c>
      <c r="F191" s="79">
        <v>26655446</v>
      </c>
      <c r="G191" s="79">
        <v>1</v>
      </c>
      <c r="H191" s="126" t="s">
        <v>1843</v>
      </c>
      <c r="I191" s="127"/>
      <c r="J191" s="79">
        <v>0</v>
      </c>
      <c r="K191" s="79"/>
      <c r="L191" s="79">
        <v>0</v>
      </c>
      <c r="M191" s="128">
        <v>2</v>
      </c>
      <c r="N191" s="79" t="s">
        <v>1346</v>
      </c>
      <c r="O191" s="79"/>
      <c r="P191" s="79" t="s">
        <v>1138</v>
      </c>
      <c r="Q191" s="79"/>
      <c r="R191" s="79" t="s">
        <v>1493</v>
      </c>
      <c r="S191" s="79" t="s">
        <v>23</v>
      </c>
      <c r="T191" s="79" t="s">
        <v>23</v>
      </c>
      <c r="U191" s="79"/>
      <c r="V191" s="79" t="s">
        <v>1345</v>
      </c>
      <c r="W191" s="79"/>
      <c r="X191" s="79"/>
      <c r="Y191" s="79"/>
      <c r="Z191" s="79" t="s">
        <v>1344</v>
      </c>
      <c r="AA191" s="154"/>
      <c r="AB191" s="155"/>
      <c r="AC191" s="121">
        <v>5</v>
      </c>
      <c r="AD191" s="202"/>
      <c r="AE191" s="192"/>
      <c r="AF191" s="203"/>
      <c r="AG191" s="121"/>
      <c r="AH191" s="121"/>
      <c r="AI191" s="121"/>
      <c r="AJ191" s="121"/>
      <c r="AK191" s="121"/>
      <c r="AL191" s="121"/>
      <c r="AM191" s="121"/>
      <c r="AN191" s="121"/>
      <c r="AO191" s="121"/>
      <c r="AP191" s="121"/>
      <c r="AQ191" s="121"/>
      <c r="AR191" s="121"/>
      <c r="AS191" s="121"/>
      <c r="AT191" s="121"/>
      <c r="AU191" s="121"/>
      <c r="AV191" s="156"/>
      <c r="AW191" s="156"/>
      <c r="AX191" s="156"/>
      <c r="AY191" s="156"/>
      <c r="AZ191" s="156">
        <v>1</v>
      </c>
      <c r="BA191" s="156"/>
      <c r="BB191" s="156"/>
      <c r="BC191" s="156"/>
      <c r="BD191" s="157"/>
      <c r="BE191" s="134"/>
      <c r="BF191" s="134"/>
      <c r="BG191" s="134"/>
      <c r="BH191" s="134"/>
      <c r="BI191" s="134"/>
      <c r="BJ191" s="259"/>
      <c r="BK191" s="138"/>
      <c r="BL191" s="134"/>
      <c r="BM191" s="134"/>
      <c r="BN191" s="134"/>
      <c r="BO191" s="138"/>
      <c r="BP191" s="134"/>
      <c r="BQ191" s="134"/>
      <c r="BR191" s="134"/>
      <c r="BS191" s="288"/>
      <c r="BT191" s="289"/>
      <c r="BU191" s="138"/>
      <c r="BV191" s="134"/>
      <c r="BW191" s="134"/>
      <c r="BX191" s="134"/>
      <c r="BY191" s="138"/>
      <c r="BZ191" s="134"/>
      <c r="CA191" s="134"/>
      <c r="CB191" s="134"/>
      <c r="CC191" s="288"/>
      <c r="CD191" s="289"/>
      <c r="CE191" s="276"/>
      <c r="CF191" s="308"/>
      <c r="CG191" s="138"/>
      <c r="CH191" s="134"/>
      <c r="CI191" s="134"/>
      <c r="CJ191" s="134"/>
      <c r="CK191" s="134"/>
      <c r="CL191" s="134"/>
      <c r="CM191" s="134"/>
      <c r="CN191" s="134"/>
      <c r="CO191" s="300"/>
      <c r="CP191" s="301"/>
      <c r="CQ191" s="134"/>
      <c r="CR191" s="134"/>
      <c r="CS191" s="134"/>
      <c r="CT191" s="134"/>
      <c r="CU191" s="134"/>
      <c r="CV191" s="134"/>
      <c r="CW191" s="134"/>
      <c r="CX191" s="134"/>
      <c r="CY191" s="300"/>
      <c r="CZ191" s="301"/>
      <c r="DA191" s="276"/>
      <c r="DB191" s="277"/>
      <c r="DC191" s="134"/>
      <c r="DD191" s="134"/>
      <c r="DE191" s="134"/>
      <c r="DF191" s="134"/>
      <c r="DG191" s="138"/>
      <c r="DH191" s="134"/>
      <c r="DI191" s="134"/>
      <c r="DJ191" s="134"/>
      <c r="DK191" s="301"/>
      <c r="DL191" s="301"/>
      <c r="DM191" s="134"/>
      <c r="DN191" s="134"/>
      <c r="DO191" s="134"/>
      <c r="DP191" s="134"/>
      <c r="DQ191" s="134"/>
      <c r="DR191" s="134"/>
      <c r="DS191" s="134"/>
      <c r="DT191" s="134"/>
      <c r="DU191" s="301"/>
      <c r="DV191" s="301"/>
      <c r="DW191" s="277"/>
      <c r="DX191" s="134"/>
      <c r="DY191" s="134"/>
      <c r="DZ191" s="134"/>
      <c r="EA191" s="134"/>
      <c r="EB191" s="134"/>
      <c r="EC191" s="134"/>
      <c r="ED191" s="134"/>
      <c r="EE191" s="134"/>
      <c r="EF191" s="301"/>
      <c r="EG191" s="301"/>
      <c r="EH191" s="134"/>
      <c r="EI191" s="134"/>
      <c r="EJ191" s="134"/>
      <c r="EK191" s="134"/>
    </row>
    <row r="192" spans="1:141">
      <c r="A192" s="79" t="s">
        <v>173</v>
      </c>
      <c r="B192" s="117">
        <v>128</v>
      </c>
      <c r="C192" s="123" t="s">
        <v>1963</v>
      </c>
      <c r="D192" s="124" t="s">
        <v>2186</v>
      </c>
      <c r="E192" s="125">
        <v>2010</v>
      </c>
      <c r="F192" s="79">
        <v>20494591</v>
      </c>
      <c r="G192" s="79">
        <v>1</v>
      </c>
      <c r="H192" s="126"/>
      <c r="I192" s="127"/>
      <c r="J192" s="79">
        <v>1</v>
      </c>
      <c r="K192" s="79"/>
      <c r="L192" s="79">
        <v>1</v>
      </c>
      <c r="M192" s="128">
        <v>1</v>
      </c>
      <c r="N192" s="79" t="s">
        <v>505</v>
      </c>
      <c r="O192" s="79" t="s">
        <v>1147</v>
      </c>
      <c r="P192" s="79" t="s">
        <v>503</v>
      </c>
      <c r="Q192" s="79">
        <v>0</v>
      </c>
      <c r="R192" s="79"/>
      <c r="S192" s="79"/>
      <c r="T192" s="79"/>
      <c r="U192" s="79"/>
      <c r="V192" s="79"/>
      <c r="W192" s="79"/>
      <c r="X192" s="79"/>
      <c r="Y192" s="79"/>
      <c r="Z192" s="79" t="s">
        <v>504</v>
      </c>
      <c r="AA192" s="154"/>
      <c r="AB192" s="155"/>
      <c r="AC192" s="121"/>
      <c r="AD192" s="202"/>
      <c r="AE192" s="192"/>
      <c r="AF192" s="203"/>
      <c r="AG192" s="121"/>
      <c r="AH192" s="121"/>
      <c r="AI192" s="121"/>
      <c r="AJ192" s="121"/>
      <c r="AK192" s="121"/>
      <c r="AL192" s="121"/>
      <c r="AM192" s="121"/>
      <c r="AN192" s="121"/>
      <c r="AO192" s="121"/>
      <c r="AP192" s="121"/>
      <c r="AQ192" s="121"/>
      <c r="AR192" s="121"/>
      <c r="AS192" s="121"/>
      <c r="AT192" s="121"/>
      <c r="AU192" s="121"/>
      <c r="AV192" s="156"/>
      <c r="AW192" s="156"/>
      <c r="AX192" s="156"/>
      <c r="AY192" s="156"/>
      <c r="AZ192" s="156">
        <v>1</v>
      </c>
      <c r="BA192" s="156"/>
      <c r="BB192" s="156"/>
      <c r="BC192" s="156"/>
      <c r="BD192" s="157"/>
      <c r="BE192" s="134"/>
      <c r="BF192" s="134"/>
      <c r="BG192" s="134"/>
      <c r="BH192" s="134"/>
      <c r="BI192" s="134"/>
      <c r="BJ192" s="259"/>
      <c r="BK192" s="138"/>
      <c r="BL192" s="134"/>
      <c r="BM192" s="134"/>
      <c r="BN192" s="134"/>
      <c r="BO192" s="138"/>
      <c r="BP192" s="134"/>
      <c r="BQ192" s="134"/>
      <c r="BR192" s="134"/>
      <c r="BS192" s="288"/>
      <c r="BT192" s="289"/>
      <c r="BU192" s="138"/>
      <c r="BV192" s="134"/>
      <c r="BW192" s="134"/>
      <c r="BX192" s="134"/>
      <c r="BY192" s="138"/>
      <c r="BZ192" s="134"/>
      <c r="CA192" s="134"/>
      <c r="CB192" s="134"/>
      <c r="CC192" s="288"/>
      <c r="CD192" s="289"/>
      <c r="CE192" s="276"/>
      <c r="CF192" s="308"/>
      <c r="CG192" s="138"/>
      <c r="CH192" s="134"/>
      <c r="CI192" s="134"/>
      <c r="CJ192" s="134"/>
      <c r="CK192" s="134"/>
      <c r="CL192" s="134"/>
      <c r="CM192" s="134"/>
      <c r="CN192" s="134"/>
      <c r="CO192" s="300"/>
      <c r="CP192" s="301"/>
      <c r="CQ192" s="134"/>
      <c r="CR192" s="134"/>
      <c r="CS192" s="134"/>
      <c r="CT192" s="134"/>
      <c r="CU192" s="134"/>
      <c r="CV192" s="134"/>
      <c r="CW192" s="134"/>
      <c r="CX192" s="134"/>
      <c r="CY192" s="300"/>
      <c r="CZ192" s="301"/>
      <c r="DA192" s="276"/>
      <c r="DB192" s="277"/>
      <c r="DC192" s="134"/>
      <c r="DD192" s="134"/>
      <c r="DE192" s="134"/>
      <c r="DF192" s="134"/>
      <c r="DG192" s="138"/>
      <c r="DH192" s="134"/>
      <c r="DI192" s="134"/>
      <c r="DJ192" s="134"/>
      <c r="DK192" s="301"/>
      <c r="DL192" s="301"/>
      <c r="DM192" s="134"/>
      <c r="DN192" s="134"/>
      <c r="DO192" s="134"/>
      <c r="DP192" s="134"/>
      <c r="DQ192" s="134"/>
      <c r="DR192" s="134"/>
      <c r="DS192" s="134"/>
      <c r="DT192" s="134"/>
      <c r="DU192" s="301"/>
      <c r="DV192" s="301"/>
      <c r="DW192" s="277"/>
      <c r="DX192" s="134"/>
      <c r="DY192" s="134"/>
      <c r="DZ192" s="134"/>
      <c r="EA192" s="134"/>
      <c r="EB192" s="134"/>
      <c r="EC192" s="134"/>
      <c r="ED192" s="134"/>
      <c r="EE192" s="134"/>
      <c r="EF192" s="301"/>
      <c r="EG192" s="301"/>
      <c r="EH192" s="134"/>
      <c r="EI192" s="134"/>
      <c r="EJ192" s="134"/>
      <c r="EK192" s="134"/>
    </row>
    <row r="193" spans="1:141">
      <c r="A193" s="79" t="s">
        <v>1051</v>
      </c>
      <c r="B193" s="117">
        <v>129</v>
      </c>
      <c r="C193" s="123" t="s">
        <v>2076</v>
      </c>
      <c r="D193" s="124" t="s">
        <v>2330</v>
      </c>
      <c r="E193" s="125">
        <v>2006</v>
      </c>
      <c r="F193" s="79">
        <v>16860405</v>
      </c>
      <c r="G193" s="79">
        <v>1</v>
      </c>
      <c r="H193" s="126">
        <v>1</v>
      </c>
      <c r="I193" s="127"/>
      <c r="J193" s="79">
        <v>1</v>
      </c>
      <c r="K193" s="79"/>
      <c r="L193" s="79">
        <v>1</v>
      </c>
      <c r="M193" s="128">
        <v>2</v>
      </c>
      <c r="N193" s="79" t="s">
        <v>1352</v>
      </c>
      <c r="O193" s="79" t="s">
        <v>1224</v>
      </c>
      <c r="P193" s="79" t="s">
        <v>1127</v>
      </c>
      <c r="Q193" s="79"/>
      <c r="R193" s="79" t="s">
        <v>1487</v>
      </c>
      <c r="S193" s="79" t="s">
        <v>23</v>
      </c>
      <c r="T193" s="79" t="s">
        <v>23</v>
      </c>
      <c r="U193" s="79" t="s">
        <v>1691</v>
      </c>
      <c r="V193" s="79"/>
      <c r="W193" s="79"/>
      <c r="X193" s="79"/>
      <c r="Y193" s="79"/>
      <c r="Z193" s="79" t="s">
        <v>1351</v>
      </c>
      <c r="AA193" s="154"/>
      <c r="AB193" s="155"/>
      <c r="AC193" s="121">
        <v>4</v>
      </c>
      <c r="AD193" s="202"/>
      <c r="AE193" s="192"/>
      <c r="AF193" s="203"/>
      <c r="AG193" s="121"/>
      <c r="AH193" s="121"/>
      <c r="AI193" s="121"/>
      <c r="AJ193" s="121"/>
      <c r="AK193" s="121"/>
      <c r="AL193" s="121"/>
      <c r="AM193" s="121"/>
      <c r="AN193" s="121"/>
      <c r="AO193" s="121"/>
      <c r="AP193" s="121"/>
      <c r="AQ193" s="121"/>
      <c r="AR193" s="121"/>
      <c r="AS193" s="121"/>
      <c r="AT193" s="121"/>
      <c r="AU193" s="121"/>
      <c r="AV193" s="156"/>
      <c r="AW193" s="156"/>
      <c r="AX193" s="156"/>
      <c r="AY193" s="156"/>
      <c r="AZ193" s="156">
        <v>1</v>
      </c>
      <c r="BA193" s="156"/>
      <c r="BB193" s="156"/>
      <c r="BC193" s="156"/>
      <c r="BD193" s="157"/>
      <c r="BE193" s="134"/>
      <c r="BF193" s="134"/>
      <c r="BG193" s="134"/>
      <c r="BH193" s="134"/>
      <c r="BI193" s="134"/>
      <c r="BJ193" s="259"/>
      <c r="BK193" s="138"/>
      <c r="BL193" s="134"/>
      <c r="BM193" s="134"/>
      <c r="BN193" s="134"/>
      <c r="BO193" s="138"/>
      <c r="BP193" s="134"/>
      <c r="BQ193" s="134"/>
      <c r="BR193" s="134"/>
      <c r="BS193" s="288"/>
      <c r="BT193" s="289"/>
      <c r="BU193" s="138"/>
      <c r="BV193" s="134"/>
      <c r="BW193" s="134"/>
      <c r="BX193" s="134"/>
      <c r="BY193" s="138"/>
      <c r="BZ193" s="134"/>
      <c r="CA193" s="134"/>
      <c r="CB193" s="134"/>
      <c r="CC193" s="288"/>
      <c r="CD193" s="289"/>
      <c r="CE193" s="276"/>
      <c r="CF193" s="308"/>
      <c r="CG193" s="138"/>
      <c r="CH193" s="134"/>
      <c r="CI193" s="134"/>
      <c r="CJ193" s="134"/>
      <c r="CK193" s="134"/>
      <c r="CL193" s="134"/>
      <c r="CM193" s="134"/>
      <c r="CN193" s="134"/>
      <c r="CO193" s="300"/>
      <c r="CP193" s="301"/>
      <c r="CQ193" s="134"/>
      <c r="CR193" s="134"/>
      <c r="CS193" s="134"/>
      <c r="CT193" s="134"/>
      <c r="CU193" s="134"/>
      <c r="CV193" s="134"/>
      <c r="CW193" s="134"/>
      <c r="CX193" s="134"/>
      <c r="CY193" s="300"/>
      <c r="CZ193" s="301"/>
      <c r="DA193" s="276"/>
      <c r="DB193" s="277"/>
      <c r="DC193" s="134"/>
      <c r="DD193" s="134"/>
      <c r="DE193" s="134"/>
      <c r="DF193" s="134"/>
      <c r="DG193" s="138"/>
      <c r="DH193" s="134"/>
      <c r="DI193" s="134"/>
      <c r="DJ193" s="134"/>
      <c r="DK193" s="301"/>
      <c r="DL193" s="301"/>
      <c r="DM193" s="134"/>
      <c r="DN193" s="134"/>
      <c r="DO193" s="134"/>
      <c r="DP193" s="134"/>
      <c r="DQ193" s="134"/>
      <c r="DR193" s="134"/>
      <c r="DS193" s="134"/>
      <c r="DT193" s="134"/>
      <c r="DU193" s="301"/>
      <c r="DV193" s="301"/>
      <c r="DW193" s="277"/>
      <c r="DX193" s="134"/>
      <c r="DY193" s="134"/>
      <c r="DZ193" s="134"/>
      <c r="EA193" s="134"/>
      <c r="EB193" s="134"/>
      <c r="EC193" s="134"/>
      <c r="ED193" s="134"/>
      <c r="EE193" s="134"/>
      <c r="EF193" s="301"/>
      <c r="EG193" s="301"/>
      <c r="EH193" s="134"/>
      <c r="EI193" s="134"/>
      <c r="EJ193" s="134"/>
      <c r="EK193" s="134"/>
    </row>
    <row r="194" spans="1:141">
      <c r="A194" s="79" t="s">
        <v>176</v>
      </c>
      <c r="B194" s="117">
        <v>130</v>
      </c>
      <c r="C194" s="123" t="s">
        <v>1964</v>
      </c>
      <c r="D194" s="124" t="s">
        <v>2187</v>
      </c>
      <c r="E194" s="125">
        <v>1998</v>
      </c>
      <c r="F194" s="79">
        <v>9464211</v>
      </c>
      <c r="G194" s="79">
        <v>1</v>
      </c>
      <c r="H194" s="126"/>
      <c r="I194" s="127"/>
      <c r="J194" s="79">
        <v>1</v>
      </c>
      <c r="K194" s="79"/>
      <c r="L194" s="79">
        <v>1</v>
      </c>
      <c r="M194" s="128">
        <v>1</v>
      </c>
      <c r="N194" s="79" t="s">
        <v>73</v>
      </c>
      <c r="O194" s="79" t="s">
        <v>1147</v>
      </c>
      <c r="P194" s="79" t="s">
        <v>518</v>
      </c>
      <c r="Q194" s="79">
        <v>0</v>
      </c>
      <c r="R194" s="79"/>
      <c r="S194" s="79"/>
      <c r="T194" s="79"/>
      <c r="U194" s="79" t="s">
        <v>519</v>
      </c>
      <c r="V194" s="79"/>
      <c r="W194" s="79"/>
      <c r="X194" s="79" t="s">
        <v>520</v>
      </c>
      <c r="Y194" s="79"/>
      <c r="Z194" s="79"/>
      <c r="AA194" s="154"/>
      <c r="AB194" s="155"/>
      <c r="AC194" s="121"/>
      <c r="AD194" s="202"/>
      <c r="AE194" s="192"/>
      <c r="AF194" s="203"/>
      <c r="AG194" s="121"/>
      <c r="AH194" s="121"/>
      <c r="AI194" s="121"/>
      <c r="AJ194" s="121"/>
      <c r="AK194" s="121"/>
      <c r="AL194" s="121"/>
      <c r="AM194" s="121"/>
      <c r="AN194" s="121"/>
      <c r="AO194" s="121"/>
      <c r="AP194" s="121"/>
      <c r="AQ194" s="121"/>
      <c r="AR194" s="121"/>
      <c r="AS194" s="121"/>
      <c r="AT194" s="121"/>
      <c r="AU194" s="121"/>
      <c r="AV194" s="156"/>
      <c r="AW194" s="156"/>
      <c r="AX194" s="156"/>
      <c r="AY194" s="156"/>
      <c r="AZ194" s="156">
        <v>1</v>
      </c>
      <c r="BA194" s="156"/>
      <c r="BB194" s="156"/>
      <c r="BC194" s="156"/>
      <c r="BD194" s="157"/>
      <c r="BE194" s="134"/>
      <c r="BF194" s="134"/>
      <c r="BG194" s="134"/>
      <c r="BH194" s="134"/>
      <c r="BI194" s="134"/>
      <c r="BJ194" s="259"/>
      <c r="BK194" s="138"/>
      <c r="BL194" s="134"/>
      <c r="BM194" s="134"/>
      <c r="BN194" s="134"/>
      <c r="BO194" s="138"/>
      <c r="BP194" s="134"/>
      <c r="BQ194" s="134"/>
      <c r="BR194" s="134"/>
      <c r="BS194" s="288"/>
      <c r="BT194" s="289"/>
      <c r="BU194" s="138"/>
      <c r="BV194" s="134"/>
      <c r="BW194" s="134"/>
      <c r="BX194" s="134"/>
      <c r="BY194" s="138"/>
      <c r="BZ194" s="134"/>
      <c r="CA194" s="134"/>
      <c r="CB194" s="134"/>
      <c r="CC194" s="288"/>
      <c r="CD194" s="289"/>
      <c r="CE194" s="276"/>
      <c r="CF194" s="308"/>
      <c r="CG194" s="138"/>
      <c r="CH194" s="134"/>
      <c r="CI194" s="134"/>
      <c r="CJ194" s="134"/>
      <c r="CK194" s="134"/>
      <c r="CL194" s="134"/>
      <c r="CM194" s="134"/>
      <c r="CN194" s="134"/>
      <c r="CO194" s="300"/>
      <c r="CP194" s="301"/>
      <c r="CQ194" s="134"/>
      <c r="CR194" s="134"/>
      <c r="CS194" s="134"/>
      <c r="CT194" s="134"/>
      <c r="CU194" s="134"/>
      <c r="CV194" s="134"/>
      <c r="CW194" s="134"/>
      <c r="CX194" s="134"/>
      <c r="CY194" s="300"/>
      <c r="CZ194" s="301"/>
      <c r="DA194" s="276"/>
      <c r="DB194" s="277"/>
      <c r="DC194" s="134"/>
      <c r="DD194" s="134"/>
      <c r="DE194" s="134"/>
      <c r="DF194" s="134"/>
      <c r="DG194" s="138"/>
      <c r="DH194" s="134"/>
      <c r="DI194" s="134"/>
      <c r="DJ194" s="134"/>
      <c r="DK194" s="301"/>
      <c r="DL194" s="301"/>
      <c r="DM194" s="134"/>
      <c r="DN194" s="134"/>
      <c r="DO194" s="134"/>
      <c r="DP194" s="134"/>
      <c r="DQ194" s="134"/>
      <c r="DR194" s="134"/>
      <c r="DS194" s="134"/>
      <c r="DT194" s="134"/>
      <c r="DU194" s="301"/>
      <c r="DV194" s="301"/>
      <c r="DW194" s="277"/>
      <c r="DX194" s="134"/>
      <c r="DY194" s="134"/>
      <c r="DZ194" s="134"/>
      <c r="EA194" s="134"/>
      <c r="EB194" s="134"/>
      <c r="EC194" s="134"/>
      <c r="ED194" s="134"/>
      <c r="EE194" s="134"/>
      <c r="EF194" s="301"/>
      <c r="EG194" s="301"/>
      <c r="EH194" s="134"/>
      <c r="EI194" s="134"/>
      <c r="EJ194" s="134"/>
      <c r="EK194" s="134"/>
    </row>
    <row r="195" spans="1:141">
      <c r="A195" s="79" t="s">
        <v>1047</v>
      </c>
      <c r="B195" s="117">
        <v>131</v>
      </c>
      <c r="C195" s="123" t="s">
        <v>2079</v>
      </c>
      <c r="D195" s="124" t="s">
        <v>2333</v>
      </c>
      <c r="E195" s="125">
        <v>2016</v>
      </c>
      <c r="F195" s="79">
        <v>27275520</v>
      </c>
      <c r="G195" s="79">
        <v>1</v>
      </c>
      <c r="H195" s="126"/>
      <c r="I195" s="127"/>
      <c r="J195" s="79">
        <v>1</v>
      </c>
      <c r="K195" s="79"/>
      <c r="L195" s="79">
        <v>1</v>
      </c>
      <c r="M195" s="128">
        <v>2</v>
      </c>
      <c r="N195" s="79" t="s">
        <v>1361</v>
      </c>
      <c r="O195" s="79" t="s">
        <v>1216</v>
      </c>
      <c r="P195" s="79" t="s">
        <v>1127</v>
      </c>
      <c r="Q195" s="79"/>
      <c r="R195" s="79" t="s">
        <v>1487</v>
      </c>
      <c r="S195" s="79"/>
      <c r="T195" s="79"/>
      <c r="U195" s="79" t="s">
        <v>1360</v>
      </c>
      <c r="V195" s="79" t="s">
        <v>24</v>
      </c>
      <c r="W195" s="79" t="s">
        <v>24</v>
      </c>
      <c r="X195" s="79"/>
      <c r="Y195" s="79"/>
      <c r="Z195" s="79"/>
      <c r="AA195" s="154"/>
      <c r="AB195" s="155"/>
      <c r="AC195" s="121">
        <v>4</v>
      </c>
      <c r="AD195" s="202"/>
      <c r="AE195" s="192"/>
      <c r="AF195" s="203"/>
      <c r="AG195" s="121"/>
      <c r="AH195" s="121"/>
      <c r="AI195" s="121"/>
      <c r="AJ195" s="121"/>
      <c r="AK195" s="121"/>
      <c r="AL195" s="121"/>
      <c r="AM195" s="121"/>
      <c r="AN195" s="121"/>
      <c r="AO195" s="121"/>
      <c r="AP195" s="121"/>
      <c r="AQ195" s="121"/>
      <c r="AR195" s="121"/>
      <c r="AS195" s="121"/>
      <c r="AT195" s="121"/>
      <c r="AU195" s="121"/>
      <c r="AV195" s="156"/>
      <c r="AW195" s="156"/>
      <c r="AX195" s="156"/>
      <c r="AY195" s="156"/>
      <c r="AZ195" s="156"/>
      <c r="BA195" s="156"/>
      <c r="BB195" s="156"/>
      <c r="BC195" s="156"/>
      <c r="BD195" s="157"/>
      <c r="BE195" s="134"/>
      <c r="BF195" s="134"/>
      <c r="BG195" s="134"/>
      <c r="BH195" s="134"/>
      <c r="BI195" s="134"/>
      <c r="BJ195" s="259"/>
      <c r="BK195" s="138"/>
      <c r="BL195" s="134"/>
      <c r="BM195" s="134"/>
      <c r="BN195" s="134"/>
      <c r="BO195" s="138"/>
      <c r="BP195" s="134"/>
      <c r="BQ195" s="134"/>
      <c r="BR195" s="134"/>
      <c r="BS195" s="288"/>
      <c r="BT195" s="289"/>
      <c r="BU195" s="138"/>
      <c r="BV195" s="134"/>
      <c r="BW195" s="134"/>
      <c r="BX195" s="134"/>
      <c r="BY195" s="138"/>
      <c r="BZ195" s="134"/>
      <c r="CA195" s="134"/>
      <c r="CB195" s="134"/>
      <c r="CC195" s="288"/>
      <c r="CD195" s="289"/>
      <c r="CE195" s="276"/>
      <c r="CF195" s="308"/>
      <c r="CG195" s="138"/>
      <c r="CH195" s="134"/>
      <c r="CI195" s="134"/>
      <c r="CJ195" s="134"/>
      <c r="CK195" s="134"/>
      <c r="CL195" s="134"/>
      <c r="CM195" s="134"/>
      <c r="CN195" s="134"/>
      <c r="CO195" s="300"/>
      <c r="CP195" s="301"/>
      <c r="CQ195" s="134"/>
      <c r="CR195" s="134"/>
      <c r="CS195" s="134"/>
      <c r="CT195" s="134"/>
      <c r="CU195" s="134"/>
      <c r="CV195" s="134"/>
      <c r="CW195" s="134"/>
      <c r="CX195" s="134"/>
      <c r="CY195" s="300"/>
      <c r="CZ195" s="301"/>
      <c r="DA195" s="276"/>
      <c r="DB195" s="277"/>
      <c r="DC195" s="134"/>
      <c r="DD195" s="134"/>
      <c r="DE195" s="134"/>
      <c r="DF195" s="134"/>
      <c r="DG195" s="138"/>
      <c r="DH195" s="134"/>
      <c r="DI195" s="134"/>
      <c r="DJ195" s="134"/>
      <c r="DK195" s="301"/>
      <c r="DL195" s="301"/>
      <c r="DM195" s="134"/>
      <c r="DN195" s="134"/>
      <c r="DO195" s="134"/>
      <c r="DP195" s="134"/>
      <c r="DQ195" s="134"/>
      <c r="DR195" s="134"/>
      <c r="DS195" s="134"/>
      <c r="DT195" s="134"/>
      <c r="DU195" s="301"/>
      <c r="DV195" s="301"/>
      <c r="DW195" s="277"/>
      <c r="DX195" s="134"/>
      <c r="DY195" s="134"/>
      <c r="DZ195" s="134"/>
      <c r="EA195" s="134"/>
      <c r="EB195" s="134"/>
      <c r="EC195" s="134"/>
      <c r="ED195" s="134"/>
      <c r="EE195" s="134"/>
      <c r="EF195" s="301"/>
      <c r="EG195" s="301"/>
      <c r="EH195" s="134"/>
      <c r="EI195" s="134"/>
      <c r="EJ195" s="134"/>
      <c r="EK195" s="134"/>
    </row>
    <row r="196" spans="1:141">
      <c r="A196" s="79" t="s">
        <v>1043</v>
      </c>
      <c r="B196" s="117">
        <v>132</v>
      </c>
      <c r="C196" s="123" t="s">
        <v>2080</v>
      </c>
      <c r="D196" s="124" t="s">
        <v>2334</v>
      </c>
      <c r="E196" s="125">
        <v>2014</v>
      </c>
      <c r="F196" s="79">
        <v>24239430</v>
      </c>
      <c r="G196" s="79">
        <v>1</v>
      </c>
      <c r="H196" s="126" t="s">
        <v>1852</v>
      </c>
      <c r="I196" s="127"/>
      <c r="J196" s="79">
        <v>0</v>
      </c>
      <c r="K196" s="79"/>
      <c r="L196" s="79">
        <v>0</v>
      </c>
      <c r="M196" s="128">
        <v>2</v>
      </c>
      <c r="N196" s="79" t="s">
        <v>1369</v>
      </c>
      <c r="O196" s="79"/>
      <c r="P196" s="79"/>
      <c r="Q196" s="79"/>
      <c r="R196" s="79" t="s">
        <v>1367</v>
      </c>
      <c r="S196" s="79"/>
      <c r="T196" s="79"/>
      <c r="U196" s="79" t="s">
        <v>1248</v>
      </c>
      <c r="V196" s="79" t="s">
        <v>24</v>
      </c>
      <c r="W196" s="79" t="s">
        <v>1368</v>
      </c>
      <c r="X196" s="79"/>
      <c r="Y196" s="79" t="s">
        <v>1660</v>
      </c>
      <c r="Z196" s="79" t="s">
        <v>1659</v>
      </c>
      <c r="AA196" s="154"/>
      <c r="AB196" s="155"/>
      <c r="AC196" s="121"/>
      <c r="AD196" s="202"/>
      <c r="AE196" s="192"/>
      <c r="AF196" s="203"/>
      <c r="AG196" s="121"/>
      <c r="AH196" s="121"/>
      <c r="AI196" s="121"/>
      <c r="AJ196" s="121"/>
      <c r="AK196" s="121"/>
      <c r="AL196" s="121"/>
      <c r="AM196" s="121"/>
      <c r="AN196" s="121"/>
      <c r="AO196" s="121"/>
      <c r="AP196" s="121"/>
      <c r="AQ196" s="121"/>
      <c r="AR196" s="121"/>
      <c r="AS196" s="121"/>
      <c r="AT196" s="121"/>
      <c r="AU196" s="121"/>
      <c r="AV196" s="156"/>
      <c r="AW196" s="156"/>
      <c r="AX196" s="156"/>
      <c r="AY196" s="156"/>
      <c r="AZ196" s="156"/>
      <c r="BA196" s="156"/>
      <c r="BB196" s="156"/>
      <c r="BC196" s="156"/>
      <c r="BD196" s="157"/>
      <c r="BE196" s="134"/>
      <c r="BF196" s="134"/>
      <c r="BG196" s="134"/>
      <c r="BH196" s="134"/>
      <c r="BI196" s="134"/>
      <c r="BJ196" s="259"/>
      <c r="BK196" s="138"/>
      <c r="BL196" s="134"/>
      <c r="BM196" s="134"/>
      <c r="BN196" s="134"/>
      <c r="BO196" s="138"/>
      <c r="BP196" s="134"/>
      <c r="BQ196" s="134"/>
      <c r="BR196" s="134"/>
      <c r="BS196" s="288"/>
      <c r="BT196" s="289"/>
      <c r="BU196" s="138"/>
      <c r="BV196" s="134"/>
      <c r="BW196" s="134"/>
      <c r="BX196" s="134"/>
      <c r="BY196" s="138"/>
      <c r="BZ196" s="134"/>
      <c r="CA196" s="134"/>
      <c r="CB196" s="134"/>
      <c r="CC196" s="288"/>
      <c r="CD196" s="289"/>
      <c r="CE196" s="276"/>
      <c r="CF196" s="308"/>
      <c r="CG196" s="138"/>
      <c r="CH196" s="134"/>
      <c r="CI196" s="134"/>
      <c r="CJ196" s="134"/>
      <c r="CK196" s="134"/>
      <c r="CL196" s="134"/>
      <c r="CM196" s="134"/>
      <c r="CN196" s="134"/>
      <c r="CO196" s="300"/>
      <c r="CP196" s="301"/>
      <c r="CQ196" s="134"/>
      <c r="CR196" s="134"/>
      <c r="CS196" s="134"/>
      <c r="CT196" s="134"/>
      <c r="CU196" s="134"/>
      <c r="CV196" s="134"/>
      <c r="CW196" s="134"/>
      <c r="CX196" s="134"/>
      <c r="CY196" s="300"/>
      <c r="CZ196" s="301"/>
      <c r="DA196" s="276"/>
      <c r="DB196" s="277"/>
      <c r="DC196" s="134"/>
      <c r="DD196" s="134"/>
      <c r="DE196" s="134"/>
      <c r="DF196" s="134"/>
      <c r="DG196" s="138"/>
      <c r="DH196" s="134"/>
      <c r="DI196" s="134"/>
      <c r="DJ196" s="134"/>
      <c r="DK196" s="301"/>
      <c r="DL196" s="301"/>
      <c r="DM196" s="134"/>
      <c r="DN196" s="134"/>
      <c r="DO196" s="134"/>
      <c r="DP196" s="134"/>
      <c r="DQ196" s="134"/>
      <c r="DR196" s="134"/>
      <c r="DS196" s="134"/>
      <c r="DT196" s="134"/>
      <c r="DU196" s="301"/>
      <c r="DV196" s="301"/>
      <c r="DW196" s="277"/>
      <c r="DX196" s="134"/>
      <c r="DY196" s="134"/>
      <c r="DZ196" s="134"/>
      <c r="EA196" s="134"/>
      <c r="EB196" s="134"/>
      <c r="EC196" s="134"/>
      <c r="ED196" s="134"/>
      <c r="EE196" s="134"/>
      <c r="EF196" s="301"/>
      <c r="EG196" s="301"/>
      <c r="EH196" s="134"/>
      <c r="EI196" s="134"/>
      <c r="EJ196" s="134"/>
      <c r="EK196" s="134"/>
    </row>
    <row r="197" spans="1:141">
      <c r="A197" s="79" t="s">
        <v>180</v>
      </c>
      <c r="B197" s="117">
        <v>133</v>
      </c>
      <c r="C197" s="123" t="s">
        <v>1965</v>
      </c>
      <c r="D197" s="124" t="s">
        <v>2188</v>
      </c>
      <c r="E197" s="125">
        <v>2013</v>
      </c>
      <c r="F197" s="79">
        <v>24005546</v>
      </c>
      <c r="G197" s="79">
        <v>1</v>
      </c>
      <c r="H197" s="126"/>
      <c r="I197" s="127"/>
      <c r="J197" s="79">
        <v>1</v>
      </c>
      <c r="K197" s="79"/>
      <c r="L197" s="79">
        <v>1</v>
      </c>
      <c r="M197" s="128">
        <v>1</v>
      </c>
      <c r="N197" s="79" t="s">
        <v>528</v>
      </c>
      <c r="O197" s="79" t="s">
        <v>1176</v>
      </c>
      <c r="P197" s="79" t="s">
        <v>25</v>
      </c>
      <c r="Q197" s="79">
        <v>1</v>
      </c>
      <c r="R197" s="79"/>
      <c r="S197" s="79"/>
      <c r="T197" s="79"/>
      <c r="U197" s="79" t="s">
        <v>529</v>
      </c>
      <c r="V197" s="79" t="s">
        <v>24</v>
      </c>
      <c r="W197" s="79" t="s">
        <v>530</v>
      </c>
      <c r="X197" s="79"/>
      <c r="Y197" s="79"/>
      <c r="Z197" s="79" t="s">
        <v>531</v>
      </c>
      <c r="AA197" s="154"/>
      <c r="AB197" s="155"/>
      <c r="AC197" s="121">
        <v>2</v>
      </c>
      <c r="AD197" s="202"/>
      <c r="AE197" s="192"/>
      <c r="AF197" s="203"/>
      <c r="AG197" s="121"/>
      <c r="AH197" s="121"/>
      <c r="AI197" s="121"/>
      <c r="AJ197" s="121"/>
      <c r="AK197" s="121"/>
      <c r="AL197" s="121"/>
      <c r="AM197" s="121"/>
      <c r="AN197" s="121"/>
      <c r="AO197" s="121"/>
      <c r="AP197" s="121"/>
      <c r="AQ197" s="121"/>
      <c r="AR197" s="121"/>
      <c r="AS197" s="121"/>
      <c r="AT197" s="121"/>
      <c r="AU197" s="121"/>
      <c r="AV197" s="156"/>
      <c r="AW197" s="156"/>
      <c r="AX197" s="156"/>
      <c r="AY197" s="156">
        <v>1</v>
      </c>
      <c r="AZ197" s="156">
        <v>1</v>
      </c>
      <c r="BA197" s="156">
        <v>1</v>
      </c>
      <c r="BB197" s="156"/>
      <c r="BC197" s="156"/>
      <c r="BD197" s="157"/>
      <c r="BE197" s="134"/>
      <c r="BF197" s="134"/>
      <c r="BG197" s="134"/>
      <c r="BH197" s="134"/>
      <c r="BI197" s="134"/>
      <c r="BJ197" s="259"/>
      <c r="BK197" s="138"/>
      <c r="BL197" s="134"/>
      <c r="BM197" s="134"/>
      <c r="BN197" s="134"/>
      <c r="BO197" s="138"/>
      <c r="BP197" s="134"/>
      <c r="BQ197" s="134"/>
      <c r="BR197" s="134"/>
      <c r="BS197" s="288"/>
      <c r="BT197" s="289"/>
      <c r="BU197" s="138"/>
      <c r="BV197" s="134"/>
      <c r="BW197" s="134"/>
      <c r="BX197" s="134"/>
      <c r="BY197" s="138"/>
      <c r="BZ197" s="134"/>
      <c r="CA197" s="134"/>
      <c r="CB197" s="134"/>
      <c r="CC197" s="288"/>
      <c r="CD197" s="289"/>
      <c r="CE197" s="276"/>
      <c r="CF197" s="308"/>
      <c r="CG197" s="138"/>
      <c r="CH197" s="134"/>
      <c r="CI197" s="134"/>
      <c r="CJ197" s="134"/>
      <c r="CK197" s="134"/>
      <c r="CL197" s="134"/>
      <c r="CM197" s="134"/>
      <c r="CN197" s="134"/>
      <c r="CO197" s="300"/>
      <c r="CP197" s="301"/>
      <c r="CQ197" s="134"/>
      <c r="CR197" s="134"/>
      <c r="CS197" s="134"/>
      <c r="CT197" s="134"/>
      <c r="CU197" s="134"/>
      <c r="CV197" s="134"/>
      <c r="CW197" s="134"/>
      <c r="CX197" s="134"/>
      <c r="CY197" s="300"/>
      <c r="CZ197" s="301"/>
      <c r="DA197" s="276"/>
      <c r="DB197" s="277"/>
      <c r="DC197" s="134"/>
      <c r="DD197" s="134"/>
      <c r="DE197" s="134"/>
      <c r="DF197" s="134"/>
      <c r="DG197" s="138"/>
      <c r="DH197" s="134"/>
      <c r="DI197" s="134"/>
      <c r="DJ197" s="134"/>
      <c r="DK197" s="301"/>
      <c r="DL197" s="301"/>
      <c r="DM197" s="134"/>
      <c r="DN197" s="134"/>
      <c r="DO197" s="134"/>
      <c r="DP197" s="134"/>
      <c r="DQ197" s="134"/>
      <c r="DR197" s="134"/>
      <c r="DS197" s="134"/>
      <c r="DT197" s="134"/>
      <c r="DU197" s="301"/>
      <c r="DV197" s="301"/>
      <c r="DW197" s="277"/>
      <c r="DX197" s="134"/>
      <c r="DY197" s="134"/>
      <c r="DZ197" s="134"/>
      <c r="EA197" s="134"/>
      <c r="EB197" s="134"/>
      <c r="EC197" s="134"/>
      <c r="ED197" s="134"/>
      <c r="EE197" s="134"/>
      <c r="EF197" s="301"/>
      <c r="EG197" s="301"/>
      <c r="EH197" s="134"/>
      <c r="EI197" s="134"/>
      <c r="EJ197" s="134"/>
      <c r="EK197" s="134"/>
    </row>
    <row r="198" spans="1:141">
      <c r="A198" s="79" t="s">
        <v>181</v>
      </c>
      <c r="B198" s="117">
        <v>134</v>
      </c>
      <c r="C198" s="123" t="s">
        <v>1965</v>
      </c>
      <c r="D198" s="124" t="s">
        <v>2189</v>
      </c>
      <c r="E198" s="125">
        <v>2014</v>
      </c>
      <c r="F198" s="79">
        <v>24717141</v>
      </c>
      <c r="G198" s="79">
        <v>1</v>
      </c>
      <c r="H198" s="126"/>
      <c r="I198" s="127"/>
      <c r="J198" s="79">
        <v>1</v>
      </c>
      <c r="K198" s="79"/>
      <c r="L198" s="79">
        <v>1</v>
      </c>
      <c r="M198" s="128">
        <v>1</v>
      </c>
      <c r="N198" s="79" t="s">
        <v>528</v>
      </c>
      <c r="O198" s="79" t="s">
        <v>1175</v>
      </c>
      <c r="P198" s="79" t="s">
        <v>25</v>
      </c>
      <c r="Q198" s="79">
        <v>1</v>
      </c>
      <c r="R198" s="79"/>
      <c r="S198" s="79"/>
      <c r="T198" s="79"/>
      <c r="U198" s="79" t="s">
        <v>532</v>
      </c>
      <c r="V198" s="79" t="s">
        <v>24</v>
      </c>
      <c r="W198" s="79" t="s">
        <v>530</v>
      </c>
      <c r="X198" s="79"/>
      <c r="Y198" s="79"/>
      <c r="Z198" s="79" t="s">
        <v>533</v>
      </c>
      <c r="AA198" s="154"/>
      <c r="AB198" s="155"/>
      <c r="AC198" s="121">
        <v>2</v>
      </c>
      <c r="AD198" s="202"/>
      <c r="AE198" s="192"/>
      <c r="AF198" s="203"/>
      <c r="AG198" s="121"/>
      <c r="AH198" s="121"/>
      <c r="AI198" s="121"/>
      <c r="AJ198" s="121"/>
      <c r="AK198" s="121"/>
      <c r="AL198" s="121"/>
      <c r="AM198" s="121"/>
      <c r="AN198" s="121"/>
      <c r="AO198" s="121"/>
      <c r="AP198" s="121"/>
      <c r="AQ198" s="121"/>
      <c r="AR198" s="121"/>
      <c r="AS198" s="121"/>
      <c r="AT198" s="121"/>
      <c r="AU198" s="121"/>
      <c r="AV198" s="156"/>
      <c r="AW198" s="156"/>
      <c r="AX198" s="156"/>
      <c r="AY198" s="156">
        <v>1</v>
      </c>
      <c r="AZ198" s="156">
        <v>1</v>
      </c>
      <c r="BA198" s="156"/>
      <c r="BB198" s="156"/>
      <c r="BC198" s="156"/>
      <c r="BD198" s="157"/>
      <c r="BE198" s="134"/>
      <c r="BF198" s="134"/>
      <c r="BG198" s="134"/>
      <c r="BH198" s="134"/>
      <c r="BI198" s="134"/>
      <c r="BJ198" s="259"/>
      <c r="BK198" s="138"/>
      <c r="BL198" s="134"/>
      <c r="BM198" s="134"/>
      <c r="BN198" s="134"/>
      <c r="BO198" s="138"/>
      <c r="BP198" s="134"/>
      <c r="BQ198" s="134"/>
      <c r="BR198" s="134"/>
      <c r="BS198" s="288"/>
      <c r="BT198" s="289"/>
      <c r="BU198" s="138"/>
      <c r="BV198" s="134"/>
      <c r="BW198" s="134"/>
      <c r="BX198" s="134"/>
      <c r="BY198" s="138"/>
      <c r="BZ198" s="134"/>
      <c r="CA198" s="134"/>
      <c r="CB198" s="134"/>
      <c r="CC198" s="288"/>
      <c r="CD198" s="289"/>
      <c r="CE198" s="276"/>
      <c r="CF198" s="308"/>
      <c r="CG198" s="138"/>
      <c r="CH198" s="134"/>
      <c r="CI198" s="134"/>
      <c r="CJ198" s="134"/>
      <c r="CK198" s="134"/>
      <c r="CL198" s="134"/>
      <c r="CM198" s="134"/>
      <c r="CN198" s="134"/>
      <c r="CO198" s="300"/>
      <c r="CP198" s="301"/>
      <c r="CQ198" s="134"/>
      <c r="CR198" s="134"/>
      <c r="CS198" s="134"/>
      <c r="CT198" s="134"/>
      <c r="CU198" s="134"/>
      <c r="CV198" s="134"/>
      <c r="CW198" s="134"/>
      <c r="CX198" s="134"/>
      <c r="CY198" s="300"/>
      <c r="CZ198" s="301"/>
      <c r="DA198" s="276"/>
      <c r="DB198" s="277"/>
      <c r="DC198" s="134"/>
      <c r="DD198" s="134"/>
      <c r="DE198" s="134"/>
      <c r="DF198" s="134"/>
      <c r="DG198" s="138"/>
      <c r="DH198" s="134"/>
      <c r="DI198" s="134"/>
      <c r="DJ198" s="134"/>
      <c r="DK198" s="301"/>
      <c r="DL198" s="301"/>
      <c r="DM198" s="134"/>
      <c r="DN198" s="134"/>
      <c r="DO198" s="134"/>
      <c r="DP198" s="134"/>
      <c r="DQ198" s="134"/>
      <c r="DR198" s="134"/>
      <c r="DS198" s="134"/>
      <c r="DT198" s="134"/>
      <c r="DU198" s="301"/>
      <c r="DV198" s="301"/>
      <c r="DW198" s="277"/>
      <c r="DX198" s="134"/>
      <c r="DY198" s="134"/>
      <c r="DZ198" s="134"/>
      <c r="EA198" s="134"/>
      <c r="EB198" s="134"/>
      <c r="EC198" s="134"/>
      <c r="ED198" s="134"/>
      <c r="EE198" s="134"/>
      <c r="EF198" s="301"/>
      <c r="EG198" s="301"/>
      <c r="EH198" s="134"/>
      <c r="EI198" s="134"/>
      <c r="EJ198" s="134"/>
      <c r="EK198" s="134"/>
    </row>
    <row r="199" spans="1:141">
      <c r="A199" s="79" t="s">
        <v>186</v>
      </c>
      <c r="B199" s="117">
        <v>135</v>
      </c>
      <c r="C199" s="123" t="s">
        <v>1966</v>
      </c>
      <c r="D199" s="124" t="s">
        <v>2190</v>
      </c>
      <c r="E199" s="125">
        <v>2015</v>
      </c>
      <c r="F199" s="79">
        <v>24156759</v>
      </c>
      <c r="G199" s="79">
        <v>1</v>
      </c>
      <c r="H199" s="126"/>
      <c r="I199" s="127"/>
      <c r="J199" s="164">
        <v>1</v>
      </c>
      <c r="K199" s="79"/>
      <c r="L199" s="164">
        <v>1</v>
      </c>
      <c r="M199" s="128">
        <v>1</v>
      </c>
      <c r="N199" s="79" t="s">
        <v>541</v>
      </c>
      <c r="O199" s="79"/>
      <c r="P199" s="79" t="s">
        <v>542</v>
      </c>
      <c r="Q199" s="79">
        <v>0</v>
      </c>
      <c r="R199" s="79"/>
      <c r="S199" s="79"/>
      <c r="T199" s="79"/>
      <c r="U199" s="79" t="s">
        <v>492</v>
      </c>
      <c r="V199" s="79"/>
      <c r="W199" s="79"/>
      <c r="X199" s="79"/>
      <c r="Y199" s="79"/>
      <c r="Z199" s="79" t="s">
        <v>543</v>
      </c>
      <c r="AA199" s="154"/>
      <c r="AB199" s="155"/>
      <c r="AC199" s="121"/>
      <c r="AD199" s="202"/>
      <c r="AE199" s="192"/>
      <c r="AF199" s="203"/>
      <c r="AG199" s="121"/>
      <c r="AH199" s="121"/>
      <c r="AI199" s="121"/>
      <c r="AJ199" s="121"/>
      <c r="AK199" s="121"/>
      <c r="AL199" s="121"/>
      <c r="AM199" s="121"/>
      <c r="AN199" s="121"/>
      <c r="AO199" s="121"/>
      <c r="AP199" s="121"/>
      <c r="AQ199" s="121"/>
      <c r="AR199" s="121"/>
      <c r="AS199" s="121"/>
      <c r="AT199" s="121"/>
      <c r="AU199" s="121"/>
      <c r="AV199" s="156"/>
      <c r="AW199" s="156"/>
      <c r="AX199" s="156"/>
      <c r="AY199" s="156"/>
      <c r="AZ199" s="156"/>
      <c r="BA199" s="156"/>
      <c r="BB199" s="156"/>
      <c r="BC199" s="156"/>
      <c r="BD199" s="157"/>
      <c r="BE199" s="134"/>
      <c r="BF199" s="134"/>
      <c r="BG199" s="134"/>
      <c r="BH199" s="134"/>
      <c r="BI199" s="134"/>
      <c r="BJ199" s="259"/>
      <c r="BK199" s="138"/>
      <c r="BL199" s="134"/>
      <c r="BM199" s="134"/>
      <c r="BN199" s="134"/>
      <c r="BO199" s="138"/>
      <c r="BP199" s="134"/>
      <c r="BQ199" s="134"/>
      <c r="BR199" s="134"/>
      <c r="BS199" s="288"/>
      <c r="BT199" s="289"/>
      <c r="BU199" s="138"/>
      <c r="BV199" s="134"/>
      <c r="BW199" s="134"/>
      <c r="BX199" s="134"/>
      <c r="BY199" s="138"/>
      <c r="BZ199" s="134"/>
      <c r="CA199" s="134"/>
      <c r="CB199" s="134"/>
      <c r="CC199" s="288"/>
      <c r="CD199" s="289"/>
      <c r="CE199" s="276"/>
      <c r="CF199" s="308"/>
      <c r="CG199" s="138"/>
      <c r="CH199" s="134"/>
      <c r="CI199" s="134"/>
      <c r="CJ199" s="134"/>
      <c r="CK199" s="134"/>
      <c r="CL199" s="134"/>
      <c r="CM199" s="134"/>
      <c r="CN199" s="134"/>
      <c r="CO199" s="300"/>
      <c r="CP199" s="301"/>
      <c r="CQ199" s="134"/>
      <c r="CR199" s="134"/>
      <c r="CS199" s="134"/>
      <c r="CT199" s="134"/>
      <c r="CU199" s="134"/>
      <c r="CV199" s="134"/>
      <c r="CW199" s="134"/>
      <c r="CX199" s="134"/>
      <c r="CY199" s="300"/>
      <c r="CZ199" s="301"/>
      <c r="DA199" s="276"/>
      <c r="DB199" s="277"/>
      <c r="DC199" s="134"/>
      <c r="DD199" s="134"/>
      <c r="DE199" s="134"/>
      <c r="DF199" s="134"/>
      <c r="DG199" s="138"/>
      <c r="DH199" s="134"/>
      <c r="DI199" s="134"/>
      <c r="DJ199" s="134"/>
      <c r="DK199" s="301"/>
      <c r="DL199" s="301"/>
      <c r="DM199" s="134"/>
      <c r="DN199" s="134"/>
      <c r="DO199" s="134"/>
      <c r="DP199" s="134"/>
      <c r="DQ199" s="134"/>
      <c r="DR199" s="134"/>
      <c r="DS199" s="134"/>
      <c r="DT199" s="134"/>
      <c r="DU199" s="301"/>
      <c r="DV199" s="301"/>
      <c r="DW199" s="277"/>
      <c r="DX199" s="134"/>
      <c r="DY199" s="134"/>
      <c r="DZ199" s="134"/>
      <c r="EA199" s="134"/>
      <c r="EB199" s="134"/>
      <c r="EC199" s="134"/>
      <c r="ED199" s="134"/>
      <c r="EE199" s="134"/>
      <c r="EF199" s="301"/>
      <c r="EG199" s="301"/>
      <c r="EH199" s="134"/>
      <c r="EI199" s="134"/>
      <c r="EJ199" s="134"/>
      <c r="EK199" s="134"/>
    </row>
    <row r="200" spans="1:141">
      <c r="A200" s="79" t="s">
        <v>190</v>
      </c>
      <c r="B200" s="117">
        <v>136</v>
      </c>
      <c r="C200" s="123" t="s">
        <v>1967</v>
      </c>
      <c r="D200" s="124" t="s">
        <v>2191</v>
      </c>
      <c r="E200" s="125">
        <v>2011</v>
      </c>
      <c r="F200" s="79">
        <v>21898603</v>
      </c>
      <c r="G200" s="79">
        <v>1</v>
      </c>
      <c r="H200" s="126"/>
      <c r="I200" s="127"/>
      <c r="J200" s="79">
        <v>1</v>
      </c>
      <c r="K200" s="79"/>
      <c r="L200" s="79">
        <v>1</v>
      </c>
      <c r="M200" s="128">
        <v>1</v>
      </c>
      <c r="N200" s="79" t="s">
        <v>551</v>
      </c>
      <c r="O200" s="79" t="s">
        <v>1172</v>
      </c>
      <c r="P200" s="79" t="s">
        <v>25</v>
      </c>
      <c r="Q200" s="79">
        <v>1</v>
      </c>
      <c r="R200" s="79"/>
      <c r="S200" s="79"/>
      <c r="T200" s="79"/>
      <c r="U200" s="79" t="s">
        <v>492</v>
      </c>
      <c r="V200" s="79" t="s">
        <v>24</v>
      </c>
      <c r="W200" s="79" t="s">
        <v>24</v>
      </c>
      <c r="X200" s="79" t="s">
        <v>552</v>
      </c>
      <c r="Y200" s="79"/>
      <c r="Z200" s="79" t="s">
        <v>553</v>
      </c>
      <c r="AA200" s="154"/>
      <c r="AB200" s="155"/>
      <c r="AC200" s="121">
        <v>2</v>
      </c>
      <c r="AD200" s="202"/>
      <c r="AE200" s="192"/>
      <c r="AF200" s="203"/>
      <c r="AG200" s="121"/>
      <c r="AH200" s="121"/>
      <c r="AI200" s="121"/>
      <c r="AJ200" s="121"/>
      <c r="AK200" s="121"/>
      <c r="AL200" s="121"/>
      <c r="AM200" s="121"/>
      <c r="AN200" s="121"/>
      <c r="AO200" s="121"/>
      <c r="AP200" s="121"/>
      <c r="AQ200" s="121"/>
      <c r="AR200" s="121"/>
      <c r="AS200" s="121"/>
      <c r="AT200" s="121"/>
      <c r="AU200" s="121"/>
      <c r="AV200" s="156"/>
      <c r="AW200" s="156"/>
      <c r="AX200" s="156"/>
      <c r="AY200" s="156"/>
      <c r="AZ200" s="156">
        <v>1</v>
      </c>
      <c r="BA200" s="156"/>
      <c r="BB200" s="156"/>
      <c r="BC200" s="156"/>
      <c r="BD200" s="157"/>
      <c r="BE200" s="134"/>
      <c r="BF200" s="134"/>
      <c r="BG200" s="134"/>
      <c r="BH200" s="134"/>
      <c r="BI200" s="134"/>
      <c r="BJ200" s="259"/>
      <c r="BK200" s="138"/>
      <c r="BL200" s="134"/>
      <c r="BM200" s="134"/>
      <c r="BN200" s="134"/>
      <c r="BO200" s="138"/>
      <c r="BP200" s="134"/>
      <c r="BQ200" s="134"/>
      <c r="BR200" s="134"/>
      <c r="BS200" s="288"/>
      <c r="BT200" s="289"/>
      <c r="BU200" s="138"/>
      <c r="BV200" s="134"/>
      <c r="BW200" s="134"/>
      <c r="BX200" s="134"/>
      <c r="BY200" s="138"/>
      <c r="BZ200" s="134"/>
      <c r="CA200" s="134"/>
      <c r="CB200" s="134"/>
      <c r="CC200" s="288"/>
      <c r="CD200" s="289"/>
      <c r="CE200" s="276"/>
      <c r="CF200" s="308"/>
      <c r="CG200" s="138"/>
      <c r="CH200" s="134"/>
      <c r="CI200" s="134"/>
      <c r="CJ200" s="134"/>
      <c r="CK200" s="134"/>
      <c r="CL200" s="134"/>
      <c r="CM200" s="134"/>
      <c r="CN200" s="134"/>
      <c r="CO200" s="300"/>
      <c r="CP200" s="301"/>
      <c r="CQ200" s="134"/>
      <c r="CR200" s="134"/>
      <c r="CS200" s="134"/>
      <c r="CT200" s="134"/>
      <c r="CU200" s="134"/>
      <c r="CV200" s="134"/>
      <c r="CW200" s="134"/>
      <c r="CX200" s="134"/>
      <c r="CY200" s="300"/>
      <c r="CZ200" s="301"/>
      <c r="DA200" s="276"/>
      <c r="DB200" s="277"/>
      <c r="DC200" s="134"/>
      <c r="DD200" s="134"/>
      <c r="DE200" s="134"/>
      <c r="DF200" s="134"/>
      <c r="DG200" s="138"/>
      <c r="DH200" s="134"/>
      <c r="DI200" s="134"/>
      <c r="DJ200" s="134"/>
      <c r="DK200" s="301"/>
      <c r="DL200" s="301"/>
      <c r="DM200" s="134"/>
      <c r="DN200" s="134"/>
      <c r="DO200" s="134"/>
      <c r="DP200" s="134"/>
      <c r="DQ200" s="134"/>
      <c r="DR200" s="134"/>
      <c r="DS200" s="134"/>
      <c r="DT200" s="134"/>
      <c r="DU200" s="301"/>
      <c r="DV200" s="301"/>
      <c r="DW200" s="277"/>
      <c r="DX200" s="134"/>
      <c r="DY200" s="134"/>
      <c r="DZ200" s="134"/>
      <c r="EA200" s="134"/>
      <c r="EB200" s="134"/>
      <c r="EC200" s="134"/>
      <c r="ED200" s="134"/>
      <c r="EE200" s="134"/>
      <c r="EF200" s="301"/>
      <c r="EG200" s="301"/>
      <c r="EH200" s="134"/>
      <c r="EI200" s="134"/>
      <c r="EJ200" s="134"/>
      <c r="EK200" s="134"/>
    </row>
    <row r="201" spans="1:141">
      <c r="A201" s="79" t="s">
        <v>191</v>
      </c>
      <c r="B201" s="117">
        <v>137</v>
      </c>
      <c r="C201" s="123" t="s">
        <v>1968</v>
      </c>
      <c r="D201" s="124" t="s">
        <v>2192</v>
      </c>
      <c r="E201" s="125">
        <v>2004</v>
      </c>
      <c r="F201" s="79">
        <v>15027789</v>
      </c>
      <c r="G201" s="79">
        <v>1</v>
      </c>
      <c r="H201" s="126"/>
      <c r="I201" s="127"/>
      <c r="J201" s="79">
        <v>1</v>
      </c>
      <c r="K201" s="79"/>
      <c r="L201" s="79">
        <v>1</v>
      </c>
      <c r="M201" s="128">
        <v>1</v>
      </c>
      <c r="N201" s="79" t="s">
        <v>554</v>
      </c>
      <c r="O201" s="79" t="s">
        <v>555</v>
      </c>
      <c r="P201" s="79" t="s">
        <v>25</v>
      </c>
      <c r="Q201" s="79">
        <v>1</v>
      </c>
      <c r="R201" s="79"/>
      <c r="S201" s="79"/>
      <c r="T201" s="79"/>
      <c r="U201" s="79" t="s">
        <v>555</v>
      </c>
      <c r="V201" s="79" t="s">
        <v>24</v>
      </c>
      <c r="W201" s="79" t="s">
        <v>556</v>
      </c>
      <c r="X201" s="79" t="s">
        <v>510</v>
      </c>
      <c r="Y201" s="79"/>
      <c r="Z201" s="79"/>
      <c r="AA201" s="154"/>
      <c r="AB201" s="155"/>
      <c r="AC201" s="121">
        <v>2</v>
      </c>
      <c r="AD201" s="202"/>
      <c r="AE201" s="192"/>
      <c r="AF201" s="203"/>
      <c r="AG201" s="121"/>
      <c r="AH201" s="121"/>
      <c r="AI201" s="121"/>
      <c r="AJ201" s="121"/>
      <c r="AK201" s="121"/>
      <c r="AL201" s="121"/>
      <c r="AM201" s="121"/>
      <c r="AN201" s="121"/>
      <c r="AO201" s="121"/>
      <c r="AP201" s="121"/>
      <c r="AQ201" s="121"/>
      <c r="AR201" s="121"/>
      <c r="AS201" s="121"/>
      <c r="AT201" s="121"/>
      <c r="AU201" s="121"/>
      <c r="AV201" s="156"/>
      <c r="AW201" s="156"/>
      <c r="AX201" s="156"/>
      <c r="AY201" s="156"/>
      <c r="AZ201" s="156"/>
      <c r="BA201" s="156"/>
      <c r="BB201" s="156"/>
      <c r="BC201" s="156"/>
      <c r="BD201" s="157"/>
      <c r="BE201" s="134"/>
      <c r="BF201" s="134"/>
      <c r="BG201" s="134"/>
      <c r="BH201" s="134"/>
      <c r="BI201" s="134"/>
      <c r="BJ201" s="259"/>
      <c r="BK201" s="138"/>
      <c r="BL201" s="134"/>
      <c r="BM201" s="134"/>
      <c r="BN201" s="134"/>
      <c r="BO201" s="138"/>
      <c r="BP201" s="134"/>
      <c r="BQ201" s="134"/>
      <c r="BR201" s="134"/>
      <c r="BS201" s="288"/>
      <c r="BT201" s="289"/>
      <c r="BU201" s="138"/>
      <c r="BV201" s="134"/>
      <c r="BW201" s="134"/>
      <c r="BX201" s="134"/>
      <c r="BY201" s="138"/>
      <c r="BZ201" s="134"/>
      <c r="CA201" s="134"/>
      <c r="CB201" s="134"/>
      <c r="CC201" s="288"/>
      <c r="CD201" s="289"/>
      <c r="CE201" s="276"/>
      <c r="CF201" s="308"/>
      <c r="CG201" s="138"/>
      <c r="CH201" s="134"/>
      <c r="CI201" s="134"/>
      <c r="CJ201" s="134"/>
      <c r="CK201" s="134"/>
      <c r="CL201" s="134"/>
      <c r="CM201" s="134"/>
      <c r="CN201" s="134"/>
      <c r="CO201" s="300"/>
      <c r="CP201" s="301"/>
      <c r="CQ201" s="134"/>
      <c r="CR201" s="134"/>
      <c r="CS201" s="134"/>
      <c r="CT201" s="134"/>
      <c r="CU201" s="134"/>
      <c r="CV201" s="134"/>
      <c r="CW201" s="134"/>
      <c r="CX201" s="134"/>
      <c r="CY201" s="300"/>
      <c r="CZ201" s="301"/>
      <c r="DA201" s="276"/>
      <c r="DB201" s="277"/>
      <c r="DC201" s="134"/>
      <c r="DD201" s="134"/>
      <c r="DE201" s="134"/>
      <c r="DF201" s="134"/>
      <c r="DG201" s="138"/>
      <c r="DH201" s="134"/>
      <c r="DI201" s="134"/>
      <c r="DJ201" s="134"/>
      <c r="DK201" s="301"/>
      <c r="DL201" s="301"/>
      <c r="DM201" s="134"/>
      <c r="DN201" s="134"/>
      <c r="DO201" s="134"/>
      <c r="DP201" s="134"/>
      <c r="DQ201" s="134"/>
      <c r="DR201" s="134"/>
      <c r="DS201" s="134"/>
      <c r="DT201" s="134"/>
      <c r="DU201" s="301"/>
      <c r="DV201" s="301"/>
      <c r="DW201" s="277"/>
      <c r="DX201" s="134"/>
      <c r="DY201" s="134"/>
      <c r="DZ201" s="134"/>
      <c r="EA201" s="134"/>
      <c r="EB201" s="134"/>
      <c r="EC201" s="134"/>
      <c r="ED201" s="134"/>
      <c r="EE201" s="134"/>
      <c r="EF201" s="301"/>
      <c r="EG201" s="301"/>
      <c r="EH201" s="134"/>
      <c r="EI201" s="134"/>
      <c r="EJ201" s="134"/>
      <c r="EK201" s="134"/>
    </row>
    <row r="202" spans="1:141">
      <c r="A202" s="79" t="s">
        <v>192</v>
      </c>
      <c r="B202" s="117">
        <v>138</v>
      </c>
      <c r="C202" s="123" t="s">
        <v>1969</v>
      </c>
      <c r="D202" s="124" t="s">
        <v>2193</v>
      </c>
      <c r="E202" s="125">
        <v>2000</v>
      </c>
      <c r="F202" s="79">
        <v>10807961</v>
      </c>
      <c r="G202" s="79">
        <v>1</v>
      </c>
      <c r="H202" s="126"/>
      <c r="I202" s="127"/>
      <c r="J202" s="79">
        <v>1</v>
      </c>
      <c r="K202" s="79"/>
      <c r="L202" s="79">
        <v>1</v>
      </c>
      <c r="M202" s="128">
        <v>1</v>
      </c>
      <c r="N202" s="79" t="s">
        <v>31</v>
      </c>
      <c r="O202" s="79" t="s">
        <v>1157</v>
      </c>
      <c r="P202" s="79" t="s">
        <v>25</v>
      </c>
      <c r="Q202" s="79">
        <v>1</v>
      </c>
      <c r="R202" s="79"/>
      <c r="S202" s="79"/>
      <c r="T202" s="79"/>
      <c r="U202" s="79" t="s">
        <v>557</v>
      </c>
      <c r="V202" s="79" t="s">
        <v>33</v>
      </c>
      <c r="W202" s="79"/>
      <c r="X202" s="79"/>
      <c r="Y202" s="79"/>
      <c r="Z202" s="79"/>
      <c r="AA202" s="154"/>
      <c r="AB202" s="155"/>
      <c r="AC202" s="121">
        <v>2</v>
      </c>
      <c r="AD202" s="202"/>
      <c r="AE202" s="192"/>
      <c r="AF202" s="203"/>
      <c r="AG202" s="121"/>
      <c r="AH202" s="121"/>
      <c r="AI202" s="121"/>
      <c r="AJ202" s="121"/>
      <c r="AK202" s="121"/>
      <c r="AL202" s="121"/>
      <c r="AM202" s="121"/>
      <c r="AN202" s="121"/>
      <c r="AO202" s="121"/>
      <c r="AP202" s="121"/>
      <c r="AQ202" s="121"/>
      <c r="AR202" s="121"/>
      <c r="AS202" s="121"/>
      <c r="AT202" s="121"/>
      <c r="AU202" s="121"/>
      <c r="AV202" s="156"/>
      <c r="AW202" s="156"/>
      <c r="AX202" s="156">
        <v>1</v>
      </c>
      <c r="AY202" s="156"/>
      <c r="AZ202" s="156"/>
      <c r="BA202" s="156"/>
      <c r="BB202" s="156"/>
      <c r="BC202" s="156"/>
      <c r="BD202" s="157"/>
      <c r="BE202" s="134"/>
      <c r="BF202" s="134"/>
      <c r="BG202" s="134"/>
      <c r="BH202" s="134"/>
      <c r="BI202" s="134"/>
      <c r="BJ202" s="259"/>
      <c r="BK202" s="138"/>
      <c r="BL202" s="134"/>
      <c r="BM202" s="134"/>
      <c r="BN202" s="134"/>
      <c r="BO202" s="138"/>
      <c r="BP202" s="134"/>
      <c r="BQ202" s="134"/>
      <c r="BR202" s="134"/>
      <c r="BS202" s="288"/>
      <c r="BT202" s="289"/>
      <c r="BU202" s="138"/>
      <c r="BV202" s="134"/>
      <c r="BW202" s="134"/>
      <c r="BX202" s="134"/>
      <c r="BY202" s="138"/>
      <c r="BZ202" s="134"/>
      <c r="CA202" s="134"/>
      <c r="CB202" s="134"/>
      <c r="CC202" s="288"/>
      <c r="CD202" s="289"/>
      <c r="CE202" s="276"/>
      <c r="CF202" s="308"/>
      <c r="CG202" s="138"/>
      <c r="CH202" s="134"/>
      <c r="CI202" s="134"/>
      <c r="CJ202" s="134"/>
      <c r="CK202" s="134"/>
      <c r="CL202" s="134"/>
      <c r="CM202" s="134"/>
      <c r="CN202" s="134"/>
      <c r="CO202" s="300"/>
      <c r="CP202" s="301"/>
      <c r="CQ202" s="134"/>
      <c r="CR202" s="134"/>
      <c r="CS202" s="134"/>
      <c r="CT202" s="134"/>
      <c r="CU202" s="134"/>
      <c r="CV202" s="134"/>
      <c r="CW202" s="134"/>
      <c r="CX202" s="134"/>
      <c r="CY202" s="300"/>
      <c r="CZ202" s="301"/>
      <c r="DA202" s="276"/>
      <c r="DB202" s="277"/>
      <c r="DC202" s="134"/>
      <c r="DD202" s="134"/>
      <c r="DE202" s="134"/>
      <c r="DF202" s="134"/>
      <c r="DG202" s="138"/>
      <c r="DH202" s="134"/>
      <c r="DI202" s="134"/>
      <c r="DJ202" s="134"/>
      <c r="DK202" s="301"/>
      <c r="DL202" s="301"/>
      <c r="DM202" s="134"/>
      <c r="DN202" s="134"/>
      <c r="DO202" s="134"/>
      <c r="DP202" s="134"/>
      <c r="DQ202" s="134"/>
      <c r="DR202" s="134"/>
      <c r="DS202" s="134"/>
      <c r="DT202" s="134"/>
      <c r="DU202" s="301"/>
      <c r="DV202" s="301"/>
      <c r="DW202" s="277"/>
      <c r="DX202" s="134"/>
      <c r="DY202" s="134"/>
      <c r="DZ202" s="134"/>
      <c r="EA202" s="134"/>
      <c r="EB202" s="134"/>
      <c r="EC202" s="134"/>
      <c r="ED202" s="134"/>
      <c r="EE202" s="134"/>
      <c r="EF202" s="301"/>
      <c r="EG202" s="301"/>
      <c r="EH202" s="134"/>
      <c r="EI202" s="134"/>
      <c r="EJ202" s="134"/>
      <c r="EK202" s="134"/>
    </row>
    <row r="203" spans="1:141">
      <c r="A203" s="79" t="s">
        <v>193</v>
      </c>
      <c r="B203" s="117">
        <v>139</v>
      </c>
      <c r="C203" s="123" t="s">
        <v>1970</v>
      </c>
      <c r="D203" s="124" t="s">
        <v>2194</v>
      </c>
      <c r="E203" s="125">
        <v>2012</v>
      </c>
      <c r="F203" s="79">
        <v>22193972</v>
      </c>
      <c r="G203" s="79">
        <v>1</v>
      </c>
      <c r="H203" s="126"/>
      <c r="I203" s="127"/>
      <c r="J203" s="79">
        <v>1</v>
      </c>
      <c r="K203" s="79"/>
      <c r="L203" s="79">
        <v>1</v>
      </c>
      <c r="M203" s="128">
        <v>1</v>
      </c>
      <c r="N203" s="79" t="s">
        <v>558</v>
      </c>
      <c r="O203" s="79" t="s">
        <v>1165</v>
      </c>
      <c r="P203" s="79" t="s">
        <v>25</v>
      </c>
      <c r="Q203" s="79">
        <v>1</v>
      </c>
      <c r="R203" s="79"/>
      <c r="S203" s="79"/>
      <c r="T203" s="79"/>
      <c r="U203" s="79" t="s">
        <v>1187</v>
      </c>
      <c r="V203" s="79" t="s">
        <v>24</v>
      </c>
      <c r="W203" s="79" t="s">
        <v>559</v>
      </c>
      <c r="X203" s="79"/>
      <c r="Y203" s="79"/>
      <c r="Z203" s="79"/>
      <c r="AA203" s="154"/>
      <c r="AB203" s="155"/>
      <c r="AC203" s="121">
        <v>2</v>
      </c>
      <c r="AD203" s="202"/>
      <c r="AE203" s="192"/>
      <c r="AF203" s="203"/>
      <c r="AG203" s="121"/>
      <c r="AH203" s="121"/>
      <c r="AI203" s="121"/>
      <c r="AJ203" s="121"/>
      <c r="AK203" s="121"/>
      <c r="AL203" s="121"/>
      <c r="AM203" s="121"/>
      <c r="AN203" s="121"/>
      <c r="AO203" s="121"/>
      <c r="AP203" s="121"/>
      <c r="AQ203" s="121"/>
      <c r="AR203" s="121"/>
      <c r="AS203" s="121"/>
      <c r="AT203" s="121"/>
      <c r="AU203" s="121"/>
      <c r="AV203" s="156"/>
      <c r="AW203" s="156"/>
      <c r="AX203" s="156"/>
      <c r="AY203" s="156">
        <v>1</v>
      </c>
      <c r="AZ203" s="156">
        <v>1</v>
      </c>
      <c r="BA203" s="156"/>
      <c r="BB203" s="156"/>
      <c r="BC203" s="156"/>
      <c r="BD203" s="157"/>
      <c r="BE203" s="134"/>
      <c r="BF203" s="134"/>
      <c r="BG203" s="134"/>
      <c r="BH203" s="134"/>
      <c r="BI203" s="134"/>
      <c r="BJ203" s="259"/>
      <c r="BK203" s="138"/>
      <c r="BL203" s="134"/>
      <c r="BM203" s="134"/>
      <c r="BN203" s="134"/>
      <c r="BO203" s="138"/>
      <c r="BP203" s="134"/>
      <c r="BQ203" s="134"/>
      <c r="BR203" s="134"/>
      <c r="BS203" s="288"/>
      <c r="BT203" s="289"/>
      <c r="BU203" s="138"/>
      <c r="BV203" s="134"/>
      <c r="BW203" s="134"/>
      <c r="BX203" s="134"/>
      <c r="BY203" s="138"/>
      <c r="BZ203" s="134"/>
      <c r="CA203" s="134"/>
      <c r="CB203" s="134"/>
      <c r="CC203" s="288"/>
      <c r="CD203" s="289"/>
      <c r="CE203" s="276"/>
      <c r="CF203" s="308"/>
      <c r="CG203" s="138"/>
      <c r="CH203" s="134"/>
      <c r="CI203" s="134"/>
      <c r="CJ203" s="134"/>
      <c r="CK203" s="134"/>
      <c r="CL203" s="134"/>
      <c r="CM203" s="134"/>
      <c r="CN203" s="134"/>
      <c r="CO203" s="300"/>
      <c r="CP203" s="301"/>
      <c r="CQ203" s="134"/>
      <c r="CR203" s="134"/>
      <c r="CS203" s="134"/>
      <c r="CT203" s="134"/>
      <c r="CU203" s="134"/>
      <c r="CV203" s="134"/>
      <c r="CW203" s="134"/>
      <c r="CX203" s="134"/>
      <c r="CY203" s="300"/>
      <c r="CZ203" s="301"/>
      <c r="DA203" s="276"/>
      <c r="DB203" s="277"/>
      <c r="DC203" s="134"/>
      <c r="DD203" s="134"/>
      <c r="DE203" s="134"/>
      <c r="DF203" s="134"/>
      <c r="DG203" s="138"/>
      <c r="DH203" s="134"/>
      <c r="DI203" s="134"/>
      <c r="DJ203" s="134"/>
      <c r="DK203" s="301"/>
      <c r="DL203" s="301"/>
      <c r="DM203" s="134"/>
      <c r="DN203" s="134"/>
      <c r="DO203" s="134"/>
      <c r="DP203" s="134"/>
      <c r="DQ203" s="134"/>
      <c r="DR203" s="134"/>
      <c r="DS203" s="134"/>
      <c r="DT203" s="134"/>
      <c r="DU203" s="301"/>
      <c r="DV203" s="301"/>
      <c r="DW203" s="277"/>
      <c r="DX203" s="134"/>
      <c r="DY203" s="134"/>
      <c r="DZ203" s="134"/>
      <c r="EA203" s="134"/>
      <c r="EB203" s="134"/>
      <c r="EC203" s="134"/>
      <c r="ED203" s="134"/>
      <c r="EE203" s="134"/>
      <c r="EF203" s="301"/>
      <c r="EG203" s="301"/>
      <c r="EH203" s="134"/>
      <c r="EI203" s="134"/>
      <c r="EJ203" s="134"/>
      <c r="EK203" s="134"/>
    </row>
    <row r="204" spans="1:141">
      <c r="A204" s="79" t="s">
        <v>194</v>
      </c>
      <c r="B204" s="117">
        <v>140</v>
      </c>
      <c r="C204" s="123" t="s">
        <v>1971</v>
      </c>
      <c r="D204" s="124" t="s">
        <v>2195</v>
      </c>
      <c r="E204" s="125">
        <v>2003</v>
      </c>
      <c r="F204" s="79">
        <v>12775293</v>
      </c>
      <c r="G204" s="79">
        <v>1</v>
      </c>
      <c r="H204" s="126"/>
      <c r="I204" s="127"/>
      <c r="J204" s="79">
        <v>1</v>
      </c>
      <c r="K204" s="79"/>
      <c r="L204" s="79">
        <v>1</v>
      </c>
      <c r="M204" s="128">
        <v>1</v>
      </c>
      <c r="N204" s="79" t="s">
        <v>562</v>
      </c>
      <c r="O204" s="79" t="s">
        <v>1147</v>
      </c>
      <c r="P204" s="79" t="s">
        <v>560</v>
      </c>
      <c r="Q204" s="79">
        <v>0</v>
      </c>
      <c r="R204" s="79"/>
      <c r="S204" s="79"/>
      <c r="T204" s="79"/>
      <c r="U204" s="79" t="s">
        <v>561</v>
      </c>
      <c r="V204" s="79" t="s">
        <v>24</v>
      </c>
      <c r="W204" s="79"/>
      <c r="X204" s="79"/>
      <c r="Y204" s="79"/>
      <c r="Z204" s="79"/>
      <c r="AA204" s="154"/>
      <c r="AB204" s="155"/>
      <c r="AC204" s="121"/>
      <c r="AD204" s="202"/>
      <c r="AE204" s="192"/>
      <c r="AF204" s="203"/>
      <c r="AG204" s="121"/>
      <c r="AH204" s="121"/>
      <c r="AI204" s="121"/>
      <c r="AJ204" s="121"/>
      <c r="AK204" s="121"/>
      <c r="AL204" s="121"/>
      <c r="AM204" s="121"/>
      <c r="AN204" s="121"/>
      <c r="AO204" s="121"/>
      <c r="AP204" s="121"/>
      <c r="AQ204" s="121"/>
      <c r="AR204" s="121"/>
      <c r="AS204" s="121"/>
      <c r="AT204" s="121"/>
      <c r="AU204" s="121"/>
      <c r="AV204" s="156"/>
      <c r="AW204" s="156"/>
      <c r="AX204" s="156"/>
      <c r="AY204" s="156"/>
      <c r="AZ204" s="156">
        <v>1</v>
      </c>
      <c r="BA204" s="156"/>
      <c r="BB204" s="156"/>
      <c r="BC204" s="156"/>
      <c r="BD204" s="157"/>
      <c r="BE204" s="134"/>
      <c r="BF204" s="134"/>
      <c r="BG204" s="134"/>
      <c r="BH204" s="134"/>
      <c r="BI204" s="134"/>
      <c r="BJ204" s="259"/>
      <c r="BK204" s="138"/>
      <c r="BL204" s="134"/>
      <c r="BM204" s="134"/>
      <c r="BN204" s="134"/>
      <c r="BO204" s="138"/>
      <c r="BP204" s="134"/>
      <c r="BQ204" s="134"/>
      <c r="BR204" s="134"/>
      <c r="BS204" s="288"/>
      <c r="BT204" s="289"/>
      <c r="BU204" s="138"/>
      <c r="BV204" s="134"/>
      <c r="BW204" s="134"/>
      <c r="BX204" s="134"/>
      <c r="BY204" s="138"/>
      <c r="BZ204" s="134"/>
      <c r="CA204" s="134"/>
      <c r="CB204" s="134"/>
      <c r="CC204" s="288"/>
      <c r="CD204" s="289"/>
      <c r="CE204" s="276"/>
      <c r="CF204" s="308"/>
      <c r="CG204" s="138"/>
      <c r="CH204" s="134"/>
      <c r="CI204" s="134"/>
      <c r="CJ204" s="134"/>
      <c r="CK204" s="134"/>
      <c r="CL204" s="134"/>
      <c r="CM204" s="134"/>
      <c r="CN204" s="134"/>
      <c r="CO204" s="300"/>
      <c r="CP204" s="301"/>
      <c r="CQ204" s="134"/>
      <c r="CR204" s="134"/>
      <c r="CS204" s="134"/>
      <c r="CT204" s="134"/>
      <c r="CU204" s="134"/>
      <c r="CV204" s="134"/>
      <c r="CW204" s="134"/>
      <c r="CX204" s="134"/>
      <c r="CY204" s="300"/>
      <c r="CZ204" s="301"/>
      <c r="DA204" s="276"/>
      <c r="DB204" s="277"/>
      <c r="DC204" s="134"/>
      <c r="DD204" s="134"/>
      <c r="DE204" s="134"/>
      <c r="DF204" s="134"/>
      <c r="DG204" s="138"/>
      <c r="DH204" s="134"/>
      <c r="DI204" s="134"/>
      <c r="DJ204" s="134"/>
      <c r="DK204" s="301"/>
      <c r="DL204" s="301"/>
      <c r="DM204" s="134"/>
      <c r="DN204" s="134"/>
      <c r="DO204" s="134"/>
      <c r="DP204" s="134"/>
      <c r="DQ204" s="134"/>
      <c r="DR204" s="134"/>
      <c r="DS204" s="134"/>
      <c r="DT204" s="134"/>
      <c r="DU204" s="301"/>
      <c r="DV204" s="301"/>
      <c r="DW204" s="277"/>
      <c r="DX204" s="134"/>
      <c r="DY204" s="134"/>
      <c r="DZ204" s="134"/>
      <c r="EA204" s="134"/>
      <c r="EB204" s="134"/>
      <c r="EC204" s="134"/>
      <c r="ED204" s="134"/>
      <c r="EE204" s="134"/>
      <c r="EF204" s="301"/>
      <c r="EG204" s="301"/>
      <c r="EH204" s="134"/>
      <c r="EI204" s="134"/>
      <c r="EJ204" s="134"/>
      <c r="EK204" s="134"/>
    </row>
    <row r="205" spans="1:141">
      <c r="A205" s="79" t="s">
        <v>1039</v>
      </c>
      <c r="B205" s="117">
        <v>141</v>
      </c>
      <c r="C205" s="123" t="s">
        <v>2081</v>
      </c>
      <c r="D205" s="124" t="s">
        <v>2335</v>
      </c>
      <c r="E205" s="125">
        <v>2001</v>
      </c>
      <c r="F205" s="79">
        <v>12587183</v>
      </c>
      <c r="G205" s="79">
        <v>1</v>
      </c>
      <c r="H205" s="126">
        <v>1</v>
      </c>
      <c r="I205" s="127"/>
      <c r="J205" s="79">
        <v>1</v>
      </c>
      <c r="K205" s="79"/>
      <c r="L205" s="79">
        <v>1</v>
      </c>
      <c r="M205" s="128">
        <v>2</v>
      </c>
      <c r="N205" s="79" t="s">
        <v>1376</v>
      </c>
      <c r="O205" s="79" t="s">
        <v>1377</v>
      </c>
      <c r="P205" s="79"/>
      <c r="Q205" s="79"/>
      <c r="R205" s="79" t="s">
        <v>1498</v>
      </c>
      <c r="S205" s="79"/>
      <c r="T205" s="79"/>
      <c r="U205" s="79" t="s">
        <v>1682</v>
      </c>
      <c r="V205" s="79"/>
      <c r="W205" s="79"/>
      <c r="X205" s="79"/>
      <c r="Y205" s="79"/>
      <c r="Z205" s="79"/>
      <c r="AA205" s="154"/>
      <c r="AB205" s="155"/>
      <c r="AC205" s="121"/>
      <c r="AD205" s="202"/>
      <c r="AE205" s="192"/>
      <c r="AF205" s="203"/>
      <c r="AG205" s="121"/>
      <c r="AH205" s="121"/>
      <c r="AI205" s="121"/>
      <c r="AJ205" s="121"/>
      <c r="AK205" s="121"/>
      <c r="AL205" s="121"/>
      <c r="AM205" s="121"/>
      <c r="AN205" s="121"/>
      <c r="AO205" s="121"/>
      <c r="AP205" s="121"/>
      <c r="AQ205" s="121"/>
      <c r="AR205" s="121"/>
      <c r="AS205" s="121"/>
      <c r="AT205" s="121"/>
      <c r="AU205" s="121"/>
      <c r="AV205" s="156"/>
      <c r="AW205" s="156"/>
      <c r="AX205" s="156"/>
      <c r="AY205" s="156"/>
      <c r="AZ205" s="156"/>
      <c r="BA205" s="156"/>
      <c r="BB205" s="156"/>
      <c r="BC205" s="156"/>
      <c r="BD205" s="157"/>
      <c r="BE205" s="134"/>
      <c r="BF205" s="134"/>
      <c r="BG205" s="134"/>
      <c r="BH205" s="134"/>
      <c r="BI205" s="134"/>
      <c r="BJ205" s="259"/>
      <c r="BK205" s="138"/>
      <c r="BL205" s="134"/>
      <c r="BM205" s="134"/>
      <c r="BN205" s="134"/>
      <c r="BO205" s="138"/>
      <c r="BP205" s="134"/>
      <c r="BQ205" s="134"/>
      <c r="BR205" s="134"/>
      <c r="BS205" s="288"/>
      <c r="BT205" s="289"/>
      <c r="BU205" s="138"/>
      <c r="BV205" s="134"/>
      <c r="BW205" s="134"/>
      <c r="BX205" s="134"/>
      <c r="BY205" s="138"/>
      <c r="BZ205" s="134"/>
      <c r="CA205" s="134"/>
      <c r="CB205" s="134"/>
      <c r="CC205" s="288"/>
      <c r="CD205" s="289"/>
      <c r="CE205" s="276"/>
      <c r="CF205" s="308"/>
      <c r="CG205" s="138"/>
      <c r="CH205" s="134"/>
      <c r="CI205" s="134"/>
      <c r="CJ205" s="134"/>
      <c r="CK205" s="134"/>
      <c r="CL205" s="134"/>
      <c r="CM205" s="134"/>
      <c r="CN205" s="134"/>
      <c r="CO205" s="300"/>
      <c r="CP205" s="301"/>
      <c r="CQ205" s="134"/>
      <c r="CR205" s="134"/>
      <c r="CS205" s="134"/>
      <c r="CT205" s="134"/>
      <c r="CU205" s="134"/>
      <c r="CV205" s="134"/>
      <c r="CW205" s="134"/>
      <c r="CX205" s="134"/>
      <c r="CY205" s="300"/>
      <c r="CZ205" s="301"/>
      <c r="DA205" s="276"/>
      <c r="DB205" s="277"/>
      <c r="DC205" s="134"/>
      <c r="DD205" s="134"/>
      <c r="DE205" s="134"/>
      <c r="DF205" s="134"/>
      <c r="DG205" s="138"/>
      <c r="DH205" s="134"/>
      <c r="DI205" s="134"/>
      <c r="DJ205" s="134"/>
      <c r="DK205" s="301"/>
      <c r="DL205" s="301"/>
      <c r="DM205" s="134"/>
      <c r="DN205" s="134"/>
      <c r="DO205" s="134"/>
      <c r="DP205" s="134"/>
      <c r="DQ205" s="134"/>
      <c r="DR205" s="134"/>
      <c r="DS205" s="134"/>
      <c r="DT205" s="134"/>
      <c r="DU205" s="301"/>
      <c r="DV205" s="301"/>
      <c r="DW205" s="277"/>
      <c r="DX205" s="134"/>
      <c r="DY205" s="134"/>
      <c r="DZ205" s="134"/>
      <c r="EA205" s="134"/>
      <c r="EB205" s="134"/>
      <c r="EC205" s="134"/>
      <c r="ED205" s="134"/>
      <c r="EE205" s="134"/>
      <c r="EF205" s="301"/>
      <c r="EG205" s="301"/>
      <c r="EH205" s="134"/>
      <c r="EI205" s="134"/>
      <c r="EJ205" s="134"/>
      <c r="EK205" s="134"/>
    </row>
    <row r="206" spans="1:141">
      <c r="A206" s="79" t="s">
        <v>196</v>
      </c>
      <c r="B206" s="117">
        <v>142</v>
      </c>
      <c r="C206" s="123" t="s">
        <v>1972</v>
      </c>
      <c r="D206" s="124" t="s">
        <v>2196</v>
      </c>
      <c r="E206" s="125">
        <v>2007</v>
      </c>
      <c r="F206" s="79">
        <v>17916253</v>
      </c>
      <c r="G206" s="79">
        <v>1</v>
      </c>
      <c r="H206" s="126"/>
      <c r="I206" s="127"/>
      <c r="J206" s="79">
        <v>1</v>
      </c>
      <c r="K206" s="79"/>
      <c r="L206" s="79">
        <v>1</v>
      </c>
      <c r="M206" s="128">
        <v>1</v>
      </c>
      <c r="N206" s="79"/>
      <c r="O206" s="79" t="s">
        <v>1157</v>
      </c>
      <c r="P206" s="79" t="s">
        <v>560</v>
      </c>
      <c r="Q206" s="79">
        <v>0</v>
      </c>
      <c r="R206" s="79"/>
      <c r="S206" s="79"/>
      <c r="T206" s="79"/>
      <c r="U206" s="79" t="s">
        <v>564</v>
      </c>
      <c r="V206" s="79" t="s">
        <v>24</v>
      </c>
      <c r="W206" s="79" t="s">
        <v>565</v>
      </c>
      <c r="X206" s="79"/>
      <c r="Y206" s="79"/>
      <c r="Z206" s="79"/>
      <c r="AA206" s="154"/>
      <c r="AB206" s="155"/>
      <c r="AC206" s="121"/>
      <c r="AD206" s="202"/>
      <c r="AE206" s="192"/>
      <c r="AF206" s="203"/>
      <c r="AG206" s="121"/>
      <c r="AH206" s="121"/>
      <c r="AI206" s="121"/>
      <c r="AJ206" s="121"/>
      <c r="AK206" s="121"/>
      <c r="AL206" s="121"/>
      <c r="AM206" s="121"/>
      <c r="AN206" s="121"/>
      <c r="AO206" s="121"/>
      <c r="AP206" s="121"/>
      <c r="AQ206" s="121"/>
      <c r="AR206" s="121"/>
      <c r="AS206" s="121"/>
      <c r="AT206" s="121"/>
      <c r="AU206" s="121"/>
      <c r="AV206" s="156"/>
      <c r="AW206" s="156"/>
      <c r="AX206" s="156">
        <v>1</v>
      </c>
      <c r="AY206" s="156"/>
      <c r="AZ206" s="156"/>
      <c r="BA206" s="156"/>
      <c r="BB206" s="156"/>
      <c r="BC206" s="156"/>
      <c r="BD206" s="157"/>
      <c r="BE206" s="134"/>
      <c r="BF206" s="134"/>
      <c r="BG206" s="134"/>
      <c r="BH206" s="134"/>
      <c r="BI206" s="134"/>
      <c r="BJ206" s="259"/>
      <c r="BK206" s="138"/>
      <c r="BL206" s="134"/>
      <c r="BM206" s="134"/>
      <c r="BN206" s="134"/>
      <c r="BO206" s="138"/>
      <c r="BP206" s="134"/>
      <c r="BQ206" s="134"/>
      <c r="BR206" s="134"/>
      <c r="BS206" s="288"/>
      <c r="BT206" s="289"/>
      <c r="BU206" s="138"/>
      <c r="BV206" s="134"/>
      <c r="BW206" s="134"/>
      <c r="BX206" s="134"/>
      <c r="BY206" s="138"/>
      <c r="BZ206" s="134"/>
      <c r="CA206" s="134"/>
      <c r="CB206" s="134"/>
      <c r="CC206" s="288"/>
      <c r="CD206" s="289"/>
      <c r="CE206" s="276"/>
      <c r="CF206" s="308"/>
      <c r="CG206" s="138"/>
      <c r="CH206" s="134"/>
      <c r="CI206" s="134"/>
      <c r="CJ206" s="134"/>
      <c r="CK206" s="134"/>
      <c r="CL206" s="134"/>
      <c r="CM206" s="134"/>
      <c r="CN206" s="134"/>
      <c r="CO206" s="300"/>
      <c r="CP206" s="301"/>
      <c r="CQ206" s="134"/>
      <c r="CR206" s="134"/>
      <c r="CS206" s="134"/>
      <c r="CT206" s="134"/>
      <c r="CU206" s="134"/>
      <c r="CV206" s="134"/>
      <c r="CW206" s="134"/>
      <c r="CX206" s="134"/>
      <c r="CY206" s="300"/>
      <c r="CZ206" s="301"/>
      <c r="DA206" s="276"/>
      <c r="DB206" s="277"/>
      <c r="DC206" s="134"/>
      <c r="DD206" s="134"/>
      <c r="DE206" s="134"/>
      <c r="DF206" s="134"/>
      <c r="DG206" s="138"/>
      <c r="DH206" s="134"/>
      <c r="DI206" s="134"/>
      <c r="DJ206" s="134"/>
      <c r="DK206" s="301"/>
      <c r="DL206" s="301"/>
      <c r="DM206" s="134"/>
      <c r="DN206" s="134"/>
      <c r="DO206" s="134"/>
      <c r="DP206" s="134"/>
      <c r="DQ206" s="134"/>
      <c r="DR206" s="134"/>
      <c r="DS206" s="134"/>
      <c r="DT206" s="134"/>
      <c r="DU206" s="301"/>
      <c r="DV206" s="301"/>
      <c r="DW206" s="277"/>
      <c r="DX206" s="134"/>
      <c r="DY206" s="134"/>
      <c r="DZ206" s="134"/>
      <c r="EA206" s="134"/>
      <c r="EB206" s="134"/>
      <c r="EC206" s="134"/>
      <c r="ED206" s="134"/>
      <c r="EE206" s="134"/>
      <c r="EF206" s="301"/>
      <c r="EG206" s="301"/>
      <c r="EH206" s="134"/>
      <c r="EI206" s="134"/>
      <c r="EJ206" s="134"/>
      <c r="EK206" s="134"/>
    </row>
    <row r="207" spans="1:141">
      <c r="A207" s="79" t="s">
        <v>197</v>
      </c>
      <c r="B207" s="117">
        <v>143</v>
      </c>
      <c r="C207" s="123" t="s">
        <v>1973</v>
      </c>
      <c r="D207" s="124" t="s">
        <v>2197</v>
      </c>
      <c r="E207" s="125">
        <v>2006</v>
      </c>
      <c r="F207" s="79">
        <v>16139487</v>
      </c>
      <c r="G207" s="79">
        <v>1</v>
      </c>
      <c r="H207" s="126"/>
      <c r="I207" s="127"/>
      <c r="J207" s="79">
        <v>1</v>
      </c>
      <c r="K207" s="79"/>
      <c r="L207" s="79">
        <v>1</v>
      </c>
      <c r="M207" s="128">
        <v>1</v>
      </c>
      <c r="N207" s="79" t="s">
        <v>566</v>
      </c>
      <c r="O207" s="79" t="s">
        <v>569</v>
      </c>
      <c r="P207" s="79" t="s">
        <v>567</v>
      </c>
      <c r="Q207" s="79">
        <v>1</v>
      </c>
      <c r="R207" s="79"/>
      <c r="S207" s="79"/>
      <c r="T207" s="79"/>
      <c r="U207" s="79" t="s">
        <v>568</v>
      </c>
      <c r="V207" s="79" t="s">
        <v>24</v>
      </c>
      <c r="W207" s="79"/>
      <c r="X207" s="79"/>
      <c r="Y207" s="79"/>
      <c r="Z207" s="79"/>
      <c r="AA207" s="154"/>
      <c r="AB207" s="155"/>
      <c r="AC207" s="121">
        <v>2</v>
      </c>
      <c r="AD207" s="202"/>
      <c r="AE207" s="192"/>
      <c r="AF207" s="203"/>
      <c r="AG207" s="121"/>
      <c r="AH207" s="121"/>
      <c r="AI207" s="121"/>
      <c r="AJ207" s="121"/>
      <c r="AK207" s="121"/>
      <c r="AL207" s="121"/>
      <c r="AM207" s="121"/>
      <c r="AN207" s="121"/>
      <c r="AO207" s="121"/>
      <c r="AP207" s="121"/>
      <c r="AQ207" s="121"/>
      <c r="AR207" s="121"/>
      <c r="AS207" s="121"/>
      <c r="AT207" s="121"/>
      <c r="AU207" s="121"/>
      <c r="AV207" s="156"/>
      <c r="AW207" s="156"/>
      <c r="AX207" s="156">
        <v>1</v>
      </c>
      <c r="AY207" s="156"/>
      <c r="AZ207" s="156">
        <v>1</v>
      </c>
      <c r="BA207" s="156">
        <v>1</v>
      </c>
      <c r="BB207" s="156"/>
      <c r="BC207" s="156"/>
      <c r="BD207" s="157"/>
      <c r="BE207" s="134"/>
      <c r="BF207" s="134"/>
      <c r="BG207" s="134"/>
      <c r="BH207" s="134"/>
      <c r="BI207" s="134"/>
      <c r="BJ207" s="259"/>
      <c r="BK207" s="138"/>
      <c r="BL207" s="134"/>
      <c r="BM207" s="134"/>
      <c r="BN207" s="134"/>
      <c r="BO207" s="138"/>
      <c r="BP207" s="134"/>
      <c r="BQ207" s="134"/>
      <c r="BR207" s="134"/>
      <c r="BS207" s="288"/>
      <c r="BT207" s="289"/>
      <c r="BU207" s="138"/>
      <c r="BV207" s="134"/>
      <c r="BW207" s="134"/>
      <c r="BX207" s="134"/>
      <c r="BY207" s="138"/>
      <c r="BZ207" s="134"/>
      <c r="CA207" s="134"/>
      <c r="CB207" s="134"/>
      <c r="CC207" s="288"/>
      <c r="CD207" s="289"/>
      <c r="CE207" s="276"/>
      <c r="CF207" s="308"/>
      <c r="CG207" s="138"/>
      <c r="CH207" s="134"/>
      <c r="CI207" s="134"/>
      <c r="CJ207" s="134"/>
      <c r="CK207" s="134"/>
      <c r="CL207" s="134"/>
      <c r="CM207" s="134"/>
      <c r="CN207" s="134"/>
      <c r="CO207" s="300"/>
      <c r="CP207" s="301"/>
      <c r="CQ207" s="134"/>
      <c r="CR207" s="134"/>
      <c r="CS207" s="134"/>
      <c r="CT207" s="134"/>
      <c r="CU207" s="134"/>
      <c r="CV207" s="134"/>
      <c r="CW207" s="134"/>
      <c r="CX207" s="134"/>
      <c r="CY207" s="300"/>
      <c r="CZ207" s="301"/>
      <c r="DA207" s="276"/>
      <c r="DB207" s="277"/>
      <c r="DC207" s="134"/>
      <c r="DD207" s="134"/>
      <c r="DE207" s="134"/>
      <c r="DF207" s="134"/>
      <c r="DG207" s="138"/>
      <c r="DH207" s="134"/>
      <c r="DI207" s="134"/>
      <c r="DJ207" s="134"/>
      <c r="DK207" s="301"/>
      <c r="DL207" s="301"/>
      <c r="DM207" s="134"/>
      <c r="DN207" s="134"/>
      <c r="DO207" s="134"/>
      <c r="DP207" s="134"/>
      <c r="DQ207" s="134"/>
      <c r="DR207" s="134"/>
      <c r="DS207" s="134"/>
      <c r="DT207" s="134"/>
      <c r="DU207" s="301"/>
      <c r="DV207" s="301"/>
      <c r="DW207" s="277"/>
      <c r="DX207" s="134"/>
      <c r="DY207" s="134"/>
      <c r="DZ207" s="134"/>
      <c r="EA207" s="134"/>
      <c r="EB207" s="134"/>
      <c r="EC207" s="134"/>
      <c r="ED207" s="134"/>
      <c r="EE207" s="134"/>
      <c r="EF207" s="301"/>
      <c r="EG207" s="301"/>
      <c r="EH207" s="134"/>
      <c r="EI207" s="134"/>
      <c r="EJ207" s="134"/>
      <c r="EK207" s="134"/>
    </row>
    <row r="208" spans="1:141">
      <c r="A208" s="79" t="s">
        <v>198</v>
      </c>
      <c r="B208" s="117">
        <v>144</v>
      </c>
      <c r="C208" s="123" t="s">
        <v>1974</v>
      </c>
      <c r="D208" s="124" t="s">
        <v>2198</v>
      </c>
      <c r="E208" s="125">
        <v>2014</v>
      </c>
      <c r="F208" s="79">
        <v>25470729</v>
      </c>
      <c r="G208" s="79">
        <v>1</v>
      </c>
      <c r="H208" s="126"/>
      <c r="I208" s="127"/>
      <c r="J208" s="79">
        <v>1</v>
      </c>
      <c r="K208" s="79"/>
      <c r="L208" s="173">
        <v>1</v>
      </c>
      <c r="M208" s="128">
        <v>1</v>
      </c>
      <c r="N208" s="79" t="s">
        <v>570</v>
      </c>
      <c r="O208" s="79" t="s">
        <v>1147</v>
      </c>
      <c r="P208" s="79" t="s">
        <v>25</v>
      </c>
      <c r="Q208" s="79">
        <v>1</v>
      </c>
      <c r="R208" s="79"/>
      <c r="S208" s="79"/>
      <c r="T208" s="79"/>
      <c r="U208" s="79"/>
      <c r="V208" s="79"/>
      <c r="W208" s="79"/>
      <c r="X208" s="79"/>
      <c r="Y208" s="79"/>
      <c r="Z208" s="79"/>
      <c r="AA208" s="154"/>
      <c r="AB208" s="155"/>
      <c r="AC208" s="121">
        <v>2</v>
      </c>
      <c r="AD208" s="202"/>
      <c r="AE208" s="192"/>
      <c r="AF208" s="203"/>
      <c r="AG208" s="121"/>
      <c r="AH208" s="121"/>
      <c r="AI208" s="121"/>
      <c r="AJ208" s="121"/>
      <c r="AK208" s="121"/>
      <c r="AL208" s="121"/>
      <c r="AM208" s="121"/>
      <c r="AN208" s="121"/>
      <c r="AO208" s="121"/>
      <c r="AP208" s="121"/>
      <c r="AQ208" s="121"/>
      <c r="AR208" s="121"/>
      <c r="AS208" s="121"/>
      <c r="AT208" s="121"/>
      <c r="AU208" s="121"/>
      <c r="AV208" s="156"/>
      <c r="AW208" s="156"/>
      <c r="AX208" s="156"/>
      <c r="AY208" s="156"/>
      <c r="AZ208" s="156">
        <v>1</v>
      </c>
      <c r="BA208" s="156"/>
      <c r="BB208" s="156"/>
      <c r="BC208" s="156"/>
      <c r="BD208" s="157"/>
      <c r="BE208" s="134"/>
      <c r="BF208" s="134"/>
      <c r="BG208" s="134"/>
      <c r="BH208" s="134"/>
      <c r="BI208" s="134"/>
      <c r="BJ208" s="259"/>
      <c r="BK208" s="138"/>
      <c r="BL208" s="134"/>
      <c r="BM208" s="134"/>
      <c r="BN208" s="134"/>
      <c r="BO208" s="138"/>
      <c r="BP208" s="134"/>
      <c r="BQ208" s="134"/>
      <c r="BR208" s="134"/>
      <c r="BS208" s="288"/>
      <c r="BT208" s="289"/>
      <c r="BU208" s="138"/>
      <c r="BV208" s="134"/>
      <c r="BW208" s="134"/>
      <c r="BX208" s="134"/>
      <c r="BY208" s="138"/>
      <c r="BZ208" s="134"/>
      <c r="CA208" s="134"/>
      <c r="CB208" s="134"/>
      <c r="CC208" s="288"/>
      <c r="CD208" s="289"/>
      <c r="CE208" s="276"/>
      <c r="CF208" s="308"/>
      <c r="CG208" s="138"/>
      <c r="CH208" s="134"/>
      <c r="CI208" s="134"/>
      <c r="CJ208" s="134"/>
      <c r="CK208" s="134"/>
      <c r="CL208" s="134"/>
      <c r="CM208" s="134"/>
      <c r="CN208" s="134"/>
      <c r="CO208" s="300"/>
      <c r="CP208" s="301"/>
      <c r="CQ208" s="134"/>
      <c r="CR208" s="134"/>
      <c r="CS208" s="134"/>
      <c r="CT208" s="134"/>
      <c r="CU208" s="134"/>
      <c r="CV208" s="134"/>
      <c r="CW208" s="134"/>
      <c r="CX208" s="134"/>
      <c r="CY208" s="300"/>
      <c r="CZ208" s="301"/>
      <c r="DA208" s="276"/>
      <c r="DB208" s="277"/>
      <c r="DC208" s="134"/>
      <c r="DD208" s="134"/>
      <c r="DE208" s="134"/>
      <c r="DF208" s="134"/>
      <c r="DG208" s="138"/>
      <c r="DH208" s="134"/>
      <c r="DI208" s="134"/>
      <c r="DJ208" s="134"/>
      <c r="DK208" s="301"/>
      <c r="DL208" s="301"/>
      <c r="DM208" s="134"/>
      <c r="DN208" s="134"/>
      <c r="DO208" s="134"/>
      <c r="DP208" s="134"/>
      <c r="DQ208" s="134"/>
      <c r="DR208" s="134"/>
      <c r="DS208" s="134"/>
      <c r="DT208" s="134"/>
      <c r="DU208" s="301"/>
      <c r="DV208" s="301"/>
      <c r="DW208" s="277"/>
      <c r="DX208" s="134"/>
      <c r="DY208" s="134"/>
      <c r="DZ208" s="134"/>
      <c r="EA208" s="134"/>
      <c r="EB208" s="134"/>
      <c r="EC208" s="134"/>
      <c r="ED208" s="134"/>
      <c r="EE208" s="134"/>
      <c r="EF208" s="301"/>
      <c r="EG208" s="301"/>
      <c r="EH208" s="134"/>
      <c r="EI208" s="134"/>
      <c r="EJ208" s="134"/>
      <c r="EK208" s="134"/>
    </row>
    <row r="209" spans="1:141">
      <c r="A209" s="79" t="s">
        <v>1037</v>
      </c>
      <c r="B209" s="117">
        <v>145</v>
      </c>
      <c r="C209" s="123" t="s">
        <v>2082</v>
      </c>
      <c r="D209" s="124" t="s">
        <v>2336</v>
      </c>
      <c r="E209" s="125">
        <v>2009</v>
      </c>
      <c r="F209" s="79">
        <v>19095221</v>
      </c>
      <c r="G209" s="79">
        <v>1</v>
      </c>
      <c r="H209" s="126" t="s">
        <v>1853</v>
      </c>
      <c r="I209" s="127"/>
      <c r="J209" s="79">
        <v>0</v>
      </c>
      <c r="K209" s="79"/>
      <c r="L209" s="79">
        <v>0</v>
      </c>
      <c r="M209" s="128">
        <v>2</v>
      </c>
      <c r="N209" s="79" t="s">
        <v>24</v>
      </c>
      <c r="O209" s="79" t="s">
        <v>24</v>
      </c>
      <c r="P209" s="79" t="s">
        <v>1127</v>
      </c>
      <c r="Q209" s="79"/>
      <c r="R209" s="79" t="s">
        <v>1495</v>
      </c>
      <c r="S209" s="79"/>
      <c r="T209" s="79"/>
      <c r="U209" s="79" t="s">
        <v>1382</v>
      </c>
      <c r="V209" s="79" t="s">
        <v>1380</v>
      </c>
      <c r="W209" s="79" t="s">
        <v>1381</v>
      </c>
      <c r="X209" s="79"/>
      <c r="Y209" s="79"/>
      <c r="Z209" s="79" t="s">
        <v>424</v>
      </c>
      <c r="AA209" s="154"/>
      <c r="AB209" s="155"/>
      <c r="AC209" s="121">
        <v>4</v>
      </c>
      <c r="AD209" s="202"/>
      <c r="AE209" s="192"/>
      <c r="AF209" s="203"/>
      <c r="AG209" s="121"/>
      <c r="AH209" s="121"/>
      <c r="AI209" s="121"/>
      <c r="AJ209" s="121"/>
      <c r="AK209" s="121"/>
      <c r="AL209" s="121"/>
      <c r="AM209" s="121"/>
      <c r="AN209" s="121"/>
      <c r="AO209" s="121"/>
      <c r="AP209" s="121"/>
      <c r="AQ209" s="121"/>
      <c r="AR209" s="121"/>
      <c r="AS209" s="121"/>
      <c r="AT209" s="121"/>
      <c r="AU209" s="121"/>
      <c r="AV209" s="156"/>
      <c r="AW209" s="156"/>
      <c r="AX209" s="156"/>
      <c r="AY209" s="156"/>
      <c r="AZ209" s="156"/>
      <c r="BA209" s="156"/>
      <c r="BB209" s="156"/>
      <c r="BC209" s="156"/>
      <c r="BD209" s="157"/>
      <c r="BE209" s="134"/>
      <c r="BF209" s="134"/>
      <c r="BG209" s="134"/>
      <c r="BH209" s="134"/>
      <c r="BI209" s="134"/>
      <c r="BJ209" s="259"/>
      <c r="BK209" s="138"/>
      <c r="BL209" s="134"/>
      <c r="BM209" s="134"/>
      <c r="BN209" s="134"/>
      <c r="BO209" s="138"/>
      <c r="BP209" s="134"/>
      <c r="BQ209" s="134"/>
      <c r="BR209" s="134"/>
      <c r="BS209" s="288"/>
      <c r="BT209" s="289"/>
      <c r="BU209" s="138"/>
      <c r="BV209" s="134"/>
      <c r="BW209" s="134"/>
      <c r="BX209" s="134"/>
      <c r="BY209" s="138"/>
      <c r="BZ209" s="134"/>
      <c r="CA209" s="134"/>
      <c r="CB209" s="134"/>
      <c r="CC209" s="288"/>
      <c r="CD209" s="289"/>
      <c r="CE209" s="276"/>
      <c r="CF209" s="308"/>
      <c r="CG209" s="138"/>
      <c r="CH209" s="134"/>
      <c r="CI209" s="134"/>
      <c r="CJ209" s="134"/>
      <c r="CK209" s="134"/>
      <c r="CL209" s="134"/>
      <c r="CM209" s="134"/>
      <c r="CN209" s="134"/>
      <c r="CO209" s="300"/>
      <c r="CP209" s="301"/>
      <c r="CQ209" s="134"/>
      <c r="CR209" s="134"/>
      <c r="CS209" s="134"/>
      <c r="CT209" s="134"/>
      <c r="CU209" s="134"/>
      <c r="CV209" s="134"/>
      <c r="CW209" s="134"/>
      <c r="CX209" s="134"/>
      <c r="CY209" s="300"/>
      <c r="CZ209" s="301"/>
      <c r="DA209" s="276"/>
      <c r="DB209" s="277"/>
      <c r="DC209" s="134"/>
      <c r="DD209" s="134"/>
      <c r="DE209" s="134"/>
      <c r="DF209" s="134"/>
      <c r="DG209" s="138"/>
      <c r="DH209" s="134"/>
      <c r="DI209" s="134"/>
      <c r="DJ209" s="134"/>
      <c r="DK209" s="301"/>
      <c r="DL209" s="301"/>
      <c r="DM209" s="134"/>
      <c r="DN209" s="134"/>
      <c r="DO209" s="134"/>
      <c r="DP209" s="134"/>
      <c r="DQ209" s="134"/>
      <c r="DR209" s="134"/>
      <c r="DS209" s="134"/>
      <c r="DT209" s="134"/>
      <c r="DU209" s="301"/>
      <c r="DV209" s="301"/>
      <c r="DW209" s="277"/>
      <c r="DX209" s="134"/>
      <c r="DY209" s="134"/>
      <c r="DZ209" s="134"/>
      <c r="EA209" s="134"/>
      <c r="EB209" s="134"/>
      <c r="EC209" s="134"/>
      <c r="ED209" s="134"/>
      <c r="EE209" s="134"/>
      <c r="EF209" s="301"/>
      <c r="EG209" s="301"/>
      <c r="EH209" s="134"/>
      <c r="EI209" s="134"/>
      <c r="EJ209" s="134"/>
      <c r="EK209" s="134"/>
    </row>
    <row r="210" spans="1:141">
      <c r="A210" s="79" t="s">
        <v>200</v>
      </c>
      <c r="B210" s="117">
        <v>146</v>
      </c>
      <c r="C210" s="123" t="s">
        <v>1975</v>
      </c>
      <c r="D210" s="124" t="s">
        <v>2199</v>
      </c>
      <c r="E210" s="125">
        <v>2012</v>
      </c>
      <c r="F210" s="79">
        <v>21443892</v>
      </c>
      <c r="G210" s="79">
        <v>1</v>
      </c>
      <c r="H210" s="126"/>
      <c r="I210" s="127"/>
      <c r="J210" s="79">
        <v>1</v>
      </c>
      <c r="K210" s="79"/>
      <c r="L210" s="164">
        <v>1</v>
      </c>
      <c r="M210" s="128">
        <v>1</v>
      </c>
      <c r="N210" s="79" t="s">
        <v>574</v>
      </c>
      <c r="O210" s="79" t="s">
        <v>1147</v>
      </c>
      <c r="P210" s="79" t="s">
        <v>575</v>
      </c>
      <c r="Q210" s="79">
        <v>0</v>
      </c>
      <c r="R210" s="79"/>
      <c r="S210" s="79"/>
      <c r="T210" s="79"/>
      <c r="U210" s="79" t="s">
        <v>23</v>
      </c>
      <c r="V210" s="79" t="s">
        <v>573</v>
      </c>
      <c r="W210" s="79"/>
      <c r="X210" s="79"/>
      <c r="Y210" s="79"/>
      <c r="Z210" s="79" t="s">
        <v>576</v>
      </c>
      <c r="AA210" s="154"/>
      <c r="AB210" s="155"/>
      <c r="AC210" s="121"/>
      <c r="AD210" s="202"/>
      <c r="AE210" s="192"/>
      <c r="AF210" s="203"/>
      <c r="AG210" s="121"/>
      <c r="AH210" s="121"/>
      <c r="AI210" s="121"/>
      <c r="AJ210" s="121"/>
      <c r="AK210" s="121"/>
      <c r="AL210" s="121"/>
      <c r="AM210" s="121"/>
      <c r="AN210" s="121"/>
      <c r="AO210" s="121"/>
      <c r="AP210" s="121"/>
      <c r="AQ210" s="121"/>
      <c r="AR210" s="121"/>
      <c r="AS210" s="121"/>
      <c r="AT210" s="121"/>
      <c r="AU210" s="121"/>
      <c r="AV210" s="156"/>
      <c r="AW210" s="156"/>
      <c r="AX210" s="156"/>
      <c r="AY210" s="156"/>
      <c r="AZ210" s="156">
        <v>1</v>
      </c>
      <c r="BA210" s="156"/>
      <c r="BB210" s="156"/>
      <c r="BC210" s="156"/>
      <c r="BD210" s="157"/>
      <c r="BE210" s="134"/>
      <c r="BF210" s="134"/>
      <c r="BG210" s="134"/>
      <c r="BH210" s="134"/>
      <c r="BI210" s="134"/>
      <c r="BJ210" s="259"/>
      <c r="BK210" s="138"/>
      <c r="BL210" s="134"/>
      <c r="BM210" s="134"/>
      <c r="BN210" s="134"/>
      <c r="BO210" s="138"/>
      <c r="BP210" s="134"/>
      <c r="BQ210" s="134"/>
      <c r="BR210" s="134"/>
      <c r="BS210" s="288"/>
      <c r="BT210" s="289"/>
      <c r="BU210" s="138"/>
      <c r="BV210" s="134"/>
      <c r="BW210" s="134"/>
      <c r="BX210" s="134"/>
      <c r="BY210" s="138"/>
      <c r="BZ210" s="134"/>
      <c r="CA210" s="134"/>
      <c r="CB210" s="134"/>
      <c r="CC210" s="288"/>
      <c r="CD210" s="289"/>
      <c r="CE210" s="276"/>
      <c r="CF210" s="308"/>
      <c r="CG210" s="138"/>
      <c r="CH210" s="134"/>
      <c r="CI210" s="134"/>
      <c r="CJ210" s="134"/>
      <c r="CK210" s="134"/>
      <c r="CL210" s="134"/>
      <c r="CM210" s="134"/>
      <c r="CN210" s="134"/>
      <c r="CO210" s="300"/>
      <c r="CP210" s="301"/>
      <c r="CQ210" s="134"/>
      <c r="CR210" s="134"/>
      <c r="CS210" s="134"/>
      <c r="CT210" s="134"/>
      <c r="CU210" s="134"/>
      <c r="CV210" s="134"/>
      <c r="CW210" s="134"/>
      <c r="CX210" s="134"/>
      <c r="CY210" s="300"/>
      <c r="CZ210" s="301"/>
      <c r="DA210" s="276"/>
      <c r="DB210" s="277"/>
      <c r="DC210" s="134"/>
      <c r="DD210" s="134"/>
      <c r="DE210" s="134"/>
      <c r="DF210" s="134"/>
      <c r="DG210" s="138"/>
      <c r="DH210" s="134"/>
      <c r="DI210" s="134"/>
      <c r="DJ210" s="134"/>
      <c r="DK210" s="301"/>
      <c r="DL210" s="301"/>
      <c r="DM210" s="134"/>
      <c r="DN210" s="134"/>
      <c r="DO210" s="134"/>
      <c r="DP210" s="134"/>
      <c r="DQ210" s="134"/>
      <c r="DR210" s="134"/>
      <c r="DS210" s="134"/>
      <c r="DT210" s="134"/>
      <c r="DU210" s="301"/>
      <c r="DV210" s="301"/>
      <c r="DW210" s="277"/>
      <c r="DX210" s="134"/>
      <c r="DY210" s="134"/>
      <c r="DZ210" s="134"/>
      <c r="EA210" s="134"/>
      <c r="EB210" s="134"/>
      <c r="EC210" s="134"/>
      <c r="ED210" s="134"/>
      <c r="EE210" s="134"/>
      <c r="EF210" s="301"/>
      <c r="EG210" s="301"/>
      <c r="EH210" s="134"/>
      <c r="EI210" s="134"/>
      <c r="EJ210" s="134"/>
      <c r="EK210" s="134"/>
    </row>
    <row r="211" spans="1:141">
      <c r="A211" s="79" t="s">
        <v>1036</v>
      </c>
      <c r="B211" s="117">
        <v>147</v>
      </c>
      <c r="C211" s="123" t="s">
        <v>2083</v>
      </c>
      <c r="D211" s="124" t="s">
        <v>2337</v>
      </c>
      <c r="E211" s="125">
        <v>2013</v>
      </c>
      <c r="F211" s="79">
        <v>23891637</v>
      </c>
      <c r="G211" s="79">
        <v>1</v>
      </c>
      <c r="H211" s="126">
        <v>1</v>
      </c>
      <c r="I211" s="127"/>
      <c r="J211" s="79">
        <v>1</v>
      </c>
      <c r="K211" s="79"/>
      <c r="L211" s="79">
        <v>1</v>
      </c>
      <c r="M211" s="128">
        <v>2</v>
      </c>
      <c r="N211" s="79" t="s">
        <v>1347</v>
      </c>
      <c r="O211" s="79" t="s">
        <v>1216</v>
      </c>
      <c r="P211" s="79" t="s">
        <v>1127</v>
      </c>
      <c r="Q211" s="79"/>
      <c r="R211" s="79" t="s">
        <v>1714</v>
      </c>
      <c r="S211" s="79" t="s">
        <v>803</v>
      </c>
      <c r="T211" s="79"/>
      <c r="U211" s="79" t="s">
        <v>1383</v>
      </c>
      <c r="V211" s="79" t="s">
        <v>1384</v>
      </c>
      <c r="W211" s="79" t="s">
        <v>1385</v>
      </c>
      <c r="X211" s="79"/>
      <c r="Y211" s="79"/>
      <c r="Z211" s="79"/>
      <c r="AA211" s="154"/>
      <c r="AB211" s="155"/>
      <c r="AC211" s="121">
        <v>4</v>
      </c>
      <c r="AD211" s="202"/>
      <c r="AE211" s="192"/>
      <c r="AF211" s="203"/>
      <c r="AG211" s="121"/>
      <c r="AH211" s="121"/>
      <c r="AI211" s="121"/>
      <c r="AJ211" s="121"/>
      <c r="AK211" s="121"/>
      <c r="AL211" s="121"/>
      <c r="AM211" s="121"/>
      <c r="AN211" s="121"/>
      <c r="AO211" s="121"/>
      <c r="AP211" s="121"/>
      <c r="AQ211" s="121"/>
      <c r="AR211" s="121"/>
      <c r="AS211" s="121"/>
      <c r="AT211" s="121"/>
      <c r="AU211" s="121"/>
      <c r="AV211" s="156"/>
      <c r="AW211" s="156"/>
      <c r="AX211" s="156"/>
      <c r="AY211" s="156"/>
      <c r="AZ211" s="156">
        <v>1</v>
      </c>
      <c r="BA211" s="156"/>
      <c r="BB211" s="156"/>
      <c r="BC211" s="156"/>
      <c r="BD211" s="157"/>
      <c r="BE211" s="134"/>
      <c r="BF211" s="134"/>
      <c r="BG211" s="134"/>
      <c r="BH211" s="134"/>
      <c r="BI211" s="134"/>
      <c r="BJ211" s="259"/>
      <c r="BK211" s="138"/>
      <c r="BL211" s="134"/>
      <c r="BM211" s="134"/>
      <c r="BN211" s="134"/>
      <c r="BO211" s="138"/>
      <c r="BP211" s="134"/>
      <c r="BQ211" s="134"/>
      <c r="BR211" s="134"/>
      <c r="BS211" s="288"/>
      <c r="BT211" s="289"/>
      <c r="BU211" s="138"/>
      <c r="BV211" s="134"/>
      <c r="BW211" s="134"/>
      <c r="BX211" s="134"/>
      <c r="BY211" s="138"/>
      <c r="BZ211" s="134"/>
      <c r="CA211" s="134"/>
      <c r="CB211" s="134"/>
      <c r="CC211" s="288"/>
      <c r="CD211" s="289"/>
      <c r="CE211" s="276"/>
      <c r="CF211" s="308"/>
      <c r="CG211" s="138"/>
      <c r="CH211" s="134"/>
      <c r="CI211" s="134"/>
      <c r="CJ211" s="134"/>
      <c r="CK211" s="134"/>
      <c r="CL211" s="134"/>
      <c r="CM211" s="134"/>
      <c r="CN211" s="134"/>
      <c r="CO211" s="300"/>
      <c r="CP211" s="301"/>
      <c r="CQ211" s="134"/>
      <c r="CR211" s="134"/>
      <c r="CS211" s="134"/>
      <c r="CT211" s="134"/>
      <c r="CU211" s="134"/>
      <c r="CV211" s="134"/>
      <c r="CW211" s="134"/>
      <c r="CX211" s="134"/>
      <c r="CY211" s="300"/>
      <c r="CZ211" s="301"/>
      <c r="DA211" s="276"/>
      <c r="DB211" s="277"/>
      <c r="DC211" s="134"/>
      <c r="DD211" s="134"/>
      <c r="DE211" s="134"/>
      <c r="DF211" s="134"/>
      <c r="DG211" s="138"/>
      <c r="DH211" s="134"/>
      <c r="DI211" s="134"/>
      <c r="DJ211" s="134"/>
      <c r="DK211" s="301"/>
      <c r="DL211" s="301"/>
      <c r="DM211" s="134"/>
      <c r="DN211" s="134"/>
      <c r="DO211" s="134"/>
      <c r="DP211" s="134"/>
      <c r="DQ211" s="134"/>
      <c r="DR211" s="134"/>
      <c r="DS211" s="134"/>
      <c r="DT211" s="134"/>
      <c r="DU211" s="301"/>
      <c r="DV211" s="301"/>
      <c r="DW211" s="277"/>
      <c r="DX211" s="134"/>
      <c r="DY211" s="134"/>
      <c r="DZ211" s="134"/>
      <c r="EA211" s="134"/>
      <c r="EB211" s="134"/>
      <c r="EC211" s="134"/>
      <c r="ED211" s="134"/>
      <c r="EE211" s="134"/>
      <c r="EF211" s="301"/>
      <c r="EG211" s="301"/>
      <c r="EH211" s="134"/>
      <c r="EI211" s="134"/>
      <c r="EJ211" s="134"/>
      <c r="EK211" s="134"/>
    </row>
    <row r="212" spans="1:141">
      <c r="A212" s="79" t="s">
        <v>203</v>
      </c>
      <c r="B212" s="117">
        <v>148</v>
      </c>
      <c r="C212" s="123" t="s">
        <v>1976</v>
      </c>
      <c r="D212" s="124" t="s">
        <v>2200</v>
      </c>
      <c r="E212" s="125">
        <v>2013</v>
      </c>
      <c r="F212" s="79">
        <v>23978082</v>
      </c>
      <c r="G212" s="79">
        <v>1</v>
      </c>
      <c r="H212" s="126"/>
      <c r="I212" s="127"/>
      <c r="J212" s="79">
        <v>1</v>
      </c>
      <c r="K212" s="79"/>
      <c r="L212" s="79">
        <v>1</v>
      </c>
      <c r="M212" s="128">
        <v>1</v>
      </c>
      <c r="N212" s="79" t="s">
        <v>581</v>
      </c>
      <c r="O212" s="79" t="s">
        <v>1147</v>
      </c>
      <c r="P212" s="79" t="s">
        <v>567</v>
      </c>
      <c r="Q212" s="79">
        <v>1</v>
      </c>
      <c r="R212" s="79"/>
      <c r="S212" s="79"/>
      <c r="T212" s="79"/>
      <c r="U212" s="79" t="s">
        <v>580</v>
      </c>
      <c r="V212" s="79"/>
      <c r="W212" s="79"/>
      <c r="X212" s="79"/>
      <c r="Y212" s="79"/>
      <c r="Z212" s="79"/>
      <c r="AA212" s="154"/>
      <c r="AB212" s="155"/>
      <c r="AC212" s="121">
        <v>2</v>
      </c>
      <c r="AD212" s="202"/>
      <c r="AE212" s="192"/>
      <c r="AF212" s="203"/>
      <c r="AG212" s="121"/>
      <c r="AH212" s="121"/>
      <c r="AI212" s="121"/>
      <c r="AJ212" s="121"/>
      <c r="AK212" s="121"/>
      <c r="AL212" s="121"/>
      <c r="AM212" s="121"/>
      <c r="AN212" s="121"/>
      <c r="AO212" s="121"/>
      <c r="AP212" s="121"/>
      <c r="AQ212" s="121"/>
      <c r="AR212" s="121"/>
      <c r="AS212" s="121"/>
      <c r="AT212" s="121"/>
      <c r="AU212" s="121"/>
      <c r="AV212" s="156"/>
      <c r="AW212" s="156"/>
      <c r="AX212" s="156"/>
      <c r="AY212" s="156"/>
      <c r="AZ212" s="156">
        <v>1</v>
      </c>
      <c r="BA212" s="156"/>
      <c r="BB212" s="156"/>
      <c r="BC212" s="156"/>
      <c r="BD212" s="157"/>
      <c r="BE212" s="134"/>
      <c r="BF212" s="134"/>
      <c r="BG212" s="134"/>
      <c r="BH212" s="134"/>
      <c r="BI212" s="134"/>
      <c r="BJ212" s="259"/>
      <c r="BK212" s="138"/>
      <c r="BL212" s="134"/>
      <c r="BM212" s="134"/>
      <c r="BN212" s="134"/>
      <c r="BO212" s="138"/>
      <c r="BP212" s="134"/>
      <c r="BQ212" s="134"/>
      <c r="BR212" s="134"/>
      <c r="BS212" s="288"/>
      <c r="BT212" s="289"/>
      <c r="BU212" s="138"/>
      <c r="BV212" s="134"/>
      <c r="BW212" s="134"/>
      <c r="BX212" s="134"/>
      <c r="BY212" s="138"/>
      <c r="BZ212" s="134"/>
      <c r="CA212" s="134"/>
      <c r="CB212" s="134"/>
      <c r="CC212" s="288"/>
      <c r="CD212" s="289"/>
      <c r="CE212" s="276"/>
      <c r="CF212" s="308"/>
      <c r="CG212" s="138"/>
      <c r="CH212" s="134"/>
      <c r="CI212" s="134"/>
      <c r="CJ212" s="134"/>
      <c r="CK212" s="134"/>
      <c r="CL212" s="134"/>
      <c r="CM212" s="134"/>
      <c r="CN212" s="134"/>
      <c r="CO212" s="300"/>
      <c r="CP212" s="301"/>
      <c r="CQ212" s="134"/>
      <c r="CR212" s="134"/>
      <c r="CS212" s="134"/>
      <c r="CT212" s="134"/>
      <c r="CU212" s="134"/>
      <c r="CV212" s="134"/>
      <c r="CW212" s="134"/>
      <c r="CX212" s="134"/>
      <c r="CY212" s="300"/>
      <c r="CZ212" s="301"/>
      <c r="DA212" s="276"/>
      <c r="DB212" s="277"/>
      <c r="DC212" s="134"/>
      <c r="DD212" s="134"/>
      <c r="DE212" s="134"/>
      <c r="DF212" s="134"/>
      <c r="DG212" s="138"/>
      <c r="DH212" s="134"/>
      <c r="DI212" s="134"/>
      <c r="DJ212" s="134"/>
      <c r="DK212" s="301"/>
      <c r="DL212" s="301"/>
      <c r="DM212" s="134"/>
      <c r="DN212" s="134"/>
      <c r="DO212" s="134"/>
      <c r="DP212" s="134"/>
      <c r="DQ212" s="134"/>
      <c r="DR212" s="134"/>
      <c r="DS212" s="134"/>
      <c r="DT212" s="134"/>
      <c r="DU212" s="301"/>
      <c r="DV212" s="301"/>
      <c r="DW212" s="277"/>
      <c r="DX212" s="134"/>
      <c r="DY212" s="134"/>
      <c r="DZ212" s="134"/>
      <c r="EA212" s="134"/>
      <c r="EB212" s="134"/>
      <c r="EC212" s="134"/>
      <c r="ED212" s="134"/>
      <c r="EE212" s="134"/>
      <c r="EF212" s="301"/>
      <c r="EG212" s="301"/>
      <c r="EH212" s="134"/>
      <c r="EI212" s="134"/>
      <c r="EJ212" s="134"/>
      <c r="EK212" s="134"/>
    </row>
    <row r="213" spans="1:141">
      <c r="A213" s="79" t="s">
        <v>1031</v>
      </c>
      <c r="B213" s="117">
        <v>149</v>
      </c>
      <c r="C213" s="123" t="s">
        <v>2085</v>
      </c>
      <c r="D213" s="124" t="s">
        <v>2339</v>
      </c>
      <c r="E213" s="125">
        <v>2016</v>
      </c>
      <c r="F213" s="79">
        <v>26611866</v>
      </c>
      <c r="G213" s="79">
        <v>1</v>
      </c>
      <c r="H213" s="126"/>
      <c r="I213" s="127"/>
      <c r="J213" s="79">
        <v>1</v>
      </c>
      <c r="K213" s="79"/>
      <c r="L213" s="164">
        <v>1</v>
      </c>
      <c r="M213" s="128">
        <v>2</v>
      </c>
      <c r="N213" s="79" t="s">
        <v>1393</v>
      </c>
      <c r="O213" s="79" t="s">
        <v>1390</v>
      </c>
      <c r="P213" s="79" t="s">
        <v>1127</v>
      </c>
      <c r="Q213" s="79"/>
      <c r="R213" s="79" t="s">
        <v>1487</v>
      </c>
      <c r="S213" s="79" t="s">
        <v>803</v>
      </c>
      <c r="T213" s="79" t="s">
        <v>23</v>
      </c>
      <c r="U213" s="79" t="s">
        <v>1716</v>
      </c>
      <c r="V213" s="79" t="s">
        <v>1391</v>
      </c>
      <c r="W213" s="79"/>
      <c r="X213" s="79"/>
      <c r="Y213" s="79"/>
      <c r="Z213" s="79" t="s">
        <v>1392</v>
      </c>
      <c r="AA213" s="154"/>
      <c r="AB213" s="155"/>
      <c r="AC213" s="121">
        <v>4</v>
      </c>
      <c r="AD213" s="202"/>
      <c r="AE213" s="192"/>
      <c r="AF213" s="203"/>
      <c r="AG213" s="121"/>
      <c r="AH213" s="121"/>
      <c r="AI213" s="121"/>
      <c r="AJ213" s="121"/>
      <c r="AK213" s="121"/>
      <c r="AL213" s="121"/>
      <c r="AM213" s="121"/>
      <c r="AN213" s="121"/>
      <c r="AO213" s="121"/>
      <c r="AP213" s="121"/>
      <c r="AQ213" s="121"/>
      <c r="AR213" s="121"/>
      <c r="AS213" s="121"/>
      <c r="AT213" s="121"/>
      <c r="AU213" s="121"/>
      <c r="AV213" s="156"/>
      <c r="AW213" s="156"/>
      <c r="AX213" s="156"/>
      <c r="AY213" s="156" t="s">
        <v>1917</v>
      </c>
      <c r="AZ213" s="156"/>
      <c r="BA213" s="156"/>
      <c r="BB213" s="156"/>
      <c r="BC213" s="156"/>
      <c r="BD213" s="157"/>
      <c r="BE213" s="134"/>
      <c r="BF213" s="134"/>
      <c r="BG213" s="134"/>
      <c r="BH213" s="134"/>
      <c r="BI213" s="134"/>
      <c r="BJ213" s="259"/>
      <c r="BK213" s="138"/>
      <c r="BL213" s="134"/>
      <c r="BM213" s="134"/>
      <c r="BN213" s="134"/>
      <c r="BO213" s="138"/>
      <c r="BP213" s="134"/>
      <c r="BQ213" s="134"/>
      <c r="BR213" s="134"/>
      <c r="BS213" s="288"/>
      <c r="BT213" s="289"/>
      <c r="BU213" s="138"/>
      <c r="BV213" s="134"/>
      <c r="BW213" s="134"/>
      <c r="BX213" s="134"/>
      <c r="BY213" s="138"/>
      <c r="BZ213" s="134"/>
      <c r="CA213" s="134"/>
      <c r="CB213" s="134"/>
      <c r="CC213" s="288"/>
      <c r="CD213" s="289"/>
      <c r="CE213" s="276"/>
      <c r="CF213" s="308"/>
      <c r="CG213" s="138"/>
      <c r="CH213" s="134"/>
      <c r="CI213" s="134"/>
      <c r="CJ213" s="134"/>
      <c r="CK213" s="134"/>
      <c r="CL213" s="134"/>
      <c r="CM213" s="134"/>
      <c r="CN213" s="134"/>
      <c r="CO213" s="300"/>
      <c r="CP213" s="301"/>
      <c r="CQ213" s="134"/>
      <c r="CR213" s="134"/>
      <c r="CS213" s="134"/>
      <c r="CT213" s="134"/>
      <c r="CU213" s="134"/>
      <c r="CV213" s="134"/>
      <c r="CW213" s="134"/>
      <c r="CX213" s="134"/>
      <c r="CY213" s="300"/>
      <c r="CZ213" s="301"/>
      <c r="DA213" s="276"/>
      <c r="DB213" s="277"/>
      <c r="DC213" s="134"/>
      <c r="DD213" s="134"/>
      <c r="DE213" s="134"/>
      <c r="DF213" s="134"/>
      <c r="DG213" s="138"/>
      <c r="DH213" s="134"/>
      <c r="DI213" s="134"/>
      <c r="DJ213" s="134"/>
      <c r="DK213" s="301"/>
      <c r="DL213" s="301"/>
      <c r="DM213" s="134"/>
      <c r="DN213" s="134"/>
      <c r="DO213" s="134"/>
      <c r="DP213" s="134"/>
      <c r="DQ213" s="134"/>
      <c r="DR213" s="134"/>
      <c r="DS213" s="134"/>
      <c r="DT213" s="134"/>
      <c r="DU213" s="301"/>
      <c r="DV213" s="301"/>
      <c r="DW213" s="277"/>
      <c r="DX213" s="134"/>
      <c r="DY213" s="134"/>
      <c r="DZ213" s="134"/>
      <c r="EA213" s="134"/>
      <c r="EB213" s="134"/>
      <c r="EC213" s="134"/>
      <c r="ED213" s="134"/>
      <c r="EE213" s="134"/>
      <c r="EF213" s="301"/>
      <c r="EG213" s="301"/>
      <c r="EH213" s="134"/>
      <c r="EI213" s="134"/>
      <c r="EJ213" s="134"/>
      <c r="EK213" s="134"/>
    </row>
    <row r="214" spans="1:141">
      <c r="A214" s="79" t="s">
        <v>204</v>
      </c>
      <c r="B214" s="117">
        <v>150</v>
      </c>
      <c r="C214" s="123" t="s">
        <v>1977</v>
      </c>
      <c r="D214" s="124" t="s">
        <v>2201</v>
      </c>
      <c r="E214" s="125">
        <v>2010</v>
      </c>
      <c r="F214" s="79">
        <v>20088647</v>
      </c>
      <c r="G214" s="79">
        <v>1</v>
      </c>
      <c r="H214" s="126"/>
      <c r="I214" s="127"/>
      <c r="J214" s="174">
        <v>1</v>
      </c>
      <c r="K214" s="79"/>
      <c r="L214" s="164">
        <v>1</v>
      </c>
      <c r="M214" s="128">
        <v>1</v>
      </c>
      <c r="N214" s="79"/>
      <c r="O214" s="79"/>
      <c r="P214" s="79" t="s">
        <v>583</v>
      </c>
      <c r="Q214" s="79">
        <v>1</v>
      </c>
      <c r="R214" s="79"/>
      <c r="S214" s="79"/>
      <c r="T214" s="79"/>
      <c r="U214" s="79" t="s">
        <v>23</v>
      </c>
      <c r="V214" s="79" t="s">
        <v>582</v>
      </c>
      <c r="W214" s="79"/>
      <c r="X214" s="79"/>
      <c r="Y214" s="79"/>
      <c r="Z214" s="79" t="s">
        <v>584</v>
      </c>
      <c r="AA214" s="154"/>
      <c r="AB214" s="155"/>
      <c r="AC214" s="121"/>
      <c r="AD214" s="202"/>
      <c r="AE214" s="192"/>
      <c r="AF214" s="203"/>
      <c r="AG214" s="121"/>
      <c r="AH214" s="121"/>
      <c r="AI214" s="121"/>
      <c r="AJ214" s="121"/>
      <c r="AK214" s="121"/>
      <c r="AL214" s="121"/>
      <c r="AM214" s="121"/>
      <c r="AN214" s="121"/>
      <c r="AO214" s="121"/>
      <c r="AP214" s="121"/>
      <c r="AQ214" s="121"/>
      <c r="AR214" s="121"/>
      <c r="AS214" s="121"/>
      <c r="AT214" s="121"/>
      <c r="AU214" s="121"/>
      <c r="AV214" s="156"/>
      <c r="AW214" s="156"/>
      <c r="AX214" s="156"/>
      <c r="AY214" s="156"/>
      <c r="AZ214" s="156"/>
      <c r="BA214" s="156"/>
      <c r="BB214" s="156"/>
      <c r="BC214" s="156"/>
      <c r="BD214" s="157"/>
      <c r="BE214" s="134"/>
      <c r="BF214" s="134"/>
      <c r="BG214" s="134"/>
      <c r="BH214" s="134"/>
      <c r="BI214" s="134"/>
      <c r="BJ214" s="259"/>
      <c r="BK214" s="138"/>
      <c r="BL214" s="134"/>
      <c r="BM214" s="134"/>
      <c r="BN214" s="134"/>
      <c r="BO214" s="138"/>
      <c r="BP214" s="134"/>
      <c r="BQ214" s="134"/>
      <c r="BR214" s="134"/>
      <c r="BS214" s="288"/>
      <c r="BT214" s="289"/>
      <c r="BU214" s="138"/>
      <c r="BV214" s="134"/>
      <c r="BW214" s="134"/>
      <c r="BX214" s="134"/>
      <c r="BY214" s="138"/>
      <c r="BZ214" s="134"/>
      <c r="CA214" s="134"/>
      <c r="CB214" s="134"/>
      <c r="CC214" s="288"/>
      <c r="CD214" s="289"/>
      <c r="CE214" s="276"/>
      <c r="CF214" s="308"/>
      <c r="CG214" s="138"/>
      <c r="CH214" s="134"/>
      <c r="CI214" s="134"/>
      <c r="CJ214" s="134"/>
      <c r="CK214" s="134"/>
      <c r="CL214" s="134"/>
      <c r="CM214" s="134"/>
      <c r="CN214" s="134"/>
      <c r="CO214" s="300"/>
      <c r="CP214" s="301"/>
      <c r="CQ214" s="134"/>
      <c r="CR214" s="134"/>
      <c r="CS214" s="134"/>
      <c r="CT214" s="134"/>
      <c r="CU214" s="134"/>
      <c r="CV214" s="134"/>
      <c r="CW214" s="134"/>
      <c r="CX214" s="134"/>
      <c r="CY214" s="300"/>
      <c r="CZ214" s="301"/>
      <c r="DA214" s="276"/>
      <c r="DB214" s="277"/>
      <c r="DC214" s="134"/>
      <c r="DD214" s="134"/>
      <c r="DE214" s="134"/>
      <c r="DF214" s="134"/>
      <c r="DG214" s="138"/>
      <c r="DH214" s="134"/>
      <c r="DI214" s="134"/>
      <c r="DJ214" s="134"/>
      <c r="DK214" s="301"/>
      <c r="DL214" s="301"/>
      <c r="DM214" s="134"/>
      <c r="DN214" s="134"/>
      <c r="DO214" s="134"/>
      <c r="DP214" s="134"/>
      <c r="DQ214" s="134"/>
      <c r="DR214" s="134"/>
      <c r="DS214" s="134"/>
      <c r="DT214" s="134"/>
      <c r="DU214" s="301"/>
      <c r="DV214" s="301"/>
      <c r="DW214" s="277"/>
      <c r="DX214" s="134"/>
      <c r="DY214" s="134"/>
      <c r="DZ214" s="134"/>
      <c r="EA214" s="134"/>
      <c r="EB214" s="134"/>
      <c r="EC214" s="134"/>
      <c r="ED214" s="134"/>
      <c r="EE214" s="134"/>
      <c r="EF214" s="301"/>
      <c r="EG214" s="301"/>
      <c r="EH214" s="134"/>
      <c r="EI214" s="134"/>
      <c r="EJ214" s="134"/>
      <c r="EK214" s="134"/>
    </row>
    <row r="215" spans="1:141">
      <c r="A215" s="79" t="s">
        <v>1029</v>
      </c>
      <c r="B215" s="117">
        <v>151</v>
      </c>
      <c r="C215" s="123" t="s">
        <v>2086</v>
      </c>
      <c r="D215" s="124" t="s">
        <v>2340</v>
      </c>
      <c r="E215" s="125">
        <v>2015</v>
      </c>
      <c r="F215" s="79">
        <v>25882722</v>
      </c>
      <c r="G215" s="79">
        <v>1</v>
      </c>
      <c r="H215" s="126" t="s">
        <v>1847</v>
      </c>
      <c r="I215" s="127"/>
      <c r="J215" s="79">
        <v>1</v>
      </c>
      <c r="K215" s="79"/>
      <c r="L215" s="79">
        <v>1</v>
      </c>
      <c r="M215" s="128">
        <v>2</v>
      </c>
      <c r="N215" s="79" t="s">
        <v>1398</v>
      </c>
      <c r="O215" s="79" t="s">
        <v>1216</v>
      </c>
      <c r="P215" s="79" t="s">
        <v>1396</v>
      </c>
      <c r="Q215" s="79"/>
      <c r="R215" s="79" t="s">
        <v>1498</v>
      </c>
      <c r="S215" s="79" t="s">
        <v>803</v>
      </c>
      <c r="T215" s="79" t="s">
        <v>23</v>
      </c>
      <c r="U215" s="79" t="s">
        <v>1518</v>
      </c>
      <c r="V215" s="79"/>
      <c r="W215" s="79" t="s">
        <v>1397</v>
      </c>
      <c r="X215" s="79"/>
      <c r="Y215" s="79"/>
      <c r="Z215" s="79"/>
      <c r="AA215" s="154"/>
      <c r="AB215" s="155"/>
      <c r="AC215" s="121">
        <v>4</v>
      </c>
      <c r="AD215" s="202"/>
      <c r="AE215" s="192"/>
      <c r="AF215" s="203"/>
      <c r="AG215" s="121"/>
      <c r="AH215" s="121"/>
      <c r="AI215" s="121"/>
      <c r="AJ215" s="121"/>
      <c r="AK215" s="121"/>
      <c r="AL215" s="121"/>
      <c r="AM215" s="121"/>
      <c r="AN215" s="121"/>
      <c r="AO215" s="121"/>
      <c r="AP215" s="121"/>
      <c r="AQ215" s="121"/>
      <c r="AR215" s="121"/>
      <c r="AS215" s="121"/>
      <c r="AT215" s="121"/>
      <c r="AU215" s="121"/>
      <c r="AV215" s="156"/>
      <c r="AW215" s="156"/>
      <c r="AX215" s="156"/>
      <c r="AY215" s="156"/>
      <c r="AZ215" s="156">
        <v>1</v>
      </c>
      <c r="BA215" s="156"/>
      <c r="BB215" s="156"/>
      <c r="BC215" s="156"/>
      <c r="BD215" s="157"/>
      <c r="BE215" s="134"/>
      <c r="BF215" s="134"/>
      <c r="BG215" s="134"/>
      <c r="BH215" s="134"/>
      <c r="BI215" s="134"/>
      <c r="BJ215" s="259"/>
      <c r="BK215" s="138"/>
      <c r="BL215" s="134"/>
      <c r="BM215" s="134"/>
      <c r="BN215" s="134"/>
      <c r="BO215" s="138"/>
      <c r="BP215" s="134"/>
      <c r="BQ215" s="134"/>
      <c r="BR215" s="134"/>
      <c r="BS215" s="288"/>
      <c r="BT215" s="289"/>
      <c r="BU215" s="138"/>
      <c r="BV215" s="134"/>
      <c r="BW215" s="134"/>
      <c r="BX215" s="134"/>
      <c r="BY215" s="138"/>
      <c r="BZ215" s="134"/>
      <c r="CA215" s="134"/>
      <c r="CB215" s="134"/>
      <c r="CC215" s="288"/>
      <c r="CD215" s="289"/>
      <c r="CE215" s="276"/>
      <c r="CF215" s="308"/>
      <c r="CG215" s="138"/>
      <c r="CH215" s="134"/>
      <c r="CI215" s="134"/>
      <c r="CJ215" s="134"/>
      <c r="CK215" s="134"/>
      <c r="CL215" s="134"/>
      <c r="CM215" s="134"/>
      <c r="CN215" s="134"/>
      <c r="CO215" s="300"/>
      <c r="CP215" s="301"/>
      <c r="CQ215" s="134"/>
      <c r="CR215" s="134"/>
      <c r="CS215" s="134"/>
      <c r="CT215" s="134"/>
      <c r="CU215" s="134"/>
      <c r="CV215" s="134"/>
      <c r="CW215" s="134"/>
      <c r="CX215" s="134"/>
      <c r="CY215" s="300"/>
      <c r="CZ215" s="301"/>
      <c r="DA215" s="276"/>
      <c r="DB215" s="277"/>
      <c r="DC215" s="134"/>
      <c r="DD215" s="134"/>
      <c r="DE215" s="134"/>
      <c r="DF215" s="134"/>
      <c r="DG215" s="138"/>
      <c r="DH215" s="134"/>
      <c r="DI215" s="134"/>
      <c r="DJ215" s="134"/>
      <c r="DK215" s="301"/>
      <c r="DL215" s="301"/>
      <c r="DM215" s="134"/>
      <c r="DN215" s="134"/>
      <c r="DO215" s="134"/>
      <c r="DP215" s="134"/>
      <c r="DQ215" s="134"/>
      <c r="DR215" s="134"/>
      <c r="DS215" s="134"/>
      <c r="DT215" s="134"/>
      <c r="DU215" s="301"/>
      <c r="DV215" s="301"/>
      <c r="DW215" s="277"/>
      <c r="DX215" s="134"/>
      <c r="DY215" s="134"/>
      <c r="DZ215" s="134"/>
      <c r="EA215" s="134"/>
      <c r="EB215" s="134"/>
      <c r="EC215" s="134"/>
      <c r="ED215" s="134"/>
      <c r="EE215" s="134"/>
      <c r="EF215" s="301"/>
      <c r="EG215" s="301"/>
      <c r="EH215" s="134"/>
      <c r="EI215" s="134"/>
      <c r="EJ215" s="134"/>
      <c r="EK215" s="134"/>
    </row>
    <row r="216" spans="1:141">
      <c r="A216" s="79" t="s">
        <v>1028</v>
      </c>
      <c r="B216" s="117">
        <v>152</v>
      </c>
      <c r="C216" s="123" t="s">
        <v>2086</v>
      </c>
      <c r="D216" s="124" t="s">
        <v>2341</v>
      </c>
      <c r="E216" s="125">
        <v>2015</v>
      </c>
      <c r="F216" s="79">
        <v>25976074</v>
      </c>
      <c r="G216" s="79">
        <v>1</v>
      </c>
      <c r="H216" s="126"/>
      <c r="I216" s="127"/>
      <c r="J216" s="79">
        <v>1</v>
      </c>
      <c r="K216" s="79"/>
      <c r="L216" s="79">
        <v>1</v>
      </c>
      <c r="M216" s="128">
        <v>2</v>
      </c>
      <c r="N216" s="79" t="s">
        <v>1399</v>
      </c>
      <c r="O216" s="79" t="s">
        <v>1216</v>
      </c>
      <c r="P216" s="79" t="s">
        <v>1127</v>
      </c>
      <c r="Q216" s="79"/>
      <c r="R216" s="79" t="s">
        <v>1487</v>
      </c>
      <c r="S216" s="79" t="s">
        <v>803</v>
      </c>
      <c r="T216" s="79" t="s">
        <v>23</v>
      </c>
      <c r="U216" s="79" t="s">
        <v>1677</v>
      </c>
      <c r="V216" s="79" t="s">
        <v>1400</v>
      </c>
      <c r="W216" s="79"/>
      <c r="X216" s="79"/>
      <c r="Y216" s="79"/>
      <c r="Z216" s="79"/>
      <c r="AA216" s="154"/>
      <c r="AB216" s="155"/>
      <c r="AC216" s="121">
        <v>4</v>
      </c>
      <c r="AD216" s="202"/>
      <c r="AE216" s="192"/>
      <c r="AF216" s="203"/>
      <c r="AG216" s="121"/>
      <c r="AH216" s="121"/>
      <c r="AI216" s="121"/>
      <c r="AJ216" s="121"/>
      <c r="AK216" s="121"/>
      <c r="AL216" s="121"/>
      <c r="AM216" s="121"/>
      <c r="AN216" s="121"/>
      <c r="AO216" s="121"/>
      <c r="AP216" s="121"/>
      <c r="AQ216" s="121"/>
      <c r="AR216" s="121"/>
      <c r="AS216" s="121"/>
      <c r="AT216" s="121"/>
      <c r="AU216" s="121"/>
      <c r="AV216" s="156"/>
      <c r="AW216" s="156"/>
      <c r="AX216" s="156"/>
      <c r="AY216" s="156"/>
      <c r="AZ216" s="156">
        <v>1</v>
      </c>
      <c r="BA216" s="156"/>
      <c r="BB216" s="156"/>
      <c r="BC216" s="156"/>
      <c r="BD216" s="157"/>
      <c r="BE216" s="134"/>
      <c r="BF216" s="134"/>
      <c r="BG216" s="134"/>
      <c r="BH216" s="134"/>
      <c r="BI216" s="134"/>
      <c r="BJ216" s="259"/>
      <c r="BK216" s="138"/>
      <c r="BL216" s="134"/>
      <c r="BM216" s="134"/>
      <c r="BN216" s="134"/>
      <c r="BO216" s="138"/>
      <c r="BP216" s="134"/>
      <c r="BQ216" s="134"/>
      <c r="BR216" s="134"/>
      <c r="BS216" s="288"/>
      <c r="BT216" s="289"/>
      <c r="BU216" s="138"/>
      <c r="BV216" s="134"/>
      <c r="BW216" s="134"/>
      <c r="BX216" s="134"/>
      <c r="BY216" s="138"/>
      <c r="BZ216" s="134"/>
      <c r="CA216" s="134"/>
      <c r="CB216" s="134"/>
      <c r="CC216" s="288"/>
      <c r="CD216" s="289"/>
      <c r="CE216" s="276"/>
      <c r="CF216" s="308"/>
      <c r="CG216" s="138"/>
      <c r="CH216" s="134"/>
      <c r="CI216" s="134"/>
      <c r="CJ216" s="134"/>
      <c r="CK216" s="134"/>
      <c r="CL216" s="134"/>
      <c r="CM216" s="134"/>
      <c r="CN216" s="134"/>
      <c r="CO216" s="300"/>
      <c r="CP216" s="301"/>
      <c r="CQ216" s="134"/>
      <c r="CR216" s="134"/>
      <c r="CS216" s="134"/>
      <c r="CT216" s="134"/>
      <c r="CU216" s="134"/>
      <c r="CV216" s="134"/>
      <c r="CW216" s="134"/>
      <c r="CX216" s="134"/>
      <c r="CY216" s="300"/>
      <c r="CZ216" s="301"/>
      <c r="DA216" s="276"/>
      <c r="DB216" s="277"/>
      <c r="DC216" s="134"/>
      <c r="DD216" s="134"/>
      <c r="DE216" s="134"/>
      <c r="DF216" s="134"/>
      <c r="DG216" s="138"/>
      <c r="DH216" s="134"/>
      <c r="DI216" s="134"/>
      <c r="DJ216" s="134"/>
      <c r="DK216" s="301"/>
      <c r="DL216" s="301"/>
      <c r="DM216" s="134"/>
      <c r="DN216" s="134"/>
      <c r="DO216" s="134"/>
      <c r="DP216" s="134"/>
      <c r="DQ216" s="134"/>
      <c r="DR216" s="134"/>
      <c r="DS216" s="134"/>
      <c r="DT216" s="134"/>
      <c r="DU216" s="301"/>
      <c r="DV216" s="301"/>
      <c r="DW216" s="277"/>
      <c r="DX216" s="134"/>
      <c r="DY216" s="134"/>
      <c r="DZ216" s="134"/>
      <c r="EA216" s="134"/>
      <c r="EB216" s="134"/>
      <c r="EC216" s="134"/>
      <c r="ED216" s="134"/>
      <c r="EE216" s="134"/>
      <c r="EF216" s="301"/>
      <c r="EG216" s="301"/>
      <c r="EH216" s="134"/>
      <c r="EI216" s="134"/>
      <c r="EJ216" s="134"/>
      <c r="EK216" s="134"/>
    </row>
    <row r="217" spans="1:141">
      <c r="A217" s="79" t="s">
        <v>207</v>
      </c>
      <c r="B217" s="117">
        <v>153</v>
      </c>
      <c r="C217" s="123" t="s">
        <v>1978</v>
      </c>
      <c r="D217" s="124" t="s">
        <v>2202</v>
      </c>
      <c r="E217" s="125">
        <v>1996</v>
      </c>
      <c r="F217" s="79">
        <v>8827652</v>
      </c>
      <c r="G217" s="79">
        <v>1</v>
      </c>
      <c r="H217" s="126"/>
      <c r="I217" s="127"/>
      <c r="J217" s="79">
        <v>1</v>
      </c>
      <c r="K217" s="79"/>
      <c r="L217" s="79">
        <v>1</v>
      </c>
      <c r="M217" s="128">
        <v>1</v>
      </c>
      <c r="N217" s="79" t="s">
        <v>920</v>
      </c>
      <c r="O217" s="79" t="s">
        <v>1165</v>
      </c>
      <c r="P217" s="79" t="s">
        <v>591</v>
      </c>
      <c r="Q217" s="79">
        <v>1</v>
      </c>
      <c r="R217" s="79"/>
      <c r="S217" s="79"/>
      <c r="T217" s="79"/>
      <c r="U217" s="79" t="s">
        <v>1156</v>
      </c>
      <c r="V217" s="79"/>
      <c r="W217" s="79" t="s">
        <v>592</v>
      </c>
      <c r="X217" s="79" t="s">
        <v>593</v>
      </c>
      <c r="Y217" s="79"/>
      <c r="Z217" s="79"/>
      <c r="AA217" s="154"/>
      <c r="AB217" s="155"/>
      <c r="AC217" s="121">
        <v>2</v>
      </c>
      <c r="AD217" s="202"/>
      <c r="AE217" s="192"/>
      <c r="AF217" s="203"/>
      <c r="AG217" s="121"/>
      <c r="AH217" s="121"/>
      <c r="AI217" s="121"/>
      <c r="AJ217" s="121"/>
      <c r="AK217" s="121"/>
      <c r="AL217" s="121"/>
      <c r="AM217" s="121"/>
      <c r="AN217" s="121"/>
      <c r="AO217" s="121"/>
      <c r="AP217" s="121"/>
      <c r="AQ217" s="121"/>
      <c r="AR217" s="121"/>
      <c r="AS217" s="121"/>
      <c r="AT217" s="121"/>
      <c r="AU217" s="121"/>
      <c r="AV217" s="156"/>
      <c r="AW217" s="156"/>
      <c r="AX217" s="156"/>
      <c r="AY217" s="156">
        <v>1</v>
      </c>
      <c r="AZ217" s="156"/>
      <c r="BA217" s="156"/>
      <c r="BB217" s="156"/>
      <c r="BC217" s="156"/>
      <c r="BD217" s="157"/>
      <c r="BE217" s="134"/>
      <c r="BF217" s="134"/>
      <c r="BG217" s="134"/>
      <c r="BH217" s="134"/>
      <c r="BI217" s="134"/>
      <c r="BJ217" s="259"/>
      <c r="BK217" s="138"/>
      <c r="BL217" s="134"/>
      <c r="BM217" s="134"/>
      <c r="BN217" s="134"/>
      <c r="BO217" s="138"/>
      <c r="BP217" s="134"/>
      <c r="BQ217" s="134"/>
      <c r="BR217" s="134"/>
      <c r="BS217" s="288"/>
      <c r="BT217" s="289"/>
      <c r="BU217" s="138"/>
      <c r="BV217" s="134"/>
      <c r="BW217" s="134"/>
      <c r="BX217" s="134"/>
      <c r="BY217" s="138"/>
      <c r="BZ217" s="134"/>
      <c r="CA217" s="134"/>
      <c r="CB217" s="134"/>
      <c r="CC217" s="288"/>
      <c r="CD217" s="289"/>
      <c r="CE217" s="276"/>
      <c r="CF217" s="308"/>
      <c r="CG217" s="138"/>
      <c r="CH217" s="134"/>
      <c r="CI217" s="134"/>
      <c r="CJ217" s="134"/>
      <c r="CK217" s="134"/>
      <c r="CL217" s="134"/>
      <c r="CM217" s="134"/>
      <c r="CN217" s="134"/>
      <c r="CO217" s="300"/>
      <c r="CP217" s="301"/>
      <c r="CQ217" s="134"/>
      <c r="CR217" s="134"/>
      <c r="CS217" s="134"/>
      <c r="CT217" s="134"/>
      <c r="CU217" s="134"/>
      <c r="CV217" s="134"/>
      <c r="CW217" s="134"/>
      <c r="CX217" s="134"/>
      <c r="CY217" s="300"/>
      <c r="CZ217" s="301"/>
      <c r="DA217" s="276"/>
      <c r="DB217" s="277"/>
      <c r="DC217" s="134"/>
      <c r="DD217" s="134"/>
      <c r="DE217" s="134"/>
      <c r="DF217" s="134"/>
      <c r="DG217" s="138"/>
      <c r="DH217" s="134"/>
      <c r="DI217" s="134"/>
      <c r="DJ217" s="134"/>
      <c r="DK217" s="301"/>
      <c r="DL217" s="301"/>
      <c r="DM217" s="134"/>
      <c r="DN217" s="134"/>
      <c r="DO217" s="134"/>
      <c r="DP217" s="134"/>
      <c r="DQ217" s="134"/>
      <c r="DR217" s="134"/>
      <c r="DS217" s="134"/>
      <c r="DT217" s="134"/>
      <c r="DU217" s="301"/>
      <c r="DV217" s="301"/>
      <c r="DW217" s="277"/>
      <c r="DX217" s="134"/>
      <c r="DY217" s="134"/>
      <c r="DZ217" s="134"/>
      <c r="EA217" s="134"/>
      <c r="EB217" s="134"/>
      <c r="EC217" s="134"/>
      <c r="ED217" s="134"/>
      <c r="EE217" s="134"/>
      <c r="EF217" s="301"/>
      <c r="EG217" s="301"/>
      <c r="EH217" s="134"/>
      <c r="EI217" s="134"/>
      <c r="EJ217" s="134"/>
      <c r="EK217" s="134"/>
    </row>
    <row r="218" spans="1:141">
      <c r="A218" s="79" t="s">
        <v>208</v>
      </c>
      <c r="B218" s="117">
        <v>154</v>
      </c>
      <c r="C218" s="123" t="s">
        <v>1979</v>
      </c>
      <c r="D218" s="124" t="s">
        <v>2203</v>
      </c>
      <c r="E218" s="125">
        <v>2013</v>
      </c>
      <c r="F218" s="79">
        <v>23445934</v>
      </c>
      <c r="G218" s="79">
        <v>1</v>
      </c>
      <c r="H218" s="126"/>
      <c r="I218" s="127"/>
      <c r="J218" s="79">
        <v>1</v>
      </c>
      <c r="K218" s="79"/>
      <c r="L218" s="79">
        <v>1</v>
      </c>
      <c r="M218" s="128">
        <v>1</v>
      </c>
      <c r="N218" s="79" t="s">
        <v>596</v>
      </c>
      <c r="O218" s="79" t="s">
        <v>1168</v>
      </c>
      <c r="P218" s="79" t="s">
        <v>594</v>
      </c>
      <c r="Q218" s="79">
        <v>0</v>
      </c>
      <c r="R218" s="79"/>
      <c r="S218" s="79"/>
      <c r="T218" s="79"/>
      <c r="U218" s="79" t="s">
        <v>597</v>
      </c>
      <c r="V218" s="79" t="s">
        <v>595</v>
      </c>
      <c r="W218" s="79"/>
      <c r="X218" s="79"/>
      <c r="Y218" s="79"/>
      <c r="Z218" s="79"/>
      <c r="AA218" s="154"/>
      <c r="AB218" s="155"/>
      <c r="AC218" s="121"/>
      <c r="AD218" s="202"/>
      <c r="AE218" s="192"/>
      <c r="AF218" s="203"/>
      <c r="AG218" s="121"/>
      <c r="AH218" s="121"/>
      <c r="AI218" s="121"/>
      <c r="AJ218" s="121"/>
      <c r="AK218" s="121"/>
      <c r="AL218" s="121"/>
      <c r="AM218" s="121"/>
      <c r="AN218" s="121"/>
      <c r="AO218" s="121"/>
      <c r="AP218" s="121"/>
      <c r="AQ218" s="121"/>
      <c r="AR218" s="121"/>
      <c r="AS218" s="121"/>
      <c r="AT218" s="121"/>
      <c r="AU218" s="121"/>
      <c r="AV218" s="156"/>
      <c r="AW218" s="156"/>
      <c r="AX218" s="156">
        <v>1</v>
      </c>
      <c r="AY218" s="156" t="s">
        <v>1917</v>
      </c>
      <c r="AZ218" s="156">
        <v>1</v>
      </c>
      <c r="BA218" s="156">
        <v>1</v>
      </c>
      <c r="BB218" s="156"/>
      <c r="BC218" s="156"/>
      <c r="BD218" s="157"/>
      <c r="BE218" s="134"/>
      <c r="BF218" s="134"/>
      <c r="BG218" s="134"/>
      <c r="BH218" s="134"/>
      <c r="BI218" s="134"/>
      <c r="BJ218" s="259"/>
      <c r="BK218" s="138"/>
      <c r="BL218" s="134"/>
      <c r="BM218" s="134"/>
      <c r="BN218" s="134"/>
      <c r="BO218" s="138"/>
      <c r="BP218" s="134"/>
      <c r="BQ218" s="134"/>
      <c r="BR218" s="134"/>
      <c r="BS218" s="288"/>
      <c r="BT218" s="289"/>
      <c r="BU218" s="138"/>
      <c r="BV218" s="134"/>
      <c r="BW218" s="134"/>
      <c r="BX218" s="134"/>
      <c r="BY218" s="138"/>
      <c r="BZ218" s="134"/>
      <c r="CA218" s="134"/>
      <c r="CB218" s="134"/>
      <c r="CC218" s="288"/>
      <c r="CD218" s="289"/>
      <c r="CE218" s="276"/>
      <c r="CF218" s="308"/>
      <c r="CG218" s="138"/>
      <c r="CH218" s="134"/>
      <c r="CI218" s="134"/>
      <c r="CJ218" s="134"/>
      <c r="CK218" s="134"/>
      <c r="CL218" s="134"/>
      <c r="CM218" s="134"/>
      <c r="CN218" s="134"/>
      <c r="CO218" s="300"/>
      <c r="CP218" s="301"/>
      <c r="CQ218" s="134"/>
      <c r="CR218" s="134"/>
      <c r="CS218" s="134"/>
      <c r="CT218" s="134"/>
      <c r="CU218" s="134"/>
      <c r="CV218" s="134"/>
      <c r="CW218" s="134"/>
      <c r="CX218" s="134"/>
      <c r="CY218" s="300"/>
      <c r="CZ218" s="301"/>
      <c r="DA218" s="276"/>
      <c r="DB218" s="277"/>
      <c r="DC218" s="134"/>
      <c r="DD218" s="134"/>
      <c r="DE218" s="134"/>
      <c r="DF218" s="134"/>
      <c r="DG218" s="138"/>
      <c r="DH218" s="134"/>
      <c r="DI218" s="134"/>
      <c r="DJ218" s="134"/>
      <c r="DK218" s="301"/>
      <c r="DL218" s="301"/>
      <c r="DM218" s="134"/>
      <c r="DN218" s="134"/>
      <c r="DO218" s="134"/>
      <c r="DP218" s="134"/>
      <c r="DQ218" s="134"/>
      <c r="DR218" s="134"/>
      <c r="DS218" s="134"/>
      <c r="DT218" s="134"/>
      <c r="DU218" s="301"/>
      <c r="DV218" s="301"/>
      <c r="DW218" s="277"/>
      <c r="DX218" s="134"/>
      <c r="DY218" s="134"/>
      <c r="DZ218" s="134"/>
      <c r="EA218" s="134"/>
      <c r="EB218" s="134"/>
      <c r="EC218" s="134"/>
      <c r="ED218" s="134"/>
      <c r="EE218" s="134"/>
      <c r="EF218" s="301"/>
      <c r="EG218" s="301"/>
      <c r="EH218" s="134"/>
      <c r="EI218" s="134"/>
      <c r="EJ218" s="134"/>
      <c r="EK218" s="134"/>
    </row>
    <row r="219" spans="1:141">
      <c r="A219" s="79" t="s">
        <v>210</v>
      </c>
      <c r="B219" s="117">
        <v>155</v>
      </c>
      <c r="C219" s="123" t="s">
        <v>1980</v>
      </c>
      <c r="D219" s="124" t="s">
        <v>2204</v>
      </c>
      <c r="E219" s="125">
        <v>2015</v>
      </c>
      <c r="F219" s="79">
        <v>26011671</v>
      </c>
      <c r="G219" s="79">
        <v>1</v>
      </c>
      <c r="H219" s="126"/>
      <c r="I219" s="127"/>
      <c r="J219" s="79">
        <v>1</v>
      </c>
      <c r="K219" s="79"/>
      <c r="L219" s="164">
        <v>1</v>
      </c>
      <c r="M219" s="128">
        <v>1</v>
      </c>
      <c r="N219" s="79" t="s">
        <v>599</v>
      </c>
      <c r="O219" s="79" t="s">
        <v>1164</v>
      </c>
      <c r="P219" s="79" t="s">
        <v>498</v>
      </c>
      <c r="Q219" s="79">
        <v>0</v>
      </c>
      <c r="R219" s="79"/>
      <c r="S219" s="79"/>
      <c r="T219" s="79"/>
      <c r="U219" s="79" t="s">
        <v>600</v>
      </c>
      <c r="V219" s="79"/>
      <c r="W219" s="79"/>
      <c r="X219" s="79"/>
      <c r="Y219" s="79"/>
      <c r="Z219" s="79" t="s">
        <v>601</v>
      </c>
      <c r="AA219" s="154"/>
      <c r="AB219" s="155"/>
      <c r="AC219" s="121"/>
      <c r="AD219" s="202"/>
      <c r="AE219" s="192"/>
      <c r="AF219" s="203"/>
      <c r="AG219" s="121"/>
      <c r="AH219" s="121"/>
      <c r="AI219" s="121"/>
      <c r="AJ219" s="121"/>
      <c r="AK219" s="121"/>
      <c r="AL219" s="121"/>
      <c r="AM219" s="121"/>
      <c r="AN219" s="121"/>
      <c r="AO219" s="121"/>
      <c r="AP219" s="121"/>
      <c r="AQ219" s="121"/>
      <c r="AR219" s="121"/>
      <c r="AS219" s="121"/>
      <c r="AT219" s="121"/>
      <c r="AU219" s="121"/>
      <c r="AV219" s="156"/>
      <c r="AW219" s="156"/>
      <c r="AX219" s="156"/>
      <c r="AY219" s="156">
        <v>1</v>
      </c>
      <c r="AZ219" s="156"/>
      <c r="BA219" s="156"/>
      <c r="BB219" s="156"/>
      <c r="BC219" s="156"/>
      <c r="BD219" s="157"/>
      <c r="BE219" s="134"/>
      <c r="BF219" s="134"/>
      <c r="BG219" s="134"/>
      <c r="BH219" s="134"/>
      <c r="BI219" s="134"/>
      <c r="BJ219" s="259"/>
      <c r="BK219" s="138"/>
      <c r="BL219" s="134"/>
      <c r="BM219" s="134"/>
      <c r="BN219" s="134"/>
      <c r="BO219" s="138"/>
      <c r="BP219" s="134"/>
      <c r="BQ219" s="134"/>
      <c r="BR219" s="134"/>
      <c r="BS219" s="288"/>
      <c r="BT219" s="289"/>
      <c r="BU219" s="138"/>
      <c r="BV219" s="134"/>
      <c r="BW219" s="134"/>
      <c r="BX219" s="134"/>
      <c r="BY219" s="138"/>
      <c r="BZ219" s="134"/>
      <c r="CA219" s="134"/>
      <c r="CB219" s="134"/>
      <c r="CC219" s="288"/>
      <c r="CD219" s="289"/>
      <c r="CE219" s="276"/>
      <c r="CF219" s="308"/>
      <c r="CG219" s="138"/>
      <c r="CH219" s="134"/>
      <c r="CI219" s="134"/>
      <c r="CJ219" s="134"/>
      <c r="CK219" s="134"/>
      <c r="CL219" s="134"/>
      <c r="CM219" s="134"/>
      <c r="CN219" s="134"/>
      <c r="CO219" s="300"/>
      <c r="CP219" s="301"/>
      <c r="CQ219" s="134"/>
      <c r="CR219" s="134"/>
      <c r="CS219" s="134"/>
      <c r="CT219" s="134"/>
      <c r="CU219" s="134"/>
      <c r="CV219" s="134"/>
      <c r="CW219" s="134"/>
      <c r="CX219" s="134"/>
      <c r="CY219" s="300"/>
      <c r="CZ219" s="301"/>
      <c r="DA219" s="276"/>
      <c r="DB219" s="277"/>
      <c r="DC219" s="134"/>
      <c r="DD219" s="134"/>
      <c r="DE219" s="134"/>
      <c r="DF219" s="134"/>
      <c r="DG219" s="138"/>
      <c r="DH219" s="134"/>
      <c r="DI219" s="134"/>
      <c r="DJ219" s="134"/>
      <c r="DK219" s="301"/>
      <c r="DL219" s="301"/>
      <c r="DM219" s="134"/>
      <c r="DN219" s="134"/>
      <c r="DO219" s="134"/>
      <c r="DP219" s="134"/>
      <c r="DQ219" s="134"/>
      <c r="DR219" s="134"/>
      <c r="DS219" s="134"/>
      <c r="DT219" s="134"/>
      <c r="DU219" s="301"/>
      <c r="DV219" s="301"/>
      <c r="DW219" s="277"/>
      <c r="DX219" s="134"/>
      <c r="DY219" s="134"/>
      <c r="DZ219" s="134"/>
      <c r="EA219" s="134"/>
      <c r="EB219" s="134"/>
      <c r="EC219" s="134"/>
      <c r="ED219" s="134"/>
      <c r="EE219" s="134"/>
      <c r="EF219" s="301"/>
      <c r="EG219" s="301"/>
      <c r="EH219" s="134"/>
      <c r="EI219" s="134"/>
      <c r="EJ219" s="134"/>
      <c r="EK219" s="134"/>
    </row>
    <row r="220" spans="1:141">
      <c r="A220" s="79" t="s">
        <v>211</v>
      </c>
      <c r="B220" s="117">
        <v>156</v>
      </c>
      <c r="C220" s="123" t="s">
        <v>1981</v>
      </c>
      <c r="D220" s="124" t="s">
        <v>2205</v>
      </c>
      <c r="E220" s="125">
        <v>2013</v>
      </c>
      <c r="F220" s="79">
        <v>24025760</v>
      </c>
      <c r="G220" s="79">
        <v>1</v>
      </c>
      <c r="H220" s="126"/>
      <c r="I220" s="127"/>
      <c r="J220" s="79">
        <v>1</v>
      </c>
      <c r="K220" s="79"/>
      <c r="L220" s="164">
        <v>1</v>
      </c>
      <c r="M220" s="128">
        <v>1</v>
      </c>
      <c r="N220" s="79"/>
      <c r="O220" s="79" t="s">
        <v>1164</v>
      </c>
      <c r="P220" s="79" t="s">
        <v>25</v>
      </c>
      <c r="Q220" s="79">
        <v>1</v>
      </c>
      <c r="R220" s="79"/>
      <c r="S220" s="79"/>
      <c r="T220" s="79"/>
      <c r="U220" s="79" t="s">
        <v>602</v>
      </c>
      <c r="V220" s="79" t="s">
        <v>33</v>
      </c>
      <c r="W220" s="79"/>
      <c r="X220" s="79"/>
      <c r="Y220" s="79"/>
      <c r="Z220" s="79"/>
      <c r="AA220" s="154"/>
      <c r="AB220" s="155"/>
      <c r="AC220" s="121">
        <v>2</v>
      </c>
      <c r="AD220" s="202"/>
      <c r="AE220" s="192"/>
      <c r="AF220" s="203"/>
      <c r="AG220" s="121"/>
      <c r="AH220" s="121"/>
      <c r="AI220" s="121"/>
      <c r="AJ220" s="121"/>
      <c r="AK220" s="121"/>
      <c r="AL220" s="121"/>
      <c r="AM220" s="121"/>
      <c r="AN220" s="121"/>
      <c r="AO220" s="121"/>
      <c r="AP220" s="121"/>
      <c r="AQ220" s="121"/>
      <c r="AR220" s="121"/>
      <c r="AS220" s="121"/>
      <c r="AT220" s="121"/>
      <c r="AU220" s="121"/>
      <c r="AV220" s="156"/>
      <c r="AW220" s="156"/>
      <c r="AX220" s="156"/>
      <c r="AY220" s="156"/>
      <c r="AZ220" s="156"/>
      <c r="BA220" s="156"/>
      <c r="BB220" s="156"/>
      <c r="BC220" s="156"/>
      <c r="BD220" s="157"/>
      <c r="BE220" s="134"/>
      <c r="BF220" s="134"/>
      <c r="BG220" s="134"/>
      <c r="BH220" s="134"/>
      <c r="BI220" s="134"/>
      <c r="BJ220" s="259"/>
      <c r="BK220" s="138"/>
      <c r="BL220" s="134"/>
      <c r="BM220" s="134"/>
      <c r="BN220" s="134"/>
      <c r="BO220" s="138"/>
      <c r="BP220" s="134"/>
      <c r="BQ220" s="134"/>
      <c r="BR220" s="134"/>
      <c r="BS220" s="288"/>
      <c r="BT220" s="289"/>
      <c r="BU220" s="138"/>
      <c r="BV220" s="134"/>
      <c r="BW220" s="134"/>
      <c r="BX220" s="134"/>
      <c r="BY220" s="138"/>
      <c r="BZ220" s="134"/>
      <c r="CA220" s="134"/>
      <c r="CB220" s="134"/>
      <c r="CC220" s="288"/>
      <c r="CD220" s="289"/>
      <c r="CE220" s="276"/>
      <c r="CF220" s="308"/>
      <c r="CG220" s="138"/>
      <c r="CH220" s="134"/>
      <c r="CI220" s="134"/>
      <c r="CJ220" s="134"/>
      <c r="CK220" s="134"/>
      <c r="CL220" s="134"/>
      <c r="CM220" s="134"/>
      <c r="CN220" s="134"/>
      <c r="CO220" s="300"/>
      <c r="CP220" s="301"/>
      <c r="CQ220" s="134"/>
      <c r="CR220" s="134"/>
      <c r="CS220" s="134"/>
      <c r="CT220" s="134"/>
      <c r="CU220" s="134"/>
      <c r="CV220" s="134"/>
      <c r="CW220" s="134"/>
      <c r="CX220" s="134"/>
      <c r="CY220" s="300"/>
      <c r="CZ220" s="301"/>
      <c r="DA220" s="276"/>
      <c r="DB220" s="277"/>
      <c r="DC220" s="134"/>
      <c r="DD220" s="134"/>
      <c r="DE220" s="134"/>
      <c r="DF220" s="134"/>
      <c r="DG220" s="138"/>
      <c r="DH220" s="134"/>
      <c r="DI220" s="134"/>
      <c r="DJ220" s="134"/>
      <c r="DK220" s="301"/>
      <c r="DL220" s="301"/>
      <c r="DM220" s="134"/>
      <c r="DN220" s="134"/>
      <c r="DO220" s="134"/>
      <c r="DP220" s="134"/>
      <c r="DQ220" s="134"/>
      <c r="DR220" s="134"/>
      <c r="DS220" s="134"/>
      <c r="DT220" s="134"/>
      <c r="DU220" s="301"/>
      <c r="DV220" s="301"/>
      <c r="DW220" s="277"/>
      <c r="DX220" s="134"/>
      <c r="DY220" s="134"/>
      <c r="DZ220" s="134"/>
      <c r="EA220" s="134"/>
      <c r="EB220" s="134"/>
      <c r="EC220" s="134"/>
      <c r="ED220" s="134"/>
      <c r="EE220" s="134"/>
      <c r="EF220" s="301"/>
      <c r="EG220" s="301"/>
      <c r="EH220" s="134"/>
      <c r="EI220" s="134"/>
      <c r="EJ220" s="134"/>
      <c r="EK220" s="134"/>
    </row>
    <row r="221" spans="1:141">
      <c r="A221" s="79" t="s">
        <v>1024</v>
      </c>
      <c r="B221" s="117">
        <v>157</v>
      </c>
      <c r="C221" s="123" t="s">
        <v>2090</v>
      </c>
      <c r="D221" s="124" t="s">
        <v>2345</v>
      </c>
      <c r="E221" s="125">
        <v>2009</v>
      </c>
      <c r="F221" s="79">
        <v>19167197</v>
      </c>
      <c r="G221" s="79">
        <v>1</v>
      </c>
      <c r="H221" s="126" t="s">
        <v>1856</v>
      </c>
      <c r="I221" s="127"/>
      <c r="J221" s="79">
        <v>0</v>
      </c>
      <c r="K221" s="79"/>
      <c r="L221" s="79">
        <v>0</v>
      </c>
      <c r="M221" s="128">
        <v>2</v>
      </c>
      <c r="N221" s="79" t="s">
        <v>1407</v>
      </c>
      <c r="O221" s="79" t="s">
        <v>1264</v>
      </c>
      <c r="P221" s="79" t="s">
        <v>1127</v>
      </c>
      <c r="Q221" s="79"/>
      <c r="R221" s="79" t="s">
        <v>1507</v>
      </c>
      <c r="S221" s="79" t="s">
        <v>803</v>
      </c>
      <c r="T221" s="79" t="s">
        <v>23</v>
      </c>
      <c r="U221" s="79" t="s">
        <v>1248</v>
      </c>
      <c r="V221" s="79"/>
      <c r="W221" s="79" t="s">
        <v>1408</v>
      </c>
      <c r="X221" s="79"/>
      <c r="Y221" s="79" t="s">
        <v>1664</v>
      </c>
      <c r="Z221" s="79" t="s">
        <v>1663</v>
      </c>
      <c r="AA221" s="154"/>
      <c r="AB221" s="155"/>
      <c r="AC221" s="121">
        <v>4</v>
      </c>
      <c r="AD221" s="202"/>
      <c r="AE221" s="192"/>
      <c r="AF221" s="203"/>
      <c r="AG221" s="121"/>
      <c r="AH221" s="121"/>
      <c r="AI221" s="121"/>
      <c r="AJ221" s="121"/>
      <c r="AK221" s="121"/>
      <c r="AL221" s="121"/>
      <c r="AM221" s="121"/>
      <c r="AN221" s="121"/>
      <c r="AO221" s="121"/>
      <c r="AP221" s="121"/>
      <c r="AQ221" s="121"/>
      <c r="AR221" s="121"/>
      <c r="AS221" s="121"/>
      <c r="AT221" s="121"/>
      <c r="AU221" s="121"/>
      <c r="AV221" s="156"/>
      <c r="AW221" s="156"/>
      <c r="AX221" s="156"/>
      <c r="AY221" s="156"/>
      <c r="AZ221" s="156"/>
      <c r="BA221" s="156"/>
      <c r="BB221" s="156"/>
      <c r="BC221" s="156"/>
      <c r="BD221" s="157"/>
      <c r="BE221" s="134"/>
      <c r="BF221" s="134"/>
      <c r="BG221" s="134"/>
      <c r="BH221" s="134"/>
      <c r="BI221" s="134"/>
      <c r="BJ221" s="259"/>
      <c r="BK221" s="138"/>
      <c r="BL221" s="134"/>
      <c r="BM221" s="134"/>
      <c r="BN221" s="134"/>
      <c r="BO221" s="138"/>
      <c r="BP221" s="134"/>
      <c r="BQ221" s="134"/>
      <c r="BR221" s="134"/>
      <c r="BS221" s="288"/>
      <c r="BT221" s="289"/>
      <c r="BU221" s="138"/>
      <c r="BV221" s="134"/>
      <c r="BW221" s="134"/>
      <c r="BX221" s="134"/>
      <c r="BY221" s="138"/>
      <c r="BZ221" s="134"/>
      <c r="CA221" s="134"/>
      <c r="CB221" s="134"/>
      <c r="CC221" s="288"/>
      <c r="CD221" s="289"/>
      <c r="CE221" s="276"/>
      <c r="CF221" s="308"/>
      <c r="CG221" s="138"/>
      <c r="CH221" s="134"/>
      <c r="CI221" s="134"/>
      <c r="CJ221" s="134"/>
      <c r="CK221" s="134"/>
      <c r="CL221" s="134"/>
      <c r="CM221" s="134"/>
      <c r="CN221" s="134"/>
      <c r="CO221" s="300"/>
      <c r="CP221" s="301"/>
      <c r="CQ221" s="134"/>
      <c r="CR221" s="134"/>
      <c r="CS221" s="134"/>
      <c r="CT221" s="134"/>
      <c r="CU221" s="134"/>
      <c r="CV221" s="134"/>
      <c r="CW221" s="134"/>
      <c r="CX221" s="134"/>
      <c r="CY221" s="300"/>
      <c r="CZ221" s="301"/>
      <c r="DA221" s="276"/>
      <c r="DB221" s="277"/>
      <c r="DC221" s="134"/>
      <c r="DD221" s="134"/>
      <c r="DE221" s="134"/>
      <c r="DF221" s="134"/>
      <c r="DG221" s="138"/>
      <c r="DH221" s="134"/>
      <c r="DI221" s="134"/>
      <c r="DJ221" s="134"/>
      <c r="DK221" s="301"/>
      <c r="DL221" s="301"/>
      <c r="DM221" s="134"/>
      <c r="DN221" s="134"/>
      <c r="DO221" s="134"/>
      <c r="DP221" s="134"/>
      <c r="DQ221" s="134"/>
      <c r="DR221" s="134"/>
      <c r="DS221" s="134"/>
      <c r="DT221" s="134"/>
      <c r="DU221" s="301"/>
      <c r="DV221" s="301"/>
      <c r="DW221" s="277"/>
      <c r="DX221" s="134"/>
      <c r="DY221" s="134"/>
      <c r="DZ221" s="134"/>
      <c r="EA221" s="134"/>
      <c r="EB221" s="134"/>
      <c r="EC221" s="134"/>
      <c r="ED221" s="134"/>
      <c r="EE221" s="134"/>
      <c r="EF221" s="301"/>
      <c r="EG221" s="301"/>
      <c r="EH221" s="134"/>
      <c r="EI221" s="134"/>
      <c r="EJ221" s="134"/>
      <c r="EK221" s="134"/>
    </row>
    <row r="222" spans="1:141">
      <c r="A222" s="79" t="s">
        <v>1023</v>
      </c>
      <c r="B222" s="117">
        <v>158</v>
      </c>
      <c r="C222" s="123" t="s">
        <v>2091</v>
      </c>
      <c r="D222" s="124" t="s">
        <v>2346</v>
      </c>
      <c r="E222" s="125">
        <v>2009</v>
      </c>
      <c r="F222" s="79">
        <v>17886167</v>
      </c>
      <c r="G222" s="79">
        <v>1</v>
      </c>
      <c r="H222" s="126"/>
      <c r="I222" s="127"/>
      <c r="J222" s="79">
        <v>1</v>
      </c>
      <c r="K222" s="79"/>
      <c r="L222" s="171">
        <v>1</v>
      </c>
      <c r="M222" s="128">
        <v>2</v>
      </c>
      <c r="N222" s="79" t="s">
        <v>1347</v>
      </c>
      <c r="O222" s="79" t="s">
        <v>1216</v>
      </c>
      <c r="P222" s="79" t="s">
        <v>1127</v>
      </c>
      <c r="Q222" s="79"/>
      <c r="R222" s="79" t="s">
        <v>1507</v>
      </c>
      <c r="S222" s="79" t="s">
        <v>1539</v>
      </c>
      <c r="T222" s="79"/>
      <c r="U222" s="79" t="s">
        <v>1409</v>
      </c>
      <c r="V222" s="79"/>
      <c r="W222" s="79"/>
      <c r="X222" s="79"/>
      <c r="Y222" s="79"/>
      <c r="Z222" s="79"/>
      <c r="AA222" s="154"/>
      <c r="AB222" s="155"/>
      <c r="AC222" s="121">
        <v>4</v>
      </c>
      <c r="AD222" s="202"/>
      <c r="AE222" s="192"/>
      <c r="AF222" s="203"/>
      <c r="AG222" s="121"/>
      <c r="AH222" s="121"/>
      <c r="AI222" s="121"/>
      <c r="AJ222" s="121"/>
      <c r="AK222" s="121"/>
      <c r="AL222" s="121"/>
      <c r="AM222" s="121"/>
      <c r="AN222" s="121"/>
      <c r="AO222" s="121"/>
      <c r="AP222" s="121"/>
      <c r="AQ222" s="121"/>
      <c r="AR222" s="121"/>
      <c r="AS222" s="121"/>
      <c r="AT222" s="121"/>
      <c r="AU222" s="121"/>
      <c r="AV222" s="156"/>
      <c r="AW222" s="156"/>
      <c r="AX222" s="156"/>
      <c r="AY222" s="156"/>
      <c r="AZ222" s="156">
        <v>1</v>
      </c>
      <c r="BA222" s="156"/>
      <c r="BB222" s="156"/>
      <c r="BC222" s="156"/>
      <c r="BD222" s="157"/>
      <c r="BE222" s="134"/>
      <c r="BF222" s="134"/>
      <c r="BG222" s="134"/>
      <c r="BH222" s="134"/>
      <c r="BI222" s="134"/>
      <c r="BJ222" s="259"/>
      <c r="BK222" s="138"/>
      <c r="BL222" s="134"/>
      <c r="BM222" s="134"/>
      <c r="BN222" s="134"/>
      <c r="BO222" s="138"/>
      <c r="BP222" s="134"/>
      <c r="BQ222" s="134"/>
      <c r="BR222" s="134"/>
      <c r="BS222" s="288"/>
      <c r="BT222" s="289"/>
      <c r="BU222" s="138"/>
      <c r="BV222" s="134"/>
      <c r="BW222" s="134"/>
      <c r="BX222" s="134"/>
      <c r="BY222" s="138"/>
      <c r="BZ222" s="134"/>
      <c r="CA222" s="134"/>
      <c r="CB222" s="134"/>
      <c r="CC222" s="288"/>
      <c r="CD222" s="289"/>
      <c r="CE222" s="276"/>
      <c r="CF222" s="308"/>
      <c r="CG222" s="138"/>
      <c r="CH222" s="134"/>
      <c r="CI222" s="134"/>
      <c r="CJ222" s="134"/>
      <c r="CK222" s="134"/>
      <c r="CL222" s="134"/>
      <c r="CM222" s="134"/>
      <c r="CN222" s="134"/>
      <c r="CO222" s="300"/>
      <c r="CP222" s="301"/>
      <c r="CQ222" s="134"/>
      <c r="CR222" s="134"/>
      <c r="CS222" s="134"/>
      <c r="CT222" s="134"/>
      <c r="CU222" s="134"/>
      <c r="CV222" s="134"/>
      <c r="CW222" s="134"/>
      <c r="CX222" s="134"/>
      <c r="CY222" s="300"/>
      <c r="CZ222" s="301"/>
      <c r="DA222" s="276"/>
      <c r="DB222" s="277"/>
      <c r="DC222" s="134"/>
      <c r="DD222" s="134"/>
      <c r="DE222" s="134"/>
      <c r="DF222" s="134"/>
      <c r="DG222" s="138"/>
      <c r="DH222" s="134"/>
      <c r="DI222" s="134"/>
      <c r="DJ222" s="134"/>
      <c r="DK222" s="301"/>
      <c r="DL222" s="301"/>
      <c r="DM222" s="134"/>
      <c r="DN222" s="134"/>
      <c r="DO222" s="134"/>
      <c r="DP222" s="134"/>
      <c r="DQ222" s="134"/>
      <c r="DR222" s="134"/>
      <c r="DS222" s="134"/>
      <c r="DT222" s="134"/>
      <c r="DU222" s="301"/>
      <c r="DV222" s="301"/>
      <c r="DW222" s="277"/>
      <c r="DX222" s="134"/>
      <c r="DY222" s="134"/>
      <c r="DZ222" s="134"/>
      <c r="EA222" s="134"/>
      <c r="EB222" s="134"/>
      <c r="EC222" s="134"/>
      <c r="ED222" s="134"/>
      <c r="EE222" s="134"/>
      <c r="EF222" s="301"/>
      <c r="EG222" s="301"/>
      <c r="EH222" s="134"/>
      <c r="EI222" s="134"/>
      <c r="EJ222" s="134"/>
      <c r="EK222" s="134"/>
    </row>
    <row r="223" spans="1:141">
      <c r="A223" s="79" t="s">
        <v>214</v>
      </c>
      <c r="B223" s="117">
        <v>159</v>
      </c>
      <c r="C223" s="123" t="s">
        <v>1982</v>
      </c>
      <c r="D223" s="124" t="s">
        <v>2206</v>
      </c>
      <c r="E223" s="125">
        <v>2013</v>
      </c>
      <c r="F223" s="79">
        <v>23877970</v>
      </c>
      <c r="G223" s="79">
        <v>1</v>
      </c>
      <c r="H223" s="126"/>
      <c r="I223" s="127"/>
      <c r="J223" s="79">
        <v>1</v>
      </c>
      <c r="K223" s="79"/>
      <c r="L223" s="79">
        <v>1</v>
      </c>
      <c r="M223" s="128">
        <v>1</v>
      </c>
      <c r="N223" s="79" t="s">
        <v>493</v>
      </c>
      <c r="O223" s="79" t="s">
        <v>1147</v>
      </c>
      <c r="P223" s="79" t="s">
        <v>376</v>
      </c>
      <c r="Q223" s="79">
        <v>1</v>
      </c>
      <c r="R223" s="79"/>
      <c r="S223" s="79"/>
      <c r="T223" s="79"/>
      <c r="U223" s="79" t="s">
        <v>606</v>
      </c>
      <c r="V223" s="79" t="s">
        <v>24</v>
      </c>
      <c r="W223" s="79" t="s">
        <v>24</v>
      </c>
      <c r="X223" s="79" t="s">
        <v>607</v>
      </c>
      <c r="Y223" s="79"/>
      <c r="Z223" s="79"/>
      <c r="AA223" s="154"/>
      <c r="AB223" s="155"/>
      <c r="AC223" s="121">
        <v>2</v>
      </c>
      <c r="AD223" s="202"/>
      <c r="AE223" s="192"/>
      <c r="AF223" s="203"/>
      <c r="AG223" s="121"/>
      <c r="AH223" s="121"/>
      <c r="AI223" s="121"/>
      <c r="AJ223" s="121"/>
      <c r="AK223" s="121"/>
      <c r="AL223" s="121"/>
      <c r="AM223" s="121"/>
      <c r="AN223" s="121"/>
      <c r="AO223" s="121"/>
      <c r="AP223" s="121"/>
      <c r="AQ223" s="121"/>
      <c r="AR223" s="121"/>
      <c r="AS223" s="121"/>
      <c r="AT223" s="121"/>
      <c r="AU223" s="121"/>
      <c r="AV223" s="156"/>
      <c r="AW223" s="156"/>
      <c r="AX223" s="156"/>
      <c r="AY223" s="156"/>
      <c r="AZ223" s="156">
        <v>1</v>
      </c>
      <c r="BA223" s="156"/>
      <c r="BB223" s="156"/>
      <c r="BC223" s="156"/>
      <c r="BD223" s="157"/>
      <c r="BE223" s="134"/>
      <c r="BF223" s="134"/>
      <c r="BG223" s="134"/>
      <c r="BH223" s="134"/>
      <c r="BI223" s="134"/>
      <c r="BJ223" s="259"/>
      <c r="BK223" s="138"/>
      <c r="BL223" s="134"/>
      <c r="BM223" s="134"/>
      <c r="BN223" s="134"/>
      <c r="BO223" s="138"/>
      <c r="BP223" s="134"/>
      <c r="BQ223" s="134"/>
      <c r="BR223" s="134"/>
      <c r="BS223" s="288"/>
      <c r="BT223" s="289"/>
      <c r="BU223" s="138"/>
      <c r="BV223" s="134"/>
      <c r="BW223" s="134"/>
      <c r="BX223" s="134"/>
      <c r="BY223" s="138"/>
      <c r="BZ223" s="134"/>
      <c r="CA223" s="134"/>
      <c r="CB223" s="134"/>
      <c r="CC223" s="288"/>
      <c r="CD223" s="289"/>
      <c r="CE223" s="276"/>
      <c r="CF223" s="308"/>
      <c r="CG223" s="138"/>
      <c r="CH223" s="134"/>
      <c r="CI223" s="134"/>
      <c r="CJ223" s="134"/>
      <c r="CK223" s="134"/>
      <c r="CL223" s="134"/>
      <c r="CM223" s="134"/>
      <c r="CN223" s="134"/>
      <c r="CO223" s="300"/>
      <c r="CP223" s="301"/>
      <c r="CQ223" s="134"/>
      <c r="CR223" s="134"/>
      <c r="CS223" s="134"/>
      <c r="CT223" s="134"/>
      <c r="CU223" s="134"/>
      <c r="CV223" s="134"/>
      <c r="CW223" s="134"/>
      <c r="CX223" s="134"/>
      <c r="CY223" s="300"/>
      <c r="CZ223" s="301"/>
      <c r="DA223" s="276"/>
      <c r="DB223" s="277"/>
      <c r="DC223" s="134"/>
      <c r="DD223" s="134"/>
      <c r="DE223" s="134"/>
      <c r="DF223" s="134"/>
      <c r="DG223" s="138"/>
      <c r="DH223" s="134"/>
      <c r="DI223" s="134"/>
      <c r="DJ223" s="134"/>
      <c r="DK223" s="301"/>
      <c r="DL223" s="301"/>
      <c r="DM223" s="134"/>
      <c r="DN223" s="134"/>
      <c r="DO223" s="134"/>
      <c r="DP223" s="134"/>
      <c r="DQ223" s="134"/>
      <c r="DR223" s="134"/>
      <c r="DS223" s="134"/>
      <c r="DT223" s="134"/>
      <c r="DU223" s="301"/>
      <c r="DV223" s="301"/>
      <c r="DW223" s="277"/>
      <c r="DX223" s="134"/>
      <c r="DY223" s="134"/>
      <c r="DZ223" s="134"/>
      <c r="EA223" s="134"/>
      <c r="EB223" s="134"/>
      <c r="EC223" s="134"/>
      <c r="ED223" s="134"/>
      <c r="EE223" s="134"/>
      <c r="EF223" s="301"/>
      <c r="EG223" s="301"/>
      <c r="EH223" s="134"/>
      <c r="EI223" s="134"/>
      <c r="EJ223" s="134"/>
      <c r="EK223" s="134"/>
    </row>
    <row r="224" spans="1:141">
      <c r="A224" s="79" t="s">
        <v>215</v>
      </c>
      <c r="B224" s="117">
        <v>160</v>
      </c>
      <c r="C224" s="123" t="s">
        <v>1983</v>
      </c>
      <c r="D224" s="124" t="s">
        <v>2207</v>
      </c>
      <c r="E224" s="125">
        <v>2016</v>
      </c>
      <c r="F224" s="79">
        <v>27722837</v>
      </c>
      <c r="G224" s="79">
        <v>1</v>
      </c>
      <c r="H224" s="126"/>
      <c r="I224" s="127"/>
      <c r="J224" s="79">
        <v>1</v>
      </c>
      <c r="K224" s="79"/>
      <c r="L224" s="79">
        <v>1</v>
      </c>
      <c r="M224" s="128">
        <v>1</v>
      </c>
      <c r="N224" s="79" t="s">
        <v>608</v>
      </c>
      <c r="O224" s="79" t="s">
        <v>1158</v>
      </c>
      <c r="P224" s="79" t="s">
        <v>591</v>
      </c>
      <c r="Q224" s="79">
        <v>1</v>
      </c>
      <c r="R224" s="79"/>
      <c r="S224" s="79"/>
      <c r="T224" s="79"/>
      <c r="U224" s="79" t="s">
        <v>610</v>
      </c>
      <c r="V224" s="79" t="s">
        <v>39</v>
      </c>
      <c r="W224" s="79"/>
      <c r="X224" s="79"/>
      <c r="Y224" s="79"/>
      <c r="Z224" s="79" t="s">
        <v>611</v>
      </c>
      <c r="AA224" s="154"/>
      <c r="AB224" s="155"/>
      <c r="AC224" s="121">
        <v>2</v>
      </c>
      <c r="AD224" s="202"/>
      <c r="AE224" s="192"/>
      <c r="AF224" s="203"/>
      <c r="AG224" s="121"/>
      <c r="AH224" s="121"/>
      <c r="AI224" s="121"/>
      <c r="AJ224" s="121"/>
      <c r="AK224" s="121"/>
      <c r="AL224" s="121"/>
      <c r="AM224" s="121"/>
      <c r="AN224" s="121"/>
      <c r="AO224" s="121"/>
      <c r="AP224" s="121"/>
      <c r="AQ224" s="121"/>
      <c r="AR224" s="121"/>
      <c r="AS224" s="121"/>
      <c r="AT224" s="121"/>
      <c r="AU224" s="121"/>
      <c r="AV224" s="156"/>
      <c r="AW224" s="156"/>
      <c r="AX224" s="156"/>
      <c r="AY224" s="156"/>
      <c r="AZ224" s="156"/>
      <c r="BA224" s="156">
        <v>1</v>
      </c>
      <c r="BB224" s="156"/>
      <c r="BC224" s="156"/>
      <c r="BD224" s="157"/>
      <c r="BE224" s="134"/>
      <c r="BF224" s="134"/>
      <c r="BG224" s="134"/>
      <c r="BH224" s="134"/>
      <c r="BI224" s="134"/>
      <c r="BJ224" s="259"/>
      <c r="BK224" s="138"/>
      <c r="BL224" s="134"/>
      <c r="BM224" s="134"/>
      <c r="BN224" s="134"/>
      <c r="BO224" s="138"/>
      <c r="BP224" s="134"/>
      <c r="BQ224" s="134"/>
      <c r="BR224" s="134"/>
      <c r="BS224" s="288"/>
      <c r="BT224" s="289"/>
      <c r="BU224" s="138"/>
      <c r="BV224" s="134"/>
      <c r="BW224" s="134"/>
      <c r="BX224" s="134"/>
      <c r="BY224" s="138"/>
      <c r="BZ224" s="134"/>
      <c r="CA224" s="134"/>
      <c r="CB224" s="134"/>
      <c r="CC224" s="288"/>
      <c r="CD224" s="289"/>
      <c r="CE224" s="276"/>
      <c r="CF224" s="308"/>
      <c r="CG224" s="138"/>
      <c r="CH224" s="134"/>
      <c r="CI224" s="134"/>
      <c r="CJ224" s="134"/>
      <c r="CK224" s="134"/>
      <c r="CL224" s="134"/>
      <c r="CM224" s="134"/>
      <c r="CN224" s="134"/>
      <c r="CO224" s="300"/>
      <c r="CP224" s="301"/>
      <c r="CQ224" s="134"/>
      <c r="CR224" s="134"/>
      <c r="CS224" s="134"/>
      <c r="CT224" s="134"/>
      <c r="CU224" s="134"/>
      <c r="CV224" s="134"/>
      <c r="CW224" s="134"/>
      <c r="CX224" s="134"/>
      <c r="CY224" s="300"/>
      <c r="CZ224" s="301"/>
      <c r="DA224" s="276"/>
      <c r="DB224" s="277"/>
      <c r="DC224" s="134"/>
      <c r="DD224" s="134"/>
      <c r="DE224" s="134"/>
      <c r="DF224" s="134"/>
      <c r="DG224" s="138"/>
      <c r="DH224" s="134"/>
      <c r="DI224" s="134"/>
      <c r="DJ224" s="134"/>
      <c r="DK224" s="301"/>
      <c r="DL224" s="301"/>
      <c r="DM224" s="134"/>
      <c r="DN224" s="134"/>
      <c r="DO224" s="134"/>
      <c r="DP224" s="134"/>
      <c r="DQ224" s="134"/>
      <c r="DR224" s="134"/>
      <c r="DS224" s="134"/>
      <c r="DT224" s="134"/>
      <c r="DU224" s="301"/>
      <c r="DV224" s="301"/>
      <c r="DW224" s="277"/>
      <c r="DX224" s="134"/>
      <c r="DY224" s="134"/>
      <c r="DZ224" s="134"/>
      <c r="EA224" s="134"/>
      <c r="EB224" s="134"/>
      <c r="EC224" s="134"/>
      <c r="ED224" s="134"/>
      <c r="EE224" s="134"/>
      <c r="EF224" s="301"/>
      <c r="EG224" s="301"/>
      <c r="EH224" s="134"/>
      <c r="EI224" s="134"/>
      <c r="EJ224" s="134"/>
      <c r="EK224" s="134"/>
    </row>
    <row r="225" spans="1:141">
      <c r="A225" s="79" t="s">
        <v>216</v>
      </c>
      <c r="B225" s="117">
        <v>161</v>
      </c>
      <c r="C225" s="123" t="s">
        <v>1983</v>
      </c>
      <c r="D225" s="124" t="s">
        <v>2208</v>
      </c>
      <c r="E225" s="125">
        <v>2016</v>
      </c>
      <c r="F225" s="79">
        <v>26645740</v>
      </c>
      <c r="G225" s="79">
        <v>1</v>
      </c>
      <c r="H225" s="126"/>
      <c r="I225" s="127"/>
      <c r="J225" s="79">
        <v>1</v>
      </c>
      <c r="K225" s="79"/>
      <c r="L225" s="79">
        <v>1</v>
      </c>
      <c r="M225" s="128">
        <v>1</v>
      </c>
      <c r="N225" s="79" t="s">
        <v>608</v>
      </c>
      <c r="O225" s="79" t="s">
        <v>1158</v>
      </c>
      <c r="P225" s="79" t="s">
        <v>591</v>
      </c>
      <c r="Q225" s="79">
        <v>1</v>
      </c>
      <c r="R225" s="79"/>
      <c r="S225" s="79"/>
      <c r="T225" s="79"/>
      <c r="U225" s="79" t="s">
        <v>610</v>
      </c>
      <c r="V225" s="79" t="s">
        <v>39</v>
      </c>
      <c r="W225" s="79"/>
      <c r="X225" s="79"/>
      <c r="Y225" s="79"/>
      <c r="Z225" s="79" t="s">
        <v>611</v>
      </c>
      <c r="AA225" s="154"/>
      <c r="AB225" s="155"/>
      <c r="AC225" s="121">
        <v>2</v>
      </c>
      <c r="AD225" s="202"/>
      <c r="AE225" s="192"/>
      <c r="AF225" s="203"/>
      <c r="AG225" s="121"/>
      <c r="AH225" s="121"/>
      <c r="AI225" s="121"/>
      <c r="AJ225" s="121"/>
      <c r="AK225" s="121"/>
      <c r="AL225" s="121"/>
      <c r="AM225" s="121"/>
      <c r="AN225" s="121"/>
      <c r="AO225" s="121"/>
      <c r="AP225" s="121"/>
      <c r="AQ225" s="121"/>
      <c r="AR225" s="121"/>
      <c r="AS225" s="121"/>
      <c r="AT225" s="121"/>
      <c r="AU225" s="121"/>
      <c r="AV225" s="156"/>
      <c r="AW225" s="156"/>
      <c r="AX225" s="156"/>
      <c r="AY225" s="156"/>
      <c r="AZ225" s="156"/>
      <c r="BA225" s="156">
        <v>1</v>
      </c>
      <c r="BB225" s="156"/>
      <c r="BC225" s="156"/>
      <c r="BD225" s="157"/>
      <c r="BE225" s="134"/>
      <c r="BF225" s="134"/>
      <c r="BG225" s="134"/>
      <c r="BH225" s="134"/>
      <c r="BI225" s="134"/>
      <c r="BJ225" s="259"/>
      <c r="BK225" s="138"/>
      <c r="BL225" s="134"/>
      <c r="BM225" s="134"/>
      <c r="BN225" s="134"/>
      <c r="BO225" s="138"/>
      <c r="BP225" s="134"/>
      <c r="BQ225" s="134"/>
      <c r="BR225" s="134"/>
      <c r="BS225" s="288"/>
      <c r="BT225" s="289"/>
      <c r="BU225" s="138"/>
      <c r="BV225" s="134"/>
      <c r="BW225" s="134"/>
      <c r="BX225" s="134"/>
      <c r="BY225" s="138"/>
      <c r="BZ225" s="134"/>
      <c r="CA225" s="134"/>
      <c r="CB225" s="134"/>
      <c r="CC225" s="288"/>
      <c r="CD225" s="289"/>
      <c r="CE225" s="276"/>
      <c r="CF225" s="308"/>
      <c r="CG225" s="138"/>
      <c r="CH225" s="134"/>
      <c r="CI225" s="134"/>
      <c r="CJ225" s="134"/>
      <c r="CK225" s="134"/>
      <c r="CL225" s="134"/>
      <c r="CM225" s="134"/>
      <c r="CN225" s="134"/>
      <c r="CO225" s="300"/>
      <c r="CP225" s="301"/>
      <c r="CQ225" s="134"/>
      <c r="CR225" s="134"/>
      <c r="CS225" s="134"/>
      <c r="CT225" s="134"/>
      <c r="CU225" s="134"/>
      <c r="CV225" s="134"/>
      <c r="CW225" s="134"/>
      <c r="CX225" s="134"/>
      <c r="CY225" s="300"/>
      <c r="CZ225" s="301"/>
      <c r="DA225" s="276"/>
      <c r="DB225" s="277"/>
      <c r="DC225" s="134"/>
      <c r="DD225" s="134"/>
      <c r="DE225" s="134"/>
      <c r="DF225" s="134"/>
      <c r="DG225" s="138"/>
      <c r="DH225" s="134"/>
      <c r="DI225" s="134"/>
      <c r="DJ225" s="134"/>
      <c r="DK225" s="301"/>
      <c r="DL225" s="301"/>
      <c r="DM225" s="134"/>
      <c r="DN225" s="134"/>
      <c r="DO225" s="134"/>
      <c r="DP225" s="134"/>
      <c r="DQ225" s="134"/>
      <c r="DR225" s="134"/>
      <c r="DS225" s="134"/>
      <c r="DT225" s="134"/>
      <c r="DU225" s="301"/>
      <c r="DV225" s="301"/>
      <c r="DW225" s="277"/>
      <c r="DX225" s="134"/>
      <c r="DY225" s="134"/>
      <c r="DZ225" s="134"/>
      <c r="EA225" s="134"/>
      <c r="EB225" s="134"/>
      <c r="EC225" s="134"/>
      <c r="ED225" s="134"/>
      <c r="EE225" s="134"/>
      <c r="EF225" s="301"/>
      <c r="EG225" s="301"/>
      <c r="EH225" s="134"/>
      <c r="EI225" s="134"/>
      <c r="EJ225" s="134"/>
      <c r="EK225" s="134"/>
    </row>
    <row r="226" spans="1:141">
      <c r="A226" s="79" t="s">
        <v>217</v>
      </c>
      <c r="B226" s="117">
        <v>162</v>
      </c>
      <c r="C226" s="123" t="s">
        <v>1984</v>
      </c>
      <c r="D226" s="124" t="s">
        <v>2209</v>
      </c>
      <c r="E226" s="125">
        <v>2016</v>
      </c>
      <c r="F226" s="79">
        <v>26691304</v>
      </c>
      <c r="G226" s="79">
        <v>1</v>
      </c>
      <c r="H226" s="126"/>
      <c r="I226" s="127"/>
      <c r="J226" s="79">
        <v>1</v>
      </c>
      <c r="K226" s="79"/>
      <c r="L226" s="79">
        <v>1</v>
      </c>
      <c r="M226" s="128">
        <v>1</v>
      </c>
      <c r="N226" s="79" t="s">
        <v>612</v>
      </c>
      <c r="O226" s="79" t="s">
        <v>1147</v>
      </c>
      <c r="P226" s="79" t="s">
        <v>376</v>
      </c>
      <c r="Q226" s="79">
        <v>1</v>
      </c>
      <c r="R226" s="79"/>
      <c r="S226" s="79"/>
      <c r="T226" s="79"/>
      <c r="U226" s="79" t="s">
        <v>613</v>
      </c>
      <c r="V226" s="79"/>
      <c r="W226" s="79"/>
      <c r="X226" s="79"/>
      <c r="Y226" s="79"/>
      <c r="Z226" s="79"/>
      <c r="AA226" s="154"/>
      <c r="AB226" s="155"/>
      <c r="AC226" s="121">
        <v>2</v>
      </c>
      <c r="AD226" s="202"/>
      <c r="AE226" s="192"/>
      <c r="AF226" s="203"/>
      <c r="AG226" s="121"/>
      <c r="AH226" s="121"/>
      <c r="AI226" s="121"/>
      <c r="AJ226" s="121"/>
      <c r="AK226" s="121"/>
      <c r="AL226" s="121"/>
      <c r="AM226" s="121"/>
      <c r="AN226" s="121"/>
      <c r="AO226" s="121"/>
      <c r="AP226" s="121"/>
      <c r="AQ226" s="121"/>
      <c r="AR226" s="121"/>
      <c r="AS226" s="121"/>
      <c r="AT226" s="121"/>
      <c r="AU226" s="121"/>
      <c r="AV226" s="156"/>
      <c r="AW226" s="156"/>
      <c r="AX226" s="156"/>
      <c r="AY226" s="156"/>
      <c r="AZ226" s="156">
        <v>1</v>
      </c>
      <c r="BA226" s="156"/>
      <c r="BB226" s="156"/>
      <c r="BC226" s="156"/>
      <c r="BD226" s="157"/>
      <c r="BE226" s="134"/>
      <c r="BF226" s="134"/>
      <c r="BG226" s="134"/>
      <c r="BH226" s="134"/>
      <c r="BI226" s="134"/>
      <c r="BJ226" s="259"/>
      <c r="BK226" s="138"/>
      <c r="BL226" s="134"/>
      <c r="BM226" s="134"/>
      <c r="BN226" s="134"/>
      <c r="BO226" s="138"/>
      <c r="BP226" s="134"/>
      <c r="BQ226" s="134"/>
      <c r="BR226" s="134"/>
      <c r="BS226" s="288"/>
      <c r="BT226" s="289"/>
      <c r="BU226" s="138"/>
      <c r="BV226" s="134"/>
      <c r="BW226" s="134"/>
      <c r="BX226" s="134"/>
      <c r="BY226" s="138"/>
      <c r="BZ226" s="134"/>
      <c r="CA226" s="134"/>
      <c r="CB226" s="134"/>
      <c r="CC226" s="288"/>
      <c r="CD226" s="289"/>
      <c r="CE226" s="276"/>
      <c r="CF226" s="308"/>
      <c r="CG226" s="138"/>
      <c r="CH226" s="134"/>
      <c r="CI226" s="134"/>
      <c r="CJ226" s="134"/>
      <c r="CK226" s="134"/>
      <c r="CL226" s="134"/>
      <c r="CM226" s="134"/>
      <c r="CN226" s="134"/>
      <c r="CO226" s="300"/>
      <c r="CP226" s="301"/>
      <c r="CQ226" s="134"/>
      <c r="CR226" s="134"/>
      <c r="CS226" s="134"/>
      <c r="CT226" s="134"/>
      <c r="CU226" s="134"/>
      <c r="CV226" s="134"/>
      <c r="CW226" s="134"/>
      <c r="CX226" s="134"/>
      <c r="CY226" s="300"/>
      <c r="CZ226" s="301"/>
      <c r="DA226" s="276"/>
      <c r="DB226" s="277"/>
      <c r="DC226" s="134"/>
      <c r="DD226" s="134"/>
      <c r="DE226" s="134"/>
      <c r="DF226" s="134"/>
      <c r="DG226" s="138"/>
      <c r="DH226" s="134"/>
      <c r="DI226" s="134"/>
      <c r="DJ226" s="134"/>
      <c r="DK226" s="301"/>
      <c r="DL226" s="301"/>
      <c r="DM226" s="134"/>
      <c r="DN226" s="134"/>
      <c r="DO226" s="134"/>
      <c r="DP226" s="134"/>
      <c r="DQ226" s="134"/>
      <c r="DR226" s="134"/>
      <c r="DS226" s="134"/>
      <c r="DT226" s="134"/>
      <c r="DU226" s="301"/>
      <c r="DV226" s="301"/>
      <c r="DW226" s="277"/>
      <c r="DX226" s="134"/>
      <c r="DY226" s="134"/>
      <c r="DZ226" s="134"/>
      <c r="EA226" s="134"/>
      <c r="EB226" s="134"/>
      <c r="EC226" s="134"/>
      <c r="ED226" s="134"/>
      <c r="EE226" s="134"/>
      <c r="EF226" s="301"/>
      <c r="EG226" s="301"/>
      <c r="EH226" s="134"/>
      <c r="EI226" s="134"/>
      <c r="EJ226" s="134"/>
      <c r="EK226" s="134"/>
    </row>
    <row r="227" spans="1:141">
      <c r="A227" s="79" t="s">
        <v>221</v>
      </c>
      <c r="B227" s="117">
        <v>163</v>
      </c>
      <c r="C227" s="123" t="s">
        <v>1986</v>
      </c>
      <c r="D227" s="124" t="s">
        <v>2211</v>
      </c>
      <c r="E227" s="125">
        <v>1990</v>
      </c>
      <c r="F227" s="79">
        <v>2266215</v>
      </c>
      <c r="G227" s="79">
        <v>1</v>
      </c>
      <c r="H227" s="126"/>
      <c r="I227" s="127"/>
      <c r="J227" s="79">
        <v>1</v>
      </c>
      <c r="K227" s="79"/>
      <c r="L227" s="79">
        <v>1</v>
      </c>
      <c r="M227" s="128">
        <v>1</v>
      </c>
      <c r="N227" s="79" t="s">
        <v>620</v>
      </c>
      <c r="O227" s="79" t="s">
        <v>1163</v>
      </c>
      <c r="P227" s="79" t="s">
        <v>591</v>
      </c>
      <c r="Q227" s="79">
        <v>1</v>
      </c>
      <c r="R227" s="79"/>
      <c r="S227" s="79"/>
      <c r="T227" s="79"/>
      <c r="U227" s="79" t="s">
        <v>619</v>
      </c>
      <c r="V227" s="79"/>
      <c r="W227" s="79"/>
      <c r="X227" s="79"/>
      <c r="Y227" s="79"/>
      <c r="Z227" s="79"/>
      <c r="AA227" s="154"/>
      <c r="AB227" s="155"/>
      <c r="AC227" s="121">
        <v>2</v>
      </c>
      <c r="AD227" s="202"/>
      <c r="AE227" s="192"/>
      <c r="AF227" s="203"/>
      <c r="AG227" s="121"/>
      <c r="AH227" s="121"/>
      <c r="AI227" s="121"/>
      <c r="AJ227" s="121"/>
      <c r="AK227" s="121"/>
      <c r="AL227" s="121"/>
      <c r="AM227" s="121"/>
      <c r="AN227" s="121"/>
      <c r="AO227" s="121"/>
      <c r="AP227" s="121"/>
      <c r="AQ227" s="121"/>
      <c r="AR227" s="121"/>
      <c r="AS227" s="121"/>
      <c r="AT227" s="121"/>
      <c r="AU227" s="121"/>
      <c r="AV227" s="156"/>
      <c r="AW227" s="156"/>
      <c r="AX227" s="156"/>
      <c r="AY227" s="156">
        <v>1</v>
      </c>
      <c r="AZ227" s="156">
        <v>1</v>
      </c>
      <c r="BA227" s="156"/>
      <c r="BB227" s="156"/>
      <c r="BC227" s="156"/>
      <c r="BD227" s="157"/>
      <c r="BE227" s="134"/>
      <c r="BF227" s="134"/>
      <c r="BG227" s="134"/>
      <c r="BH227" s="134"/>
      <c r="BI227" s="134"/>
      <c r="BJ227" s="259"/>
      <c r="BK227" s="138"/>
      <c r="BL227" s="134"/>
      <c r="BM227" s="134"/>
      <c r="BN227" s="134"/>
      <c r="BO227" s="138"/>
      <c r="BP227" s="134"/>
      <c r="BQ227" s="134"/>
      <c r="BR227" s="134"/>
      <c r="BS227" s="288"/>
      <c r="BT227" s="289"/>
      <c r="BU227" s="138"/>
      <c r="BV227" s="134"/>
      <c r="BW227" s="134"/>
      <c r="BX227" s="134"/>
      <c r="BY227" s="138"/>
      <c r="BZ227" s="134"/>
      <c r="CA227" s="134"/>
      <c r="CB227" s="134"/>
      <c r="CC227" s="288"/>
      <c r="CD227" s="289"/>
      <c r="CE227" s="276"/>
      <c r="CF227" s="308"/>
      <c r="CG227" s="138"/>
      <c r="CH227" s="134"/>
      <c r="CI227" s="134"/>
      <c r="CJ227" s="134"/>
      <c r="CK227" s="134"/>
      <c r="CL227" s="134"/>
      <c r="CM227" s="134"/>
      <c r="CN227" s="134"/>
      <c r="CO227" s="300"/>
      <c r="CP227" s="301"/>
      <c r="CQ227" s="134"/>
      <c r="CR227" s="134"/>
      <c r="CS227" s="134"/>
      <c r="CT227" s="134"/>
      <c r="CU227" s="134"/>
      <c r="CV227" s="134"/>
      <c r="CW227" s="134"/>
      <c r="CX227" s="134"/>
      <c r="CY227" s="300"/>
      <c r="CZ227" s="301"/>
      <c r="DA227" s="276"/>
      <c r="DB227" s="277"/>
      <c r="DC227" s="134"/>
      <c r="DD227" s="134"/>
      <c r="DE227" s="134"/>
      <c r="DF227" s="134"/>
      <c r="DG227" s="138"/>
      <c r="DH227" s="134"/>
      <c r="DI227" s="134"/>
      <c r="DJ227" s="134"/>
      <c r="DK227" s="301"/>
      <c r="DL227" s="301"/>
      <c r="DM227" s="134"/>
      <c r="DN227" s="134"/>
      <c r="DO227" s="134"/>
      <c r="DP227" s="134"/>
      <c r="DQ227" s="134"/>
      <c r="DR227" s="134"/>
      <c r="DS227" s="134"/>
      <c r="DT227" s="134"/>
      <c r="DU227" s="301"/>
      <c r="DV227" s="301"/>
      <c r="DW227" s="277"/>
      <c r="DX227" s="134"/>
      <c r="DY227" s="134"/>
      <c r="DZ227" s="134"/>
      <c r="EA227" s="134"/>
      <c r="EB227" s="134"/>
      <c r="EC227" s="134"/>
      <c r="ED227" s="134"/>
      <c r="EE227" s="134"/>
      <c r="EF227" s="301"/>
      <c r="EG227" s="301"/>
      <c r="EH227" s="134"/>
      <c r="EI227" s="134"/>
      <c r="EJ227" s="134"/>
      <c r="EK227" s="134"/>
    </row>
    <row r="228" spans="1:141">
      <c r="A228" s="79" t="s">
        <v>222</v>
      </c>
      <c r="B228" s="117">
        <v>164</v>
      </c>
      <c r="C228" s="123" t="s">
        <v>1986</v>
      </c>
      <c r="D228" s="124" t="s">
        <v>2212</v>
      </c>
      <c r="E228" s="125">
        <v>1995</v>
      </c>
      <c r="F228" s="79">
        <v>7654154</v>
      </c>
      <c r="G228" s="79">
        <v>1</v>
      </c>
      <c r="H228" s="126"/>
      <c r="I228" s="127"/>
      <c r="J228" s="79">
        <v>1</v>
      </c>
      <c r="K228" s="79"/>
      <c r="L228" s="79">
        <v>1</v>
      </c>
      <c r="M228" s="128">
        <v>1</v>
      </c>
      <c r="N228" s="79" t="s">
        <v>621</v>
      </c>
      <c r="O228" s="79" t="s">
        <v>1147</v>
      </c>
      <c r="P228" s="79" t="s">
        <v>25</v>
      </c>
      <c r="Q228" s="79">
        <v>1</v>
      </c>
      <c r="R228" s="79"/>
      <c r="S228" s="79"/>
      <c r="T228" s="79"/>
      <c r="U228" s="79"/>
      <c r="V228" s="79"/>
      <c r="W228" s="79"/>
      <c r="X228" s="79"/>
      <c r="Y228" s="79"/>
      <c r="Z228" s="79"/>
      <c r="AA228" s="154"/>
      <c r="AB228" s="155"/>
      <c r="AC228" s="121">
        <v>2</v>
      </c>
      <c r="AD228" s="202"/>
      <c r="AE228" s="192"/>
      <c r="AF228" s="203"/>
      <c r="AG228" s="121"/>
      <c r="AH228" s="121"/>
      <c r="AI228" s="121"/>
      <c r="AJ228" s="121"/>
      <c r="AK228" s="121"/>
      <c r="AL228" s="121"/>
      <c r="AM228" s="121"/>
      <c r="AN228" s="121"/>
      <c r="AO228" s="121"/>
      <c r="AP228" s="121"/>
      <c r="AQ228" s="121"/>
      <c r="AR228" s="121"/>
      <c r="AS228" s="121"/>
      <c r="AT228" s="121"/>
      <c r="AU228" s="121"/>
      <c r="AV228" s="156"/>
      <c r="AW228" s="156"/>
      <c r="AX228" s="156"/>
      <c r="AY228" s="156"/>
      <c r="AZ228" s="156">
        <v>1</v>
      </c>
      <c r="BA228" s="156"/>
      <c r="BB228" s="156"/>
      <c r="BC228" s="156"/>
      <c r="BD228" s="157"/>
      <c r="BE228" s="134"/>
      <c r="BF228" s="134"/>
      <c r="BG228" s="134"/>
      <c r="BH228" s="134"/>
      <c r="BI228" s="134"/>
      <c r="BJ228" s="259"/>
      <c r="BK228" s="138"/>
      <c r="BL228" s="134"/>
      <c r="BM228" s="134"/>
      <c r="BN228" s="134"/>
      <c r="BO228" s="138"/>
      <c r="BP228" s="134"/>
      <c r="BQ228" s="134"/>
      <c r="BR228" s="134"/>
      <c r="BS228" s="288"/>
      <c r="BT228" s="289"/>
      <c r="BU228" s="138"/>
      <c r="BV228" s="134"/>
      <c r="BW228" s="134"/>
      <c r="BX228" s="134"/>
      <c r="BY228" s="138"/>
      <c r="BZ228" s="134"/>
      <c r="CA228" s="134"/>
      <c r="CB228" s="134"/>
      <c r="CC228" s="288"/>
      <c r="CD228" s="289"/>
      <c r="CE228" s="276"/>
      <c r="CF228" s="308"/>
      <c r="CG228" s="138"/>
      <c r="CH228" s="134"/>
      <c r="CI228" s="134"/>
      <c r="CJ228" s="134"/>
      <c r="CK228" s="134"/>
      <c r="CL228" s="134"/>
      <c r="CM228" s="134"/>
      <c r="CN228" s="134"/>
      <c r="CO228" s="300"/>
      <c r="CP228" s="301"/>
      <c r="CQ228" s="134"/>
      <c r="CR228" s="134"/>
      <c r="CS228" s="134"/>
      <c r="CT228" s="134"/>
      <c r="CU228" s="134"/>
      <c r="CV228" s="134"/>
      <c r="CW228" s="134"/>
      <c r="CX228" s="134"/>
      <c r="CY228" s="300"/>
      <c r="CZ228" s="301"/>
      <c r="DA228" s="276"/>
      <c r="DB228" s="277"/>
      <c r="DC228" s="134"/>
      <c r="DD228" s="134"/>
      <c r="DE228" s="134"/>
      <c r="DF228" s="134"/>
      <c r="DG228" s="138"/>
      <c r="DH228" s="134"/>
      <c r="DI228" s="134"/>
      <c r="DJ228" s="134"/>
      <c r="DK228" s="301"/>
      <c r="DL228" s="301"/>
      <c r="DM228" s="134"/>
      <c r="DN228" s="134"/>
      <c r="DO228" s="134"/>
      <c r="DP228" s="134"/>
      <c r="DQ228" s="134"/>
      <c r="DR228" s="134"/>
      <c r="DS228" s="134"/>
      <c r="DT228" s="134"/>
      <c r="DU228" s="301"/>
      <c r="DV228" s="301"/>
      <c r="DW228" s="277"/>
      <c r="DX228" s="134"/>
      <c r="DY228" s="134"/>
      <c r="DZ228" s="134"/>
      <c r="EA228" s="134"/>
      <c r="EB228" s="134"/>
      <c r="EC228" s="134"/>
      <c r="ED228" s="134"/>
      <c r="EE228" s="134"/>
      <c r="EF228" s="301"/>
      <c r="EG228" s="301"/>
      <c r="EH228" s="134"/>
      <c r="EI228" s="134"/>
      <c r="EJ228" s="134"/>
      <c r="EK228" s="134"/>
    </row>
    <row r="229" spans="1:141">
      <c r="A229" s="79" t="s">
        <v>1020</v>
      </c>
      <c r="B229" s="117">
        <v>165</v>
      </c>
      <c r="C229" s="123" t="s">
        <v>2093</v>
      </c>
      <c r="D229" s="124" t="s">
        <v>2348</v>
      </c>
      <c r="E229" s="125">
        <v>2008</v>
      </c>
      <c r="F229" s="79">
        <v>18339410</v>
      </c>
      <c r="G229" s="79">
        <v>1</v>
      </c>
      <c r="H229" s="126">
        <v>1</v>
      </c>
      <c r="I229" s="127"/>
      <c r="J229" s="79">
        <v>1</v>
      </c>
      <c r="K229" s="79"/>
      <c r="L229" s="153">
        <v>1</v>
      </c>
      <c r="M229" s="128">
        <v>2</v>
      </c>
      <c r="N229" s="79" t="s">
        <v>1697</v>
      </c>
      <c r="O229" s="79" t="s">
        <v>1417</v>
      </c>
      <c r="P229" s="79" t="s">
        <v>1127</v>
      </c>
      <c r="Q229" s="79"/>
      <c r="R229" s="79" t="s">
        <v>1541</v>
      </c>
      <c r="S229" s="79"/>
      <c r="T229" s="79"/>
      <c r="U229" s="79" t="s">
        <v>1416</v>
      </c>
      <c r="V229" s="79"/>
      <c r="W229" s="79"/>
      <c r="X229" s="79"/>
      <c r="Y229" s="79"/>
      <c r="Z229" s="79"/>
      <c r="AA229" s="154"/>
      <c r="AB229" s="155"/>
      <c r="AC229" s="121">
        <v>4</v>
      </c>
      <c r="AD229" s="202"/>
      <c r="AE229" s="192"/>
      <c r="AF229" s="203"/>
      <c r="AG229" s="121"/>
      <c r="AH229" s="121"/>
      <c r="AI229" s="121"/>
      <c r="AJ229" s="121"/>
      <c r="AK229" s="121"/>
      <c r="AL229" s="121"/>
      <c r="AM229" s="121"/>
      <c r="AN229" s="121"/>
      <c r="AO229" s="121"/>
      <c r="AP229" s="121"/>
      <c r="AQ229" s="121"/>
      <c r="AR229" s="121"/>
      <c r="AS229" s="121"/>
      <c r="AT229" s="121"/>
      <c r="AU229" s="121"/>
      <c r="AV229" s="156"/>
      <c r="AW229" s="156"/>
      <c r="AX229" s="156"/>
      <c r="AY229" s="156"/>
      <c r="AZ229" s="156">
        <v>1</v>
      </c>
      <c r="BA229" s="156"/>
      <c r="BB229" s="156"/>
      <c r="BC229" s="156"/>
      <c r="BD229" s="157"/>
      <c r="BE229" s="134"/>
      <c r="BF229" s="134"/>
      <c r="BG229" s="134"/>
      <c r="BH229" s="134"/>
      <c r="BI229" s="134"/>
      <c r="BJ229" s="259"/>
      <c r="BK229" s="138"/>
      <c r="BL229" s="134"/>
      <c r="BM229" s="134"/>
      <c r="BN229" s="134"/>
      <c r="BO229" s="138"/>
      <c r="BP229" s="134"/>
      <c r="BQ229" s="134"/>
      <c r="BR229" s="134"/>
      <c r="BS229" s="288"/>
      <c r="BT229" s="289"/>
      <c r="BU229" s="138"/>
      <c r="BV229" s="134"/>
      <c r="BW229" s="134"/>
      <c r="BX229" s="134"/>
      <c r="BY229" s="138"/>
      <c r="BZ229" s="134"/>
      <c r="CA229" s="134"/>
      <c r="CB229" s="134"/>
      <c r="CC229" s="288"/>
      <c r="CD229" s="289"/>
      <c r="CE229" s="276"/>
      <c r="CF229" s="308"/>
      <c r="CG229" s="138"/>
      <c r="CH229" s="134"/>
      <c r="CI229" s="134"/>
      <c r="CJ229" s="134"/>
      <c r="CK229" s="134"/>
      <c r="CL229" s="134"/>
      <c r="CM229" s="134"/>
      <c r="CN229" s="134"/>
      <c r="CO229" s="300"/>
      <c r="CP229" s="301"/>
      <c r="CQ229" s="134"/>
      <c r="CR229" s="134"/>
      <c r="CS229" s="134"/>
      <c r="CT229" s="134"/>
      <c r="CU229" s="134"/>
      <c r="CV229" s="134"/>
      <c r="CW229" s="134"/>
      <c r="CX229" s="134"/>
      <c r="CY229" s="300"/>
      <c r="CZ229" s="301"/>
      <c r="DA229" s="276"/>
      <c r="DB229" s="277"/>
      <c r="DC229" s="134"/>
      <c r="DD229" s="134"/>
      <c r="DE229" s="134"/>
      <c r="DF229" s="134"/>
      <c r="DG229" s="138"/>
      <c r="DH229" s="134"/>
      <c r="DI229" s="134"/>
      <c r="DJ229" s="134"/>
      <c r="DK229" s="301"/>
      <c r="DL229" s="301"/>
      <c r="DM229" s="134"/>
      <c r="DN229" s="134"/>
      <c r="DO229" s="134"/>
      <c r="DP229" s="134"/>
      <c r="DQ229" s="134"/>
      <c r="DR229" s="134"/>
      <c r="DS229" s="134"/>
      <c r="DT229" s="134"/>
      <c r="DU229" s="301"/>
      <c r="DV229" s="301"/>
      <c r="DW229" s="277"/>
      <c r="DX229" s="134"/>
      <c r="DY229" s="134"/>
      <c r="DZ229" s="134"/>
      <c r="EA229" s="134"/>
      <c r="EB229" s="134"/>
      <c r="EC229" s="134"/>
      <c r="ED229" s="134"/>
      <c r="EE229" s="134"/>
      <c r="EF229" s="301"/>
      <c r="EG229" s="301"/>
      <c r="EH229" s="134"/>
      <c r="EI229" s="134"/>
      <c r="EJ229" s="134"/>
      <c r="EK229" s="134"/>
    </row>
    <row r="230" spans="1:141">
      <c r="A230" s="79" t="s">
        <v>227</v>
      </c>
      <c r="B230" s="117">
        <v>166</v>
      </c>
      <c r="C230" s="123" t="s">
        <v>1988</v>
      </c>
      <c r="D230" s="124" t="s">
        <v>2214</v>
      </c>
      <c r="E230" s="125">
        <v>2008</v>
      </c>
      <c r="F230" s="79">
        <v>17853136</v>
      </c>
      <c r="G230" s="79">
        <v>1</v>
      </c>
      <c r="H230" s="126"/>
      <c r="I230" s="127"/>
      <c r="J230" s="79">
        <v>1</v>
      </c>
      <c r="K230" s="79"/>
      <c r="L230" s="79">
        <v>1</v>
      </c>
      <c r="M230" s="128">
        <v>1</v>
      </c>
      <c r="N230" s="79" t="s">
        <v>73</v>
      </c>
      <c r="O230" s="79" t="s">
        <v>1147</v>
      </c>
      <c r="P230" s="79" t="s">
        <v>634</v>
      </c>
      <c r="Q230" s="79">
        <v>1</v>
      </c>
      <c r="R230" s="79"/>
      <c r="S230" s="79"/>
      <c r="T230" s="79"/>
      <c r="U230" s="79" t="s">
        <v>635</v>
      </c>
      <c r="V230" s="79"/>
      <c r="W230" s="79"/>
      <c r="X230" s="79"/>
      <c r="Y230" s="79"/>
      <c r="Z230" s="79"/>
      <c r="AA230" s="154"/>
      <c r="AB230" s="155"/>
      <c r="AC230" s="121">
        <v>2</v>
      </c>
      <c r="AD230" s="202"/>
      <c r="AE230" s="192"/>
      <c r="AF230" s="203"/>
      <c r="AG230" s="121"/>
      <c r="AH230" s="121"/>
      <c r="AI230" s="121"/>
      <c r="AJ230" s="121"/>
      <c r="AK230" s="121"/>
      <c r="AL230" s="121"/>
      <c r="AM230" s="121"/>
      <c r="AN230" s="121"/>
      <c r="AO230" s="121"/>
      <c r="AP230" s="121"/>
      <c r="AQ230" s="121"/>
      <c r="AR230" s="121"/>
      <c r="AS230" s="121"/>
      <c r="AT230" s="121"/>
      <c r="AU230" s="121"/>
      <c r="AV230" s="156"/>
      <c r="AW230" s="156"/>
      <c r="AX230" s="156"/>
      <c r="AY230" s="156"/>
      <c r="AZ230" s="156">
        <v>1</v>
      </c>
      <c r="BA230" s="156"/>
      <c r="BB230" s="156"/>
      <c r="BC230" s="156"/>
      <c r="BD230" s="157"/>
      <c r="BE230" s="134"/>
      <c r="BF230" s="134"/>
      <c r="BG230" s="134"/>
      <c r="BH230" s="134"/>
      <c r="BI230" s="134"/>
      <c r="BJ230" s="259"/>
      <c r="BK230" s="138"/>
      <c r="BL230" s="134"/>
      <c r="BM230" s="134"/>
      <c r="BN230" s="134"/>
      <c r="BO230" s="138"/>
      <c r="BP230" s="134"/>
      <c r="BQ230" s="134"/>
      <c r="BR230" s="134"/>
      <c r="BS230" s="288"/>
      <c r="BT230" s="289"/>
      <c r="BU230" s="138"/>
      <c r="BV230" s="134"/>
      <c r="BW230" s="134"/>
      <c r="BX230" s="134"/>
      <c r="BY230" s="138"/>
      <c r="BZ230" s="134"/>
      <c r="CA230" s="134"/>
      <c r="CB230" s="134"/>
      <c r="CC230" s="288"/>
      <c r="CD230" s="289"/>
      <c r="CE230" s="276"/>
      <c r="CF230" s="308"/>
      <c r="CG230" s="138"/>
      <c r="CH230" s="134"/>
      <c r="CI230" s="134"/>
      <c r="CJ230" s="134"/>
      <c r="CK230" s="134"/>
      <c r="CL230" s="134"/>
      <c r="CM230" s="134"/>
      <c r="CN230" s="134"/>
      <c r="CO230" s="300"/>
      <c r="CP230" s="301"/>
      <c r="CQ230" s="134"/>
      <c r="CR230" s="134"/>
      <c r="CS230" s="134"/>
      <c r="CT230" s="134"/>
      <c r="CU230" s="134"/>
      <c r="CV230" s="134"/>
      <c r="CW230" s="134"/>
      <c r="CX230" s="134"/>
      <c r="CY230" s="300"/>
      <c r="CZ230" s="301"/>
      <c r="DA230" s="276"/>
      <c r="DB230" s="277"/>
      <c r="DC230" s="134"/>
      <c r="DD230" s="134"/>
      <c r="DE230" s="134"/>
      <c r="DF230" s="134"/>
      <c r="DG230" s="138"/>
      <c r="DH230" s="134"/>
      <c r="DI230" s="134"/>
      <c r="DJ230" s="134"/>
      <c r="DK230" s="301"/>
      <c r="DL230" s="301"/>
      <c r="DM230" s="134"/>
      <c r="DN230" s="134"/>
      <c r="DO230" s="134"/>
      <c r="DP230" s="134"/>
      <c r="DQ230" s="134"/>
      <c r="DR230" s="134"/>
      <c r="DS230" s="134"/>
      <c r="DT230" s="134"/>
      <c r="DU230" s="301"/>
      <c r="DV230" s="301"/>
      <c r="DW230" s="277"/>
      <c r="DX230" s="134"/>
      <c r="DY230" s="134"/>
      <c r="DZ230" s="134"/>
      <c r="EA230" s="134"/>
      <c r="EB230" s="134"/>
      <c r="EC230" s="134"/>
      <c r="ED230" s="134"/>
      <c r="EE230" s="134"/>
      <c r="EF230" s="301"/>
      <c r="EG230" s="301"/>
      <c r="EH230" s="134"/>
      <c r="EI230" s="134"/>
      <c r="EJ230" s="134"/>
      <c r="EK230" s="134"/>
    </row>
    <row r="231" spans="1:141">
      <c r="A231" s="79" t="s">
        <v>228</v>
      </c>
      <c r="B231" s="117">
        <v>167</v>
      </c>
      <c r="C231" s="123" t="s">
        <v>1989</v>
      </c>
      <c r="D231" s="124" t="s">
        <v>2215</v>
      </c>
      <c r="E231" s="125">
        <v>2009</v>
      </c>
      <c r="F231" s="79">
        <v>19091328</v>
      </c>
      <c r="G231" s="79">
        <v>1</v>
      </c>
      <c r="H231" s="126"/>
      <c r="I231" s="127"/>
      <c r="J231" s="79">
        <v>1</v>
      </c>
      <c r="K231" s="79"/>
      <c r="L231" s="79">
        <v>1</v>
      </c>
      <c r="M231" s="128">
        <v>1</v>
      </c>
      <c r="N231" s="79" t="s">
        <v>636</v>
      </c>
      <c r="O231" s="79" t="s">
        <v>1158</v>
      </c>
      <c r="P231" s="79" t="s">
        <v>591</v>
      </c>
      <c r="Q231" s="79">
        <v>1</v>
      </c>
      <c r="R231" s="79"/>
      <c r="S231" s="79"/>
      <c r="T231" s="79"/>
      <c r="U231" s="79" t="s">
        <v>637</v>
      </c>
      <c r="V231" s="79" t="s">
        <v>56</v>
      </c>
      <c r="W231" s="79"/>
      <c r="X231" s="79"/>
      <c r="Y231" s="79"/>
      <c r="Z231" s="79"/>
      <c r="AA231" s="154"/>
      <c r="AB231" s="155"/>
      <c r="AC231" s="121">
        <v>2</v>
      </c>
      <c r="AD231" s="202"/>
      <c r="AE231" s="192"/>
      <c r="AF231" s="203"/>
      <c r="AG231" s="121"/>
      <c r="AH231" s="121"/>
      <c r="AI231" s="121"/>
      <c r="AJ231" s="121"/>
      <c r="AK231" s="121"/>
      <c r="AL231" s="121"/>
      <c r="AM231" s="121"/>
      <c r="AN231" s="121"/>
      <c r="AO231" s="121"/>
      <c r="AP231" s="121"/>
      <c r="AQ231" s="121"/>
      <c r="AR231" s="121"/>
      <c r="AS231" s="121"/>
      <c r="AT231" s="121"/>
      <c r="AU231" s="121"/>
      <c r="AV231" s="156"/>
      <c r="AW231" s="156"/>
      <c r="AX231" s="156">
        <v>1</v>
      </c>
      <c r="AY231" s="156"/>
      <c r="AZ231" s="156"/>
      <c r="BA231" s="156">
        <v>1</v>
      </c>
      <c r="BB231" s="156"/>
      <c r="BC231" s="156"/>
      <c r="BD231" s="157"/>
      <c r="BE231" s="134"/>
      <c r="BF231" s="134"/>
      <c r="BG231" s="134"/>
      <c r="BH231" s="134"/>
      <c r="BI231" s="134"/>
      <c r="BJ231" s="259"/>
      <c r="BK231" s="138"/>
      <c r="BL231" s="134"/>
      <c r="BM231" s="134"/>
      <c r="BN231" s="134"/>
      <c r="BO231" s="138"/>
      <c r="BP231" s="134"/>
      <c r="BQ231" s="134"/>
      <c r="BR231" s="134"/>
      <c r="BS231" s="288"/>
      <c r="BT231" s="289"/>
      <c r="BU231" s="138"/>
      <c r="BV231" s="134"/>
      <c r="BW231" s="134"/>
      <c r="BX231" s="134"/>
      <c r="BY231" s="138"/>
      <c r="BZ231" s="134"/>
      <c r="CA231" s="134"/>
      <c r="CB231" s="134"/>
      <c r="CC231" s="288"/>
      <c r="CD231" s="289"/>
      <c r="CE231" s="276"/>
      <c r="CF231" s="308"/>
      <c r="CG231" s="138"/>
      <c r="CH231" s="134"/>
      <c r="CI231" s="134"/>
      <c r="CJ231" s="134"/>
      <c r="CK231" s="134"/>
      <c r="CL231" s="134"/>
      <c r="CM231" s="134"/>
      <c r="CN231" s="134"/>
      <c r="CO231" s="300"/>
      <c r="CP231" s="301"/>
      <c r="CQ231" s="134"/>
      <c r="CR231" s="134"/>
      <c r="CS231" s="134"/>
      <c r="CT231" s="134"/>
      <c r="CU231" s="134"/>
      <c r="CV231" s="134"/>
      <c r="CW231" s="134"/>
      <c r="CX231" s="134"/>
      <c r="CY231" s="300"/>
      <c r="CZ231" s="301"/>
      <c r="DA231" s="276"/>
      <c r="DB231" s="277"/>
      <c r="DC231" s="134"/>
      <c r="DD231" s="134"/>
      <c r="DE231" s="134"/>
      <c r="DF231" s="134"/>
      <c r="DG231" s="138"/>
      <c r="DH231" s="134"/>
      <c r="DI231" s="134"/>
      <c r="DJ231" s="134"/>
      <c r="DK231" s="301"/>
      <c r="DL231" s="301"/>
      <c r="DM231" s="134"/>
      <c r="DN231" s="134"/>
      <c r="DO231" s="134"/>
      <c r="DP231" s="134"/>
      <c r="DQ231" s="134"/>
      <c r="DR231" s="134"/>
      <c r="DS231" s="134"/>
      <c r="DT231" s="134"/>
      <c r="DU231" s="301"/>
      <c r="DV231" s="301"/>
      <c r="DW231" s="277"/>
      <c r="DX231" s="134"/>
      <c r="DY231" s="134"/>
      <c r="DZ231" s="134"/>
      <c r="EA231" s="134"/>
      <c r="EB231" s="134"/>
      <c r="EC231" s="134"/>
      <c r="ED231" s="134"/>
      <c r="EE231" s="134"/>
      <c r="EF231" s="301"/>
      <c r="EG231" s="301"/>
      <c r="EH231" s="134"/>
      <c r="EI231" s="134"/>
      <c r="EJ231" s="134"/>
      <c r="EK231" s="134"/>
    </row>
    <row r="232" spans="1:141">
      <c r="A232" s="79" t="s">
        <v>229</v>
      </c>
      <c r="B232" s="117">
        <v>168</v>
      </c>
      <c r="C232" s="123" t="s">
        <v>1989</v>
      </c>
      <c r="D232" s="124" t="s">
        <v>2216</v>
      </c>
      <c r="E232" s="125">
        <v>2011</v>
      </c>
      <c r="F232" s="79">
        <v>21545724</v>
      </c>
      <c r="G232" s="79">
        <v>1</v>
      </c>
      <c r="H232" s="126"/>
      <c r="I232" s="127"/>
      <c r="J232" s="79">
        <v>1</v>
      </c>
      <c r="K232" s="79"/>
      <c r="L232" s="79">
        <v>1</v>
      </c>
      <c r="M232" s="128">
        <v>1</v>
      </c>
      <c r="N232" s="79" t="s">
        <v>609</v>
      </c>
      <c r="O232" s="79" t="s">
        <v>1158</v>
      </c>
      <c r="P232" s="79" t="s">
        <v>591</v>
      </c>
      <c r="Q232" s="79">
        <v>1</v>
      </c>
      <c r="R232" s="79"/>
      <c r="S232" s="79"/>
      <c r="T232" s="79"/>
      <c r="U232" s="79" t="s">
        <v>610</v>
      </c>
      <c r="V232" s="79" t="s">
        <v>42</v>
      </c>
      <c r="W232" s="79" t="s">
        <v>638</v>
      </c>
      <c r="X232" s="79"/>
      <c r="Y232" s="79"/>
      <c r="Z232" s="79" t="s">
        <v>639</v>
      </c>
      <c r="AA232" s="154"/>
      <c r="AB232" s="155"/>
      <c r="AC232" s="121">
        <v>2</v>
      </c>
      <c r="AD232" s="202"/>
      <c r="AE232" s="192"/>
      <c r="AF232" s="203"/>
      <c r="AG232" s="121"/>
      <c r="AH232" s="121"/>
      <c r="AI232" s="121"/>
      <c r="AJ232" s="121"/>
      <c r="AK232" s="121"/>
      <c r="AL232" s="121"/>
      <c r="AM232" s="121"/>
      <c r="AN232" s="121"/>
      <c r="AO232" s="121"/>
      <c r="AP232" s="121"/>
      <c r="AQ232" s="121"/>
      <c r="AR232" s="121"/>
      <c r="AS232" s="121"/>
      <c r="AT232" s="121"/>
      <c r="AU232" s="121"/>
      <c r="AV232" s="156"/>
      <c r="AW232" s="156"/>
      <c r="AX232" s="156"/>
      <c r="AY232" s="156"/>
      <c r="AZ232" s="156"/>
      <c r="BA232" s="156">
        <v>1</v>
      </c>
      <c r="BB232" s="156"/>
      <c r="BC232" s="156"/>
      <c r="BD232" s="157"/>
      <c r="BE232" s="134"/>
      <c r="BF232" s="134"/>
      <c r="BG232" s="134"/>
      <c r="BH232" s="134"/>
      <c r="BI232" s="134"/>
      <c r="BJ232" s="259"/>
      <c r="BK232" s="138"/>
      <c r="BL232" s="134"/>
      <c r="BM232" s="134"/>
      <c r="BN232" s="134"/>
      <c r="BO232" s="138"/>
      <c r="BP232" s="134"/>
      <c r="BQ232" s="134"/>
      <c r="BR232" s="134"/>
      <c r="BS232" s="288"/>
      <c r="BT232" s="289"/>
      <c r="BU232" s="138"/>
      <c r="BV232" s="134"/>
      <c r="BW232" s="134"/>
      <c r="BX232" s="134"/>
      <c r="BY232" s="138"/>
      <c r="BZ232" s="134"/>
      <c r="CA232" s="134"/>
      <c r="CB232" s="134"/>
      <c r="CC232" s="288"/>
      <c r="CD232" s="289"/>
      <c r="CE232" s="276"/>
      <c r="CF232" s="308"/>
      <c r="CG232" s="138"/>
      <c r="CH232" s="134"/>
      <c r="CI232" s="134"/>
      <c r="CJ232" s="134"/>
      <c r="CK232" s="134"/>
      <c r="CL232" s="134"/>
      <c r="CM232" s="134"/>
      <c r="CN232" s="134"/>
      <c r="CO232" s="300"/>
      <c r="CP232" s="301"/>
      <c r="CQ232" s="134"/>
      <c r="CR232" s="134"/>
      <c r="CS232" s="134"/>
      <c r="CT232" s="134"/>
      <c r="CU232" s="134"/>
      <c r="CV232" s="134"/>
      <c r="CW232" s="134"/>
      <c r="CX232" s="134"/>
      <c r="CY232" s="300"/>
      <c r="CZ232" s="301"/>
      <c r="DA232" s="276"/>
      <c r="DB232" s="277"/>
      <c r="DC232" s="134"/>
      <c r="DD232" s="134"/>
      <c r="DE232" s="134"/>
      <c r="DF232" s="134"/>
      <c r="DG232" s="138"/>
      <c r="DH232" s="134"/>
      <c r="DI232" s="134"/>
      <c r="DJ232" s="134"/>
      <c r="DK232" s="301"/>
      <c r="DL232" s="301"/>
      <c r="DM232" s="134"/>
      <c r="DN232" s="134"/>
      <c r="DO232" s="134"/>
      <c r="DP232" s="134"/>
      <c r="DQ232" s="134"/>
      <c r="DR232" s="134"/>
      <c r="DS232" s="134"/>
      <c r="DT232" s="134"/>
      <c r="DU232" s="301"/>
      <c r="DV232" s="301"/>
      <c r="DW232" s="277"/>
      <c r="DX232" s="134"/>
      <c r="DY232" s="134"/>
      <c r="DZ232" s="134"/>
      <c r="EA232" s="134"/>
      <c r="EB232" s="134"/>
      <c r="EC232" s="134"/>
      <c r="ED232" s="134"/>
      <c r="EE232" s="134"/>
      <c r="EF232" s="301"/>
      <c r="EG232" s="301"/>
      <c r="EH232" s="134"/>
      <c r="EI232" s="134"/>
      <c r="EJ232" s="134"/>
      <c r="EK232" s="134"/>
    </row>
    <row r="233" spans="1:141">
      <c r="A233" s="79" t="s">
        <v>230</v>
      </c>
      <c r="B233" s="117">
        <v>169</v>
      </c>
      <c r="C233" s="123" t="s">
        <v>1989</v>
      </c>
      <c r="D233" s="124" t="s">
        <v>2217</v>
      </c>
      <c r="E233" s="125">
        <v>2008</v>
      </c>
      <c r="F233" s="79">
        <v>18093809</v>
      </c>
      <c r="G233" s="79">
        <v>1</v>
      </c>
      <c r="H233" s="126"/>
      <c r="I233" s="127"/>
      <c r="J233" s="79">
        <v>1</v>
      </c>
      <c r="K233" s="79"/>
      <c r="L233" s="79">
        <v>1</v>
      </c>
      <c r="M233" s="128">
        <v>1</v>
      </c>
      <c r="N233" s="79"/>
      <c r="O233" s="79" t="s">
        <v>642</v>
      </c>
      <c r="P233" s="79" t="s">
        <v>376</v>
      </c>
      <c r="Q233" s="79">
        <v>1</v>
      </c>
      <c r="R233" s="79"/>
      <c r="S233" s="79"/>
      <c r="T233" s="79"/>
      <c r="U233" s="79" t="s">
        <v>641</v>
      </c>
      <c r="V233" s="79" t="s">
        <v>56</v>
      </c>
      <c r="W233" s="79"/>
      <c r="X233" s="79"/>
      <c r="Y233" s="79"/>
      <c r="Z233" s="79" t="s">
        <v>640</v>
      </c>
      <c r="AA233" s="154"/>
      <c r="AB233" s="155"/>
      <c r="AC233" s="121">
        <v>2</v>
      </c>
      <c r="AD233" s="202"/>
      <c r="AE233" s="192"/>
      <c r="AF233" s="203"/>
      <c r="AG233" s="121"/>
      <c r="AH233" s="121"/>
      <c r="AI233" s="121"/>
      <c r="AJ233" s="121"/>
      <c r="AK233" s="121"/>
      <c r="AL233" s="121"/>
      <c r="AM233" s="121"/>
      <c r="AN233" s="121"/>
      <c r="AO233" s="121"/>
      <c r="AP233" s="121"/>
      <c r="AQ233" s="121"/>
      <c r="AR233" s="121"/>
      <c r="AS233" s="121"/>
      <c r="AT233" s="121"/>
      <c r="AU233" s="121"/>
      <c r="AV233" s="156"/>
      <c r="AW233" s="156"/>
      <c r="AX233" s="156"/>
      <c r="AY233" s="156"/>
      <c r="AZ233" s="156"/>
      <c r="BA233" s="156"/>
      <c r="BB233" s="156"/>
      <c r="BC233" s="156"/>
      <c r="BD233" s="157"/>
      <c r="BE233" s="134"/>
      <c r="BF233" s="134"/>
      <c r="BG233" s="134"/>
      <c r="BH233" s="134"/>
      <c r="BI233" s="134"/>
      <c r="BJ233" s="259"/>
      <c r="BK233" s="138"/>
      <c r="BL233" s="134"/>
      <c r="BM233" s="134"/>
      <c r="BN233" s="134"/>
      <c r="BO233" s="138"/>
      <c r="BP233" s="134"/>
      <c r="BQ233" s="134"/>
      <c r="BR233" s="134"/>
      <c r="BS233" s="288"/>
      <c r="BT233" s="289"/>
      <c r="BU233" s="138"/>
      <c r="BV233" s="134"/>
      <c r="BW233" s="134"/>
      <c r="BX233" s="134"/>
      <c r="BY233" s="138"/>
      <c r="BZ233" s="134"/>
      <c r="CA233" s="134"/>
      <c r="CB233" s="134"/>
      <c r="CC233" s="288"/>
      <c r="CD233" s="289"/>
      <c r="CE233" s="276"/>
      <c r="CF233" s="308"/>
      <c r="CG233" s="138"/>
      <c r="CH233" s="134"/>
      <c r="CI233" s="134"/>
      <c r="CJ233" s="134"/>
      <c r="CK233" s="134"/>
      <c r="CL233" s="134"/>
      <c r="CM233" s="134"/>
      <c r="CN233" s="134"/>
      <c r="CO233" s="300"/>
      <c r="CP233" s="301"/>
      <c r="CQ233" s="134"/>
      <c r="CR233" s="134"/>
      <c r="CS233" s="134"/>
      <c r="CT233" s="134"/>
      <c r="CU233" s="134"/>
      <c r="CV233" s="134"/>
      <c r="CW233" s="134"/>
      <c r="CX233" s="134"/>
      <c r="CY233" s="300"/>
      <c r="CZ233" s="301"/>
      <c r="DA233" s="276"/>
      <c r="DB233" s="277"/>
      <c r="DC233" s="134"/>
      <c r="DD233" s="134"/>
      <c r="DE233" s="134"/>
      <c r="DF233" s="134"/>
      <c r="DG233" s="138"/>
      <c r="DH233" s="134"/>
      <c r="DI233" s="134"/>
      <c r="DJ233" s="134"/>
      <c r="DK233" s="301"/>
      <c r="DL233" s="301"/>
      <c r="DM233" s="134"/>
      <c r="DN233" s="134"/>
      <c r="DO233" s="134"/>
      <c r="DP233" s="134"/>
      <c r="DQ233" s="134"/>
      <c r="DR233" s="134"/>
      <c r="DS233" s="134"/>
      <c r="DT233" s="134"/>
      <c r="DU233" s="301"/>
      <c r="DV233" s="301"/>
      <c r="DW233" s="277"/>
      <c r="DX233" s="134"/>
      <c r="DY233" s="134"/>
      <c r="DZ233" s="134"/>
      <c r="EA233" s="134"/>
      <c r="EB233" s="134"/>
      <c r="EC233" s="134"/>
      <c r="ED233" s="134"/>
      <c r="EE233" s="134"/>
      <c r="EF233" s="301"/>
      <c r="EG233" s="301"/>
      <c r="EH233" s="134"/>
      <c r="EI233" s="134"/>
      <c r="EJ233" s="134"/>
      <c r="EK233" s="134"/>
    </row>
    <row r="234" spans="1:141">
      <c r="A234" s="79" t="s">
        <v>233</v>
      </c>
      <c r="B234" s="117">
        <v>170</v>
      </c>
      <c r="C234" s="123" t="s">
        <v>1991</v>
      </c>
      <c r="D234" s="124" t="s">
        <v>2219</v>
      </c>
      <c r="E234" s="125">
        <v>1997</v>
      </c>
      <c r="F234" s="79">
        <v>9403392</v>
      </c>
      <c r="G234" s="79">
        <v>1</v>
      </c>
      <c r="H234" s="170" t="s">
        <v>1777</v>
      </c>
      <c r="I234" s="127"/>
      <c r="J234" s="164">
        <v>1</v>
      </c>
      <c r="K234" s="79" t="s">
        <v>1746</v>
      </c>
      <c r="L234" s="164">
        <v>0</v>
      </c>
      <c r="M234" s="128">
        <v>1</v>
      </c>
      <c r="N234" s="79" t="s">
        <v>647</v>
      </c>
      <c r="O234" s="79"/>
      <c r="P234" s="79" t="s">
        <v>644</v>
      </c>
      <c r="Q234" s="79"/>
      <c r="R234" s="79"/>
      <c r="S234" s="79"/>
      <c r="T234" s="79"/>
      <c r="U234" s="79" t="s">
        <v>645</v>
      </c>
      <c r="V234" s="79"/>
      <c r="W234" s="79"/>
      <c r="X234" s="79"/>
      <c r="Y234" s="79"/>
      <c r="Z234" s="79" t="s">
        <v>646</v>
      </c>
      <c r="AA234" s="154"/>
      <c r="AB234" s="155"/>
      <c r="AC234" s="121"/>
      <c r="AD234" s="202"/>
      <c r="AE234" s="192"/>
      <c r="AF234" s="203"/>
      <c r="AG234" s="121"/>
      <c r="AH234" s="121"/>
      <c r="AI234" s="121"/>
      <c r="AJ234" s="121"/>
      <c r="AK234" s="121"/>
      <c r="AL234" s="121"/>
      <c r="AM234" s="121"/>
      <c r="AN234" s="121"/>
      <c r="AO234" s="121"/>
      <c r="AP234" s="121"/>
      <c r="AQ234" s="121"/>
      <c r="AR234" s="121"/>
      <c r="AS234" s="121"/>
      <c r="AT234" s="121"/>
      <c r="AU234" s="121"/>
      <c r="AV234" s="156"/>
      <c r="AW234" s="156"/>
      <c r="AX234" s="156"/>
      <c r="AY234" s="156">
        <v>1</v>
      </c>
      <c r="AZ234" s="156"/>
      <c r="BA234" s="156"/>
      <c r="BB234" s="156"/>
      <c r="BC234" s="156"/>
      <c r="BD234" s="157"/>
      <c r="BE234" s="134"/>
      <c r="BF234" s="134"/>
      <c r="BG234" s="134"/>
      <c r="BH234" s="134"/>
      <c r="BI234" s="134"/>
      <c r="BJ234" s="259"/>
      <c r="BK234" s="138"/>
      <c r="BL234" s="134"/>
      <c r="BM234" s="134"/>
      <c r="BN234" s="134"/>
      <c r="BO234" s="138"/>
      <c r="BP234" s="134"/>
      <c r="BQ234" s="134"/>
      <c r="BR234" s="134"/>
      <c r="BS234" s="288"/>
      <c r="BT234" s="289"/>
      <c r="BU234" s="138"/>
      <c r="BV234" s="134"/>
      <c r="BW234" s="134"/>
      <c r="BX234" s="134"/>
      <c r="BY234" s="138"/>
      <c r="BZ234" s="134"/>
      <c r="CA234" s="134"/>
      <c r="CB234" s="134"/>
      <c r="CC234" s="288"/>
      <c r="CD234" s="289"/>
      <c r="CE234" s="276"/>
      <c r="CF234" s="308"/>
      <c r="CG234" s="138"/>
      <c r="CH234" s="134"/>
      <c r="CI234" s="134"/>
      <c r="CJ234" s="134"/>
      <c r="CK234" s="134"/>
      <c r="CL234" s="134"/>
      <c r="CM234" s="134"/>
      <c r="CN234" s="134"/>
      <c r="CO234" s="300"/>
      <c r="CP234" s="301"/>
      <c r="CQ234" s="134"/>
      <c r="CR234" s="134"/>
      <c r="CS234" s="134"/>
      <c r="CT234" s="134"/>
      <c r="CU234" s="134"/>
      <c r="CV234" s="134"/>
      <c r="CW234" s="134"/>
      <c r="CX234" s="134"/>
      <c r="CY234" s="300"/>
      <c r="CZ234" s="301"/>
      <c r="DA234" s="276"/>
      <c r="DB234" s="277"/>
      <c r="DC234" s="134"/>
      <c r="DD234" s="134"/>
      <c r="DE234" s="134"/>
      <c r="DF234" s="134"/>
      <c r="DG234" s="138"/>
      <c r="DH234" s="134"/>
      <c r="DI234" s="134"/>
      <c r="DJ234" s="134"/>
      <c r="DK234" s="301"/>
      <c r="DL234" s="301"/>
      <c r="DM234" s="134"/>
      <c r="DN234" s="134"/>
      <c r="DO234" s="134"/>
      <c r="DP234" s="134"/>
      <c r="DQ234" s="134"/>
      <c r="DR234" s="134"/>
      <c r="DS234" s="134"/>
      <c r="DT234" s="134"/>
      <c r="DU234" s="301"/>
      <c r="DV234" s="301"/>
      <c r="DW234" s="277"/>
      <c r="DX234" s="134"/>
      <c r="DY234" s="134"/>
      <c r="DZ234" s="134"/>
      <c r="EA234" s="134"/>
      <c r="EB234" s="134"/>
      <c r="EC234" s="134"/>
      <c r="ED234" s="134"/>
      <c r="EE234" s="134"/>
      <c r="EF234" s="301"/>
      <c r="EG234" s="301"/>
      <c r="EH234" s="134"/>
      <c r="EI234" s="134"/>
      <c r="EJ234" s="134"/>
      <c r="EK234" s="134"/>
    </row>
    <row r="235" spans="1:141">
      <c r="A235" s="79" t="s">
        <v>235</v>
      </c>
      <c r="B235" s="117">
        <v>171</v>
      </c>
      <c r="C235" s="123" t="s">
        <v>1992</v>
      </c>
      <c r="D235" s="124" t="s">
        <v>2220</v>
      </c>
      <c r="E235" s="125">
        <v>2013</v>
      </c>
      <c r="F235" s="79">
        <v>24015254</v>
      </c>
      <c r="G235" s="79">
        <v>1</v>
      </c>
      <c r="H235" s="126"/>
      <c r="I235" s="127"/>
      <c r="J235" s="79">
        <v>1</v>
      </c>
      <c r="K235" s="79"/>
      <c r="L235" s="79">
        <v>1</v>
      </c>
      <c r="M235" s="128">
        <v>1</v>
      </c>
      <c r="N235" s="79" t="s">
        <v>652</v>
      </c>
      <c r="O235" s="79"/>
      <c r="P235" s="79" t="s">
        <v>591</v>
      </c>
      <c r="Q235" s="79">
        <v>1</v>
      </c>
      <c r="R235" s="79"/>
      <c r="S235" s="79"/>
      <c r="T235" s="79"/>
      <c r="U235" s="79" t="s">
        <v>653</v>
      </c>
      <c r="V235" s="79" t="s">
        <v>24</v>
      </c>
      <c r="W235" s="79"/>
      <c r="X235" s="79"/>
      <c r="Y235" s="79"/>
      <c r="Z235" s="79"/>
      <c r="AA235" s="154"/>
      <c r="AB235" s="155"/>
      <c r="AC235" s="121">
        <v>2</v>
      </c>
      <c r="AD235" s="202"/>
      <c r="AE235" s="192"/>
      <c r="AF235" s="203"/>
      <c r="AG235" s="121"/>
      <c r="AH235" s="121"/>
      <c r="AI235" s="121"/>
      <c r="AJ235" s="121"/>
      <c r="AK235" s="121"/>
      <c r="AL235" s="121"/>
      <c r="AM235" s="121"/>
      <c r="AN235" s="121"/>
      <c r="AO235" s="121"/>
      <c r="AP235" s="121"/>
      <c r="AQ235" s="121"/>
      <c r="AR235" s="121"/>
      <c r="AS235" s="121"/>
      <c r="AT235" s="121"/>
      <c r="AU235" s="121"/>
      <c r="AV235" s="156"/>
      <c r="AW235" s="156"/>
      <c r="AX235" s="156"/>
      <c r="AY235" s="156"/>
      <c r="AZ235" s="156">
        <v>1</v>
      </c>
      <c r="BA235" s="156"/>
      <c r="BB235" s="156"/>
      <c r="BC235" s="156"/>
      <c r="BD235" s="157"/>
      <c r="BE235" s="134"/>
      <c r="BF235" s="134"/>
      <c r="BG235" s="134"/>
      <c r="BH235" s="134"/>
      <c r="BI235" s="134"/>
      <c r="BJ235" s="259"/>
      <c r="BK235" s="138"/>
      <c r="BL235" s="134"/>
      <c r="BM235" s="134"/>
      <c r="BN235" s="134"/>
      <c r="BO235" s="138"/>
      <c r="BP235" s="134"/>
      <c r="BQ235" s="134"/>
      <c r="BR235" s="134"/>
      <c r="BS235" s="288"/>
      <c r="BT235" s="289"/>
      <c r="BU235" s="138"/>
      <c r="BV235" s="134"/>
      <c r="BW235" s="134"/>
      <c r="BX235" s="134"/>
      <c r="BY235" s="138"/>
      <c r="BZ235" s="134"/>
      <c r="CA235" s="134"/>
      <c r="CB235" s="134"/>
      <c r="CC235" s="288"/>
      <c r="CD235" s="289"/>
      <c r="CE235" s="276"/>
      <c r="CF235" s="308"/>
      <c r="CG235" s="138"/>
      <c r="CH235" s="134"/>
      <c r="CI235" s="134"/>
      <c r="CJ235" s="134"/>
      <c r="CK235" s="134"/>
      <c r="CL235" s="134"/>
      <c r="CM235" s="134"/>
      <c r="CN235" s="134"/>
      <c r="CO235" s="300"/>
      <c r="CP235" s="301"/>
      <c r="CQ235" s="134"/>
      <c r="CR235" s="134"/>
      <c r="CS235" s="134"/>
      <c r="CT235" s="134"/>
      <c r="CU235" s="134"/>
      <c r="CV235" s="134"/>
      <c r="CW235" s="134"/>
      <c r="CX235" s="134"/>
      <c r="CY235" s="300"/>
      <c r="CZ235" s="301"/>
      <c r="DA235" s="276"/>
      <c r="DB235" s="277"/>
      <c r="DC235" s="134"/>
      <c r="DD235" s="134"/>
      <c r="DE235" s="134"/>
      <c r="DF235" s="134"/>
      <c r="DG235" s="138"/>
      <c r="DH235" s="134"/>
      <c r="DI235" s="134"/>
      <c r="DJ235" s="134"/>
      <c r="DK235" s="301"/>
      <c r="DL235" s="301"/>
      <c r="DM235" s="134"/>
      <c r="DN235" s="134"/>
      <c r="DO235" s="134"/>
      <c r="DP235" s="134"/>
      <c r="DQ235" s="134"/>
      <c r="DR235" s="134"/>
      <c r="DS235" s="134"/>
      <c r="DT235" s="134"/>
      <c r="DU235" s="301"/>
      <c r="DV235" s="301"/>
      <c r="DW235" s="277"/>
      <c r="DX235" s="134"/>
      <c r="DY235" s="134"/>
      <c r="DZ235" s="134"/>
      <c r="EA235" s="134"/>
      <c r="EB235" s="134"/>
      <c r="EC235" s="134"/>
      <c r="ED235" s="134"/>
      <c r="EE235" s="134"/>
      <c r="EF235" s="301"/>
      <c r="EG235" s="301"/>
      <c r="EH235" s="134"/>
      <c r="EI235" s="134"/>
      <c r="EJ235" s="134"/>
      <c r="EK235" s="134"/>
    </row>
    <row r="236" spans="1:141">
      <c r="A236" s="79" t="s">
        <v>236</v>
      </c>
      <c r="B236" s="117">
        <v>172</v>
      </c>
      <c r="C236" s="123" t="s">
        <v>1992</v>
      </c>
      <c r="D236" s="124" t="s">
        <v>2221</v>
      </c>
      <c r="E236" s="125">
        <v>2016</v>
      </c>
      <c r="F236" s="79">
        <v>27594113</v>
      </c>
      <c r="G236" s="79">
        <v>1</v>
      </c>
      <c r="H236" s="126"/>
      <c r="I236" s="127"/>
      <c r="J236" s="79">
        <v>1</v>
      </c>
      <c r="K236" s="79"/>
      <c r="L236" s="173">
        <v>1</v>
      </c>
      <c r="M236" s="128">
        <v>1</v>
      </c>
      <c r="N236" s="79" t="s">
        <v>651</v>
      </c>
      <c r="O236" s="79"/>
      <c r="P236" s="79" t="s">
        <v>591</v>
      </c>
      <c r="Q236" s="79">
        <v>1</v>
      </c>
      <c r="R236" s="79"/>
      <c r="S236" s="79"/>
      <c r="T236" s="79"/>
      <c r="U236" s="79" t="s">
        <v>650</v>
      </c>
      <c r="V236" s="79"/>
      <c r="W236" s="79"/>
      <c r="X236" s="79"/>
      <c r="Y236" s="79"/>
      <c r="Z236" s="79" t="s">
        <v>649</v>
      </c>
      <c r="AA236" s="154"/>
      <c r="AB236" s="155"/>
      <c r="AC236" s="121">
        <v>2</v>
      </c>
      <c r="AD236" s="202"/>
      <c r="AE236" s="192"/>
      <c r="AF236" s="203"/>
      <c r="AG236" s="121"/>
      <c r="AH236" s="121"/>
      <c r="AI236" s="121"/>
      <c r="AJ236" s="121"/>
      <c r="AK236" s="121"/>
      <c r="AL236" s="121"/>
      <c r="AM236" s="121"/>
      <c r="AN236" s="121"/>
      <c r="AO236" s="121"/>
      <c r="AP236" s="121"/>
      <c r="AQ236" s="121"/>
      <c r="AR236" s="121"/>
      <c r="AS236" s="121"/>
      <c r="AT236" s="121"/>
      <c r="AU236" s="121"/>
      <c r="AV236" s="156"/>
      <c r="AW236" s="156"/>
      <c r="AX236" s="156"/>
      <c r="AY236" s="156"/>
      <c r="AZ236" s="156"/>
      <c r="BA236" s="156"/>
      <c r="BB236" s="156"/>
      <c r="BC236" s="156"/>
      <c r="BD236" s="157"/>
      <c r="BE236" s="134"/>
      <c r="BF236" s="134"/>
      <c r="BG236" s="134"/>
      <c r="BH236" s="134"/>
      <c r="BI236" s="134"/>
      <c r="BJ236" s="259"/>
      <c r="BK236" s="138"/>
      <c r="BL236" s="134"/>
      <c r="BM236" s="134"/>
      <c r="BN236" s="134"/>
      <c r="BO236" s="138"/>
      <c r="BP236" s="134"/>
      <c r="BQ236" s="134"/>
      <c r="BR236" s="134"/>
      <c r="BS236" s="288"/>
      <c r="BT236" s="289"/>
      <c r="BU236" s="138"/>
      <c r="BV236" s="134"/>
      <c r="BW236" s="134"/>
      <c r="BX236" s="134"/>
      <c r="BY236" s="138"/>
      <c r="BZ236" s="134"/>
      <c r="CA236" s="134"/>
      <c r="CB236" s="134"/>
      <c r="CC236" s="288"/>
      <c r="CD236" s="289"/>
      <c r="CE236" s="276"/>
      <c r="CF236" s="308"/>
      <c r="CG236" s="138"/>
      <c r="CH236" s="134"/>
      <c r="CI236" s="134"/>
      <c r="CJ236" s="134"/>
      <c r="CK236" s="134"/>
      <c r="CL236" s="134"/>
      <c r="CM236" s="134"/>
      <c r="CN236" s="134"/>
      <c r="CO236" s="300"/>
      <c r="CP236" s="301"/>
      <c r="CQ236" s="134"/>
      <c r="CR236" s="134"/>
      <c r="CS236" s="134"/>
      <c r="CT236" s="134"/>
      <c r="CU236" s="134"/>
      <c r="CV236" s="134"/>
      <c r="CW236" s="134"/>
      <c r="CX236" s="134"/>
      <c r="CY236" s="300"/>
      <c r="CZ236" s="301"/>
      <c r="DA236" s="276"/>
      <c r="DB236" s="277"/>
      <c r="DC236" s="134"/>
      <c r="DD236" s="134"/>
      <c r="DE236" s="134"/>
      <c r="DF236" s="134"/>
      <c r="DG236" s="138"/>
      <c r="DH236" s="134"/>
      <c r="DI236" s="134"/>
      <c r="DJ236" s="134"/>
      <c r="DK236" s="301"/>
      <c r="DL236" s="301"/>
      <c r="DM236" s="134"/>
      <c r="DN236" s="134"/>
      <c r="DO236" s="134"/>
      <c r="DP236" s="134"/>
      <c r="DQ236" s="134"/>
      <c r="DR236" s="134"/>
      <c r="DS236" s="134"/>
      <c r="DT236" s="134"/>
      <c r="DU236" s="301"/>
      <c r="DV236" s="301"/>
      <c r="DW236" s="277"/>
      <c r="DX236" s="134"/>
      <c r="DY236" s="134"/>
      <c r="DZ236" s="134"/>
      <c r="EA236" s="134"/>
      <c r="EB236" s="134"/>
      <c r="EC236" s="134"/>
      <c r="ED236" s="134"/>
      <c r="EE236" s="134"/>
      <c r="EF236" s="301"/>
      <c r="EG236" s="301"/>
      <c r="EH236" s="134"/>
      <c r="EI236" s="134"/>
      <c r="EJ236" s="134"/>
      <c r="EK236" s="134"/>
    </row>
    <row r="237" spans="1:141">
      <c r="A237" s="79" t="s">
        <v>237</v>
      </c>
      <c r="B237" s="117">
        <v>173</v>
      </c>
      <c r="C237" s="123" t="s">
        <v>1993</v>
      </c>
      <c r="D237" s="124" t="s">
        <v>2222</v>
      </c>
      <c r="E237" s="125">
        <v>2010</v>
      </c>
      <c r="F237" s="79">
        <v>20144193</v>
      </c>
      <c r="G237" s="79">
        <v>1</v>
      </c>
      <c r="H237" s="126"/>
      <c r="I237" s="127"/>
      <c r="J237" s="79">
        <v>1</v>
      </c>
      <c r="K237" s="79"/>
      <c r="L237" s="164">
        <v>1</v>
      </c>
      <c r="M237" s="128">
        <v>1</v>
      </c>
      <c r="N237" s="79" t="s">
        <v>23</v>
      </c>
      <c r="O237" s="79"/>
      <c r="P237" s="79" t="s">
        <v>523</v>
      </c>
      <c r="Q237" s="79">
        <v>0</v>
      </c>
      <c r="R237" s="79"/>
      <c r="S237" s="79"/>
      <c r="T237" s="79"/>
      <c r="U237" s="79" t="s">
        <v>654</v>
      </c>
      <c r="V237" s="79" t="s">
        <v>24</v>
      </c>
      <c r="W237" s="79"/>
      <c r="X237" s="79"/>
      <c r="Y237" s="79"/>
      <c r="Z237" s="79" t="s">
        <v>655</v>
      </c>
      <c r="AA237" s="154"/>
      <c r="AB237" s="155"/>
      <c r="AC237" s="121"/>
      <c r="AD237" s="202"/>
      <c r="AE237" s="192"/>
      <c r="AF237" s="203"/>
      <c r="AG237" s="121"/>
      <c r="AH237" s="121"/>
      <c r="AI237" s="121"/>
      <c r="AJ237" s="121"/>
      <c r="AK237" s="121"/>
      <c r="AL237" s="121"/>
      <c r="AM237" s="121"/>
      <c r="AN237" s="121"/>
      <c r="AO237" s="121"/>
      <c r="AP237" s="121"/>
      <c r="AQ237" s="121"/>
      <c r="AR237" s="121"/>
      <c r="AS237" s="121"/>
      <c r="AT237" s="121"/>
      <c r="AU237" s="121"/>
      <c r="AV237" s="156"/>
      <c r="AW237" s="156"/>
      <c r="AX237" s="156"/>
      <c r="AY237" s="156"/>
      <c r="AZ237" s="156">
        <v>1</v>
      </c>
      <c r="BA237" s="156"/>
      <c r="BB237" s="156"/>
      <c r="BC237" s="156"/>
      <c r="BD237" s="157"/>
      <c r="BE237" s="134"/>
      <c r="BF237" s="134"/>
      <c r="BG237" s="134"/>
      <c r="BH237" s="134"/>
      <c r="BI237" s="134"/>
      <c r="BJ237" s="259"/>
      <c r="BK237" s="138"/>
      <c r="BL237" s="134"/>
      <c r="BM237" s="134"/>
      <c r="BN237" s="134"/>
      <c r="BO237" s="138"/>
      <c r="BP237" s="134"/>
      <c r="BQ237" s="134"/>
      <c r="BR237" s="134"/>
      <c r="BS237" s="288"/>
      <c r="BT237" s="289"/>
      <c r="BU237" s="138"/>
      <c r="BV237" s="134"/>
      <c r="BW237" s="134"/>
      <c r="BX237" s="134"/>
      <c r="BY237" s="138"/>
      <c r="BZ237" s="134"/>
      <c r="CA237" s="134"/>
      <c r="CB237" s="134"/>
      <c r="CC237" s="288"/>
      <c r="CD237" s="289"/>
      <c r="CE237" s="276"/>
      <c r="CF237" s="308"/>
      <c r="CG237" s="138"/>
      <c r="CH237" s="134"/>
      <c r="CI237" s="134"/>
      <c r="CJ237" s="134"/>
      <c r="CK237" s="134"/>
      <c r="CL237" s="134"/>
      <c r="CM237" s="134"/>
      <c r="CN237" s="134"/>
      <c r="CO237" s="300"/>
      <c r="CP237" s="301"/>
      <c r="CQ237" s="134"/>
      <c r="CR237" s="134"/>
      <c r="CS237" s="134"/>
      <c r="CT237" s="134"/>
      <c r="CU237" s="134"/>
      <c r="CV237" s="134"/>
      <c r="CW237" s="134"/>
      <c r="CX237" s="134"/>
      <c r="CY237" s="300"/>
      <c r="CZ237" s="301"/>
      <c r="DA237" s="276"/>
      <c r="DB237" s="277"/>
      <c r="DC237" s="134"/>
      <c r="DD237" s="134"/>
      <c r="DE237" s="134"/>
      <c r="DF237" s="134"/>
      <c r="DG237" s="138"/>
      <c r="DH237" s="134"/>
      <c r="DI237" s="134"/>
      <c r="DJ237" s="134"/>
      <c r="DK237" s="301"/>
      <c r="DL237" s="301"/>
      <c r="DM237" s="134"/>
      <c r="DN237" s="134"/>
      <c r="DO237" s="134"/>
      <c r="DP237" s="134"/>
      <c r="DQ237" s="134"/>
      <c r="DR237" s="134"/>
      <c r="DS237" s="134"/>
      <c r="DT237" s="134"/>
      <c r="DU237" s="301"/>
      <c r="DV237" s="301"/>
      <c r="DW237" s="277"/>
      <c r="DX237" s="134"/>
      <c r="DY237" s="134"/>
      <c r="DZ237" s="134"/>
      <c r="EA237" s="134"/>
      <c r="EB237" s="134"/>
      <c r="EC237" s="134"/>
      <c r="ED237" s="134"/>
      <c r="EE237" s="134"/>
      <c r="EF237" s="301"/>
      <c r="EG237" s="301"/>
      <c r="EH237" s="134"/>
      <c r="EI237" s="134"/>
      <c r="EJ237" s="134"/>
      <c r="EK237" s="134"/>
    </row>
    <row r="238" spans="1:141">
      <c r="A238" s="79" t="s">
        <v>238</v>
      </c>
      <c r="B238" s="117">
        <v>174</v>
      </c>
      <c r="C238" s="123" t="s">
        <v>1993</v>
      </c>
      <c r="D238" s="124" t="s">
        <v>2223</v>
      </c>
      <c r="E238" s="125">
        <v>2009</v>
      </c>
      <c r="F238" s="79">
        <v>19756511</v>
      </c>
      <c r="G238" s="79">
        <v>1</v>
      </c>
      <c r="H238" s="126"/>
      <c r="I238" s="127"/>
      <c r="J238" s="79">
        <v>1</v>
      </c>
      <c r="K238" s="79"/>
      <c r="L238" s="164">
        <v>1</v>
      </c>
      <c r="M238" s="128">
        <v>1</v>
      </c>
      <c r="N238" s="79" t="s">
        <v>23</v>
      </c>
      <c r="O238" s="79"/>
      <c r="P238" s="79" t="s">
        <v>523</v>
      </c>
      <c r="Q238" s="79">
        <v>0</v>
      </c>
      <c r="R238" s="79"/>
      <c r="S238" s="79"/>
      <c r="T238" s="79"/>
      <c r="U238" s="79" t="s">
        <v>654</v>
      </c>
      <c r="V238" s="79" t="s">
        <v>24</v>
      </c>
      <c r="W238" s="79"/>
      <c r="X238" s="79"/>
      <c r="Y238" s="79"/>
      <c r="Z238" s="79" t="s">
        <v>656</v>
      </c>
      <c r="AA238" s="154"/>
      <c r="AB238" s="155"/>
      <c r="AC238" s="121"/>
      <c r="AD238" s="202"/>
      <c r="AE238" s="192"/>
      <c r="AF238" s="203"/>
      <c r="AG238" s="121"/>
      <c r="AH238" s="121"/>
      <c r="AI238" s="121"/>
      <c r="AJ238" s="121"/>
      <c r="AK238" s="121"/>
      <c r="AL238" s="121"/>
      <c r="AM238" s="121"/>
      <c r="AN238" s="121"/>
      <c r="AO238" s="121"/>
      <c r="AP238" s="121"/>
      <c r="AQ238" s="121"/>
      <c r="AR238" s="121"/>
      <c r="AS238" s="121"/>
      <c r="AT238" s="121"/>
      <c r="AU238" s="121"/>
      <c r="AV238" s="156"/>
      <c r="AW238" s="156"/>
      <c r="AX238" s="156"/>
      <c r="AY238" s="156"/>
      <c r="AZ238" s="156">
        <v>1</v>
      </c>
      <c r="BA238" s="156"/>
      <c r="BB238" s="156"/>
      <c r="BC238" s="156"/>
      <c r="BD238" s="157"/>
      <c r="BE238" s="134"/>
      <c r="BF238" s="134"/>
      <c r="BG238" s="134"/>
      <c r="BH238" s="134"/>
      <c r="BI238" s="134"/>
      <c r="BJ238" s="259"/>
      <c r="BK238" s="138"/>
      <c r="BL238" s="134"/>
      <c r="BM238" s="134"/>
      <c r="BN238" s="134"/>
      <c r="BO238" s="138"/>
      <c r="BP238" s="134"/>
      <c r="BQ238" s="134"/>
      <c r="BR238" s="134"/>
      <c r="BS238" s="288"/>
      <c r="BT238" s="289"/>
      <c r="BU238" s="138"/>
      <c r="BV238" s="134"/>
      <c r="BW238" s="134"/>
      <c r="BX238" s="134"/>
      <c r="BY238" s="138"/>
      <c r="BZ238" s="134"/>
      <c r="CA238" s="134"/>
      <c r="CB238" s="134"/>
      <c r="CC238" s="288"/>
      <c r="CD238" s="289"/>
      <c r="CE238" s="276"/>
      <c r="CF238" s="308"/>
      <c r="CG238" s="138"/>
      <c r="CH238" s="134"/>
      <c r="CI238" s="134"/>
      <c r="CJ238" s="134"/>
      <c r="CK238" s="134"/>
      <c r="CL238" s="134"/>
      <c r="CM238" s="134"/>
      <c r="CN238" s="134"/>
      <c r="CO238" s="300"/>
      <c r="CP238" s="301"/>
      <c r="CQ238" s="134"/>
      <c r="CR238" s="134"/>
      <c r="CS238" s="134"/>
      <c r="CT238" s="134"/>
      <c r="CU238" s="134"/>
      <c r="CV238" s="134"/>
      <c r="CW238" s="134"/>
      <c r="CX238" s="134"/>
      <c r="CY238" s="300"/>
      <c r="CZ238" s="301"/>
      <c r="DA238" s="276"/>
      <c r="DB238" s="277"/>
      <c r="DC238" s="134"/>
      <c r="DD238" s="134"/>
      <c r="DE238" s="134"/>
      <c r="DF238" s="134"/>
      <c r="DG238" s="138"/>
      <c r="DH238" s="134"/>
      <c r="DI238" s="134"/>
      <c r="DJ238" s="134"/>
      <c r="DK238" s="301"/>
      <c r="DL238" s="301"/>
      <c r="DM238" s="134"/>
      <c r="DN238" s="134"/>
      <c r="DO238" s="134"/>
      <c r="DP238" s="134"/>
      <c r="DQ238" s="134"/>
      <c r="DR238" s="134"/>
      <c r="DS238" s="134"/>
      <c r="DT238" s="134"/>
      <c r="DU238" s="301"/>
      <c r="DV238" s="301"/>
      <c r="DW238" s="277"/>
      <c r="DX238" s="134"/>
      <c r="DY238" s="134"/>
      <c r="DZ238" s="134"/>
      <c r="EA238" s="134"/>
      <c r="EB238" s="134"/>
      <c r="EC238" s="134"/>
      <c r="ED238" s="134"/>
      <c r="EE238" s="134"/>
      <c r="EF238" s="301"/>
      <c r="EG238" s="301"/>
      <c r="EH238" s="134"/>
      <c r="EI238" s="134"/>
      <c r="EJ238" s="134"/>
      <c r="EK238" s="134"/>
    </row>
    <row r="239" spans="1:141">
      <c r="A239" s="79" t="s">
        <v>240</v>
      </c>
      <c r="B239" s="117">
        <v>175</v>
      </c>
      <c r="C239" s="123" t="s">
        <v>1994</v>
      </c>
      <c r="D239" s="124" t="s">
        <v>2224</v>
      </c>
      <c r="E239" s="125">
        <v>2014</v>
      </c>
      <c r="F239" s="79">
        <v>25180439</v>
      </c>
      <c r="G239" s="79">
        <v>1</v>
      </c>
      <c r="H239" s="126" t="s">
        <v>1778</v>
      </c>
      <c r="I239" s="127" t="s">
        <v>1761</v>
      </c>
      <c r="J239" s="164">
        <v>1</v>
      </c>
      <c r="K239" s="79" t="s">
        <v>1744</v>
      </c>
      <c r="L239" s="164">
        <v>0</v>
      </c>
      <c r="M239" s="128">
        <v>1</v>
      </c>
      <c r="N239" s="79"/>
      <c r="O239" s="79" t="s">
        <v>1167</v>
      </c>
      <c r="P239" s="79" t="s">
        <v>659</v>
      </c>
      <c r="Q239" s="79">
        <v>1</v>
      </c>
      <c r="R239" s="79"/>
      <c r="S239" s="79"/>
      <c r="T239" s="79"/>
      <c r="U239" s="79" t="s">
        <v>658</v>
      </c>
      <c r="V239" s="79" t="s">
        <v>24</v>
      </c>
      <c r="W239" s="79"/>
      <c r="X239" s="79"/>
      <c r="Y239" s="79"/>
      <c r="Z239" s="79" t="s">
        <v>660</v>
      </c>
      <c r="AA239" s="154"/>
      <c r="AB239" s="155"/>
      <c r="AC239" s="121">
        <v>2</v>
      </c>
      <c r="AD239" s="202"/>
      <c r="AE239" s="192"/>
      <c r="AF239" s="203"/>
      <c r="AG239" s="121"/>
      <c r="AH239" s="121"/>
      <c r="AI239" s="121"/>
      <c r="AJ239" s="121"/>
      <c r="AK239" s="121"/>
      <c r="AL239" s="121"/>
      <c r="AM239" s="121"/>
      <c r="AN239" s="121"/>
      <c r="AO239" s="121"/>
      <c r="AP239" s="121"/>
      <c r="AQ239" s="121"/>
      <c r="AR239" s="121"/>
      <c r="AS239" s="121"/>
      <c r="AT239" s="121"/>
      <c r="AU239" s="121"/>
      <c r="AV239" s="156"/>
      <c r="AW239" s="156"/>
      <c r="AX239" s="156">
        <v>1</v>
      </c>
      <c r="AY239" s="156"/>
      <c r="AZ239" s="156"/>
      <c r="BA239" s="156">
        <v>1</v>
      </c>
      <c r="BB239" s="156"/>
      <c r="BC239" s="156"/>
      <c r="BD239" s="157"/>
      <c r="BE239" s="134"/>
      <c r="BF239" s="134"/>
      <c r="BG239" s="134"/>
      <c r="BH239" s="134"/>
      <c r="BI239" s="134"/>
      <c r="BJ239" s="259"/>
      <c r="BK239" s="138"/>
      <c r="BL239" s="134"/>
      <c r="BM239" s="134"/>
      <c r="BN239" s="134"/>
      <c r="BO239" s="138"/>
      <c r="BP239" s="134"/>
      <c r="BQ239" s="134"/>
      <c r="BR239" s="134"/>
      <c r="BS239" s="288"/>
      <c r="BT239" s="289"/>
      <c r="BU239" s="138"/>
      <c r="BV239" s="134"/>
      <c r="BW239" s="134"/>
      <c r="BX239" s="134"/>
      <c r="BY239" s="138"/>
      <c r="BZ239" s="134"/>
      <c r="CA239" s="134"/>
      <c r="CB239" s="134"/>
      <c r="CC239" s="288"/>
      <c r="CD239" s="289"/>
      <c r="CE239" s="276"/>
      <c r="CF239" s="308"/>
      <c r="CG239" s="138"/>
      <c r="CH239" s="134"/>
      <c r="CI239" s="134"/>
      <c r="CJ239" s="134"/>
      <c r="CK239" s="134"/>
      <c r="CL239" s="134"/>
      <c r="CM239" s="134"/>
      <c r="CN239" s="134"/>
      <c r="CO239" s="300"/>
      <c r="CP239" s="301"/>
      <c r="CQ239" s="134"/>
      <c r="CR239" s="134"/>
      <c r="CS239" s="134"/>
      <c r="CT239" s="134"/>
      <c r="CU239" s="134"/>
      <c r="CV239" s="134"/>
      <c r="CW239" s="134"/>
      <c r="CX239" s="134"/>
      <c r="CY239" s="300"/>
      <c r="CZ239" s="301"/>
      <c r="DA239" s="276"/>
      <c r="DB239" s="277"/>
      <c r="DC239" s="134"/>
      <c r="DD239" s="134"/>
      <c r="DE239" s="134"/>
      <c r="DF239" s="134"/>
      <c r="DG239" s="138"/>
      <c r="DH239" s="134"/>
      <c r="DI239" s="134"/>
      <c r="DJ239" s="134"/>
      <c r="DK239" s="301"/>
      <c r="DL239" s="301"/>
      <c r="DM239" s="134"/>
      <c r="DN239" s="134"/>
      <c r="DO239" s="134"/>
      <c r="DP239" s="134"/>
      <c r="DQ239" s="134"/>
      <c r="DR239" s="134"/>
      <c r="DS239" s="134"/>
      <c r="DT239" s="134"/>
      <c r="DU239" s="301"/>
      <c r="DV239" s="301"/>
      <c r="DW239" s="277"/>
      <c r="DX239" s="134"/>
      <c r="DY239" s="134"/>
      <c r="DZ239" s="134"/>
      <c r="EA239" s="134"/>
      <c r="EB239" s="134"/>
      <c r="EC239" s="134"/>
      <c r="ED239" s="134"/>
      <c r="EE239" s="134"/>
      <c r="EF239" s="301"/>
      <c r="EG239" s="301"/>
      <c r="EH239" s="134"/>
      <c r="EI239" s="134"/>
      <c r="EJ239" s="134"/>
      <c r="EK239" s="134"/>
    </row>
    <row r="240" spans="1:141">
      <c r="A240" s="79" t="s">
        <v>241</v>
      </c>
      <c r="B240" s="117">
        <v>176</v>
      </c>
      <c r="C240" s="123" t="s">
        <v>1995</v>
      </c>
      <c r="D240" s="124" t="s">
        <v>2225</v>
      </c>
      <c r="E240" s="125">
        <v>2012</v>
      </c>
      <c r="F240" s="79">
        <v>22687547</v>
      </c>
      <c r="G240" s="79">
        <v>1</v>
      </c>
      <c r="H240" s="126" t="s">
        <v>1779</v>
      </c>
      <c r="I240" s="127" t="s">
        <v>1745</v>
      </c>
      <c r="J240" s="164">
        <v>1</v>
      </c>
      <c r="K240" s="79" t="s">
        <v>1745</v>
      </c>
      <c r="L240" s="164">
        <v>0</v>
      </c>
      <c r="M240" s="128">
        <v>1</v>
      </c>
      <c r="N240" s="79" t="s">
        <v>661</v>
      </c>
      <c r="O240" s="79"/>
      <c r="P240" s="79" t="s">
        <v>659</v>
      </c>
      <c r="Q240" s="79">
        <v>1</v>
      </c>
      <c r="R240" s="79"/>
      <c r="S240" s="79"/>
      <c r="T240" s="79"/>
      <c r="U240" s="79" t="s">
        <v>492</v>
      </c>
      <c r="V240" s="79" t="s">
        <v>24</v>
      </c>
      <c r="W240" s="79" t="s">
        <v>24</v>
      </c>
      <c r="X240" s="79"/>
      <c r="Y240" s="79"/>
      <c r="Z240" s="79" t="s">
        <v>660</v>
      </c>
      <c r="AA240" s="154"/>
      <c r="AB240" s="155"/>
      <c r="AC240" s="121">
        <v>2</v>
      </c>
      <c r="AD240" s="202"/>
      <c r="AE240" s="192"/>
      <c r="AF240" s="203"/>
      <c r="AG240" s="121"/>
      <c r="AH240" s="121"/>
      <c r="AI240" s="121"/>
      <c r="AJ240" s="121"/>
      <c r="AK240" s="121"/>
      <c r="AL240" s="121"/>
      <c r="AM240" s="121"/>
      <c r="AN240" s="121"/>
      <c r="AO240" s="121"/>
      <c r="AP240" s="121"/>
      <c r="AQ240" s="121"/>
      <c r="AR240" s="121"/>
      <c r="AS240" s="121"/>
      <c r="AT240" s="121"/>
      <c r="AU240" s="121"/>
      <c r="AV240" s="156"/>
      <c r="AW240" s="156"/>
      <c r="AX240" s="156"/>
      <c r="AY240" s="156"/>
      <c r="AZ240" s="156">
        <v>1</v>
      </c>
      <c r="BA240" s="156"/>
      <c r="BB240" s="156"/>
      <c r="BC240" s="156"/>
      <c r="BD240" s="157"/>
      <c r="BE240" s="134"/>
      <c r="BF240" s="134"/>
      <c r="BG240" s="134"/>
      <c r="BH240" s="134"/>
      <c r="BI240" s="134"/>
      <c r="BJ240" s="259"/>
      <c r="BK240" s="138"/>
      <c r="BL240" s="134"/>
      <c r="BM240" s="134"/>
      <c r="BN240" s="134"/>
      <c r="BO240" s="138"/>
      <c r="BP240" s="134"/>
      <c r="BQ240" s="134"/>
      <c r="BR240" s="134"/>
      <c r="BS240" s="288"/>
      <c r="BT240" s="289"/>
      <c r="BU240" s="138"/>
      <c r="BV240" s="134"/>
      <c r="BW240" s="134"/>
      <c r="BX240" s="134"/>
      <c r="BY240" s="138"/>
      <c r="BZ240" s="134"/>
      <c r="CA240" s="134"/>
      <c r="CB240" s="134"/>
      <c r="CC240" s="288"/>
      <c r="CD240" s="289"/>
      <c r="CE240" s="276"/>
      <c r="CF240" s="308"/>
      <c r="CG240" s="138"/>
      <c r="CH240" s="134"/>
      <c r="CI240" s="134"/>
      <c r="CJ240" s="134"/>
      <c r="CK240" s="134"/>
      <c r="CL240" s="134"/>
      <c r="CM240" s="134"/>
      <c r="CN240" s="134"/>
      <c r="CO240" s="300"/>
      <c r="CP240" s="301"/>
      <c r="CQ240" s="134"/>
      <c r="CR240" s="134"/>
      <c r="CS240" s="134"/>
      <c r="CT240" s="134"/>
      <c r="CU240" s="134"/>
      <c r="CV240" s="134"/>
      <c r="CW240" s="134"/>
      <c r="CX240" s="134"/>
      <c r="CY240" s="300"/>
      <c r="CZ240" s="301"/>
      <c r="DA240" s="276"/>
      <c r="DB240" s="277"/>
      <c r="DC240" s="134"/>
      <c r="DD240" s="134"/>
      <c r="DE240" s="134"/>
      <c r="DF240" s="134"/>
      <c r="DG240" s="138"/>
      <c r="DH240" s="134"/>
      <c r="DI240" s="134"/>
      <c r="DJ240" s="134"/>
      <c r="DK240" s="301"/>
      <c r="DL240" s="301"/>
      <c r="DM240" s="134"/>
      <c r="DN240" s="134"/>
      <c r="DO240" s="134"/>
      <c r="DP240" s="134"/>
      <c r="DQ240" s="134"/>
      <c r="DR240" s="134"/>
      <c r="DS240" s="134"/>
      <c r="DT240" s="134"/>
      <c r="DU240" s="301"/>
      <c r="DV240" s="301"/>
      <c r="DW240" s="277"/>
      <c r="DX240" s="134"/>
      <c r="DY240" s="134"/>
      <c r="DZ240" s="134"/>
      <c r="EA240" s="134"/>
      <c r="EB240" s="134"/>
      <c r="EC240" s="134"/>
      <c r="ED240" s="134"/>
      <c r="EE240" s="134"/>
      <c r="EF240" s="301"/>
      <c r="EG240" s="301"/>
      <c r="EH240" s="134"/>
      <c r="EI240" s="134"/>
      <c r="EJ240" s="134"/>
      <c r="EK240" s="134"/>
    </row>
    <row r="241" spans="1:141">
      <c r="A241" s="79" t="s">
        <v>242</v>
      </c>
      <c r="B241" s="117">
        <v>177</v>
      </c>
      <c r="C241" s="123" t="s">
        <v>1996</v>
      </c>
      <c r="D241" s="124" t="s">
        <v>2226</v>
      </c>
      <c r="E241" s="125">
        <v>2015</v>
      </c>
      <c r="F241" s="79">
        <v>26110112</v>
      </c>
      <c r="G241" s="79">
        <v>1</v>
      </c>
      <c r="H241" s="126"/>
      <c r="I241" s="127" t="s">
        <v>1745</v>
      </c>
      <c r="J241" s="164">
        <v>1</v>
      </c>
      <c r="K241" s="79" t="s">
        <v>1745</v>
      </c>
      <c r="L241" s="79">
        <v>0</v>
      </c>
      <c r="M241" s="128">
        <v>1</v>
      </c>
      <c r="N241" s="79"/>
      <c r="O241" s="79" t="s">
        <v>1158</v>
      </c>
      <c r="P241" s="79" t="s">
        <v>659</v>
      </c>
      <c r="Q241" s="79">
        <v>1</v>
      </c>
      <c r="R241" s="79"/>
      <c r="S241" s="79"/>
      <c r="T241" s="79"/>
      <c r="U241" s="79"/>
      <c r="V241" s="79" t="s">
        <v>56</v>
      </c>
      <c r="W241" s="79"/>
      <c r="X241" s="79"/>
      <c r="Y241" s="79"/>
      <c r="Z241" s="79" t="s">
        <v>516</v>
      </c>
      <c r="AA241" s="154"/>
      <c r="AB241" s="155"/>
      <c r="AC241" s="121">
        <v>2</v>
      </c>
      <c r="AD241" s="202"/>
      <c r="AE241" s="192"/>
      <c r="AF241" s="203"/>
      <c r="AG241" s="121"/>
      <c r="AH241" s="121"/>
      <c r="AI241" s="121"/>
      <c r="AJ241" s="121"/>
      <c r="AK241" s="121"/>
      <c r="AL241" s="121"/>
      <c r="AM241" s="121"/>
      <c r="AN241" s="121"/>
      <c r="AO241" s="121"/>
      <c r="AP241" s="121"/>
      <c r="AQ241" s="121"/>
      <c r="AR241" s="121"/>
      <c r="AS241" s="121"/>
      <c r="AT241" s="121"/>
      <c r="AU241" s="121"/>
      <c r="AV241" s="156"/>
      <c r="AW241" s="156"/>
      <c r="AX241" s="156"/>
      <c r="AY241" s="156"/>
      <c r="AZ241" s="156"/>
      <c r="BA241" s="156">
        <v>1</v>
      </c>
      <c r="BB241" s="156"/>
      <c r="BC241" s="156"/>
      <c r="BD241" s="157"/>
      <c r="BE241" s="134"/>
      <c r="BF241" s="134"/>
      <c r="BG241" s="134"/>
      <c r="BH241" s="134"/>
      <c r="BI241" s="134"/>
      <c r="BJ241" s="259"/>
      <c r="BK241" s="138"/>
      <c r="BL241" s="134"/>
      <c r="BM241" s="134"/>
      <c r="BN241" s="134"/>
      <c r="BO241" s="138"/>
      <c r="BP241" s="134"/>
      <c r="BQ241" s="134"/>
      <c r="BR241" s="134"/>
      <c r="BS241" s="288"/>
      <c r="BT241" s="289"/>
      <c r="BU241" s="138"/>
      <c r="BV241" s="134"/>
      <c r="BW241" s="134"/>
      <c r="BX241" s="134"/>
      <c r="BY241" s="138"/>
      <c r="BZ241" s="134"/>
      <c r="CA241" s="134"/>
      <c r="CB241" s="134"/>
      <c r="CC241" s="288"/>
      <c r="CD241" s="289"/>
      <c r="CE241" s="276"/>
      <c r="CF241" s="308"/>
      <c r="CG241" s="138"/>
      <c r="CH241" s="134"/>
      <c r="CI241" s="134"/>
      <c r="CJ241" s="134"/>
      <c r="CK241" s="134"/>
      <c r="CL241" s="134"/>
      <c r="CM241" s="134"/>
      <c r="CN241" s="134"/>
      <c r="CO241" s="300"/>
      <c r="CP241" s="301"/>
      <c r="CQ241" s="134"/>
      <c r="CR241" s="134"/>
      <c r="CS241" s="134"/>
      <c r="CT241" s="134"/>
      <c r="CU241" s="134"/>
      <c r="CV241" s="134"/>
      <c r="CW241" s="134"/>
      <c r="CX241" s="134"/>
      <c r="CY241" s="300"/>
      <c r="CZ241" s="301"/>
      <c r="DA241" s="276"/>
      <c r="DB241" s="277"/>
      <c r="DC241" s="134"/>
      <c r="DD241" s="134"/>
      <c r="DE241" s="134"/>
      <c r="DF241" s="134"/>
      <c r="DG241" s="138"/>
      <c r="DH241" s="134"/>
      <c r="DI241" s="134"/>
      <c r="DJ241" s="134"/>
      <c r="DK241" s="301"/>
      <c r="DL241" s="301"/>
      <c r="DM241" s="134"/>
      <c r="DN241" s="134"/>
      <c r="DO241" s="134"/>
      <c r="DP241" s="134"/>
      <c r="DQ241" s="134"/>
      <c r="DR241" s="134"/>
      <c r="DS241" s="134"/>
      <c r="DT241" s="134"/>
      <c r="DU241" s="301"/>
      <c r="DV241" s="301"/>
      <c r="DW241" s="277"/>
      <c r="DX241" s="134"/>
      <c r="DY241" s="134"/>
      <c r="DZ241" s="134"/>
      <c r="EA241" s="134"/>
      <c r="EB241" s="134"/>
      <c r="EC241" s="134"/>
      <c r="ED241" s="134"/>
      <c r="EE241" s="134"/>
      <c r="EF241" s="301"/>
      <c r="EG241" s="301"/>
      <c r="EH241" s="134"/>
      <c r="EI241" s="134"/>
      <c r="EJ241" s="134"/>
      <c r="EK241" s="134"/>
    </row>
    <row r="242" spans="1:141">
      <c r="A242" s="79" t="s">
        <v>243</v>
      </c>
      <c r="B242" s="117">
        <v>178</v>
      </c>
      <c r="C242" s="123" t="s">
        <v>1997</v>
      </c>
      <c r="D242" s="124" t="s">
        <v>2227</v>
      </c>
      <c r="E242" s="125">
        <v>2004</v>
      </c>
      <c r="F242" s="79">
        <v>15027792</v>
      </c>
      <c r="G242" s="79">
        <v>1</v>
      </c>
      <c r="H242" s="126"/>
      <c r="I242" s="127"/>
      <c r="J242" s="79">
        <v>1</v>
      </c>
      <c r="K242" s="79"/>
      <c r="L242" s="79">
        <v>1</v>
      </c>
      <c r="M242" s="128">
        <v>1</v>
      </c>
      <c r="N242" s="79" t="s">
        <v>662</v>
      </c>
      <c r="O242" s="79" t="s">
        <v>1172</v>
      </c>
      <c r="P242" s="79" t="s">
        <v>1174</v>
      </c>
      <c r="Q242" s="79">
        <v>1</v>
      </c>
      <c r="R242" s="79"/>
      <c r="S242" s="79"/>
      <c r="T242" s="79"/>
      <c r="U242" s="79" t="s">
        <v>665</v>
      </c>
      <c r="V242" s="79" t="s">
        <v>663</v>
      </c>
      <c r="W242" s="79"/>
      <c r="X242" s="79" t="s">
        <v>664</v>
      </c>
      <c r="Y242" s="79"/>
      <c r="Z242" s="79"/>
      <c r="AA242" s="154"/>
      <c r="AB242" s="155"/>
      <c r="AC242" s="121">
        <v>2</v>
      </c>
      <c r="AD242" s="202"/>
      <c r="AE242" s="192"/>
      <c r="AF242" s="203"/>
      <c r="AG242" s="121"/>
      <c r="AH242" s="121"/>
      <c r="AI242" s="121"/>
      <c r="AJ242" s="121"/>
      <c r="AK242" s="121"/>
      <c r="AL242" s="121"/>
      <c r="AM242" s="121"/>
      <c r="AN242" s="121"/>
      <c r="AO242" s="121"/>
      <c r="AP242" s="121"/>
      <c r="AQ242" s="121"/>
      <c r="AR242" s="121"/>
      <c r="AS242" s="121"/>
      <c r="AT242" s="121"/>
      <c r="AU242" s="121"/>
      <c r="AV242" s="156"/>
      <c r="AW242" s="156"/>
      <c r="AX242" s="156">
        <v>1</v>
      </c>
      <c r="AY242" s="156"/>
      <c r="AZ242" s="156">
        <v>1</v>
      </c>
      <c r="BA242" s="156"/>
      <c r="BB242" s="156"/>
      <c r="BC242" s="156"/>
      <c r="BD242" s="157"/>
      <c r="BE242" s="134"/>
      <c r="BF242" s="134"/>
      <c r="BG242" s="134"/>
      <c r="BH242" s="134"/>
      <c r="BI242" s="134"/>
      <c r="BJ242" s="259"/>
      <c r="BK242" s="138"/>
      <c r="BL242" s="134"/>
      <c r="BM242" s="134"/>
      <c r="BN242" s="134"/>
      <c r="BO242" s="138"/>
      <c r="BP242" s="134"/>
      <c r="BQ242" s="134"/>
      <c r="BR242" s="134"/>
      <c r="BS242" s="288"/>
      <c r="BT242" s="289"/>
      <c r="BU242" s="138"/>
      <c r="BV242" s="134"/>
      <c r="BW242" s="134"/>
      <c r="BX242" s="134"/>
      <c r="BY242" s="138"/>
      <c r="BZ242" s="134"/>
      <c r="CA242" s="134"/>
      <c r="CB242" s="134"/>
      <c r="CC242" s="288"/>
      <c r="CD242" s="289"/>
      <c r="CE242" s="276"/>
      <c r="CF242" s="308"/>
      <c r="CG242" s="138"/>
      <c r="CH242" s="134"/>
      <c r="CI242" s="134"/>
      <c r="CJ242" s="134"/>
      <c r="CK242" s="134"/>
      <c r="CL242" s="134"/>
      <c r="CM242" s="134"/>
      <c r="CN242" s="134"/>
      <c r="CO242" s="300"/>
      <c r="CP242" s="301"/>
      <c r="CQ242" s="134"/>
      <c r="CR242" s="134"/>
      <c r="CS242" s="134"/>
      <c r="CT242" s="134"/>
      <c r="CU242" s="134"/>
      <c r="CV242" s="134"/>
      <c r="CW242" s="134"/>
      <c r="CX242" s="134"/>
      <c r="CY242" s="300"/>
      <c r="CZ242" s="301"/>
      <c r="DA242" s="276"/>
      <c r="DB242" s="277"/>
      <c r="DC242" s="134"/>
      <c r="DD242" s="134"/>
      <c r="DE242" s="134"/>
      <c r="DF242" s="134"/>
      <c r="DG242" s="138"/>
      <c r="DH242" s="134"/>
      <c r="DI242" s="134"/>
      <c r="DJ242" s="134"/>
      <c r="DK242" s="301"/>
      <c r="DL242" s="301"/>
      <c r="DM242" s="134"/>
      <c r="DN242" s="134"/>
      <c r="DO242" s="134"/>
      <c r="DP242" s="134"/>
      <c r="DQ242" s="134"/>
      <c r="DR242" s="134"/>
      <c r="DS242" s="134"/>
      <c r="DT242" s="134"/>
      <c r="DU242" s="301"/>
      <c r="DV242" s="301"/>
      <c r="DW242" s="277"/>
      <c r="DX242" s="134"/>
      <c r="DY242" s="134"/>
      <c r="DZ242" s="134"/>
      <c r="EA242" s="134"/>
      <c r="EB242" s="134"/>
      <c r="EC242" s="134"/>
      <c r="ED242" s="134"/>
      <c r="EE242" s="134"/>
      <c r="EF242" s="301"/>
      <c r="EG242" s="301"/>
      <c r="EH242" s="134"/>
      <c r="EI242" s="134"/>
      <c r="EJ242" s="134"/>
      <c r="EK242" s="134"/>
    </row>
    <row r="243" spans="1:141">
      <c r="A243" s="79" t="s">
        <v>248</v>
      </c>
      <c r="B243" s="117">
        <v>179</v>
      </c>
      <c r="C243" s="123" t="s">
        <v>1998</v>
      </c>
      <c r="D243" s="124" t="s">
        <v>2228</v>
      </c>
      <c r="E243" s="125">
        <v>2015</v>
      </c>
      <c r="F243" s="79">
        <v>26254798</v>
      </c>
      <c r="G243" s="79">
        <v>1</v>
      </c>
      <c r="H243" s="126"/>
      <c r="I243" s="127"/>
      <c r="J243" s="79">
        <v>1</v>
      </c>
      <c r="K243" s="79"/>
      <c r="L243" s="79">
        <v>1</v>
      </c>
      <c r="M243" s="128">
        <v>1</v>
      </c>
      <c r="N243" s="79" t="s">
        <v>31</v>
      </c>
      <c r="O243" s="79" t="s">
        <v>1157</v>
      </c>
      <c r="P243" s="79" t="s">
        <v>591</v>
      </c>
      <c r="Q243" s="79">
        <v>1</v>
      </c>
      <c r="R243" s="79"/>
      <c r="S243" s="79"/>
      <c r="T243" s="79"/>
      <c r="U243" s="79" t="s">
        <v>675</v>
      </c>
      <c r="V243" s="79"/>
      <c r="W243" s="79"/>
      <c r="X243" s="79"/>
      <c r="Y243" s="79"/>
      <c r="Z243" s="79"/>
      <c r="AA243" s="154"/>
      <c r="AB243" s="155"/>
      <c r="AC243" s="121">
        <v>2</v>
      </c>
      <c r="AD243" s="202"/>
      <c r="AE243" s="192"/>
      <c r="AF243" s="203"/>
      <c r="AG243" s="121"/>
      <c r="AH243" s="121"/>
      <c r="AI243" s="121"/>
      <c r="AJ243" s="121"/>
      <c r="AK243" s="121"/>
      <c r="AL243" s="121"/>
      <c r="AM243" s="121"/>
      <c r="AN243" s="121"/>
      <c r="AO243" s="121"/>
      <c r="AP243" s="121"/>
      <c r="AQ243" s="121"/>
      <c r="AR243" s="121"/>
      <c r="AS243" s="121"/>
      <c r="AT243" s="121"/>
      <c r="AU243" s="121"/>
      <c r="AV243" s="156"/>
      <c r="AW243" s="156"/>
      <c r="AX243" s="156">
        <v>1</v>
      </c>
      <c r="AY243" s="156"/>
      <c r="AZ243" s="156"/>
      <c r="BA243" s="156"/>
      <c r="BB243" s="156"/>
      <c r="BC243" s="156"/>
      <c r="BD243" s="157"/>
      <c r="BE243" s="134"/>
      <c r="BF243" s="134"/>
      <c r="BG243" s="134"/>
      <c r="BH243" s="134"/>
      <c r="BI243" s="134"/>
      <c r="BJ243" s="259"/>
      <c r="BK243" s="138"/>
      <c r="BL243" s="134"/>
      <c r="BM243" s="134"/>
      <c r="BN243" s="134"/>
      <c r="BO243" s="138"/>
      <c r="BP243" s="134"/>
      <c r="BQ243" s="134"/>
      <c r="BR243" s="134"/>
      <c r="BS243" s="288"/>
      <c r="BT243" s="289"/>
      <c r="BU243" s="138"/>
      <c r="BV243" s="134"/>
      <c r="BW243" s="134"/>
      <c r="BX243" s="134"/>
      <c r="BY243" s="138"/>
      <c r="BZ243" s="134"/>
      <c r="CA243" s="134"/>
      <c r="CB243" s="134"/>
      <c r="CC243" s="288"/>
      <c r="CD243" s="289"/>
      <c r="CE243" s="276"/>
      <c r="CF243" s="308"/>
      <c r="CG243" s="138"/>
      <c r="CH243" s="134"/>
      <c r="CI243" s="134"/>
      <c r="CJ243" s="134"/>
      <c r="CK243" s="134"/>
      <c r="CL243" s="134"/>
      <c r="CM243" s="134"/>
      <c r="CN243" s="134"/>
      <c r="CO243" s="300"/>
      <c r="CP243" s="301"/>
      <c r="CQ243" s="134"/>
      <c r="CR243" s="134"/>
      <c r="CS243" s="134"/>
      <c r="CT243" s="134"/>
      <c r="CU243" s="134"/>
      <c r="CV243" s="134"/>
      <c r="CW243" s="134"/>
      <c r="CX243" s="134"/>
      <c r="CY243" s="300"/>
      <c r="CZ243" s="301"/>
      <c r="DA243" s="276"/>
      <c r="DB243" s="277"/>
      <c r="DC243" s="134"/>
      <c r="DD243" s="134"/>
      <c r="DE243" s="134"/>
      <c r="DF243" s="134"/>
      <c r="DG243" s="138"/>
      <c r="DH243" s="134"/>
      <c r="DI243" s="134"/>
      <c r="DJ243" s="134"/>
      <c r="DK243" s="301"/>
      <c r="DL243" s="301"/>
      <c r="DM243" s="134"/>
      <c r="DN243" s="134"/>
      <c r="DO243" s="134"/>
      <c r="DP243" s="134"/>
      <c r="DQ243" s="134"/>
      <c r="DR243" s="134"/>
      <c r="DS243" s="134"/>
      <c r="DT243" s="134"/>
      <c r="DU243" s="301"/>
      <c r="DV243" s="301"/>
      <c r="DW243" s="277"/>
      <c r="DX243" s="134"/>
      <c r="DY243" s="134"/>
      <c r="DZ243" s="134"/>
      <c r="EA243" s="134"/>
      <c r="EB243" s="134"/>
      <c r="EC243" s="134"/>
      <c r="ED243" s="134"/>
      <c r="EE243" s="134"/>
      <c r="EF243" s="301"/>
      <c r="EG243" s="301"/>
      <c r="EH243" s="134"/>
      <c r="EI243" s="134"/>
      <c r="EJ243" s="134"/>
      <c r="EK243" s="134"/>
    </row>
    <row r="244" spans="1:141">
      <c r="A244" s="79" t="s">
        <v>249</v>
      </c>
      <c r="B244" s="117">
        <v>180</v>
      </c>
      <c r="C244" s="123" t="s">
        <v>1998</v>
      </c>
      <c r="D244" s="124" t="s">
        <v>2229</v>
      </c>
      <c r="E244" s="125">
        <v>2013</v>
      </c>
      <c r="F244" s="79">
        <v>23148782</v>
      </c>
      <c r="G244" s="79">
        <v>1</v>
      </c>
      <c r="H244" s="126"/>
      <c r="I244" s="127"/>
      <c r="J244" s="79">
        <v>1</v>
      </c>
      <c r="K244" s="79"/>
      <c r="L244" s="79">
        <v>1</v>
      </c>
      <c r="M244" s="128">
        <v>1</v>
      </c>
      <c r="N244" s="79" t="s">
        <v>676</v>
      </c>
      <c r="O244" s="79" t="s">
        <v>1157</v>
      </c>
      <c r="P244" s="79" t="s">
        <v>591</v>
      </c>
      <c r="Q244" s="79">
        <v>1</v>
      </c>
      <c r="R244" s="79"/>
      <c r="S244" s="79"/>
      <c r="T244" s="79"/>
      <c r="U244" s="79" t="s">
        <v>677</v>
      </c>
      <c r="V244" s="79"/>
      <c r="W244" s="79"/>
      <c r="X244" s="79"/>
      <c r="Y244" s="79"/>
      <c r="Z244" s="79"/>
      <c r="AA244" s="154"/>
      <c r="AB244" s="155"/>
      <c r="AC244" s="121">
        <v>2</v>
      </c>
      <c r="AD244" s="202"/>
      <c r="AE244" s="192"/>
      <c r="AF244" s="203"/>
      <c r="AG244" s="121"/>
      <c r="AH244" s="121"/>
      <c r="AI244" s="121"/>
      <c r="AJ244" s="121"/>
      <c r="AK244" s="121"/>
      <c r="AL244" s="121"/>
      <c r="AM244" s="121"/>
      <c r="AN244" s="121"/>
      <c r="AO244" s="121"/>
      <c r="AP244" s="121"/>
      <c r="AQ244" s="121"/>
      <c r="AR244" s="121"/>
      <c r="AS244" s="121"/>
      <c r="AT244" s="121"/>
      <c r="AU244" s="121"/>
      <c r="AV244" s="156"/>
      <c r="AW244" s="156"/>
      <c r="AX244" s="156">
        <v>1</v>
      </c>
      <c r="AY244" s="156"/>
      <c r="AZ244" s="156"/>
      <c r="BA244" s="156"/>
      <c r="BB244" s="156"/>
      <c r="BC244" s="156"/>
      <c r="BD244" s="157"/>
      <c r="BE244" s="134"/>
      <c r="BF244" s="134"/>
      <c r="BG244" s="134"/>
      <c r="BH244" s="134"/>
      <c r="BI244" s="134"/>
      <c r="BJ244" s="259"/>
      <c r="BK244" s="138"/>
      <c r="BL244" s="134"/>
      <c r="BM244" s="134"/>
      <c r="BN244" s="134"/>
      <c r="BO244" s="138"/>
      <c r="BP244" s="134"/>
      <c r="BQ244" s="134"/>
      <c r="BR244" s="134"/>
      <c r="BS244" s="288"/>
      <c r="BT244" s="289"/>
      <c r="BU244" s="138"/>
      <c r="BV244" s="134"/>
      <c r="BW244" s="134"/>
      <c r="BX244" s="134"/>
      <c r="BY244" s="138"/>
      <c r="BZ244" s="134"/>
      <c r="CA244" s="134"/>
      <c r="CB244" s="134"/>
      <c r="CC244" s="288"/>
      <c r="CD244" s="289"/>
      <c r="CE244" s="276"/>
      <c r="CF244" s="308"/>
      <c r="CG244" s="138"/>
      <c r="CH244" s="134"/>
      <c r="CI244" s="134"/>
      <c r="CJ244" s="134"/>
      <c r="CK244" s="134"/>
      <c r="CL244" s="134"/>
      <c r="CM244" s="134"/>
      <c r="CN244" s="134"/>
      <c r="CO244" s="300"/>
      <c r="CP244" s="301"/>
      <c r="CQ244" s="134"/>
      <c r="CR244" s="134"/>
      <c r="CS244" s="134"/>
      <c r="CT244" s="134"/>
      <c r="CU244" s="134"/>
      <c r="CV244" s="134"/>
      <c r="CW244" s="134"/>
      <c r="CX244" s="134"/>
      <c r="CY244" s="300"/>
      <c r="CZ244" s="301"/>
      <c r="DA244" s="276"/>
      <c r="DB244" s="277"/>
      <c r="DC244" s="134"/>
      <c r="DD244" s="134"/>
      <c r="DE244" s="134"/>
      <c r="DF244" s="134"/>
      <c r="DG244" s="138"/>
      <c r="DH244" s="134"/>
      <c r="DI244" s="134"/>
      <c r="DJ244" s="134"/>
      <c r="DK244" s="301"/>
      <c r="DL244" s="301"/>
      <c r="DM244" s="134"/>
      <c r="DN244" s="134"/>
      <c r="DO244" s="134"/>
      <c r="DP244" s="134"/>
      <c r="DQ244" s="134"/>
      <c r="DR244" s="134"/>
      <c r="DS244" s="134"/>
      <c r="DT244" s="134"/>
      <c r="DU244" s="301"/>
      <c r="DV244" s="301"/>
      <c r="DW244" s="277"/>
      <c r="DX244" s="134"/>
      <c r="DY244" s="134"/>
      <c r="DZ244" s="134"/>
      <c r="EA244" s="134"/>
      <c r="EB244" s="134"/>
      <c r="EC244" s="134"/>
      <c r="ED244" s="134"/>
      <c r="EE244" s="134"/>
      <c r="EF244" s="301"/>
      <c r="EG244" s="301"/>
      <c r="EH244" s="134"/>
      <c r="EI244" s="134"/>
      <c r="EJ244" s="134"/>
      <c r="EK244" s="134"/>
    </row>
    <row r="245" spans="1:141">
      <c r="A245" s="79" t="s">
        <v>252</v>
      </c>
      <c r="B245" s="117">
        <v>181</v>
      </c>
      <c r="C245" s="123" t="s">
        <v>1999</v>
      </c>
      <c r="D245" s="124" t="s">
        <v>2230</v>
      </c>
      <c r="E245" s="125">
        <v>2015</v>
      </c>
      <c r="F245" s="79">
        <v>25893970</v>
      </c>
      <c r="G245" s="79">
        <v>1</v>
      </c>
      <c r="H245" s="126" t="s">
        <v>1745</v>
      </c>
      <c r="I245" s="127" t="s">
        <v>1745</v>
      </c>
      <c r="J245" s="164">
        <v>1</v>
      </c>
      <c r="K245" s="79" t="s">
        <v>1748</v>
      </c>
      <c r="L245" s="79">
        <v>0</v>
      </c>
      <c r="M245" s="128">
        <v>1</v>
      </c>
      <c r="N245" s="79" t="s">
        <v>682</v>
      </c>
      <c r="O245" s="79"/>
      <c r="P245" s="79" t="s">
        <v>514</v>
      </c>
      <c r="Q245" s="79">
        <v>1</v>
      </c>
      <c r="R245" s="79"/>
      <c r="S245" s="79"/>
      <c r="T245" s="79"/>
      <c r="U245" s="79" t="s">
        <v>683</v>
      </c>
      <c r="V245" s="79" t="s">
        <v>24</v>
      </c>
      <c r="W245" s="79" t="s">
        <v>24</v>
      </c>
      <c r="X245" s="79"/>
      <c r="Y245" s="79"/>
      <c r="Z245" s="79" t="s">
        <v>684</v>
      </c>
      <c r="AA245" s="154"/>
      <c r="AB245" s="155"/>
      <c r="AC245" s="121">
        <v>2</v>
      </c>
      <c r="AD245" s="202"/>
      <c r="AE245" s="192"/>
      <c r="AF245" s="203"/>
      <c r="AG245" s="121"/>
      <c r="AH245" s="121"/>
      <c r="AI245" s="121"/>
      <c r="AJ245" s="121"/>
      <c r="AK245" s="121"/>
      <c r="AL245" s="121"/>
      <c r="AM245" s="121"/>
      <c r="AN245" s="121"/>
      <c r="AO245" s="121"/>
      <c r="AP245" s="121"/>
      <c r="AQ245" s="121"/>
      <c r="AR245" s="121"/>
      <c r="AS245" s="121"/>
      <c r="AT245" s="121"/>
      <c r="AU245" s="121"/>
      <c r="AV245" s="156"/>
      <c r="AW245" s="156"/>
      <c r="AX245" s="156"/>
      <c r="AY245" s="156"/>
      <c r="AZ245" s="156">
        <v>1</v>
      </c>
      <c r="BA245" s="156"/>
      <c r="BB245" s="156"/>
      <c r="BC245" s="156"/>
      <c r="BD245" s="157"/>
      <c r="BE245" s="134"/>
      <c r="BF245" s="134"/>
      <c r="BG245" s="134"/>
      <c r="BH245" s="134"/>
      <c r="BI245" s="134"/>
      <c r="BJ245" s="259"/>
      <c r="BK245" s="138"/>
      <c r="BL245" s="134"/>
      <c r="BM245" s="134"/>
      <c r="BN245" s="134"/>
      <c r="BO245" s="138"/>
      <c r="BP245" s="134"/>
      <c r="BQ245" s="134"/>
      <c r="BR245" s="134"/>
      <c r="BS245" s="288"/>
      <c r="BT245" s="289"/>
      <c r="BU245" s="138"/>
      <c r="BV245" s="134"/>
      <c r="BW245" s="134"/>
      <c r="BX245" s="134"/>
      <c r="BY245" s="138"/>
      <c r="BZ245" s="134"/>
      <c r="CA245" s="134"/>
      <c r="CB245" s="134"/>
      <c r="CC245" s="288"/>
      <c r="CD245" s="289"/>
      <c r="CE245" s="276"/>
      <c r="CF245" s="308"/>
      <c r="CG245" s="138"/>
      <c r="CH245" s="134"/>
      <c r="CI245" s="134"/>
      <c r="CJ245" s="134"/>
      <c r="CK245" s="134"/>
      <c r="CL245" s="134"/>
      <c r="CM245" s="134"/>
      <c r="CN245" s="134"/>
      <c r="CO245" s="300"/>
      <c r="CP245" s="301"/>
      <c r="CQ245" s="134"/>
      <c r="CR245" s="134"/>
      <c r="CS245" s="134"/>
      <c r="CT245" s="134"/>
      <c r="CU245" s="134"/>
      <c r="CV245" s="134"/>
      <c r="CW245" s="134"/>
      <c r="CX245" s="134"/>
      <c r="CY245" s="300"/>
      <c r="CZ245" s="301"/>
      <c r="DA245" s="276"/>
      <c r="DB245" s="277"/>
      <c r="DC245" s="134"/>
      <c r="DD245" s="134"/>
      <c r="DE245" s="134"/>
      <c r="DF245" s="134"/>
      <c r="DG245" s="138"/>
      <c r="DH245" s="134"/>
      <c r="DI245" s="134"/>
      <c r="DJ245" s="134"/>
      <c r="DK245" s="301"/>
      <c r="DL245" s="301"/>
      <c r="DM245" s="134"/>
      <c r="DN245" s="134"/>
      <c r="DO245" s="134"/>
      <c r="DP245" s="134"/>
      <c r="DQ245" s="134"/>
      <c r="DR245" s="134"/>
      <c r="DS245" s="134"/>
      <c r="DT245" s="134"/>
      <c r="DU245" s="301"/>
      <c r="DV245" s="301"/>
      <c r="DW245" s="277"/>
      <c r="DX245" s="134"/>
      <c r="DY245" s="134"/>
      <c r="DZ245" s="134"/>
      <c r="EA245" s="134"/>
      <c r="EB245" s="134"/>
      <c r="EC245" s="134"/>
      <c r="ED245" s="134"/>
      <c r="EE245" s="134"/>
      <c r="EF245" s="301"/>
      <c r="EG245" s="301"/>
      <c r="EH245" s="134"/>
      <c r="EI245" s="134"/>
      <c r="EJ245" s="134"/>
      <c r="EK245" s="134"/>
    </row>
    <row r="246" spans="1:141">
      <c r="A246" s="79" t="s">
        <v>253</v>
      </c>
      <c r="B246" s="117">
        <v>182</v>
      </c>
      <c r="C246" s="123" t="s">
        <v>2000</v>
      </c>
      <c r="D246" s="124" t="s">
        <v>2231</v>
      </c>
      <c r="E246" s="125">
        <v>2014</v>
      </c>
      <c r="F246" s="79">
        <v>25093599</v>
      </c>
      <c r="G246" s="79">
        <v>1</v>
      </c>
      <c r="H246" s="126"/>
      <c r="I246" s="127"/>
      <c r="J246" s="79">
        <v>1</v>
      </c>
      <c r="K246" s="79"/>
      <c r="L246" s="79">
        <v>1</v>
      </c>
      <c r="M246" s="128">
        <v>1</v>
      </c>
      <c r="N246" s="79" t="s">
        <v>685</v>
      </c>
      <c r="O246" s="79" t="s">
        <v>1166</v>
      </c>
      <c r="P246" s="79" t="s">
        <v>686</v>
      </c>
      <c r="Q246" s="79">
        <v>1</v>
      </c>
      <c r="R246" s="79"/>
      <c r="S246" s="79"/>
      <c r="T246" s="79"/>
      <c r="U246" s="79" t="s">
        <v>687</v>
      </c>
      <c r="V246" s="79" t="s">
        <v>39</v>
      </c>
      <c r="W246" s="79"/>
      <c r="X246" s="79"/>
      <c r="Y246" s="79"/>
      <c r="Z246" s="79"/>
      <c r="AA246" s="154"/>
      <c r="AB246" s="155"/>
      <c r="AC246" s="121"/>
      <c r="AD246" s="202"/>
      <c r="AE246" s="192"/>
      <c r="AF246" s="203"/>
      <c r="AG246" s="121"/>
      <c r="AH246" s="121"/>
      <c r="AI246" s="121"/>
      <c r="AJ246" s="121"/>
      <c r="AK246" s="121"/>
      <c r="AL246" s="121"/>
      <c r="AM246" s="121"/>
      <c r="AN246" s="121"/>
      <c r="AO246" s="121"/>
      <c r="AP246" s="121"/>
      <c r="AQ246" s="121"/>
      <c r="AR246" s="121"/>
      <c r="AS246" s="121"/>
      <c r="AT246" s="121"/>
      <c r="AU246" s="121"/>
      <c r="AV246" s="156"/>
      <c r="AW246" s="156"/>
      <c r="AX246" s="156"/>
      <c r="AY246" s="156" t="s">
        <v>1917</v>
      </c>
      <c r="AZ246" s="156"/>
      <c r="BA246" s="156"/>
      <c r="BB246" s="156"/>
      <c r="BC246" s="156"/>
      <c r="BD246" s="157"/>
      <c r="BE246" s="134"/>
      <c r="BF246" s="134"/>
      <c r="BG246" s="134"/>
      <c r="BH246" s="134"/>
      <c r="BI246" s="134"/>
      <c r="BJ246" s="259"/>
      <c r="BK246" s="138"/>
      <c r="BL246" s="134"/>
      <c r="BM246" s="134"/>
      <c r="BN246" s="134"/>
      <c r="BO246" s="138"/>
      <c r="BP246" s="134"/>
      <c r="BQ246" s="134"/>
      <c r="BR246" s="134"/>
      <c r="BS246" s="288"/>
      <c r="BT246" s="289"/>
      <c r="BU246" s="138"/>
      <c r="BV246" s="134"/>
      <c r="BW246" s="134"/>
      <c r="BX246" s="134"/>
      <c r="BY246" s="138"/>
      <c r="BZ246" s="134"/>
      <c r="CA246" s="134"/>
      <c r="CB246" s="134"/>
      <c r="CC246" s="288"/>
      <c r="CD246" s="289"/>
      <c r="CE246" s="276"/>
      <c r="CF246" s="308"/>
      <c r="CG246" s="138"/>
      <c r="CH246" s="134"/>
      <c r="CI246" s="134"/>
      <c r="CJ246" s="134"/>
      <c r="CK246" s="134"/>
      <c r="CL246" s="134"/>
      <c r="CM246" s="134"/>
      <c r="CN246" s="134"/>
      <c r="CO246" s="300"/>
      <c r="CP246" s="301"/>
      <c r="CQ246" s="134"/>
      <c r="CR246" s="134"/>
      <c r="CS246" s="134"/>
      <c r="CT246" s="134"/>
      <c r="CU246" s="134"/>
      <c r="CV246" s="134"/>
      <c r="CW246" s="134"/>
      <c r="CX246" s="134"/>
      <c r="CY246" s="300"/>
      <c r="CZ246" s="301"/>
      <c r="DA246" s="276"/>
      <c r="DB246" s="277"/>
      <c r="DC246" s="134"/>
      <c r="DD246" s="134"/>
      <c r="DE246" s="134"/>
      <c r="DF246" s="134"/>
      <c r="DG246" s="138"/>
      <c r="DH246" s="134"/>
      <c r="DI246" s="134"/>
      <c r="DJ246" s="134"/>
      <c r="DK246" s="301"/>
      <c r="DL246" s="301"/>
      <c r="DM246" s="134"/>
      <c r="DN246" s="134"/>
      <c r="DO246" s="134"/>
      <c r="DP246" s="134"/>
      <c r="DQ246" s="134"/>
      <c r="DR246" s="134"/>
      <c r="DS246" s="134"/>
      <c r="DT246" s="134"/>
      <c r="DU246" s="301"/>
      <c r="DV246" s="301"/>
      <c r="DW246" s="277"/>
      <c r="DX246" s="134"/>
      <c r="DY246" s="134"/>
      <c r="DZ246" s="134"/>
      <c r="EA246" s="134"/>
      <c r="EB246" s="134"/>
      <c r="EC246" s="134"/>
      <c r="ED246" s="134"/>
      <c r="EE246" s="134"/>
      <c r="EF246" s="301"/>
      <c r="EG246" s="301"/>
      <c r="EH246" s="134"/>
      <c r="EI246" s="134"/>
      <c r="EJ246" s="134"/>
      <c r="EK246" s="134"/>
    </row>
    <row r="247" spans="1:141">
      <c r="A247" s="79" t="s">
        <v>1007</v>
      </c>
      <c r="B247" s="117">
        <v>183</v>
      </c>
      <c r="C247" s="123" t="s">
        <v>2100</v>
      </c>
      <c r="D247" s="124" t="s">
        <v>2355</v>
      </c>
      <c r="E247" s="125">
        <v>1996</v>
      </c>
      <c r="F247" s="79">
        <v>8731522</v>
      </c>
      <c r="G247" s="79">
        <v>1</v>
      </c>
      <c r="H247" s="126">
        <v>1</v>
      </c>
      <c r="I247" s="127"/>
      <c r="J247" s="79">
        <v>1</v>
      </c>
      <c r="K247" s="79"/>
      <c r="L247" s="79">
        <v>1</v>
      </c>
      <c r="M247" s="128">
        <v>2</v>
      </c>
      <c r="N247" s="79"/>
      <c r="O247" s="79"/>
      <c r="P247" s="79" t="s">
        <v>1234</v>
      </c>
      <c r="Q247" s="79"/>
      <c r="R247" s="79" t="s">
        <v>1446</v>
      </c>
      <c r="S247" s="79" t="s">
        <v>803</v>
      </c>
      <c r="T247" s="79"/>
      <c r="U247" s="79" t="s">
        <v>1447</v>
      </c>
      <c r="V247" s="79"/>
      <c r="W247" s="79"/>
      <c r="X247" s="79"/>
      <c r="Y247" s="79"/>
      <c r="Z247" s="79" t="s">
        <v>1448</v>
      </c>
      <c r="AA247" s="154"/>
      <c r="AB247" s="155"/>
      <c r="AC247" s="121">
        <v>4</v>
      </c>
      <c r="AD247" s="202"/>
      <c r="AE247" s="192"/>
      <c r="AF247" s="203"/>
      <c r="AG247" s="121"/>
      <c r="AH247" s="121"/>
      <c r="AI247" s="121"/>
      <c r="AJ247" s="121"/>
      <c r="AK247" s="121"/>
      <c r="AL247" s="121"/>
      <c r="AM247" s="121"/>
      <c r="AN247" s="121"/>
      <c r="AO247" s="121"/>
      <c r="AP247" s="121"/>
      <c r="AQ247" s="121"/>
      <c r="AR247" s="121"/>
      <c r="AS247" s="121"/>
      <c r="AT247" s="121"/>
      <c r="AU247" s="121"/>
      <c r="AV247" s="156"/>
      <c r="AW247" s="156"/>
      <c r="AX247" s="156"/>
      <c r="AY247" s="156"/>
      <c r="AZ247" s="156"/>
      <c r="BA247" s="156"/>
      <c r="BB247" s="156"/>
      <c r="BC247" s="156"/>
      <c r="BD247" s="157"/>
      <c r="BE247" s="134"/>
      <c r="BF247" s="134"/>
      <c r="BG247" s="134"/>
      <c r="BH247" s="134"/>
      <c r="BI247" s="134"/>
      <c r="BJ247" s="259"/>
      <c r="BK247" s="138"/>
      <c r="BL247" s="134"/>
      <c r="BM247" s="134"/>
      <c r="BN247" s="134"/>
      <c r="BO247" s="138"/>
      <c r="BP247" s="134"/>
      <c r="BQ247" s="134"/>
      <c r="BR247" s="134"/>
      <c r="BS247" s="288"/>
      <c r="BT247" s="289"/>
      <c r="BU247" s="138"/>
      <c r="BV247" s="134"/>
      <c r="BW247" s="134"/>
      <c r="BX247" s="134"/>
      <c r="BY247" s="138"/>
      <c r="BZ247" s="134"/>
      <c r="CA247" s="134"/>
      <c r="CB247" s="134"/>
      <c r="CC247" s="288"/>
      <c r="CD247" s="289"/>
      <c r="CE247" s="276"/>
      <c r="CF247" s="308"/>
      <c r="CG247" s="138"/>
      <c r="CH247" s="134"/>
      <c r="CI247" s="134"/>
      <c r="CJ247" s="134"/>
      <c r="CK247" s="134"/>
      <c r="CL247" s="134"/>
      <c r="CM247" s="134"/>
      <c r="CN247" s="134"/>
      <c r="CO247" s="300"/>
      <c r="CP247" s="301"/>
      <c r="CQ247" s="134"/>
      <c r="CR247" s="134"/>
      <c r="CS247" s="134"/>
      <c r="CT247" s="134"/>
      <c r="CU247" s="134"/>
      <c r="CV247" s="134"/>
      <c r="CW247" s="134"/>
      <c r="CX247" s="134"/>
      <c r="CY247" s="300"/>
      <c r="CZ247" s="301"/>
      <c r="DA247" s="276"/>
      <c r="DB247" s="277"/>
      <c r="DC247" s="134"/>
      <c r="DD247" s="134"/>
      <c r="DE247" s="134"/>
      <c r="DF247" s="134"/>
      <c r="DG247" s="138"/>
      <c r="DH247" s="134"/>
      <c r="DI247" s="134"/>
      <c r="DJ247" s="134"/>
      <c r="DK247" s="301"/>
      <c r="DL247" s="301"/>
      <c r="DM247" s="134"/>
      <c r="DN247" s="134"/>
      <c r="DO247" s="134"/>
      <c r="DP247" s="134"/>
      <c r="DQ247" s="134"/>
      <c r="DR247" s="134"/>
      <c r="DS247" s="134"/>
      <c r="DT247" s="134"/>
      <c r="DU247" s="301"/>
      <c r="DV247" s="301"/>
      <c r="DW247" s="277"/>
      <c r="DX247" s="134"/>
      <c r="DY247" s="134"/>
      <c r="DZ247" s="134"/>
      <c r="EA247" s="134"/>
      <c r="EB247" s="134"/>
      <c r="EC247" s="134"/>
      <c r="ED247" s="134"/>
      <c r="EE247" s="134"/>
      <c r="EF247" s="301"/>
      <c r="EG247" s="301"/>
      <c r="EH247" s="134"/>
      <c r="EI247" s="134"/>
      <c r="EJ247" s="134"/>
      <c r="EK247" s="134"/>
    </row>
    <row r="248" spans="1:141">
      <c r="A248" s="79" t="s">
        <v>1004</v>
      </c>
      <c r="B248" s="117">
        <v>184</v>
      </c>
      <c r="C248" s="123" t="s">
        <v>2102</v>
      </c>
      <c r="D248" s="124" t="s">
        <v>2357</v>
      </c>
      <c r="E248" s="125">
        <v>2014</v>
      </c>
      <c r="F248" s="79">
        <v>24657739</v>
      </c>
      <c r="G248" s="79">
        <v>1</v>
      </c>
      <c r="H248" s="126"/>
      <c r="I248" s="127"/>
      <c r="J248" s="79">
        <v>1</v>
      </c>
      <c r="K248" s="79"/>
      <c r="L248" s="79">
        <v>1</v>
      </c>
      <c r="M248" s="128">
        <v>2</v>
      </c>
      <c r="N248" s="79" t="s">
        <v>1460</v>
      </c>
      <c r="O248" s="79" t="s">
        <v>1216</v>
      </c>
      <c r="P248" s="79" t="s">
        <v>1229</v>
      </c>
      <c r="Q248" s="79"/>
      <c r="R248" s="79" t="s">
        <v>1487</v>
      </c>
      <c r="S248" s="79" t="s">
        <v>803</v>
      </c>
      <c r="T248" s="79"/>
      <c r="U248" s="79" t="s">
        <v>1458</v>
      </c>
      <c r="V248" s="79"/>
      <c r="W248" s="79" t="s">
        <v>1459</v>
      </c>
      <c r="X248" s="79"/>
      <c r="Y248" s="79" t="s">
        <v>1461</v>
      </c>
      <c r="Z248" s="79"/>
      <c r="AA248" s="154"/>
      <c r="AB248" s="155"/>
      <c r="AC248" s="121">
        <v>4</v>
      </c>
      <c r="AD248" s="202"/>
      <c r="AE248" s="192"/>
      <c r="AF248" s="203"/>
      <c r="AG248" s="121"/>
      <c r="AH248" s="121"/>
      <c r="AI248" s="121"/>
      <c r="AJ248" s="121"/>
      <c r="AK248" s="121"/>
      <c r="AL248" s="121"/>
      <c r="AM248" s="121"/>
      <c r="AN248" s="121"/>
      <c r="AO248" s="121"/>
      <c r="AP248" s="121"/>
      <c r="AQ248" s="121"/>
      <c r="AR248" s="121"/>
      <c r="AS248" s="121"/>
      <c r="AT248" s="121"/>
      <c r="AU248" s="121"/>
      <c r="AV248" s="156"/>
      <c r="AW248" s="156"/>
      <c r="AX248" s="156"/>
      <c r="AY248" s="156"/>
      <c r="AZ248" s="156">
        <v>1</v>
      </c>
      <c r="BA248" s="156"/>
      <c r="BB248" s="156"/>
      <c r="BC248" s="156"/>
      <c r="BD248" s="157"/>
      <c r="BE248" s="134"/>
      <c r="BF248" s="134"/>
      <c r="BG248" s="134"/>
      <c r="BH248" s="134"/>
      <c r="BI248" s="134"/>
      <c r="BJ248" s="259"/>
      <c r="BK248" s="138"/>
      <c r="BL248" s="134"/>
      <c r="BM248" s="134"/>
      <c r="BN248" s="134"/>
      <c r="BO248" s="138"/>
      <c r="BP248" s="134"/>
      <c r="BQ248" s="134"/>
      <c r="BR248" s="134"/>
      <c r="BS248" s="288"/>
      <c r="BT248" s="289"/>
      <c r="BU248" s="138"/>
      <c r="BV248" s="134"/>
      <c r="BW248" s="134"/>
      <c r="BX248" s="134"/>
      <c r="BY248" s="138"/>
      <c r="BZ248" s="134"/>
      <c r="CA248" s="134"/>
      <c r="CB248" s="134"/>
      <c r="CC248" s="288"/>
      <c r="CD248" s="289"/>
      <c r="CE248" s="276"/>
      <c r="CF248" s="308"/>
      <c r="CG248" s="138"/>
      <c r="CH248" s="134"/>
      <c r="CI248" s="134"/>
      <c r="CJ248" s="134"/>
      <c r="CK248" s="134"/>
      <c r="CL248" s="134"/>
      <c r="CM248" s="134"/>
      <c r="CN248" s="134"/>
      <c r="CO248" s="300"/>
      <c r="CP248" s="301"/>
      <c r="CQ248" s="134"/>
      <c r="CR248" s="134"/>
      <c r="CS248" s="134"/>
      <c r="CT248" s="134"/>
      <c r="CU248" s="134"/>
      <c r="CV248" s="134"/>
      <c r="CW248" s="134"/>
      <c r="CX248" s="134"/>
      <c r="CY248" s="300"/>
      <c r="CZ248" s="301"/>
      <c r="DA248" s="276"/>
      <c r="DB248" s="277"/>
      <c r="DC248" s="134"/>
      <c r="DD248" s="134"/>
      <c r="DE248" s="134"/>
      <c r="DF248" s="134"/>
      <c r="DG248" s="138"/>
      <c r="DH248" s="134"/>
      <c r="DI248" s="134"/>
      <c r="DJ248" s="134"/>
      <c r="DK248" s="301"/>
      <c r="DL248" s="301"/>
      <c r="DM248" s="134"/>
      <c r="DN248" s="134"/>
      <c r="DO248" s="134"/>
      <c r="DP248" s="134"/>
      <c r="DQ248" s="134"/>
      <c r="DR248" s="134"/>
      <c r="DS248" s="134"/>
      <c r="DT248" s="134"/>
      <c r="DU248" s="301"/>
      <c r="DV248" s="301"/>
      <c r="DW248" s="277"/>
      <c r="DX248" s="134"/>
      <c r="DY248" s="134"/>
      <c r="DZ248" s="134"/>
      <c r="EA248" s="134"/>
      <c r="EB248" s="134"/>
      <c r="EC248" s="134"/>
      <c r="ED248" s="134"/>
      <c r="EE248" s="134"/>
      <c r="EF248" s="301"/>
      <c r="EG248" s="301"/>
      <c r="EH248" s="134"/>
      <c r="EI248" s="134"/>
      <c r="EJ248" s="134"/>
      <c r="EK248" s="134"/>
    </row>
    <row r="249" spans="1:141">
      <c r="A249" s="79" t="s">
        <v>1003</v>
      </c>
      <c r="B249" s="117">
        <v>185</v>
      </c>
      <c r="C249" s="123" t="s">
        <v>2102</v>
      </c>
      <c r="D249" s="124" t="s">
        <v>2358</v>
      </c>
      <c r="E249" s="125">
        <v>2014</v>
      </c>
      <c r="F249" s="79">
        <v>24887568</v>
      </c>
      <c r="G249" s="79">
        <v>1</v>
      </c>
      <c r="H249" s="126"/>
      <c r="I249" s="127"/>
      <c r="J249" s="79">
        <v>1</v>
      </c>
      <c r="K249" s="79"/>
      <c r="L249" s="79">
        <v>1</v>
      </c>
      <c r="M249" s="128">
        <v>2</v>
      </c>
      <c r="N249" s="79" t="s">
        <v>1464</v>
      </c>
      <c r="O249" s="79" t="s">
        <v>1216</v>
      </c>
      <c r="P249" s="79" t="s">
        <v>1127</v>
      </c>
      <c r="Q249" s="79"/>
      <c r="R249" s="79" t="s">
        <v>1462</v>
      </c>
      <c r="S249" s="79" t="s">
        <v>803</v>
      </c>
      <c r="T249" s="79" t="s">
        <v>23</v>
      </c>
      <c r="U249" s="79" t="s">
        <v>1465</v>
      </c>
      <c r="V249" s="79"/>
      <c r="W249" s="79" t="s">
        <v>1463</v>
      </c>
      <c r="X249" s="79"/>
      <c r="Y249" s="79"/>
      <c r="Z249" s="79"/>
      <c r="AA249" s="154"/>
      <c r="AB249" s="155"/>
      <c r="AC249" s="121">
        <v>4</v>
      </c>
      <c r="AD249" s="202"/>
      <c r="AE249" s="192"/>
      <c r="AF249" s="203"/>
      <c r="AG249" s="121"/>
      <c r="AH249" s="121"/>
      <c r="AI249" s="121"/>
      <c r="AJ249" s="121"/>
      <c r="AK249" s="121"/>
      <c r="AL249" s="121"/>
      <c r="AM249" s="121"/>
      <c r="AN249" s="121"/>
      <c r="AO249" s="121"/>
      <c r="AP249" s="121"/>
      <c r="AQ249" s="121"/>
      <c r="AR249" s="121"/>
      <c r="AS249" s="121"/>
      <c r="AT249" s="121"/>
      <c r="AU249" s="121"/>
      <c r="AV249" s="156"/>
      <c r="AW249" s="156"/>
      <c r="AX249" s="156"/>
      <c r="AY249" s="156"/>
      <c r="AZ249" s="156">
        <v>1</v>
      </c>
      <c r="BA249" s="156"/>
      <c r="BB249" s="156"/>
      <c r="BC249" s="156"/>
      <c r="BD249" s="157"/>
      <c r="BE249" s="134"/>
      <c r="BF249" s="134"/>
      <c r="BG249" s="134"/>
      <c r="BH249" s="134"/>
      <c r="BI249" s="134"/>
      <c r="BJ249" s="259"/>
      <c r="BK249" s="138"/>
      <c r="BL249" s="134"/>
      <c r="BM249" s="134"/>
      <c r="BN249" s="134"/>
      <c r="BO249" s="138"/>
      <c r="BP249" s="134"/>
      <c r="BQ249" s="134"/>
      <c r="BR249" s="134"/>
      <c r="BS249" s="288"/>
      <c r="BT249" s="289"/>
      <c r="BU249" s="138"/>
      <c r="BV249" s="134"/>
      <c r="BW249" s="134"/>
      <c r="BX249" s="134"/>
      <c r="BY249" s="138"/>
      <c r="BZ249" s="134"/>
      <c r="CA249" s="134"/>
      <c r="CB249" s="134"/>
      <c r="CC249" s="288"/>
      <c r="CD249" s="289"/>
      <c r="CE249" s="276"/>
      <c r="CF249" s="308"/>
      <c r="CG249" s="138"/>
      <c r="CH249" s="134"/>
      <c r="CI249" s="134"/>
      <c r="CJ249" s="134"/>
      <c r="CK249" s="134"/>
      <c r="CL249" s="134"/>
      <c r="CM249" s="134"/>
      <c r="CN249" s="134"/>
      <c r="CO249" s="300"/>
      <c r="CP249" s="301"/>
      <c r="CQ249" s="134"/>
      <c r="CR249" s="134"/>
      <c r="CS249" s="134"/>
      <c r="CT249" s="134"/>
      <c r="CU249" s="134"/>
      <c r="CV249" s="134"/>
      <c r="CW249" s="134"/>
      <c r="CX249" s="134"/>
      <c r="CY249" s="300"/>
      <c r="CZ249" s="301"/>
      <c r="DA249" s="276"/>
      <c r="DB249" s="277"/>
      <c r="DC249" s="134"/>
      <c r="DD249" s="134"/>
      <c r="DE249" s="134"/>
      <c r="DF249" s="134"/>
      <c r="DG249" s="138"/>
      <c r="DH249" s="134"/>
      <c r="DI249" s="134"/>
      <c r="DJ249" s="134"/>
      <c r="DK249" s="301"/>
      <c r="DL249" s="301"/>
      <c r="DM249" s="134"/>
      <c r="DN249" s="134"/>
      <c r="DO249" s="134"/>
      <c r="DP249" s="134"/>
      <c r="DQ249" s="134"/>
      <c r="DR249" s="134"/>
      <c r="DS249" s="134"/>
      <c r="DT249" s="134"/>
      <c r="DU249" s="301"/>
      <c r="DV249" s="301"/>
      <c r="DW249" s="277"/>
      <c r="DX249" s="134"/>
      <c r="DY249" s="134"/>
      <c r="DZ249" s="134"/>
      <c r="EA249" s="134"/>
      <c r="EB249" s="134"/>
      <c r="EC249" s="134"/>
      <c r="ED249" s="134"/>
      <c r="EE249" s="134"/>
      <c r="EF249" s="301"/>
      <c r="EG249" s="301"/>
      <c r="EH249" s="134"/>
      <c r="EI249" s="134"/>
      <c r="EJ249" s="134"/>
      <c r="EK249" s="134"/>
    </row>
    <row r="250" spans="1:141">
      <c r="A250" s="79" t="s">
        <v>999</v>
      </c>
      <c r="B250" s="117">
        <v>186</v>
      </c>
      <c r="C250" s="123" t="s">
        <v>2103</v>
      </c>
      <c r="D250" s="124" t="s">
        <v>2359</v>
      </c>
      <c r="E250" s="125">
        <v>2015</v>
      </c>
      <c r="F250" s="79">
        <v>26066724</v>
      </c>
      <c r="G250" s="79">
        <v>1</v>
      </c>
      <c r="H250" s="126"/>
      <c r="I250" s="127"/>
      <c r="J250" s="79">
        <v>1</v>
      </c>
      <c r="K250" s="79"/>
      <c r="L250" s="79">
        <v>1</v>
      </c>
      <c r="M250" s="128">
        <v>2</v>
      </c>
      <c r="N250" s="79" t="s">
        <v>73</v>
      </c>
      <c r="O250" s="79" t="s">
        <v>1216</v>
      </c>
      <c r="P250" s="79" t="s">
        <v>1138</v>
      </c>
      <c r="Q250" s="79"/>
      <c r="R250" s="79" t="s">
        <v>1495</v>
      </c>
      <c r="S250" s="79" t="s">
        <v>803</v>
      </c>
      <c r="T250" s="79"/>
      <c r="U250" s="79" t="s">
        <v>1511</v>
      </c>
      <c r="V250" s="79"/>
      <c r="W250" s="79"/>
      <c r="X250" s="79"/>
      <c r="Y250" s="79"/>
      <c r="Z250" s="79"/>
      <c r="AA250" s="154"/>
      <c r="AB250" s="155"/>
      <c r="AC250" s="121">
        <v>5</v>
      </c>
      <c r="AD250" s="202"/>
      <c r="AE250" s="192"/>
      <c r="AF250" s="203"/>
      <c r="AG250" s="121"/>
      <c r="AH250" s="121"/>
      <c r="AI250" s="121"/>
      <c r="AJ250" s="121"/>
      <c r="AK250" s="121"/>
      <c r="AL250" s="121"/>
      <c r="AM250" s="121"/>
      <c r="AN250" s="121"/>
      <c r="AO250" s="121"/>
      <c r="AP250" s="121"/>
      <c r="AQ250" s="121"/>
      <c r="AR250" s="121"/>
      <c r="AS250" s="121"/>
      <c r="AT250" s="121"/>
      <c r="AU250" s="121"/>
      <c r="AV250" s="156"/>
      <c r="AW250" s="156"/>
      <c r="AX250" s="156"/>
      <c r="AY250" s="156"/>
      <c r="AZ250" s="156">
        <v>1</v>
      </c>
      <c r="BA250" s="156"/>
      <c r="BB250" s="156"/>
      <c r="BC250" s="156"/>
      <c r="BD250" s="157"/>
      <c r="BE250" s="134"/>
      <c r="BF250" s="134"/>
      <c r="BG250" s="134"/>
      <c r="BH250" s="134"/>
      <c r="BI250" s="134"/>
      <c r="BJ250" s="259"/>
      <c r="BK250" s="138"/>
      <c r="BL250" s="134"/>
      <c r="BM250" s="134"/>
      <c r="BN250" s="134"/>
      <c r="BO250" s="138"/>
      <c r="BP250" s="134"/>
      <c r="BQ250" s="134"/>
      <c r="BR250" s="134"/>
      <c r="BS250" s="288"/>
      <c r="BT250" s="289"/>
      <c r="BU250" s="138"/>
      <c r="BV250" s="134"/>
      <c r="BW250" s="134"/>
      <c r="BX250" s="134"/>
      <c r="BY250" s="138"/>
      <c r="BZ250" s="134"/>
      <c r="CA250" s="134"/>
      <c r="CB250" s="134"/>
      <c r="CC250" s="288"/>
      <c r="CD250" s="289"/>
      <c r="CE250" s="276"/>
      <c r="CF250" s="308"/>
      <c r="CG250" s="138"/>
      <c r="CH250" s="134"/>
      <c r="CI250" s="134"/>
      <c r="CJ250" s="134"/>
      <c r="CK250" s="134"/>
      <c r="CL250" s="134"/>
      <c r="CM250" s="134"/>
      <c r="CN250" s="134"/>
      <c r="CO250" s="300"/>
      <c r="CP250" s="301"/>
      <c r="CQ250" s="134"/>
      <c r="CR250" s="134"/>
      <c r="CS250" s="134"/>
      <c r="CT250" s="134"/>
      <c r="CU250" s="134"/>
      <c r="CV250" s="134"/>
      <c r="CW250" s="134"/>
      <c r="CX250" s="134"/>
      <c r="CY250" s="300"/>
      <c r="CZ250" s="301"/>
      <c r="DA250" s="276"/>
      <c r="DB250" s="277"/>
      <c r="DC250" s="134"/>
      <c r="DD250" s="134"/>
      <c r="DE250" s="134"/>
      <c r="DF250" s="134"/>
      <c r="DG250" s="138"/>
      <c r="DH250" s="134"/>
      <c r="DI250" s="134"/>
      <c r="DJ250" s="134"/>
      <c r="DK250" s="301"/>
      <c r="DL250" s="301"/>
      <c r="DM250" s="134"/>
      <c r="DN250" s="134"/>
      <c r="DO250" s="134"/>
      <c r="DP250" s="134"/>
      <c r="DQ250" s="134"/>
      <c r="DR250" s="134"/>
      <c r="DS250" s="134"/>
      <c r="DT250" s="134"/>
      <c r="DU250" s="301"/>
      <c r="DV250" s="301"/>
      <c r="DW250" s="277"/>
      <c r="DX250" s="134"/>
      <c r="DY250" s="134"/>
      <c r="DZ250" s="134"/>
      <c r="EA250" s="134"/>
      <c r="EB250" s="134"/>
      <c r="EC250" s="134"/>
      <c r="ED250" s="134"/>
      <c r="EE250" s="134"/>
      <c r="EF250" s="301"/>
      <c r="EG250" s="301"/>
      <c r="EH250" s="134"/>
      <c r="EI250" s="134"/>
      <c r="EJ250" s="134"/>
      <c r="EK250" s="134"/>
    </row>
    <row r="251" spans="1:141">
      <c r="A251" s="79" t="s">
        <v>1000</v>
      </c>
      <c r="B251" s="117">
        <v>187</v>
      </c>
      <c r="C251" s="123" t="s">
        <v>2103</v>
      </c>
      <c r="D251" s="124" t="s">
        <v>2361</v>
      </c>
      <c r="E251" s="125">
        <v>2012</v>
      </c>
      <c r="F251" s="79">
        <v>22659580</v>
      </c>
      <c r="G251" s="79">
        <v>1</v>
      </c>
      <c r="H251" s="126"/>
      <c r="I251" s="127"/>
      <c r="J251" s="79">
        <v>1</v>
      </c>
      <c r="K251" s="79"/>
      <c r="L251" s="79">
        <v>1</v>
      </c>
      <c r="M251" s="128">
        <v>2</v>
      </c>
      <c r="N251" s="79" t="s">
        <v>1470</v>
      </c>
      <c r="O251" s="79" t="s">
        <v>1147</v>
      </c>
      <c r="P251" s="79" t="s">
        <v>1138</v>
      </c>
      <c r="Q251" s="79"/>
      <c r="R251" s="79" t="s">
        <v>1498</v>
      </c>
      <c r="S251" s="79" t="s">
        <v>803</v>
      </c>
      <c r="T251" s="79"/>
      <c r="U251" s="79" t="s">
        <v>1511</v>
      </c>
      <c r="V251" s="79"/>
      <c r="W251" s="79" t="s">
        <v>1374</v>
      </c>
      <c r="X251" s="79"/>
      <c r="Y251" s="79" t="s">
        <v>1471</v>
      </c>
      <c r="Z251" s="79"/>
      <c r="AA251" s="154"/>
      <c r="AB251" s="155"/>
      <c r="AC251" s="121">
        <v>5</v>
      </c>
      <c r="AD251" s="202"/>
      <c r="AE251" s="192"/>
      <c r="AF251" s="203"/>
      <c r="AG251" s="121"/>
      <c r="AH251" s="121"/>
      <c r="AI251" s="121"/>
      <c r="AJ251" s="121"/>
      <c r="AK251" s="121"/>
      <c r="AL251" s="121"/>
      <c r="AM251" s="121"/>
      <c r="AN251" s="121"/>
      <c r="AO251" s="121"/>
      <c r="AP251" s="121"/>
      <c r="AQ251" s="121"/>
      <c r="AR251" s="121"/>
      <c r="AS251" s="121"/>
      <c r="AT251" s="121"/>
      <c r="AU251" s="121"/>
      <c r="AV251" s="156"/>
      <c r="AW251" s="156"/>
      <c r="AX251" s="156"/>
      <c r="AY251" s="156"/>
      <c r="AZ251" s="156">
        <v>1</v>
      </c>
      <c r="BA251" s="156"/>
      <c r="BB251" s="156"/>
      <c r="BC251" s="156"/>
      <c r="BD251" s="157"/>
      <c r="BE251" s="134"/>
      <c r="BF251" s="134"/>
      <c r="BG251" s="134"/>
      <c r="BH251" s="134"/>
      <c r="BI251" s="134"/>
      <c r="BJ251" s="259"/>
      <c r="BK251" s="138"/>
      <c r="BL251" s="134"/>
      <c r="BM251" s="134"/>
      <c r="BN251" s="134"/>
      <c r="BO251" s="138"/>
      <c r="BP251" s="134"/>
      <c r="BQ251" s="134"/>
      <c r="BR251" s="134"/>
      <c r="BS251" s="288"/>
      <c r="BT251" s="289"/>
      <c r="BU251" s="138"/>
      <c r="BV251" s="134"/>
      <c r="BW251" s="134"/>
      <c r="BX251" s="134"/>
      <c r="BY251" s="138"/>
      <c r="BZ251" s="134"/>
      <c r="CA251" s="134"/>
      <c r="CB251" s="134"/>
      <c r="CC251" s="288"/>
      <c r="CD251" s="289"/>
      <c r="CE251" s="276"/>
      <c r="CF251" s="308"/>
      <c r="CG251" s="138"/>
      <c r="CH251" s="134"/>
      <c r="CI251" s="134"/>
      <c r="CJ251" s="134"/>
      <c r="CK251" s="134"/>
      <c r="CL251" s="134"/>
      <c r="CM251" s="134"/>
      <c r="CN251" s="134"/>
      <c r="CO251" s="300"/>
      <c r="CP251" s="301"/>
      <c r="CQ251" s="134"/>
      <c r="CR251" s="134"/>
      <c r="CS251" s="134"/>
      <c r="CT251" s="134"/>
      <c r="CU251" s="134"/>
      <c r="CV251" s="134"/>
      <c r="CW251" s="134"/>
      <c r="CX251" s="134"/>
      <c r="CY251" s="300"/>
      <c r="CZ251" s="301"/>
      <c r="DA251" s="276"/>
      <c r="DB251" s="277"/>
      <c r="DC251" s="134"/>
      <c r="DD251" s="134"/>
      <c r="DE251" s="134"/>
      <c r="DF251" s="134"/>
      <c r="DG251" s="138"/>
      <c r="DH251" s="134"/>
      <c r="DI251" s="134"/>
      <c r="DJ251" s="134"/>
      <c r="DK251" s="301"/>
      <c r="DL251" s="301"/>
      <c r="DM251" s="134"/>
      <c r="DN251" s="134"/>
      <c r="DO251" s="134"/>
      <c r="DP251" s="134"/>
      <c r="DQ251" s="134"/>
      <c r="DR251" s="134"/>
      <c r="DS251" s="134"/>
      <c r="DT251" s="134"/>
      <c r="DU251" s="301"/>
      <c r="DV251" s="301"/>
      <c r="DW251" s="277"/>
      <c r="DX251" s="134"/>
      <c r="DY251" s="134"/>
      <c r="DZ251" s="134"/>
      <c r="EA251" s="134"/>
      <c r="EB251" s="134"/>
      <c r="EC251" s="134"/>
      <c r="ED251" s="134"/>
      <c r="EE251" s="134"/>
      <c r="EF251" s="301"/>
      <c r="EG251" s="301"/>
      <c r="EH251" s="134"/>
      <c r="EI251" s="134"/>
      <c r="EJ251" s="134"/>
      <c r="EK251" s="134"/>
    </row>
    <row r="252" spans="1:141">
      <c r="A252" s="79" t="s">
        <v>998</v>
      </c>
      <c r="B252" s="117">
        <v>188</v>
      </c>
      <c r="C252" s="123" t="s">
        <v>2104</v>
      </c>
      <c r="D252" s="124" t="s">
        <v>2362</v>
      </c>
      <c r="E252" s="125">
        <v>2016</v>
      </c>
      <c r="F252" s="79">
        <v>27616342</v>
      </c>
      <c r="G252" s="79">
        <v>1</v>
      </c>
      <c r="H252" s="126"/>
      <c r="I252" s="127"/>
      <c r="J252" s="79">
        <v>1</v>
      </c>
      <c r="K252" s="79"/>
      <c r="L252" s="79">
        <v>1</v>
      </c>
      <c r="M252" s="128">
        <v>2</v>
      </c>
      <c r="N252" s="79" t="s">
        <v>1472</v>
      </c>
      <c r="O252" s="79" t="s">
        <v>1166</v>
      </c>
      <c r="P252" s="79" t="s">
        <v>1127</v>
      </c>
      <c r="Q252" s="79"/>
      <c r="R252" s="79" t="s">
        <v>1487</v>
      </c>
      <c r="S252" s="79" t="s">
        <v>23</v>
      </c>
      <c r="T252" s="79"/>
      <c r="U252" s="79" t="s">
        <v>1473</v>
      </c>
      <c r="V252" s="79" t="s">
        <v>1474</v>
      </c>
      <c r="W252" s="79"/>
      <c r="X252" s="79"/>
      <c r="Y252" s="79"/>
      <c r="Z252" s="79"/>
      <c r="AA252" s="154"/>
      <c r="AB252" s="155"/>
      <c r="AC252" s="121">
        <v>4</v>
      </c>
      <c r="AD252" s="202"/>
      <c r="AE252" s="192"/>
      <c r="AF252" s="203"/>
      <c r="AG252" s="121"/>
      <c r="AH252" s="121"/>
      <c r="AI252" s="121"/>
      <c r="AJ252" s="121"/>
      <c r="AK252" s="121"/>
      <c r="AL252" s="121"/>
      <c r="AM252" s="121"/>
      <c r="AN252" s="121"/>
      <c r="AO252" s="121"/>
      <c r="AP252" s="121"/>
      <c r="AQ252" s="121"/>
      <c r="AR252" s="121"/>
      <c r="AS252" s="121"/>
      <c r="AT252" s="121"/>
      <c r="AU252" s="121"/>
      <c r="AV252" s="156"/>
      <c r="AW252" s="156"/>
      <c r="AX252" s="156"/>
      <c r="AY252" s="156">
        <v>1</v>
      </c>
      <c r="AZ252" s="156"/>
      <c r="BA252" s="156"/>
      <c r="BB252" s="156"/>
      <c r="BC252" s="156"/>
      <c r="BD252" s="157"/>
      <c r="BE252" s="134"/>
      <c r="BF252" s="134"/>
      <c r="BG252" s="134"/>
      <c r="BH252" s="134"/>
      <c r="BI252" s="134"/>
      <c r="BJ252" s="259"/>
      <c r="BK252" s="138"/>
      <c r="BL252" s="134"/>
      <c r="BM252" s="134"/>
      <c r="BN252" s="134"/>
      <c r="BO252" s="138"/>
      <c r="BP252" s="134"/>
      <c r="BQ252" s="134"/>
      <c r="BR252" s="134"/>
      <c r="BS252" s="288"/>
      <c r="BT252" s="289"/>
      <c r="BU252" s="138"/>
      <c r="BV252" s="134"/>
      <c r="BW252" s="134"/>
      <c r="BX252" s="134"/>
      <c r="BY252" s="138"/>
      <c r="BZ252" s="134"/>
      <c r="CA252" s="134"/>
      <c r="CB252" s="134"/>
      <c r="CC252" s="288"/>
      <c r="CD252" s="289"/>
      <c r="CE252" s="276"/>
      <c r="CF252" s="308"/>
      <c r="CG252" s="138"/>
      <c r="CH252" s="134"/>
      <c r="CI252" s="134"/>
      <c r="CJ252" s="134"/>
      <c r="CK252" s="134"/>
      <c r="CL252" s="134"/>
      <c r="CM252" s="134"/>
      <c r="CN252" s="134"/>
      <c r="CO252" s="300"/>
      <c r="CP252" s="301"/>
      <c r="CQ252" s="134"/>
      <c r="CR252" s="134"/>
      <c r="CS252" s="134"/>
      <c r="CT252" s="134"/>
      <c r="CU252" s="134"/>
      <c r="CV252" s="134"/>
      <c r="CW252" s="134"/>
      <c r="CX252" s="134"/>
      <c r="CY252" s="300"/>
      <c r="CZ252" s="301"/>
      <c r="DA252" s="276"/>
      <c r="DB252" s="277"/>
      <c r="DC252" s="134"/>
      <c r="DD252" s="134"/>
      <c r="DE252" s="134"/>
      <c r="DF252" s="134"/>
      <c r="DG252" s="138"/>
      <c r="DH252" s="134"/>
      <c r="DI252" s="134"/>
      <c r="DJ252" s="134"/>
      <c r="DK252" s="301"/>
      <c r="DL252" s="301"/>
      <c r="DM252" s="134"/>
      <c r="DN252" s="134"/>
      <c r="DO252" s="134"/>
      <c r="DP252" s="134"/>
      <c r="DQ252" s="134"/>
      <c r="DR252" s="134"/>
      <c r="DS252" s="134"/>
      <c r="DT252" s="134"/>
      <c r="DU252" s="301"/>
      <c r="DV252" s="301"/>
      <c r="DW252" s="277"/>
      <c r="DX252" s="134"/>
      <c r="DY252" s="134"/>
      <c r="DZ252" s="134"/>
      <c r="EA252" s="134"/>
      <c r="EB252" s="134"/>
      <c r="EC252" s="134"/>
      <c r="ED252" s="134"/>
      <c r="EE252" s="134"/>
      <c r="EF252" s="301"/>
      <c r="EG252" s="301"/>
      <c r="EH252" s="134"/>
      <c r="EI252" s="134"/>
      <c r="EJ252" s="134"/>
      <c r="EK252" s="134"/>
    </row>
    <row r="253" spans="1:141">
      <c r="A253" s="79" t="s">
        <v>258</v>
      </c>
      <c r="B253" s="117">
        <v>189</v>
      </c>
      <c r="C253" s="123" t="s">
        <v>2001</v>
      </c>
      <c r="D253" s="124" t="s">
        <v>2232</v>
      </c>
      <c r="E253" s="125">
        <v>2010</v>
      </c>
      <c r="F253" s="79">
        <v>21093682</v>
      </c>
      <c r="G253" s="175" t="s">
        <v>1796</v>
      </c>
      <c r="H253" s="126" t="s">
        <v>1745</v>
      </c>
      <c r="I253" s="127" t="s">
        <v>1745</v>
      </c>
      <c r="J253" s="164">
        <v>1</v>
      </c>
      <c r="K253" s="79" t="s">
        <v>1748</v>
      </c>
      <c r="L253" s="79">
        <v>0</v>
      </c>
      <c r="M253" s="128">
        <v>1</v>
      </c>
      <c r="N253" s="79"/>
      <c r="O253" s="79"/>
      <c r="P253" s="79" t="s">
        <v>693</v>
      </c>
      <c r="Q253" s="79"/>
      <c r="R253" s="79"/>
      <c r="S253" s="79"/>
      <c r="T253" s="79"/>
      <c r="U253" s="79"/>
      <c r="V253" s="79"/>
      <c r="W253" s="79"/>
      <c r="X253" s="79"/>
      <c r="Y253" s="79"/>
      <c r="Z253" s="79" t="s">
        <v>516</v>
      </c>
      <c r="AA253" s="154"/>
      <c r="AB253" s="155"/>
      <c r="AC253" s="121"/>
      <c r="AD253" s="202"/>
      <c r="AE253" s="192"/>
      <c r="AF253" s="203"/>
      <c r="AG253" s="121"/>
      <c r="AH253" s="121"/>
      <c r="AI253" s="121"/>
      <c r="AJ253" s="121"/>
      <c r="AK253" s="121"/>
      <c r="AL253" s="121"/>
      <c r="AM253" s="121"/>
      <c r="AN253" s="121"/>
      <c r="AO253" s="121"/>
      <c r="AP253" s="121"/>
      <c r="AQ253" s="121"/>
      <c r="AR253" s="121"/>
      <c r="AS253" s="121"/>
      <c r="AT253" s="121"/>
      <c r="AU253" s="121"/>
      <c r="AV253" s="156"/>
      <c r="AW253" s="156"/>
      <c r="AX253" s="156"/>
      <c r="AY253" s="156"/>
      <c r="AZ253" s="156"/>
      <c r="BA253" s="156"/>
      <c r="BB253" s="156"/>
      <c r="BC253" s="156"/>
      <c r="BD253" s="157"/>
      <c r="BE253" s="134"/>
      <c r="BF253" s="134"/>
      <c r="BG253" s="134"/>
      <c r="BH253" s="134"/>
      <c r="BI253" s="134"/>
      <c r="BJ253" s="259"/>
      <c r="BK253" s="138"/>
      <c r="BL253" s="134"/>
      <c r="BM253" s="134"/>
      <c r="BN253" s="134"/>
      <c r="BO253" s="138"/>
      <c r="BP253" s="134"/>
      <c r="BQ253" s="134"/>
      <c r="BR253" s="134"/>
      <c r="BS253" s="288"/>
      <c r="BT253" s="289"/>
      <c r="BU253" s="138"/>
      <c r="BV253" s="134"/>
      <c r="BW253" s="134"/>
      <c r="BX253" s="134"/>
      <c r="BY253" s="138"/>
      <c r="BZ253" s="134"/>
      <c r="CA253" s="134"/>
      <c r="CB253" s="134"/>
      <c r="CC253" s="288"/>
      <c r="CD253" s="289"/>
      <c r="CE253" s="276"/>
      <c r="CF253" s="308"/>
      <c r="CG253" s="138"/>
      <c r="CH253" s="134"/>
      <c r="CI253" s="134"/>
      <c r="CJ253" s="134"/>
      <c r="CK253" s="134"/>
      <c r="CL253" s="134"/>
      <c r="CM253" s="134"/>
      <c r="CN253" s="134"/>
      <c r="CO253" s="300"/>
      <c r="CP253" s="301"/>
      <c r="CQ253" s="134"/>
      <c r="CR253" s="134"/>
      <c r="CS253" s="134"/>
      <c r="CT253" s="134"/>
      <c r="CU253" s="134"/>
      <c r="CV253" s="134"/>
      <c r="CW253" s="134"/>
      <c r="CX253" s="134"/>
      <c r="CY253" s="300"/>
      <c r="CZ253" s="301"/>
      <c r="DA253" s="276"/>
      <c r="DB253" s="277"/>
      <c r="DC253" s="134"/>
      <c r="DD253" s="134"/>
      <c r="DE253" s="134"/>
      <c r="DF253" s="134"/>
      <c r="DG253" s="138"/>
      <c r="DH253" s="134"/>
      <c r="DI253" s="134"/>
      <c r="DJ253" s="134"/>
      <c r="DK253" s="301"/>
      <c r="DL253" s="301"/>
      <c r="DM253" s="134"/>
      <c r="DN253" s="134"/>
      <c r="DO253" s="134"/>
      <c r="DP253" s="134"/>
      <c r="DQ253" s="134"/>
      <c r="DR253" s="134"/>
      <c r="DS253" s="134"/>
      <c r="DT253" s="134"/>
      <c r="DU253" s="301"/>
      <c r="DV253" s="301"/>
      <c r="DW253" s="277"/>
      <c r="DX253" s="134"/>
      <c r="DY253" s="134"/>
      <c r="DZ253" s="134"/>
      <c r="EA253" s="134"/>
      <c r="EB253" s="134"/>
      <c r="EC253" s="134"/>
      <c r="ED253" s="134"/>
      <c r="EE253" s="134"/>
      <c r="EF253" s="301"/>
      <c r="EG253" s="301"/>
      <c r="EH253" s="134"/>
      <c r="EI253" s="134"/>
      <c r="EJ253" s="134"/>
      <c r="EK253" s="134"/>
    </row>
    <row r="254" spans="1:141">
      <c r="A254" s="79" t="s">
        <v>259</v>
      </c>
      <c r="B254" s="117">
        <v>190</v>
      </c>
      <c r="C254" s="123" t="s">
        <v>2002</v>
      </c>
      <c r="D254" s="124" t="s">
        <v>2233</v>
      </c>
      <c r="E254" s="125">
        <v>2012</v>
      </c>
      <c r="F254" s="79">
        <v>22468823</v>
      </c>
      <c r="G254" s="79">
        <v>1</v>
      </c>
      <c r="H254" s="126" t="s">
        <v>1745</v>
      </c>
      <c r="I254" s="127" t="s">
        <v>1745</v>
      </c>
      <c r="J254" s="164">
        <v>1</v>
      </c>
      <c r="K254" s="79" t="s">
        <v>1748</v>
      </c>
      <c r="L254" s="164">
        <v>1</v>
      </c>
      <c r="M254" s="128">
        <v>1</v>
      </c>
      <c r="N254" s="79" t="s">
        <v>695</v>
      </c>
      <c r="O254" s="79" t="s">
        <v>1172</v>
      </c>
      <c r="P254" s="79" t="s">
        <v>27</v>
      </c>
      <c r="Q254" s="79">
        <v>0</v>
      </c>
      <c r="R254" s="79"/>
      <c r="S254" s="79"/>
      <c r="T254" s="79"/>
      <c r="U254" s="79" t="s">
        <v>694</v>
      </c>
      <c r="V254" s="79"/>
      <c r="W254" s="79"/>
      <c r="X254" s="79"/>
      <c r="Y254" s="79"/>
      <c r="Z254" s="79" t="s">
        <v>696</v>
      </c>
      <c r="AA254" s="154"/>
      <c r="AB254" s="155"/>
      <c r="AC254" s="121"/>
      <c r="AD254" s="202"/>
      <c r="AE254" s="192"/>
      <c r="AF254" s="203"/>
      <c r="AG254" s="121"/>
      <c r="AH254" s="121"/>
      <c r="AI254" s="121"/>
      <c r="AJ254" s="121"/>
      <c r="AK254" s="121"/>
      <c r="AL254" s="121"/>
      <c r="AM254" s="121"/>
      <c r="AN254" s="121"/>
      <c r="AO254" s="121"/>
      <c r="AP254" s="121"/>
      <c r="AQ254" s="121"/>
      <c r="AR254" s="121"/>
      <c r="AS254" s="121"/>
      <c r="AT254" s="121"/>
      <c r="AU254" s="121"/>
      <c r="AV254" s="156"/>
      <c r="AW254" s="156"/>
      <c r="AX254" s="156">
        <v>1</v>
      </c>
      <c r="AY254" s="156"/>
      <c r="AZ254" s="156">
        <v>1</v>
      </c>
      <c r="BA254" s="156"/>
      <c r="BB254" s="156"/>
      <c r="BC254" s="156"/>
      <c r="BD254" s="157"/>
      <c r="BE254" s="134"/>
      <c r="BF254" s="134"/>
      <c r="BG254" s="134"/>
      <c r="BH254" s="134"/>
      <c r="BI254" s="134"/>
      <c r="BJ254" s="259"/>
      <c r="BK254" s="138"/>
      <c r="BL254" s="134"/>
      <c r="BM254" s="134"/>
      <c r="BN254" s="134"/>
      <c r="BO254" s="138"/>
      <c r="BP254" s="134"/>
      <c r="BQ254" s="134"/>
      <c r="BR254" s="134"/>
      <c r="BS254" s="288"/>
      <c r="BT254" s="289"/>
      <c r="BU254" s="138"/>
      <c r="BV254" s="134"/>
      <c r="BW254" s="134"/>
      <c r="BX254" s="134"/>
      <c r="BY254" s="138"/>
      <c r="BZ254" s="134"/>
      <c r="CA254" s="134"/>
      <c r="CB254" s="134"/>
      <c r="CC254" s="288"/>
      <c r="CD254" s="289"/>
      <c r="CE254" s="276"/>
      <c r="CF254" s="308"/>
      <c r="CG254" s="138"/>
      <c r="CH254" s="134"/>
      <c r="CI254" s="134"/>
      <c r="CJ254" s="134"/>
      <c r="CK254" s="134"/>
      <c r="CL254" s="134"/>
      <c r="CM254" s="134"/>
      <c r="CN254" s="134"/>
      <c r="CO254" s="300"/>
      <c r="CP254" s="301"/>
      <c r="CQ254" s="134"/>
      <c r="CR254" s="134"/>
      <c r="CS254" s="134"/>
      <c r="CT254" s="134"/>
      <c r="CU254" s="134"/>
      <c r="CV254" s="134"/>
      <c r="CW254" s="134"/>
      <c r="CX254" s="134"/>
      <c r="CY254" s="300"/>
      <c r="CZ254" s="301"/>
      <c r="DA254" s="276"/>
      <c r="DB254" s="277"/>
      <c r="DC254" s="134"/>
      <c r="DD254" s="134"/>
      <c r="DE254" s="134"/>
      <c r="DF254" s="134"/>
      <c r="DG254" s="138"/>
      <c r="DH254" s="134"/>
      <c r="DI254" s="134"/>
      <c r="DJ254" s="134"/>
      <c r="DK254" s="301"/>
      <c r="DL254" s="301"/>
      <c r="DM254" s="134"/>
      <c r="DN254" s="134"/>
      <c r="DO254" s="134"/>
      <c r="DP254" s="134"/>
      <c r="DQ254" s="134"/>
      <c r="DR254" s="134"/>
      <c r="DS254" s="134"/>
      <c r="DT254" s="134"/>
      <c r="DU254" s="301"/>
      <c r="DV254" s="301"/>
      <c r="DW254" s="277"/>
      <c r="DX254" s="134"/>
      <c r="DY254" s="134"/>
      <c r="DZ254" s="134"/>
      <c r="EA254" s="134"/>
      <c r="EB254" s="134"/>
      <c r="EC254" s="134"/>
      <c r="ED254" s="134"/>
      <c r="EE254" s="134"/>
      <c r="EF254" s="301"/>
      <c r="EG254" s="301"/>
      <c r="EH254" s="134"/>
      <c r="EI254" s="134"/>
      <c r="EJ254" s="134"/>
      <c r="EK254" s="134"/>
    </row>
    <row r="255" spans="1:141">
      <c r="A255" s="79" t="s">
        <v>991</v>
      </c>
      <c r="B255" s="117">
        <v>191</v>
      </c>
      <c r="C255" s="123" t="s">
        <v>2109</v>
      </c>
      <c r="D255" s="124" t="s">
        <v>2368</v>
      </c>
      <c r="E255" s="125">
        <v>2013</v>
      </c>
      <c r="F255" s="79">
        <v>23624119</v>
      </c>
      <c r="G255" s="79">
        <v>1</v>
      </c>
      <c r="H255" s="126">
        <v>1</v>
      </c>
      <c r="I255" s="127"/>
      <c r="J255" s="79">
        <v>1</v>
      </c>
      <c r="K255" s="79"/>
      <c r="L255" s="79">
        <v>1</v>
      </c>
      <c r="M255" s="128">
        <v>2</v>
      </c>
      <c r="N255" s="79" t="s">
        <v>24</v>
      </c>
      <c r="O255" s="79"/>
      <c r="P255" s="79" t="s">
        <v>1138</v>
      </c>
      <c r="Q255" s="79"/>
      <c r="R255" s="79" t="s">
        <v>1498</v>
      </c>
      <c r="S255" s="79"/>
      <c r="T255" s="79"/>
      <c r="U255" s="79" t="s">
        <v>1521</v>
      </c>
      <c r="V255" s="79"/>
      <c r="W255" s="79" t="s">
        <v>1132</v>
      </c>
      <c r="X255" s="79"/>
      <c r="Y255" s="79"/>
      <c r="Z255" s="79" t="s">
        <v>1279</v>
      </c>
      <c r="AA255" s="154"/>
      <c r="AB255" s="155"/>
      <c r="AC255" s="121">
        <v>5</v>
      </c>
      <c r="AD255" s="202"/>
      <c r="AE255" s="192"/>
      <c r="AF255" s="203"/>
      <c r="AG255" s="121"/>
      <c r="AH255" s="121"/>
      <c r="AI255" s="121"/>
      <c r="AJ255" s="121"/>
      <c r="AK255" s="121"/>
      <c r="AL255" s="121"/>
      <c r="AM255" s="121"/>
      <c r="AN255" s="121"/>
      <c r="AO255" s="121"/>
      <c r="AP255" s="121"/>
      <c r="AQ255" s="121"/>
      <c r="AR255" s="121"/>
      <c r="AS255" s="121"/>
      <c r="AT255" s="121"/>
      <c r="AU255" s="121"/>
      <c r="AV255" s="156"/>
      <c r="AW255" s="156"/>
      <c r="AX255" s="156"/>
      <c r="AY255" s="156"/>
      <c r="AZ255" s="156"/>
      <c r="BA255" s="156"/>
      <c r="BB255" s="156"/>
      <c r="BC255" s="156"/>
      <c r="BD255" s="157"/>
      <c r="BE255" s="134"/>
      <c r="BF255" s="134"/>
      <c r="BG255" s="134"/>
      <c r="BH255" s="134"/>
      <c r="BI255" s="134"/>
      <c r="BJ255" s="259"/>
      <c r="BK255" s="138"/>
      <c r="BL255" s="134"/>
      <c r="BM255" s="134"/>
      <c r="BN255" s="134"/>
      <c r="BO255" s="138"/>
      <c r="BP255" s="134"/>
      <c r="BQ255" s="134"/>
      <c r="BR255" s="134"/>
      <c r="BS255" s="288"/>
      <c r="BT255" s="289"/>
      <c r="BU255" s="138"/>
      <c r="BV255" s="134"/>
      <c r="BW255" s="134"/>
      <c r="BX255" s="134"/>
      <c r="BY255" s="138"/>
      <c r="BZ255" s="134"/>
      <c r="CA255" s="134"/>
      <c r="CB255" s="134"/>
      <c r="CC255" s="288"/>
      <c r="CD255" s="289"/>
      <c r="CE255" s="276"/>
      <c r="CF255" s="308"/>
      <c r="CG255" s="138"/>
      <c r="CH255" s="134"/>
      <c r="CI255" s="134"/>
      <c r="CJ255" s="134"/>
      <c r="CK255" s="134"/>
      <c r="CL255" s="134"/>
      <c r="CM255" s="134"/>
      <c r="CN255" s="134"/>
      <c r="CO255" s="300"/>
      <c r="CP255" s="301"/>
      <c r="CQ255" s="134"/>
      <c r="CR255" s="134"/>
      <c r="CS255" s="134"/>
      <c r="CT255" s="134"/>
      <c r="CU255" s="134"/>
      <c r="CV255" s="134"/>
      <c r="CW255" s="134"/>
      <c r="CX255" s="134"/>
      <c r="CY255" s="300"/>
      <c r="CZ255" s="301"/>
      <c r="DA255" s="276"/>
      <c r="DB255" s="277"/>
      <c r="DC255" s="134"/>
      <c r="DD255" s="134"/>
      <c r="DE255" s="134"/>
      <c r="DF255" s="134"/>
      <c r="DG255" s="138"/>
      <c r="DH255" s="134"/>
      <c r="DI255" s="134"/>
      <c r="DJ255" s="134"/>
      <c r="DK255" s="301"/>
      <c r="DL255" s="301"/>
      <c r="DM255" s="134"/>
      <c r="DN255" s="134"/>
      <c r="DO255" s="134"/>
      <c r="DP255" s="134"/>
      <c r="DQ255" s="134"/>
      <c r="DR255" s="134"/>
      <c r="DS255" s="134"/>
      <c r="DT255" s="134"/>
      <c r="DU255" s="301"/>
      <c r="DV255" s="301"/>
      <c r="DW255" s="277"/>
      <c r="DX255" s="134"/>
      <c r="DY255" s="134"/>
      <c r="DZ255" s="134"/>
      <c r="EA255" s="134"/>
      <c r="EB255" s="134"/>
      <c r="EC255" s="134"/>
      <c r="ED255" s="134"/>
      <c r="EE255" s="134"/>
      <c r="EF255" s="301"/>
      <c r="EG255" s="301"/>
      <c r="EH255" s="134"/>
      <c r="EI255" s="134"/>
      <c r="EJ255" s="134"/>
      <c r="EK255" s="134"/>
    </row>
    <row r="256" spans="1:141">
      <c r="A256" s="79" t="s">
        <v>263</v>
      </c>
      <c r="B256" s="117">
        <v>192</v>
      </c>
      <c r="C256" s="123" t="s">
        <v>2003</v>
      </c>
      <c r="D256" s="124" t="s">
        <v>2234</v>
      </c>
      <c r="E256" s="125">
        <v>2013</v>
      </c>
      <c r="F256" s="79">
        <v>23684979</v>
      </c>
      <c r="G256" s="79">
        <v>1</v>
      </c>
      <c r="H256" s="126" t="s">
        <v>1780</v>
      </c>
      <c r="I256" s="127" t="s">
        <v>1762</v>
      </c>
      <c r="J256" s="79">
        <v>1</v>
      </c>
      <c r="K256" s="79" t="s">
        <v>1749</v>
      </c>
      <c r="L256" s="79">
        <v>1</v>
      </c>
      <c r="M256" s="128">
        <v>1</v>
      </c>
      <c r="N256" s="79" t="s">
        <v>703</v>
      </c>
      <c r="O256" s="79" t="s">
        <v>1163</v>
      </c>
      <c r="P256" s="79" t="s">
        <v>25</v>
      </c>
      <c r="Q256" s="79">
        <v>1</v>
      </c>
      <c r="R256" s="79"/>
      <c r="S256" s="79"/>
      <c r="T256" s="79"/>
      <c r="U256" s="79" t="s">
        <v>701</v>
      </c>
      <c r="V256" s="79" t="s">
        <v>702</v>
      </c>
      <c r="W256" s="79"/>
      <c r="X256" s="79"/>
      <c r="Y256" s="79"/>
      <c r="Z256" s="79"/>
      <c r="AA256" s="154"/>
      <c r="AB256" s="155"/>
      <c r="AC256" s="121">
        <v>2</v>
      </c>
      <c r="AD256" s="202"/>
      <c r="AE256" s="192"/>
      <c r="AF256" s="203"/>
      <c r="AG256" s="121"/>
      <c r="AH256" s="121"/>
      <c r="AI256" s="121"/>
      <c r="AJ256" s="121"/>
      <c r="AK256" s="121"/>
      <c r="AL256" s="121"/>
      <c r="AM256" s="121"/>
      <c r="AN256" s="121"/>
      <c r="AO256" s="121"/>
      <c r="AP256" s="121"/>
      <c r="AQ256" s="121"/>
      <c r="AR256" s="121"/>
      <c r="AS256" s="121"/>
      <c r="AT256" s="121"/>
      <c r="AU256" s="121"/>
      <c r="AV256" s="156"/>
      <c r="AW256" s="156"/>
      <c r="AX256" s="156"/>
      <c r="AY256" s="156">
        <v>1</v>
      </c>
      <c r="AZ256" s="156"/>
      <c r="BA256" s="156"/>
      <c r="BB256" s="156"/>
      <c r="BC256" s="156"/>
      <c r="BD256" s="157"/>
      <c r="BE256" s="134"/>
      <c r="BF256" s="134"/>
      <c r="BG256" s="134"/>
      <c r="BH256" s="134"/>
      <c r="BI256" s="134"/>
      <c r="BJ256" s="259"/>
      <c r="BK256" s="138"/>
      <c r="BL256" s="134"/>
      <c r="BM256" s="134"/>
      <c r="BN256" s="134"/>
      <c r="BO256" s="138"/>
      <c r="BP256" s="134"/>
      <c r="BQ256" s="134"/>
      <c r="BR256" s="134"/>
      <c r="BS256" s="288"/>
      <c r="BT256" s="289"/>
      <c r="BU256" s="138"/>
      <c r="BV256" s="134"/>
      <c r="BW256" s="134"/>
      <c r="BX256" s="134"/>
      <c r="BY256" s="138"/>
      <c r="BZ256" s="134"/>
      <c r="CA256" s="134"/>
      <c r="CB256" s="134"/>
      <c r="CC256" s="288"/>
      <c r="CD256" s="289"/>
      <c r="CE256" s="276"/>
      <c r="CF256" s="308"/>
      <c r="CG256" s="138"/>
      <c r="CH256" s="134"/>
      <c r="CI256" s="134"/>
      <c r="CJ256" s="134"/>
      <c r="CK256" s="134"/>
      <c r="CL256" s="134"/>
      <c r="CM256" s="134"/>
      <c r="CN256" s="134"/>
      <c r="CO256" s="300"/>
      <c r="CP256" s="301"/>
      <c r="CQ256" s="134"/>
      <c r="CR256" s="134"/>
      <c r="CS256" s="134"/>
      <c r="CT256" s="134"/>
      <c r="CU256" s="134"/>
      <c r="CV256" s="134"/>
      <c r="CW256" s="134"/>
      <c r="CX256" s="134"/>
      <c r="CY256" s="300"/>
      <c r="CZ256" s="301"/>
      <c r="DA256" s="276"/>
      <c r="DB256" s="277"/>
      <c r="DC256" s="134"/>
      <c r="DD256" s="134"/>
      <c r="DE256" s="134"/>
      <c r="DF256" s="134"/>
      <c r="DG256" s="138"/>
      <c r="DH256" s="134"/>
      <c r="DI256" s="134"/>
      <c r="DJ256" s="134"/>
      <c r="DK256" s="301"/>
      <c r="DL256" s="301"/>
      <c r="DM256" s="134"/>
      <c r="DN256" s="134"/>
      <c r="DO256" s="134"/>
      <c r="DP256" s="134"/>
      <c r="DQ256" s="134"/>
      <c r="DR256" s="134"/>
      <c r="DS256" s="134"/>
      <c r="DT256" s="134"/>
      <c r="DU256" s="301"/>
      <c r="DV256" s="301"/>
      <c r="DW256" s="277"/>
      <c r="DX256" s="134"/>
      <c r="DY256" s="134"/>
      <c r="DZ256" s="134"/>
      <c r="EA256" s="134"/>
      <c r="EB256" s="134"/>
      <c r="EC256" s="134"/>
      <c r="ED256" s="134"/>
      <c r="EE256" s="134"/>
      <c r="EF256" s="301"/>
      <c r="EG256" s="301"/>
      <c r="EH256" s="134"/>
      <c r="EI256" s="134"/>
      <c r="EJ256" s="134"/>
      <c r="EK256" s="134"/>
    </row>
    <row r="257" spans="1:141">
      <c r="A257" s="79" t="s">
        <v>989</v>
      </c>
      <c r="B257" s="117">
        <v>193</v>
      </c>
      <c r="C257" s="123" t="s">
        <v>2110</v>
      </c>
      <c r="D257" s="124" t="s">
        <v>2369</v>
      </c>
      <c r="E257" s="125">
        <v>2015</v>
      </c>
      <c r="F257" s="79">
        <v>25575638</v>
      </c>
      <c r="G257" s="175">
        <v>1</v>
      </c>
      <c r="H257" s="126" t="s">
        <v>1823</v>
      </c>
      <c r="I257" s="127"/>
      <c r="J257" s="79">
        <v>0</v>
      </c>
      <c r="K257" s="79"/>
      <c r="L257" s="153">
        <v>0</v>
      </c>
      <c r="M257" s="128">
        <v>2</v>
      </c>
      <c r="N257" s="79" t="s">
        <v>24</v>
      </c>
      <c r="O257" s="79"/>
      <c r="P257" s="79" t="s">
        <v>1523</v>
      </c>
      <c r="Q257" s="79"/>
      <c r="R257" s="79" t="s">
        <v>1488</v>
      </c>
      <c r="S257" s="79" t="s">
        <v>803</v>
      </c>
      <c r="T257" s="79" t="s">
        <v>23</v>
      </c>
      <c r="U257" s="79" t="s">
        <v>1524</v>
      </c>
      <c r="V257" s="79"/>
      <c r="W257" s="79"/>
      <c r="X257" s="79"/>
      <c r="Y257" s="79"/>
      <c r="Z257" s="79" t="s">
        <v>1279</v>
      </c>
      <c r="AA257" s="154"/>
      <c r="AB257" s="155"/>
      <c r="AC257" s="121">
        <v>4</v>
      </c>
      <c r="AD257" s="202"/>
      <c r="AE257" s="192"/>
      <c r="AF257" s="203"/>
      <c r="AG257" s="121"/>
      <c r="AH257" s="121"/>
      <c r="AI257" s="121"/>
      <c r="AJ257" s="121"/>
      <c r="AK257" s="121"/>
      <c r="AL257" s="121"/>
      <c r="AM257" s="121"/>
      <c r="AN257" s="121"/>
      <c r="AO257" s="121"/>
      <c r="AP257" s="121"/>
      <c r="AQ257" s="121"/>
      <c r="AR257" s="121"/>
      <c r="AS257" s="121"/>
      <c r="AT257" s="121"/>
      <c r="AU257" s="121"/>
      <c r="AV257" s="156"/>
      <c r="AW257" s="156"/>
      <c r="AX257" s="156"/>
      <c r="AY257" s="156"/>
      <c r="AZ257" s="156"/>
      <c r="BA257" s="156"/>
      <c r="BB257" s="156"/>
      <c r="BC257" s="156"/>
      <c r="BD257" s="157"/>
      <c r="BE257" s="134"/>
      <c r="BF257" s="134"/>
      <c r="BG257" s="134"/>
      <c r="BH257" s="134"/>
      <c r="BI257" s="134"/>
      <c r="BJ257" s="259"/>
      <c r="BK257" s="138"/>
      <c r="BL257" s="134"/>
      <c r="BM257" s="134"/>
      <c r="BN257" s="134"/>
      <c r="BO257" s="138"/>
      <c r="BP257" s="134"/>
      <c r="BQ257" s="134"/>
      <c r="BR257" s="134"/>
      <c r="BS257" s="288"/>
      <c r="BT257" s="289"/>
      <c r="BU257" s="138"/>
      <c r="BV257" s="134"/>
      <c r="BW257" s="134"/>
      <c r="BX257" s="134"/>
      <c r="BY257" s="138"/>
      <c r="BZ257" s="134"/>
      <c r="CA257" s="134"/>
      <c r="CB257" s="134"/>
      <c r="CC257" s="288"/>
      <c r="CD257" s="289"/>
      <c r="CE257" s="276"/>
      <c r="CF257" s="308"/>
      <c r="CG257" s="138"/>
      <c r="CH257" s="134"/>
      <c r="CI257" s="134"/>
      <c r="CJ257" s="134"/>
      <c r="CK257" s="134"/>
      <c r="CL257" s="134"/>
      <c r="CM257" s="134"/>
      <c r="CN257" s="134"/>
      <c r="CO257" s="300"/>
      <c r="CP257" s="301"/>
      <c r="CQ257" s="134"/>
      <c r="CR257" s="134"/>
      <c r="CS257" s="134"/>
      <c r="CT257" s="134"/>
      <c r="CU257" s="134"/>
      <c r="CV257" s="134"/>
      <c r="CW257" s="134"/>
      <c r="CX257" s="134"/>
      <c r="CY257" s="300"/>
      <c r="CZ257" s="301"/>
      <c r="DA257" s="276"/>
      <c r="DB257" s="277"/>
      <c r="DC257" s="134"/>
      <c r="DD257" s="134"/>
      <c r="DE257" s="134"/>
      <c r="DF257" s="134"/>
      <c r="DG257" s="138"/>
      <c r="DH257" s="134"/>
      <c r="DI257" s="134"/>
      <c r="DJ257" s="134"/>
      <c r="DK257" s="301"/>
      <c r="DL257" s="301"/>
      <c r="DM257" s="134"/>
      <c r="DN257" s="134"/>
      <c r="DO257" s="134"/>
      <c r="DP257" s="134"/>
      <c r="DQ257" s="134"/>
      <c r="DR257" s="134"/>
      <c r="DS257" s="134"/>
      <c r="DT257" s="134"/>
      <c r="DU257" s="301"/>
      <c r="DV257" s="301"/>
      <c r="DW257" s="277"/>
      <c r="DX257" s="134"/>
      <c r="DY257" s="134"/>
      <c r="DZ257" s="134"/>
      <c r="EA257" s="134"/>
      <c r="EB257" s="134"/>
      <c r="EC257" s="134"/>
      <c r="ED257" s="134"/>
      <c r="EE257" s="134"/>
      <c r="EF257" s="301"/>
      <c r="EG257" s="301"/>
      <c r="EH257" s="134"/>
      <c r="EI257" s="134"/>
      <c r="EJ257" s="134"/>
      <c r="EK257" s="134"/>
    </row>
    <row r="258" spans="1:141">
      <c r="A258" s="79" t="s">
        <v>271</v>
      </c>
      <c r="B258" s="117">
        <v>194</v>
      </c>
      <c r="C258" s="123" t="s">
        <v>2004</v>
      </c>
      <c r="D258" s="124" t="s">
        <v>2235</v>
      </c>
      <c r="E258" s="125">
        <v>2014</v>
      </c>
      <c r="F258" s="79">
        <v>24786361</v>
      </c>
      <c r="G258" s="79">
        <v>1</v>
      </c>
      <c r="H258" s="126" t="s">
        <v>1781</v>
      </c>
      <c r="I258" s="127" t="s">
        <v>1763</v>
      </c>
      <c r="J258" s="164">
        <v>1</v>
      </c>
      <c r="K258" s="79" t="s">
        <v>1750</v>
      </c>
      <c r="L258" s="164">
        <v>0</v>
      </c>
      <c r="M258" s="128">
        <v>1</v>
      </c>
      <c r="N258" s="79" t="s">
        <v>719</v>
      </c>
      <c r="O258" s="79"/>
      <c r="P258" s="79" t="s">
        <v>25</v>
      </c>
      <c r="Q258" s="79">
        <v>1</v>
      </c>
      <c r="R258" s="79"/>
      <c r="S258" s="79"/>
      <c r="T258" s="79"/>
      <c r="U258" s="79"/>
      <c r="V258" s="79"/>
      <c r="W258" s="79" t="s">
        <v>717</v>
      </c>
      <c r="X258" s="79"/>
      <c r="Y258" s="79"/>
      <c r="Z258" s="79" t="s">
        <v>718</v>
      </c>
      <c r="AA258" s="154"/>
      <c r="AB258" s="155"/>
      <c r="AC258" s="121">
        <v>2</v>
      </c>
      <c r="AD258" s="202"/>
      <c r="AE258" s="192"/>
      <c r="AF258" s="203"/>
      <c r="AG258" s="121"/>
      <c r="AH258" s="121"/>
      <c r="AI258" s="121"/>
      <c r="AJ258" s="121"/>
      <c r="AK258" s="121"/>
      <c r="AL258" s="121"/>
      <c r="AM258" s="121"/>
      <c r="AN258" s="121"/>
      <c r="AO258" s="121"/>
      <c r="AP258" s="121"/>
      <c r="AQ258" s="121"/>
      <c r="AR258" s="121"/>
      <c r="AS258" s="121"/>
      <c r="AT258" s="121"/>
      <c r="AU258" s="121"/>
      <c r="AV258" s="156"/>
      <c r="AW258" s="156"/>
      <c r="AX258" s="156"/>
      <c r="AY258" s="156"/>
      <c r="AZ258" s="156"/>
      <c r="BA258" s="156"/>
      <c r="BB258" s="156"/>
      <c r="BC258" s="156"/>
      <c r="BD258" s="157"/>
      <c r="BE258" s="134"/>
      <c r="BF258" s="134"/>
      <c r="BG258" s="134"/>
      <c r="BH258" s="134"/>
      <c r="BI258" s="134"/>
      <c r="BJ258" s="259"/>
      <c r="BK258" s="138"/>
      <c r="BL258" s="134"/>
      <c r="BM258" s="134"/>
      <c r="BN258" s="134"/>
      <c r="BO258" s="138"/>
      <c r="BP258" s="134"/>
      <c r="BQ258" s="134"/>
      <c r="BR258" s="134"/>
      <c r="BS258" s="288"/>
      <c r="BT258" s="289"/>
      <c r="BU258" s="138"/>
      <c r="BV258" s="134"/>
      <c r="BW258" s="134"/>
      <c r="BX258" s="134"/>
      <c r="BY258" s="138"/>
      <c r="BZ258" s="134"/>
      <c r="CA258" s="134"/>
      <c r="CB258" s="134"/>
      <c r="CC258" s="288"/>
      <c r="CD258" s="289"/>
      <c r="CE258" s="276"/>
      <c r="CF258" s="308"/>
      <c r="CG258" s="138"/>
      <c r="CH258" s="134"/>
      <c r="CI258" s="134"/>
      <c r="CJ258" s="134"/>
      <c r="CK258" s="134"/>
      <c r="CL258" s="134"/>
      <c r="CM258" s="134"/>
      <c r="CN258" s="134"/>
      <c r="CO258" s="300"/>
      <c r="CP258" s="301"/>
      <c r="CQ258" s="134"/>
      <c r="CR258" s="134"/>
      <c r="CS258" s="134"/>
      <c r="CT258" s="134"/>
      <c r="CU258" s="134"/>
      <c r="CV258" s="134"/>
      <c r="CW258" s="134"/>
      <c r="CX258" s="134"/>
      <c r="CY258" s="300"/>
      <c r="CZ258" s="301"/>
      <c r="DA258" s="276"/>
      <c r="DB258" s="277"/>
      <c r="DC258" s="134"/>
      <c r="DD258" s="134"/>
      <c r="DE258" s="134"/>
      <c r="DF258" s="134"/>
      <c r="DG258" s="138"/>
      <c r="DH258" s="134"/>
      <c r="DI258" s="134"/>
      <c r="DJ258" s="134"/>
      <c r="DK258" s="301"/>
      <c r="DL258" s="301"/>
      <c r="DM258" s="134"/>
      <c r="DN258" s="134"/>
      <c r="DO258" s="134"/>
      <c r="DP258" s="134"/>
      <c r="DQ258" s="134"/>
      <c r="DR258" s="134"/>
      <c r="DS258" s="134"/>
      <c r="DT258" s="134"/>
      <c r="DU258" s="301"/>
      <c r="DV258" s="301"/>
      <c r="DW258" s="277"/>
      <c r="DX258" s="134"/>
      <c r="DY258" s="134"/>
      <c r="DZ258" s="134"/>
      <c r="EA258" s="134"/>
      <c r="EB258" s="134"/>
      <c r="EC258" s="134"/>
      <c r="ED258" s="134"/>
      <c r="EE258" s="134"/>
      <c r="EF258" s="301"/>
      <c r="EG258" s="301"/>
      <c r="EH258" s="134"/>
      <c r="EI258" s="134"/>
      <c r="EJ258" s="134"/>
      <c r="EK258" s="134"/>
    </row>
    <row r="259" spans="1:141">
      <c r="A259" s="79" t="s">
        <v>272</v>
      </c>
      <c r="B259" s="117">
        <v>195</v>
      </c>
      <c r="C259" s="123" t="s">
        <v>2005</v>
      </c>
      <c r="D259" s="124" t="s">
        <v>2236</v>
      </c>
      <c r="E259" s="125">
        <v>2006</v>
      </c>
      <c r="F259" s="79">
        <v>16720800</v>
      </c>
      <c r="G259" s="79">
        <v>1</v>
      </c>
      <c r="H259" s="126"/>
      <c r="I259" s="127"/>
      <c r="J259" s="79">
        <v>1</v>
      </c>
      <c r="K259" s="79"/>
      <c r="L259" s="79">
        <v>1</v>
      </c>
      <c r="M259" s="128">
        <v>1</v>
      </c>
      <c r="N259" s="79" t="s">
        <v>720</v>
      </c>
      <c r="O259" s="79" t="s">
        <v>1172</v>
      </c>
      <c r="P259" s="79" t="s">
        <v>721</v>
      </c>
      <c r="Q259" s="79">
        <v>1</v>
      </c>
      <c r="R259" s="79"/>
      <c r="S259" s="79"/>
      <c r="T259" s="79"/>
      <c r="U259" s="79"/>
      <c r="V259" s="79"/>
      <c r="W259" s="79"/>
      <c r="X259" s="79"/>
      <c r="Y259" s="79"/>
      <c r="Z259" s="79"/>
      <c r="AA259" s="154"/>
      <c r="AB259" s="155"/>
      <c r="AC259" s="121"/>
      <c r="AD259" s="202"/>
      <c r="AE259" s="192"/>
      <c r="AF259" s="203"/>
      <c r="AG259" s="121"/>
      <c r="AH259" s="121"/>
      <c r="AI259" s="121"/>
      <c r="AJ259" s="121"/>
      <c r="AK259" s="121"/>
      <c r="AL259" s="121"/>
      <c r="AM259" s="121"/>
      <c r="AN259" s="121"/>
      <c r="AO259" s="121"/>
      <c r="AP259" s="121"/>
      <c r="AQ259" s="121"/>
      <c r="AR259" s="121"/>
      <c r="AS259" s="121"/>
      <c r="AT259" s="121"/>
      <c r="AU259" s="121"/>
      <c r="AV259" s="156"/>
      <c r="AW259" s="156"/>
      <c r="AX259" s="156">
        <v>1</v>
      </c>
      <c r="AY259" s="156"/>
      <c r="AZ259" s="156">
        <v>1</v>
      </c>
      <c r="BA259" s="156"/>
      <c r="BB259" s="156"/>
      <c r="BC259" s="156"/>
      <c r="BD259" s="157"/>
      <c r="BE259" s="134"/>
      <c r="BF259" s="134"/>
      <c r="BG259" s="134"/>
      <c r="BH259" s="134"/>
      <c r="BI259" s="134"/>
      <c r="BJ259" s="259"/>
      <c r="BK259" s="138"/>
      <c r="BL259" s="134"/>
      <c r="BM259" s="134"/>
      <c r="BN259" s="134"/>
      <c r="BO259" s="138"/>
      <c r="BP259" s="134"/>
      <c r="BQ259" s="134"/>
      <c r="BR259" s="134"/>
      <c r="BS259" s="288"/>
      <c r="BT259" s="289"/>
      <c r="BU259" s="138"/>
      <c r="BV259" s="134"/>
      <c r="BW259" s="134"/>
      <c r="BX259" s="134"/>
      <c r="BY259" s="138"/>
      <c r="BZ259" s="134"/>
      <c r="CA259" s="134"/>
      <c r="CB259" s="134"/>
      <c r="CC259" s="288"/>
      <c r="CD259" s="289"/>
      <c r="CE259" s="276"/>
      <c r="CF259" s="308"/>
      <c r="CG259" s="138"/>
      <c r="CH259" s="134"/>
      <c r="CI259" s="134"/>
      <c r="CJ259" s="134"/>
      <c r="CK259" s="134"/>
      <c r="CL259" s="134"/>
      <c r="CM259" s="134"/>
      <c r="CN259" s="134"/>
      <c r="CO259" s="300"/>
      <c r="CP259" s="301"/>
      <c r="CQ259" s="134"/>
      <c r="CR259" s="134"/>
      <c r="CS259" s="134"/>
      <c r="CT259" s="134"/>
      <c r="CU259" s="134"/>
      <c r="CV259" s="134"/>
      <c r="CW259" s="134"/>
      <c r="CX259" s="134"/>
      <c r="CY259" s="300"/>
      <c r="CZ259" s="301"/>
      <c r="DA259" s="276"/>
      <c r="DB259" s="277"/>
      <c r="DC259" s="134"/>
      <c r="DD259" s="134"/>
      <c r="DE259" s="134"/>
      <c r="DF259" s="134"/>
      <c r="DG259" s="138"/>
      <c r="DH259" s="134"/>
      <c r="DI259" s="134"/>
      <c r="DJ259" s="134"/>
      <c r="DK259" s="301"/>
      <c r="DL259" s="301"/>
      <c r="DM259" s="134"/>
      <c r="DN259" s="134"/>
      <c r="DO259" s="134"/>
      <c r="DP259" s="134"/>
      <c r="DQ259" s="134"/>
      <c r="DR259" s="134"/>
      <c r="DS259" s="134"/>
      <c r="DT259" s="134"/>
      <c r="DU259" s="301"/>
      <c r="DV259" s="301"/>
      <c r="DW259" s="277"/>
      <c r="DX259" s="134"/>
      <c r="DY259" s="134"/>
      <c r="DZ259" s="134"/>
      <c r="EA259" s="134"/>
      <c r="EB259" s="134"/>
      <c r="EC259" s="134"/>
      <c r="ED259" s="134"/>
      <c r="EE259" s="134"/>
      <c r="EF259" s="301"/>
      <c r="EG259" s="301"/>
      <c r="EH259" s="134"/>
      <c r="EI259" s="134"/>
      <c r="EJ259" s="134"/>
      <c r="EK259" s="134"/>
    </row>
    <row r="260" spans="1:141">
      <c r="A260" s="79" t="s">
        <v>986</v>
      </c>
      <c r="B260" s="117">
        <v>196</v>
      </c>
      <c r="C260" s="123" t="s">
        <v>2112</v>
      </c>
      <c r="D260" s="124" t="s">
        <v>2371</v>
      </c>
      <c r="E260" s="125">
        <v>2012</v>
      </c>
      <c r="F260" s="79">
        <v>22842072</v>
      </c>
      <c r="G260" s="79">
        <v>1</v>
      </c>
      <c r="H260" s="126">
        <v>1</v>
      </c>
      <c r="I260" s="127"/>
      <c r="J260" s="79">
        <v>1</v>
      </c>
      <c r="K260" s="79"/>
      <c r="L260" s="79">
        <v>1</v>
      </c>
      <c r="M260" s="128">
        <v>2</v>
      </c>
      <c r="N260" s="79" t="s">
        <v>1529</v>
      </c>
      <c r="O260" s="79" t="s">
        <v>1417</v>
      </c>
      <c r="P260" s="79" t="s">
        <v>1130</v>
      </c>
      <c r="Q260" s="79"/>
      <c r="R260" s="79" t="s">
        <v>1530</v>
      </c>
      <c r="S260" s="79" t="s">
        <v>803</v>
      </c>
      <c r="T260" s="79"/>
      <c r="U260" s="79" t="s">
        <v>1531</v>
      </c>
      <c r="V260" s="79"/>
      <c r="W260" s="79" t="s">
        <v>1532</v>
      </c>
      <c r="X260" s="79"/>
      <c r="Y260" s="79"/>
      <c r="Z260" s="79"/>
      <c r="AA260" s="154"/>
      <c r="AB260" s="155"/>
      <c r="AC260" s="121">
        <v>4</v>
      </c>
      <c r="AD260" s="202"/>
      <c r="AE260" s="192"/>
      <c r="AF260" s="203"/>
      <c r="AG260" s="121"/>
      <c r="AH260" s="121"/>
      <c r="AI260" s="121"/>
      <c r="AJ260" s="121"/>
      <c r="AK260" s="121"/>
      <c r="AL260" s="121"/>
      <c r="AM260" s="121"/>
      <c r="AN260" s="121"/>
      <c r="AO260" s="121"/>
      <c r="AP260" s="121"/>
      <c r="AQ260" s="121"/>
      <c r="AR260" s="121"/>
      <c r="AS260" s="121"/>
      <c r="AT260" s="121"/>
      <c r="AU260" s="121"/>
      <c r="AV260" s="156"/>
      <c r="AW260" s="156"/>
      <c r="AX260" s="156"/>
      <c r="AY260" s="156"/>
      <c r="AZ260" s="156"/>
      <c r="BA260" s="156"/>
      <c r="BB260" s="156"/>
      <c r="BC260" s="156"/>
      <c r="BD260" s="157"/>
      <c r="BE260" s="134"/>
      <c r="BF260" s="134"/>
      <c r="BG260" s="134"/>
      <c r="BH260" s="134"/>
      <c r="BI260" s="134"/>
      <c r="BJ260" s="259"/>
      <c r="BK260" s="138"/>
      <c r="BL260" s="134"/>
      <c r="BM260" s="134"/>
      <c r="BN260" s="134"/>
      <c r="BO260" s="138"/>
      <c r="BP260" s="134"/>
      <c r="BQ260" s="134"/>
      <c r="BR260" s="134"/>
      <c r="BS260" s="288"/>
      <c r="BT260" s="289"/>
      <c r="BU260" s="138"/>
      <c r="BV260" s="134"/>
      <c r="BW260" s="134"/>
      <c r="BX260" s="134"/>
      <c r="BY260" s="138"/>
      <c r="BZ260" s="134"/>
      <c r="CA260" s="134"/>
      <c r="CB260" s="134"/>
      <c r="CC260" s="288"/>
      <c r="CD260" s="289"/>
      <c r="CE260" s="276"/>
      <c r="CF260" s="308"/>
      <c r="CG260" s="138"/>
      <c r="CH260" s="134"/>
      <c r="CI260" s="134"/>
      <c r="CJ260" s="134"/>
      <c r="CK260" s="134"/>
      <c r="CL260" s="134"/>
      <c r="CM260" s="134"/>
      <c r="CN260" s="134"/>
      <c r="CO260" s="300"/>
      <c r="CP260" s="301"/>
      <c r="CQ260" s="134"/>
      <c r="CR260" s="134"/>
      <c r="CS260" s="134"/>
      <c r="CT260" s="134"/>
      <c r="CU260" s="134"/>
      <c r="CV260" s="134"/>
      <c r="CW260" s="134"/>
      <c r="CX260" s="134"/>
      <c r="CY260" s="300"/>
      <c r="CZ260" s="301"/>
      <c r="DA260" s="276"/>
      <c r="DB260" s="277"/>
      <c r="DC260" s="134"/>
      <c r="DD260" s="134"/>
      <c r="DE260" s="134"/>
      <c r="DF260" s="134"/>
      <c r="DG260" s="138"/>
      <c r="DH260" s="134"/>
      <c r="DI260" s="134"/>
      <c r="DJ260" s="134"/>
      <c r="DK260" s="301"/>
      <c r="DL260" s="301"/>
      <c r="DM260" s="134"/>
      <c r="DN260" s="134"/>
      <c r="DO260" s="134"/>
      <c r="DP260" s="134"/>
      <c r="DQ260" s="134"/>
      <c r="DR260" s="134"/>
      <c r="DS260" s="134"/>
      <c r="DT260" s="134"/>
      <c r="DU260" s="301"/>
      <c r="DV260" s="301"/>
      <c r="DW260" s="277"/>
      <c r="DX260" s="134"/>
      <c r="DY260" s="134"/>
      <c r="DZ260" s="134"/>
      <c r="EA260" s="134"/>
      <c r="EB260" s="134"/>
      <c r="EC260" s="134"/>
      <c r="ED260" s="134"/>
      <c r="EE260" s="134"/>
      <c r="EF260" s="301"/>
      <c r="EG260" s="301"/>
      <c r="EH260" s="134"/>
      <c r="EI260" s="134"/>
      <c r="EJ260" s="134"/>
      <c r="EK260" s="134"/>
    </row>
    <row r="261" spans="1:141">
      <c r="A261" s="79" t="s">
        <v>275</v>
      </c>
      <c r="B261" s="117">
        <v>197</v>
      </c>
      <c r="C261" s="123" t="s">
        <v>2007</v>
      </c>
      <c r="D261" s="124" t="s">
        <v>2238</v>
      </c>
      <c r="E261" s="125">
        <v>2016</v>
      </c>
      <c r="F261" s="79">
        <v>27000639</v>
      </c>
      <c r="G261" s="79">
        <v>1</v>
      </c>
      <c r="H261" s="126"/>
      <c r="I261" s="127"/>
      <c r="J261" s="79">
        <v>1</v>
      </c>
      <c r="K261" s="79"/>
      <c r="L261" s="79">
        <v>1</v>
      </c>
      <c r="M261" s="128">
        <v>1</v>
      </c>
      <c r="N261" s="79" t="s">
        <v>726</v>
      </c>
      <c r="O261" s="79"/>
      <c r="P261" s="79" t="s">
        <v>25</v>
      </c>
      <c r="Q261" s="79">
        <v>1</v>
      </c>
      <c r="R261" s="79"/>
      <c r="S261" s="79"/>
      <c r="T261" s="79"/>
      <c r="U261" s="79" t="s">
        <v>725</v>
      </c>
      <c r="V261" s="79"/>
      <c r="W261" s="79"/>
      <c r="X261" s="79"/>
      <c r="Y261" s="79"/>
      <c r="Z261" s="79"/>
      <c r="AA261" s="154"/>
      <c r="AB261" s="155"/>
      <c r="AC261" s="121">
        <v>2</v>
      </c>
      <c r="AD261" s="202"/>
      <c r="AE261" s="192"/>
      <c r="AF261" s="203"/>
      <c r="AG261" s="121"/>
      <c r="AH261" s="121"/>
      <c r="AI261" s="121"/>
      <c r="AJ261" s="121"/>
      <c r="AK261" s="121"/>
      <c r="AL261" s="121"/>
      <c r="AM261" s="121"/>
      <c r="AN261" s="121"/>
      <c r="AO261" s="121"/>
      <c r="AP261" s="121"/>
      <c r="AQ261" s="121"/>
      <c r="AR261" s="121"/>
      <c r="AS261" s="121"/>
      <c r="AT261" s="121"/>
      <c r="AU261" s="121"/>
      <c r="AV261" s="156"/>
      <c r="AW261" s="156"/>
      <c r="AX261" s="156"/>
      <c r="AY261" s="156"/>
      <c r="AZ261" s="156"/>
      <c r="BA261" s="156"/>
      <c r="BB261" s="156"/>
      <c r="BC261" s="156"/>
      <c r="BD261" s="157"/>
      <c r="BE261" s="134"/>
      <c r="BF261" s="134"/>
      <c r="BG261" s="134"/>
      <c r="BH261" s="134"/>
      <c r="BI261" s="134"/>
      <c r="BJ261" s="259"/>
      <c r="BK261" s="138"/>
      <c r="BL261" s="134"/>
      <c r="BM261" s="134"/>
      <c r="BN261" s="134"/>
      <c r="BO261" s="138"/>
      <c r="BP261" s="134"/>
      <c r="BQ261" s="134"/>
      <c r="BR261" s="134"/>
      <c r="BS261" s="288"/>
      <c r="BT261" s="289"/>
      <c r="BU261" s="138"/>
      <c r="BV261" s="134"/>
      <c r="BW261" s="134"/>
      <c r="BX261" s="134"/>
      <c r="BY261" s="138"/>
      <c r="BZ261" s="134"/>
      <c r="CA261" s="134"/>
      <c r="CB261" s="134"/>
      <c r="CC261" s="288"/>
      <c r="CD261" s="289"/>
      <c r="CE261" s="276"/>
      <c r="CF261" s="308"/>
      <c r="CG261" s="138"/>
      <c r="CH261" s="134"/>
      <c r="CI261" s="134"/>
      <c r="CJ261" s="134"/>
      <c r="CK261" s="134"/>
      <c r="CL261" s="134"/>
      <c r="CM261" s="134"/>
      <c r="CN261" s="134"/>
      <c r="CO261" s="300"/>
      <c r="CP261" s="301"/>
      <c r="CQ261" s="134"/>
      <c r="CR261" s="134"/>
      <c r="CS261" s="134"/>
      <c r="CT261" s="134"/>
      <c r="CU261" s="134"/>
      <c r="CV261" s="134"/>
      <c r="CW261" s="134"/>
      <c r="CX261" s="134"/>
      <c r="CY261" s="300"/>
      <c r="CZ261" s="301"/>
      <c r="DA261" s="276"/>
      <c r="DB261" s="277"/>
      <c r="DC261" s="134"/>
      <c r="DD261" s="134"/>
      <c r="DE261" s="134"/>
      <c r="DF261" s="134"/>
      <c r="DG261" s="138"/>
      <c r="DH261" s="134"/>
      <c r="DI261" s="134"/>
      <c r="DJ261" s="134"/>
      <c r="DK261" s="301"/>
      <c r="DL261" s="301"/>
      <c r="DM261" s="134"/>
      <c r="DN261" s="134"/>
      <c r="DO261" s="134"/>
      <c r="DP261" s="134"/>
      <c r="DQ261" s="134"/>
      <c r="DR261" s="134"/>
      <c r="DS261" s="134"/>
      <c r="DT261" s="134"/>
      <c r="DU261" s="301"/>
      <c r="DV261" s="301"/>
      <c r="DW261" s="277"/>
      <c r="DX261" s="134"/>
      <c r="DY261" s="134"/>
      <c r="DZ261" s="134"/>
      <c r="EA261" s="134"/>
      <c r="EB261" s="134"/>
      <c r="EC261" s="134"/>
      <c r="ED261" s="134"/>
      <c r="EE261" s="134"/>
      <c r="EF261" s="301"/>
      <c r="EG261" s="301"/>
      <c r="EH261" s="134"/>
      <c r="EI261" s="134"/>
      <c r="EJ261" s="134"/>
      <c r="EK261" s="134"/>
    </row>
    <row r="262" spans="1:141">
      <c r="A262" s="79" t="s">
        <v>278</v>
      </c>
      <c r="B262" s="117">
        <v>198</v>
      </c>
      <c r="C262" s="123" t="s">
        <v>2008</v>
      </c>
      <c r="D262" s="124" t="s">
        <v>2239</v>
      </c>
      <c r="E262" s="125">
        <v>2015</v>
      </c>
      <c r="F262" s="79">
        <v>25959594</v>
      </c>
      <c r="G262" s="79">
        <v>1</v>
      </c>
      <c r="H262" s="126"/>
      <c r="I262" s="127"/>
      <c r="J262" s="79">
        <v>1</v>
      </c>
      <c r="K262" s="79"/>
      <c r="L262" s="79">
        <v>1</v>
      </c>
      <c r="M262" s="128">
        <v>1</v>
      </c>
      <c r="N262" s="79" t="s">
        <v>730</v>
      </c>
      <c r="O262" s="79" t="s">
        <v>1192</v>
      </c>
      <c r="P262" s="79" t="s">
        <v>25</v>
      </c>
      <c r="Q262" s="79">
        <v>1</v>
      </c>
      <c r="R262" s="79"/>
      <c r="S262" s="79"/>
      <c r="T262" s="79"/>
      <c r="U262" s="79" t="s">
        <v>729</v>
      </c>
      <c r="V262" s="79" t="s">
        <v>731</v>
      </c>
      <c r="W262" s="79"/>
      <c r="X262" s="79"/>
      <c r="Y262" s="79"/>
      <c r="Z262" s="79"/>
      <c r="AA262" s="154"/>
      <c r="AB262" s="155"/>
      <c r="AC262" s="121">
        <v>2</v>
      </c>
      <c r="AD262" s="202"/>
      <c r="AE262" s="192"/>
      <c r="AF262" s="203"/>
      <c r="AG262" s="121"/>
      <c r="AH262" s="121"/>
      <c r="AI262" s="121"/>
      <c r="AJ262" s="121"/>
      <c r="AK262" s="121"/>
      <c r="AL262" s="121"/>
      <c r="AM262" s="121"/>
      <c r="AN262" s="121"/>
      <c r="AO262" s="121"/>
      <c r="AP262" s="121"/>
      <c r="AQ262" s="121"/>
      <c r="AR262" s="121"/>
      <c r="AS262" s="121"/>
      <c r="AT262" s="121"/>
      <c r="AU262" s="121"/>
      <c r="AV262" s="156"/>
      <c r="AW262" s="156"/>
      <c r="AX262" s="156"/>
      <c r="AY262" s="156">
        <v>1</v>
      </c>
      <c r="AZ262" s="156"/>
      <c r="BA262" s="156"/>
      <c r="BB262" s="156"/>
      <c r="BC262" s="156"/>
      <c r="BD262" s="157"/>
      <c r="BE262" s="134"/>
      <c r="BF262" s="134"/>
      <c r="BG262" s="134"/>
      <c r="BH262" s="134"/>
      <c r="BI262" s="134"/>
      <c r="BJ262" s="259"/>
      <c r="BK262" s="138"/>
      <c r="BL262" s="134"/>
      <c r="BM262" s="134"/>
      <c r="BN262" s="134"/>
      <c r="BO262" s="138"/>
      <c r="BP262" s="134"/>
      <c r="BQ262" s="134"/>
      <c r="BR262" s="134"/>
      <c r="BS262" s="288"/>
      <c r="BT262" s="289"/>
      <c r="BU262" s="138"/>
      <c r="BV262" s="134"/>
      <c r="BW262" s="134"/>
      <c r="BX262" s="134"/>
      <c r="BY262" s="138"/>
      <c r="BZ262" s="134"/>
      <c r="CA262" s="134"/>
      <c r="CB262" s="134"/>
      <c r="CC262" s="288"/>
      <c r="CD262" s="289"/>
      <c r="CE262" s="276"/>
      <c r="CF262" s="308"/>
      <c r="CG262" s="138"/>
      <c r="CH262" s="134"/>
      <c r="CI262" s="134"/>
      <c r="CJ262" s="134"/>
      <c r="CK262" s="134"/>
      <c r="CL262" s="134"/>
      <c r="CM262" s="134"/>
      <c r="CN262" s="134"/>
      <c r="CO262" s="300"/>
      <c r="CP262" s="301"/>
      <c r="CQ262" s="134"/>
      <c r="CR262" s="134"/>
      <c r="CS262" s="134"/>
      <c r="CT262" s="134"/>
      <c r="CU262" s="134"/>
      <c r="CV262" s="134"/>
      <c r="CW262" s="134"/>
      <c r="CX262" s="134"/>
      <c r="CY262" s="300"/>
      <c r="CZ262" s="301"/>
      <c r="DA262" s="276"/>
      <c r="DB262" s="277"/>
      <c r="DC262" s="134"/>
      <c r="DD262" s="134"/>
      <c r="DE262" s="134"/>
      <c r="DF262" s="134"/>
      <c r="DG262" s="138"/>
      <c r="DH262" s="134"/>
      <c r="DI262" s="134"/>
      <c r="DJ262" s="134"/>
      <c r="DK262" s="301"/>
      <c r="DL262" s="301"/>
      <c r="DM262" s="134"/>
      <c r="DN262" s="134"/>
      <c r="DO262" s="134"/>
      <c r="DP262" s="134"/>
      <c r="DQ262" s="134"/>
      <c r="DR262" s="134"/>
      <c r="DS262" s="134"/>
      <c r="DT262" s="134"/>
      <c r="DU262" s="301"/>
      <c r="DV262" s="301"/>
      <c r="DW262" s="277"/>
      <c r="DX262" s="134"/>
      <c r="DY262" s="134"/>
      <c r="DZ262" s="134"/>
      <c r="EA262" s="134"/>
      <c r="EB262" s="134"/>
      <c r="EC262" s="134"/>
      <c r="ED262" s="134"/>
      <c r="EE262" s="134"/>
      <c r="EF262" s="301"/>
      <c r="EG262" s="301"/>
      <c r="EH262" s="134"/>
      <c r="EI262" s="134"/>
      <c r="EJ262" s="134"/>
      <c r="EK262" s="134"/>
    </row>
    <row r="263" spans="1:141">
      <c r="A263" s="79" t="s">
        <v>279</v>
      </c>
      <c r="B263" s="117">
        <v>199</v>
      </c>
      <c r="C263" s="123" t="s">
        <v>2009</v>
      </c>
      <c r="D263" s="124" t="s">
        <v>2240</v>
      </c>
      <c r="E263" s="125">
        <v>2009</v>
      </c>
      <c r="F263" s="79">
        <v>19703319</v>
      </c>
      <c r="G263" s="79">
        <v>1</v>
      </c>
      <c r="H263" s="126"/>
      <c r="I263" s="127"/>
      <c r="J263" s="79">
        <v>1</v>
      </c>
      <c r="K263" s="79"/>
      <c r="L263" s="79">
        <v>1</v>
      </c>
      <c r="M263" s="128">
        <v>1</v>
      </c>
      <c r="N263" s="79" t="s">
        <v>733</v>
      </c>
      <c r="O263" s="79" t="s">
        <v>1147</v>
      </c>
      <c r="P263" s="79" t="s">
        <v>25</v>
      </c>
      <c r="Q263" s="79">
        <v>1</v>
      </c>
      <c r="R263" s="79"/>
      <c r="S263" s="79"/>
      <c r="T263" s="79"/>
      <c r="U263" s="79" t="s">
        <v>732</v>
      </c>
      <c r="V263" s="79"/>
      <c r="W263" s="79"/>
      <c r="X263" s="79"/>
      <c r="Y263" s="79"/>
      <c r="Z263" s="79" t="s">
        <v>734</v>
      </c>
      <c r="AA263" s="154"/>
      <c r="AB263" s="155"/>
      <c r="AC263" s="121">
        <v>2</v>
      </c>
      <c r="AD263" s="202"/>
      <c r="AE263" s="192"/>
      <c r="AF263" s="203"/>
      <c r="AG263" s="121"/>
      <c r="AH263" s="121"/>
      <c r="AI263" s="121"/>
      <c r="AJ263" s="121"/>
      <c r="AK263" s="121"/>
      <c r="AL263" s="121"/>
      <c r="AM263" s="121"/>
      <c r="AN263" s="121"/>
      <c r="AO263" s="121"/>
      <c r="AP263" s="121"/>
      <c r="AQ263" s="121"/>
      <c r="AR263" s="121"/>
      <c r="AS263" s="121"/>
      <c r="AT263" s="121"/>
      <c r="AU263" s="121"/>
      <c r="AV263" s="156"/>
      <c r="AW263" s="156"/>
      <c r="AX263" s="156"/>
      <c r="AY263" s="156"/>
      <c r="AZ263" s="156">
        <v>1</v>
      </c>
      <c r="BA263" s="156"/>
      <c r="BB263" s="156"/>
      <c r="BC263" s="156"/>
      <c r="BD263" s="157"/>
      <c r="BE263" s="134"/>
      <c r="BF263" s="134"/>
      <c r="BG263" s="134"/>
      <c r="BH263" s="134"/>
      <c r="BI263" s="134"/>
      <c r="BJ263" s="259"/>
      <c r="BK263" s="138"/>
      <c r="BL263" s="134"/>
      <c r="BM263" s="134"/>
      <c r="BN263" s="134"/>
      <c r="BO263" s="138"/>
      <c r="BP263" s="134"/>
      <c r="BQ263" s="134"/>
      <c r="BR263" s="134"/>
      <c r="BS263" s="288"/>
      <c r="BT263" s="289"/>
      <c r="BU263" s="138"/>
      <c r="BV263" s="134"/>
      <c r="BW263" s="134"/>
      <c r="BX263" s="134"/>
      <c r="BY263" s="138"/>
      <c r="BZ263" s="134"/>
      <c r="CA263" s="134"/>
      <c r="CB263" s="134"/>
      <c r="CC263" s="288"/>
      <c r="CD263" s="289"/>
      <c r="CE263" s="276"/>
      <c r="CF263" s="308"/>
      <c r="CG263" s="138"/>
      <c r="CH263" s="134"/>
      <c r="CI263" s="134"/>
      <c r="CJ263" s="134"/>
      <c r="CK263" s="134"/>
      <c r="CL263" s="134"/>
      <c r="CM263" s="134"/>
      <c r="CN263" s="134"/>
      <c r="CO263" s="300"/>
      <c r="CP263" s="301"/>
      <c r="CQ263" s="134"/>
      <c r="CR263" s="134"/>
      <c r="CS263" s="134"/>
      <c r="CT263" s="134"/>
      <c r="CU263" s="134"/>
      <c r="CV263" s="134"/>
      <c r="CW263" s="134"/>
      <c r="CX263" s="134"/>
      <c r="CY263" s="300"/>
      <c r="CZ263" s="301"/>
      <c r="DA263" s="276"/>
      <c r="DB263" s="277"/>
      <c r="DC263" s="134"/>
      <c r="DD263" s="134"/>
      <c r="DE263" s="134"/>
      <c r="DF263" s="134"/>
      <c r="DG263" s="138"/>
      <c r="DH263" s="134"/>
      <c r="DI263" s="134"/>
      <c r="DJ263" s="134"/>
      <c r="DK263" s="301"/>
      <c r="DL263" s="301"/>
      <c r="DM263" s="134"/>
      <c r="DN263" s="134"/>
      <c r="DO263" s="134"/>
      <c r="DP263" s="134"/>
      <c r="DQ263" s="134"/>
      <c r="DR263" s="134"/>
      <c r="DS263" s="134"/>
      <c r="DT263" s="134"/>
      <c r="DU263" s="301"/>
      <c r="DV263" s="301"/>
      <c r="DW263" s="277"/>
      <c r="DX263" s="134"/>
      <c r="DY263" s="134"/>
      <c r="DZ263" s="134"/>
      <c r="EA263" s="134"/>
      <c r="EB263" s="134"/>
      <c r="EC263" s="134"/>
      <c r="ED263" s="134"/>
      <c r="EE263" s="134"/>
      <c r="EF263" s="301"/>
      <c r="EG263" s="301"/>
      <c r="EH263" s="134"/>
      <c r="EI263" s="134"/>
      <c r="EJ263" s="134"/>
      <c r="EK263" s="134"/>
    </row>
    <row r="264" spans="1:141">
      <c r="A264" s="79" t="s">
        <v>280</v>
      </c>
      <c r="B264" s="117">
        <v>200</v>
      </c>
      <c r="C264" s="123" t="s">
        <v>2009</v>
      </c>
      <c r="D264" s="124" t="s">
        <v>2241</v>
      </c>
      <c r="E264" s="125">
        <v>2006</v>
      </c>
      <c r="F264" s="79">
        <v>17100516</v>
      </c>
      <c r="G264" s="79">
        <v>1</v>
      </c>
      <c r="H264" s="126"/>
      <c r="I264" s="127"/>
      <c r="J264" s="79">
        <v>1</v>
      </c>
      <c r="K264" s="79"/>
      <c r="L264" s="79">
        <v>1</v>
      </c>
      <c r="M264" s="128">
        <v>1</v>
      </c>
      <c r="N264" s="79" t="s">
        <v>735</v>
      </c>
      <c r="O264" s="79" t="s">
        <v>1154</v>
      </c>
      <c r="P264" s="79" t="s">
        <v>736</v>
      </c>
      <c r="Q264" s="79">
        <v>1</v>
      </c>
      <c r="R264" s="79"/>
      <c r="S264" s="79"/>
      <c r="T264" s="79"/>
      <c r="U264" s="79" t="s">
        <v>492</v>
      </c>
      <c r="V264" s="79" t="s">
        <v>24</v>
      </c>
      <c r="W264" s="79" t="s">
        <v>24</v>
      </c>
      <c r="X264" s="79" t="s">
        <v>737</v>
      </c>
      <c r="Y264" s="79"/>
      <c r="Z264" s="79"/>
      <c r="AA264" s="154"/>
      <c r="AB264" s="155"/>
      <c r="AC264" s="121">
        <v>2</v>
      </c>
      <c r="AD264" s="202"/>
      <c r="AE264" s="192"/>
      <c r="AF264" s="203"/>
      <c r="AG264" s="121"/>
      <c r="AH264" s="121"/>
      <c r="AI264" s="121"/>
      <c r="AJ264" s="121"/>
      <c r="AK264" s="121"/>
      <c r="AL264" s="121"/>
      <c r="AM264" s="121"/>
      <c r="AN264" s="121"/>
      <c r="AO264" s="121"/>
      <c r="AP264" s="121"/>
      <c r="AQ264" s="121"/>
      <c r="AR264" s="121"/>
      <c r="AS264" s="121"/>
      <c r="AT264" s="121"/>
      <c r="AU264" s="121"/>
      <c r="AV264" s="156"/>
      <c r="AW264" s="156"/>
      <c r="AX264" s="156"/>
      <c r="AY264" s="156"/>
      <c r="AZ264" s="156">
        <v>1</v>
      </c>
      <c r="BA264" s="156"/>
      <c r="BB264" s="156"/>
      <c r="BC264" s="156"/>
      <c r="BD264" s="157"/>
      <c r="BE264" s="134"/>
      <c r="BF264" s="134"/>
      <c r="BG264" s="134"/>
      <c r="BH264" s="134"/>
      <c r="BI264" s="134"/>
      <c r="BJ264" s="259"/>
      <c r="BK264" s="138"/>
      <c r="BL264" s="134"/>
      <c r="BM264" s="134"/>
      <c r="BN264" s="134"/>
      <c r="BO264" s="138"/>
      <c r="BP264" s="134"/>
      <c r="BQ264" s="134"/>
      <c r="BR264" s="134"/>
      <c r="BS264" s="288"/>
      <c r="BT264" s="289"/>
      <c r="BU264" s="138"/>
      <c r="BV264" s="134"/>
      <c r="BW264" s="134"/>
      <c r="BX264" s="134"/>
      <c r="BY264" s="138"/>
      <c r="BZ264" s="134"/>
      <c r="CA264" s="134"/>
      <c r="CB264" s="134"/>
      <c r="CC264" s="288"/>
      <c r="CD264" s="289"/>
      <c r="CE264" s="276"/>
      <c r="CF264" s="308"/>
      <c r="CG264" s="138"/>
      <c r="CH264" s="134"/>
      <c r="CI264" s="134"/>
      <c r="CJ264" s="134"/>
      <c r="CK264" s="134"/>
      <c r="CL264" s="134"/>
      <c r="CM264" s="134"/>
      <c r="CN264" s="134"/>
      <c r="CO264" s="300"/>
      <c r="CP264" s="301"/>
      <c r="CQ264" s="134"/>
      <c r="CR264" s="134"/>
      <c r="CS264" s="134"/>
      <c r="CT264" s="134"/>
      <c r="CU264" s="134"/>
      <c r="CV264" s="134"/>
      <c r="CW264" s="134"/>
      <c r="CX264" s="134"/>
      <c r="CY264" s="300"/>
      <c r="CZ264" s="301"/>
      <c r="DA264" s="276"/>
      <c r="DB264" s="277"/>
      <c r="DC264" s="134"/>
      <c r="DD264" s="134"/>
      <c r="DE264" s="134"/>
      <c r="DF264" s="134"/>
      <c r="DG264" s="138"/>
      <c r="DH264" s="134"/>
      <c r="DI264" s="134"/>
      <c r="DJ264" s="134"/>
      <c r="DK264" s="301"/>
      <c r="DL264" s="301"/>
      <c r="DM264" s="134"/>
      <c r="DN264" s="134"/>
      <c r="DO264" s="134"/>
      <c r="DP264" s="134"/>
      <c r="DQ264" s="134"/>
      <c r="DR264" s="134"/>
      <c r="DS264" s="134"/>
      <c r="DT264" s="134"/>
      <c r="DU264" s="301"/>
      <c r="DV264" s="301"/>
      <c r="DW264" s="277"/>
      <c r="DX264" s="134"/>
      <c r="DY264" s="134"/>
      <c r="DZ264" s="134"/>
      <c r="EA264" s="134"/>
      <c r="EB264" s="134"/>
      <c r="EC264" s="134"/>
      <c r="ED264" s="134"/>
      <c r="EE264" s="134"/>
      <c r="EF264" s="301"/>
      <c r="EG264" s="301"/>
      <c r="EH264" s="134"/>
      <c r="EI264" s="134"/>
      <c r="EJ264" s="134"/>
      <c r="EK264" s="134"/>
    </row>
    <row r="265" spans="1:141">
      <c r="A265" s="79" t="s">
        <v>281</v>
      </c>
      <c r="B265" s="117">
        <v>201</v>
      </c>
      <c r="C265" s="123" t="s">
        <v>2010</v>
      </c>
      <c r="D265" s="124" t="s">
        <v>2242</v>
      </c>
      <c r="E265" s="125">
        <v>2008</v>
      </c>
      <c r="F265" s="79">
        <v>18498263</v>
      </c>
      <c r="G265" s="79">
        <v>1</v>
      </c>
      <c r="H265" s="126" t="s">
        <v>1780</v>
      </c>
      <c r="I265" s="127" t="s">
        <v>1764</v>
      </c>
      <c r="J265" s="164">
        <v>0</v>
      </c>
      <c r="K265" s="79" t="s">
        <v>1751</v>
      </c>
      <c r="L265" s="79">
        <v>1</v>
      </c>
      <c r="M265" s="128">
        <v>1</v>
      </c>
      <c r="N265" s="79" t="s">
        <v>739</v>
      </c>
      <c r="O265" s="79" t="s">
        <v>1147</v>
      </c>
      <c r="P265" s="79" t="s">
        <v>736</v>
      </c>
      <c r="Q265" s="79">
        <v>1</v>
      </c>
      <c r="R265" s="79"/>
      <c r="S265" s="79"/>
      <c r="T265" s="79"/>
      <c r="U265" s="79" t="s">
        <v>738</v>
      </c>
      <c r="V265" s="79"/>
      <c r="W265" s="79"/>
      <c r="X265" s="79"/>
      <c r="Y265" s="79"/>
      <c r="Z265" s="79"/>
      <c r="AA265" s="154"/>
      <c r="AB265" s="155"/>
      <c r="AC265" s="121">
        <v>2</v>
      </c>
      <c r="AD265" s="202"/>
      <c r="AE265" s="192"/>
      <c r="AF265" s="203"/>
      <c r="AG265" s="121"/>
      <c r="AH265" s="121"/>
      <c r="AI265" s="121"/>
      <c r="AJ265" s="121"/>
      <c r="AK265" s="121"/>
      <c r="AL265" s="121"/>
      <c r="AM265" s="121"/>
      <c r="AN265" s="121"/>
      <c r="AO265" s="121"/>
      <c r="AP265" s="121"/>
      <c r="AQ265" s="121"/>
      <c r="AR265" s="121"/>
      <c r="AS265" s="121"/>
      <c r="AT265" s="121"/>
      <c r="AU265" s="121"/>
      <c r="AV265" s="156"/>
      <c r="AW265" s="156"/>
      <c r="AX265" s="156"/>
      <c r="AY265" s="156"/>
      <c r="AZ265" s="156">
        <v>1</v>
      </c>
      <c r="BA265" s="156"/>
      <c r="BB265" s="156"/>
      <c r="BC265" s="156"/>
      <c r="BD265" s="157"/>
      <c r="BE265" s="134"/>
      <c r="BF265" s="134"/>
      <c r="BG265" s="134"/>
      <c r="BH265" s="134"/>
      <c r="BI265" s="134"/>
      <c r="BJ265" s="259"/>
      <c r="BK265" s="138"/>
      <c r="BL265" s="134"/>
      <c r="BM265" s="134"/>
      <c r="BN265" s="134"/>
      <c r="BO265" s="138"/>
      <c r="BP265" s="134"/>
      <c r="BQ265" s="134"/>
      <c r="BR265" s="134"/>
      <c r="BS265" s="288"/>
      <c r="BT265" s="289"/>
      <c r="BU265" s="138"/>
      <c r="BV265" s="134"/>
      <c r="BW265" s="134"/>
      <c r="BX265" s="134"/>
      <c r="BY265" s="138"/>
      <c r="BZ265" s="134"/>
      <c r="CA265" s="134"/>
      <c r="CB265" s="134"/>
      <c r="CC265" s="288"/>
      <c r="CD265" s="289"/>
      <c r="CE265" s="276"/>
      <c r="CF265" s="308"/>
      <c r="CG265" s="138"/>
      <c r="CH265" s="134"/>
      <c r="CI265" s="134"/>
      <c r="CJ265" s="134"/>
      <c r="CK265" s="134"/>
      <c r="CL265" s="134"/>
      <c r="CM265" s="134"/>
      <c r="CN265" s="134"/>
      <c r="CO265" s="300"/>
      <c r="CP265" s="301"/>
      <c r="CQ265" s="134"/>
      <c r="CR265" s="134"/>
      <c r="CS265" s="134"/>
      <c r="CT265" s="134"/>
      <c r="CU265" s="134"/>
      <c r="CV265" s="134"/>
      <c r="CW265" s="134"/>
      <c r="CX265" s="134"/>
      <c r="CY265" s="300"/>
      <c r="CZ265" s="301"/>
      <c r="DA265" s="276"/>
      <c r="DB265" s="277"/>
      <c r="DC265" s="134"/>
      <c r="DD265" s="134"/>
      <c r="DE265" s="134"/>
      <c r="DF265" s="134"/>
      <c r="DG265" s="138"/>
      <c r="DH265" s="134"/>
      <c r="DI265" s="134"/>
      <c r="DJ265" s="134"/>
      <c r="DK265" s="301"/>
      <c r="DL265" s="301"/>
      <c r="DM265" s="134"/>
      <c r="DN265" s="134"/>
      <c r="DO265" s="134"/>
      <c r="DP265" s="134"/>
      <c r="DQ265" s="134"/>
      <c r="DR265" s="134"/>
      <c r="DS265" s="134"/>
      <c r="DT265" s="134"/>
      <c r="DU265" s="301"/>
      <c r="DV265" s="301"/>
      <c r="DW265" s="277"/>
      <c r="DX265" s="134"/>
      <c r="DY265" s="134"/>
      <c r="DZ265" s="134"/>
      <c r="EA265" s="134"/>
      <c r="EB265" s="134"/>
      <c r="EC265" s="134"/>
      <c r="ED265" s="134"/>
      <c r="EE265" s="134"/>
      <c r="EF265" s="301"/>
      <c r="EG265" s="301"/>
      <c r="EH265" s="134"/>
      <c r="EI265" s="134"/>
      <c r="EJ265" s="134"/>
      <c r="EK265" s="134"/>
    </row>
    <row r="266" spans="1:141">
      <c r="A266" s="79" t="s">
        <v>982</v>
      </c>
      <c r="B266" s="117">
        <v>202</v>
      </c>
      <c r="C266" s="123" t="s">
        <v>2114</v>
      </c>
      <c r="D266" s="124" t="s">
        <v>2373</v>
      </c>
      <c r="E266" s="125">
        <v>2015</v>
      </c>
      <c r="F266" s="79">
        <v>26225843</v>
      </c>
      <c r="G266" s="79">
        <v>1</v>
      </c>
      <c r="H266" s="126">
        <v>1</v>
      </c>
      <c r="I266" s="127"/>
      <c r="J266" s="79">
        <v>1</v>
      </c>
      <c r="K266" s="79"/>
      <c r="L266" s="79">
        <v>1</v>
      </c>
      <c r="M266" s="128">
        <v>2</v>
      </c>
      <c r="N266" s="79" t="s">
        <v>1206</v>
      </c>
      <c r="O266" s="79" t="s">
        <v>1552</v>
      </c>
      <c r="P266" s="79" t="s">
        <v>1127</v>
      </c>
      <c r="Q266" s="79"/>
      <c r="R266" s="79" t="s">
        <v>1495</v>
      </c>
      <c r="S266" s="79" t="s">
        <v>803</v>
      </c>
      <c r="T266" s="79"/>
      <c r="U266" s="79" t="s">
        <v>1550</v>
      </c>
      <c r="V266" s="79" t="s">
        <v>1551</v>
      </c>
      <c r="W266" s="79"/>
      <c r="X266" s="79"/>
      <c r="Y266" s="79" t="s">
        <v>1549</v>
      </c>
      <c r="Z266" s="79" t="s">
        <v>1548</v>
      </c>
      <c r="AA266" s="154"/>
      <c r="AB266" s="155"/>
      <c r="AC266" s="121">
        <v>4</v>
      </c>
      <c r="AD266" s="202"/>
      <c r="AE266" s="192"/>
      <c r="AF266" s="203"/>
      <c r="AG266" s="121"/>
      <c r="AH266" s="121"/>
      <c r="AI266" s="121"/>
      <c r="AJ266" s="121"/>
      <c r="AK266" s="121"/>
      <c r="AL266" s="121"/>
      <c r="AM266" s="121"/>
      <c r="AN266" s="121"/>
      <c r="AO266" s="121"/>
      <c r="AP266" s="121"/>
      <c r="AQ266" s="121"/>
      <c r="AR266" s="121"/>
      <c r="AS266" s="121"/>
      <c r="AT266" s="121"/>
      <c r="AU266" s="121"/>
      <c r="AV266" s="156"/>
      <c r="AW266" s="156"/>
      <c r="AX266" s="156"/>
      <c r="AY266" s="156"/>
      <c r="AZ266" s="156"/>
      <c r="BA266" s="156"/>
      <c r="BB266" s="156"/>
      <c r="BC266" s="156"/>
      <c r="BD266" s="157"/>
      <c r="BE266" s="134"/>
      <c r="BF266" s="134"/>
      <c r="BG266" s="134"/>
      <c r="BH266" s="134"/>
      <c r="BI266" s="134"/>
      <c r="BJ266" s="259"/>
      <c r="BK266" s="138"/>
      <c r="BL266" s="134"/>
      <c r="BM266" s="134"/>
      <c r="BN266" s="134"/>
      <c r="BO266" s="138"/>
      <c r="BP266" s="134"/>
      <c r="BQ266" s="134"/>
      <c r="BR266" s="134"/>
      <c r="BS266" s="288"/>
      <c r="BT266" s="289"/>
      <c r="BU266" s="138"/>
      <c r="BV266" s="134"/>
      <c r="BW266" s="134"/>
      <c r="BX266" s="134"/>
      <c r="BY266" s="138"/>
      <c r="BZ266" s="134"/>
      <c r="CA266" s="134"/>
      <c r="CB266" s="134"/>
      <c r="CC266" s="288"/>
      <c r="CD266" s="289"/>
      <c r="CE266" s="276"/>
      <c r="CF266" s="308"/>
      <c r="CG266" s="138"/>
      <c r="CH266" s="134"/>
      <c r="CI266" s="134"/>
      <c r="CJ266" s="134"/>
      <c r="CK266" s="134"/>
      <c r="CL266" s="134"/>
      <c r="CM266" s="134"/>
      <c r="CN266" s="134"/>
      <c r="CO266" s="300"/>
      <c r="CP266" s="301"/>
      <c r="CQ266" s="134"/>
      <c r="CR266" s="134"/>
      <c r="CS266" s="134"/>
      <c r="CT266" s="134"/>
      <c r="CU266" s="134"/>
      <c r="CV266" s="134"/>
      <c r="CW266" s="134"/>
      <c r="CX266" s="134"/>
      <c r="CY266" s="300"/>
      <c r="CZ266" s="301"/>
      <c r="DA266" s="276"/>
      <c r="DB266" s="277"/>
      <c r="DC266" s="134"/>
      <c r="DD266" s="134"/>
      <c r="DE266" s="134"/>
      <c r="DF266" s="134"/>
      <c r="DG266" s="138"/>
      <c r="DH266" s="134"/>
      <c r="DI266" s="134"/>
      <c r="DJ266" s="134"/>
      <c r="DK266" s="301"/>
      <c r="DL266" s="301"/>
      <c r="DM266" s="134"/>
      <c r="DN266" s="134"/>
      <c r="DO266" s="134"/>
      <c r="DP266" s="134"/>
      <c r="DQ266" s="134"/>
      <c r="DR266" s="134"/>
      <c r="DS266" s="134"/>
      <c r="DT266" s="134"/>
      <c r="DU266" s="301"/>
      <c r="DV266" s="301"/>
      <c r="DW266" s="277"/>
      <c r="DX266" s="134"/>
      <c r="DY266" s="134"/>
      <c r="DZ266" s="134"/>
      <c r="EA266" s="134"/>
      <c r="EB266" s="134"/>
      <c r="EC266" s="134"/>
      <c r="ED266" s="134"/>
      <c r="EE266" s="134"/>
      <c r="EF266" s="301"/>
      <c r="EG266" s="301"/>
      <c r="EH266" s="134"/>
      <c r="EI266" s="134"/>
      <c r="EJ266" s="134"/>
      <c r="EK266" s="134"/>
    </row>
    <row r="267" spans="1:141">
      <c r="A267" s="79" t="s">
        <v>282</v>
      </c>
      <c r="B267" s="117">
        <v>203</v>
      </c>
      <c r="C267" s="123" t="s">
        <v>2011</v>
      </c>
      <c r="D267" s="124" t="s">
        <v>2243</v>
      </c>
      <c r="E267" s="125">
        <v>2015</v>
      </c>
      <c r="F267" s="79">
        <v>26237266</v>
      </c>
      <c r="G267" s="79">
        <v>1</v>
      </c>
      <c r="H267" s="170" t="s">
        <v>1782</v>
      </c>
      <c r="I267" s="127" t="s">
        <v>1765</v>
      </c>
      <c r="J267" s="164">
        <v>0</v>
      </c>
      <c r="K267" s="79"/>
      <c r="L267" s="79">
        <v>1</v>
      </c>
      <c r="M267" s="128">
        <v>1</v>
      </c>
      <c r="N267" s="79" t="s">
        <v>741</v>
      </c>
      <c r="O267" s="79" t="s">
        <v>1161</v>
      </c>
      <c r="P267" s="79" t="s">
        <v>740</v>
      </c>
      <c r="Q267" s="79">
        <v>1</v>
      </c>
      <c r="R267" s="79"/>
      <c r="S267" s="79"/>
      <c r="T267" s="79"/>
      <c r="U267" s="79"/>
      <c r="V267" s="79"/>
      <c r="W267" s="79"/>
      <c r="X267" s="79"/>
      <c r="Y267" s="79"/>
      <c r="Z267" s="79"/>
      <c r="AA267" s="154"/>
      <c r="AB267" s="155"/>
      <c r="AC267" s="121">
        <v>2</v>
      </c>
      <c r="AD267" s="202"/>
      <c r="AE267" s="192"/>
      <c r="AF267" s="203"/>
      <c r="AG267" s="121"/>
      <c r="AH267" s="121"/>
      <c r="AI267" s="121"/>
      <c r="AJ267" s="121"/>
      <c r="AK267" s="121"/>
      <c r="AL267" s="121"/>
      <c r="AM267" s="121"/>
      <c r="AN267" s="121"/>
      <c r="AO267" s="121"/>
      <c r="AP267" s="121"/>
      <c r="AQ267" s="121"/>
      <c r="AR267" s="121"/>
      <c r="AS267" s="121"/>
      <c r="AT267" s="121"/>
      <c r="AU267" s="121"/>
      <c r="AV267" s="156"/>
      <c r="AW267" s="156"/>
      <c r="AX267" s="156"/>
      <c r="AY267" s="156"/>
      <c r="AZ267" s="156"/>
      <c r="BA267" s="156"/>
      <c r="BB267" s="156"/>
      <c r="BC267" s="156">
        <v>1</v>
      </c>
      <c r="BD267" s="157"/>
      <c r="BE267" s="134"/>
      <c r="BF267" s="134"/>
      <c r="BG267" s="134"/>
      <c r="BH267" s="134"/>
      <c r="BI267" s="134"/>
      <c r="BJ267" s="259"/>
      <c r="BK267" s="138"/>
      <c r="BL267" s="134"/>
      <c r="BM267" s="134"/>
      <c r="BN267" s="134"/>
      <c r="BO267" s="138"/>
      <c r="BP267" s="134"/>
      <c r="BQ267" s="134"/>
      <c r="BR267" s="134"/>
      <c r="BS267" s="288"/>
      <c r="BT267" s="289"/>
      <c r="BU267" s="138"/>
      <c r="BV267" s="134"/>
      <c r="BW267" s="134"/>
      <c r="BX267" s="134"/>
      <c r="BY267" s="138"/>
      <c r="BZ267" s="134"/>
      <c r="CA267" s="134"/>
      <c r="CB267" s="134"/>
      <c r="CC267" s="288"/>
      <c r="CD267" s="289"/>
      <c r="CE267" s="276"/>
      <c r="CF267" s="308"/>
      <c r="CG267" s="138"/>
      <c r="CH267" s="134"/>
      <c r="CI267" s="134"/>
      <c r="CJ267" s="134"/>
      <c r="CK267" s="134"/>
      <c r="CL267" s="134"/>
      <c r="CM267" s="134"/>
      <c r="CN267" s="134"/>
      <c r="CO267" s="300"/>
      <c r="CP267" s="301"/>
      <c r="CQ267" s="134"/>
      <c r="CR267" s="134"/>
      <c r="CS267" s="134"/>
      <c r="CT267" s="134"/>
      <c r="CU267" s="134"/>
      <c r="CV267" s="134"/>
      <c r="CW267" s="134"/>
      <c r="CX267" s="134"/>
      <c r="CY267" s="300"/>
      <c r="CZ267" s="301"/>
      <c r="DA267" s="276"/>
      <c r="DB267" s="277"/>
      <c r="DC267" s="134"/>
      <c r="DD267" s="134"/>
      <c r="DE267" s="134"/>
      <c r="DF267" s="134"/>
      <c r="DG267" s="138"/>
      <c r="DH267" s="134"/>
      <c r="DI267" s="134"/>
      <c r="DJ267" s="134"/>
      <c r="DK267" s="301"/>
      <c r="DL267" s="301"/>
      <c r="DM267" s="134"/>
      <c r="DN267" s="134"/>
      <c r="DO267" s="134"/>
      <c r="DP267" s="134"/>
      <c r="DQ267" s="134"/>
      <c r="DR267" s="134"/>
      <c r="DS267" s="134"/>
      <c r="DT267" s="134"/>
      <c r="DU267" s="301"/>
      <c r="DV267" s="301"/>
      <c r="DW267" s="277"/>
      <c r="DX267" s="134"/>
      <c r="DY267" s="134"/>
      <c r="DZ267" s="134"/>
      <c r="EA267" s="134"/>
      <c r="EB267" s="134"/>
      <c r="EC267" s="134"/>
      <c r="ED267" s="134"/>
      <c r="EE267" s="134"/>
      <c r="EF267" s="301"/>
      <c r="EG267" s="301"/>
      <c r="EH267" s="134"/>
      <c r="EI267" s="134"/>
      <c r="EJ267" s="134"/>
      <c r="EK267" s="134"/>
    </row>
    <row r="268" spans="1:141">
      <c r="A268" s="79" t="s">
        <v>981</v>
      </c>
      <c r="B268" s="117">
        <v>204</v>
      </c>
      <c r="C268" s="123" t="s">
        <v>2115</v>
      </c>
      <c r="D268" s="124" t="s">
        <v>2374</v>
      </c>
      <c r="E268" s="125">
        <v>2004</v>
      </c>
      <c r="F268" s="79">
        <v>15036608</v>
      </c>
      <c r="G268" s="79">
        <v>1</v>
      </c>
      <c r="H268" s="126">
        <v>1</v>
      </c>
      <c r="I268" s="127"/>
      <c r="J268" s="79">
        <v>1</v>
      </c>
      <c r="K268" s="79"/>
      <c r="L268" s="79">
        <v>1</v>
      </c>
      <c r="M268" s="128">
        <v>2</v>
      </c>
      <c r="N268" s="79" t="s">
        <v>1553</v>
      </c>
      <c r="O268" s="79" t="s">
        <v>1552</v>
      </c>
      <c r="P268" s="79" t="s">
        <v>1229</v>
      </c>
      <c r="Q268" s="79"/>
      <c r="R268" s="79" t="s">
        <v>1498</v>
      </c>
      <c r="S268" s="79" t="s">
        <v>803</v>
      </c>
      <c r="T268" s="79"/>
      <c r="U268" s="79" t="s">
        <v>1682</v>
      </c>
      <c r="V268" s="79"/>
      <c r="W268" s="79"/>
      <c r="X268" s="79"/>
      <c r="Y268" s="79"/>
      <c r="Z268" s="79"/>
      <c r="AA268" s="154"/>
      <c r="AB268" s="155"/>
      <c r="AC268" s="121">
        <v>4</v>
      </c>
      <c r="AD268" s="202"/>
      <c r="AE268" s="192"/>
      <c r="AF268" s="203"/>
      <c r="AG268" s="121"/>
      <c r="AH268" s="121"/>
      <c r="AI268" s="121"/>
      <c r="AJ268" s="121"/>
      <c r="AK268" s="121"/>
      <c r="AL268" s="121"/>
      <c r="AM268" s="121"/>
      <c r="AN268" s="121"/>
      <c r="AO268" s="121"/>
      <c r="AP268" s="121"/>
      <c r="AQ268" s="121"/>
      <c r="AR268" s="121"/>
      <c r="AS268" s="121"/>
      <c r="AT268" s="121"/>
      <c r="AU268" s="121"/>
      <c r="AV268" s="156"/>
      <c r="AW268" s="156"/>
      <c r="AX268" s="156"/>
      <c r="AY268" s="156"/>
      <c r="AZ268" s="156"/>
      <c r="BA268" s="156"/>
      <c r="BB268" s="156"/>
      <c r="BC268" s="156"/>
      <c r="BD268" s="157"/>
      <c r="BE268" s="134"/>
      <c r="BF268" s="134"/>
      <c r="BG268" s="134"/>
      <c r="BH268" s="134"/>
      <c r="BI268" s="134"/>
      <c r="BJ268" s="259"/>
      <c r="BK268" s="138"/>
      <c r="BL268" s="134"/>
      <c r="BM268" s="134"/>
      <c r="BN268" s="134"/>
      <c r="BO268" s="138"/>
      <c r="BP268" s="134"/>
      <c r="BQ268" s="134"/>
      <c r="BR268" s="134"/>
      <c r="BS268" s="288"/>
      <c r="BT268" s="289"/>
      <c r="BU268" s="138"/>
      <c r="BV268" s="134"/>
      <c r="BW268" s="134"/>
      <c r="BX268" s="134"/>
      <c r="BY268" s="138"/>
      <c r="BZ268" s="134"/>
      <c r="CA268" s="134"/>
      <c r="CB268" s="134"/>
      <c r="CC268" s="288"/>
      <c r="CD268" s="289"/>
      <c r="CE268" s="276"/>
      <c r="CF268" s="308"/>
      <c r="CG268" s="138"/>
      <c r="CH268" s="134"/>
      <c r="CI268" s="134"/>
      <c r="CJ268" s="134"/>
      <c r="CK268" s="134"/>
      <c r="CL268" s="134"/>
      <c r="CM268" s="134"/>
      <c r="CN268" s="134"/>
      <c r="CO268" s="300"/>
      <c r="CP268" s="301"/>
      <c r="CQ268" s="134"/>
      <c r="CR268" s="134"/>
      <c r="CS268" s="134"/>
      <c r="CT268" s="134"/>
      <c r="CU268" s="134"/>
      <c r="CV268" s="134"/>
      <c r="CW268" s="134"/>
      <c r="CX268" s="134"/>
      <c r="CY268" s="300"/>
      <c r="CZ268" s="301"/>
      <c r="DA268" s="276"/>
      <c r="DB268" s="277"/>
      <c r="DC268" s="134"/>
      <c r="DD268" s="134"/>
      <c r="DE268" s="134"/>
      <c r="DF268" s="134"/>
      <c r="DG268" s="138"/>
      <c r="DH268" s="134"/>
      <c r="DI268" s="134"/>
      <c r="DJ268" s="134"/>
      <c r="DK268" s="301"/>
      <c r="DL268" s="301"/>
      <c r="DM268" s="134"/>
      <c r="DN268" s="134"/>
      <c r="DO268" s="134"/>
      <c r="DP268" s="134"/>
      <c r="DQ268" s="134"/>
      <c r="DR268" s="134"/>
      <c r="DS268" s="134"/>
      <c r="DT268" s="134"/>
      <c r="DU268" s="301"/>
      <c r="DV268" s="301"/>
      <c r="DW268" s="277"/>
      <c r="DX268" s="134"/>
      <c r="DY268" s="134"/>
      <c r="DZ268" s="134"/>
      <c r="EA268" s="134"/>
      <c r="EB268" s="134"/>
      <c r="EC268" s="134"/>
      <c r="ED268" s="134"/>
      <c r="EE268" s="134"/>
      <c r="EF268" s="301"/>
      <c r="EG268" s="301"/>
      <c r="EH268" s="134"/>
      <c r="EI268" s="134"/>
      <c r="EJ268" s="134"/>
      <c r="EK268" s="134"/>
    </row>
    <row r="269" spans="1:141">
      <c r="A269" s="79" t="s">
        <v>287</v>
      </c>
      <c r="B269" s="117">
        <v>205</v>
      </c>
      <c r="C269" s="123" t="s">
        <v>2013</v>
      </c>
      <c r="D269" s="124" t="s">
        <v>2245</v>
      </c>
      <c r="E269" s="125">
        <v>2016</v>
      </c>
      <c r="F269" s="79">
        <v>27353125</v>
      </c>
      <c r="G269" s="79">
        <v>1</v>
      </c>
      <c r="H269" s="126"/>
      <c r="I269" s="127"/>
      <c r="J269" s="79">
        <v>1</v>
      </c>
      <c r="K269" s="79"/>
      <c r="L269" s="79">
        <v>1</v>
      </c>
      <c r="M269" s="128">
        <v>1</v>
      </c>
      <c r="N269" s="79" t="s">
        <v>612</v>
      </c>
      <c r="O269" s="79" t="s">
        <v>1147</v>
      </c>
      <c r="P269" s="79" t="s">
        <v>25</v>
      </c>
      <c r="Q269" s="79">
        <v>1</v>
      </c>
      <c r="R269" s="79"/>
      <c r="S269" s="79"/>
      <c r="T269" s="79"/>
      <c r="U269" s="79" t="s">
        <v>750</v>
      </c>
      <c r="V269" s="79"/>
      <c r="W269" s="79"/>
      <c r="X269" s="79"/>
      <c r="Y269" s="79"/>
      <c r="Z269" s="79"/>
      <c r="AA269" s="154"/>
      <c r="AB269" s="155"/>
      <c r="AC269" s="121">
        <v>2</v>
      </c>
      <c r="AD269" s="202"/>
      <c r="AE269" s="192"/>
      <c r="AF269" s="203"/>
      <c r="AG269" s="121"/>
      <c r="AH269" s="121"/>
      <c r="AI269" s="121"/>
      <c r="AJ269" s="121"/>
      <c r="AK269" s="121"/>
      <c r="AL269" s="121"/>
      <c r="AM269" s="121"/>
      <c r="AN269" s="121"/>
      <c r="AO269" s="121"/>
      <c r="AP269" s="121"/>
      <c r="AQ269" s="121"/>
      <c r="AR269" s="121"/>
      <c r="AS269" s="121"/>
      <c r="AT269" s="121"/>
      <c r="AU269" s="121"/>
      <c r="AV269" s="156"/>
      <c r="AW269" s="156"/>
      <c r="AX269" s="156"/>
      <c r="AY269" s="156"/>
      <c r="AZ269" s="156">
        <v>1</v>
      </c>
      <c r="BA269" s="156"/>
      <c r="BB269" s="156"/>
      <c r="BC269" s="156"/>
      <c r="BD269" s="157"/>
      <c r="BE269" s="134"/>
      <c r="BF269" s="134"/>
      <c r="BG269" s="134"/>
      <c r="BH269" s="134"/>
      <c r="BI269" s="134"/>
      <c r="BJ269" s="259"/>
      <c r="BK269" s="138"/>
      <c r="BL269" s="134"/>
      <c r="BM269" s="134"/>
      <c r="BN269" s="134"/>
      <c r="BO269" s="138"/>
      <c r="BP269" s="134"/>
      <c r="BQ269" s="134"/>
      <c r="BR269" s="134"/>
      <c r="BS269" s="288"/>
      <c r="BT269" s="289"/>
      <c r="BU269" s="138"/>
      <c r="BV269" s="134"/>
      <c r="BW269" s="134"/>
      <c r="BX269" s="134"/>
      <c r="BY269" s="138"/>
      <c r="BZ269" s="134"/>
      <c r="CA269" s="134"/>
      <c r="CB269" s="134"/>
      <c r="CC269" s="288"/>
      <c r="CD269" s="289"/>
      <c r="CE269" s="276"/>
      <c r="CF269" s="308"/>
      <c r="CG269" s="138"/>
      <c r="CH269" s="134"/>
      <c r="CI269" s="134"/>
      <c r="CJ269" s="134"/>
      <c r="CK269" s="134"/>
      <c r="CL269" s="134"/>
      <c r="CM269" s="134"/>
      <c r="CN269" s="134"/>
      <c r="CO269" s="300"/>
      <c r="CP269" s="301"/>
      <c r="CQ269" s="134"/>
      <c r="CR269" s="134"/>
      <c r="CS269" s="134"/>
      <c r="CT269" s="134"/>
      <c r="CU269" s="134"/>
      <c r="CV269" s="134"/>
      <c r="CW269" s="134"/>
      <c r="CX269" s="134"/>
      <c r="CY269" s="300"/>
      <c r="CZ269" s="301"/>
      <c r="DA269" s="276"/>
      <c r="DB269" s="277"/>
      <c r="DC269" s="134"/>
      <c r="DD269" s="134"/>
      <c r="DE269" s="134"/>
      <c r="DF269" s="134"/>
      <c r="DG269" s="138"/>
      <c r="DH269" s="134"/>
      <c r="DI269" s="134"/>
      <c r="DJ269" s="134"/>
      <c r="DK269" s="301"/>
      <c r="DL269" s="301"/>
      <c r="DM269" s="134"/>
      <c r="DN269" s="134"/>
      <c r="DO269" s="134"/>
      <c r="DP269" s="134"/>
      <c r="DQ269" s="134"/>
      <c r="DR269" s="134"/>
      <c r="DS269" s="134"/>
      <c r="DT269" s="134"/>
      <c r="DU269" s="301"/>
      <c r="DV269" s="301"/>
      <c r="DW269" s="277"/>
      <c r="DX269" s="134"/>
      <c r="DY269" s="134"/>
      <c r="DZ269" s="134"/>
      <c r="EA269" s="134"/>
      <c r="EB269" s="134"/>
      <c r="EC269" s="134"/>
      <c r="ED269" s="134"/>
      <c r="EE269" s="134"/>
      <c r="EF269" s="301"/>
      <c r="EG269" s="301"/>
      <c r="EH269" s="134"/>
      <c r="EI269" s="134"/>
      <c r="EJ269" s="134"/>
      <c r="EK269" s="134"/>
    </row>
    <row r="270" spans="1:141">
      <c r="A270" s="79" t="s">
        <v>288</v>
      </c>
      <c r="B270" s="117">
        <v>206</v>
      </c>
      <c r="C270" s="123" t="s">
        <v>2014</v>
      </c>
      <c r="D270" s="124" t="s">
        <v>2246</v>
      </c>
      <c r="E270" s="125">
        <v>2005</v>
      </c>
      <c r="F270" s="79">
        <v>16055312</v>
      </c>
      <c r="G270" s="79">
        <v>1</v>
      </c>
      <c r="H270" s="126"/>
      <c r="I270" s="127"/>
      <c r="J270" s="79">
        <v>1</v>
      </c>
      <c r="K270" s="79"/>
      <c r="L270" s="79">
        <v>1</v>
      </c>
      <c r="M270" s="128">
        <v>1</v>
      </c>
      <c r="N270" s="79" t="s">
        <v>851</v>
      </c>
      <c r="O270" s="79" t="s">
        <v>780</v>
      </c>
      <c r="P270" s="79" t="s">
        <v>752</v>
      </c>
      <c r="Q270" s="79">
        <v>0</v>
      </c>
      <c r="R270" s="79"/>
      <c r="S270" s="79"/>
      <c r="T270" s="79"/>
      <c r="U270" s="79" t="s">
        <v>751</v>
      </c>
      <c r="V270" s="79" t="s">
        <v>753</v>
      </c>
      <c r="W270" s="79"/>
      <c r="X270" s="79" t="s">
        <v>754</v>
      </c>
      <c r="Y270" s="79"/>
      <c r="Z270" s="79"/>
      <c r="AA270" s="154"/>
      <c r="AB270" s="155"/>
      <c r="AC270" s="121"/>
      <c r="AD270" s="202"/>
      <c r="AE270" s="192"/>
      <c r="AF270" s="203"/>
      <c r="AG270" s="121"/>
      <c r="AH270" s="121"/>
      <c r="AI270" s="121"/>
      <c r="AJ270" s="121"/>
      <c r="AK270" s="121"/>
      <c r="AL270" s="121"/>
      <c r="AM270" s="121"/>
      <c r="AN270" s="121"/>
      <c r="AO270" s="121"/>
      <c r="AP270" s="121"/>
      <c r="AQ270" s="121"/>
      <c r="AR270" s="121"/>
      <c r="AS270" s="121"/>
      <c r="AT270" s="121"/>
      <c r="AU270" s="121"/>
      <c r="AV270" s="156"/>
      <c r="AW270" s="156"/>
      <c r="AX270" s="156">
        <v>1</v>
      </c>
      <c r="AY270" s="156">
        <v>1</v>
      </c>
      <c r="AZ270" s="156"/>
      <c r="BA270" s="156"/>
      <c r="BB270" s="156"/>
      <c r="BC270" s="156"/>
      <c r="BD270" s="157"/>
      <c r="BE270" s="134"/>
      <c r="BF270" s="134"/>
      <c r="BG270" s="134"/>
      <c r="BH270" s="134"/>
      <c r="BI270" s="134"/>
      <c r="BJ270" s="259"/>
      <c r="BK270" s="138"/>
      <c r="BL270" s="134"/>
      <c r="BM270" s="134"/>
      <c r="BN270" s="134"/>
      <c r="BO270" s="138"/>
      <c r="BP270" s="134"/>
      <c r="BQ270" s="134"/>
      <c r="BR270" s="134"/>
      <c r="BS270" s="288"/>
      <c r="BT270" s="289"/>
      <c r="BU270" s="138"/>
      <c r="BV270" s="134"/>
      <c r="BW270" s="134"/>
      <c r="BX270" s="134"/>
      <c r="BY270" s="138"/>
      <c r="BZ270" s="134"/>
      <c r="CA270" s="134"/>
      <c r="CB270" s="134"/>
      <c r="CC270" s="288"/>
      <c r="CD270" s="289"/>
      <c r="CE270" s="276"/>
      <c r="CF270" s="308"/>
      <c r="CG270" s="138"/>
      <c r="CH270" s="134"/>
      <c r="CI270" s="134"/>
      <c r="CJ270" s="134"/>
      <c r="CK270" s="134"/>
      <c r="CL270" s="134"/>
      <c r="CM270" s="134"/>
      <c r="CN270" s="134"/>
      <c r="CO270" s="300"/>
      <c r="CP270" s="301"/>
      <c r="CQ270" s="134"/>
      <c r="CR270" s="134"/>
      <c r="CS270" s="134"/>
      <c r="CT270" s="134"/>
      <c r="CU270" s="134"/>
      <c r="CV270" s="134"/>
      <c r="CW270" s="134"/>
      <c r="CX270" s="134"/>
      <c r="CY270" s="300"/>
      <c r="CZ270" s="301"/>
      <c r="DA270" s="276"/>
      <c r="DB270" s="277"/>
      <c r="DC270" s="134"/>
      <c r="DD270" s="134"/>
      <c r="DE270" s="134"/>
      <c r="DF270" s="134"/>
      <c r="DG270" s="138"/>
      <c r="DH270" s="134"/>
      <c r="DI270" s="134"/>
      <c r="DJ270" s="134"/>
      <c r="DK270" s="301"/>
      <c r="DL270" s="301"/>
      <c r="DM270" s="134"/>
      <c r="DN270" s="134"/>
      <c r="DO270" s="134"/>
      <c r="DP270" s="134"/>
      <c r="DQ270" s="134"/>
      <c r="DR270" s="134"/>
      <c r="DS270" s="134"/>
      <c r="DT270" s="134"/>
      <c r="DU270" s="301"/>
      <c r="DV270" s="301"/>
      <c r="DW270" s="277"/>
      <c r="DX270" s="134"/>
      <c r="DY270" s="134"/>
      <c r="DZ270" s="134"/>
      <c r="EA270" s="134"/>
      <c r="EB270" s="134"/>
      <c r="EC270" s="134"/>
      <c r="ED270" s="134"/>
      <c r="EE270" s="134"/>
      <c r="EF270" s="301"/>
      <c r="EG270" s="301"/>
      <c r="EH270" s="134"/>
      <c r="EI270" s="134"/>
      <c r="EJ270" s="134"/>
      <c r="EK270" s="134"/>
    </row>
    <row r="271" spans="1:141">
      <c r="A271" s="79" t="s">
        <v>289</v>
      </c>
      <c r="B271" s="117">
        <v>207</v>
      </c>
      <c r="C271" s="123" t="s">
        <v>2015</v>
      </c>
      <c r="D271" s="124" t="s">
        <v>2247</v>
      </c>
      <c r="E271" s="125">
        <v>2011</v>
      </c>
      <c r="F271" s="79">
        <v>21715297</v>
      </c>
      <c r="G271" s="79">
        <v>1</v>
      </c>
      <c r="H271" s="126"/>
      <c r="I271" s="127"/>
      <c r="J271" s="79">
        <v>1</v>
      </c>
      <c r="K271" s="79"/>
      <c r="L271" s="79">
        <v>1</v>
      </c>
      <c r="M271" s="128">
        <v>1</v>
      </c>
      <c r="N271" s="79" t="s">
        <v>755</v>
      </c>
      <c r="O271" s="79" t="s">
        <v>1147</v>
      </c>
      <c r="P271" s="79" t="s">
        <v>25</v>
      </c>
      <c r="Q271" s="79">
        <v>1</v>
      </c>
      <c r="R271" s="79"/>
      <c r="S271" s="79"/>
      <c r="T271" s="79"/>
      <c r="U271" s="79" t="s">
        <v>756</v>
      </c>
      <c r="V271" s="79" t="s">
        <v>24</v>
      </c>
      <c r="W271" s="79" t="s">
        <v>757</v>
      </c>
      <c r="X271" s="79"/>
      <c r="Y271" s="79"/>
      <c r="Z271" s="79"/>
      <c r="AA271" s="154"/>
      <c r="AB271" s="155"/>
      <c r="AC271" s="121">
        <v>2</v>
      </c>
      <c r="AD271" s="202"/>
      <c r="AE271" s="192"/>
      <c r="AF271" s="203"/>
      <c r="AG271" s="121"/>
      <c r="AH271" s="121"/>
      <c r="AI271" s="121"/>
      <c r="AJ271" s="121"/>
      <c r="AK271" s="121"/>
      <c r="AL271" s="121"/>
      <c r="AM271" s="121"/>
      <c r="AN271" s="121"/>
      <c r="AO271" s="121"/>
      <c r="AP271" s="121"/>
      <c r="AQ271" s="121"/>
      <c r="AR271" s="121"/>
      <c r="AS271" s="121"/>
      <c r="AT271" s="121"/>
      <c r="AU271" s="121"/>
      <c r="AV271" s="156"/>
      <c r="AW271" s="156"/>
      <c r="AX271" s="156"/>
      <c r="AY271" s="156"/>
      <c r="AZ271" s="156">
        <v>1</v>
      </c>
      <c r="BA271" s="156"/>
      <c r="BB271" s="156"/>
      <c r="BC271" s="156"/>
      <c r="BD271" s="157"/>
      <c r="BE271" s="134"/>
      <c r="BF271" s="134"/>
      <c r="BG271" s="134"/>
      <c r="BH271" s="134"/>
      <c r="BI271" s="134"/>
      <c r="BJ271" s="259"/>
      <c r="BK271" s="138"/>
      <c r="BL271" s="134"/>
      <c r="BM271" s="134"/>
      <c r="BN271" s="134"/>
      <c r="BO271" s="138"/>
      <c r="BP271" s="134"/>
      <c r="BQ271" s="134"/>
      <c r="BR271" s="134"/>
      <c r="BS271" s="288"/>
      <c r="BT271" s="289"/>
      <c r="BU271" s="138"/>
      <c r="BV271" s="134"/>
      <c r="BW271" s="134"/>
      <c r="BX271" s="134"/>
      <c r="BY271" s="138"/>
      <c r="BZ271" s="134"/>
      <c r="CA271" s="134"/>
      <c r="CB271" s="134"/>
      <c r="CC271" s="288"/>
      <c r="CD271" s="289"/>
      <c r="CE271" s="276"/>
      <c r="CF271" s="308"/>
      <c r="CG271" s="138"/>
      <c r="CH271" s="134"/>
      <c r="CI271" s="134"/>
      <c r="CJ271" s="134"/>
      <c r="CK271" s="134"/>
      <c r="CL271" s="134"/>
      <c r="CM271" s="134"/>
      <c r="CN271" s="134"/>
      <c r="CO271" s="300"/>
      <c r="CP271" s="301"/>
      <c r="CQ271" s="134"/>
      <c r="CR271" s="134"/>
      <c r="CS271" s="134"/>
      <c r="CT271" s="134"/>
      <c r="CU271" s="134"/>
      <c r="CV271" s="134"/>
      <c r="CW271" s="134"/>
      <c r="CX271" s="134"/>
      <c r="CY271" s="300"/>
      <c r="CZ271" s="301"/>
      <c r="DA271" s="276"/>
      <c r="DB271" s="277"/>
      <c r="DC271" s="134"/>
      <c r="DD271" s="134"/>
      <c r="DE271" s="134"/>
      <c r="DF271" s="134"/>
      <c r="DG271" s="138"/>
      <c r="DH271" s="134"/>
      <c r="DI271" s="134"/>
      <c r="DJ271" s="134"/>
      <c r="DK271" s="301"/>
      <c r="DL271" s="301"/>
      <c r="DM271" s="134"/>
      <c r="DN271" s="134"/>
      <c r="DO271" s="134"/>
      <c r="DP271" s="134"/>
      <c r="DQ271" s="134"/>
      <c r="DR271" s="134"/>
      <c r="DS271" s="134"/>
      <c r="DT271" s="134"/>
      <c r="DU271" s="301"/>
      <c r="DV271" s="301"/>
      <c r="DW271" s="277"/>
      <c r="DX271" s="134"/>
      <c r="DY271" s="134"/>
      <c r="DZ271" s="134"/>
      <c r="EA271" s="134"/>
      <c r="EB271" s="134"/>
      <c r="EC271" s="134"/>
      <c r="ED271" s="134"/>
      <c r="EE271" s="134"/>
      <c r="EF271" s="301"/>
      <c r="EG271" s="301"/>
      <c r="EH271" s="134"/>
      <c r="EI271" s="134"/>
      <c r="EJ271" s="134"/>
      <c r="EK271" s="134"/>
    </row>
    <row r="272" spans="1:141">
      <c r="A272" s="79" t="s">
        <v>290</v>
      </c>
      <c r="B272" s="117">
        <v>208</v>
      </c>
      <c r="C272" s="123" t="s">
        <v>2016</v>
      </c>
      <c r="D272" s="124" t="s">
        <v>2248</v>
      </c>
      <c r="E272" s="125">
        <v>1992</v>
      </c>
      <c r="F272" s="79">
        <v>1355475</v>
      </c>
      <c r="G272" s="79">
        <v>1</v>
      </c>
      <c r="H272" s="126" t="s">
        <v>66</v>
      </c>
      <c r="I272" s="127"/>
      <c r="J272" s="164">
        <v>1</v>
      </c>
      <c r="K272" s="79"/>
      <c r="L272" s="164">
        <v>1</v>
      </c>
      <c r="M272" s="128">
        <v>1</v>
      </c>
      <c r="N272" s="79" t="s">
        <v>66</v>
      </c>
      <c r="O272" s="79" t="s">
        <v>1142</v>
      </c>
      <c r="P272" s="79" t="s">
        <v>759</v>
      </c>
      <c r="Q272" s="79">
        <v>1</v>
      </c>
      <c r="R272" s="79"/>
      <c r="S272" s="79"/>
      <c r="T272" s="79"/>
      <c r="U272" s="79" t="s">
        <v>760</v>
      </c>
      <c r="V272" s="79"/>
      <c r="W272" s="79" t="s">
        <v>758</v>
      </c>
      <c r="X272" s="79"/>
      <c r="Y272" s="79"/>
      <c r="Z272" s="79" t="s">
        <v>761</v>
      </c>
      <c r="AA272" s="154"/>
      <c r="AB272" s="155"/>
      <c r="AC272" s="121">
        <v>2</v>
      </c>
      <c r="AD272" s="202"/>
      <c r="AE272" s="192"/>
      <c r="AF272" s="203"/>
      <c r="AG272" s="121"/>
      <c r="AH272" s="121"/>
      <c r="AI272" s="121"/>
      <c r="AJ272" s="121"/>
      <c r="AK272" s="121"/>
      <c r="AL272" s="121"/>
      <c r="AM272" s="121"/>
      <c r="AN272" s="121"/>
      <c r="AO272" s="121"/>
      <c r="AP272" s="121"/>
      <c r="AQ272" s="121"/>
      <c r="AR272" s="121"/>
      <c r="AS272" s="121"/>
      <c r="AT272" s="121"/>
      <c r="AU272" s="121"/>
      <c r="AV272" s="156"/>
      <c r="AW272" s="156"/>
      <c r="AX272" s="156"/>
      <c r="AY272" s="156"/>
      <c r="AZ272" s="156"/>
      <c r="BA272" s="156"/>
      <c r="BB272" s="156"/>
      <c r="BC272" s="156"/>
      <c r="BD272" s="157"/>
      <c r="BE272" s="134"/>
      <c r="BF272" s="134"/>
      <c r="BG272" s="134"/>
      <c r="BH272" s="134"/>
      <c r="BI272" s="134"/>
      <c r="BJ272" s="259"/>
      <c r="BK272" s="138"/>
      <c r="BL272" s="134"/>
      <c r="BM272" s="134"/>
      <c r="BN272" s="134"/>
      <c r="BO272" s="138"/>
      <c r="BP272" s="134"/>
      <c r="BQ272" s="134"/>
      <c r="BR272" s="134"/>
      <c r="BS272" s="288"/>
      <c r="BT272" s="289"/>
      <c r="BU272" s="138"/>
      <c r="BV272" s="134"/>
      <c r="BW272" s="134"/>
      <c r="BX272" s="134"/>
      <c r="BY272" s="138"/>
      <c r="BZ272" s="134"/>
      <c r="CA272" s="134"/>
      <c r="CB272" s="134"/>
      <c r="CC272" s="288"/>
      <c r="CD272" s="289"/>
      <c r="CE272" s="276"/>
      <c r="CF272" s="308"/>
      <c r="CG272" s="138"/>
      <c r="CH272" s="134"/>
      <c r="CI272" s="134"/>
      <c r="CJ272" s="134"/>
      <c r="CK272" s="134"/>
      <c r="CL272" s="134"/>
      <c r="CM272" s="134"/>
      <c r="CN272" s="134"/>
      <c r="CO272" s="300"/>
      <c r="CP272" s="301"/>
      <c r="CQ272" s="134"/>
      <c r="CR272" s="134"/>
      <c r="CS272" s="134"/>
      <c r="CT272" s="134"/>
      <c r="CU272" s="134"/>
      <c r="CV272" s="134"/>
      <c r="CW272" s="134"/>
      <c r="CX272" s="134"/>
      <c r="CY272" s="300"/>
      <c r="CZ272" s="301"/>
      <c r="DA272" s="276"/>
      <c r="DB272" s="277"/>
      <c r="DC272" s="134"/>
      <c r="DD272" s="134"/>
      <c r="DE272" s="134"/>
      <c r="DF272" s="134"/>
      <c r="DG272" s="138"/>
      <c r="DH272" s="134"/>
      <c r="DI272" s="134"/>
      <c r="DJ272" s="134"/>
      <c r="DK272" s="301"/>
      <c r="DL272" s="301"/>
      <c r="DM272" s="134"/>
      <c r="DN272" s="134"/>
      <c r="DO272" s="134"/>
      <c r="DP272" s="134"/>
      <c r="DQ272" s="134"/>
      <c r="DR272" s="134"/>
      <c r="DS272" s="134"/>
      <c r="DT272" s="134"/>
      <c r="DU272" s="301"/>
      <c r="DV272" s="301"/>
      <c r="DW272" s="277"/>
      <c r="DX272" s="134"/>
      <c r="DY272" s="134"/>
      <c r="DZ272" s="134"/>
      <c r="EA272" s="134"/>
      <c r="EB272" s="134"/>
      <c r="EC272" s="134"/>
      <c r="ED272" s="134"/>
      <c r="EE272" s="134"/>
      <c r="EF272" s="301"/>
      <c r="EG272" s="301"/>
      <c r="EH272" s="134"/>
      <c r="EI272" s="134"/>
      <c r="EJ272" s="134"/>
      <c r="EK272" s="134"/>
    </row>
    <row r="273" spans="1:141">
      <c r="A273" s="79" t="s">
        <v>291</v>
      </c>
      <c r="B273" s="117">
        <v>209</v>
      </c>
      <c r="C273" s="123" t="s">
        <v>2017</v>
      </c>
      <c r="D273" s="124" t="s">
        <v>2249</v>
      </c>
      <c r="E273" s="125">
        <v>2013</v>
      </c>
      <c r="F273" s="79">
        <v>23755991</v>
      </c>
      <c r="G273" s="79">
        <v>1</v>
      </c>
      <c r="H273" s="126"/>
      <c r="I273" s="127"/>
      <c r="J273" s="79">
        <v>1</v>
      </c>
      <c r="K273" s="79"/>
      <c r="L273" s="79">
        <v>1</v>
      </c>
      <c r="M273" s="128">
        <v>1</v>
      </c>
      <c r="N273" s="79" t="s">
        <v>1914</v>
      </c>
      <c r="O273" s="79" t="s">
        <v>1160</v>
      </c>
      <c r="P273" s="79" t="s">
        <v>762</v>
      </c>
      <c r="Q273" s="79">
        <v>1</v>
      </c>
      <c r="R273" s="79"/>
      <c r="S273" s="79"/>
      <c r="T273" s="79"/>
      <c r="U273" s="79" t="s">
        <v>763</v>
      </c>
      <c r="V273" s="79"/>
      <c r="W273" s="79"/>
      <c r="X273" s="79"/>
      <c r="Y273" s="79"/>
      <c r="Z273" s="79"/>
      <c r="AA273" s="154"/>
      <c r="AB273" s="155"/>
      <c r="AC273" s="121">
        <v>2</v>
      </c>
      <c r="AD273" s="202"/>
      <c r="AE273" s="192"/>
      <c r="AF273" s="203"/>
      <c r="AG273" s="121"/>
      <c r="AH273" s="121"/>
      <c r="AI273" s="121"/>
      <c r="AJ273" s="121"/>
      <c r="AK273" s="121"/>
      <c r="AL273" s="121"/>
      <c r="AM273" s="121"/>
      <c r="AN273" s="121"/>
      <c r="AO273" s="121"/>
      <c r="AP273" s="121"/>
      <c r="AQ273" s="121"/>
      <c r="AR273" s="121"/>
      <c r="AS273" s="121"/>
      <c r="AT273" s="121"/>
      <c r="AU273" s="121"/>
      <c r="AV273" s="156"/>
      <c r="AW273" s="156"/>
      <c r="AX273" s="156"/>
      <c r="AY273" s="156" t="s">
        <v>1917</v>
      </c>
      <c r="AZ273" s="156">
        <v>1</v>
      </c>
      <c r="BA273" s="156"/>
      <c r="BB273" s="156"/>
      <c r="BC273" s="156"/>
      <c r="BD273" s="157"/>
      <c r="BE273" s="134"/>
      <c r="BF273" s="134"/>
      <c r="BG273" s="134"/>
      <c r="BH273" s="134"/>
      <c r="BI273" s="134"/>
      <c r="BJ273" s="259"/>
      <c r="BK273" s="138"/>
      <c r="BL273" s="134"/>
      <c r="BM273" s="134"/>
      <c r="BN273" s="134"/>
      <c r="BO273" s="138"/>
      <c r="BP273" s="134"/>
      <c r="BQ273" s="134"/>
      <c r="BR273" s="134"/>
      <c r="BS273" s="288"/>
      <c r="BT273" s="289"/>
      <c r="BU273" s="138"/>
      <c r="BV273" s="134"/>
      <c r="BW273" s="134"/>
      <c r="BX273" s="134"/>
      <c r="BY273" s="138"/>
      <c r="BZ273" s="134"/>
      <c r="CA273" s="134"/>
      <c r="CB273" s="134"/>
      <c r="CC273" s="288"/>
      <c r="CD273" s="289"/>
      <c r="CE273" s="276"/>
      <c r="CF273" s="308"/>
      <c r="CG273" s="138"/>
      <c r="CH273" s="134"/>
      <c r="CI273" s="134"/>
      <c r="CJ273" s="134"/>
      <c r="CK273" s="134"/>
      <c r="CL273" s="134"/>
      <c r="CM273" s="134"/>
      <c r="CN273" s="134"/>
      <c r="CO273" s="300"/>
      <c r="CP273" s="301"/>
      <c r="CQ273" s="134"/>
      <c r="CR273" s="134"/>
      <c r="CS273" s="134"/>
      <c r="CT273" s="134"/>
      <c r="CU273" s="134"/>
      <c r="CV273" s="134"/>
      <c r="CW273" s="134"/>
      <c r="CX273" s="134"/>
      <c r="CY273" s="300"/>
      <c r="CZ273" s="301"/>
      <c r="DA273" s="276"/>
      <c r="DB273" s="277"/>
      <c r="DC273" s="134"/>
      <c r="DD273" s="134"/>
      <c r="DE273" s="134"/>
      <c r="DF273" s="134"/>
      <c r="DG273" s="138"/>
      <c r="DH273" s="134"/>
      <c r="DI273" s="134"/>
      <c r="DJ273" s="134"/>
      <c r="DK273" s="301"/>
      <c r="DL273" s="301"/>
      <c r="DM273" s="134"/>
      <c r="DN273" s="134"/>
      <c r="DO273" s="134"/>
      <c r="DP273" s="134"/>
      <c r="DQ273" s="134"/>
      <c r="DR273" s="134"/>
      <c r="DS273" s="134"/>
      <c r="DT273" s="134"/>
      <c r="DU273" s="301"/>
      <c r="DV273" s="301"/>
      <c r="DW273" s="277"/>
      <c r="DX273" s="134"/>
      <c r="DY273" s="134"/>
      <c r="DZ273" s="134"/>
      <c r="EA273" s="134"/>
      <c r="EB273" s="134"/>
      <c r="EC273" s="134"/>
      <c r="ED273" s="134"/>
      <c r="EE273" s="134"/>
      <c r="EF273" s="301"/>
      <c r="EG273" s="301"/>
      <c r="EH273" s="134"/>
      <c r="EI273" s="134"/>
      <c r="EJ273" s="134"/>
      <c r="EK273" s="134"/>
    </row>
    <row r="274" spans="1:141">
      <c r="A274" s="79" t="s">
        <v>292</v>
      </c>
      <c r="B274" s="117">
        <v>210</v>
      </c>
      <c r="C274" s="123" t="s">
        <v>2018</v>
      </c>
      <c r="D274" s="124" t="s">
        <v>2250</v>
      </c>
      <c r="E274" s="125">
        <v>2002</v>
      </c>
      <c r="F274" s="79">
        <v>11848709</v>
      </c>
      <c r="G274" s="79">
        <v>1</v>
      </c>
      <c r="H274" s="126"/>
      <c r="I274" s="127"/>
      <c r="J274" s="79">
        <v>1</v>
      </c>
      <c r="K274" s="79"/>
      <c r="L274" s="79">
        <v>1</v>
      </c>
      <c r="M274" s="128">
        <v>1</v>
      </c>
      <c r="N274" s="79" t="s">
        <v>609</v>
      </c>
      <c r="O274" s="79" t="s">
        <v>1158</v>
      </c>
      <c r="P274" s="79" t="s">
        <v>471</v>
      </c>
      <c r="Q274" s="79">
        <v>0</v>
      </c>
      <c r="R274" s="79"/>
      <c r="S274" s="79"/>
      <c r="T274" s="79"/>
      <c r="U274" s="79" t="s">
        <v>610</v>
      </c>
      <c r="V274" s="79" t="s">
        <v>56</v>
      </c>
      <c r="W274" s="79"/>
      <c r="X274" s="79"/>
      <c r="Y274" s="79"/>
      <c r="Z274" s="79"/>
      <c r="AA274" s="154"/>
      <c r="AB274" s="155"/>
      <c r="AC274" s="121"/>
      <c r="AD274" s="202"/>
      <c r="AE274" s="192"/>
      <c r="AF274" s="203"/>
      <c r="AG274" s="121"/>
      <c r="AH274" s="121"/>
      <c r="AI274" s="121"/>
      <c r="AJ274" s="121"/>
      <c r="AK274" s="121"/>
      <c r="AL274" s="121"/>
      <c r="AM274" s="121"/>
      <c r="AN274" s="121"/>
      <c r="AO274" s="121"/>
      <c r="AP274" s="121"/>
      <c r="AQ274" s="121"/>
      <c r="AR274" s="121"/>
      <c r="AS274" s="121"/>
      <c r="AT274" s="121"/>
      <c r="AU274" s="121"/>
      <c r="AV274" s="156"/>
      <c r="AW274" s="156"/>
      <c r="AX274" s="156"/>
      <c r="AY274" s="156"/>
      <c r="AZ274" s="156"/>
      <c r="BA274" s="156">
        <v>1</v>
      </c>
      <c r="BB274" s="156"/>
      <c r="BC274" s="156"/>
      <c r="BD274" s="157"/>
      <c r="BE274" s="134"/>
      <c r="BF274" s="134"/>
      <c r="BG274" s="134"/>
      <c r="BH274" s="134"/>
      <c r="BI274" s="134"/>
      <c r="BJ274" s="259"/>
      <c r="BK274" s="138"/>
      <c r="BL274" s="134"/>
      <c r="BM274" s="134"/>
      <c r="BN274" s="134"/>
      <c r="BO274" s="138"/>
      <c r="BP274" s="134"/>
      <c r="BQ274" s="134"/>
      <c r="BR274" s="134"/>
      <c r="BS274" s="288"/>
      <c r="BT274" s="289"/>
      <c r="BU274" s="138"/>
      <c r="BV274" s="134"/>
      <c r="BW274" s="134"/>
      <c r="BX274" s="134"/>
      <c r="BY274" s="138"/>
      <c r="BZ274" s="134"/>
      <c r="CA274" s="134"/>
      <c r="CB274" s="134"/>
      <c r="CC274" s="288"/>
      <c r="CD274" s="289"/>
      <c r="CE274" s="276"/>
      <c r="CF274" s="308"/>
      <c r="CG274" s="138"/>
      <c r="CH274" s="134"/>
      <c r="CI274" s="134"/>
      <c r="CJ274" s="134"/>
      <c r="CK274" s="134"/>
      <c r="CL274" s="134"/>
      <c r="CM274" s="134"/>
      <c r="CN274" s="134"/>
      <c r="CO274" s="300"/>
      <c r="CP274" s="301"/>
      <c r="CQ274" s="134"/>
      <c r="CR274" s="134"/>
      <c r="CS274" s="134"/>
      <c r="CT274" s="134"/>
      <c r="CU274" s="134"/>
      <c r="CV274" s="134"/>
      <c r="CW274" s="134"/>
      <c r="CX274" s="134"/>
      <c r="CY274" s="300"/>
      <c r="CZ274" s="301"/>
      <c r="DA274" s="276"/>
      <c r="DB274" s="277"/>
      <c r="DC274" s="134"/>
      <c r="DD274" s="134"/>
      <c r="DE274" s="134"/>
      <c r="DF274" s="134"/>
      <c r="DG274" s="138"/>
      <c r="DH274" s="134"/>
      <c r="DI274" s="134"/>
      <c r="DJ274" s="134"/>
      <c r="DK274" s="301"/>
      <c r="DL274" s="301"/>
      <c r="DM274" s="134"/>
      <c r="DN274" s="134"/>
      <c r="DO274" s="134"/>
      <c r="DP274" s="134"/>
      <c r="DQ274" s="134"/>
      <c r="DR274" s="134"/>
      <c r="DS274" s="134"/>
      <c r="DT274" s="134"/>
      <c r="DU274" s="301"/>
      <c r="DV274" s="301"/>
      <c r="DW274" s="277"/>
      <c r="DX274" s="134"/>
      <c r="DY274" s="134"/>
      <c r="DZ274" s="134"/>
      <c r="EA274" s="134"/>
      <c r="EB274" s="134"/>
      <c r="EC274" s="134"/>
      <c r="ED274" s="134"/>
      <c r="EE274" s="134"/>
      <c r="EF274" s="301"/>
      <c r="EG274" s="301"/>
      <c r="EH274" s="134"/>
      <c r="EI274" s="134"/>
      <c r="EJ274" s="134"/>
      <c r="EK274" s="134"/>
    </row>
    <row r="275" spans="1:141">
      <c r="A275" s="79" t="s">
        <v>294</v>
      </c>
      <c r="B275" s="117">
        <v>211</v>
      </c>
      <c r="C275" s="123" t="s">
        <v>2019</v>
      </c>
      <c r="D275" s="124" t="s">
        <v>2251</v>
      </c>
      <c r="E275" s="125">
        <v>2011</v>
      </c>
      <c r="F275" s="79">
        <v>21724666</v>
      </c>
      <c r="G275" s="79">
        <v>1</v>
      </c>
      <c r="H275" s="126"/>
      <c r="I275" s="127"/>
      <c r="J275" s="79">
        <v>1</v>
      </c>
      <c r="K275" s="79"/>
      <c r="L275" s="79">
        <v>1</v>
      </c>
      <c r="M275" s="128">
        <v>1</v>
      </c>
      <c r="N275" s="79" t="s">
        <v>771</v>
      </c>
      <c r="O275" s="79" t="s">
        <v>1146</v>
      </c>
      <c r="P275" s="79" t="s">
        <v>768</v>
      </c>
      <c r="Q275" s="79">
        <v>0</v>
      </c>
      <c r="R275" s="79"/>
      <c r="S275" s="79"/>
      <c r="T275" s="79"/>
      <c r="U275" s="79" t="s">
        <v>769</v>
      </c>
      <c r="V275" s="79" t="s">
        <v>56</v>
      </c>
      <c r="W275" s="79" t="s">
        <v>24</v>
      </c>
      <c r="X275" s="79" t="s">
        <v>770</v>
      </c>
      <c r="Y275" s="79"/>
      <c r="Z275" s="79"/>
      <c r="AA275" s="154"/>
      <c r="AB275" s="155"/>
      <c r="AC275" s="121"/>
      <c r="AD275" s="202"/>
      <c r="AE275" s="192"/>
      <c r="AF275" s="203"/>
      <c r="AG275" s="121"/>
      <c r="AH275" s="121"/>
      <c r="AI275" s="121"/>
      <c r="AJ275" s="121"/>
      <c r="AK275" s="121"/>
      <c r="AL275" s="121"/>
      <c r="AM275" s="121"/>
      <c r="AN275" s="121"/>
      <c r="AO275" s="121"/>
      <c r="AP275" s="121"/>
      <c r="AQ275" s="121"/>
      <c r="AR275" s="121"/>
      <c r="AS275" s="121"/>
      <c r="AT275" s="121"/>
      <c r="AU275" s="121"/>
      <c r="AV275" s="156"/>
      <c r="AW275" s="156"/>
      <c r="AX275" s="156"/>
      <c r="AY275" s="156" t="s">
        <v>1917</v>
      </c>
      <c r="AZ275" s="156"/>
      <c r="BA275" s="156">
        <v>1</v>
      </c>
      <c r="BB275" s="156"/>
      <c r="BC275" s="156"/>
      <c r="BD275" s="157"/>
      <c r="BE275" s="134"/>
      <c r="BF275" s="134"/>
      <c r="BG275" s="134"/>
      <c r="BH275" s="134"/>
      <c r="BI275" s="134"/>
      <c r="BJ275" s="259"/>
      <c r="BK275" s="138"/>
      <c r="BL275" s="134"/>
      <c r="BM275" s="134"/>
      <c r="BN275" s="134"/>
      <c r="BO275" s="138"/>
      <c r="BP275" s="134"/>
      <c r="BQ275" s="134"/>
      <c r="BR275" s="134"/>
      <c r="BS275" s="288"/>
      <c r="BT275" s="289"/>
      <c r="BU275" s="138"/>
      <c r="BV275" s="134"/>
      <c r="BW275" s="134"/>
      <c r="BX275" s="134"/>
      <c r="BY275" s="138"/>
      <c r="BZ275" s="134"/>
      <c r="CA275" s="134"/>
      <c r="CB275" s="134"/>
      <c r="CC275" s="288"/>
      <c r="CD275" s="289"/>
      <c r="CE275" s="276"/>
      <c r="CF275" s="308"/>
      <c r="CG275" s="138"/>
      <c r="CH275" s="134"/>
      <c r="CI275" s="134"/>
      <c r="CJ275" s="134"/>
      <c r="CK275" s="134"/>
      <c r="CL275" s="134"/>
      <c r="CM275" s="134"/>
      <c r="CN275" s="134"/>
      <c r="CO275" s="300"/>
      <c r="CP275" s="301"/>
      <c r="CQ275" s="134"/>
      <c r="CR275" s="134"/>
      <c r="CS275" s="134"/>
      <c r="CT275" s="134"/>
      <c r="CU275" s="134"/>
      <c r="CV275" s="134"/>
      <c r="CW275" s="134"/>
      <c r="CX275" s="134"/>
      <c r="CY275" s="300"/>
      <c r="CZ275" s="301"/>
      <c r="DA275" s="276"/>
      <c r="DB275" s="277"/>
      <c r="DC275" s="134"/>
      <c r="DD275" s="134"/>
      <c r="DE275" s="134"/>
      <c r="DF275" s="134"/>
      <c r="DG275" s="138"/>
      <c r="DH275" s="134"/>
      <c r="DI275" s="134"/>
      <c r="DJ275" s="134"/>
      <c r="DK275" s="301"/>
      <c r="DL275" s="301"/>
      <c r="DM275" s="134"/>
      <c r="DN275" s="134"/>
      <c r="DO275" s="134"/>
      <c r="DP275" s="134"/>
      <c r="DQ275" s="134"/>
      <c r="DR275" s="134"/>
      <c r="DS275" s="134"/>
      <c r="DT275" s="134"/>
      <c r="DU275" s="301"/>
      <c r="DV275" s="301"/>
      <c r="DW275" s="277"/>
      <c r="DX275" s="134"/>
      <c r="DY275" s="134"/>
      <c r="DZ275" s="134"/>
      <c r="EA275" s="134"/>
      <c r="EB275" s="134"/>
      <c r="EC275" s="134"/>
      <c r="ED275" s="134"/>
      <c r="EE275" s="134"/>
      <c r="EF275" s="301"/>
      <c r="EG275" s="301"/>
      <c r="EH275" s="134"/>
      <c r="EI275" s="134"/>
      <c r="EJ275" s="134"/>
      <c r="EK275" s="134"/>
    </row>
    <row r="276" spans="1:141">
      <c r="A276" s="79" t="s">
        <v>295</v>
      </c>
      <c r="B276" s="117">
        <v>212</v>
      </c>
      <c r="C276" s="123" t="s">
        <v>2020</v>
      </c>
      <c r="D276" s="124" t="s">
        <v>2252</v>
      </c>
      <c r="E276" s="125">
        <v>2014</v>
      </c>
      <c r="F276" s="79">
        <v>25150386</v>
      </c>
      <c r="G276" s="79">
        <v>1</v>
      </c>
      <c r="H276" s="126"/>
      <c r="I276" s="127"/>
      <c r="J276" s="79">
        <v>1</v>
      </c>
      <c r="K276" s="79"/>
      <c r="L276" s="79">
        <v>1</v>
      </c>
      <c r="M276" s="128">
        <v>1</v>
      </c>
      <c r="N276" s="79" t="s">
        <v>773</v>
      </c>
      <c r="O276" s="79" t="s">
        <v>1192</v>
      </c>
      <c r="P276" s="79" t="s">
        <v>762</v>
      </c>
      <c r="Q276" s="79">
        <v>1</v>
      </c>
      <c r="R276" s="79"/>
      <c r="S276" s="79"/>
      <c r="T276" s="79"/>
      <c r="U276" s="79" t="s">
        <v>772</v>
      </c>
      <c r="V276" s="79" t="s">
        <v>33</v>
      </c>
      <c r="W276" s="79"/>
      <c r="X276" s="79"/>
      <c r="Y276" s="79"/>
      <c r="Z276" s="79"/>
      <c r="AA276" s="154"/>
      <c r="AB276" s="155"/>
      <c r="AC276" s="121">
        <v>2</v>
      </c>
      <c r="AD276" s="202"/>
      <c r="AE276" s="192"/>
      <c r="AF276" s="203"/>
      <c r="AG276" s="121"/>
      <c r="AH276" s="121"/>
      <c r="AI276" s="121"/>
      <c r="AJ276" s="121"/>
      <c r="AK276" s="121"/>
      <c r="AL276" s="121"/>
      <c r="AM276" s="121"/>
      <c r="AN276" s="121"/>
      <c r="AO276" s="121"/>
      <c r="AP276" s="121"/>
      <c r="AQ276" s="121"/>
      <c r="AR276" s="121"/>
      <c r="AS276" s="121"/>
      <c r="AT276" s="121"/>
      <c r="AU276" s="121"/>
      <c r="AV276" s="156"/>
      <c r="AW276" s="156"/>
      <c r="AX276" s="156"/>
      <c r="AY276" s="156">
        <v>1</v>
      </c>
      <c r="AZ276" s="156"/>
      <c r="BA276" s="156"/>
      <c r="BB276" s="156"/>
      <c r="BC276" s="156"/>
      <c r="BD276" s="157"/>
      <c r="BE276" s="134"/>
      <c r="BF276" s="134"/>
      <c r="BG276" s="134"/>
      <c r="BH276" s="134"/>
      <c r="BI276" s="134"/>
      <c r="BJ276" s="259"/>
      <c r="BK276" s="138"/>
      <c r="BL276" s="134"/>
      <c r="BM276" s="134"/>
      <c r="BN276" s="134"/>
      <c r="BO276" s="138"/>
      <c r="BP276" s="134"/>
      <c r="BQ276" s="134"/>
      <c r="BR276" s="134"/>
      <c r="BS276" s="288"/>
      <c r="BT276" s="289"/>
      <c r="BU276" s="138"/>
      <c r="BV276" s="134"/>
      <c r="BW276" s="134"/>
      <c r="BX276" s="134"/>
      <c r="BY276" s="138"/>
      <c r="BZ276" s="134"/>
      <c r="CA276" s="134"/>
      <c r="CB276" s="134"/>
      <c r="CC276" s="288"/>
      <c r="CD276" s="289"/>
      <c r="CE276" s="276"/>
      <c r="CF276" s="308"/>
      <c r="CG276" s="138"/>
      <c r="CH276" s="134"/>
      <c r="CI276" s="134"/>
      <c r="CJ276" s="134"/>
      <c r="CK276" s="134"/>
      <c r="CL276" s="134"/>
      <c r="CM276" s="134"/>
      <c r="CN276" s="134"/>
      <c r="CO276" s="300"/>
      <c r="CP276" s="301"/>
      <c r="CQ276" s="134"/>
      <c r="CR276" s="134"/>
      <c r="CS276" s="134"/>
      <c r="CT276" s="134"/>
      <c r="CU276" s="134"/>
      <c r="CV276" s="134"/>
      <c r="CW276" s="134"/>
      <c r="CX276" s="134"/>
      <c r="CY276" s="300"/>
      <c r="CZ276" s="301"/>
      <c r="DA276" s="276"/>
      <c r="DB276" s="277"/>
      <c r="DC276" s="134"/>
      <c r="DD276" s="134"/>
      <c r="DE276" s="134"/>
      <c r="DF276" s="134"/>
      <c r="DG276" s="138"/>
      <c r="DH276" s="134"/>
      <c r="DI276" s="134"/>
      <c r="DJ276" s="134"/>
      <c r="DK276" s="301"/>
      <c r="DL276" s="301"/>
      <c r="DM276" s="134"/>
      <c r="DN276" s="134"/>
      <c r="DO276" s="134"/>
      <c r="DP276" s="134"/>
      <c r="DQ276" s="134"/>
      <c r="DR276" s="134"/>
      <c r="DS276" s="134"/>
      <c r="DT276" s="134"/>
      <c r="DU276" s="301"/>
      <c r="DV276" s="301"/>
      <c r="DW276" s="277"/>
      <c r="DX276" s="134"/>
      <c r="DY276" s="134"/>
      <c r="DZ276" s="134"/>
      <c r="EA276" s="134"/>
      <c r="EB276" s="134"/>
      <c r="EC276" s="134"/>
      <c r="ED276" s="134"/>
      <c r="EE276" s="134"/>
      <c r="EF276" s="301"/>
      <c r="EG276" s="301"/>
      <c r="EH276" s="134"/>
      <c r="EI276" s="134"/>
      <c r="EJ276" s="134"/>
      <c r="EK276" s="134"/>
    </row>
    <row r="277" spans="1:141">
      <c r="A277" s="79" t="s">
        <v>296</v>
      </c>
      <c r="B277" s="117">
        <v>213</v>
      </c>
      <c r="C277" s="123" t="s">
        <v>2020</v>
      </c>
      <c r="D277" s="124" t="s">
        <v>2253</v>
      </c>
      <c r="E277" s="125">
        <v>2014</v>
      </c>
      <c r="F277" s="79">
        <v>24342149</v>
      </c>
      <c r="G277" s="79">
        <v>1</v>
      </c>
      <c r="H277" s="126"/>
      <c r="I277" s="127"/>
      <c r="J277" s="79">
        <v>1</v>
      </c>
      <c r="K277" s="79"/>
      <c r="L277" s="164">
        <v>1</v>
      </c>
      <c r="M277" s="128">
        <v>1</v>
      </c>
      <c r="N277" s="79" t="s">
        <v>775</v>
      </c>
      <c r="O277" s="79" t="s">
        <v>1164</v>
      </c>
      <c r="P277" s="79" t="s">
        <v>762</v>
      </c>
      <c r="Q277" s="79">
        <v>1</v>
      </c>
      <c r="R277" s="79"/>
      <c r="S277" s="79"/>
      <c r="T277" s="79"/>
      <c r="U277" s="79" t="s">
        <v>774</v>
      </c>
      <c r="V277" s="79" t="s">
        <v>33</v>
      </c>
      <c r="W277" s="79"/>
      <c r="X277" s="79"/>
      <c r="Y277" s="79"/>
      <c r="Z277" s="79" t="s">
        <v>776</v>
      </c>
      <c r="AA277" s="154"/>
      <c r="AB277" s="155"/>
      <c r="AC277" s="121">
        <v>2</v>
      </c>
      <c r="AD277" s="202"/>
      <c r="AE277" s="192"/>
      <c r="AF277" s="203"/>
      <c r="AG277" s="121"/>
      <c r="AH277" s="121"/>
      <c r="AI277" s="121"/>
      <c r="AJ277" s="121"/>
      <c r="AK277" s="121"/>
      <c r="AL277" s="121"/>
      <c r="AM277" s="121"/>
      <c r="AN277" s="121"/>
      <c r="AO277" s="121"/>
      <c r="AP277" s="121"/>
      <c r="AQ277" s="121"/>
      <c r="AR277" s="121"/>
      <c r="AS277" s="121"/>
      <c r="AT277" s="121"/>
      <c r="AU277" s="121"/>
      <c r="AV277" s="156"/>
      <c r="AW277" s="156"/>
      <c r="AX277" s="156"/>
      <c r="AY277" s="156"/>
      <c r="AZ277" s="156"/>
      <c r="BA277" s="156"/>
      <c r="BB277" s="156"/>
      <c r="BC277" s="156">
        <v>1</v>
      </c>
      <c r="BD277" s="157"/>
      <c r="BE277" s="134"/>
      <c r="BF277" s="134"/>
      <c r="BG277" s="134"/>
      <c r="BH277" s="134"/>
      <c r="BI277" s="134"/>
      <c r="BJ277" s="259"/>
      <c r="BK277" s="138"/>
      <c r="BL277" s="134"/>
      <c r="BM277" s="134"/>
      <c r="BN277" s="134"/>
      <c r="BO277" s="138"/>
      <c r="BP277" s="134"/>
      <c r="BQ277" s="134"/>
      <c r="BR277" s="134"/>
      <c r="BS277" s="288"/>
      <c r="BT277" s="289"/>
      <c r="BU277" s="138"/>
      <c r="BV277" s="134"/>
      <c r="BW277" s="134"/>
      <c r="BX277" s="134"/>
      <c r="BY277" s="138"/>
      <c r="BZ277" s="134"/>
      <c r="CA277" s="134"/>
      <c r="CB277" s="134"/>
      <c r="CC277" s="288"/>
      <c r="CD277" s="289"/>
      <c r="CE277" s="276"/>
      <c r="CF277" s="308"/>
      <c r="CG277" s="138"/>
      <c r="CH277" s="134"/>
      <c r="CI277" s="134"/>
      <c r="CJ277" s="134"/>
      <c r="CK277" s="134"/>
      <c r="CL277" s="134"/>
      <c r="CM277" s="134"/>
      <c r="CN277" s="134"/>
      <c r="CO277" s="300"/>
      <c r="CP277" s="301"/>
      <c r="CQ277" s="134"/>
      <c r="CR277" s="134"/>
      <c r="CS277" s="134"/>
      <c r="CT277" s="134"/>
      <c r="CU277" s="134"/>
      <c r="CV277" s="134"/>
      <c r="CW277" s="134"/>
      <c r="CX277" s="134"/>
      <c r="CY277" s="300"/>
      <c r="CZ277" s="301"/>
      <c r="DA277" s="276"/>
      <c r="DB277" s="277"/>
      <c r="DC277" s="134"/>
      <c r="DD277" s="134"/>
      <c r="DE277" s="134"/>
      <c r="DF277" s="134"/>
      <c r="DG277" s="138"/>
      <c r="DH277" s="134"/>
      <c r="DI277" s="134"/>
      <c r="DJ277" s="134"/>
      <c r="DK277" s="301"/>
      <c r="DL277" s="301"/>
      <c r="DM277" s="134"/>
      <c r="DN277" s="134"/>
      <c r="DO277" s="134"/>
      <c r="DP277" s="134"/>
      <c r="DQ277" s="134"/>
      <c r="DR277" s="134"/>
      <c r="DS277" s="134"/>
      <c r="DT277" s="134"/>
      <c r="DU277" s="301"/>
      <c r="DV277" s="301"/>
      <c r="DW277" s="277"/>
      <c r="DX277" s="134"/>
      <c r="DY277" s="134"/>
      <c r="DZ277" s="134"/>
      <c r="EA277" s="134"/>
      <c r="EB277" s="134"/>
      <c r="EC277" s="134"/>
      <c r="ED277" s="134"/>
      <c r="EE277" s="134"/>
      <c r="EF277" s="301"/>
      <c r="EG277" s="301"/>
      <c r="EH277" s="134"/>
      <c r="EI277" s="134"/>
      <c r="EJ277" s="134"/>
      <c r="EK277" s="134"/>
    </row>
    <row r="278" spans="1:141">
      <c r="A278" s="79" t="s">
        <v>297</v>
      </c>
      <c r="B278" s="117">
        <v>214</v>
      </c>
      <c r="C278" s="123" t="s">
        <v>2021</v>
      </c>
      <c r="D278" s="124" t="s">
        <v>2254</v>
      </c>
      <c r="E278" s="125">
        <v>2008</v>
      </c>
      <c r="F278" s="79">
        <v>18590795</v>
      </c>
      <c r="G278" s="79">
        <v>1</v>
      </c>
      <c r="H278" s="126"/>
      <c r="I278" s="127"/>
      <c r="J278" s="79">
        <v>1</v>
      </c>
      <c r="K278" s="79"/>
      <c r="L278" s="79">
        <v>1</v>
      </c>
      <c r="M278" s="128">
        <v>1</v>
      </c>
      <c r="N278" s="79" t="s">
        <v>779</v>
      </c>
      <c r="O278" s="79" t="s">
        <v>1192</v>
      </c>
      <c r="P278" s="79" t="s">
        <v>25</v>
      </c>
      <c r="Q278" s="79">
        <v>1</v>
      </c>
      <c r="R278" s="79"/>
      <c r="S278" s="79"/>
      <c r="T278" s="79"/>
      <c r="U278" s="79" t="s">
        <v>778</v>
      </c>
      <c r="V278" s="79" t="s">
        <v>777</v>
      </c>
      <c r="W278" s="79"/>
      <c r="X278" s="79"/>
      <c r="Y278" s="79"/>
      <c r="Z278" s="79"/>
      <c r="AA278" s="154"/>
      <c r="AB278" s="155"/>
      <c r="AC278" s="121">
        <v>2</v>
      </c>
      <c r="AD278" s="202"/>
      <c r="AE278" s="192"/>
      <c r="AF278" s="203"/>
      <c r="AG278" s="121"/>
      <c r="AH278" s="121"/>
      <c r="AI278" s="121"/>
      <c r="AJ278" s="121"/>
      <c r="AK278" s="121"/>
      <c r="AL278" s="121"/>
      <c r="AM278" s="121"/>
      <c r="AN278" s="121"/>
      <c r="AO278" s="121"/>
      <c r="AP278" s="121"/>
      <c r="AQ278" s="121"/>
      <c r="AR278" s="121"/>
      <c r="AS278" s="121"/>
      <c r="AT278" s="121"/>
      <c r="AU278" s="121"/>
      <c r="AV278" s="156"/>
      <c r="AW278" s="156"/>
      <c r="AX278" s="156">
        <v>1</v>
      </c>
      <c r="AY278" s="156">
        <v>1</v>
      </c>
      <c r="AZ278" s="156"/>
      <c r="BA278" s="156"/>
      <c r="BB278" s="156"/>
      <c r="BC278" s="156"/>
      <c r="BD278" s="157"/>
      <c r="BE278" s="134"/>
      <c r="BF278" s="134"/>
      <c r="BG278" s="134"/>
      <c r="BH278" s="134"/>
      <c r="BI278" s="134"/>
      <c r="BJ278" s="259"/>
      <c r="BK278" s="138"/>
      <c r="BL278" s="134"/>
      <c r="BM278" s="134"/>
      <c r="BN278" s="134"/>
      <c r="BO278" s="138"/>
      <c r="BP278" s="134"/>
      <c r="BQ278" s="134"/>
      <c r="BR278" s="134"/>
      <c r="BS278" s="288"/>
      <c r="BT278" s="289"/>
      <c r="BU278" s="138"/>
      <c r="BV278" s="134"/>
      <c r="BW278" s="134"/>
      <c r="BX278" s="134"/>
      <c r="BY278" s="138"/>
      <c r="BZ278" s="134"/>
      <c r="CA278" s="134"/>
      <c r="CB278" s="134"/>
      <c r="CC278" s="288"/>
      <c r="CD278" s="289"/>
      <c r="CE278" s="276"/>
      <c r="CF278" s="308"/>
      <c r="CG278" s="138"/>
      <c r="CH278" s="134"/>
      <c r="CI278" s="134"/>
      <c r="CJ278" s="134"/>
      <c r="CK278" s="134"/>
      <c r="CL278" s="134"/>
      <c r="CM278" s="134"/>
      <c r="CN278" s="134"/>
      <c r="CO278" s="300"/>
      <c r="CP278" s="301"/>
      <c r="CQ278" s="134"/>
      <c r="CR278" s="134"/>
      <c r="CS278" s="134"/>
      <c r="CT278" s="134"/>
      <c r="CU278" s="134"/>
      <c r="CV278" s="134"/>
      <c r="CW278" s="134"/>
      <c r="CX278" s="134"/>
      <c r="CY278" s="300"/>
      <c r="CZ278" s="301"/>
      <c r="DA278" s="276"/>
      <c r="DB278" s="277"/>
      <c r="DC278" s="134"/>
      <c r="DD278" s="134"/>
      <c r="DE278" s="134"/>
      <c r="DF278" s="134"/>
      <c r="DG278" s="138"/>
      <c r="DH278" s="134"/>
      <c r="DI278" s="134"/>
      <c r="DJ278" s="134"/>
      <c r="DK278" s="301"/>
      <c r="DL278" s="301"/>
      <c r="DM278" s="134"/>
      <c r="DN278" s="134"/>
      <c r="DO278" s="134"/>
      <c r="DP278" s="134"/>
      <c r="DQ278" s="134"/>
      <c r="DR278" s="134"/>
      <c r="DS278" s="134"/>
      <c r="DT278" s="134"/>
      <c r="DU278" s="301"/>
      <c r="DV278" s="301"/>
      <c r="DW278" s="277"/>
      <c r="DX278" s="134"/>
      <c r="DY278" s="134"/>
      <c r="DZ278" s="134"/>
      <c r="EA278" s="134"/>
      <c r="EB278" s="134"/>
      <c r="EC278" s="134"/>
      <c r="ED278" s="134"/>
      <c r="EE278" s="134"/>
      <c r="EF278" s="301"/>
      <c r="EG278" s="301"/>
      <c r="EH278" s="134"/>
      <c r="EI278" s="134"/>
      <c r="EJ278" s="134"/>
      <c r="EK278" s="134"/>
    </row>
    <row r="279" spans="1:141">
      <c r="A279" s="79" t="s">
        <v>298</v>
      </c>
      <c r="B279" s="117">
        <v>215</v>
      </c>
      <c r="C279" s="123" t="s">
        <v>2022</v>
      </c>
      <c r="D279" s="124" t="s">
        <v>2255</v>
      </c>
      <c r="E279" s="125">
        <v>2016</v>
      </c>
      <c r="F279" s="79">
        <v>26645315</v>
      </c>
      <c r="G279" s="79">
        <v>1</v>
      </c>
      <c r="H279" s="126"/>
      <c r="I279" s="127"/>
      <c r="J279" s="79">
        <v>1</v>
      </c>
      <c r="K279" s="79"/>
      <c r="L279" s="79">
        <v>1</v>
      </c>
      <c r="M279" s="128">
        <v>1</v>
      </c>
      <c r="N279" s="79" t="s">
        <v>781</v>
      </c>
      <c r="O279" s="79" t="s">
        <v>1147</v>
      </c>
      <c r="P279" s="79" t="s">
        <v>783</v>
      </c>
      <c r="Q279" s="79">
        <v>1</v>
      </c>
      <c r="R279" s="79"/>
      <c r="S279" s="79"/>
      <c r="T279" s="79"/>
      <c r="U279" s="79" t="s">
        <v>782</v>
      </c>
      <c r="V279" s="79" t="s">
        <v>24</v>
      </c>
      <c r="W279" s="79"/>
      <c r="X279" s="79"/>
      <c r="Y279" s="79"/>
      <c r="Z279" s="79" t="s">
        <v>784</v>
      </c>
      <c r="AA279" s="154"/>
      <c r="AB279" s="155"/>
      <c r="AC279" s="121">
        <v>2</v>
      </c>
      <c r="AD279" s="202"/>
      <c r="AE279" s="192"/>
      <c r="AF279" s="203"/>
      <c r="AG279" s="121"/>
      <c r="AH279" s="121"/>
      <c r="AI279" s="121"/>
      <c r="AJ279" s="121"/>
      <c r="AK279" s="121"/>
      <c r="AL279" s="121"/>
      <c r="AM279" s="121"/>
      <c r="AN279" s="121"/>
      <c r="AO279" s="121"/>
      <c r="AP279" s="121"/>
      <c r="AQ279" s="121"/>
      <c r="AR279" s="121"/>
      <c r="AS279" s="121"/>
      <c r="AT279" s="121"/>
      <c r="AU279" s="121"/>
      <c r="AV279" s="156"/>
      <c r="AW279" s="156"/>
      <c r="AX279" s="156"/>
      <c r="AY279" s="156"/>
      <c r="AZ279" s="156">
        <v>1</v>
      </c>
      <c r="BA279" s="156"/>
      <c r="BB279" s="156"/>
      <c r="BC279" s="156"/>
      <c r="BD279" s="157"/>
      <c r="BE279" s="134"/>
      <c r="BF279" s="134"/>
      <c r="BG279" s="134"/>
      <c r="BH279" s="134"/>
      <c r="BI279" s="134"/>
      <c r="BJ279" s="259"/>
      <c r="BK279" s="138"/>
      <c r="BL279" s="134"/>
      <c r="BM279" s="134"/>
      <c r="BN279" s="134"/>
      <c r="BO279" s="138"/>
      <c r="BP279" s="134"/>
      <c r="BQ279" s="134"/>
      <c r="BR279" s="134"/>
      <c r="BS279" s="288"/>
      <c r="BT279" s="289"/>
      <c r="BU279" s="138"/>
      <c r="BV279" s="134"/>
      <c r="BW279" s="134"/>
      <c r="BX279" s="134"/>
      <c r="BY279" s="138"/>
      <c r="BZ279" s="134"/>
      <c r="CA279" s="134"/>
      <c r="CB279" s="134"/>
      <c r="CC279" s="288"/>
      <c r="CD279" s="289"/>
      <c r="CE279" s="276"/>
      <c r="CF279" s="308"/>
      <c r="CG279" s="138"/>
      <c r="CH279" s="134"/>
      <c r="CI279" s="134"/>
      <c r="CJ279" s="134"/>
      <c r="CK279" s="134"/>
      <c r="CL279" s="134"/>
      <c r="CM279" s="134"/>
      <c r="CN279" s="134"/>
      <c r="CO279" s="300"/>
      <c r="CP279" s="301"/>
      <c r="CQ279" s="134"/>
      <c r="CR279" s="134"/>
      <c r="CS279" s="134"/>
      <c r="CT279" s="134"/>
      <c r="CU279" s="134"/>
      <c r="CV279" s="134"/>
      <c r="CW279" s="134"/>
      <c r="CX279" s="134"/>
      <c r="CY279" s="300"/>
      <c r="CZ279" s="301"/>
      <c r="DA279" s="276"/>
      <c r="DB279" s="277"/>
      <c r="DC279" s="134"/>
      <c r="DD279" s="134"/>
      <c r="DE279" s="134"/>
      <c r="DF279" s="134"/>
      <c r="DG279" s="138"/>
      <c r="DH279" s="134"/>
      <c r="DI279" s="134"/>
      <c r="DJ279" s="134"/>
      <c r="DK279" s="301"/>
      <c r="DL279" s="301"/>
      <c r="DM279" s="134"/>
      <c r="DN279" s="134"/>
      <c r="DO279" s="134"/>
      <c r="DP279" s="134"/>
      <c r="DQ279" s="134"/>
      <c r="DR279" s="134"/>
      <c r="DS279" s="134"/>
      <c r="DT279" s="134"/>
      <c r="DU279" s="301"/>
      <c r="DV279" s="301"/>
      <c r="DW279" s="277"/>
      <c r="DX279" s="134"/>
      <c r="DY279" s="134"/>
      <c r="DZ279" s="134"/>
      <c r="EA279" s="134"/>
      <c r="EB279" s="134"/>
      <c r="EC279" s="134"/>
      <c r="ED279" s="134"/>
      <c r="EE279" s="134"/>
      <c r="EF279" s="301"/>
      <c r="EG279" s="301"/>
      <c r="EH279" s="134"/>
      <c r="EI279" s="134"/>
      <c r="EJ279" s="134"/>
      <c r="EK279" s="134"/>
    </row>
    <row r="280" spans="1:141">
      <c r="A280" s="79" t="s">
        <v>974</v>
      </c>
      <c r="B280" s="117">
        <v>216</v>
      </c>
      <c r="C280" s="123" t="s">
        <v>2116</v>
      </c>
      <c r="D280" s="124" t="s">
        <v>2375</v>
      </c>
      <c r="E280" s="125">
        <v>2007</v>
      </c>
      <c r="F280" s="79">
        <v>17027033</v>
      </c>
      <c r="G280" s="79">
        <v>1</v>
      </c>
      <c r="H280" s="126">
        <v>1</v>
      </c>
      <c r="I280" s="127"/>
      <c r="J280" s="79">
        <v>1</v>
      </c>
      <c r="K280" s="79"/>
      <c r="L280" s="79">
        <v>1</v>
      </c>
      <c r="M280" s="128">
        <v>2</v>
      </c>
      <c r="N280" s="79" t="s">
        <v>1569</v>
      </c>
      <c r="O280" s="79" t="s">
        <v>1216</v>
      </c>
      <c r="P280" s="79" t="s">
        <v>1568</v>
      </c>
      <c r="Q280" s="79"/>
      <c r="R280" s="79" t="s">
        <v>1541</v>
      </c>
      <c r="S280" s="79"/>
      <c r="T280" s="79"/>
      <c r="U280" s="79" t="s">
        <v>1570</v>
      </c>
      <c r="V280" s="79"/>
      <c r="W280" s="79" t="s">
        <v>1132</v>
      </c>
      <c r="X280" s="79"/>
      <c r="Y280" s="79"/>
      <c r="Z280" s="79"/>
      <c r="AA280" s="154"/>
      <c r="AB280" s="155"/>
      <c r="AC280" s="121">
        <v>5</v>
      </c>
      <c r="AD280" s="202"/>
      <c r="AE280" s="192"/>
      <c r="AF280" s="203"/>
      <c r="AG280" s="121"/>
      <c r="AH280" s="121"/>
      <c r="AI280" s="121"/>
      <c r="AJ280" s="121"/>
      <c r="AK280" s="121"/>
      <c r="AL280" s="121"/>
      <c r="AM280" s="121"/>
      <c r="AN280" s="121"/>
      <c r="AO280" s="121"/>
      <c r="AP280" s="121"/>
      <c r="AQ280" s="121"/>
      <c r="AR280" s="121"/>
      <c r="AS280" s="121"/>
      <c r="AT280" s="121"/>
      <c r="AU280" s="121"/>
      <c r="AV280" s="156"/>
      <c r="AW280" s="156"/>
      <c r="AX280" s="156"/>
      <c r="AY280" s="156"/>
      <c r="AZ280" s="156">
        <v>1</v>
      </c>
      <c r="BA280" s="156"/>
      <c r="BB280" s="156"/>
      <c r="BC280" s="156"/>
      <c r="BD280" s="157"/>
      <c r="BE280" s="134"/>
      <c r="BF280" s="134"/>
      <c r="BG280" s="134"/>
      <c r="BH280" s="134"/>
      <c r="BI280" s="134"/>
      <c r="BJ280" s="259"/>
      <c r="BK280" s="138"/>
      <c r="BL280" s="134"/>
      <c r="BM280" s="134"/>
      <c r="BN280" s="134"/>
      <c r="BO280" s="138"/>
      <c r="BP280" s="134"/>
      <c r="BQ280" s="134"/>
      <c r="BR280" s="134"/>
      <c r="BS280" s="288"/>
      <c r="BT280" s="289"/>
      <c r="BU280" s="138"/>
      <c r="BV280" s="134"/>
      <c r="BW280" s="134"/>
      <c r="BX280" s="134"/>
      <c r="BY280" s="138"/>
      <c r="BZ280" s="134"/>
      <c r="CA280" s="134"/>
      <c r="CB280" s="134"/>
      <c r="CC280" s="288"/>
      <c r="CD280" s="289"/>
      <c r="CE280" s="276"/>
      <c r="CF280" s="308"/>
      <c r="CG280" s="138"/>
      <c r="CH280" s="134"/>
      <c r="CI280" s="134"/>
      <c r="CJ280" s="134"/>
      <c r="CK280" s="134"/>
      <c r="CL280" s="134"/>
      <c r="CM280" s="134"/>
      <c r="CN280" s="134"/>
      <c r="CO280" s="300"/>
      <c r="CP280" s="301"/>
      <c r="CQ280" s="134"/>
      <c r="CR280" s="134"/>
      <c r="CS280" s="134"/>
      <c r="CT280" s="134"/>
      <c r="CU280" s="134"/>
      <c r="CV280" s="134"/>
      <c r="CW280" s="134"/>
      <c r="CX280" s="134"/>
      <c r="CY280" s="300"/>
      <c r="CZ280" s="301"/>
      <c r="DA280" s="276"/>
      <c r="DB280" s="277"/>
      <c r="DC280" s="134"/>
      <c r="DD280" s="134"/>
      <c r="DE280" s="134"/>
      <c r="DF280" s="134"/>
      <c r="DG280" s="138"/>
      <c r="DH280" s="134"/>
      <c r="DI280" s="134"/>
      <c r="DJ280" s="134"/>
      <c r="DK280" s="301"/>
      <c r="DL280" s="301"/>
      <c r="DM280" s="134"/>
      <c r="DN280" s="134"/>
      <c r="DO280" s="134"/>
      <c r="DP280" s="134"/>
      <c r="DQ280" s="134"/>
      <c r="DR280" s="134"/>
      <c r="DS280" s="134"/>
      <c r="DT280" s="134"/>
      <c r="DU280" s="301"/>
      <c r="DV280" s="301"/>
      <c r="DW280" s="277"/>
      <c r="DX280" s="134"/>
      <c r="DY280" s="134"/>
      <c r="DZ280" s="134"/>
      <c r="EA280" s="134"/>
      <c r="EB280" s="134"/>
      <c r="EC280" s="134"/>
      <c r="ED280" s="134"/>
      <c r="EE280" s="134"/>
      <c r="EF280" s="301"/>
      <c r="EG280" s="301"/>
      <c r="EH280" s="134"/>
      <c r="EI280" s="134"/>
      <c r="EJ280" s="134"/>
      <c r="EK280" s="134"/>
    </row>
    <row r="281" spans="1:141">
      <c r="A281" s="79" t="s">
        <v>302</v>
      </c>
      <c r="B281" s="117">
        <v>217</v>
      </c>
      <c r="C281" s="123" t="s">
        <v>2023</v>
      </c>
      <c r="D281" s="124" t="s">
        <v>2256</v>
      </c>
      <c r="E281" s="125">
        <v>2013</v>
      </c>
      <c r="F281" s="79">
        <v>23672579</v>
      </c>
      <c r="G281" s="79">
        <v>1</v>
      </c>
      <c r="H281" s="126"/>
      <c r="I281" s="127"/>
      <c r="J281" s="79">
        <v>1</v>
      </c>
      <c r="K281" s="79"/>
      <c r="L281" s="79">
        <v>1</v>
      </c>
      <c r="M281" s="128">
        <v>1</v>
      </c>
      <c r="N281" s="79" t="s">
        <v>792</v>
      </c>
      <c r="O281" s="79" t="s">
        <v>23</v>
      </c>
      <c r="P281" s="79" t="s">
        <v>762</v>
      </c>
      <c r="Q281" s="79">
        <v>1</v>
      </c>
      <c r="R281" s="79"/>
      <c r="S281" s="79"/>
      <c r="T281" s="79"/>
      <c r="U281" s="79" t="s">
        <v>492</v>
      </c>
      <c r="V281" s="79" t="s">
        <v>24</v>
      </c>
      <c r="W281" s="79" t="s">
        <v>24</v>
      </c>
      <c r="X281" s="79" t="s">
        <v>793</v>
      </c>
      <c r="Y281" s="79"/>
      <c r="Z281" s="79"/>
      <c r="AA281" s="154"/>
      <c r="AB281" s="155"/>
      <c r="AC281" s="121">
        <v>2</v>
      </c>
      <c r="AD281" s="202"/>
      <c r="AE281" s="192"/>
      <c r="AF281" s="203"/>
      <c r="AG281" s="121"/>
      <c r="AH281" s="121"/>
      <c r="AI281" s="121"/>
      <c r="AJ281" s="121"/>
      <c r="AK281" s="121"/>
      <c r="AL281" s="121"/>
      <c r="AM281" s="121"/>
      <c r="AN281" s="121"/>
      <c r="AO281" s="121"/>
      <c r="AP281" s="121"/>
      <c r="AQ281" s="121"/>
      <c r="AR281" s="121"/>
      <c r="AS281" s="121"/>
      <c r="AT281" s="121"/>
      <c r="AU281" s="121"/>
      <c r="AV281" s="156"/>
      <c r="AW281" s="156"/>
      <c r="AX281" s="156"/>
      <c r="AY281" s="156"/>
      <c r="AZ281" s="156"/>
      <c r="BA281" s="156"/>
      <c r="BB281" s="156"/>
      <c r="BC281" s="156"/>
      <c r="BD281" s="157"/>
      <c r="BE281" s="134"/>
      <c r="BF281" s="134"/>
      <c r="BG281" s="134"/>
      <c r="BH281" s="134"/>
      <c r="BI281" s="134"/>
      <c r="BJ281" s="259"/>
      <c r="BK281" s="138"/>
      <c r="BL281" s="134"/>
      <c r="BM281" s="134"/>
      <c r="BN281" s="134"/>
      <c r="BO281" s="138"/>
      <c r="BP281" s="134"/>
      <c r="BQ281" s="134"/>
      <c r="BR281" s="134"/>
      <c r="BS281" s="288"/>
      <c r="BT281" s="289"/>
      <c r="BU281" s="138"/>
      <c r="BV281" s="134"/>
      <c r="BW281" s="134"/>
      <c r="BX281" s="134"/>
      <c r="BY281" s="138"/>
      <c r="BZ281" s="134"/>
      <c r="CA281" s="134"/>
      <c r="CB281" s="134"/>
      <c r="CC281" s="288"/>
      <c r="CD281" s="289"/>
      <c r="CE281" s="276"/>
      <c r="CF281" s="308"/>
      <c r="CG281" s="138"/>
      <c r="CH281" s="134"/>
      <c r="CI281" s="134"/>
      <c r="CJ281" s="134"/>
      <c r="CK281" s="134"/>
      <c r="CL281" s="134"/>
      <c r="CM281" s="134"/>
      <c r="CN281" s="134"/>
      <c r="CO281" s="300"/>
      <c r="CP281" s="301"/>
      <c r="CQ281" s="134"/>
      <c r="CR281" s="134"/>
      <c r="CS281" s="134"/>
      <c r="CT281" s="134"/>
      <c r="CU281" s="134"/>
      <c r="CV281" s="134"/>
      <c r="CW281" s="134"/>
      <c r="CX281" s="134"/>
      <c r="CY281" s="300"/>
      <c r="CZ281" s="301"/>
      <c r="DA281" s="276"/>
      <c r="DB281" s="277"/>
      <c r="DC281" s="134"/>
      <c r="DD281" s="134"/>
      <c r="DE281" s="134"/>
      <c r="DF281" s="134"/>
      <c r="DG281" s="138"/>
      <c r="DH281" s="134"/>
      <c r="DI281" s="134"/>
      <c r="DJ281" s="134"/>
      <c r="DK281" s="301"/>
      <c r="DL281" s="301"/>
      <c r="DM281" s="134"/>
      <c r="DN281" s="134"/>
      <c r="DO281" s="134"/>
      <c r="DP281" s="134"/>
      <c r="DQ281" s="134"/>
      <c r="DR281" s="134"/>
      <c r="DS281" s="134"/>
      <c r="DT281" s="134"/>
      <c r="DU281" s="301"/>
      <c r="DV281" s="301"/>
      <c r="DW281" s="277"/>
      <c r="DX281" s="134"/>
      <c r="DY281" s="134"/>
      <c r="DZ281" s="134"/>
      <c r="EA281" s="134"/>
      <c r="EB281" s="134"/>
      <c r="EC281" s="134"/>
      <c r="ED281" s="134"/>
      <c r="EE281" s="134"/>
      <c r="EF281" s="301"/>
      <c r="EG281" s="301"/>
      <c r="EH281" s="134"/>
      <c r="EI281" s="134"/>
      <c r="EJ281" s="134"/>
      <c r="EK281" s="134"/>
    </row>
    <row r="282" spans="1:141">
      <c r="A282" s="79" t="s">
        <v>303</v>
      </c>
      <c r="B282" s="117">
        <v>218</v>
      </c>
      <c r="C282" s="123" t="s">
        <v>2024</v>
      </c>
      <c r="D282" s="124" t="s">
        <v>2257</v>
      </c>
      <c r="E282" s="125">
        <v>2007</v>
      </c>
      <c r="F282" s="79">
        <v>17436378</v>
      </c>
      <c r="G282" s="79">
        <v>1</v>
      </c>
      <c r="H282" s="126"/>
      <c r="I282" s="127"/>
      <c r="J282" s="79">
        <v>1</v>
      </c>
      <c r="K282" s="79"/>
      <c r="L282" s="79">
        <v>1</v>
      </c>
      <c r="M282" s="128">
        <v>1</v>
      </c>
      <c r="N282" s="79" t="s">
        <v>794</v>
      </c>
      <c r="O282" s="79" t="s">
        <v>1147</v>
      </c>
      <c r="P282" s="79" t="s">
        <v>591</v>
      </c>
      <c r="Q282" s="79">
        <v>1</v>
      </c>
      <c r="R282" s="79"/>
      <c r="S282" s="79"/>
      <c r="T282" s="79"/>
      <c r="U282" s="79" t="s">
        <v>795</v>
      </c>
      <c r="V282" s="79" t="s">
        <v>24</v>
      </c>
      <c r="W282" s="79" t="s">
        <v>24</v>
      </c>
      <c r="X282" s="79"/>
      <c r="Y282" s="79"/>
      <c r="Z282" s="79"/>
      <c r="AA282" s="154"/>
      <c r="AB282" s="155"/>
      <c r="AC282" s="121">
        <v>2</v>
      </c>
      <c r="AD282" s="202"/>
      <c r="AE282" s="192"/>
      <c r="AF282" s="203"/>
      <c r="AG282" s="121"/>
      <c r="AH282" s="121"/>
      <c r="AI282" s="121"/>
      <c r="AJ282" s="121"/>
      <c r="AK282" s="121"/>
      <c r="AL282" s="121"/>
      <c r="AM282" s="121"/>
      <c r="AN282" s="121"/>
      <c r="AO282" s="121"/>
      <c r="AP282" s="121"/>
      <c r="AQ282" s="121"/>
      <c r="AR282" s="121"/>
      <c r="AS282" s="121"/>
      <c r="AT282" s="121"/>
      <c r="AU282" s="121"/>
      <c r="AV282" s="156"/>
      <c r="AW282" s="156"/>
      <c r="AX282" s="156"/>
      <c r="AY282" s="156"/>
      <c r="AZ282" s="156">
        <v>1</v>
      </c>
      <c r="BA282" s="156"/>
      <c r="BB282" s="156"/>
      <c r="BC282" s="156"/>
      <c r="BD282" s="157"/>
      <c r="BE282" s="134"/>
      <c r="BF282" s="134"/>
      <c r="BG282" s="134"/>
      <c r="BH282" s="134"/>
      <c r="BI282" s="134"/>
      <c r="BJ282" s="259"/>
      <c r="BK282" s="138"/>
      <c r="BL282" s="134"/>
      <c r="BM282" s="134"/>
      <c r="BN282" s="134"/>
      <c r="BO282" s="138"/>
      <c r="BP282" s="134"/>
      <c r="BQ282" s="134"/>
      <c r="BR282" s="134"/>
      <c r="BS282" s="288"/>
      <c r="BT282" s="289"/>
      <c r="BU282" s="138"/>
      <c r="BV282" s="134"/>
      <c r="BW282" s="134"/>
      <c r="BX282" s="134"/>
      <c r="BY282" s="138"/>
      <c r="BZ282" s="134"/>
      <c r="CA282" s="134"/>
      <c r="CB282" s="134"/>
      <c r="CC282" s="288"/>
      <c r="CD282" s="289"/>
      <c r="CE282" s="276"/>
      <c r="CF282" s="308"/>
      <c r="CG282" s="138"/>
      <c r="CH282" s="134"/>
      <c r="CI282" s="134"/>
      <c r="CJ282" s="134"/>
      <c r="CK282" s="134"/>
      <c r="CL282" s="134"/>
      <c r="CM282" s="134"/>
      <c r="CN282" s="134"/>
      <c r="CO282" s="300"/>
      <c r="CP282" s="301"/>
      <c r="CQ282" s="134"/>
      <c r="CR282" s="134"/>
      <c r="CS282" s="134"/>
      <c r="CT282" s="134"/>
      <c r="CU282" s="134"/>
      <c r="CV282" s="134"/>
      <c r="CW282" s="134"/>
      <c r="CX282" s="134"/>
      <c r="CY282" s="300"/>
      <c r="CZ282" s="301"/>
      <c r="DA282" s="276"/>
      <c r="DB282" s="277"/>
      <c r="DC282" s="134"/>
      <c r="DD282" s="134"/>
      <c r="DE282" s="134"/>
      <c r="DF282" s="134"/>
      <c r="DG282" s="138"/>
      <c r="DH282" s="134"/>
      <c r="DI282" s="134"/>
      <c r="DJ282" s="134"/>
      <c r="DK282" s="301"/>
      <c r="DL282" s="301"/>
      <c r="DM282" s="134"/>
      <c r="DN282" s="134"/>
      <c r="DO282" s="134"/>
      <c r="DP282" s="134"/>
      <c r="DQ282" s="134"/>
      <c r="DR282" s="134"/>
      <c r="DS282" s="134"/>
      <c r="DT282" s="134"/>
      <c r="DU282" s="301"/>
      <c r="DV282" s="301"/>
      <c r="DW282" s="277"/>
      <c r="DX282" s="134"/>
      <c r="DY282" s="134"/>
      <c r="DZ282" s="134"/>
      <c r="EA282" s="134"/>
      <c r="EB282" s="134"/>
      <c r="EC282" s="134"/>
      <c r="ED282" s="134"/>
      <c r="EE282" s="134"/>
      <c r="EF282" s="301"/>
      <c r="EG282" s="301"/>
      <c r="EH282" s="134"/>
      <c r="EI282" s="134"/>
      <c r="EJ282" s="134"/>
      <c r="EK282" s="134"/>
    </row>
    <row r="283" spans="1:141">
      <c r="A283" s="79" t="s">
        <v>971</v>
      </c>
      <c r="B283" s="117">
        <v>219</v>
      </c>
      <c r="C283" s="123" t="s">
        <v>2117</v>
      </c>
      <c r="D283" s="124" t="s">
        <v>2376</v>
      </c>
      <c r="E283" s="125">
        <v>2015</v>
      </c>
      <c r="F283" s="79">
        <v>25533441</v>
      </c>
      <c r="G283" s="79">
        <v>1</v>
      </c>
      <c r="H283" s="126"/>
      <c r="I283" s="127"/>
      <c r="J283" s="79">
        <v>1</v>
      </c>
      <c r="K283" s="79"/>
      <c r="L283" s="79">
        <v>1</v>
      </c>
      <c r="M283" s="128">
        <v>2</v>
      </c>
      <c r="N283" s="79" t="s">
        <v>1464</v>
      </c>
      <c r="O283" s="79" t="s">
        <v>1216</v>
      </c>
      <c r="P283" s="79" t="s">
        <v>1130</v>
      </c>
      <c r="Q283" s="79"/>
      <c r="R283" s="79" t="s">
        <v>1487</v>
      </c>
      <c r="S283" s="79" t="s">
        <v>803</v>
      </c>
      <c r="T283" s="79"/>
      <c r="U283" s="79" t="s">
        <v>1580</v>
      </c>
      <c r="V283" s="79" t="s">
        <v>1579</v>
      </c>
      <c r="W283" s="79" t="s">
        <v>1209</v>
      </c>
      <c r="X283" s="79"/>
      <c r="Y283" s="79" t="s">
        <v>1578</v>
      </c>
      <c r="Z283" s="79"/>
      <c r="AA283" s="154"/>
      <c r="AB283" s="155"/>
      <c r="AC283" s="121">
        <v>4</v>
      </c>
      <c r="AD283" s="202"/>
      <c r="AE283" s="192"/>
      <c r="AF283" s="203"/>
      <c r="AG283" s="121"/>
      <c r="AH283" s="121"/>
      <c r="AI283" s="121"/>
      <c r="AJ283" s="121"/>
      <c r="AK283" s="121"/>
      <c r="AL283" s="121"/>
      <c r="AM283" s="121"/>
      <c r="AN283" s="121"/>
      <c r="AO283" s="121"/>
      <c r="AP283" s="121"/>
      <c r="AQ283" s="121"/>
      <c r="AR283" s="121"/>
      <c r="AS283" s="121"/>
      <c r="AT283" s="121"/>
      <c r="AU283" s="121"/>
      <c r="AV283" s="156"/>
      <c r="AW283" s="156"/>
      <c r="AX283" s="156"/>
      <c r="AY283" s="156"/>
      <c r="AZ283" s="156">
        <v>1</v>
      </c>
      <c r="BA283" s="156"/>
      <c r="BB283" s="156"/>
      <c r="BC283" s="156"/>
      <c r="BD283" s="157"/>
      <c r="BE283" s="134"/>
      <c r="BF283" s="134"/>
      <c r="BG283" s="134"/>
      <c r="BH283" s="134"/>
      <c r="BI283" s="134"/>
      <c r="BJ283" s="259"/>
      <c r="BK283" s="138"/>
      <c r="BL283" s="134"/>
      <c r="BM283" s="134"/>
      <c r="BN283" s="134"/>
      <c r="BO283" s="138"/>
      <c r="BP283" s="134"/>
      <c r="BQ283" s="134"/>
      <c r="BR283" s="134"/>
      <c r="BS283" s="288"/>
      <c r="BT283" s="289"/>
      <c r="BU283" s="138"/>
      <c r="BV283" s="134"/>
      <c r="BW283" s="134"/>
      <c r="BX283" s="134"/>
      <c r="BY283" s="138"/>
      <c r="BZ283" s="134"/>
      <c r="CA283" s="134"/>
      <c r="CB283" s="134"/>
      <c r="CC283" s="288"/>
      <c r="CD283" s="289"/>
      <c r="CE283" s="276"/>
      <c r="CF283" s="308"/>
      <c r="CG283" s="138"/>
      <c r="CH283" s="134"/>
      <c r="CI283" s="134"/>
      <c r="CJ283" s="134"/>
      <c r="CK283" s="134"/>
      <c r="CL283" s="134"/>
      <c r="CM283" s="134"/>
      <c r="CN283" s="134"/>
      <c r="CO283" s="300"/>
      <c r="CP283" s="301"/>
      <c r="CQ283" s="134"/>
      <c r="CR283" s="134"/>
      <c r="CS283" s="134"/>
      <c r="CT283" s="134"/>
      <c r="CU283" s="134"/>
      <c r="CV283" s="134"/>
      <c r="CW283" s="134"/>
      <c r="CX283" s="134"/>
      <c r="CY283" s="300"/>
      <c r="CZ283" s="301"/>
      <c r="DA283" s="276"/>
      <c r="DB283" s="277"/>
      <c r="DC283" s="134"/>
      <c r="DD283" s="134"/>
      <c r="DE283" s="134"/>
      <c r="DF283" s="134"/>
      <c r="DG283" s="138"/>
      <c r="DH283" s="134"/>
      <c r="DI283" s="134"/>
      <c r="DJ283" s="134"/>
      <c r="DK283" s="301"/>
      <c r="DL283" s="301"/>
      <c r="DM283" s="134"/>
      <c r="DN283" s="134"/>
      <c r="DO283" s="134"/>
      <c r="DP283" s="134"/>
      <c r="DQ283" s="134"/>
      <c r="DR283" s="134"/>
      <c r="DS283" s="134"/>
      <c r="DT283" s="134"/>
      <c r="DU283" s="301"/>
      <c r="DV283" s="301"/>
      <c r="DW283" s="277"/>
      <c r="DX283" s="134"/>
      <c r="DY283" s="134"/>
      <c r="DZ283" s="134"/>
      <c r="EA283" s="134"/>
      <c r="EB283" s="134"/>
      <c r="EC283" s="134"/>
      <c r="ED283" s="134"/>
      <c r="EE283" s="134"/>
      <c r="EF283" s="301"/>
      <c r="EG283" s="301"/>
      <c r="EH283" s="134"/>
      <c r="EI283" s="134"/>
      <c r="EJ283" s="134"/>
      <c r="EK283" s="134"/>
    </row>
    <row r="284" spans="1:141">
      <c r="A284" s="79" t="s">
        <v>305</v>
      </c>
      <c r="B284" s="117">
        <v>220</v>
      </c>
      <c r="C284" s="123" t="s">
        <v>2025</v>
      </c>
      <c r="D284" s="124" t="s">
        <v>2258</v>
      </c>
      <c r="E284" s="125">
        <v>2014</v>
      </c>
      <c r="F284" s="79">
        <v>24245926</v>
      </c>
      <c r="G284" s="79">
        <v>1</v>
      </c>
      <c r="H284" s="126"/>
      <c r="I284" s="127"/>
      <c r="J284" s="79">
        <v>1</v>
      </c>
      <c r="K284" s="79"/>
      <c r="L284" s="79">
        <v>1</v>
      </c>
      <c r="M284" s="128">
        <v>1</v>
      </c>
      <c r="N284" s="79" t="s">
        <v>797</v>
      </c>
      <c r="O284" s="79" t="s">
        <v>1147</v>
      </c>
      <c r="P284" s="79" t="s">
        <v>514</v>
      </c>
      <c r="Q284" s="79">
        <v>1</v>
      </c>
      <c r="R284" s="79"/>
      <c r="S284" s="79"/>
      <c r="T284" s="79"/>
      <c r="U284" s="79"/>
      <c r="V284" s="79"/>
      <c r="W284" s="79"/>
      <c r="X284" s="79"/>
      <c r="Y284" s="79"/>
      <c r="Z284" s="79" t="s">
        <v>799</v>
      </c>
      <c r="AA284" s="154"/>
      <c r="AB284" s="155"/>
      <c r="AC284" s="121">
        <v>2</v>
      </c>
      <c r="AD284" s="202"/>
      <c r="AE284" s="192"/>
      <c r="AF284" s="203"/>
      <c r="AG284" s="121"/>
      <c r="AH284" s="121"/>
      <c r="AI284" s="121"/>
      <c r="AJ284" s="121"/>
      <c r="AK284" s="121"/>
      <c r="AL284" s="121"/>
      <c r="AM284" s="121"/>
      <c r="AN284" s="121"/>
      <c r="AO284" s="121"/>
      <c r="AP284" s="121"/>
      <c r="AQ284" s="121"/>
      <c r="AR284" s="121"/>
      <c r="AS284" s="121"/>
      <c r="AT284" s="121"/>
      <c r="AU284" s="121"/>
      <c r="AV284" s="156"/>
      <c r="AW284" s="156"/>
      <c r="AX284" s="156"/>
      <c r="AY284" s="156"/>
      <c r="AZ284" s="156">
        <v>1</v>
      </c>
      <c r="BA284" s="156"/>
      <c r="BB284" s="156"/>
      <c r="BC284" s="156"/>
      <c r="BD284" s="157"/>
      <c r="BE284" s="134"/>
      <c r="BF284" s="134"/>
      <c r="BG284" s="134"/>
      <c r="BH284" s="134"/>
      <c r="BI284" s="134"/>
      <c r="BJ284" s="259"/>
      <c r="BK284" s="138"/>
      <c r="BL284" s="134"/>
      <c r="BM284" s="134"/>
      <c r="BN284" s="134"/>
      <c r="BO284" s="138"/>
      <c r="BP284" s="134"/>
      <c r="BQ284" s="134"/>
      <c r="BR284" s="134"/>
      <c r="BS284" s="288"/>
      <c r="BT284" s="289"/>
      <c r="BU284" s="138"/>
      <c r="BV284" s="134"/>
      <c r="BW284" s="134"/>
      <c r="BX284" s="134"/>
      <c r="BY284" s="138"/>
      <c r="BZ284" s="134"/>
      <c r="CA284" s="134"/>
      <c r="CB284" s="134"/>
      <c r="CC284" s="288"/>
      <c r="CD284" s="289"/>
      <c r="CE284" s="276"/>
      <c r="CF284" s="308"/>
      <c r="CG284" s="138"/>
      <c r="CH284" s="134"/>
      <c r="CI284" s="134"/>
      <c r="CJ284" s="134"/>
      <c r="CK284" s="134"/>
      <c r="CL284" s="134"/>
      <c r="CM284" s="134"/>
      <c r="CN284" s="134"/>
      <c r="CO284" s="300"/>
      <c r="CP284" s="301"/>
      <c r="CQ284" s="134"/>
      <c r="CR284" s="134"/>
      <c r="CS284" s="134"/>
      <c r="CT284" s="134"/>
      <c r="CU284" s="134"/>
      <c r="CV284" s="134"/>
      <c r="CW284" s="134"/>
      <c r="CX284" s="134"/>
      <c r="CY284" s="300"/>
      <c r="CZ284" s="301"/>
      <c r="DA284" s="276"/>
      <c r="DB284" s="277"/>
      <c r="DC284" s="134"/>
      <c r="DD284" s="134"/>
      <c r="DE284" s="134"/>
      <c r="DF284" s="134"/>
      <c r="DG284" s="138"/>
      <c r="DH284" s="134"/>
      <c r="DI284" s="134"/>
      <c r="DJ284" s="134"/>
      <c r="DK284" s="301"/>
      <c r="DL284" s="301"/>
      <c r="DM284" s="134"/>
      <c r="DN284" s="134"/>
      <c r="DO284" s="134"/>
      <c r="DP284" s="134"/>
      <c r="DQ284" s="134"/>
      <c r="DR284" s="134"/>
      <c r="DS284" s="134"/>
      <c r="DT284" s="134"/>
      <c r="DU284" s="301"/>
      <c r="DV284" s="301"/>
      <c r="DW284" s="277"/>
      <c r="DX284" s="134"/>
      <c r="DY284" s="134"/>
      <c r="DZ284" s="134"/>
      <c r="EA284" s="134"/>
      <c r="EB284" s="134"/>
      <c r="EC284" s="134"/>
      <c r="ED284" s="134"/>
      <c r="EE284" s="134"/>
      <c r="EF284" s="301"/>
      <c r="EG284" s="301"/>
      <c r="EH284" s="134"/>
      <c r="EI284" s="134"/>
      <c r="EJ284" s="134"/>
      <c r="EK284" s="134"/>
    </row>
    <row r="285" spans="1:141">
      <c r="A285" s="79" t="s">
        <v>312</v>
      </c>
      <c r="B285" s="117">
        <v>221</v>
      </c>
      <c r="C285" s="123" t="s">
        <v>2026</v>
      </c>
      <c r="D285" s="124" t="s">
        <v>2259</v>
      </c>
      <c r="E285" s="125">
        <v>2015</v>
      </c>
      <c r="F285" s="79">
        <v>26029852</v>
      </c>
      <c r="G285" s="79">
        <v>1</v>
      </c>
      <c r="H285" s="126"/>
      <c r="I285" s="127"/>
      <c r="J285" s="79">
        <v>1</v>
      </c>
      <c r="K285" s="79"/>
      <c r="L285" s="79">
        <v>1</v>
      </c>
      <c r="M285" s="128">
        <v>1</v>
      </c>
      <c r="N285" s="79" t="s">
        <v>812</v>
      </c>
      <c r="O285" s="79" t="s">
        <v>1154</v>
      </c>
      <c r="P285" s="79" t="s">
        <v>1194</v>
      </c>
      <c r="Q285" s="79">
        <v>1</v>
      </c>
      <c r="R285" s="79"/>
      <c r="S285" s="79"/>
      <c r="T285" s="79"/>
      <c r="U285" s="79" t="s">
        <v>492</v>
      </c>
      <c r="V285" s="79" t="s">
        <v>24</v>
      </c>
      <c r="W285" s="79" t="s">
        <v>24</v>
      </c>
      <c r="X285" s="79" t="s">
        <v>24</v>
      </c>
      <c r="Y285" s="79"/>
      <c r="Z285" s="79"/>
      <c r="AA285" s="154"/>
      <c r="AB285" s="155"/>
      <c r="AC285" s="121">
        <v>2</v>
      </c>
      <c r="AD285" s="202"/>
      <c r="AE285" s="192"/>
      <c r="AF285" s="203"/>
      <c r="AG285" s="121"/>
      <c r="AH285" s="121"/>
      <c r="AI285" s="121"/>
      <c r="AJ285" s="121"/>
      <c r="AK285" s="121"/>
      <c r="AL285" s="121"/>
      <c r="AM285" s="121"/>
      <c r="AN285" s="121"/>
      <c r="AO285" s="121"/>
      <c r="AP285" s="121"/>
      <c r="AQ285" s="121"/>
      <c r="AR285" s="121"/>
      <c r="AS285" s="121"/>
      <c r="AT285" s="121"/>
      <c r="AU285" s="121"/>
      <c r="AV285" s="156"/>
      <c r="AW285" s="156"/>
      <c r="AX285" s="156">
        <v>1</v>
      </c>
      <c r="AY285" s="156"/>
      <c r="AZ285" s="156"/>
      <c r="BA285" s="156"/>
      <c r="BB285" s="156"/>
      <c r="BC285" s="156"/>
      <c r="BD285" s="157"/>
      <c r="BE285" s="134"/>
      <c r="BF285" s="134"/>
      <c r="BG285" s="134"/>
      <c r="BH285" s="134"/>
      <c r="BI285" s="134"/>
      <c r="BJ285" s="259"/>
      <c r="BK285" s="138"/>
      <c r="BL285" s="134"/>
      <c r="BM285" s="134"/>
      <c r="BN285" s="134"/>
      <c r="BO285" s="138"/>
      <c r="BP285" s="134"/>
      <c r="BQ285" s="134"/>
      <c r="BR285" s="134"/>
      <c r="BS285" s="288"/>
      <c r="BT285" s="289"/>
      <c r="BU285" s="138"/>
      <c r="BV285" s="134"/>
      <c r="BW285" s="134"/>
      <c r="BX285" s="134"/>
      <c r="BY285" s="138"/>
      <c r="BZ285" s="134"/>
      <c r="CA285" s="134"/>
      <c r="CB285" s="134"/>
      <c r="CC285" s="288"/>
      <c r="CD285" s="289"/>
      <c r="CE285" s="276"/>
      <c r="CF285" s="308"/>
      <c r="CG285" s="138"/>
      <c r="CH285" s="134"/>
      <c r="CI285" s="134"/>
      <c r="CJ285" s="134"/>
      <c r="CK285" s="134"/>
      <c r="CL285" s="134"/>
      <c r="CM285" s="134"/>
      <c r="CN285" s="134"/>
      <c r="CO285" s="300"/>
      <c r="CP285" s="301"/>
      <c r="CQ285" s="134"/>
      <c r="CR285" s="134"/>
      <c r="CS285" s="134"/>
      <c r="CT285" s="134"/>
      <c r="CU285" s="134"/>
      <c r="CV285" s="134"/>
      <c r="CW285" s="134"/>
      <c r="CX285" s="134"/>
      <c r="CY285" s="300"/>
      <c r="CZ285" s="301"/>
      <c r="DA285" s="276"/>
      <c r="DB285" s="277"/>
      <c r="DC285" s="134"/>
      <c r="DD285" s="134"/>
      <c r="DE285" s="134"/>
      <c r="DF285" s="134"/>
      <c r="DG285" s="138"/>
      <c r="DH285" s="134"/>
      <c r="DI285" s="134"/>
      <c r="DJ285" s="134"/>
      <c r="DK285" s="301"/>
      <c r="DL285" s="301"/>
      <c r="DM285" s="134"/>
      <c r="DN285" s="134"/>
      <c r="DO285" s="134"/>
      <c r="DP285" s="134"/>
      <c r="DQ285" s="134"/>
      <c r="DR285" s="134"/>
      <c r="DS285" s="134"/>
      <c r="DT285" s="134"/>
      <c r="DU285" s="301"/>
      <c r="DV285" s="301"/>
      <c r="DW285" s="277"/>
      <c r="DX285" s="134"/>
      <c r="DY285" s="134"/>
      <c r="DZ285" s="134"/>
      <c r="EA285" s="134"/>
      <c r="EB285" s="134"/>
      <c r="EC285" s="134"/>
      <c r="ED285" s="134"/>
      <c r="EE285" s="134"/>
      <c r="EF285" s="301"/>
      <c r="EG285" s="301"/>
      <c r="EH285" s="134"/>
      <c r="EI285" s="134"/>
      <c r="EJ285" s="134"/>
      <c r="EK285" s="134"/>
    </row>
    <row r="286" spans="1:141">
      <c r="A286" s="79" t="s">
        <v>313</v>
      </c>
      <c r="B286" s="117">
        <v>222</v>
      </c>
      <c r="C286" s="123" t="s">
        <v>2027</v>
      </c>
      <c r="D286" s="124" t="s">
        <v>2260</v>
      </c>
      <c r="E286" s="125">
        <v>2015</v>
      </c>
      <c r="F286" s="79">
        <v>25847622</v>
      </c>
      <c r="G286" s="79">
        <v>1</v>
      </c>
      <c r="H286" s="126"/>
      <c r="I286" s="127"/>
      <c r="J286" s="79">
        <v>1</v>
      </c>
      <c r="K286" s="79"/>
      <c r="L286" s="79">
        <v>1</v>
      </c>
      <c r="M286" s="128">
        <v>1</v>
      </c>
      <c r="N286" s="79" t="s">
        <v>815</v>
      </c>
      <c r="O286" s="79" t="s">
        <v>1147</v>
      </c>
      <c r="P286" s="79" t="s">
        <v>1195</v>
      </c>
      <c r="Q286" s="79">
        <v>1</v>
      </c>
      <c r="R286" s="79"/>
      <c r="S286" s="79"/>
      <c r="T286" s="79"/>
      <c r="U286" s="79" t="s">
        <v>813</v>
      </c>
      <c r="V286" s="79" t="s">
        <v>24</v>
      </c>
      <c r="W286" s="79" t="s">
        <v>24</v>
      </c>
      <c r="X286" s="79" t="s">
        <v>814</v>
      </c>
      <c r="Y286" s="79"/>
      <c r="Z286" s="79"/>
      <c r="AA286" s="154"/>
      <c r="AB286" s="155"/>
      <c r="AC286" s="121">
        <v>2</v>
      </c>
      <c r="AD286" s="202"/>
      <c r="AE286" s="192"/>
      <c r="AF286" s="203"/>
      <c r="AG286" s="121"/>
      <c r="AH286" s="121"/>
      <c r="AI286" s="121"/>
      <c r="AJ286" s="121"/>
      <c r="AK286" s="121"/>
      <c r="AL286" s="121"/>
      <c r="AM286" s="121"/>
      <c r="AN286" s="121"/>
      <c r="AO286" s="121"/>
      <c r="AP286" s="121"/>
      <c r="AQ286" s="121"/>
      <c r="AR286" s="121"/>
      <c r="AS286" s="121"/>
      <c r="AT286" s="121"/>
      <c r="AU286" s="121"/>
      <c r="AV286" s="156"/>
      <c r="AW286" s="156"/>
      <c r="AX286" s="156"/>
      <c r="AY286" s="156"/>
      <c r="AZ286" s="156">
        <v>1</v>
      </c>
      <c r="BA286" s="156"/>
      <c r="BB286" s="156"/>
      <c r="BC286" s="156"/>
      <c r="BD286" s="157"/>
      <c r="BE286" s="134"/>
      <c r="BF286" s="134"/>
      <c r="BG286" s="134"/>
      <c r="BH286" s="134"/>
      <c r="BI286" s="134"/>
      <c r="BJ286" s="259"/>
      <c r="BK286" s="138"/>
      <c r="BL286" s="134"/>
      <c r="BM286" s="134"/>
      <c r="BN286" s="134"/>
      <c r="BO286" s="138"/>
      <c r="BP286" s="134"/>
      <c r="BQ286" s="134"/>
      <c r="BR286" s="134"/>
      <c r="BS286" s="288"/>
      <c r="BT286" s="289"/>
      <c r="BU286" s="138"/>
      <c r="BV286" s="134"/>
      <c r="BW286" s="134"/>
      <c r="BX286" s="134"/>
      <c r="BY286" s="138"/>
      <c r="BZ286" s="134"/>
      <c r="CA286" s="134"/>
      <c r="CB286" s="134"/>
      <c r="CC286" s="288"/>
      <c r="CD286" s="289"/>
      <c r="CE286" s="276"/>
      <c r="CF286" s="308"/>
      <c r="CG286" s="138"/>
      <c r="CH286" s="134"/>
      <c r="CI286" s="134"/>
      <c r="CJ286" s="134"/>
      <c r="CK286" s="134"/>
      <c r="CL286" s="134"/>
      <c r="CM286" s="134"/>
      <c r="CN286" s="134"/>
      <c r="CO286" s="300"/>
      <c r="CP286" s="301"/>
      <c r="CQ286" s="134"/>
      <c r="CR286" s="134"/>
      <c r="CS286" s="134"/>
      <c r="CT286" s="134"/>
      <c r="CU286" s="134"/>
      <c r="CV286" s="134"/>
      <c r="CW286" s="134"/>
      <c r="CX286" s="134"/>
      <c r="CY286" s="300"/>
      <c r="CZ286" s="301"/>
      <c r="DA286" s="276"/>
      <c r="DB286" s="277"/>
      <c r="DC286" s="134"/>
      <c r="DD286" s="134"/>
      <c r="DE286" s="134"/>
      <c r="DF286" s="134"/>
      <c r="DG286" s="138"/>
      <c r="DH286" s="134"/>
      <c r="DI286" s="134"/>
      <c r="DJ286" s="134"/>
      <c r="DK286" s="301"/>
      <c r="DL286" s="301"/>
      <c r="DM286" s="134"/>
      <c r="DN286" s="134"/>
      <c r="DO286" s="134"/>
      <c r="DP286" s="134"/>
      <c r="DQ286" s="134"/>
      <c r="DR286" s="134"/>
      <c r="DS286" s="134"/>
      <c r="DT286" s="134"/>
      <c r="DU286" s="301"/>
      <c r="DV286" s="301"/>
      <c r="DW286" s="277"/>
      <c r="DX286" s="134"/>
      <c r="DY286" s="134"/>
      <c r="DZ286" s="134"/>
      <c r="EA286" s="134"/>
      <c r="EB286" s="134"/>
      <c r="EC286" s="134"/>
      <c r="ED286" s="134"/>
      <c r="EE286" s="134"/>
      <c r="EF286" s="301"/>
      <c r="EG286" s="301"/>
      <c r="EH286" s="134"/>
      <c r="EI286" s="134"/>
      <c r="EJ286" s="134"/>
      <c r="EK286" s="134"/>
    </row>
    <row r="287" spans="1:141">
      <c r="A287" s="79" t="s">
        <v>314</v>
      </c>
      <c r="B287" s="117">
        <v>223</v>
      </c>
      <c r="C287" s="123" t="s">
        <v>2028</v>
      </c>
      <c r="D287" s="124" t="s">
        <v>2261</v>
      </c>
      <c r="E287" s="125">
        <v>2014</v>
      </c>
      <c r="F287" s="79">
        <v>24686914</v>
      </c>
      <c r="G287" s="79">
        <v>1</v>
      </c>
      <c r="H287" s="126"/>
      <c r="I287" s="127"/>
      <c r="J287" s="79">
        <v>1</v>
      </c>
      <c r="K287" s="79"/>
      <c r="L287" s="79">
        <v>1</v>
      </c>
      <c r="M287" s="128">
        <v>1</v>
      </c>
      <c r="N287" s="79" t="s">
        <v>816</v>
      </c>
      <c r="O287" s="79" t="s">
        <v>1189</v>
      </c>
      <c r="P287" s="79" t="s">
        <v>25</v>
      </c>
      <c r="Q287" s="79">
        <v>1</v>
      </c>
      <c r="R287" s="79"/>
      <c r="S287" s="79"/>
      <c r="T287" s="79"/>
      <c r="U287" s="79" t="s">
        <v>817</v>
      </c>
      <c r="V287" s="79"/>
      <c r="W287" s="79"/>
      <c r="X287" s="79"/>
      <c r="Y287" s="79"/>
      <c r="Z287" s="79"/>
      <c r="AA287" s="154"/>
      <c r="AB287" s="155"/>
      <c r="AC287" s="121">
        <v>2</v>
      </c>
      <c r="AD287" s="202"/>
      <c r="AE287" s="192"/>
      <c r="AF287" s="203"/>
      <c r="AG287" s="121"/>
      <c r="AH287" s="121"/>
      <c r="AI287" s="121"/>
      <c r="AJ287" s="121"/>
      <c r="AK287" s="121"/>
      <c r="AL287" s="121"/>
      <c r="AM287" s="121"/>
      <c r="AN287" s="121"/>
      <c r="AO287" s="121"/>
      <c r="AP287" s="121"/>
      <c r="AQ287" s="121"/>
      <c r="AR287" s="121"/>
      <c r="AS287" s="121"/>
      <c r="AT287" s="121"/>
      <c r="AU287" s="121"/>
      <c r="AV287" s="156"/>
      <c r="AW287" s="156"/>
      <c r="AX287" s="156"/>
      <c r="AY287" s="156"/>
      <c r="AZ287" s="156"/>
      <c r="BA287" s="156"/>
      <c r="BB287" s="156">
        <v>1</v>
      </c>
      <c r="BC287" s="156">
        <v>1</v>
      </c>
      <c r="BD287" s="157"/>
      <c r="BE287" s="134"/>
      <c r="BF287" s="134"/>
      <c r="BG287" s="134"/>
      <c r="BH287" s="134"/>
      <c r="BI287" s="134"/>
      <c r="BJ287" s="259"/>
      <c r="BK287" s="138"/>
      <c r="BL287" s="134"/>
      <c r="BM287" s="134"/>
      <c r="BN287" s="134"/>
      <c r="BO287" s="138"/>
      <c r="BP287" s="134"/>
      <c r="BQ287" s="134"/>
      <c r="BR287" s="134"/>
      <c r="BS287" s="288"/>
      <c r="BT287" s="289"/>
      <c r="BU287" s="138"/>
      <c r="BV287" s="134"/>
      <c r="BW287" s="134"/>
      <c r="BX287" s="134"/>
      <c r="BY287" s="138"/>
      <c r="BZ287" s="134"/>
      <c r="CA287" s="134"/>
      <c r="CB287" s="134"/>
      <c r="CC287" s="288"/>
      <c r="CD287" s="289"/>
      <c r="CE287" s="276"/>
      <c r="CF287" s="308"/>
      <c r="CG287" s="138"/>
      <c r="CH287" s="134"/>
      <c r="CI287" s="134"/>
      <c r="CJ287" s="134"/>
      <c r="CK287" s="134"/>
      <c r="CL287" s="134"/>
      <c r="CM287" s="134"/>
      <c r="CN287" s="134"/>
      <c r="CO287" s="300"/>
      <c r="CP287" s="301"/>
      <c r="CQ287" s="134"/>
      <c r="CR287" s="134"/>
      <c r="CS287" s="134"/>
      <c r="CT287" s="134"/>
      <c r="CU287" s="134"/>
      <c r="CV287" s="134"/>
      <c r="CW287" s="134"/>
      <c r="CX287" s="134"/>
      <c r="CY287" s="300"/>
      <c r="CZ287" s="301"/>
      <c r="DA287" s="276"/>
      <c r="DB287" s="277"/>
      <c r="DC287" s="134"/>
      <c r="DD287" s="134"/>
      <c r="DE287" s="134"/>
      <c r="DF287" s="134"/>
      <c r="DG287" s="138"/>
      <c r="DH287" s="134"/>
      <c r="DI287" s="134"/>
      <c r="DJ287" s="134"/>
      <c r="DK287" s="301"/>
      <c r="DL287" s="301"/>
      <c r="DM287" s="134"/>
      <c r="DN287" s="134"/>
      <c r="DO287" s="134"/>
      <c r="DP287" s="134"/>
      <c r="DQ287" s="134"/>
      <c r="DR287" s="134"/>
      <c r="DS287" s="134"/>
      <c r="DT287" s="134"/>
      <c r="DU287" s="301"/>
      <c r="DV287" s="301"/>
      <c r="DW287" s="277"/>
      <c r="DX287" s="134"/>
      <c r="DY287" s="134"/>
      <c r="DZ287" s="134"/>
      <c r="EA287" s="134"/>
      <c r="EB287" s="134"/>
      <c r="EC287" s="134"/>
      <c r="ED287" s="134"/>
      <c r="EE287" s="134"/>
      <c r="EF287" s="301"/>
      <c r="EG287" s="301"/>
      <c r="EH287" s="134"/>
      <c r="EI287" s="134"/>
      <c r="EJ287" s="134"/>
      <c r="EK287" s="134"/>
    </row>
    <row r="288" spans="1:141">
      <c r="A288" s="79" t="s">
        <v>970</v>
      </c>
      <c r="B288" s="117">
        <v>224</v>
      </c>
      <c r="C288" s="123" t="s">
        <v>2118</v>
      </c>
      <c r="D288" s="124" t="s">
        <v>2377</v>
      </c>
      <c r="E288" s="125">
        <v>2016</v>
      </c>
      <c r="F288" s="79">
        <v>27297027</v>
      </c>
      <c r="G288" s="79">
        <v>1</v>
      </c>
      <c r="H288" s="126">
        <v>1</v>
      </c>
      <c r="I288" s="127"/>
      <c r="J288" s="79">
        <v>1</v>
      </c>
      <c r="K288" s="79"/>
      <c r="L288" s="79">
        <v>1</v>
      </c>
      <c r="M288" s="128">
        <v>2</v>
      </c>
      <c r="N288" s="79" t="s">
        <v>1588</v>
      </c>
      <c r="O288" s="79" t="s">
        <v>1216</v>
      </c>
      <c r="P288" s="79" t="s">
        <v>1127</v>
      </c>
      <c r="Q288" s="79"/>
      <c r="R288" s="79" t="s">
        <v>1498</v>
      </c>
      <c r="S288" s="79"/>
      <c r="T288" s="79"/>
      <c r="U288" s="79" t="s">
        <v>1583</v>
      </c>
      <c r="V288" s="79" t="s">
        <v>1582</v>
      </c>
      <c r="W288" s="79"/>
      <c r="X288" s="79"/>
      <c r="Y288" s="79" t="s">
        <v>1581</v>
      </c>
      <c r="Z288" s="79"/>
      <c r="AA288" s="154"/>
      <c r="AB288" s="155"/>
      <c r="AC288" s="121">
        <v>4</v>
      </c>
      <c r="AD288" s="202"/>
      <c r="AE288" s="192"/>
      <c r="AF288" s="203"/>
      <c r="AG288" s="121"/>
      <c r="AH288" s="121"/>
      <c r="AI288" s="121"/>
      <c r="AJ288" s="121"/>
      <c r="AK288" s="121"/>
      <c r="AL288" s="121"/>
      <c r="AM288" s="121"/>
      <c r="AN288" s="121"/>
      <c r="AO288" s="121"/>
      <c r="AP288" s="121"/>
      <c r="AQ288" s="121"/>
      <c r="AR288" s="121"/>
      <c r="AS288" s="121"/>
      <c r="AT288" s="121"/>
      <c r="AU288" s="121"/>
      <c r="AV288" s="156"/>
      <c r="AW288" s="156"/>
      <c r="AX288" s="156"/>
      <c r="AY288" s="156"/>
      <c r="AZ288" s="156">
        <v>1</v>
      </c>
      <c r="BA288" s="156"/>
      <c r="BB288" s="156"/>
      <c r="BC288" s="156"/>
      <c r="BD288" s="157"/>
      <c r="BE288" s="134"/>
      <c r="BF288" s="134"/>
      <c r="BG288" s="134"/>
      <c r="BH288" s="134"/>
      <c r="BI288" s="134"/>
      <c r="BJ288" s="259"/>
      <c r="BK288" s="138"/>
      <c r="BL288" s="134"/>
      <c r="BM288" s="134"/>
      <c r="BN288" s="134"/>
      <c r="BO288" s="138"/>
      <c r="BP288" s="134"/>
      <c r="BQ288" s="134"/>
      <c r="BR288" s="134"/>
      <c r="BS288" s="288"/>
      <c r="BT288" s="289"/>
      <c r="BU288" s="138"/>
      <c r="BV288" s="134"/>
      <c r="BW288" s="134"/>
      <c r="BX288" s="134"/>
      <c r="BY288" s="138"/>
      <c r="BZ288" s="134"/>
      <c r="CA288" s="134"/>
      <c r="CB288" s="134"/>
      <c r="CC288" s="288"/>
      <c r="CD288" s="289"/>
      <c r="CE288" s="276"/>
      <c r="CF288" s="308"/>
      <c r="CG288" s="138"/>
      <c r="CH288" s="134"/>
      <c r="CI288" s="134"/>
      <c r="CJ288" s="134"/>
      <c r="CK288" s="134"/>
      <c r="CL288" s="134"/>
      <c r="CM288" s="134"/>
      <c r="CN288" s="134"/>
      <c r="CO288" s="300"/>
      <c r="CP288" s="301"/>
      <c r="CQ288" s="134"/>
      <c r="CR288" s="134"/>
      <c r="CS288" s="134"/>
      <c r="CT288" s="134"/>
      <c r="CU288" s="134"/>
      <c r="CV288" s="134"/>
      <c r="CW288" s="134"/>
      <c r="CX288" s="134"/>
      <c r="CY288" s="300"/>
      <c r="CZ288" s="301"/>
      <c r="DA288" s="276"/>
      <c r="DB288" s="277"/>
      <c r="DC288" s="134"/>
      <c r="DD288" s="134"/>
      <c r="DE288" s="134"/>
      <c r="DF288" s="134"/>
      <c r="DG288" s="138"/>
      <c r="DH288" s="134"/>
      <c r="DI288" s="134"/>
      <c r="DJ288" s="134"/>
      <c r="DK288" s="301"/>
      <c r="DL288" s="301"/>
      <c r="DM288" s="134"/>
      <c r="DN288" s="134"/>
      <c r="DO288" s="134"/>
      <c r="DP288" s="134"/>
      <c r="DQ288" s="134"/>
      <c r="DR288" s="134"/>
      <c r="DS288" s="134"/>
      <c r="DT288" s="134"/>
      <c r="DU288" s="301"/>
      <c r="DV288" s="301"/>
      <c r="DW288" s="277"/>
      <c r="DX288" s="134"/>
      <c r="DY288" s="134"/>
      <c r="DZ288" s="134"/>
      <c r="EA288" s="134"/>
      <c r="EB288" s="134"/>
      <c r="EC288" s="134"/>
      <c r="ED288" s="134"/>
      <c r="EE288" s="134"/>
      <c r="EF288" s="301"/>
      <c r="EG288" s="301"/>
      <c r="EH288" s="134"/>
      <c r="EI288" s="134"/>
      <c r="EJ288" s="134"/>
      <c r="EK288" s="134"/>
    </row>
    <row r="289" spans="1:141">
      <c r="A289" s="173" t="s">
        <v>315</v>
      </c>
      <c r="B289" s="117">
        <v>225</v>
      </c>
      <c r="C289" s="123" t="s">
        <v>2029</v>
      </c>
      <c r="D289" s="124" t="s">
        <v>2262</v>
      </c>
      <c r="E289" s="125">
        <v>2010</v>
      </c>
      <c r="F289" s="173">
        <v>21180658</v>
      </c>
      <c r="G289" s="173">
        <v>1</v>
      </c>
      <c r="H289" s="176"/>
      <c r="I289" s="177"/>
      <c r="J289" s="173">
        <v>1</v>
      </c>
      <c r="K289" s="173"/>
      <c r="L289" s="173">
        <v>1</v>
      </c>
      <c r="M289" s="128">
        <v>1</v>
      </c>
      <c r="N289" s="173" t="s">
        <v>1178</v>
      </c>
      <c r="O289" s="173" t="s">
        <v>1142</v>
      </c>
      <c r="P289" s="173" t="s">
        <v>819</v>
      </c>
      <c r="Q289" s="173">
        <v>1</v>
      </c>
      <c r="R289" s="173"/>
      <c r="S289" s="173"/>
      <c r="T289" s="173"/>
      <c r="U289" s="173" t="s">
        <v>820</v>
      </c>
      <c r="V289" s="173"/>
      <c r="W289" s="173" t="s">
        <v>821</v>
      </c>
      <c r="X289" s="173"/>
      <c r="Y289" s="173"/>
      <c r="Z289" s="173" t="s">
        <v>818</v>
      </c>
      <c r="AA289" s="154"/>
      <c r="AB289" s="155"/>
      <c r="AC289" s="121">
        <v>2</v>
      </c>
      <c r="AD289" s="202"/>
      <c r="AE289" s="192"/>
      <c r="AF289" s="203"/>
      <c r="AG289" s="121"/>
      <c r="AH289" s="121"/>
      <c r="AI289" s="121"/>
      <c r="AJ289" s="121"/>
      <c r="AK289" s="121"/>
      <c r="AL289" s="121"/>
      <c r="AM289" s="121"/>
      <c r="AN289" s="121"/>
      <c r="AO289" s="121"/>
      <c r="AP289" s="121"/>
      <c r="AQ289" s="121"/>
      <c r="AR289" s="121"/>
      <c r="AS289" s="121"/>
      <c r="AT289" s="121"/>
      <c r="AU289" s="121"/>
      <c r="AV289" s="156"/>
      <c r="AW289" s="156"/>
      <c r="AX289" s="156"/>
      <c r="AY289" s="156"/>
      <c r="AZ289" s="156">
        <v>1</v>
      </c>
      <c r="BA289" s="156"/>
      <c r="BB289" s="156"/>
      <c r="BC289" s="156"/>
      <c r="BD289" s="157"/>
      <c r="BE289" s="134"/>
      <c r="BF289" s="134"/>
      <c r="BG289" s="134"/>
      <c r="BH289" s="134"/>
      <c r="BI289" s="134"/>
      <c r="BJ289" s="259"/>
      <c r="BK289" s="138"/>
      <c r="BL289" s="134"/>
      <c r="BM289" s="134"/>
      <c r="BN289" s="134"/>
      <c r="BO289" s="138"/>
      <c r="BP289" s="134"/>
      <c r="BQ289" s="134"/>
      <c r="BR289" s="134"/>
      <c r="BS289" s="288"/>
      <c r="BT289" s="289"/>
      <c r="BU289" s="138"/>
      <c r="BV289" s="134"/>
      <c r="BW289" s="134"/>
      <c r="BX289" s="134"/>
      <c r="BY289" s="138"/>
      <c r="BZ289" s="134"/>
      <c r="CA289" s="134"/>
      <c r="CB289" s="134"/>
      <c r="CC289" s="288"/>
      <c r="CD289" s="289"/>
      <c r="CE289" s="276"/>
      <c r="CF289" s="308"/>
      <c r="CG289" s="138"/>
      <c r="CH289" s="134"/>
      <c r="CI289" s="134"/>
      <c r="CJ289" s="134"/>
      <c r="CK289" s="134"/>
      <c r="CL289" s="134"/>
      <c r="CM289" s="134"/>
      <c r="CN289" s="134"/>
      <c r="CO289" s="300"/>
      <c r="CP289" s="301"/>
      <c r="CQ289" s="134"/>
      <c r="CR289" s="134"/>
      <c r="CS289" s="134"/>
      <c r="CT289" s="134"/>
      <c r="CU289" s="134"/>
      <c r="CV289" s="134"/>
      <c r="CW289" s="134"/>
      <c r="CX289" s="134"/>
      <c r="CY289" s="300"/>
      <c r="CZ289" s="301"/>
      <c r="DA289" s="276"/>
      <c r="DB289" s="277"/>
      <c r="DC289" s="134"/>
      <c r="DD289" s="134"/>
      <c r="DE289" s="134"/>
      <c r="DF289" s="134"/>
      <c r="DG289" s="138"/>
      <c r="DH289" s="134"/>
      <c r="DI289" s="134"/>
      <c r="DJ289" s="134"/>
      <c r="DK289" s="301"/>
      <c r="DL289" s="301"/>
      <c r="DM289" s="134"/>
      <c r="DN289" s="134"/>
      <c r="DO289" s="134"/>
      <c r="DP289" s="134"/>
      <c r="DQ289" s="134"/>
      <c r="DR289" s="134"/>
      <c r="DS289" s="134"/>
      <c r="DT289" s="134"/>
      <c r="DU289" s="301"/>
      <c r="DV289" s="301"/>
      <c r="DW289" s="277"/>
      <c r="DX289" s="134"/>
      <c r="DY289" s="134"/>
      <c r="DZ289" s="134"/>
      <c r="EA289" s="134"/>
      <c r="EB289" s="134"/>
      <c r="EC289" s="134"/>
      <c r="ED289" s="134"/>
      <c r="EE289" s="134"/>
      <c r="EF289" s="301"/>
      <c r="EG289" s="301"/>
      <c r="EH289" s="134"/>
      <c r="EI289" s="134"/>
      <c r="EJ289" s="134"/>
      <c r="EK289" s="134"/>
    </row>
    <row r="290" spans="1:141">
      <c r="A290" s="79" t="s">
        <v>316</v>
      </c>
      <c r="B290" s="117">
        <v>226</v>
      </c>
      <c r="C290" s="123" t="s">
        <v>2030</v>
      </c>
      <c r="D290" s="124" t="s">
        <v>2263</v>
      </c>
      <c r="E290" s="125">
        <v>1990</v>
      </c>
      <c r="F290" s="79">
        <v>2365895</v>
      </c>
      <c r="G290" s="79">
        <v>1</v>
      </c>
      <c r="H290" s="170" t="s">
        <v>1784</v>
      </c>
      <c r="I290" s="127"/>
      <c r="J290" s="174">
        <v>1</v>
      </c>
      <c r="K290" s="79"/>
      <c r="L290" s="79">
        <v>0</v>
      </c>
      <c r="M290" s="128">
        <v>1</v>
      </c>
      <c r="N290" s="79" t="s">
        <v>825</v>
      </c>
      <c r="O290" s="79" t="s">
        <v>1172</v>
      </c>
      <c r="P290" s="79" t="s">
        <v>822</v>
      </c>
      <c r="Q290" s="79">
        <v>0</v>
      </c>
      <c r="R290" s="79"/>
      <c r="S290" s="79"/>
      <c r="T290" s="79"/>
      <c r="U290" s="79" t="s">
        <v>823</v>
      </c>
      <c r="V290" s="79"/>
      <c r="W290" s="79"/>
      <c r="X290" s="79"/>
      <c r="Y290" s="79"/>
      <c r="Z290" s="79" t="s">
        <v>824</v>
      </c>
      <c r="AA290" s="154"/>
      <c r="AB290" s="155"/>
      <c r="AC290" s="121"/>
      <c r="AD290" s="202"/>
      <c r="AE290" s="192"/>
      <c r="AF290" s="203"/>
      <c r="AG290" s="121"/>
      <c r="AH290" s="121"/>
      <c r="AI290" s="121"/>
      <c r="AJ290" s="121"/>
      <c r="AK290" s="121"/>
      <c r="AL290" s="121"/>
      <c r="AM290" s="121"/>
      <c r="AN290" s="121"/>
      <c r="AO290" s="121"/>
      <c r="AP290" s="121"/>
      <c r="AQ290" s="121"/>
      <c r="AR290" s="121"/>
      <c r="AS290" s="121"/>
      <c r="AT290" s="121"/>
      <c r="AU290" s="121"/>
      <c r="AV290" s="156"/>
      <c r="AW290" s="156"/>
      <c r="AX290" s="156">
        <v>1</v>
      </c>
      <c r="AY290" s="156"/>
      <c r="AZ290" s="156">
        <v>1</v>
      </c>
      <c r="BA290" s="156"/>
      <c r="BB290" s="156"/>
      <c r="BC290" s="156"/>
      <c r="BD290" s="157"/>
      <c r="BE290" s="134"/>
      <c r="BF290" s="134"/>
      <c r="BG290" s="134"/>
      <c r="BH290" s="134"/>
      <c r="BI290" s="134"/>
      <c r="BJ290" s="259"/>
      <c r="BK290" s="138"/>
      <c r="BL290" s="134"/>
      <c r="BM290" s="134"/>
      <c r="BN290" s="134"/>
      <c r="BO290" s="138"/>
      <c r="BP290" s="134"/>
      <c r="BQ290" s="134"/>
      <c r="BR290" s="134"/>
      <c r="BS290" s="288"/>
      <c r="BT290" s="289"/>
      <c r="BU290" s="138"/>
      <c r="BV290" s="134"/>
      <c r="BW290" s="134"/>
      <c r="BX290" s="134"/>
      <c r="BY290" s="138"/>
      <c r="BZ290" s="134"/>
      <c r="CA290" s="134"/>
      <c r="CB290" s="134"/>
      <c r="CC290" s="288"/>
      <c r="CD290" s="289"/>
      <c r="CE290" s="276"/>
      <c r="CF290" s="308"/>
      <c r="CG290" s="138"/>
      <c r="CH290" s="134"/>
      <c r="CI290" s="134"/>
      <c r="CJ290" s="134"/>
      <c r="CK290" s="134"/>
      <c r="CL290" s="134"/>
      <c r="CM290" s="134"/>
      <c r="CN290" s="134"/>
      <c r="CO290" s="300"/>
      <c r="CP290" s="301"/>
      <c r="CQ290" s="134"/>
      <c r="CR290" s="134"/>
      <c r="CS290" s="134"/>
      <c r="CT290" s="134"/>
      <c r="CU290" s="134"/>
      <c r="CV290" s="134"/>
      <c r="CW290" s="134"/>
      <c r="CX290" s="134"/>
      <c r="CY290" s="300"/>
      <c r="CZ290" s="301"/>
      <c r="DA290" s="276"/>
      <c r="DB290" s="277"/>
      <c r="DC290" s="134"/>
      <c r="DD290" s="134"/>
      <c r="DE290" s="134"/>
      <c r="DF290" s="134"/>
      <c r="DG290" s="138"/>
      <c r="DH290" s="134"/>
      <c r="DI290" s="134"/>
      <c r="DJ290" s="134"/>
      <c r="DK290" s="301"/>
      <c r="DL290" s="301"/>
      <c r="DM290" s="134"/>
      <c r="DN290" s="134"/>
      <c r="DO290" s="134"/>
      <c r="DP290" s="134"/>
      <c r="DQ290" s="134"/>
      <c r="DR290" s="134"/>
      <c r="DS290" s="134"/>
      <c r="DT290" s="134"/>
      <c r="DU290" s="301"/>
      <c r="DV290" s="301"/>
      <c r="DW290" s="277"/>
      <c r="DX290" s="134"/>
      <c r="DY290" s="134"/>
      <c r="DZ290" s="134"/>
      <c r="EA290" s="134"/>
      <c r="EB290" s="134"/>
      <c r="EC290" s="134"/>
      <c r="ED290" s="134"/>
      <c r="EE290" s="134"/>
      <c r="EF290" s="301"/>
      <c r="EG290" s="301"/>
      <c r="EH290" s="134"/>
      <c r="EI290" s="134"/>
      <c r="EJ290" s="134"/>
      <c r="EK290" s="134"/>
    </row>
    <row r="291" spans="1:141">
      <c r="A291" s="79" t="s">
        <v>317</v>
      </c>
      <c r="B291" s="117">
        <v>227</v>
      </c>
      <c r="C291" s="123" t="s">
        <v>2030</v>
      </c>
      <c r="D291" s="124" t="s">
        <v>2264</v>
      </c>
      <c r="E291" s="125">
        <v>1991</v>
      </c>
      <c r="F291" s="79">
        <v>1984709</v>
      </c>
      <c r="G291" s="79">
        <v>1</v>
      </c>
      <c r="H291" s="170" t="s">
        <v>1784</v>
      </c>
      <c r="I291" s="127" t="s">
        <v>1767</v>
      </c>
      <c r="J291" s="164">
        <v>1</v>
      </c>
      <c r="K291" s="79"/>
      <c r="L291" s="164">
        <v>0</v>
      </c>
      <c r="M291" s="128">
        <v>1</v>
      </c>
      <c r="N291" s="79" t="s">
        <v>538</v>
      </c>
      <c r="O291" s="79" t="s">
        <v>538</v>
      </c>
      <c r="P291" s="79" t="s">
        <v>822</v>
      </c>
      <c r="Q291" s="79">
        <v>0</v>
      </c>
      <c r="R291" s="79"/>
      <c r="S291" s="79"/>
      <c r="T291" s="79"/>
      <c r="U291" s="79" t="s">
        <v>826</v>
      </c>
      <c r="V291" s="79"/>
      <c r="W291" s="79"/>
      <c r="X291" s="79" t="s">
        <v>827</v>
      </c>
      <c r="Y291" s="79"/>
      <c r="Z291" s="79" t="s">
        <v>828</v>
      </c>
      <c r="AA291" s="154"/>
      <c r="AB291" s="155"/>
      <c r="AC291" s="121"/>
      <c r="AD291" s="202"/>
      <c r="AE291" s="192"/>
      <c r="AF291" s="203"/>
      <c r="AG291" s="121"/>
      <c r="AH291" s="121"/>
      <c r="AI291" s="121"/>
      <c r="AJ291" s="121"/>
      <c r="AK291" s="121"/>
      <c r="AL291" s="121"/>
      <c r="AM291" s="121"/>
      <c r="AN291" s="121"/>
      <c r="AO291" s="121"/>
      <c r="AP291" s="121"/>
      <c r="AQ291" s="121"/>
      <c r="AR291" s="121"/>
      <c r="AS291" s="121"/>
      <c r="AT291" s="121"/>
      <c r="AU291" s="121"/>
      <c r="AV291" s="156"/>
      <c r="AW291" s="156"/>
      <c r="AX291" s="156"/>
      <c r="AY291" s="156"/>
      <c r="AZ291" s="156"/>
      <c r="BA291" s="156"/>
      <c r="BB291" s="156"/>
      <c r="BC291" s="156"/>
      <c r="BD291" s="157"/>
      <c r="BE291" s="134"/>
      <c r="BF291" s="134"/>
      <c r="BG291" s="134"/>
      <c r="BH291" s="134"/>
      <c r="BI291" s="134"/>
      <c r="BJ291" s="259"/>
      <c r="BK291" s="138"/>
      <c r="BL291" s="134"/>
      <c r="BM291" s="134"/>
      <c r="BN291" s="134"/>
      <c r="BO291" s="138"/>
      <c r="BP291" s="134"/>
      <c r="BQ291" s="134"/>
      <c r="BR291" s="134"/>
      <c r="BS291" s="288"/>
      <c r="BT291" s="289"/>
      <c r="BU291" s="138"/>
      <c r="BV291" s="134"/>
      <c r="BW291" s="134"/>
      <c r="BX291" s="134"/>
      <c r="BY291" s="138"/>
      <c r="BZ291" s="134"/>
      <c r="CA291" s="134"/>
      <c r="CB291" s="134"/>
      <c r="CC291" s="288"/>
      <c r="CD291" s="289"/>
      <c r="CE291" s="276"/>
      <c r="CF291" s="308"/>
      <c r="CG291" s="138"/>
      <c r="CH291" s="134"/>
      <c r="CI291" s="134"/>
      <c r="CJ291" s="134"/>
      <c r="CK291" s="134"/>
      <c r="CL291" s="134"/>
      <c r="CM291" s="134"/>
      <c r="CN291" s="134"/>
      <c r="CO291" s="300"/>
      <c r="CP291" s="301"/>
      <c r="CQ291" s="134"/>
      <c r="CR291" s="134"/>
      <c r="CS291" s="134"/>
      <c r="CT291" s="134"/>
      <c r="CU291" s="134"/>
      <c r="CV291" s="134"/>
      <c r="CW291" s="134"/>
      <c r="CX291" s="134"/>
      <c r="CY291" s="300"/>
      <c r="CZ291" s="301"/>
      <c r="DA291" s="276"/>
      <c r="DB291" s="277"/>
      <c r="DC291" s="134"/>
      <c r="DD291" s="134"/>
      <c r="DE291" s="134"/>
      <c r="DF291" s="134"/>
      <c r="DG291" s="138"/>
      <c r="DH291" s="134"/>
      <c r="DI291" s="134"/>
      <c r="DJ291" s="134"/>
      <c r="DK291" s="301"/>
      <c r="DL291" s="301"/>
      <c r="DM291" s="134"/>
      <c r="DN291" s="134"/>
      <c r="DO291" s="134"/>
      <c r="DP291" s="134"/>
      <c r="DQ291" s="134"/>
      <c r="DR291" s="134"/>
      <c r="DS291" s="134"/>
      <c r="DT291" s="134"/>
      <c r="DU291" s="301"/>
      <c r="DV291" s="301"/>
      <c r="DW291" s="277"/>
      <c r="DX291" s="134"/>
      <c r="DY291" s="134"/>
      <c r="DZ291" s="134"/>
      <c r="EA291" s="134"/>
      <c r="EB291" s="134"/>
      <c r="EC291" s="134"/>
      <c r="ED291" s="134"/>
      <c r="EE291" s="134"/>
      <c r="EF291" s="301"/>
      <c r="EG291" s="301"/>
      <c r="EH291" s="134"/>
      <c r="EI291" s="134"/>
      <c r="EJ291" s="134"/>
      <c r="EK291" s="134"/>
    </row>
    <row r="292" spans="1:141">
      <c r="A292" s="79" t="s">
        <v>322</v>
      </c>
      <c r="B292" s="117">
        <v>228</v>
      </c>
      <c r="C292" s="123" t="s">
        <v>2031</v>
      </c>
      <c r="D292" s="124" t="s">
        <v>2265</v>
      </c>
      <c r="E292" s="125">
        <v>2015</v>
      </c>
      <c r="F292" s="79">
        <v>26481979</v>
      </c>
      <c r="G292" s="79">
        <v>1</v>
      </c>
      <c r="H292" s="126"/>
      <c r="I292" s="127"/>
      <c r="J292" s="79">
        <v>1</v>
      </c>
      <c r="K292" s="79"/>
      <c r="L292" s="79">
        <v>1</v>
      </c>
      <c r="M292" s="128">
        <v>1</v>
      </c>
      <c r="N292" s="79" t="s">
        <v>21</v>
      </c>
      <c r="O292" s="79" t="s">
        <v>1163</v>
      </c>
      <c r="P292" s="79" t="s">
        <v>819</v>
      </c>
      <c r="Q292" s="79">
        <v>1</v>
      </c>
      <c r="R292" s="79"/>
      <c r="S292" s="79"/>
      <c r="T292" s="79"/>
      <c r="U292" s="79" t="s">
        <v>837</v>
      </c>
      <c r="V292" s="79" t="s">
        <v>836</v>
      </c>
      <c r="W292" s="79"/>
      <c r="X292" s="79"/>
      <c r="Y292" s="79"/>
      <c r="Z292" s="79"/>
      <c r="AA292" s="154"/>
      <c r="AB292" s="155"/>
      <c r="AC292" s="121">
        <v>2</v>
      </c>
      <c r="AD292" s="202"/>
      <c r="AE292" s="192"/>
      <c r="AF292" s="203"/>
      <c r="AG292" s="121"/>
      <c r="AH292" s="121"/>
      <c r="AI292" s="121"/>
      <c r="AJ292" s="121"/>
      <c r="AK292" s="121"/>
      <c r="AL292" s="121"/>
      <c r="AM292" s="121"/>
      <c r="AN292" s="121"/>
      <c r="AO292" s="121"/>
      <c r="AP292" s="121"/>
      <c r="AQ292" s="121"/>
      <c r="AR292" s="121"/>
      <c r="AS292" s="121"/>
      <c r="AT292" s="121"/>
      <c r="AU292" s="121"/>
      <c r="AV292" s="156"/>
      <c r="AW292" s="156"/>
      <c r="AX292" s="156"/>
      <c r="AY292" s="156">
        <v>1</v>
      </c>
      <c r="AZ292" s="156"/>
      <c r="BA292" s="156"/>
      <c r="BB292" s="156"/>
      <c r="BC292" s="156"/>
      <c r="BD292" s="157"/>
      <c r="BE292" s="134"/>
      <c r="BF292" s="134"/>
      <c r="BG292" s="134"/>
      <c r="BH292" s="134"/>
      <c r="BI292" s="134"/>
      <c r="BJ292" s="259"/>
      <c r="BK292" s="138"/>
      <c r="BL292" s="134"/>
      <c r="BM292" s="134"/>
      <c r="BN292" s="134"/>
      <c r="BO292" s="138"/>
      <c r="BP292" s="134"/>
      <c r="BQ292" s="134"/>
      <c r="BR292" s="134"/>
      <c r="BS292" s="288"/>
      <c r="BT292" s="289"/>
      <c r="BU292" s="138"/>
      <c r="BV292" s="134"/>
      <c r="BW292" s="134"/>
      <c r="BX292" s="134"/>
      <c r="BY292" s="138"/>
      <c r="BZ292" s="134"/>
      <c r="CA292" s="134"/>
      <c r="CB292" s="134"/>
      <c r="CC292" s="288"/>
      <c r="CD292" s="289"/>
      <c r="CE292" s="276"/>
      <c r="CF292" s="308"/>
      <c r="CG292" s="138"/>
      <c r="CH292" s="134"/>
      <c r="CI292" s="134"/>
      <c r="CJ292" s="134"/>
      <c r="CK292" s="134"/>
      <c r="CL292" s="134"/>
      <c r="CM292" s="134"/>
      <c r="CN292" s="134"/>
      <c r="CO292" s="300"/>
      <c r="CP292" s="301"/>
      <c r="CQ292" s="134"/>
      <c r="CR292" s="134"/>
      <c r="CS292" s="134"/>
      <c r="CT292" s="134"/>
      <c r="CU292" s="134"/>
      <c r="CV292" s="134"/>
      <c r="CW292" s="134"/>
      <c r="CX292" s="134"/>
      <c r="CY292" s="300"/>
      <c r="CZ292" s="301"/>
      <c r="DA292" s="276"/>
      <c r="DB292" s="277"/>
      <c r="DC292" s="134"/>
      <c r="DD292" s="134"/>
      <c r="DE292" s="134"/>
      <c r="DF292" s="134"/>
      <c r="DG292" s="138"/>
      <c r="DH292" s="134"/>
      <c r="DI292" s="134"/>
      <c r="DJ292" s="134"/>
      <c r="DK292" s="301"/>
      <c r="DL292" s="301"/>
      <c r="DM292" s="134"/>
      <c r="DN292" s="134"/>
      <c r="DO292" s="134"/>
      <c r="DP292" s="134"/>
      <c r="DQ292" s="134"/>
      <c r="DR292" s="134"/>
      <c r="DS292" s="134"/>
      <c r="DT292" s="134"/>
      <c r="DU292" s="301"/>
      <c r="DV292" s="301"/>
      <c r="DW292" s="277"/>
      <c r="DX292" s="134"/>
      <c r="DY292" s="134"/>
      <c r="DZ292" s="134"/>
      <c r="EA292" s="134"/>
      <c r="EB292" s="134"/>
      <c r="EC292" s="134"/>
      <c r="ED292" s="134"/>
      <c r="EE292" s="134"/>
      <c r="EF292" s="301"/>
      <c r="EG292" s="301"/>
      <c r="EH292" s="134"/>
      <c r="EI292" s="134"/>
      <c r="EJ292" s="134"/>
      <c r="EK292" s="134"/>
    </row>
    <row r="293" spans="1:141">
      <c r="A293" s="79" t="s">
        <v>320</v>
      </c>
      <c r="B293" s="117">
        <v>229</v>
      </c>
      <c r="C293" s="123" t="s">
        <v>2031</v>
      </c>
      <c r="D293" s="124" t="s">
        <v>2266</v>
      </c>
      <c r="E293" s="125">
        <v>2013</v>
      </c>
      <c r="F293" s="79">
        <v>24157540</v>
      </c>
      <c r="G293" s="79">
        <v>1</v>
      </c>
      <c r="H293" s="126"/>
      <c r="I293" s="127"/>
      <c r="J293" s="79">
        <v>1</v>
      </c>
      <c r="K293" s="79"/>
      <c r="L293" s="79">
        <v>1</v>
      </c>
      <c r="M293" s="128">
        <v>1</v>
      </c>
      <c r="N293" s="79" t="s">
        <v>832</v>
      </c>
      <c r="O293" s="79" t="s">
        <v>1192</v>
      </c>
      <c r="P293" s="79" t="s">
        <v>25</v>
      </c>
      <c r="Q293" s="79">
        <v>1</v>
      </c>
      <c r="R293" s="79"/>
      <c r="S293" s="79"/>
      <c r="T293" s="79"/>
      <c r="U293" s="79" t="s">
        <v>778</v>
      </c>
      <c r="V293" s="79" t="s">
        <v>24</v>
      </c>
      <c r="W293" s="79" t="s">
        <v>24</v>
      </c>
      <c r="X293" s="79" t="s">
        <v>833</v>
      </c>
      <c r="Y293" s="79"/>
      <c r="Z293" s="79"/>
      <c r="AA293" s="154"/>
      <c r="AB293" s="155"/>
      <c r="AC293" s="121">
        <v>2</v>
      </c>
      <c r="AD293" s="202"/>
      <c r="AE293" s="192"/>
      <c r="AF293" s="203"/>
      <c r="AG293" s="121"/>
      <c r="AH293" s="121"/>
      <c r="AI293" s="121"/>
      <c r="AJ293" s="121"/>
      <c r="AK293" s="121"/>
      <c r="AL293" s="121"/>
      <c r="AM293" s="121"/>
      <c r="AN293" s="121"/>
      <c r="AO293" s="121"/>
      <c r="AP293" s="121"/>
      <c r="AQ293" s="121"/>
      <c r="AR293" s="121"/>
      <c r="AS293" s="121"/>
      <c r="AT293" s="121"/>
      <c r="AU293" s="121"/>
      <c r="AV293" s="156"/>
      <c r="AW293" s="156"/>
      <c r="AX293" s="156"/>
      <c r="AY293" s="156">
        <v>1</v>
      </c>
      <c r="AZ293" s="156"/>
      <c r="BA293" s="156"/>
      <c r="BB293" s="156"/>
      <c r="BC293" s="156"/>
      <c r="BD293" s="157"/>
      <c r="BE293" s="134"/>
      <c r="BF293" s="134"/>
      <c r="BG293" s="134"/>
      <c r="BH293" s="134"/>
      <c r="BI293" s="134"/>
      <c r="BJ293" s="259"/>
      <c r="BK293" s="138"/>
      <c r="BL293" s="134"/>
      <c r="BM293" s="134"/>
      <c r="BN293" s="134"/>
      <c r="BO293" s="138"/>
      <c r="BP293" s="134"/>
      <c r="BQ293" s="134"/>
      <c r="BR293" s="134"/>
      <c r="BS293" s="288"/>
      <c r="BT293" s="289"/>
      <c r="BU293" s="138"/>
      <c r="BV293" s="134"/>
      <c r="BW293" s="134"/>
      <c r="BX293" s="134"/>
      <c r="BY293" s="138"/>
      <c r="BZ293" s="134"/>
      <c r="CA293" s="134"/>
      <c r="CB293" s="134"/>
      <c r="CC293" s="288"/>
      <c r="CD293" s="289"/>
      <c r="CE293" s="276"/>
      <c r="CF293" s="308"/>
      <c r="CG293" s="138"/>
      <c r="CH293" s="134"/>
      <c r="CI293" s="134"/>
      <c r="CJ293" s="134"/>
      <c r="CK293" s="134"/>
      <c r="CL293" s="134"/>
      <c r="CM293" s="134"/>
      <c r="CN293" s="134"/>
      <c r="CO293" s="300"/>
      <c r="CP293" s="301"/>
      <c r="CQ293" s="134"/>
      <c r="CR293" s="134"/>
      <c r="CS293" s="134"/>
      <c r="CT293" s="134"/>
      <c r="CU293" s="134"/>
      <c r="CV293" s="134"/>
      <c r="CW293" s="134"/>
      <c r="CX293" s="134"/>
      <c r="CY293" s="300"/>
      <c r="CZ293" s="301"/>
      <c r="DA293" s="276"/>
      <c r="DB293" s="277"/>
      <c r="DC293" s="134"/>
      <c r="DD293" s="134"/>
      <c r="DE293" s="134"/>
      <c r="DF293" s="134"/>
      <c r="DG293" s="138"/>
      <c r="DH293" s="134"/>
      <c r="DI293" s="134"/>
      <c r="DJ293" s="134"/>
      <c r="DK293" s="301"/>
      <c r="DL293" s="301"/>
      <c r="DM293" s="134"/>
      <c r="DN293" s="134"/>
      <c r="DO293" s="134"/>
      <c r="DP293" s="134"/>
      <c r="DQ293" s="134"/>
      <c r="DR293" s="134"/>
      <c r="DS293" s="134"/>
      <c r="DT293" s="134"/>
      <c r="DU293" s="301"/>
      <c r="DV293" s="301"/>
      <c r="DW293" s="277"/>
      <c r="DX293" s="134"/>
      <c r="DY293" s="134"/>
      <c r="DZ293" s="134"/>
      <c r="EA293" s="134"/>
      <c r="EB293" s="134"/>
      <c r="EC293" s="134"/>
      <c r="ED293" s="134"/>
      <c r="EE293" s="134"/>
      <c r="EF293" s="301"/>
      <c r="EG293" s="301"/>
      <c r="EH293" s="134"/>
      <c r="EI293" s="134"/>
      <c r="EJ293" s="134"/>
      <c r="EK293" s="134"/>
    </row>
    <row r="294" spans="1:141">
      <c r="A294" s="79" t="s">
        <v>321</v>
      </c>
      <c r="B294" s="117">
        <v>230</v>
      </c>
      <c r="C294" s="123" t="s">
        <v>2031</v>
      </c>
      <c r="D294" s="124" t="s">
        <v>2267</v>
      </c>
      <c r="E294" s="125">
        <v>2012</v>
      </c>
      <c r="F294" s="79">
        <v>22595028</v>
      </c>
      <c r="G294" s="79">
        <v>1</v>
      </c>
      <c r="H294" s="126"/>
      <c r="I294" s="127"/>
      <c r="J294" s="79">
        <v>1</v>
      </c>
      <c r="K294" s="79"/>
      <c r="L294" s="79">
        <v>1</v>
      </c>
      <c r="M294" s="128">
        <v>1</v>
      </c>
      <c r="N294" s="79" t="s">
        <v>834</v>
      </c>
      <c r="O294" s="79" t="s">
        <v>1192</v>
      </c>
      <c r="P294" s="79" t="s">
        <v>835</v>
      </c>
      <c r="Q294" s="79">
        <v>1</v>
      </c>
      <c r="R294" s="79"/>
      <c r="S294" s="79"/>
      <c r="T294" s="79"/>
      <c r="U294" s="79" t="s">
        <v>778</v>
      </c>
      <c r="V294" s="79"/>
      <c r="W294" s="79"/>
      <c r="X294" s="79"/>
      <c r="Y294" s="79"/>
      <c r="Z294" s="79"/>
      <c r="AA294" s="154"/>
      <c r="AB294" s="155"/>
      <c r="AC294" s="121">
        <v>2</v>
      </c>
      <c r="AD294" s="202"/>
      <c r="AE294" s="192"/>
      <c r="AF294" s="203"/>
      <c r="AG294" s="121"/>
      <c r="AH294" s="121"/>
      <c r="AI294" s="121"/>
      <c r="AJ294" s="121"/>
      <c r="AK294" s="121"/>
      <c r="AL294" s="121"/>
      <c r="AM294" s="121"/>
      <c r="AN294" s="121"/>
      <c r="AO294" s="121"/>
      <c r="AP294" s="121"/>
      <c r="AQ294" s="121"/>
      <c r="AR294" s="121"/>
      <c r="AS294" s="121"/>
      <c r="AT294" s="121"/>
      <c r="AU294" s="121"/>
      <c r="AV294" s="156"/>
      <c r="AW294" s="156"/>
      <c r="AX294" s="156"/>
      <c r="AY294" s="156">
        <v>1</v>
      </c>
      <c r="AZ294" s="156"/>
      <c r="BA294" s="156"/>
      <c r="BB294" s="156"/>
      <c r="BC294" s="156"/>
      <c r="BD294" s="157"/>
      <c r="BE294" s="134"/>
      <c r="BF294" s="134"/>
      <c r="BG294" s="134"/>
      <c r="BH294" s="134"/>
      <c r="BI294" s="134"/>
      <c r="BJ294" s="259"/>
      <c r="BK294" s="138"/>
      <c r="BL294" s="134"/>
      <c r="BM294" s="134"/>
      <c r="BN294" s="134"/>
      <c r="BO294" s="138"/>
      <c r="BP294" s="134"/>
      <c r="BQ294" s="134"/>
      <c r="BR294" s="134"/>
      <c r="BS294" s="288"/>
      <c r="BT294" s="289"/>
      <c r="BU294" s="138"/>
      <c r="BV294" s="134"/>
      <c r="BW294" s="134"/>
      <c r="BX294" s="134"/>
      <c r="BY294" s="138"/>
      <c r="BZ294" s="134"/>
      <c r="CA294" s="134"/>
      <c r="CB294" s="134"/>
      <c r="CC294" s="288"/>
      <c r="CD294" s="289"/>
      <c r="CE294" s="276"/>
      <c r="CF294" s="308"/>
      <c r="CG294" s="138"/>
      <c r="CH294" s="134"/>
      <c r="CI294" s="134"/>
      <c r="CJ294" s="134"/>
      <c r="CK294" s="134"/>
      <c r="CL294" s="134"/>
      <c r="CM294" s="134"/>
      <c r="CN294" s="134"/>
      <c r="CO294" s="300"/>
      <c r="CP294" s="301"/>
      <c r="CQ294" s="134"/>
      <c r="CR294" s="134"/>
      <c r="CS294" s="134"/>
      <c r="CT294" s="134"/>
      <c r="CU294" s="134"/>
      <c r="CV294" s="134"/>
      <c r="CW294" s="134"/>
      <c r="CX294" s="134"/>
      <c r="CY294" s="300"/>
      <c r="CZ294" s="301"/>
      <c r="DA294" s="276"/>
      <c r="DB294" s="277"/>
      <c r="DC294" s="134"/>
      <c r="DD294" s="134"/>
      <c r="DE294" s="134"/>
      <c r="DF294" s="134"/>
      <c r="DG294" s="138"/>
      <c r="DH294" s="134"/>
      <c r="DI294" s="134"/>
      <c r="DJ294" s="134"/>
      <c r="DK294" s="301"/>
      <c r="DL294" s="301"/>
      <c r="DM294" s="134"/>
      <c r="DN294" s="134"/>
      <c r="DO294" s="134"/>
      <c r="DP294" s="134"/>
      <c r="DQ294" s="134"/>
      <c r="DR294" s="134"/>
      <c r="DS294" s="134"/>
      <c r="DT294" s="134"/>
      <c r="DU294" s="301"/>
      <c r="DV294" s="301"/>
      <c r="DW294" s="277"/>
      <c r="DX294" s="134"/>
      <c r="DY294" s="134"/>
      <c r="DZ294" s="134"/>
      <c r="EA294" s="134"/>
      <c r="EB294" s="134"/>
      <c r="EC294" s="134"/>
      <c r="ED294" s="134"/>
      <c r="EE294" s="134"/>
      <c r="EF294" s="301"/>
      <c r="EG294" s="301"/>
      <c r="EH294" s="134"/>
      <c r="EI294" s="134"/>
      <c r="EJ294" s="134"/>
      <c r="EK294" s="134"/>
    </row>
    <row r="295" spans="1:141">
      <c r="A295" s="79" t="s">
        <v>967</v>
      </c>
      <c r="B295" s="117">
        <v>231</v>
      </c>
      <c r="C295" s="123" t="s">
        <v>2119</v>
      </c>
      <c r="D295" s="124" t="s">
        <v>2380</v>
      </c>
      <c r="E295" s="125">
        <v>2014</v>
      </c>
      <c r="F295" s="79">
        <v>25451096</v>
      </c>
      <c r="G295" s="79">
        <v>1</v>
      </c>
      <c r="H295" s="126" t="s">
        <v>1787</v>
      </c>
      <c r="I295" s="127" t="s">
        <v>1771</v>
      </c>
      <c r="J295" s="164">
        <v>0</v>
      </c>
      <c r="K295" s="79"/>
      <c r="L295" s="164">
        <v>1</v>
      </c>
      <c r="M295" s="128">
        <v>2</v>
      </c>
      <c r="N295" s="79" t="s">
        <v>1593</v>
      </c>
      <c r="O295" s="79" t="s">
        <v>1377</v>
      </c>
      <c r="P295" s="79" t="s">
        <v>1127</v>
      </c>
      <c r="Q295" s="79"/>
      <c r="R295" s="79" t="s">
        <v>1594</v>
      </c>
      <c r="S295" s="79" t="s">
        <v>803</v>
      </c>
      <c r="T295" s="79"/>
      <c r="U295" s="79" t="s">
        <v>1592</v>
      </c>
      <c r="V295" s="79" t="s">
        <v>1591</v>
      </c>
      <c r="W295" s="79"/>
      <c r="X295" s="79"/>
      <c r="Y295" s="79" t="s">
        <v>1581</v>
      </c>
      <c r="Z295" s="79"/>
      <c r="AA295" s="154"/>
      <c r="AB295" s="155"/>
      <c r="AC295" s="121">
        <v>4</v>
      </c>
      <c r="AD295" s="202"/>
      <c r="AE295" s="192"/>
      <c r="AF295" s="203"/>
      <c r="AG295" s="121"/>
      <c r="AH295" s="121"/>
      <c r="AI295" s="121"/>
      <c r="AJ295" s="121"/>
      <c r="AK295" s="121"/>
      <c r="AL295" s="121"/>
      <c r="AM295" s="121"/>
      <c r="AN295" s="121"/>
      <c r="AO295" s="121"/>
      <c r="AP295" s="121"/>
      <c r="AQ295" s="121"/>
      <c r="AR295" s="121"/>
      <c r="AS295" s="121"/>
      <c r="AT295" s="121"/>
      <c r="AU295" s="121"/>
      <c r="AV295" s="156"/>
      <c r="AW295" s="156"/>
      <c r="AX295" s="156"/>
      <c r="AY295" s="156"/>
      <c r="AZ295" s="156"/>
      <c r="BA295" s="156"/>
      <c r="BB295" s="156"/>
      <c r="BC295" s="156"/>
      <c r="BD295" s="157"/>
      <c r="BE295" s="134"/>
      <c r="BF295" s="134"/>
      <c r="BG295" s="134"/>
      <c r="BH295" s="134"/>
      <c r="BI295" s="134"/>
      <c r="BJ295" s="259"/>
      <c r="BK295" s="138"/>
      <c r="BL295" s="134"/>
      <c r="BM295" s="134"/>
      <c r="BN295" s="134"/>
      <c r="BO295" s="138"/>
      <c r="BP295" s="134"/>
      <c r="BQ295" s="134"/>
      <c r="BR295" s="134"/>
      <c r="BS295" s="288"/>
      <c r="BT295" s="289"/>
      <c r="BU295" s="138"/>
      <c r="BV295" s="134"/>
      <c r="BW295" s="134"/>
      <c r="BX295" s="134"/>
      <c r="BY295" s="138"/>
      <c r="BZ295" s="134"/>
      <c r="CA295" s="134"/>
      <c r="CB295" s="134"/>
      <c r="CC295" s="288"/>
      <c r="CD295" s="289"/>
      <c r="CE295" s="276"/>
      <c r="CF295" s="308"/>
      <c r="CG295" s="138"/>
      <c r="CH295" s="134"/>
      <c r="CI295" s="134"/>
      <c r="CJ295" s="134"/>
      <c r="CK295" s="134"/>
      <c r="CL295" s="134"/>
      <c r="CM295" s="134"/>
      <c r="CN295" s="134"/>
      <c r="CO295" s="300"/>
      <c r="CP295" s="301"/>
      <c r="CQ295" s="134"/>
      <c r="CR295" s="134"/>
      <c r="CS295" s="134"/>
      <c r="CT295" s="134"/>
      <c r="CU295" s="134"/>
      <c r="CV295" s="134"/>
      <c r="CW295" s="134"/>
      <c r="CX295" s="134"/>
      <c r="CY295" s="300"/>
      <c r="CZ295" s="301"/>
      <c r="DA295" s="276"/>
      <c r="DB295" s="277"/>
      <c r="DC295" s="134"/>
      <c r="DD295" s="134"/>
      <c r="DE295" s="134"/>
      <c r="DF295" s="134"/>
      <c r="DG295" s="138"/>
      <c r="DH295" s="134"/>
      <c r="DI295" s="134"/>
      <c r="DJ295" s="134"/>
      <c r="DK295" s="301"/>
      <c r="DL295" s="301"/>
      <c r="DM295" s="134"/>
      <c r="DN295" s="134"/>
      <c r="DO295" s="134"/>
      <c r="DP295" s="134"/>
      <c r="DQ295" s="134"/>
      <c r="DR295" s="134"/>
      <c r="DS295" s="134"/>
      <c r="DT295" s="134"/>
      <c r="DU295" s="301"/>
      <c r="DV295" s="301"/>
      <c r="DW295" s="277"/>
      <c r="DX295" s="134"/>
      <c r="DY295" s="134"/>
      <c r="DZ295" s="134"/>
      <c r="EA295" s="134"/>
      <c r="EB295" s="134"/>
      <c r="EC295" s="134"/>
      <c r="ED295" s="134"/>
      <c r="EE295" s="134"/>
      <c r="EF295" s="301"/>
      <c r="EG295" s="301"/>
      <c r="EH295" s="134"/>
      <c r="EI295" s="134"/>
      <c r="EJ295" s="134"/>
      <c r="EK295" s="134"/>
    </row>
    <row r="296" spans="1:141">
      <c r="A296" s="79" t="s">
        <v>325</v>
      </c>
      <c r="B296" s="117">
        <v>232</v>
      </c>
      <c r="C296" s="123" t="s">
        <v>2032</v>
      </c>
      <c r="D296" s="124" t="s">
        <v>2268</v>
      </c>
      <c r="E296" s="125">
        <v>2014</v>
      </c>
      <c r="F296" s="79">
        <v>24936431</v>
      </c>
      <c r="G296" s="79">
        <v>1</v>
      </c>
      <c r="H296" s="126"/>
      <c r="I296" s="127"/>
      <c r="J296" s="79">
        <v>1</v>
      </c>
      <c r="K296" s="79"/>
      <c r="L296" s="79">
        <v>1</v>
      </c>
      <c r="M296" s="128">
        <v>1</v>
      </c>
      <c r="N296" s="79" t="s">
        <v>609</v>
      </c>
      <c r="O296" s="79" t="s">
        <v>1158</v>
      </c>
      <c r="P296" s="79" t="s">
        <v>591</v>
      </c>
      <c r="Q296" s="79">
        <v>1</v>
      </c>
      <c r="R296" s="79"/>
      <c r="S296" s="79"/>
      <c r="T296" s="79"/>
      <c r="U296" s="79" t="s">
        <v>845</v>
      </c>
      <c r="V296" s="79" t="s">
        <v>846</v>
      </c>
      <c r="W296" s="79"/>
      <c r="X296" s="79"/>
      <c r="Y296" s="79"/>
      <c r="Z296" s="79"/>
      <c r="AA296" s="154"/>
      <c r="AB296" s="155"/>
      <c r="AC296" s="121">
        <v>2</v>
      </c>
      <c r="AD296" s="202"/>
      <c r="AE296" s="192"/>
      <c r="AF296" s="203"/>
      <c r="AG296" s="121"/>
      <c r="AH296" s="121"/>
      <c r="AI296" s="121"/>
      <c r="AJ296" s="121"/>
      <c r="AK296" s="121"/>
      <c r="AL296" s="121"/>
      <c r="AM296" s="121"/>
      <c r="AN296" s="121"/>
      <c r="AO296" s="121"/>
      <c r="AP296" s="121"/>
      <c r="AQ296" s="121"/>
      <c r="AR296" s="121"/>
      <c r="AS296" s="121"/>
      <c r="AT296" s="121"/>
      <c r="AU296" s="121"/>
      <c r="AV296" s="156"/>
      <c r="AW296" s="156"/>
      <c r="AX296" s="156"/>
      <c r="AY296" s="156"/>
      <c r="AZ296" s="156"/>
      <c r="BA296" s="156">
        <v>1</v>
      </c>
      <c r="BB296" s="156"/>
      <c r="BC296" s="156"/>
      <c r="BD296" s="157"/>
      <c r="BE296" s="134"/>
      <c r="BF296" s="134"/>
      <c r="BG296" s="134"/>
      <c r="BH296" s="134"/>
      <c r="BI296" s="134"/>
      <c r="BJ296" s="259"/>
      <c r="BK296" s="138"/>
      <c r="BL296" s="134"/>
      <c r="BM296" s="134"/>
      <c r="BN296" s="134"/>
      <c r="BO296" s="138"/>
      <c r="BP296" s="134"/>
      <c r="BQ296" s="134"/>
      <c r="BR296" s="134"/>
      <c r="BS296" s="288"/>
      <c r="BT296" s="289"/>
      <c r="BU296" s="138"/>
      <c r="BV296" s="134"/>
      <c r="BW296" s="134"/>
      <c r="BX296" s="134"/>
      <c r="BY296" s="138"/>
      <c r="BZ296" s="134"/>
      <c r="CA296" s="134"/>
      <c r="CB296" s="134"/>
      <c r="CC296" s="288"/>
      <c r="CD296" s="289"/>
      <c r="CE296" s="276"/>
      <c r="CF296" s="308"/>
      <c r="CG296" s="138"/>
      <c r="CH296" s="134"/>
      <c r="CI296" s="134"/>
      <c r="CJ296" s="134"/>
      <c r="CK296" s="134"/>
      <c r="CL296" s="134"/>
      <c r="CM296" s="134"/>
      <c r="CN296" s="134"/>
      <c r="CO296" s="300"/>
      <c r="CP296" s="301"/>
      <c r="CQ296" s="134"/>
      <c r="CR296" s="134"/>
      <c r="CS296" s="134"/>
      <c r="CT296" s="134"/>
      <c r="CU296" s="134"/>
      <c r="CV296" s="134"/>
      <c r="CW296" s="134"/>
      <c r="CX296" s="134"/>
      <c r="CY296" s="300"/>
      <c r="CZ296" s="301"/>
      <c r="DA296" s="276"/>
      <c r="DB296" s="277"/>
      <c r="DC296" s="134"/>
      <c r="DD296" s="134"/>
      <c r="DE296" s="134"/>
      <c r="DF296" s="134"/>
      <c r="DG296" s="138"/>
      <c r="DH296" s="134"/>
      <c r="DI296" s="134"/>
      <c r="DJ296" s="134"/>
      <c r="DK296" s="301"/>
      <c r="DL296" s="301"/>
      <c r="DM296" s="134"/>
      <c r="DN296" s="134"/>
      <c r="DO296" s="134"/>
      <c r="DP296" s="134"/>
      <c r="DQ296" s="134"/>
      <c r="DR296" s="134"/>
      <c r="DS296" s="134"/>
      <c r="DT296" s="134"/>
      <c r="DU296" s="301"/>
      <c r="DV296" s="301"/>
      <c r="DW296" s="277"/>
      <c r="DX296" s="134"/>
      <c r="DY296" s="134"/>
      <c r="DZ296" s="134"/>
      <c r="EA296" s="134"/>
      <c r="EB296" s="134"/>
      <c r="EC296" s="134"/>
      <c r="ED296" s="134"/>
      <c r="EE296" s="134"/>
      <c r="EF296" s="301"/>
      <c r="EG296" s="301"/>
      <c r="EH296" s="134"/>
      <c r="EI296" s="134"/>
      <c r="EJ296" s="134"/>
      <c r="EK296" s="134"/>
    </row>
    <row r="297" spans="1:141">
      <c r="A297" s="79" t="s">
        <v>326</v>
      </c>
      <c r="B297" s="117">
        <v>233</v>
      </c>
      <c r="C297" s="123" t="s">
        <v>2033</v>
      </c>
      <c r="D297" s="124" t="s">
        <v>2269</v>
      </c>
      <c r="E297" s="125">
        <v>2006</v>
      </c>
      <c r="F297" s="79">
        <v>16891587</v>
      </c>
      <c r="G297" s="79">
        <v>1</v>
      </c>
      <c r="H297" s="126"/>
      <c r="I297" s="127"/>
      <c r="J297" s="79">
        <v>1</v>
      </c>
      <c r="K297" s="79"/>
      <c r="L297" s="79">
        <v>1</v>
      </c>
      <c r="M297" s="128">
        <v>1</v>
      </c>
      <c r="N297" s="79" t="s">
        <v>457</v>
      </c>
      <c r="O297" s="79" t="s">
        <v>1147</v>
      </c>
      <c r="P297" s="79" t="s">
        <v>847</v>
      </c>
      <c r="Q297" s="79">
        <v>1</v>
      </c>
      <c r="R297" s="79"/>
      <c r="S297" s="79"/>
      <c r="T297" s="79"/>
      <c r="U297" s="79" t="s">
        <v>848</v>
      </c>
      <c r="V297" s="79" t="s">
        <v>56</v>
      </c>
      <c r="W297" s="79" t="s">
        <v>24</v>
      </c>
      <c r="X297" s="79"/>
      <c r="Y297" s="79"/>
      <c r="Z297" s="79"/>
      <c r="AA297" s="154"/>
      <c r="AB297" s="155"/>
      <c r="AC297" s="121">
        <v>2</v>
      </c>
      <c r="AD297" s="202"/>
      <c r="AE297" s="192"/>
      <c r="AF297" s="203"/>
      <c r="AG297" s="121"/>
      <c r="AH297" s="121"/>
      <c r="AI297" s="121"/>
      <c r="AJ297" s="121"/>
      <c r="AK297" s="121"/>
      <c r="AL297" s="121"/>
      <c r="AM297" s="121"/>
      <c r="AN297" s="121"/>
      <c r="AO297" s="121"/>
      <c r="AP297" s="121"/>
      <c r="AQ297" s="121"/>
      <c r="AR297" s="121"/>
      <c r="AS297" s="121"/>
      <c r="AT297" s="121"/>
      <c r="AU297" s="121"/>
      <c r="AV297" s="156"/>
      <c r="AW297" s="156"/>
      <c r="AX297" s="156"/>
      <c r="AY297" s="156"/>
      <c r="AZ297" s="156">
        <v>1</v>
      </c>
      <c r="BA297" s="156"/>
      <c r="BB297" s="156"/>
      <c r="BC297" s="156"/>
      <c r="BD297" s="157"/>
      <c r="BE297" s="134"/>
      <c r="BF297" s="134"/>
      <c r="BG297" s="134"/>
      <c r="BH297" s="134"/>
      <c r="BI297" s="134"/>
      <c r="BJ297" s="259"/>
      <c r="BK297" s="138"/>
      <c r="BL297" s="134"/>
      <c r="BM297" s="134"/>
      <c r="BN297" s="134"/>
      <c r="BO297" s="138"/>
      <c r="BP297" s="134"/>
      <c r="BQ297" s="134"/>
      <c r="BR297" s="134"/>
      <c r="BS297" s="288"/>
      <c r="BT297" s="289"/>
      <c r="BU297" s="138"/>
      <c r="BV297" s="134"/>
      <c r="BW297" s="134"/>
      <c r="BX297" s="134"/>
      <c r="BY297" s="138"/>
      <c r="BZ297" s="134"/>
      <c r="CA297" s="134"/>
      <c r="CB297" s="134"/>
      <c r="CC297" s="288"/>
      <c r="CD297" s="289"/>
      <c r="CE297" s="276"/>
      <c r="CF297" s="308"/>
      <c r="CG297" s="138"/>
      <c r="CH297" s="134"/>
      <c r="CI297" s="134"/>
      <c r="CJ297" s="134"/>
      <c r="CK297" s="134"/>
      <c r="CL297" s="134"/>
      <c r="CM297" s="134"/>
      <c r="CN297" s="134"/>
      <c r="CO297" s="300"/>
      <c r="CP297" s="301"/>
      <c r="CQ297" s="134"/>
      <c r="CR297" s="134"/>
      <c r="CS297" s="134"/>
      <c r="CT297" s="134"/>
      <c r="CU297" s="134"/>
      <c r="CV297" s="134"/>
      <c r="CW297" s="134"/>
      <c r="CX297" s="134"/>
      <c r="CY297" s="300"/>
      <c r="CZ297" s="301"/>
      <c r="DA297" s="276"/>
      <c r="DB297" s="277"/>
      <c r="DC297" s="134"/>
      <c r="DD297" s="134"/>
      <c r="DE297" s="134"/>
      <c r="DF297" s="134"/>
      <c r="DG297" s="138"/>
      <c r="DH297" s="134"/>
      <c r="DI297" s="134"/>
      <c r="DJ297" s="134"/>
      <c r="DK297" s="301"/>
      <c r="DL297" s="301"/>
      <c r="DM297" s="134"/>
      <c r="DN297" s="134"/>
      <c r="DO297" s="134"/>
      <c r="DP297" s="134"/>
      <c r="DQ297" s="134"/>
      <c r="DR297" s="134"/>
      <c r="DS297" s="134"/>
      <c r="DT297" s="134"/>
      <c r="DU297" s="301"/>
      <c r="DV297" s="301"/>
      <c r="DW297" s="277"/>
      <c r="DX297" s="134"/>
      <c r="DY297" s="134"/>
      <c r="DZ297" s="134"/>
      <c r="EA297" s="134"/>
      <c r="EB297" s="134"/>
      <c r="EC297" s="134"/>
      <c r="ED297" s="134"/>
      <c r="EE297" s="134"/>
      <c r="EF297" s="301"/>
      <c r="EG297" s="301"/>
      <c r="EH297" s="134"/>
      <c r="EI297" s="134"/>
      <c r="EJ297" s="134"/>
      <c r="EK297" s="134"/>
    </row>
    <row r="298" spans="1:141">
      <c r="A298" s="79" t="s">
        <v>965</v>
      </c>
      <c r="B298" s="117">
        <v>234</v>
      </c>
      <c r="C298" s="123" t="s">
        <v>2120</v>
      </c>
      <c r="D298" s="124" t="s">
        <v>2381</v>
      </c>
      <c r="E298" s="125">
        <v>2014</v>
      </c>
      <c r="F298" s="79">
        <v>24975424</v>
      </c>
      <c r="G298" s="79">
        <v>1</v>
      </c>
      <c r="H298" s="126" t="s">
        <v>1788</v>
      </c>
      <c r="I298" s="127" t="s">
        <v>23</v>
      </c>
      <c r="J298" s="79">
        <v>1</v>
      </c>
      <c r="K298" s="79"/>
      <c r="L298" s="79">
        <v>1</v>
      </c>
      <c r="M298" s="128">
        <v>2</v>
      </c>
      <c r="N298" s="79" t="s">
        <v>1398</v>
      </c>
      <c r="O298" s="79" t="s">
        <v>1216</v>
      </c>
      <c r="P298" s="79" t="s">
        <v>1127</v>
      </c>
      <c r="Q298" s="79"/>
      <c r="R298" s="79" t="s">
        <v>1487</v>
      </c>
      <c r="S298" s="79" t="s">
        <v>803</v>
      </c>
      <c r="T298" s="79"/>
      <c r="U298" s="79" t="s">
        <v>1599</v>
      </c>
      <c r="V298" s="79"/>
      <c r="W298" s="79" t="s">
        <v>1132</v>
      </c>
      <c r="X298" s="79"/>
      <c r="Y298" s="79" t="s">
        <v>1598</v>
      </c>
      <c r="Z298" s="79"/>
      <c r="AA298" s="154"/>
      <c r="AB298" s="155"/>
      <c r="AC298" s="121">
        <v>4</v>
      </c>
      <c r="AD298" s="202"/>
      <c r="AE298" s="192"/>
      <c r="AF298" s="203"/>
      <c r="AG298" s="121"/>
      <c r="AH298" s="121"/>
      <c r="AI298" s="121"/>
      <c r="AJ298" s="121"/>
      <c r="AK298" s="121"/>
      <c r="AL298" s="121"/>
      <c r="AM298" s="121"/>
      <c r="AN298" s="121"/>
      <c r="AO298" s="121"/>
      <c r="AP298" s="121"/>
      <c r="AQ298" s="121"/>
      <c r="AR298" s="121"/>
      <c r="AS298" s="121"/>
      <c r="AT298" s="121"/>
      <c r="AU298" s="121"/>
      <c r="AV298" s="156"/>
      <c r="AW298" s="156"/>
      <c r="AX298" s="156"/>
      <c r="AY298" s="156"/>
      <c r="AZ298" s="156">
        <v>1</v>
      </c>
      <c r="BA298" s="156"/>
      <c r="BB298" s="156"/>
      <c r="BC298" s="156"/>
      <c r="BD298" s="157"/>
      <c r="BE298" s="134"/>
      <c r="BF298" s="134"/>
      <c r="BG298" s="134"/>
      <c r="BH298" s="134"/>
      <c r="BI298" s="134"/>
      <c r="BJ298" s="259"/>
      <c r="BK298" s="138"/>
      <c r="BL298" s="134"/>
      <c r="BM298" s="134"/>
      <c r="BN298" s="134"/>
      <c r="BO298" s="138"/>
      <c r="BP298" s="134"/>
      <c r="BQ298" s="134"/>
      <c r="BR298" s="134"/>
      <c r="BS298" s="288"/>
      <c r="BT298" s="289"/>
      <c r="BU298" s="138"/>
      <c r="BV298" s="134"/>
      <c r="BW298" s="134"/>
      <c r="BX298" s="134"/>
      <c r="BY298" s="138"/>
      <c r="BZ298" s="134"/>
      <c r="CA298" s="134"/>
      <c r="CB298" s="134"/>
      <c r="CC298" s="288"/>
      <c r="CD298" s="289"/>
      <c r="CE298" s="276"/>
      <c r="CF298" s="308"/>
      <c r="CG298" s="138"/>
      <c r="CH298" s="134"/>
      <c r="CI298" s="134"/>
      <c r="CJ298" s="134"/>
      <c r="CK298" s="134"/>
      <c r="CL298" s="134"/>
      <c r="CM298" s="134"/>
      <c r="CN298" s="134"/>
      <c r="CO298" s="300"/>
      <c r="CP298" s="301"/>
      <c r="CQ298" s="134"/>
      <c r="CR298" s="134"/>
      <c r="CS298" s="134"/>
      <c r="CT298" s="134"/>
      <c r="CU298" s="134"/>
      <c r="CV298" s="134"/>
      <c r="CW298" s="134"/>
      <c r="CX298" s="134"/>
      <c r="CY298" s="300"/>
      <c r="CZ298" s="301"/>
      <c r="DA298" s="276"/>
      <c r="DB298" s="277"/>
      <c r="DC298" s="134"/>
      <c r="DD298" s="134"/>
      <c r="DE298" s="134"/>
      <c r="DF298" s="134"/>
      <c r="DG298" s="138"/>
      <c r="DH298" s="134"/>
      <c r="DI298" s="134"/>
      <c r="DJ298" s="134"/>
      <c r="DK298" s="301"/>
      <c r="DL298" s="301"/>
      <c r="DM298" s="134"/>
      <c r="DN298" s="134"/>
      <c r="DO298" s="134"/>
      <c r="DP298" s="134"/>
      <c r="DQ298" s="134"/>
      <c r="DR298" s="134"/>
      <c r="DS298" s="134"/>
      <c r="DT298" s="134"/>
      <c r="DU298" s="301"/>
      <c r="DV298" s="301"/>
      <c r="DW298" s="277"/>
      <c r="DX298" s="134"/>
      <c r="DY298" s="134"/>
      <c r="DZ298" s="134"/>
      <c r="EA298" s="134"/>
      <c r="EB298" s="134"/>
      <c r="EC298" s="134"/>
      <c r="ED298" s="134"/>
      <c r="EE298" s="134"/>
      <c r="EF298" s="301"/>
      <c r="EG298" s="301"/>
      <c r="EH298" s="134"/>
      <c r="EI298" s="134"/>
      <c r="EJ298" s="134"/>
      <c r="EK298" s="134"/>
    </row>
    <row r="299" spans="1:141">
      <c r="A299" s="79" t="s">
        <v>964</v>
      </c>
      <c r="B299" s="117">
        <v>235</v>
      </c>
      <c r="C299" s="123" t="s">
        <v>2121</v>
      </c>
      <c r="D299" s="124" t="s">
        <v>2382</v>
      </c>
      <c r="E299" s="125">
        <v>2016</v>
      </c>
      <c r="F299" s="79">
        <v>26538448</v>
      </c>
      <c r="G299" s="79">
        <v>1</v>
      </c>
      <c r="H299" s="126" t="s">
        <v>1788</v>
      </c>
      <c r="I299" s="127" t="s">
        <v>23</v>
      </c>
      <c r="J299" s="79">
        <v>1</v>
      </c>
      <c r="K299" s="79"/>
      <c r="L299" s="79">
        <v>1</v>
      </c>
      <c r="M299" s="128">
        <v>2</v>
      </c>
      <c r="N299" s="79" t="s">
        <v>1601</v>
      </c>
      <c r="O299" s="79"/>
      <c r="P299" s="79" t="s">
        <v>1600</v>
      </c>
      <c r="Q299" s="79"/>
      <c r="R299" s="79" t="s">
        <v>1495</v>
      </c>
      <c r="S299" s="79" t="s">
        <v>1539</v>
      </c>
      <c r="T299" s="79"/>
      <c r="U299" s="79" t="s">
        <v>1720</v>
      </c>
      <c r="V299" s="79"/>
      <c r="W299" s="79"/>
      <c r="X299" s="79"/>
      <c r="Y299" s="79"/>
      <c r="Z299" s="79"/>
      <c r="AA299" s="154"/>
      <c r="AB299" s="155"/>
      <c r="AC299" s="121">
        <v>5</v>
      </c>
      <c r="AD299" s="202"/>
      <c r="AE299" s="192"/>
      <c r="AF299" s="203"/>
      <c r="AG299" s="121"/>
      <c r="AH299" s="121"/>
      <c r="AI299" s="121"/>
      <c r="AJ299" s="121"/>
      <c r="AK299" s="121"/>
      <c r="AL299" s="121"/>
      <c r="AM299" s="121"/>
      <c r="AN299" s="121"/>
      <c r="AO299" s="121"/>
      <c r="AP299" s="121"/>
      <c r="AQ299" s="121"/>
      <c r="AR299" s="121"/>
      <c r="AS299" s="121"/>
      <c r="AT299" s="121"/>
      <c r="AU299" s="121"/>
      <c r="AV299" s="156"/>
      <c r="AW299" s="156"/>
      <c r="AX299" s="156"/>
      <c r="AY299" s="156"/>
      <c r="AZ299" s="156"/>
      <c r="BA299" s="156"/>
      <c r="BB299" s="156"/>
      <c r="BC299" s="156"/>
      <c r="BD299" s="157"/>
      <c r="BE299" s="134"/>
      <c r="BF299" s="134"/>
      <c r="BG299" s="134"/>
      <c r="BH299" s="134"/>
      <c r="BI299" s="134"/>
      <c r="BJ299" s="259"/>
      <c r="BK299" s="138"/>
      <c r="BL299" s="134"/>
      <c r="BM299" s="134"/>
      <c r="BN299" s="134"/>
      <c r="BO299" s="138"/>
      <c r="BP299" s="134"/>
      <c r="BQ299" s="134"/>
      <c r="BR299" s="134"/>
      <c r="BS299" s="288"/>
      <c r="BT299" s="289"/>
      <c r="BU299" s="138"/>
      <c r="BV299" s="134"/>
      <c r="BW299" s="134"/>
      <c r="BX299" s="134"/>
      <c r="BY299" s="138"/>
      <c r="BZ299" s="134"/>
      <c r="CA299" s="134"/>
      <c r="CB299" s="134"/>
      <c r="CC299" s="288"/>
      <c r="CD299" s="289"/>
      <c r="CE299" s="276"/>
      <c r="CF299" s="308"/>
      <c r="CG299" s="138"/>
      <c r="CH299" s="134"/>
      <c r="CI299" s="134"/>
      <c r="CJ299" s="134"/>
      <c r="CK299" s="134"/>
      <c r="CL299" s="134"/>
      <c r="CM299" s="134"/>
      <c r="CN299" s="134"/>
      <c r="CO299" s="300"/>
      <c r="CP299" s="301"/>
      <c r="CQ299" s="134"/>
      <c r="CR299" s="134"/>
      <c r="CS299" s="134"/>
      <c r="CT299" s="134"/>
      <c r="CU299" s="134"/>
      <c r="CV299" s="134"/>
      <c r="CW299" s="134"/>
      <c r="CX299" s="134"/>
      <c r="CY299" s="300"/>
      <c r="CZ299" s="301"/>
      <c r="DA299" s="276"/>
      <c r="DB299" s="277"/>
      <c r="DC299" s="134"/>
      <c r="DD299" s="134"/>
      <c r="DE299" s="134"/>
      <c r="DF299" s="134"/>
      <c r="DG299" s="138"/>
      <c r="DH299" s="134"/>
      <c r="DI299" s="134"/>
      <c r="DJ299" s="134"/>
      <c r="DK299" s="301"/>
      <c r="DL299" s="301"/>
      <c r="DM299" s="134"/>
      <c r="DN299" s="134"/>
      <c r="DO299" s="134"/>
      <c r="DP299" s="134"/>
      <c r="DQ299" s="134"/>
      <c r="DR299" s="134"/>
      <c r="DS299" s="134"/>
      <c r="DT299" s="134"/>
      <c r="DU299" s="301"/>
      <c r="DV299" s="301"/>
      <c r="DW299" s="277"/>
      <c r="DX299" s="134"/>
      <c r="DY299" s="134"/>
      <c r="DZ299" s="134"/>
      <c r="EA299" s="134"/>
      <c r="EB299" s="134"/>
      <c r="EC299" s="134"/>
      <c r="ED299" s="134"/>
      <c r="EE299" s="134"/>
      <c r="EF299" s="301"/>
      <c r="EG299" s="301"/>
      <c r="EH299" s="134"/>
      <c r="EI299" s="134"/>
      <c r="EJ299" s="134"/>
      <c r="EK299" s="134"/>
    </row>
    <row r="300" spans="1:141">
      <c r="A300" s="79" t="s">
        <v>330</v>
      </c>
      <c r="B300" s="117">
        <v>236</v>
      </c>
      <c r="C300" s="123" t="s">
        <v>2034</v>
      </c>
      <c r="D300" s="124" t="s">
        <v>2270</v>
      </c>
      <c r="E300" s="125">
        <v>2015</v>
      </c>
      <c r="F300" s="79">
        <v>25735018</v>
      </c>
      <c r="G300" s="79">
        <v>1</v>
      </c>
      <c r="H300" s="126"/>
      <c r="I300" s="127"/>
      <c r="J300" s="79">
        <v>1</v>
      </c>
      <c r="K300" s="79"/>
      <c r="L300" s="79">
        <v>1</v>
      </c>
      <c r="M300" s="128">
        <v>1</v>
      </c>
      <c r="N300" s="79" t="s">
        <v>860</v>
      </c>
      <c r="O300" s="79" t="s">
        <v>1154</v>
      </c>
      <c r="P300" s="79" t="s">
        <v>835</v>
      </c>
      <c r="Q300" s="79">
        <v>1</v>
      </c>
      <c r="R300" s="79"/>
      <c r="S300" s="79"/>
      <c r="T300" s="79"/>
      <c r="U300" s="79" t="s">
        <v>858</v>
      </c>
      <c r="V300" s="79" t="s">
        <v>24</v>
      </c>
      <c r="W300" s="79" t="s">
        <v>24</v>
      </c>
      <c r="X300" s="79" t="s">
        <v>859</v>
      </c>
      <c r="Y300" s="79"/>
      <c r="Z300" s="79"/>
      <c r="AA300" s="154"/>
      <c r="AB300" s="155"/>
      <c r="AC300" s="121">
        <v>2</v>
      </c>
      <c r="AD300" s="202"/>
      <c r="AE300" s="192"/>
      <c r="AF300" s="203"/>
      <c r="AG300" s="121"/>
      <c r="AH300" s="121"/>
      <c r="AI300" s="121"/>
      <c r="AJ300" s="121"/>
      <c r="AK300" s="121"/>
      <c r="AL300" s="121"/>
      <c r="AM300" s="121"/>
      <c r="AN300" s="121"/>
      <c r="AO300" s="121"/>
      <c r="AP300" s="121"/>
      <c r="AQ300" s="121"/>
      <c r="AR300" s="121"/>
      <c r="AS300" s="121"/>
      <c r="AT300" s="121"/>
      <c r="AU300" s="121"/>
      <c r="AV300" s="156"/>
      <c r="AW300" s="156"/>
      <c r="AX300" s="156">
        <v>1</v>
      </c>
      <c r="AY300" s="156">
        <v>1</v>
      </c>
      <c r="AZ300" s="156">
        <v>1</v>
      </c>
      <c r="BA300" s="156"/>
      <c r="BB300" s="156"/>
      <c r="BC300" s="156"/>
      <c r="BD300" s="157"/>
      <c r="BE300" s="134"/>
      <c r="BF300" s="134"/>
      <c r="BG300" s="134"/>
      <c r="BH300" s="134"/>
      <c r="BI300" s="134"/>
      <c r="BJ300" s="259"/>
      <c r="BK300" s="138"/>
      <c r="BL300" s="134"/>
      <c r="BM300" s="134"/>
      <c r="BN300" s="134"/>
      <c r="BO300" s="138"/>
      <c r="BP300" s="134"/>
      <c r="BQ300" s="134"/>
      <c r="BR300" s="134"/>
      <c r="BS300" s="288"/>
      <c r="BT300" s="289"/>
      <c r="BU300" s="138"/>
      <c r="BV300" s="134"/>
      <c r="BW300" s="134"/>
      <c r="BX300" s="134"/>
      <c r="BY300" s="138"/>
      <c r="BZ300" s="134"/>
      <c r="CA300" s="134"/>
      <c r="CB300" s="134"/>
      <c r="CC300" s="288"/>
      <c r="CD300" s="289"/>
      <c r="CE300" s="276"/>
      <c r="CF300" s="308"/>
      <c r="CG300" s="138"/>
      <c r="CH300" s="134"/>
      <c r="CI300" s="134"/>
      <c r="CJ300" s="134"/>
      <c r="CK300" s="134"/>
      <c r="CL300" s="134"/>
      <c r="CM300" s="134"/>
      <c r="CN300" s="134"/>
      <c r="CO300" s="300"/>
      <c r="CP300" s="301"/>
      <c r="CQ300" s="134"/>
      <c r="CR300" s="134"/>
      <c r="CS300" s="134"/>
      <c r="CT300" s="134"/>
      <c r="CU300" s="134"/>
      <c r="CV300" s="134"/>
      <c r="CW300" s="134"/>
      <c r="CX300" s="134"/>
      <c r="CY300" s="300"/>
      <c r="CZ300" s="301"/>
      <c r="DA300" s="276"/>
      <c r="DB300" s="277"/>
      <c r="DC300" s="134"/>
      <c r="DD300" s="134"/>
      <c r="DE300" s="134"/>
      <c r="DF300" s="134"/>
      <c r="DG300" s="138"/>
      <c r="DH300" s="134"/>
      <c r="DI300" s="134"/>
      <c r="DJ300" s="134"/>
      <c r="DK300" s="301"/>
      <c r="DL300" s="301"/>
      <c r="DM300" s="134"/>
      <c r="DN300" s="134"/>
      <c r="DO300" s="134"/>
      <c r="DP300" s="134"/>
      <c r="DQ300" s="134"/>
      <c r="DR300" s="134"/>
      <c r="DS300" s="134"/>
      <c r="DT300" s="134"/>
      <c r="DU300" s="301"/>
      <c r="DV300" s="301"/>
      <c r="DW300" s="277"/>
      <c r="DX300" s="134"/>
      <c r="DY300" s="134"/>
      <c r="DZ300" s="134"/>
      <c r="EA300" s="134"/>
      <c r="EB300" s="134"/>
      <c r="EC300" s="134"/>
      <c r="ED300" s="134"/>
      <c r="EE300" s="134"/>
      <c r="EF300" s="301"/>
      <c r="EG300" s="301"/>
      <c r="EH300" s="134"/>
      <c r="EI300" s="134"/>
      <c r="EJ300" s="134"/>
      <c r="EK300" s="134"/>
    </row>
    <row r="301" spans="1:141">
      <c r="A301" s="79" t="s">
        <v>332</v>
      </c>
      <c r="B301" s="117">
        <v>237</v>
      </c>
      <c r="C301" s="123" t="s">
        <v>2035</v>
      </c>
      <c r="D301" s="124" t="s">
        <v>2271</v>
      </c>
      <c r="E301" s="125">
        <v>1984</v>
      </c>
      <c r="F301" s="79">
        <v>6691477</v>
      </c>
      <c r="G301" s="79">
        <v>1</v>
      </c>
      <c r="H301" s="126" t="s">
        <v>1785</v>
      </c>
      <c r="I301" s="127"/>
      <c r="J301" s="79">
        <v>0</v>
      </c>
      <c r="K301" s="79"/>
      <c r="L301" s="164">
        <v>1</v>
      </c>
      <c r="M301" s="128">
        <v>1</v>
      </c>
      <c r="N301" s="79" t="s">
        <v>863</v>
      </c>
      <c r="O301" s="79"/>
      <c r="P301" s="79" t="s">
        <v>819</v>
      </c>
      <c r="Q301" s="79">
        <v>1</v>
      </c>
      <c r="R301" s="79"/>
      <c r="S301" s="79"/>
      <c r="T301" s="79"/>
      <c r="U301" s="79" t="s">
        <v>455</v>
      </c>
      <c r="V301" s="79"/>
      <c r="W301" s="79"/>
      <c r="X301" s="79"/>
      <c r="Y301" s="79"/>
      <c r="Z301" s="79" t="s">
        <v>864</v>
      </c>
      <c r="AA301" s="154"/>
      <c r="AB301" s="155"/>
      <c r="AC301" s="121">
        <v>2</v>
      </c>
      <c r="AD301" s="202"/>
      <c r="AE301" s="192"/>
      <c r="AF301" s="203"/>
      <c r="AG301" s="121"/>
      <c r="AH301" s="121"/>
      <c r="AI301" s="121"/>
      <c r="AJ301" s="121"/>
      <c r="AK301" s="121"/>
      <c r="AL301" s="121"/>
      <c r="AM301" s="121"/>
      <c r="AN301" s="121"/>
      <c r="AO301" s="121"/>
      <c r="AP301" s="121"/>
      <c r="AQ301" s="121"/>
      <c r="AR301" s="121"/>
      <c r="AS301" s="121"/>
      <c r="AT301" s="121"/>
      <c r="AU301" s="121"/>
      <c r="AV301" s="156"/>
      <c r="AW301" s="156"/>
      <c r="AX301" s="156"/>
      <c r="AY301" s="156"/>
      <c r="AZ301" s="156"/>
      <c r="BA301" s="156"/>
      <c r="BB301" s="156"/>
      <c r="BC301" s="156"/>
      <c r="BD301" s="157"/>
      <c r="BE301" s="134"/>
      <c r="BF301" s="134"/>
      <c r="BG301" s="134"/>
      <c r="BH301" s="134"/>
      <c r="BI301" s="134"/>
      <c r="BJ301" s="259"/>
      <c r="BK301" s="138"/>
      <c r="BL301" s="134"/>
      <c r="BM301" s="134"/>
      <c r="BN301" s="134"/>
      <c r="BO301" s="138"/>
      <c r="BP301" s="134"/>
      <c r="BQ301" s="134"/>
      <c r="BR301" s="134"/>
      <c r="BS301" s="288"/>
      <c r="BT301" s="289"/>
      <c r="BU301" s="138"/>
      <c r="BV301" s="134"/>
      <c r="BW301" s="134"/>
      <c r="BX301" s="134"/>
      <c r="BY301" s="138"/>
      <c r="BZ301" s="134"/>
      <c r="CA301" s="134"/>
      <c r="CB301" s="134"/>
      <c r="CC301" s="288"/>
      <c r="CD301" s="289"/>
      <c r="CE301" s="276"/>
      <c r="CF301" s="308"/>
      <c r="CG301" s="138"/>
      <c r="CH301" s="134"/>
      <c r="CI301" s="134"/>
      <c r="CJ301" s="134"/>
      <c r="CK301" s="134"/>
      <c r="CL301" s="134"/>
      <c r="CM301" s="134"/>
      <c r="CN301" s="134"/>
      <c r="CO301" s="300"/>
      <c r="CP301" s="301"/>
      <c r="CQ301" s="134"/>
      <c r="CR301" s="134"/>
      <c r="CS301" s="134"/>
      <c r="CT301" s="134"/>
      <c r="CU301" s="134"/>
      <c r="CV301" s="134"/>
      <c r="CW301" s="134"/>
      <c r="CX301" s="134"/>
      <c r="CY301" s="300"/>
      <c r="CZ301" s="301"/>
      <c r="DA301" s="276"/>
      <c r="DB301" s="277"/>
      <c r="DC301" s="134"/>
      <c r="DD301" s="134"/>
      <c r="DE301" s="134"/>
      <c r="DF301" s="134"/>
      <c r="DG301" s="138"/>
      <c r="DH301" s="134"/>
      <c r="DI301" s="134"/>
      <c r="DJ301" s="134"/>
      <c r="DK301" s="301"/>
      <c r="DL301" s="301"/>
      <c r="DM301" s="134"/>
      <c r="DN301" s="134"/>
      <c r="DO301" s="134"/>
      <c r="DP301" s="134"/>
      <c r="DQ301" s="134"/>
      <c r="DR301" s="134"/>
      <c r="DS301" s="134"/>
      <c r="DT301" s="134"/>
      <c r="DU301" s="301"/>
      <c r="DV301" s="301"/>
      <c r="DW301" s="277"/>
      <c r="DX301" s="134"/>
      <c r="DY301" s="134"/>
      <c r="DZ301" s="134"/>
      <c r="EA301" s="134"/>
      <c r="EB301" s="134"/>
      <c r="EC301" s="134"/>
      <c r="ED301" s="134"/>
      <c r="EE301" s="134"/>
      <c r="EF301" s="301"/>
      <c r="EG301" s="301"/>
      <c r="EH301" s="134"/>
      <c r="EI301" s="134"/>
      <c r="EJ301" s="134"/>
      <c r="EK301" s="134"/>
    </row>
    <row r="302" spans="1:141">
      <c r="A302" s="79" t="s">
        <v>333</v>
      </c>
      <c r="B302" s="117">
        <v>238</v>
      </c>
      <c r="C302" s="123" t="s">
        <v>333</v>
      </c>
      <c r="D302" s="124" t="s">
        <v>333</v>
      </c>
      <c r="E302" s="125">
        <v>2011</v>
      </c>
      <c r="F302" s="79">
        <v>21489700</v>
      </c>
      <c r="G302" s="79">
        <v>1</v>
      </c>
      <c r="H302" s="126"/>
      <c r="I302" s="127"/>
      <c r="J302" s="79">
        <v>1</v>
      </c>
      <c r="K302" s="79"/>
      <c r="L302" s="79">
        <v>1</v>
      </c>
      <c r="M302" s="128">
        <v>1</v>
      </c>
      <c r="N302" s="79" t="s">
        <v>867</v>
      </c>
      <c r="O302" s="79" t="s">
        <v>1147</v>
      </c>
      <c r="P302" s="79" t="s">
        <v>25</v>
      </c>
      <c r="Q302" s="79">
        <v>1</v>
      </c>
      <c r="R302" s="79"/>
      <c r="S302" s="79"/>
      <c r="T302" s="79"/>
      <c r="U302" s="79" t="s">
        <v>868</v>
      </c>
      <c r="V302" s="79" t="s">
        <v>436</v>
      </c>
      <c r="W302" s="79" t="s">
        <v>866</v>
      </c>
      <c r="X302" s="79"/>
      <c r="Y302" s="79"/>
      <c r="Z302" s="79"/>
      <c r="AA302" s="154"/>
      <c r="AB302" s="155"/>
      <c r="AC302" s="121">
        <v>2</v>
      </c>
      <c r="AD302" s="202"/>
      <c r="AE302" s="192"/>
      <c r="AF302" s="203"/>
      <c r="AG302" s="121"/>
      <c r="AH302" s="121"/>
      <c r="AI302" s="121"/>
      <c r="AJ302" s="121"/>
      <c r="AK302" s="121"/>
      <c r="AL302" s="121"/>
      <c r="AM302" s="121"/>
      <c r="AN302" s="121"/>
      <c r="AO302" s="121"/>
      <c r="AP302" s="121"/>
      <c r="AQ302" s="121"/>
      <c r="AR302" s="121"/>
      <c r="AS302" s="121"/>
      <c r="AT302" s="121"/>
      <c r="AU302" s="121"/>
      <c r="AV302" s="156"/>
      <c r="AW302" s="156"/>
      <c r="AX302" s="156"/>
      <c r="AY302" s="156"/>
      <c r="AZ302" s="156">
        <v>1</v>
      </c>
      <c r="BA302" s="156"/>
      <c r="BB302" s="156"/>
      <c r="BC302" s="156"/>
      <c r="BD302" s="157"/>
      <c r="BE302" s="134"/>
      <c r="BF302" s="134"/>
      <c r="BG302" s="134"/>
      <c r="BH302" s="134"/>
      <c r="BI302" s="134"/>
      <c r="BJ302" s="259"/>
      <c r="BK302" s="138"/>
      <c r="BL302" s="134"/>
      <c r="BM302" s="134"/>
      <c r="BN302" s="134"/>
      <c r="BO302" s="138"/>
      <c r="BP302" s="134"/>
      <c r="BQ302" s="134"/>
      <c r="BR302" s="134"/>
      <c r="BS302" s="288"/>
      <c r="BT302" s="289"/>
      <c r="BU302" s="138"/>
      <c r="BV302" s="134"/>
      <c r="BW302" s="134"/>
      <c r="BX302" s="134"/>
      <c r="BY302" s="138"/>
      <c r="BZ302" s="134"/>
      <c r="CA302" s="134"/>
      <c r="CB302" s="134"/>
      <c r="CC302" s="288"/>
      <c r="CD302" s="289"/>
      <c r="CE302" s="276"/>
      <c r="CF302" s="308"/>
      <c r="CG302" s="138"/>
      <c r="CH302" s="134"/>
      <c r="CI302" s="134"/>
      <c r="CJ302" s="134"/>
      <c r="CK302" s="134"/>
      <c r="CL302" s="134"/>
      <c r="CM302" s="134"/>
      <c r="CN302" s="134"/>
      <c r="CO302" s="300"/>
      <c r="CP302" s="301"/>
      <c r="CQ302" s="134"/>
      <c r="CR302" s="134"/>
      <c r="CS302" s="134"/>
      <c r="CT302" s="134"/>
      <c r="CU302" s="134"/>
      <c r="CV302" s="134"/>
      <c r="CW302" s="134"/>
      <c r="CX302" s="134"/>
      <c r="CY302" s="300"/>
      <c r="CZ302" s="301"/>
      <c r="DA302" s="276"/>
      <c r="DB302" s="277"/>
      <c r="DC302" s="134"/>
      <c r="DD302" s="134"/>
      <c r="DE302" s="134"/>
      <c r="DF302" s="134"/>
      <c r="DG302" s="138"/>
      <c r="DH302" s="134"/>
      <c r="DI302" s="134"/>
      <c r="DJ302" s="134"/>
      <c r="DK302" s="301"/>
      <c r="DL302" s="301"/>
      <c r="DM302" s="134"/>
      <c r="DN302" s="134"/>
      <c r="DO302" s="134"/>
      <c r="DP302" s="134"/>
      <c r="DQ302" s="134"/>
      <c r="DR302" s="134"/>
      <c r="DS302" s="134"/>
      <c r="DT302" s="134"/>
      <c r="DU302" s="301"/>
      <c r="DV302" s="301"/>
      <c r="DW302" s="277"/>
      <c r="DX302" s="134"/>
      <c r="DY302" s="134"/>
      <c r="DZ302" s="134"/>
      <c r="EA302" s="134"/>
      <c r="EB302" s="134"/>
      <c r="EC302" s="134"/>
      <c r="ED302" s="134"/>
      <c r="EE302" s="134"/>
      <c r="EF302" s="301"/>
      <c r="EG302" s="301"/>
      <c r="EH302" s="134"/>
      <c r="EI302" s="134"/>
      <c r="EJ302" s="134"/>
      <c r="EK302" s="134"/>
    </row>
    <row r="303" spans="1:141">
      <c r="A303" s="79" t="s">
        <v>334</v>
      </c>
      <c r="B303" s="117">
        <v>239</v>
      </c>
      <c r="C303" s="123" t="s">
        <v>2035</v>
      </c>
      <c r="D303" s="124" t="s">
        <v>2272</v>
      </c>
      <c r="E303" s="125">
        <v>2015</v>
      </c>
      <c r="F303" s="79">
        <v>25154707</v>
      </c>
      <c r="G303" s="79">
        <v>1</v>
      </c>
      <c r="H303" s="126"/>
      <c r="I303" s="127"/>
      <c r="J303" s="79">
        <v>1</v>
      </c>
      <c r="K303" s="79"/>
      <c r="L303" s="79">
        <v>1</v>
      </c>
      <c r="M303" s="128">
        <v>1</v>
      </c>
      <c r="N303" s="79" t="s">
        <v>870</v>
      </c>
      <c r="O303" s="79" t="s">
        <v>1192</v>
      </c>
      <c r="P303" s="79" t="s">
        <v>25</v>
      </c>
      <c r="Q303" s="79">
        <v>1</v>
      </c>
      <c r="R303" s="79"/>
      <c r="S303" s="79"/>
      <c r="T303" s="79"/>
      <c r="U303" s="79" t="s">
        <v>869</v>
      </c>
      <c r="V303" s="79" t="s">
        <v>56</v>
      </c>
      <c r="W303" s="79"/>
      <c r="X303" s="79"/>
      <c r="Y303" s="79"/>
      <c r="Z303" s="79" t="s">
        <v>871</v>
      </c>
      <c r="AA303" s="154"/>
      <c r="AB303" s="155"/>
      <c r="AC303" s="121">
        <v>2</v>
      </c>
      <c r="AD303" s="202"/>
      <c r="AE303" s="192"/>
      <c r="AF303" s="203"/>
      <c r="AG303" s="121"/>
      <c r="AH303" s="121"/>
      <c r="AI303" s="121"/>
      <c r="AJ303" s="121"/>
      <c r="AK303" s="121"/>
      <c r="AL303" s="121"/>
      <c r="AM303" s="121"/>
      <c r="AN303" s="121"/>
      <c r="AO303" s="121"/>
      <c r="AP303" s="121"/>
      <c r="AQ303" s="121"/>
      <c r="AR303" s="121"/>
      <c r="AS303" s="121"/>
      <c r="AT303" s="121"/>
      <c r="AU303" s="121"/>
      <c r="AV303" s="156"/>
      <c r="AW303" s="156"/>
      <c r="AX303" s="156"/>
      <c r="AY303" s="156">
        <v>1</v>
      </c>
      <c r="AZ303" s="156"/>
      <c r="BA303" s="156"/>
      <c r="BB303" s="156"/>
      <c r="BC303" s="156"/>
      <c r="BD303" s="157"/>
      <c r="BE303" s="134"/>
      <c r="BF303" s="134"/>
      <c r="BG303" s="134"/>
      <c r="BH303" s="134"/>
      <c r="BI303" s="134"/>
      <c r="BJ303" s="259"/>
      <c r="BK303" s="138"/>
      <c r="BL303" s="134"/>
      <c r="BM303" s="134"/>
      <c r="BN303" s="134"/>
      <c r="BO303" s="138"/>
      <c r="BP303" s="134"/>
      <c r="BQ303" s="134"/>
      <c r="BR303" s="134"/>
      <c r="BS303" s="288"/>
      <c r="BT303" s="289"/>
      <c r="BU303" s="138"/>
      <c r="BV303" s="134"/>
      <c r="BW303" s="134"/>
      <c r="BX303" s="134"/>
      <c r="BY303" s="138"/>
      <c r="BZ303" s="134"/>
      <c r="CA303" s="134"/>
      <c r="CB303" s="134"/>
      <c r="CC303" s="288"/>
      <c r="CD303" s="289"/>
      <c r="CE303" s="276"/>
      <c r="CF303" s="308"/>
      <c r="CG303" s="138"/>
      <c r="CH303" s="134"/>
      <c r="CI303" s="134"/>
      <c r="CJ303" s="134"/>
      <c r="CK303" s="134"/>
      <c r="CL303" s="134"/>
      <c r="CM303" s="134"/>
      <c r="CN303" s="134"/>
      <c r="CO303" s="300"/>
      <c r="CP303" s="301"/>
      <c r="CQ303" s="134"/>
      <c r="CR303" s="134"/>
      <c r="CS303" s="134"/>
      <c r="CT303" s="134"/>
      <c r="CU303" s="134"/>
      <c r="CV303" s="134"/>
      <c r="CW303" s="134"/>
      <c r="CX303" s="134"/>
      <c r="CY303" s="300"/>
      <c r="CZ303" s="301"/>
      <c r="DA303" s="276"/>
      <c r="DB303" s="277"/>
      <c r="DC303" s="134"/>
      <c r="DD303" s="134"/>
      <c r="DE303" s="134"/>
      <c r="DF303" s="134"/>
      <c r="DG303" s="138"/>
      <c r="DH303" s="134"/>
      <c r="DI303" s="134"/>
      <c r="DJ303" s="134"/>
      <c r="DK303" s="301"/>
      <c r="DL303" s="301"/>
      <c r="DM303" s="134"/>
      <c r="DN303" s="134"/>
      <c r="DO303" s="134"/>
      <c r="DP303" s="134"/>
      <c r="DQ303" s="134"/>
      <c r="DR303" s="134"/>
      <c r="DS303" s="134"/>
      <c r="DT303" s="134"/>
      <c r="DU303" s="301"/>
      <c r="DV303" s="301"/>
      <c r="DW303" s="277"/>
      <c r="DX303" s="134"/>
      <c r="DY303" s="134"/>
      <c r="DZ303" s="134"/>
      <c r="EA303" s="134"/>
      <c r="EB303" s="134"/>
      <c r="EC303" s="134"/>
      <c r="ED303" s="134"/>
      <c r="EE303" s="134"/>
      <c r="EF303" s="301"/>
      <c r="EG303" s="301"/>
      <c r="EH303" s="134"/>
      <c r="EI303" s="134"/>
      <c r="EJ303" s="134"/>
      <c r="EK303" s="134"/>
    </row>
    <row r="304" spans="1:141">
      <c r="A304" s="79" t="s">
        <v>335</v>
      </c>
      <c r="B304" s="117">
        <v>240</v>
      </c>
      <c r="C304" s="123" t="s">
        <v>2035</v>
      </c>
      <c r="D304" s="124" t="s">
        <v>2273</v>
      </c>
      <c r="E304" s="125">
        <v>2014</v>
      </c>
      <c r="F304" s="79">
        <v>24886789</v>
      </c>
      <c r="G304" s="79">
        <v>1</v>
      </c>
      <c r="H304" s="126"/>
      <c r="I304" s="127"/>
      <c r="J304" s="79">
        <v>1</v>
      </c>
      <c r="K304" s="79"/>
      <c r="L304" s="79">
        <v>1</v>
      </c>
      <c r="M304" s="128">
        <v>1</v>
      </c>
      <c r="N304" s="79" t="s">
        <v>870</v>
      </c>
      <c r="O304" s="79" t="s">
        <v>1192</v>
      </c>
      <c r="P304" s="79" t="s">
        <v>25</v>
      </c>
      <c r="Q304" s="79">
        <v>1</v>
      </c>
      <c r="R304" s="79"/>
      <c r="S304" s="79"/>
      <c r="T304" s="79"/>
      <c r="U304" s="79" t="s">
        <v>872</v>
      </c>
      <c r="V304" s="79" t="s">
        <v>56</v>
      </c>
      <c r="W304" s="79"/>
      <c r="X304" s="79"/>
      <c r="Y304" s="79"/>
      <c r="Z304" s="79"/>
      <c r="AA304" s="154"/>
      <c r="AB304" s="155"/>
      <c r="AC304" s="121">
        <v>2</v>
      </c>
      <c r="AD304" s="202"/>
      <c r="AE304" s="192"/>
      <c r="AF304" s="203"/>
      <c r="AG304" s="121"/>
      <c r="AH304" s="121"/>
      <c r="AI304" s="121"/>
      <c r="AJ304" s="121"/>
      <c r="AK304" s="121"/>
      <c r="AL304" s="121"/>
      <c r="AM304" s="121"/>
      <c r="AN304" s="121"/>
      <c r="AO304" s="121"/>
      <c r="AP304" s="121"/>
      <c r="AQ304" s="121"/>
      <c r="AR304" s="121"/>
      <c r="AS304" s="121"/>
      <c r="AT304" s="121"/>
      <c r="AU304" s="121"/>
      <c r="AV304" s="156"/>
      <c r="AW304" s="156"/>
      <c r="AX304" s="156"/>
      <c r="AY304" s="156">
        <v>1</v>
      </c>
      <c r="AZ304" s="156"/>
      <c r="BA304" s="156"/>
      <c r="BB304" s="156"/>
      <c r="BC304" s="156"/>
      <c r="BD304" s="157"/>
      <c r="BE304" s="134"/>
      <c r="BF304" s="134"/>
      <c r="BG304" s="134"/>
      <c r="BH304" s="134"/>
      <c r="BI304" s="134"/>
      <c r="BJ304" s="259"/>
      <c r="BK304" s="138"/>
      <c r="BL304" s="134"/>
      <c r="BM304" s="134"/>
      <c r="BN304" s="134"/>
      <c r="BO304" s="138"/>
      <c r="BP304" s="134"/>
      <c r="BQ304" s="134"/>
      <c r="BR304" s="134"/>
      <c r="BS304" s="288"/>
      <c r="BT304" s="289"/>
      <c r="BU304" s="138"/>
      <c r="BV304" s="134"/>
      <c r="BW304" s="134"/>
      <c r="BX304" s="134"/>
      <c r="BY304" s="138"/>
      <c r="BZ304" s="134"/>
      <c r="CA304" s="134"/>
      <c r="CB304" s="134"/>
      <c r="CC304" s="288"/>
      <c r="CD304" s="289"/>
      <c r="CE304" s="276"/>
      <c r="CF304" s="308"/>
      <c r="CG304" s="138"/>
      <c r="CH304" s="134"/>
      <c r="CI304" s="134"/>
      <c r="CJ304" s="134"/>
      <c r="CK304" s="134"/>
      <c r="CL304" s="134"/>
      <c r="CM304" s="134"/>
      <c r="CN304" s="134"/>
      <c r="CO304" s="300"/>
      <c r="CP304" s="301"/>
      <c r="CQ304" s="134"/>
      <c r="CR304" s="134"/>
      <c r="CS304" s="134"/>
      <c r="CT304" s="134"/>
      <c r="CU304" s="134"/>
      <c r="CV304" s="134"/>
      <c r="CW304" s="134"/>
      <c r="CX304" s="134"/>
      <c r="CY304" s="300"/>
      <c r="CZ304" s="301"/>
      <c r="DA304" s="276"/>
      <c r="DB304" s="277"/>
      <c r="DC304" s="134"/>
      <c r="DD304" s="134"/>
      <c r="DE304" s="134"/>
      <c r="DF304" s="134"/>
      <c r="DG304" s="138"/>
      <c r="DH304" s="134"/>
      <c r="DI304" s="134"/>
      <c r="DJ304" s="134"/>
      <c r="DK304" s="301"/>
      <c r="DL304" s="301"/>
      <c r="DM304" s="134"/>
      <c r="DN304" s="134"/>
      <c r="DO304" s="134"/>
      <c r="DP304" s="134"/>
      <c r="DQ304" s="134"/>
      <c r="DR304" s="134"/>
      <c r="DS304" s="134"/>
      <c r="DT304" s="134"/>
      <c r="DU304" s="301"/>
      <c r="DV304" s="301"/>
      <c r="DW304" s="277"/>
      <c r="DX304" s="134"/>
      <c r="DY304" s="134"/>
      <c r="DZ304" s="134"/>
      <c r="EA304" s="134"/>
      <c r="EB304" s="134"/>
      <c r="EC304" s="134"/>
      <c r="ED304" s="134"/>
      <c r="EE304" s="134"/>
      <c r="EF304" s="301"/>
      <c r="EG304" s="301"/>
      <c r="EH304" s="134"/>
      <c r="EI304" s="134"/>
      <c r="EJ304" s="134"/>
      <c r="EK304" s="134"/>
    </row>
    <row r="305" spans="1:141">
      <c r="A305" s="79" t="s">
        <v>336</v>
      </c>
      <c r="B305" s="117">
        <v>241</v>
      </c>
      <c r="C305" s="123" t="s">
        <v>2036</v>
      </c>
      <c r="D305" s="124" t="s">
        <v>2274</v>
      </c>
      <c r="E305" s="125">
        <v>1998</v>
      </c>
      <c r="F305" s="79">
        <v>9460740</v>
      </c>
      <c r="G305" s="79">
        <v>1</v>
      </c>
      <c r="H305" s="126"/>
      <c r="I305" s="127"/>
      <c r="J305" s="79">
        <v>1</v>
      </c>
      <c r="K305" s="79"/>
      <c r="L305" s="79">
        <v>1</v>
      </c>
      <c r="M305" s="128">
        <v>1</v>
      </c>
      <c r="N305" s="79" t="s">
        <v>31</v>
      </c>
      <c r="O305" s="79" t="s">
        <v>1157</v>
      </c>
      <c r="P305" s="79" t="s">
        <v>819</v>
      </c>
      <c r="Q305" s="79">
        <v>1</v>
      </c>
      <c r="R305" s="79"/>
      <c r="S305" s="79"/>
      <c r="T305" s="79"/>
      <c r="U305" s="79" t="s">
        <v>873</v>
      </c>
      <c r="V305" s="79" t="s">
        <v>24</v>
      </c>
      <c r="W305" s="79" t="s">
        <v>24</v>
      </c>
      <c r="X305" s="79"/>
      <c r="Y305" s="79"/>
      <c r="Z305" s="79"/>
      <c r="AA305" s="154"/>
      <c r="AB305" s="155"/>
      <c r="AC305" s="121">
        <v>2</v>
      </c>
      <c r="AD305" s="202"/>
      <c r="AE305" s="192"/>
      <c r="AF305" s="203"/>
      <c r="AG305" s="121"/>
      <c r="AH305" s="121"/>
      <c r="AI305" s="121"/>
      <c r="AJ305" s="121"/>
      <c r="AK305" s="121"/>
      <c r="AL305" s="121"/>
      <c r="AM305" s="121"/>
      <c r="AN305" s="121"/>
      <c r="AO305" s="121"/>
      <c r="AP305" s="121"/>
      <c r="AQ305" s="121"/>
      <c r="AR305" s="121"/>
      <c r="AS305" s="121"/>
      <c r="AT305" s="121"/>
      <c r="AU305" s="121"/>
      <c r="AV305" s="156"/>
      <c r="AW305" s="156"/>
      <c r="AX305" s="156">
        <v>1</v>
      </c>
      <c r="AY305" s="156"/>
      <c r="AZ305" s="156"/>
      <c r="BA305" s="156"/>
      <c r="BB305" s="156"/>
      <c r="BC305" s="156"/>
      <c r="BD305" s="157"/>
      <c r="BE305" s="134"/>
      <c r="BF305" s="134"/>
      <c r="BG305" s="134"/>
      <c r="BH305" s="134"/>
      <c r="BI305" s="134"/>
      <c r="BJ305" s="259"/>
      <c r="BK305" s="138"/>
      <c r="BL305" s="134"/>
      <c r="BM305" s="134"/>
      <c r="BN305" s="134"/>
      <c r="BO305" s="138"/>
      <c r="BP305" s="134"/>
      <c r="BQ305" s="134"/>
      <c r="BR305" s="134"/>
      <c r="BS305" s="288"/>
      <c r="BT305" s="289"/>
      <c r="BU305" s="138"/>
      <c r="BV305" s="134"/>
      <c r="BW305" s="134"/>
      <c r="BX305" s="134"/>
      <c r="BY305" s="138"/>
      <c r="BZ305" s="134"/>
      <c r="CA305" s="134"/>
      <c r="CB305" s="134"/>
      <c r="CC305" s="288"/>
      <c r="CD305" s="289"/>
      <c r="CE305" s="276"/>
      <c r="CF305" s="308"/>
      <c r="CG305" s="138"/>
      <c r="CH305" s="134"/>
      <c r="CI305" s="134"/>
      <c r="CJ305" s="134"/>
      <c r="CK305" s="134"/>
      <c r="CL305" s="134"/>
      <c r="CM305" s="134"/>
      <c r="CN305" s="134"/>
      <c r="CO305" s="300"/>
      <c r="CP305" s="301"/>
      <c r="CQ305" s="134"/>
      <c r="CR305" s="134"/>
      <c r="CS305" s="134"/>
      <c r="CT305" s="134"/>
      <c r="CU305" s="134"/>
      <c r="CV305" s="134"/>
      <c r="CW305" s="134"/>
      <c r="CX305" s="134"/>
      <c r="CY305" s="300"/>
      <c r="CZ305" s="301"/>
      <c r="DA305" s="276"/>
      <c r="DB305" s="277"/>
      <c r="DC305" s="134"/>
      <c r="DD305" s="134"/>
      <c r="DE305" s="134"/>
      <c r="DF305" s="134"/>
      <c r="DG305" s="138"/>
      <c r="DH305" s="134"/>
      <c r="DI305" s="134"/>
      <c r="DJ305" s="134"/>
      <c r="DK305" s="301"/>
      <c r="DL305" s="301"/>
      <c r="DM305" s="134"/>
      <c r="DN305" s="134"/>
      <c r="DO305" s="134"/>
      <c r="DP305" s="134"/>
      <c r="DQ305" s="134"/>
      <c r="DR305" s="134"/>
      <c r="DS305" s="134"/>
      <c r="DT305" s="134"/>
      <c r="DU305" s="301"/>
      <c r="DV305" s="301"/>
      <c r="DW305" s="277"/>
      <c r="DX305" s="134"/>
      <c r="DY305" s="134"/>
      <c r="DZ305" s="134"/>
      <c r="EA305" s="134"/>
      <c r="EB305" s="134"/>
      <c r="EC305" s="134"/>
      <c r="ED305" s="134"/>
      <c r="EE305" s="134"/>
      <c r="EF305" s="301"/>
      <c r="EG305" s="301"/>
      <c r="EH305" s="134"/>
      <c r="EI305" s="134"/>
      <c r="EJ305" s="134"/>
      <c r="EK305" s="134"/>
    </row>
    <row r="306" spans="1:141">
      <c r="A306" s="79" t="s">
        <v>337</v>
      </c>
      <c r="B306" s="117">
        <v>242</v>
      </c>
      <c r="C306" s="123" t="s">
        <v>2036</v>
      </c>
      <c r="D306" s="124" t="s">
        <v>2275</v>
      </c>
      <c r="E306" s="125">
        <v>2002</v>
      </c>
      <c r="F306" s="79">
        <v>11853357</v>
      </c>
      <c r="G306" s="79">
        <v>1</v>
      </c>
      <c r="H306" s="126"/>
      <c r="I306" s="127"/>
      <c r="J306" s="79">
        <v>1</v>
      </c>
      <c r="K306" s="79"/>
      <c r="L306" s="79">
        <v>1</v>
      </c>
      <c r="M306" s="128">
        <v>1</v>
      </c>
      <c r="N306" s="79" t="s">
        <v>874</v>
      </c>
      <c r="O306" s="79" t="s">
        <v>1172</v>
      </c>
      <c r="P306" s="79" t="s">
        <v>25</v>
      </c>
      <c r="Q306" s="79">
        <v>1</v>
      </c>
      <c r="R306" s="79"/>
      <c r="S306" s="79"/>
      <c r="T306" s="79"/>
      <c r="U306" s="79" t="s">
        <v>875</v>
      </c>
      <c r="V306" s="79" t="s">
        <v>24</v>
      </c>
      <c r="W306" s="79" t="s">
        <v>24</v>
      </c>
      <c r="X306" s="79"/>
      <c r="Y306" s="79"/>
      <c r="Z306" s="79"/>
      <c r="AA306" s="154"/>
      <c r="AB306" s="155"/>
      <c r="AC306" s="121">
        <v>2</v>
      </c>
      <c r="AD306" s="202"/>
      <c r="AE306" s="192"/>
      <c r="AF306" s="203"/>
      <c r="AG306" s="121"/>
      <c r="AH306" s="121"/>
      <c r="AI306" s="121"/>
      <c r="AJ306" s="121"/>
      <c r="AK306" s="121"/>
      <c r="AL306" s="121"/>
      <c r="AM306" s="121"/>
      <c r="AN306" s="121"/>
      <c r="AO306" s="121"/>
      <c r="AP306" s="121"/>
      <c r="AQ306" s="121"/>
      <c r="AR306" s="121"/>
      <c r="AS306" s="121"/>
      <c r="AT306" s="121"/>
      <c r="AU306" s="121"/>
      <c r="AV306" s="156"/>
      <c r="AW306" s="156"/>
      <c r="AX306" s="156">
        <v>1</v>
      </c>
      <c r="AY306" s="156"/>
      <c r="AZ306" s="156">
        <v>1</v>
      </c>
      <c r="BA306" s="156"/>
      <c r="BB306" s="156"/>
      <c r="BC306" s="156"/>
      <c r="BD306" s="157"/>
      <c r="BE306" s="134"/>
      <c r="BF306" s="134"/>
      <c r="BG306" s="134"/>
      <c r="BH306" s="134"/>
      <c r="BI306" s="134"/>
      <c r="BJ306" s="259"/>
      <c r="BK306" s="138"/>
      <c r="BL306" s="134"/>
      <c r="BM306" s="134"/>
      <c r="BN306" s="134"/>
      <c r="BO306" s="138"/>
      <c r="BP306" s="134"/>
      <c r="BQ306" s="134"/>
      <c r="BR306" s="134"/>
      <c r="BS306" s="288"/>
      <c r="BT306" s="289"/>
      <c r="BU306" s="138"/>
      <c r="BV306" s="134"/>
      <c r="BW306" s="134"/>
      <c r="BX306" s="134"/>
      <c r="BY306" s="138"/>
      <c r="BZ306" s="134"/>
      <c r="CA306" s="134"/>
      <c r="CB306" s="134"/>
      <c r="CC306" s="288"/>
      <c r="CD306" s="289"/>
      <c r="CE306" s="276"/>
      <c r="CF306" s="308"/>
      <c r="CG306" s="138"/>
      <c r="CH306" s="134"/>
      <c r="CI306" s="134"/>
      <c r="CJ306" s="134"/>
      <c r="CK306" s="134"/>
      <c r="CL306" s="134"/>
      <c r="CM306" s="134"/>
      <c r="CN306" s="134"/>
      <c r="CO306" s="300"/>
      <c r="CP306" s="301"/>
      <c r="CQ306" s="134"/>
      <c r="CR306" s="134"/>
      <c r="CS306" s="134"/>
      <c r="CT306" s="134"/>
      <c r="CU306" s="134"/>
      <c r="CV306" s="134"/>
      <c r="CW306" s="134"/>
      <c r="CX306" s="134"/>
      <c r="CY306" s="300"/>
      <c r="CZ306" s="301"/>
      <c r="DA306" s="276"/>
      <c r="DB306" s="277"/>
      <c r="DC306" s="134"/>
      <c r="DD306" s="134"/>
      <c r="DE306" s="134"/>
      <c r="DF306" s="134"/>
      <c r="DG306" s="138"/>
      <c r="DH306" s="134"/>
      <c r="DI306" s="134"/>
      <c r="DJ306" s="134"/>
      <c r="DK306" s="301"/>
      <c r="DL306" s="301"/>
      <c r="DM306" s="134"/>
      <c r="DN306" s="134"/>
      <c r="DO306" s="134"/>
      <c r="DP306" s="134"/>
      <c r="DQ306" s="134"/>
      <c r="DR306" s="134"/>
      <c r="DS306" s="134"/>
      <c r="DT306" s="134"/>
      <c r="DU306" s="301"/>
      <c r="DV306" s="301"/>
      <c r="DW306" s="277"/>
      <c r="DX306" s="134"/>
      <c r="DY306" s="134"/>
      <c r="DZ306" s="134"/>
      <c r="EA306" s="134"/>
      <c r="EB306" s="134"/>
      <c r="EC306" s="134"/>
      <c r="ED306" s="134"/>
      <c r="EE306" s="134"/>
      <c r="EF306" s="301"/>
      <c r="EG306" s="301"/>
      <c r="EH306" s="134"/>
      <c r="EI306" s="134"/>
      <c r="EJ306" s="134"/>
      <c r="EK306" s="134"/>
    </row>
    <row r="307" spans="1:141">
      <c r="A307" s="79" t="s">
        <v>338</v>
      </c>
      <c r="B307" s="117">
        <v>243</v>
      </c>
      <c r="C307" s="123" t="s">
        <v>2037</v>
      </c>
      <c r="D307" s="124" t="s">
        <v>2276</v>
      </c>
      <c r="E307" s="125">
        <v>2014</v>
      </c>
      <c r="F307" s="79">
        <v>24245929</v>
      </c>
      <c r="G307" s="79">
        <v>1</v>
      </c>
      <c r="H307" s="126"/>
      <c r="I307" s="127"/>
      <c r="J307" s="79">
        <v>1</v>
      </c>
      <c r="K307" s="79"/>
      <c r="L307" s="79">
        <v>1</v>
      </c>
      <c r="M307" s="128">
        <v>1</v>
      </c>
      <c r="N307" s="79" t="s">
        <v>876</v>
      </c>
      <c r="O307" s="79" t="s">
        <v>1191</v>
      </c>
      <c r="P307" s="79" t="s">
        <v>878</v>
      </c>
      <c r="Q307" s="79">
        <v>1</v>
      </c>
      <c r="R307" s="79"/>
      <c r="S307" s="79"/>
      <c r="T307" s="79"/>
      <c r="U307" s="79" t="s">
        <v>1190</v>
      </c>
      <c r="V307" s="79" t="s">
        <v>24</v>
      </c>
      <c r="W307" s="79" t="s">
        <v>24</v>
      </c>
      <c r="X307" s="79" t="s">
        <v>877</v>
      </c>
      <c r="Y307" s="79"/>
      <c r="Z307" s="79"/>
      <c r="AA307" s="154"/>
      <c r="AB307" s="155"/>
      <c r="AC307" s="121">
        <v>2</v>
      </c>
      <c r="AD307" s="202"/>
      <c r="AE307" s="192"/>
      <c r="AF307" s="203"/>
      <c r="AG307" s="121"/>
      <c r="AH307" s="121"/>
      <c r="AI307" s="121"/>
      <c r="AJ307" s="121"/>
      <c r="AK307" s="121"/>
      <c r="AL307" s="121"/>
      <c r="AM307" s="121"/>
      <c r="AN307" s="121"/>
      <c r="AO307" s="121"/>
      <c r="AP307" s="121"/>
      <c r="AQ307" s="121"/>
      <c r="AR307" s="121"/>
      <c r="AS307" s="121"/>
      <c r="AT307" s="121"/>
      <c r="AU307" s="121"/>
      <c r="AV307" s="156"/>
      <c r="AW307" s="156"/>
      <c r="AX307" s="156"/>
      <c r="AY307" s="156"/>
      <c r="AZ307" s="156">
        <v>1</v>
      </c>
      <c r="BA307" s="156"/>
      <c r="BB307" s="156"/>
      <c r="BC307" s="156"/>
      <c r="BD307" s="157"/>
      <c r="BE307" s="134"/>
      <c r="BF307" s="134"/>
      <c r="BG307" s="134"/>
      <c r="BH307" s="134"/>
      <c r="BI307" s="134"/>
      <c r="BJ307" s="259"/>
      <c r="BK307" s="138"/>
      <c r="BL307" s="134"/>
      <c r="BM307" s="134"/>
      <c r="BN307" s="134"/>
      <c r="BO307" s="138"/>
      <c r="BP307" s="134"/>
      <c r="BQ307" s="134"/>
      <c r="BR307" s="134"/>
      <c r="BS307" s="288"/>
      <c r="BT307" s="289"/>
      <c r="BU307" s="138"/>
      <c r="BV307" s="134"/>
      <c r="BW307" s="134"/>
      <c r="BX307" s="134"/>
      <c r="BY307" s="138"/>
      <c r="BZ307" s="134"/>
      <c r="CA307" s="134"/>
      <c r="CB307" s="134"/>
      <c r="CC307" s="288"/>
      <c r="CD307" s="289"/>
      <c r="CE307" s="276"/>
      <c r="CF307" s="308"/>
      <c r="CG307" s="138"/>
      <c r="CH307" s="134"/>
      <c r="CI307" s="134"/>
      <c r="CJ307" s="134"/>
      <c r="CK307" s="134"/>
      <c r="CL307" s="134"/>
      <c r="CM307" s="134"/>
      <c r="CN307" s="134"/>
      <c r="CO307" s="300"/>
      <c r="CP307" s="301"/>
      <c r="CQ307" s="134"/>
      <c r="CR307" s="134"/>
      <c r="CS307" s="134"/>
      <c r="CT307" s="134"/>
      <c r="CU307" s="134"/>
      <c r="CV307" s="134"/>
      <c r="CW307" s="134"/>
      <c r="CX307" s="134"/>
      <c r="CY307" s="300"/>
      <c r="CZ307" s="301"/>
      <c r="DA307" s="276"/>
      <c r="DB307" s="277"/>
      <c r="DC307" s="134"/>
      <c r="DD307" s="134"/>
      <c r="DE307" s="134"/>
      <c r="DF307" s="134"/>
      <c r="DG307" s="138"/>
      <c r="DH307" s="134"/>
      <c r="DI307" s="134"/>
      <c r="DJ307" s="134"/>
      <c r="DK307" s="301"/>
      <c r="DL307" s="301"/>
      <c r="DM307" s="134"/>
      <c r="DN307" s="134"/>
      <c r="DO307" s="134"/>
      <c r="DP307" s="134"/>
      <c r="DQ307" s="134"/>
      <c r="DR307" s="134"/>
      <c r="DS307" s="134"/>
      <c r="DT307" s="134"/>
      <c r="DU307" s="301"/>
      <c r="DV307" s="301"/>
      <c r="DW307" s="277"/>
      <c r="DX307" s="134"/>
      <c r="DY307" s="134"/>
      <c r="DZ307" s="134"/>
      <c r="EA307" s="134"/>
      <c r="EB307" s="134"/>
      <c r="EC307" s="134"/>
      <c r="ED307" s="134"/>
      <c r="EE307" s="134"/>
      <c r="EF307" s="301"/>
      <c r="EG307" s="301"/>
      <c r="EH307" s="134"/>
      <c r="EI307" s="134"/>
      <c r="EJ307" s="134"/>
      <c r="EK307" s="134"/>
    </row>
    <row r="308" spans="1:141">
      <c r="A308" s="79" t="s">
        <v>961</v>
      </c>
      <c r="B308" s="117">
        <v>244</v>
      </c>
      <c r="C308" s="123" t="s">
        <v>2124</v>
      </c>
      <c r="D308" s="124" t="s">
        <v>2385</v>
      </c>
      <c r="E308" s="125">
        <v>2012</v>
      </c>
      <c r="F308" s="79">
        <v>22776621</v>
      </c>
      <c r="G308" s="79">
        <v>1</v>
      </c>
      <c r="H308" s="126">
        <v>1</v>
      </c>
      <c r="I308" s="127"/>
      <c r="J308" s="79">
        <v>1</v>
      </c>
      <c r="K308" s="79"/>
      <c r="L308" s="79">
        <v>1</v>
      </c>
      <c r="M308" s="128">
        <v>2</v>
      </c>
      <c r="N308" s="79" t="s">
        <v>1607</v>
      </c>
      <c r="O308" s="79" t="s">
        <v>1216</v>
      </c>
      <c r="P308" s="79" t="s">
        <v>1130</v>
      </c>
      <c r="Q308" s="79"/>
      <c r="R308" s="79" t="s">
        <v>1541</v>
      </c>
      <c r="S308" s="79" t="s">
        <v>1539</v>
      </c>
      <c r="T308" s="79"/>
      <c r="U308" s="79" t="s">
        <v>1689</v>
      </c>
      <c r="V308" s="79"/>
      <c r="W308" s="79" t="s">
        <v>1606</v>
      </c>
      <c r="X308" s="79"/>
      <c r="Y308" s="79"/>
      <c r="Z308" s="79"/>
      <c r="AA308" s="154"/>
      <c r="AB308" s="155"/>
      <c r="AC308" s="121">
        <v>4</v>
      </c>
      <c r="AD308" s="202"/>
      <c r="AE308" s="192"/>
      <c r="AF308" s="203"/>
      <c r="AG308" s="121"/>
      <c r="AH308" s="121"/>
      <c r="AI308" s="121"/>
      <c r="AJ308" s="121"/>
      <c r="AK308" s="121"/>
      <c r="AL308" s="121"/>
      <c r="AM308" s="121"/>
      <c r="AN308" s="121"/>
      <c r="AO308" s="121"/>
      <c r="AP308" s="121"/>
      <c r="AQ308" s="121"/>
      <c r="AR308" s="121"/>
      <c r="AS308" s="121"/>
      <c r="AT308" s="121"/>
      <c r="AU308" s="121"/>
      <c r="AV308" s="156"/>
      <c r="AW308" s="156"/>
      <c r="AX308" s="156"/>
      <c r="AY308" s="156"/>
      <c r="AZ308" s="156"/>
      <c r="BA308" s="156"/>
      <c r="BB308" s="156"/>
      <c r="BC308" s="156"/>
      <c r="BD308" s="157"/>
      <c r="BE308" s="134"/>
      <c r="BF308" s="134"/>
      <c r="BG308" s="134"/>
      <c r="BH308" s="134"/>
      <c r="BI308" s="134"/>
      <c r="BJ308" s="259"/>
      <c r="BK308" s="138"/>
      <c r="BL308" s="134"/>
      <c r="BM308" s="134"/>
      <c r="BN308" s="134"/>
      <c r="BO308" s="138"/>
      <c r="BP308" s="134"/>
      <c r="BQ308" s="134"/>
      <c r="BR308" s="134"/>
      <c r="BS308" s="288"/>
      <c r="BT308" s="289"/>
      <c r="BU308" s="138"/>
      <c r="BV308" s="134"/>
      <c r="BW308" s="134"/>
      <c r="BX308" s="134"/>
      <c r="BY308" s="138"/>
      <c r="BZ308" s="134"/>
      <c r="CA308" s="134"/>
      <c r="CB308" s="134"/>
      <c r="CC308" s="288"/>
      <c r="CD308" s="289"/>
      <c r="CE308" s="276"/>
      <c r="CF308" s="308"/>
      <c r="CG308" s="138"/>
      <c r="CH308" s="134"/>
      <c r="CI308" s="134"/>
      <c r="CJ308" s="134"/>
      <c r="CK308" s="134"/>
      <c r="CL308" s="134"/>
      <c r="CM308" s="134"/>
      <c r="CN308" s="134"/>
      <c r="CO308" s="300"/>
      <c r="CP308" s="301"/>
      <c r="CQ308" s="134"/>
      <c r="CR308" s="134"/>
      <c r="CS308" s="134"/>
      <c r="CT308" s="134"/>
      <c r="CU308" s="134"/>
      <c r="CV308" s="134"/>
      <c r="CW308" s="134"/>
      <c r="CX308" s="134"/>
      <c r="CY308" s="300"/>
      <c r="CZ308" s="301"/>
      <c r="DA308" s="276"/>
      <c r="DB308" s="277"/>
      <c r="DC308" s="134"/>
      <c r="DD308" s="134"/>
      <c r="DE308" s="134"/>
      <c r="DF308" s="134"/>
      <c r="DG308" s="138"/>
      <c r="DH308" s="134"/>
      <c r="DI308" s="134"/>
      <c r="DJ308" s="134"/>
      <c r="DK308" s="301"/>
      <c r="DL308" s="301"/>
      <c r="DM308" s="134"/>
      <c r="DN308" s="134"/>
      <c r="DO308" s="134"/>
      <c r="DP308" s="134"/>
      <c r="DQ308" s="134"/>
      <c r="DR308" s="134"/>
      <c r="DS308" s="134"/>
      <c r="DT308" s="134"/>
      <c r="DU308" s="301"/>
      <c r="DV308" s="301"/>
      <c r="DW308" s="277"/>
      <c r="DX308" s="134"/>
      <c r="DY308" s="134"/>
      <c r="DZ308" s="134"/>
      <c r="EA308" s="134"/>
      <c r="EB308" s="134"/>
      <c r="EC308" s="134"/>
      <c r="ED308" s="134"/>
      <c r="EE308" s="134"/>
      <c r="EF308" s="301"/>
      <c r="EG308" s="301"/>
      <c r="EH308" s="134"/>
      <c r="EI308" s="134"/>
      <c r="EJ308" s="134"/>
      <c r="EK308" s="134"/>
    </row>
    <row r="309" spans="1:141">
      <c r="A309" s="79" t="s">
        <v>960</v>
      </c>
      <c r="B309" s="117">
        <v>245</v>
      </c>
      <c r="C309" s="123" t="s">
        <v>2125</v>
      </c>
      <c r="D309" s="124" t="s">
        <v>2386</v>
      </c>
      <c r="E309" s="125">
        <v>2007</v>
      </c>
      <c r="F309" s="79">
        <v>17254618</v>
      </c>
      <c r="G309" s="79">
        <v>1</v>
      </c>
      <c r="H309" s="126">
        <v>1</v>
      </c>
      <c r="I309" s="127"/>
      <c r="J309" s="79">
        <v>1</v>
      </c>
      <c r="K309" s="79"/>
      <c r="L309" s="79">
        <v>1</v>
      </c>
      <c r="M309" s="128">
        <v>2</v>
      </c>
      <c r="N309" s="79" t="s">
        <v>1609</v>
      </c>
      <c r="O309" s="79" t="s">
        <v>1216</v>
      </c>
      <c r="P309" s="79" t="s">
        <v>1608</v>
      </c>
      <c r="Q309" s="79"/>
      <c r="R309" s="79" t="s">
        <v>1498</v>
      </c>
      <c r="S309" s="79" t="s">
        <v>803</v>
      </c>
      <c r="T309" s="79"/>
      <c r="U309" s="79" t="s">
        <v>1682</v>
      </c>
      <c r="V309" s="79"/>
      <c r="W309" s="79"/>
      <c r="X309" s="79"/>
      <c r="Y309" s="79"/>
      <c r="Z309" s="79"/>
      <c r="AA309" s="154"/>
      <c r="AB309" s="155"/>
      <c r="AC309" s="121">
        <v>4</v>
      </c>
      <c r="AD309" s="202"/>
      <c r="AE309" s="192"/>
      <c r="AF309" s="203"/>
      <c r="AG309" s="121"/>
      <c r="AH309" s="121"/>
      <c r="AI309" s="121"/>
      <c r="AJ309" s="121"/>
      <c r="AK309" s="121"/>
      <c r="AL309" s="121"/>
      <c r="AM309" s="121"/>
      <c r="AN309" s="121"/>
      <c r="AO309" s="121"/>
      <c r="AP309" s="121"/>
      <c r="AQ309" s="121"/>
      <c r="AR309" s="121"/>
      <c r="AS309" s="121"/>
      <c r="AT309" s="121"/>
      <c r="AU309" s="121"/>
      <c r="AV309" s="156"/>
      <c r="AW309" s="156"/>
      <c r="AX309" s="156"/>
      <c r="AY309" s="156"/>
      <c r="AZ309" s="156"/>
      <c r="BA309" s="156"/>
      <c r="BB309" s="156"/>
      <c r="BC309" s="156"/>
      <c r="BD309" s="157"/>
      <c r="BE309" s="134"/>
      <c r="BF309" s="134"/>
      <c r="BG309" s="134"/>
      <c r="BH309" s="134"/>
      <c r="BI309" s="134"/>
      <c r="BJ309" s="259"/>
      <c r="BK309" s="138"/>
      <c r="BL309" s="134"/>
      <c r="BM309" s="134"/>
      <c r="BN309" s="134"/>
      <c r="BO309" s="138"/>
      <c r="BP309" s="134"/>
      <c r="BQ309" s="134"/>
      <c r="BR309" s="134"/>
      <c r="BS309" s="288"/>
      <c r="BT309" s="289"/>
      <c r="BU309" s="138"/>
      <c r="BV309" s="134"/>
      <c r="BW309" s="134"/>
      <c r="BX309" s="134"/>
      <c r="BY309" s="138"/>
      <c r="BZ309" s="134"/>
      <c r="CA309" s="134"/>
      <c r="CB309" s="134"/>
      <c r="CC309" s="288"/>
      <c r="CD309" s="289"/>
      <c r="CE309" s="276"/>
      <c r="CF309" s="308"/>
      <c r="CG309" s="138"/>
      <c r="CH309" s="134"/>
      <c r="CI309" s="134"/>
      <c r="CJ309" s="134"/>
      <c r="CK309" s="134"/>
      <c r="CL309" s="134"/>
      <c r="CM309" s="134"/>
      <c r="CN309" s="134"/>
      <c r="CO309" s="300"/>
      <c r="CP309" s="301"/>
      <c r="CQ309" s="134"/>
      <c r="CR309" s="134"/>
      <c r="CS309" s="134"/>
      <c r="CT309" s="134"/>
      <c r="CU309" s="134"/>
      <c r="CV309" s="134"/>
      <c r="CW309" s="134"/>
      <c r="CX309" s="134"/>
      <c r="CY309" s="300"/>
      <c r="CZ309" s="301"/>
      <c r="DA309" s="276"/>
      <c r="DB309" s="277"/>
      <c r="DC309" s="134"/>
      <c r="DD309" s="134"/>
      <c r="DE309" s="134"/>
      <c r="DF309" s="134"/>
      <c r="DG309" s="138"/>
      <c r="DH309" s="134"/>
      <c r="DI309" s="134"/>
      <c r="DJ309" s="134"/>
      <c r="DK309" s="301"/>
      <c r="DL309" s="301"/>
      <c r="DM309" s="134"/>
      <c r="DN309" s="134"/>
      <c r="DO309" s="134"/>
      <c r="DP309" s="134"/>
      <c r="DQ309" s="134"/>
      <c r="DR309" s="134"/>
      <c r="DS309" s="134"/>
      <c r="DT309" s="134"/>
      <c r="DU309" s="301"/>
      <c r="DV309" s="301"/>
      <c r="DW309" s="277"/>
      <c r="DX309" s="134"/>
      <c r="DY309" s="134"/>
      <c r="DZ309" s="134"/>
      <c r="EA309" s="134"/>
      <c r="EB309" s="134"/>
      <c r="EC309" s="134"/>
      <c r="ED309" s="134"/>
      <c r="EE309" s="134"/>
      <c r="EF309" s="301"/>
      <c r="EG309" s="301"/>
      <c r="EH309" s="134"/>
      <c r="EI309" s="134"/>
      <c r="EJ309" s="134"/>
      <c r="EK309" s="134"/>
    </row>
    <row r="310" spans="1:141">
      <c r="A310" s="79" t="s">
        <v>958</v>
      </c>
      <c r="B310" s="117">
        <v>246</v>
      </c>
      <c r="C310" s="123" t="s">
        <v>2126</v>
      </c>
      <c r="D310" s="124" t="s">
        <v>2387</v>
      </c>
      <c r="E310" s="125">
        <v>2015</v>
      </c>
      <c r="F310" s="79">
        <v>25659132</v>
      </c>
      <c r="G310" s="79">
        <v>1</v>
      </c>
      <c r="H310" s="126" t="s">
        <v>1865</v>
      </c>
      <c r="I310" s="127"/>
      <c r="J310" s="79">
        <v>0</v>
      </c>
      <c r="K310" s="79"/>
      <c r="L310" s="79">
        <v>0</v>
      </c>
      <c r="M310" s="128">
        <v>2</v>
      </c>
      <c r="N310" s="79" t="s">
        <v>1615</v>
      </c>
      <c r="O310" s="79"/>
      <c r="P310" s="79" t="s">
        <v>1130</v>
      </c>
      <c r="Q310" s="79"/>
      <c r="R310" s="79" t="s">
        <v>1612</v>
      </c>
      <c r="S310" s="79" t="s">
        <v>803</v>
      </c>
      <c r="T310" s="79"/>
      <c r="U310" s="79" t="s">
        <v>1613</v>
      </c>
      <c r="V310" s="79"/>
      <c r="W310" s="79" t="s">
        <v>1381</v>
      </c>
      <c r="X310" s="79"/>
      <c r="Y310" s="79" t="s">
        <v>440</v>
      </c>
      <c r="Z310" s="79" t="s">
        <v>424</v>
      </c>
      <c r="AA310" s="154"/>
      <c r="AB310" s="155"/>
      <c r="AC310" s="121">
        <v>4</v>
      </c>
      <c r="AD310" s="202"/>
      <c r="AE310" s="192"/>
      <c r="AF310" s="203"/>
      <c r="AG310" s="121"/>
      <c r="AH310" s="121"/>
      <c r="AI310" s="121"/>
      <c r="AJ310" s="121"/>
      <c r="AK310" s="121"/>
      <c r="AL310" s="121"/>
      <c r="AM310" s="121"/>
      <c r="AN310" s="121"/>
      <c r="AO310" s="121"/>
      <c r="AP310" s="121"/>
      <c r="AQ310" s="121"/>
      <c r="AR310" s="121"/>
      <c r="AS310" s="121"/>
      <c r="AT310" s="121"/>
      <c r="AU310" s="121"/>
      <c r="AV310" s="156"/>
      <c r="AW310" s="156"/>
      <c r="AX310" s="156"/>
      <c r="AY310" s="156"/>
      <c r="AZ310" s="156"/>
      <c r="BA310" s="156"/>
      <c r="BB310" s="156"/>
      <c r="BC310" s="156"/>
      <c r="BD310" s="157"/>
      <c r="BE310" s="134"/>
      <c r="BF310" s="134"/>
      <c r="BG310" s="134"/>
      <c r="BH310" s="134"/>
      <c r="BI310" s="134"/>
      <c r="BJ310" s="259"/>
      <c r="BK310" s="138"/>
      <c r="BL310" s="134"/>
      <c r="BM310" s="134"/>
      <c r="BN310" s="134"/>
      <c r="BO310" s="138"/>
      <c r="BP310" s="134"/>
      <c r="BQ310" s="134"/>
      <c r="BR310" s="134"/>
      <c r="BS310" s="288"/>
      <c r="BT310" s="289"/>
      <c r="BU310" s="138"/>
      <c r="BV310" s="134"/>
      <c r="BW310" s="134"/>
      <c r="BX310" s="134"/>
      <c r="BY310" s="138"/>
      <c r="BZ310" s="134"/>
      <c r="CA310" s="134"/>
      <c r="CB310" s="134"/>
      <c r="CC310" s="288"/>
      <c r="CD310" s="289"/>
      <c r="CE310" s="276"/>
      <c r="CF310" s="308"/>
      <c r="CG310" s="138"/>
      <c r="CH310" s="134"/>
      <c r="CI310" s="134"/>
      <c r="CJ310" s="134"/>
      <c r="CK310" s="134"/>
      <c r="CL310" s="134"/>
      <c r="CM310" s="134"/>
      <c r="CN310" s="134"/>
      <c r="CO310" s="300"/>
      <c r="CP310" s="301"/>
      <c r="CQ310" s="134"/>
      <c r="CR310" s="134"/>
      <c r="CS310" s="134"/>
      <c r="CT310" s="134"/>
      <c r="CU310" s="134"/>
      <c r="CV310" s="134"/>
      <c r="CW310" s="134"/>
      <c r="CX310" s="134"/>
      <c r="CY310" s="300"/>
      <c r="CZ310" s="301"/>
      <c r="DA310" s="276"/>
      <c r="DB310" s="277"/>
      <c r="DC310" s="134"/>
      <c r="DD310" s="134"/>
      <c r="DE310" s="134"/>
      <c r="DF310" s="134"/>
      <c r="DG310" s="138"/>
      <c r="DH310" s="134"/>
      <c r="DI310" s="134"/>
      <c r="DJ310" s="134"/>
      <c r="DK310" s="301"/>
      <c r="DL310" s="301"/>
      <c r="DM310" s="134"/>
      <c r="DN310" s="134"/>
      <c r="DO310" s="134"/>
      <c r="DP310" s="134"/>
      <c r="DQ310" s="134"/>
      <c r="DR310" s="134"/>
      <c r="DS310" s="134"/>
      <c r="DT310" s="134"/>
      <c r="DU310" s="301"/>
      <c r="DV310" s="301"/>
      <c r="DW310" s="277"/>
      <c r="DX310" s="134"/>
      <c r="DY310" s="134"/>
      <c r="DZ310" s="134"/>
      <c r="EA310" s="134"/>
      <c r="EB310" s="134"/>
      <c r="EC310" s="134"/>
      <c r="ED310" s="134"/>
      <c r="EE310" s="134"/>
      <c r="EF310" s="301"/>
      <c r="EG310" s="301"/>
      <c r="EH310" s="134"/>
      <c r="EI310" s="134"/>
      <c r="EJ310" s="134"/>
      <c r="EK310" s="134"/>
    </row>
    <row r="311" spans="1:141">
      <c r="A311" s="79" t="s">
        <v>957</v>
      </c>
      <c r="B311" s="117">
        <v>247</v>
      </c>
      <c r="C311" s="123" t="s">
        <v>2126</v>
      </c>
      <c r="D311" s="124" t="s">
        <v>2388</v>
      </c>
      <c r="E311" s="125">
        <v>2000</v>
      </c>
      <c r="F311" s="79">
        <v>11006431</v>
      </c>
      <c r="G311" s="79">
        <v>1</v>
      </c>
      <c r="H311" s="126"/>
      <c r="I311" s="127"/>
      <c r="J311" s="79">
        <v>1</v>
      </c>
      <c r="K311" s="79"/>
      <c r="L311" s="79">
        <v>1</v>
      </c>
      <c r="M311" s="128">
        <v>2</v>
      </c>
      <c r="N311" s="79" t="s">
        <v>1586</v>
      </c>
      <c r="O311" s="79" t="s">
        <v>1147</v>
      </c>
      <c r="P311" s="79"/>
      <c r="Q311" s="79"/>
      <c r="R311" s="79" t="s">
        <v>1721</v>
      </c>
      <c r="S311" s="79"/>
      <c r="T311" s="79"/>
      <c r="U311" s="79" t="s">
        <v>1617</v>
      </c>
      <c r="V311" s="79" t="s">
        <v>1616</v>
      </c>
      <c r="W311" s="79"/>
      <c r="X311" s="79"/>
      <c r="Y311" s="79"/>
      <c r="Z311" s="79"/>
      <c r="AA311" s="154"/>
      <c r="AB311" s="155"/>
      <c r="AC311" s="121"/>
      <c r="AD311" s="202"/>
      <c r="AE311" s="192"/>
      <c r="AF311" s="203"/>
      <c r="AG311" s="121"/>
      <c r="AH311" s="121"/>
      <c r="AI311" s="121"/>
      <c r="AJ311" s="121"/>
      <c r="AK311" s="121"/>
      <c r="AL311" s="121"/>
      <c r="AM311" s="121"/>
      <c r="AN311" s="121"/>
      <c r="AO311" s="121"/>
      <c r="AP311" s="121"/>
      <c r="AQ311" s="121"/>
      <c r="AR311" s="121"/>
      <c r="AS311" s="121"/>
      <c r="AT311" s="121"/>
      <c r="AU311" s="121"/>
      <c r="AV311" s="156"/>
      <c r="AW311" s="156"/>
      <c r="AX311" s="156"/>
      <c r="AY311" s="156"/>
      <c r="AZ311" s="156">
        <v>1</v>
      </c>
      <c r="BA311" s="156"/>
      <c r="BB311" s="156"/>
      <c r="BC311" s="156"/>
      <c r="BD311" s="157"/>
      <c r="BE311" s="134"/>
      <c r="BF311" s="134"/>
      <c r="BG311" s="134"/>
      <c r="BH311" s="134"/>
      <c r="BI311" s="134"/>
      <c r="BJ311" s="259"/>
      <c r="BK311" s="138"/>
      <c r="BL311" s="134"/>
      <c r="BM311" s="134"/>
      <c r="BN311" s="134"/>
      <c r="BO311" s="138"/>
      <c r="BP311" s="134"/>
      <c r="BQ311" s="134"/>
      <c r="BR311" s="134"/>
      <c r="BS311" s="288"/>
      <c r="BT311" s="289"/>
      <c r="BU311" s="138"/>
      <c r="BV311" s="134"/>
      <c r="BW311" s="134"/>
      <c r="BX311" s="134"/>
      <c r="BY311" s="138"/>
      <c r="BZ311" s="134"/>
      <c r="CA311" s="134"/>
      <c r="CB311" s="134"/>
      <c r="CC311" s="288"/>
      <c r="CD311" s="289"/>
      <c r="CE311" s="276"/>
      <c r="CF311" s="308"/>
      <c r="CG311" s="138"/>
      <c r="CH311" s="134"/>
      <c r="CI311" s="134"/>
      <c r="CJ311" s="134"/>
      <c r="CK311" s="134"/>
      <c r="CL311" s="134"/>
      <c r="CM311" s="134"/>
      <c r="CN311" s="134"/>
      <c r="CO311" s="300"/>
      <c r="CP311" s="301"/>
      <c r="CQ311" s="134"/>
      <c r="CR311" s="134"/>
      <c r="CS311" s="134"/>
      <c r="CT311" s="134"/>
      <c r="CU311" s="134"/>
      <c r="CV311" s="134"/>
      <c r="CW311" s="134"/>
      <c r="CX311" s="134"/>
      <c r="CY311" s="300"/>
      <c r="CZ311" s="301"/>
      <c r="DA311" s="276"/>
      <c r="DB311" s="277"/>
      <c r="DC311" s="134"/>
      <c r="DD311" s="134"/>
      <c r="DE311" s="134"/>
      <c r="DF311" s="134"/>
      <c r="DG311" s="138"/>
      <c r="DH311" s="134"/>
      <c r="DI311" s="134"/>
      <c r="DJ311" s="134"/>
      <c r="DK311" s="301"/>
      <c r="DL311" s="301"/>
      <c r="DM311" s="134"/>
      <c r="DN311" s="134"/>
      <c r="DO311" s="134"/>
      <c r="DP311" s="134"/>
      <c r="DQ311" s="134"/>
      <c r="DR311" s="134"/>
      <c r="DS311" s="134"/>
      <c r="DT311" s="134"/>
      <c r="DU311" s="301"/>
      <c r="DV311" s="301"/>
      <c r="DW311" s="277"/>
      <c r="DX311" s="134"/>
      <c r="DY311" s="134"/>
      <c r="DZ311" s="134"/>
      <c r="EA311" s="134"/>
      <c r="EB311" s="134"/>
      <c r="EC311" s="134"/>
      <c r="ED311" s="134"/>
      <c r="EE311" s="134"/>
      <c r="EF311" s="301"/>
      <c r="EG311" s="301"/>
      <c r="EH311" s="134"/>
      <c r="EI311" s="134"/>
      <c r="EJ311" s="134"/>
      <c r="EK311" s="134"/>
    </row>
    <row r="312" spans="1:141">
      <c r="A312" s="79" t="s">
        <v>954</v>
      </c>
      <c r="B312" s="117">
        <v>248</v>
      </c>
      <c r="C312" s="123" t="s">
        <v>2126</v>
      </c>
      <c r="D312" s="124" t="s">
        <v>2390</v>
      </c>
      <c r="E312" s="125">
        <v>2015</v>
      </c>
      <c r="F312" s="79">
        <v>26277823</v>
      </c>
      <c r="G312" s="175">
        <v>1</v>
      </c>
      <c r="H312" s="126" t="s">
        <v>1863</v>
      </c>
      <c r="I312" s="127"/>
      <c r="J312" s="79">
        <v>0</v>
      </c>
      <c r="K312" s="79"/>
      <c r="L312" s="79">
        <v>0</v>
      </c>
      <c r="M312" s="128">
        <v>2</v>
      </c>
      <c r="N312" s="79" t="s">
        <v>1421</v>
      </c>
      <c r="O312" s="79"/>
      <c r="P312" s="79" t="s">
        <v>1621</v>
      </c>
      <c r="Q312" s="79"/>
      <c r="R312" s="79" t="s">
        <v>1545</v>
      </c>
      <c r="S312" s="79" t="s">
        <v>803</v>
      </c>
      <c r="T312" s="79" t="s">
        <v>23</v>
      </c>
      <c r="U312" s="79" t="s">
        <v>1670</v>
      </c>
      <c r="V312" s="79"/>
      <c r="W312" s="79" t="s">
        <v>1622</v>
      </c>
      <c r="X312" s="79"/>
      <c r="Y312" s="79" t="s">
        <v>1623</v>
      </c>
      <c r="Z312" s="79" t="s">
        <v>1279</v>
      </c>
      <c r="AA312" s="154"/>
      <c r="AB312" s="155"/>
      <c r="AC312" s="121">
        <v>5</v>
      </c>
      <c r="AD312" s="202"/>
      <c r="AE312" s="192"/>
      <c r="AF312" s="203"/>
      <c r="AG312" s="121"/>
      <c r="AH312" s="121"/>
      <c r="AI312" s="121"/>
      <c r="AJ312" s="121"/>
      <c r="AK312" s="121"/>
      <c r="AL312" s="121"/>
      <c r="AM312" s="121"/>
      <c r="AN312" s="121"/>
      <c r="AO312" s="121"/>
      <c r="AP312" s="121"/>
      <c r="AQ312" s="121"/>
      <c r="AR312" s="121"/>
      <c r="AS312" s="121"/>
      <c r="AT312" s="121"/>
      <c r="AU312" s="121"/>
      <c r="AV312" s="156"/>
      <c r="AW312" s="156"/>
      <c r="AX312" s="156"/>
      <c r="AY312" s="156"/>
      <c r="AZ312" s="156"/>
      <c r="BA312" s="156"/>
      <c r="BB312" s="156"/>
      <c r="BC312" s="156"/>
      <c r="BD312" s="157"/>
      <c r="BE312" s="134"/>
      <c r="BF312" s="134"/>
      <c r="BG312" s="134"/>
      <c r="BH312" s="134"/>
      <c r="BI312" s="134"/>
      <c r="BJ312" s="259"/>
      <c r="BK312" s="138"/>
      <c r="BL312" s="134"/>
      <c r="BM312" s="134"/>
      <c r="BN312" s="134"/>
      <c r="BO312" s="138"/>
      <c r="BP312" s="134"/>
      <c r="BQ312" s="134"/>
      <c r="BR312" s="134"/>
      <c r="BS312" s="288"/>
      <c r="BT312" s="289"/>
      <c r="BU312" s="138"/>
      <c r="BV312" s="134"/>
      <c r="BW312" s="134"/>
      <c r="BX312" s="134"/>
      <c r="BY312" s="138"/>
      <c r="BZ312" s="134"/>
      <c r="CA312" s="134"/>
      <c r="CB312" s="134"/>
      <c r="CC312" s="288"/>
      <c r="CD312" s="289"/>
      <c r="CE312" s="276"/>
      <c r="CF312" s="308"/>
      <c r="CG312" s="138"/>
      <c r="CH312" s="134"/>
      <c r="CI312" s="134"/>
      <c r="CJ312" s="134"/>
      <c r="CK312" s="134"/>
      <c r="CL312" s="134"/>
      <c r="CM312" s="134"/>
      <c r="CN312" s="134"/>
      <c r="CO312" s="300"/>
      <c r="CP312" s="301"/>
      <c r="CQ312" s="134"/>
      <c r="CR312" s="134"/>
      <c r="CS312" s="134"/>
      <c r="CT312" s="134"/>
      <c r="CU312" s="134"/>
      <c r="CV312" s="134"/>
      <c r="CW312" s="134"/>
      <c r="CX312" s="134"/>
      <c r="CY312" s="300"/>
      <c r="CZ312" s="301"/>
      <c r="DA312" s="276"/>
      <c r="DB312" s="277"/>
      <c r="DC312" s="134"/>
      <c r="DD312" s="134"/>
      <c r="DE312" s="134"/>
      <c r="DF312" s="134"/>
      <c r="DG312" s="138"/>
      <c r="DH312" s="134"/>
      <c r="DI312" s="134"/>
      <c r="DJ312" s="134"/>
      <c r="DK312" s="301"/>
      <c r="DL312" s="301"/>
      <c r="DM312" s="134"/>
      <c r="DN312" s="134"/>
      <c r="DO312" s="134"/>
      <c r="DP312" s="134"/>
      <c r="DQ312" s="134"/>
      <c r="DR312" s="134"/>
      <c r="DS312" s="134"/>
      <c r="DT312" s="134"/>
      <c r="DU312" s="301"/>
      <c r="DV312" s="301"/>
      <c r="DW312" s="277"/>
      <c r="DX312" s="134"/>
      <c r="DY312" s="134"/>
      <c r="DZ312" s="134"/>
      <c r="EA312" s="134"/>
      <c r="EB312" s="134"/>
      <c r="EC312" s="134"/>
      <c r="ED312" s="134"/>
      <c r="EE312" s="134"/>
      <c r="EF312" s="301"/>
      <c r="EG312" s="301"/>
      <c r="EH312" s="134"/>
      <c r="EI312" s="134"/>
      <c r="EJ312" s="134"/>
      <c r="EK312" s="134"/>
    </row>
    <row r="313" spans="1:141">
      <c r="A313" s="79" t="s">
        <v>345</v>
      </c>
      <c r="B313" s="117">
        <v>249</v>
      </c>
      <c r="C313" s="123" t="s">
        <v>2038</v>
      </c>
      <c r="D313" s="124" t="s">
        <v>2277</v>
      </c>
      <c r="E313" s="125">
        <v>2015</v>
      </c>
      <c r="F313" s="79">
        <v>26522237</v>
      </c>
      <c r="G313" s="79">
        <v>1</v>
      </c>
      <c r="H313" s="126"/>
      <c r="I313" s="127"/>
      <c r="J313" s="79">
        <v>1</v>
      </c>
      <c r="K313" s="79"/>
      <c r="L313" s="164">
        <v>1</v>
      </c>
      <c r="M313" s="128">
        <v>1</v>
      </c>
      <c r="N313" s="79" t="s">
        <v>1179</v>
      </c>
      <c r="O313" s="79" t="s">
        <v>1142</v>
      </c>
      <c r="P313" s="79" t="s">
        <v>591</v>
      </c>
      <c r="Q313" s="79">
        <v>1</v>
      </c>
      <c r="R313" s="79"/>
      <c r="S313" s="79"/>
      <c r="T313" s="79"/>
      <c r="U313" s="79" t="s">
        <v>897</v>
      </c>
      <c r="V313" s="79" t="s">
        <v>24</v>
      </c>
      <c r="W313" s="79" t="s">
        <v>898</v>
      </c>
      <c r="X313" s="79"/>
      <c r="Y313" s="79"/>
      <c r="Z313" s="79" t="s">
        <v>899</v>
      </c>
      <c r="AA313" s="154"/>
      <c r="AB313" s="155"/>
      <c r="AC313" s="121">
        <v>2</v>
      </c>
      <c r="AD313" s="202"/>
      <c r="AE313" s="192"/>
      <c r="AF313" s="203"/>
      <c r="AG313" s="121"/>
      <c r="AH313" s="121"/>
      <c r="AI313" s="121"/>
      <c r="AJ313" s="121"/>
      <c r="AK313" s="121"/>
      <c r="AL313" s="121"/>
      <c r="AM313" s="121"/>
      <c r="AN313" s="121"/>
      <c r="AO313" s="121"/>
      <c r="AP313" s="121"/>
      <c r="AQ313" s="121"/>
      <c r="AR313" s="121"/>
      <c r="AS313" s="121"/>
      <c r="AT313" s="121"/>
      <c r="AU313" s="121"/>
      <c r="AV313" s="156"/>
      <c r="AW313" s="156"/>
      <c r="AX313" s="156"/>
      <c r="AY313" s="156"/>
      <c r="AZ313" s="156"/>
      <c r="BA313" s="156"/>
      <c r="BB313" s="156"/>
      <c r="BC313" s="156"/>
      <c r="BD313" s="157"/>
      <c r="BE313" s="134"/>
      <c r="BF313" s="134"/>
      <c r="BG313" s="134"/>
      <c r="BH313" s="134"/>
      <c r="BI313" s="134"/>
      <c r="BJ313" s="259"/>
      <c r="BK313" s="138"/>
      <c r="BL313" s="134"/>
      <c r="BM313" s="134"/>
      <c r="BN313" s="134"/>
      <c r="BO313" s="138"/>
      <c r="BP313" s="134"/>
      <c r="BQ313" s="134"/>
      <c r="BR313" s="134"/>
      <c r="BS313" s="288"/>
      <c r="BT313" s="289"/>
      <c r="BU313" s="138"/>
      <c r="BV313" s="134"/>
      <c r="BW313" s="134"/>
      <c r="BX313" s="134"/>
      <c r="BY313" s="138"/>
      <c r="BZ313" s="134"/>
      <c r="CA313" s="134"/>
      <c r="CB313" s="134"/>
      <c r="CC313" s="288"/>
      <c r="CD313" s="289"/>
      <c r="CE313" s="276"/>
      <c r="CF313" s="308"/>
      <c r="CG313" s="138"/>
      <c r="CH313" s="134"/>
      <c r="CI313" s="134"/>
      <c r="CJ313" s="134"/>
      <c r="CK313" s="134"/>
      <c r="CL313" s="134"/>
      <c r="CM313" s="134"/>
      <c r="CN313" s="134"/>
      <c r="CO313" s="300"/>
      <c r="CP313" s="301"/>
      <c r="CQ313" s="134"/>
      <c r="CR313" s="134"/>
      <c r="CS313" s="134"/>
      <c r="CT313" s="134"/>
      <c r="CU313" s="134"/>
      <c r="CV313" s="134"/>
      <c r="CW313" s="134"/>
      <c r="CX313" s="134"/>
      <c r="CY313" s="300"/>
      <c r="CZ313" s="301"/>
      <c r="DA313" s="276"/>
      <c r="DB313" s="277"/>
      <c r="DC313" s="134"/>
      <c r="DD313" s="134"/>
      <c r="DE313" s="134"/>
      <c r="DF313" s="134"/>
      <c r="DG313" s="138"/>
      <c r="DH313" s="134"/>
      <c r="DI313" s="134"/>
      <c r="DJ313" s="134"/>
      <c r="DK313" s="301"/>
      <c r="DL313" s="301"/>
      <c r="DM313" s="134"/>
      <c r="DN313" s="134"/>
      <c r="DO313" s="134"/>
      <c r="DP313" s="134"/>
      <c r="DQ313" s="134"/>
      <c r="DR313" s="134"/>
      <c r="DS313" s="134"/>
      <c r="DT313" s="134"/>
      <c r="DU313" s="301"/>
      <c r="DV313" s="301"/>
      <c r="DW313" s="277"/>
      <c r="DX313" s="134"/>
      <c r="DY313" s="134"/>
      <c r="DZ313" s="134"/>
      <c r="EA313" s="134"/>
      <c r="EB313" s="134"/>
      <c r="EC313" s="134"/>
      <c r="ED313" s="134"/>
      <c r="EE313" s="134"/>
      <c r="EF313" s="301"/>
      <c r="EG313" s="301"/>
      <c r="EH313" s="134"/>
      <c r="EI313" s="134"/>
      <c r="EJ313" s="134"/>
      <c r="EK313" s="134"/>
    </row>
    <row r="314" spans="1:141">
      <c r="A314" s="79" t="s">
        <v>350</v>
      </c>
      <c r="B314" s="117">
        <v>250</v>
      </c>
      <c r="C314" s="123" t="s">
        <v>2039</v>
      </c>
      <c r="D314" s="124" t="s">
        <v>2278</v>
      </c>
      <c r="E314" s="125">
        <v>2013</v>
      </c>
      <c r="F314" s="79">
        <v>23517445</v>
      </c>
      <c r="G314" s="79">
        <v>1</v>
      </c>
      <c r="H314" s="126"/>
      <c r="I314" s="127"/>
      <c r="J314" s="79">
        <v>1</v>
      </c>
      <c r="K314" s="79"/>
      <c r="L314" s="79">
        <v>1</v>
      </c>
      <c r="M314" s="128">
        <v>1</v>
      </c>
      <c r="N314" s="79" t="s">
        <v>909</v>
      </c>
      <c r="O314" s="79" t="s">
        <v>1157</v>
      </c>
      <c r="P314" s="79" t="s">
        <v>25</v>
      </c>
      <c r="Q314" s="79">
        <v>1</v>
      </c>
      <c r="R314" s="79"/>
      <c r="S314" s="79"/>
      <c r="T314" s="79"/>
      <c r="U314" s="79" t="s">
        <v>908</v>
      </c>
      <c r="V314" s="79"/>
      <c r="W314" s="79"/>
      <c r="X314" s="79"/>
      <c r="Y314" s="79"/>
      <c r="Z314" s="79"/>
      <c r="AA314" s="154"/>
      <c r="AB314" s="155"/>
      <c r="AC314" s="121">
        <v>2</v>
      </c>
      <c r="AD314" s="202"/>
      <c r="AE314" s="192"/>
      <c r="AF314" s="203"/>
      <c r="AG314" s="121"/>
      <c r="AH314" s="121"/>
      <c r="AI314" s="121"/>
      <c r="AJ314" s="121"/>
      <c r="AK314" s="121"/>
      <c r="AL314" s="121"/>
      <c r="AM314" s="121"/>
      <c r="AN314" s="121"/>
      <c r="AO314" s="121"/>
      <c r="AP314" s="121"/>
      <c r="AQ314" s="121"/>
      <c r="AR314" s="121"/>
      <c r="AS314" s="121"/>
      <c r="AT314" s="121"/>
      <c r="AU314" s="121"/>
      <c r="AV314" s="156"/>
      <c r="AW314" s="156"/>
      <c r="AX314" s="156">
        <v>1</v>
      </c>
      <c r="AY314" s="156"/>
      <c r="AZ314" s="156"/>
      <c r="BA314" s="156"/>
      <c r="BB314" s="156"/>
      <c r="BC314" s="156"/>
      <c r="BD314" s="157"/>
      <c r="BE314" s="134"/>
      <c r="BF314" s="134"/>
      <c r="BG314" s="134"/>
      <c r="BH314" s="134"/>
      <c r="BI314" s="134"/>
      <c r="BJ314" s="259"/>
      <c r="BK314" s="138"/>
      <c r="BL314" s="134"/>
      <c r="BM314" s="134"/>
      <c r="BN314" s="134"/>
      <c r="BO314" s="138"/>
      <c r="BP314" s="134"/>
      <c r="BQ314" s="134"/>
      <c r="BR314" s="134"/>
      <c r="BS314" s="288"/>
      <c r="BT314" s="289"/>
      <c r="BU314" s="138"/>
      <c r="BV314" s="134"/>
      <c r="BW314" s="134"/>
      <c r="BX314" s="134"/>
      <c r="BY314" s="138"/>
      <c r="BZ314" s="134"/>
      <c r="CA314" s="134"/>
      <c r="CB314" s="134"/>
      <c r="CC314" s="288"/>
      <c r="CD314" s="289"/>
      <c r="CE314" s="276"/>
      <c r="CF314" s="308"/>
      <c r="CG314" s="138"/>
      <c r="CH314" s="134"/>
      <c r="CI314" s="134"/>
      <c r="CJ314" s="134"/>
      <c r="CK314" s="134"/>
      <c r="CL314" s="134"/>
      <c r="CM314" s="134"/>
      <c r="CN314" s="134"/>
      <c r="CO314" s="300"/>
      <c r="CP314" s="301"/>
      <c r="CQ314" s="134"/>
      <c r="CR314" s="134"/>
      <c r="CS314" s="134"/>
      <c r="CT314" s="134"/>
      <c r="CU314" s="134"/>
      <c r="CV314" s="134"/>
      <c r="CW314" s="134"/>
      <c r="CX314" s="134"/>
      <c r="CY314" s="300"/>
      <c r="CZ314" s="301"/>
      <c r="DA314" s="276"/>
      <c r="DB314" s="277"/>
      <c r="DC314" s="134"/>
      <c r="DD314" s="134"/>
      <c r="DE314" s="134"/>
      <c r="DF314" s="134"/>
      <c r="DG314" s="138"/>
      <c r="DH314" s="134"/>
      <c r="DI314" s="134"/>
      <c r="DJ314" s="134"/>
      <c r="DK314" s="301"/>
      <c r="DL314" s="301"/>
      <c r="DM314" s="134"/>
      <c r="DN314" s="134"/>
      <c r="DO314" s="134"/>
      <c r="DP314" s="134"/>
      <c r="DQ314" s="134"/>
      <c r="DR314" s="134"/>
      <c r="DS314" s="134"/>
      <c r="DT314" s="134"/>
      <c r="DU314" s="301"/>
      <c r="DV314" s="301"/>
      <c r="DW314" s="277"/>
      <c r="DX314" s="134"/>
      <c r="DY314" s="134"/>
      <c r="DZ314" s="134"/>
      <c r="EA314" s="134"/>
      <c r="EB314" s="134"/>
      <c r="EC314" s="134"/>
      <c r="ED314" s="134"/>
      <c r="EE314" s="134"/>
      <c r="EF314" s="301"/>
      <c r="EG314" s="301"/>
      <c r="EH314" s="134"/>
      <c r="EI314" s="134"/>
      <c r="EJ314" s="134"/>
      <c r="EK314" s="134"/>
    </row>
    <row r="315" spans="1:141">
      <c r="A315" s="79" t="s">
        <v>351</v>
      </c>
      <c r="B315" s="117">
        <v>251</v>
      </c>
      <c r="C315" s="123" t="s">
        <v>2040</v>
      </c>
      <c r="D315" s="124" t="s">
        <v>2279</v>
      </c>
      <c r="E315" s="125">
        <v>2014</v>
      </c>
      <c r="F315" s="79">
        <v>24354897</v>
      </c>
      <c r="G315" s="79">
        <v>1</v>
      </c>
      <c r="H315" s="126"/>
      <c r="I315" s="127"/>
      <c r="J315" s="79">
        <v>1</v>
      </c>
      <c r="K315" s="79"/>
      <c r="L315" s="79">
        <v>1</v>
      </c>
      <c r="M315" s="128">
        <v>1</v>
      </c>
      <c r="N315" s="79" t="s">
        <v>609</v>
      </c>
      <c r="O315" s="79" t="s">
        <v>1158</v>
      </c>
      <c r="P315" s="79" t="s">
        <v>910</v>
      </c>
      <c r="Q315" s="79">
        <v>1</v>
      </c>
      <c r="R315" s="79"/>
      <c r="S315" s="79"/>
      <c r="T315" s="79"/>
      <c r="U315" s="79" t="s">
        <v>610</v>
      </c>
      <c r="V315" s="79"/>
      <c r="W315" s="79"/>
      <c r="X315" s="79" t="s">
        <v>911</v>
      </c>
      <c r="Y315" s="79"/>
      <c r="Z315" s="79"/>
      <c r="AA315" s="154"/>
      <c r="AB315" s="155"/>
      <c r="AC315" s="121">
        <v>2</v>
      </c>
      <c r="AD315" s="202"/>
      <c r="AE315" s="192"/>
      <c r="AF315" s="203"/>
      <c r="AG315" s="121"/>
      <c r="AH315" s="121"/>
      <c r="AI315" s="121"/>
      <c r="AJ315" s="121"/>
      <c r="AK315" s="121"/>
      <c r="AL315" s="121"/>
      <c r="AM315" s="121"/>
      <c r="AN315" s="121"/>
      <c r="AO315" s="121"/>
      <c r="AP315" s="121"/>
      <c r="AQ315" s="121"/>
      <c r="AR315" s="121"/>
      <c r="AS315" s="121"/>
      <c r="AT315" s="121"/>
      <c r="AU315" s="121"/>
      <c r="AV315" s="156"/>
      <c r="AW315" s="156"/>
      <c r="AX315" s="156"/>
      <c r="AY315" s="156"/>
      <c r="AZ315" s="156"/>
      <c r="BA315" s="156">
        <v>1</v>
      </c>
      <c r="BB315" s="156"/>
      <c r="BC315" s="156"/>
      <c r="BD315" s="157"/>
      <c r="BE315" s="134"/>
      <c r="BF315" s="134"/>
      <c r="BG315" s="134"/>
      <c r="BH315" s="134"/>
      <c r="BI315" s="134"/>
      <c r="BJ315" s="259"/>
      <c r="BK315" s="138"/>
      <c r="BL315" s="134"/>
      <c r="BM315" s="134"/>
      <c r="BN315" s="134"/>
      <c r="BO315" s="138"/>
      <c r="BP315" s="134"/>
      <c r="BQ315" s="134"/>
      <c r="BR315" s="134"/>
      <c r="BS315" s="288"/>
      <c r="BT315" s="289"/>
      <c r="BU315" s="138"/>
      <c r="BV315" s="134"/>
      <c r="BW315" s="134"/>
      <c r="BX315" s="134"/>
      <c r="BY315" s="138"/>
      <c r="BZ315" s="134"/>
      <c r="CA315" s="134"/>
      <c r="CB315" s="134"/>
      <c r="CC315" s="288"/>
      <c r="CD315" s="289"/>
      <c r="CE315" s="276"/>
      <c r="CF315" s="308"/>
      <c r="CG315" s="138"/>
      <c r="CH315" s="134"/>
      <c r="CI315" s="134"/>
      <c r="CJ315" s="134"/>
      <c r="CK315" s="134"/>
      <c r="CL315" s="134"/>
      <c r="CM315" s="134"/>
      <c r="CN315" s="134"/>
      <c r="CO315" s="300"/>
      <c r="CP315" s="301"/>
      <c r="CQ315" s="134"/>
      <c r="CR315" s="134"/>
      <c r="CS315" s="134"/>
      <c r="CT315" s="134"/>
      <c r="CU315" s="134"/>
      <c r="CV315" s="134"/>
      <c r="CW315" s="134"/>
      <c r="CX315" s="134"/>
      <c r="CY315" s="300"/>
      <c r="CZ315" s="301"/>
      <c r="DA315" s="276"/>
      <c r="DB315" s="277"/>
      <c r="DC315" s="134"/>
      <c r="DD315" s="134"/>
      <c r="DE315" s="134"/>
      <c r="DF315" s="134"/>
      <c r="DG315" s="138"/>
      <c r="DH315" s="134"/>
      <c r="DI315" s="134"/>
      <c r="DJ315" s="134"/>
      <c r="DK315" s="301"/>
      <c r="DL315" s="301"/>
      <c r="DM315" s="134"/>
      <c r="DN315" s="134"/>
      <c r="DO315" s="134"/>
      <c r="DP315" s="134"/>
      <c r="DQ315" s="134"/>
      <c r="DR315" s="134"/>
      <c r="DS315" s="134"/>
      <c r="DT315" s="134"/>
      <c r="DU315" s="301"/>
      <c r="DV315" s="301"/>
      <c r="DW315" s="277"/>
      <c r="DX315" s="134"/>
      <c r="DY315" s="134"/>
      <c r="DZ315" s="134"/>
      <c r="EA315" s="134"/>
      <c r="EB315" s="134"/>
      <c r="EC315" s="134"/>
      <c r="ED315" s="134"/>
      <c r="EE315" s="134"/>
      <c r="EF315" s="301"/>
      <c r="EG315" s="301"/>
      <c r="EH315" s="134"/>
      <c r="EI315" s="134"/>
      <c r="EJ315" s="134"/>
      <c r="EK315" s="134"/>
    </row>
    <row r="316" spans="1:141">
      <c r="A316" s="79" t="s">
        <v>352</v>
      </c>
      <c r="B316" s="117">
        <v>252</v>
      </c>
      <c r="C316" s="123" t="s">
        <v>2041</v>
      </c>
      <c r="D316" s="124" t="s">
        <v>2280</v>
      </c>
      <c r="E316" s="125">
        <v>2015</v>
      </c>
      <c r="F316" s="79">
        <v>25244677</v>
      </c>
      <c r="G316" s="79">
        <v>1</v>
      </c>
      <c r="H316" s="126"/>
      <c r="I316" s="127"/>
      <c r="J316" s="79">
        <v>1</v>
      </c>
      <c r="K316" s="79"/>
      <c r="L316" s="79">
        <v>1</v>
      </c>
      <c r="M316" s="128">
        <v>1</v>
      </c>
      <c r="N316" s="79" t="s">
        <v>913</v>
      </c>
      <c r="O316" s="79" t="s">
        <v>1164</v>
      </c>
      <c r="P316" s="79" t="s">
        <v>865</v>
      </c>
      <c r="Q316" s="79">
        <v>0</v>
      </c>
      <c r="R316" s="79"/>
      <c r="S316" s="79"/>
      <c r="T316" s="79"/>
      <c r="U316" s="79" t="s">
        <v>30</v>
      </c>
      <c r="V316" s="79"/>
      <c r="W316" s="79"/>
      <c r="X316" s="79" t="s">
        <v>912</v>
      </c>
      <c r="Y316" s="79"/>
      <c r="Z316" s="79"/>
      <c r="AA316" s="154"/>
      <c r="AB316" s="155"/>
      <c r="AC316" s="121"/>
      <c r="AD316" s="202"/>
      <c r="AE316" s="192"/>
      <c r="AF316" s="203"/>
      <c r="AG316" s="121"/>
      <c r="AH316" s="121"/>
      <c r="AI316" s="121"/>
      <c r="AJ316" s="121"/>
      <c r="AK316" s="121"/>
      <c r="AL316" s="121"/>
      <c r="AM316" s="121"/>
      <c r="AN316" s="121"/>
      <c r="AO316" s="121"/>
      <c r="AP316" s="121"/>
      <c r="AQ316" s="121"/>
      <c r="AR316" s="121"/>
      <c r="AS316" s="121"/>
      <c r="AT316" s="121"/>
      <c r="AU316" s="121"/>
      <c r="AV316" s="156"/>
      <c r="AW316" s="156"/>
      <c r="AX316" s="156"/>
      <c r="AY316" s="156">
        <v>1</v>
      </c>
      <c r="AZ316" s="156"/>
      <c r="BA316" s="156"/>
      <c r="BB316" s="156"/>
      <c r="BC316" s="156"/>
      <c r="BD316" s="157"/>
      <c r="BE316" s="134"/>
      <c r="BF316" s="134"/>
      <c r="BG316" s="134"/>
      <c r="BH316" s="134"/>
      <c r="BI316" s="134"/>
      <c r="BJ316" s="259"/>
      <c r="BK316" s="138"/>
      <c r="BL316" s="134"/>
      <c r="BM316" s="134"/>
      <c r="BN316" s="134"/>
      <c r="BO316" s="138"/>
      <c r="BP316" s="134"/>
      <c r="BQ316" s="134"/>
      <c r="BR316" s="134"/>
      <c r="BS316" s="288"/>
      <c r="BT316" s="289"/>
      <c r="BU316" s="138"/>
      <c r="BV316" s="134"/>
      <c r="BW316" s="134"/>
      <c r="BX316" s="134"/>
      <c r="BY316" s="138"/>
      <c r="BZ316" s="134"/>
      <c r="CA316" s="134"/>
      <c r="CB316" s="134"/>
      <c r="CC316" s="288"/>
      <c r="CD316" s="289"/>
      <c r="CE316" s="276"/>
      <c r="CF316" s="308"/>
      <c r="CG316" s="138"/>
      <c r="CH316" s="134"/>
      <c r="CI316" s="134"/>
      <c r="CJ316" s="134"/>
      <c r="CK316" s="134"/>
      <c r="CL316" s="134"/>
      <c r="CM316" s="134"/>
      <c r="CN316" s="134"/>
      <c r="CO316" s="300"/>
      <c r="CP316" s="301"/>
      <c r="CQ316" s="134"/>
      <c r="CR316" s="134"/>
      <c r="CS316" s="134"/>
      <c r="CT316" s="134"/>
      <c r="CU316" s="134"/>
      <c r="CV316" s="134"/>
      <c r="CW316" s="134"/>
      <c r="CX316" s="134"/>
      <c r="CY316" s="300"/>
      <c r="CZ316" s="301"/>
      <c r="DA316" s="276"/>
      <c r="DB316" s="277"/>
      <c r="DC316" s="134"/>
      <c r="DD316" s="134"/>
      <c r="DE316" s="134"/>
      <c r="DF316" s="134"/>
      <c r="DG316" s="138"/>
      <c r="DH316" s="134"/>
      <c r="DI316" s="134"/>
      <c r="DJ316" s="134"/>
      <c r="DK316" s="301"/>
      <c r="DL316" s="301"/>
      <c r="DM316" s="134"/>
      <c r="DN316" s="134"/>
      <c r="DO316" s="134"/>
      <c r="DP316" s="134"/>
      <c r="DQ316" s="134"/>
      <c r="DR316" s="134"/>
      <c r="DS316" s="134"/>
      <c r="DT316" s="134"/>
      <c r="DU316" s="301"/>
      <c r="DV316" s="301"/>
      <c r="DW316" s="277"/>
      <c r="DX316" s="134"/>
      <c r="DY316" s="134"/>
      <c r="DZ316" s="134"/>
      <c r="EA316" s="134"/>
      <c r="EB316" s="134"/>
      <c r="EC316" s="134"/>
      <c r="ED316" s="134"/>
      <c r="EE316" s="134"/>
      <c r="EF316" s="301"/>
      <c r="EG316" s="301"/>
      <c r="EH316" s="134"/>
      <c r="EI316" s="134"/>
      <c r="EJ316" s="134"/>
      <c r="EK316" s="134"/>
    </row>
    <row r="317" spans="1:141">
      <c r="A317" s="79" t="s">
        <v>353</v>
      </c>
      <c r="B317" s="117">
        <v>253</v>
      </c>
      <c r="C317" s="123" t="s">
        <v>2042</v>
      </c>
      <c r="D317" s="124" t="s">
        <v>2281</v>
      </c>
      <c r="E317" s="125">
        <v>2016</v>
      </c>
      <c r="F317" s="79">
        <v>26447678</v>
      </c>
      <c r="G317" s="79">
        <v>1</v>
      </c>
      <c r="H317" s="126"/>
      <c r="I317" s="127"/>
      <c r="J317" s="79">
        <v>1</v>
      </c>
      <c r="K317" s="79"/>
      <c r="L317" s="79">
        <v>1</v>
      </c>
      <c r="M317" s="128">
        <v>1</v>
      </c>
      <c r="N317" s="79" t="s">
        <v>609</v>
      </c>
      <c r="O317" s="79" t="s">
        <v>1158</v>
      </c>
      <c r="P317" s="79" t="s">
        <v>25</v>
      </c>
      <c r="Q317" s="79">
        <v>1</v>
      </c>
      <c r="R317" s="79"/>
      <c r="S317" s="79"/>
      <c r="T317" s="79"/>
      <c r="U317" s="79" t="s">
        <v>610</v>
      </c>
      <c r="V317" s="79" t="s">
        <v>915</v>
      </c>
      <c r="W317" s="79" t="s">
        <v>914</v>
      </c>
      <c r="X317" s="79"/>
      <c r="Y317" s="79"/>
      <c r="Z317" s="79"/>
      <c r="AA317" s="154"/>
      <c r="AB317" s="155"/>
      <c r="AC317" s="121">
        <v>2</v>
      </c>
      <c r="AD317" s="202"/>
      <c r="AE317" s="192"/>
      <c r="AF317" s="203"/>
      <c r="AG317" s="121"/>
      <c r="AH317" s="121"/>
      <c r="AI317" s="121"/>
      <c r="AJ317" s="121"/>
      <c r="AK317" s="121"/>
      <c r="AL317" s="121"/>
      <c r="AM317" s="121"/>
      <c r="AN317" s="121"/>
      <c r="AO317" s="121"/>
      <c r="AP317" s="121"/>
      <c r="AQ317" s="121"/>
      <c r="AR317" s="121"/>
      <c r="AS317" s="121"/>
      <c r="AT317" s="121"/>
      <c r="AU317" s="121"/>
      <c r="AV317" s="156"/>
      <c r="AW317" s="156"/>
      <c r="AX317" s="156"/>
      <c r="AY317" s="156"/>
      <c r="AZ317" s="156"/>
      <c r="BA317" s="156">
        <v>1</v>
      </c>
      <c r="BB317" s="156"/>
      <c r="BC317" s="156"/>
      <c r="BD317" s="157"/>
      <c r="BE317" s="134"/>
      <c r="BF317" s="134"/>
      <c r="BG317" s="134"/>
      <c r="BH317" s="134"/>
      <c r="BI317" s="134"/>
      <c r="BJ317" s="259"/>
      <c r="BK317" s="138"/>
      <c r="BL317" s="134"/>
      <c r="BM317" s="134"/>
      <c r="BN317" s="134"/>
      <c r="BO317" s="138"/>
      <c r="BP317" s="134"/>
      <c r="BQ317" s="134"/>
      <c r="BR317" s="134"/>
      <c r="BS317" s="288"/>
      <c r="BT317" s="289"/>
      <c r="BU317" s="138"/>
      <c r="BV317" s="134"/>
      <c r="BW317" s="134"/>
      <c r="BX317" s="134"/>
      <c r="BY317" s="138"/>
      <c r="BZ317" s="134"/>
      <c r="CA317" s="134"/>
      <c r="CB317" s="134"/>
      <c r="CC317" s="288"/>
      <c r="CD317" s="289"/>
      <c r="CE317" s="276"/>
      <c r="CF317" s="308"/>
      <c r="CG317" s="138"/>
      <c r="CH317" s="134"/>
      <c r="CI317" s="134"/>
      <c r="CJ317" s="134"/>
      <c r="CK317" s="134"/>
      <c r="CL317" s="134"/>
      <c r="CM317" s="134"/>
      <c r="CN317" s="134"/>
      <c r="CO317" s="300"/>
      <c r="CP317" s="301"/>
      <c r="CQ317" s="134"/>
      <c r="CR317" s="134"/>
      <c r="CS317" s="134"/>
      <c r="CT317" s="134"/>
      <c r="CU317" s="134"/>
      <c r="CV317" s="134"/>
      <c r="CW317" s="134"/>
      <c r="CX317" s="134"/>
      <c r="CY317" s="300"/>
      <c r="CZ317" s="301"/>
      <c r="DA317" s="276"/>
      <c r="DB317" s="277"/>
      <c r="DC317" s="134"/>
      <c r="DD317" s="134"/>
      <c r="DE317" s="134"/>
      <c r="DF317" s="134"/>
      <c r="DG317" s="138"/>
      <c r="DH317" s="134"/>
      <c r="DI317" s="134"/>
      <c r="DJ317" s="134"/>
      <c r="DK317" s="301"/>
      <c r="DL317" s="301"/>
      <c r="DM317" s="134"/>
      <c r="DN317" s="134"/>
      <c r="DO317" s="134"/>
      <c r="DP317" s="134"/>
      <c r="DQ317" s="134"/>
      <c r="DR317" s="134"/>
      <c r="DS317" s="134"/>
      <c r="DT317" s="134"/>
      <c r="DU317" s="301"/>
      <c r="DV317" s="301"/>
      <c r="DW317" s="277"/>
      <c r="DX317" s="134"/>
      <c r="DY317" s="134"/>
      <c r="DZ317" s="134"/>
      <c r="EA317" s="134"/>
      <c r="EB317" s="134"/>
      <c r="EC317" s="134"/>
      <c r="ED317" s="134"/>
      <c r="EE317" s="134"/>
      <c r="EF317" s="301"/>
      <c r="EG317" s="301"/>
      <c r="EH317" s="134"/>
      <c r="EI317" s="134"/>
      <c r="EJ317" s="134"/>
      <c r="EK317" s="134"/>
    </row>
    <row r="318" spans="1:141">
      <c r="A318" s="79" t="s">
        <v>354</v>
      </c>
      <c r="B318" s="117">
        <v>254</v>
      </c>
      <c r="C318" s="123" t="s">
        <v>2043</v>
      </c>
      <c r="D318" s="124" t="s">
        <v>2282</v>
      </c>
      <c r="E318" s="125">
        <v>2015</v>
      </c>
      <c r="F318" s="79">
        <v>26042021</v>
      </c>
      <c r="G318" s="79">
        <v>1</v>
      </c>
      <c r="H318" s="126" t="s">
        <v>1745</v>
      </c>
      <c r="I318" s="127" t="s">
        <v>1769</v>
      </c>
      <c r="J318" s="164">
        <v>1</v>
      </c>
      <c r="K318" s="79" t="s">
        <v>1753</v>
      </c>
      <c r="L318" s="79">
        <v>0</v>
      </c>
      <c r="M318" s="128">
        <v>1</v>
      </c>
      <c r="N318" s="79"/>
      <c r="O318" s="79"/>
      <c r="P318" s="79" t="s">
        <v>693</v>
      </c>
      <c r="Q318" s="79"/>
      <c r="R318" s="79"/>
      <c r="S318" s="79"/>
      <c r="T318" s="79"/>
      <c r="U318" s="79"/>
      <c r="V318" s="79"/>
      <c r="W318" s="79"/>
      <c r="X318" s="79"/>
      <c r="Y318" s="79"/>
      <c r="Z318" s="79" t="s">
        <v>916</v>
      </c>
      <c r="AA318" s="154"/>
      <c r="AB318" s="155"/>
      <c r="AC318" s="121"/>
      <c r="AD318" s="202"/>
      <c r="AE318" s="192"/>
      <c r="AF318" s="203"/>
      <c r="AG318" s="121"/>
      <c r="AH318" s="121"/>
      <c r="AI318" s="121"/>
      <c r="AJ318" s="121"/>
      <c r="AK318" s="121"/>
      <c r="AL318" s="121"/>
      <c r="AM318" s="121"/>
      <c r="AN318" s="121"/>
      <c r="AO318" s="121"/>
      <c r="AP318" s="121"/>
      <c r="AQ318" s="121"/>
      <c r="AR318" s="121"/>
      <c r="AS318" s="121"/>
      <c r="AT318" s="121"/>
      <c r="AU318" s="121"/>
      <c r="AV318" s="156"/>
      <c r="AW318" s="156"/>
      <c r="AX318" s="156"/>
      <c r="AY318" s="156"/>
      <c r="AZ318" s="156"/>
      <c r="BA318" s="156"/>
      <c r="BB318" s="156"/>
      <c r="BC318" s="156"/>
      <c r="BD318" s="157"/>
      <c r="BE318" s="134"/>
      <c r="BF318" s="134"/>
      <c r="BG318" s="134"/>
      <c r="BH318" s="134"/>
      <c r="BI318" s="134"/>
      <c r="BJ318" s="259"/>
      <c r="BK318" s="138"/>
      <c r="BL318" s="134"/>
      <c r="BM318" s="134"/>
      <c r="BN318" s="134"/>
      <c r="BO318" s="138"/>
      <c r="BP318" s="134"/>
      <c r="BQ318" s="134"/>
      <c r="BR318" s="134"/>
      <c r="BS318" s="288"/>
      <c r="BT318" s="289"/>
      <c r="BU318" s="138"/>
      <c r="BV318" s="134"/>
      <c r="BW318" s="134"/>
      <c r="BX318" s="134"/>
      <c r="BY318" s="138"/>
      <c r="BZ318" s="134"/>
      <c r="CA318" s="134"/>
      <c r="CB318" s="134"/>
      <c r="CC318" s="288"/>
      <c r="CD318" s="289"/>
      <c r="CE318" s="276"/>
      <c r="CF318" s="308"/>
      <c r="CG318" s="138"/>
      <c r="CH318" s="134"/>
      <c r="CI318" s="134"/>
      <c r="CJ318" s="134"/>
      <c r="CK318" s="134"/>
      <c r="CL318" s="134"/>
      <c r="CM318" s="134"/>
      <c r="CN318" s="134"/>
      <c r="CO318" s="300"/>
      <c r="CP318" s="301"/>
      <c r="CQ318" s="134"/>
      <c r="CR318" s="134"/>
      <c r="CS318" s="134"/>
      <c r="CT318" s="134"/>
      <c r="CU318" s="134"/>
      <c r="CV318" s="134"/>
      <c r="CW318" s="134"/>
      <c r="CX318" s="134"/>
      <c r="CY318" s="300"/>
      <c r="CZ318" s="301"/>
      <c r="DA318" s="276"/>
      <c r="DB318" s="277"/>
      <c r="DC318" s="134"/>
      <c r="DD318" s="134"/>
      <c r="DE318" s="134"/>
      <c r="DF318" s="134"/>
      <c r="DG318" s="138"/>
      <c r="DH318" s="134"/>
      <c r="DI318" s="134"/>
      <c r="DJ318" s="134"/>
      <c r="DK318" s="301"/>
      <c r="DL318" s="301"/>
      <c r="DM318" s="134"/>
      <c r="DN318" s="134"/>
      <c r="DO318" s="134"/>
      <c r="DP318" s="134"/>
      <c r="DQ318" s="134"/>
      <c r="DR318" s="134"/>
      <c r="DS318" s="134"/>
      <c r="DT318" s="134"/>
      <c r="DU318" s="301"/>
      <c r="DV318" s="301"/>
      <c r="DW318" s="277"/>
      <c r="DX318" s="134"/>
      <c r="DY318" s="134"/>
      <c r="DZ318" s="134"/>
      <c r="EA318" s="134"/>
      <c r="EB318" s="134"/>
      <c r="EC318" s="134"/>
      <c r="ED318" s="134"/>
      <c r="EE318" s="134"/>
      <c r="EF318" s="301"/>
      <c r="EG318" s="301"/>
      <c r="EH318" s="134"/>
      <c r="EI318" s="134"/>
      <c r="EJ318" s="134"/>
      <c r="EK318" s="134"/>
    </row>
    <row r="319" spans="1:141">
      <c r="A319" s="79" t="s">
        <v>355</v>
      </c>
      <c r="B319" s="117">
        <v>255</v>
      </c>
      <c r="C319" s="123" t="s">
        <v>2044</v>
      </c>
      <c r="D319" s="124" t="s">
        <v>2283</v>
      </c>
      <c r="E319" s="125">
        <v>2009</v>
      </c>
      <c r="F319" s="79">
        <v>19703322</v>
      </c>
      <c r="G319" s="79">
        <v>1</v>
      </c>
      <c r="H319" s="126"/>
      <c r="I319" s="127"/>
      <c r="J319" s="79">
        <v>1</v>
      </c>
      <c r="K319" s="79"/>
      <c r="L319" s="79">
        <v>1</v>
      </c>
      <c r="M319" s="128">
        <v>1</v>
      </c>
      <c r="N319" s="79" t="s">
        <v>457</v>
      </c>
      <c r="O319" s="79" t="s">
        <v>1147</v>
      </c>
      <c r="P319" s="79" t="s">
        <v>819</v>
      </c>
      <c r="Q319" s="79">
        <v>1</v>
      </c>
      <c r="R319" s="79"/>
      <c r="S319" s="79"/>
      <c r="T319" s="79"/>
      <c r="U319" s="79"/>
      <c r="V319" s="79" t="s">
        <v>917</v>
      </c>
      <c r="W319" s="79"/>
      <c r="X319" s="79"/>
      <c r="Y319" s="79"/>
      <c r="Z319" s="79"/>
      <c r="AA319" s="154"/>
      <c r="AB319" s="155"/>
      <c r="AC319" s="121">
        <v>2</v>
      </c>
      <c r="AD319" s="202"/>
      <c r="AE319" s="192"/>
      <c r="AF319" s="203"/>
      <c r="AG319" s="121"/>
      <c r="AH319" s="121"/>
      <c r="AI319" s="121"/>
      <c r="AJ319" s="121"/>
      <c r="AK319" s="121"/>
      <c r="AL319" s="121"/>
      <c r="AM319" s="121"/>
      <c r="AN319" s="121"/>
      <c r="AO319" s="121"/>
      <c r="AP319" s="121"/>
      <c r="AQ319" s="121"/>
      <c r="AR319" s="121"/>
      <c r="AS319" s="121"/>
      <c r="AT319" s="121"/>
      <c r="AU319" s="121"/>
      <c r="AV319" s="156"/>
      <c r="AW319" s="156"/>
      <c r="AX319" s="156"/>
      <c r="AY319" s="156"/>
      <c r="AZ319" s="156">
        <v>1</v>
      </c>
      <c r="BA319" s="156"/>
      <c r="BB319" s="156"/>
      <c r="BC319" s="156"/>
      <c r="BD319" s="157"/>
      <c r="BE319" s="134"/>
      <c r="BF319" s="134"/>
      <c r="BG319" s="134"/>
      <c r="BH319" s="134"/>
      <c r="BI319" s="134"/>
      <c r="BJ319" s="259"/>
      <c r="BK319" s="138"/>
      <c r="BL319" s="134"/>
      <c r="BM319" s="134"/>
      <c r="BN319" s="134"/>
      <c r="BO319" s="138"/>
      <c r="BP319" s="134"/>
      <c r="BQ319" s="134"/>
      <c r="BR319" s="134"/>
      <c r="BS319" s="288"/>
      <c r="BT319" s="289"/>
      <c r="BU319" s="138"/>
      <c r="BV319" s="134"/>
      <c r="BW319" s="134"/>
      <c r="BX319" s="134"/>
      <c r="BY319" s="138"/>
      <c r="BZ319" s="134"/>
      <c r="CA319" s="134"/>
      <c r="CB319" s="134"/>
      <c r="CC319" s="288"/>
      <c r="CD319" s="289"/>
      <c r="CE319" s="276"/>
      <c r="CF319" s="308"/>
      <c r="CG319" s="138"/>
      <c r="CH319" s="134"/>
      <c r="CI319" s="134"/>
      <c r="CJ319" s="134"/>
      <c r="CK319" s="134"/>
      <c r="CL319" s="134"/>
      <c r="CM319" s="134"/>
      <c r="CN319" s="134"/>
      <c r="CO319" s="300"/>
      <c r="CP319" s="301"/>
      <c r="CQ319" s="134"/>
      <c r="CR319" s="134"/>
      <c r="CS319" s="134"/>
      <c r="CT319" s="134"/>
      <c r="CU319" s="134"/>
      <c r="CV319" s="134"/>
      <c r="CW319" s="134"/>
      <c r="CX319" s="134"/>
      <c r="CY319" s="300"/>
      <c r="CZ319" s="301"/>
      <c r="DA319" s="276"/>
      <c r="DB319" s="277"/>
      <c r="DC319" s="134"/>
      <c r="DD319" s="134"/>
      <c r="DE319" s="134"/>
      <c r="DF319" s="134"/>
      <c r="DG319" s="138"/>
      <c r="DH319" s="134"/>
      <c r="DI319" s="134"/>
      <c r="DJ319" s="134"/>
      <c r="DK319" s="301"/>
      <c r="DL319" s="301"/>
      <c r="DM319" s="134"/>
      <c r="DN319" s="134"/>
      <c r="DO319" s="134"/>
      <c r="DP319" s="134"/>
      <c r="DQ319" s="134"/>
      <c r="DR319" s="134"/>
      <c r="DS319" s="134"/>
      <c r="DT319" s="134"/>
      <c r="DU319" s="301"/>
      <c r="DV319" s="301"/>
      <c r="DW319" s="277"/>
      <c r="DX319" s="134"/>
      <c r="DY319" s="134"/>
      <c r="DZ319" s="134"/>
      <c r="EA319" s="134"/>
      <c r="EB319" s="134"/>
      <c r="EC319" s="134"/>
      <c r="ED319" s="134"/>
      <c r="EE319" s="134"/>
      <c r="EF319" s="301"/>
      <c r="EG319" s="301"/>
      <c r="EH319" s="134"/>
      <c r="EI319" s="134"/>
      <c r="EJ319" s="134"/>
      <c r="EK319" s="134"/>
    </row>
    <row r="320" spans="1:141">
      <c r="A320" s="79" t="s">
        <v>356</v>
      </c>
      <c r="B320" s="117">
        <v>256</v>
      </c>
      <c r="C320" s="123" t="s">
        <v>2044</v>
      </c>
      <c r="D320" s="124" t="s">
        <v>2284</v>
      </c>
      <c r="E320" s="125">
        <v>2015</v>
      </c>
      <c r="F320" s="79">
        <v>25516381</v>
      </c>
      <c r="G320" s="79">
        <v>1</v>
      </c>
      <c r="H320" s="126"/>
      <c r="I320" s="127"/>
      <c r="J320" s="79">
        <v>1</v>
      </c>
      <c r="K320" s="79"/>
      <c r="L320" s="79">
        <v>1</v>
      </c>
      <c r="M320" s="128">
        <v>1</v>
      </c>
      <c r="N320" s="79" t="s">
        <v>919</v>
      </c>
      <c r="O320" s="79" t="s">
        <v>1192</v>
      </c>
      <c r="P320" s="79" t="s">
        <v>819</v>
      </c>
      <c r="Q320" s="79">
        <v>1</v>
      </c>
      <c r="R320" s="79"/>
      <c r="S320" s="79"/>
      <c r="T320" s="79"/>
      <c r="U320" s="79" t="s">
        <v>918</v>
      </c>
      <c r="V320" s="79" t="s">
        <v>24</v>
      </c>
      <c r="W320" s="79" t="s">
        <v>921</v>
      </c>
      <c r="X320" s="79"/>
      <c r="Y320" s="79"/>
      <c r="Z320" s="79"/>
      <c r="AA320" s="154"/>
      <c r="AB320" s="155"/>
      <c r="AC320" s="121">
        <v>2</v>
      </c>
      <c r="AD320" s="202"/>
      <c r="AE320" s="192"/>
      <c r="AF320" s="203"/>
      <c r="AG320" s="121"/>
      <c r="AH320" s="121"/>
      <c r="AI320" s="121"/>
      <c r="AJ320" s="121"/>
      <c r="AK320" s="121"/>
      <c r="AL320" s="121"/>
      <c r="AM320" s="121"/>
      <c r="AN320" s="121"/>
      <c r="AO320" s="121"/>
      <c r="AP320" s="121"/>
      <c r="AQ320" s="121"/>
      <c r="AR320" s="121"/>
      <c r="AS320" s="121"/>
      <c r="AT320" s="121"/>
      <c r="AU320" s="121"/>
      <c r="AV320" s="156"/>
      <c r="AW320" s="156"/>
      <c r="AX320" s="156"/>
      <c r="AY320" s="156">
        <v>1</v>
      </c>
      <c r="AZ320" s="156"/>
      <c r="BA320" s="156"/>
      <c r="BB320" s="156"/>
      <c r="BC320" s="156"/>
      <c r="BD320" s="157"/>
      <c r="BE320" s="134"/>
      <c r="BF320" s="134"/>
      <c r="BG320" s="134"/>
      <c r="BH320" s="134"/>
      <c r="BI320" s="134"/>
      <c r="BJ320" s="259"/>
      <c r="BK320" s="138"/>
      <c r="BL320" s="134"/>
      <c r="BM320" s="134"/>
      <c r="BN320" s="134"/>
      <c r="BO320" s="138"/>
      <c r="BP320" s="134"/>
      <c r="BQ320" s="134"/>
      <c r="BR320" s="134"/>
      <c r="BS320" s="288"/>
      <c r="BT320" s="289"/>
      <c r="BU320" s="138"/>
      <c r="BV320" s="134"/>
      <c r="BW320" s="134"/>
      <c r="BX320" s="134"/>
      <c r="BY320" s="138"/>
      <c r="BZ320" s="134"/>
      <c r="CA320" s="134"/>
      <c r="CB320" s="134"/>
      <c r="CC320" s="288"/>
      <c r="CD320" s="289"/>
      <c r="CE320" s="276"/>
      <c r="CF320" s="308"/>
      <c r="CG320" s="138"/>
      <c r="CH320" s="134"/>
      <c r="CI320" s="134"/>
      <c r="CJ320" s="134"/>
      <c r="CK320" s="134"/>
      <c r="CL320" s="134"/>
      <c r="CM320" s="134"/>
      <c r="CN320" s="134"/>
      <c r="CO320" s="300"/>
      <c r="CP320" s="301"/>
      <c r="CQ320" s="134"/>
      <c r="CR320" s="134"/>
      <c r="CS320" s="134"/>
      <c r="CT320" s="134"/>
      <c r="CU320" s="134"/>
      <c r="CV320" s="134"/>
      <c r="CW320" s="134"/>
      <c r="CX320" s="134"/>
      <c r="CY320" s="300"/>
      <c r="CZ320" s="301"/>
      <c r="DA320" s="276"/>
      <c r="DB320" s="277"/>
      <c r="DC320" s="134"/>
      <c r="DD320" s="134"/>
      <c r="DE320" s="134"/>
      <c r="DF320" s="134"/>
      <c r="DG320" s="138"/>
      <c r="DH320" s="134"/>
      <c r="DI320" s="134"/>
      <c r="DJ320" s="134"/>
      <c r="DK320" s="301"/>
      <c r="DL320" s="301"/>
      <c r="DM320" s="134"/>
      <c r="DN320" s="134"/>
      <c r="DO320" s="134"/>
      <c r="DP320" s="134"/>
      <c r="DQ320" s="134"/>
      <c r="DR320" s="134"/>
      <c r="DS320" s="134"/>
      <c r="DT320" s="134"/>
      <c r="DU320" s="301"/>
      <c r="DV320" s="301"/>
      <c r="DW320" s="277"/>
      <c r="DX320" s="134"/>
      <c r="DY320" s="134"/>
      <c r="DZ320" s="134"/>
      <c r="EA320" s="134"/>
      <c r="EB320" s="134"/>
      <c r="EC320" s="134"/>
      <c r="ED320" s="134"/>
      <c r="EE320" s="134"/>
      <c r="EF320" s="301"/>
      <c r="EG320" s="301"/>
      <c r="EH320" s="134"/>
      <c r="EI320" s="134"/>
      <c r="EJ320" s="134"/>
      <c r="EK320" s="134"/>
    </row>
    <row r="321" spans="1:141">
      <c r="A321" s="79" t="s">
        <v>357</v>
      </c>
      <c r="B321" s="117">
        <v>257</v>
      </c>
      <c r="C321" s="123" t="s">
        <v>2045</v>
      </c>
      <c r="D321" s="124" t="s">
        <v>2285</v>
      </c>
      <c r="E321" s="125">
        <v>2010</v>
      </c>
      <c r="F321" s="79">
        <v>21174249</v>
      </c>
      <c r="G321" s="79">
        <v>1</v>
      </c>
      <c r="H321" s="126"/>
      <c r="I321" s="127"/>
      <c r="J321" s="164">
        <v>1</v>
      </c>
      <c r="K321" s="79"/>
      <c r="L321" s="79">
        <v>1</v>
      </c>
      <c r="M321" s="128">
        <v>1</v>
      </c>
      <c r="N321" s="79" t="s">
        <v>28</v>
      </c>
      <c r="O321" s="79" t="s">
        <v>28</v>
      </c>
      <c r="P321" s="79" t="s">
        <v>878</v>
      </c>
      <c r="Q321" s="79">
        <v>1</v>
      </c>
      <c r="R321" s="79"/>
      <c r="S321" s="79"/>
      <c r="T321" s="79"/>
      <c r="U321" s="79" t="s">
        <v>922</v>
      </c>
      <c r="V321" s="79"/>
      <c r="W321" s="79"/>
      <c r="X321" s="79"/>
      <c r="Y321" s="79"/>
      <c r="Z321" s="79"/>
      <c r="AA321" s="154"/>
      <c r="AB321" s="155"/>
      <c r="AC321" s="121">
        <v>2</v>
      </c>
      <c r="AD321" s="202"/>
      <c r="AE321" s="192"/>
      <c r="AF321" s="203"/>
      <c r="AG321" s="121"/>
      <c r="AH321" s="121"/>
      <c r="AI321" s="121"/>
      <c r="AJ321" s="121"/>
      <c r="AK321" s="121"/>
      <c r="AL321" s="121"/>
      <c r="AM321" s="121"/>
      <c r="AN321" s="121"/>
      <c r="AO321" s="121"/>
      <c r="AP321" s="121"/>
      <c r="AQ321" s="121"/>
      <c r="AR321" s="121"/>
      <c r="AS321" s="121"/>
      <c r="AT321" s="121"/>
      <c r="AU321" s="121"/>
      <c r="AV321" s="156"/>
      <c r="AW321" s="156"/>
      <c r="AX321" s="156"/>
      <c r="AY321" s="156"/>
      <c r="AZ321" s="156"/>
      <c r="BA321" s="156"/>
      <c r="BB321" s="156"/>
      <c r="BC321" s="156"/>
      <c r="BD321" s="157"/>
      <c r="BE321" s="134"/>
      <c r="BF321" s="134"/>
      <c r="BG321" s="134"/>
      <c r="BH321" s="134"/>
      <c r="BI321" s="134"/>
      <c r="BJ321" s="259"/>
      <c r="BK321" s="138"/>
      <c r="BL321" s="134"/>
      <c r="BM321" s="134"/>
      <c r="BN321" s="134"/>
      <c r="BO321" s="138"/>
      <c r="BP321" s="134"/>
      <c r="BQ321" s="134"/>
      <c r="BR321" s="134"/>
      <c r="BS321" s="288"/>
      <c r="BT321" s="289"/>
      <c r="BU321" s="138"/>
      <c r="BV321" s="134"/>
      <c r="BW321" s="134"/>
      <c r="BX321" s="134"/>
      <c r="BY321" s="138"/>
      <c r="BZ321" s="134"/>
      <c r="CA321" s="134"/>
      <c r="CB321" s="134"/>
      <c r="CC321" s="288"/>
      <c r="CD321" s="289"/>
      <c r="CE321" s="276"/>
      <c r="CF321" s="308"/>
      <c r="CG321" s="138"/>
      <c r="CH321" s="134"/>
      <c r="CI321" s="134"/>
      <c r="CJ321" s="134"/>
      <c r="CK321" s="134"/>
      <c r="CL321" s="134"/>
      <c r="CM321" s="134"/>
      <c r="CN321" s="134"/>
      <c r="CO321" s="300"/>
      <c r="CP321" s="301"/>
      <c r="CQ321" s="134"/>
      <c r="CR321" s="134"/>
      <c r="CS321" s="134"/>
      <c r="CT321" s="134"/>
      <c r="CU321" s="134"/>
      <c r="CV321" s="134"/>
      <c r="CW321" s="134"/>
      <c r="CX321" s="134"/>
      <c r="CY321" s="300"/>
      <c r="CZ321" s="301"/>
      <c r="DA321" s="276"/>
      <c r="DB321" s="277"/>
      <c r="DC321" s="134"/>
      <c r="DD321" s="134"/>
      <c r="DE321" s="134"/>
      <c r="DF321" s="134"/>
      <c r="DG321" s="138"/>
      <c r="DH321" s="134"/>
      <c r="DI321" s="134"/>
      <c r="DJ321" s="134"/>
      <c r="DK321" s="301"/>
      <c r="DL321" s="301"/>
      <c r="DM321" s="134"/>
      <c r="DN321" s="134"/>
      <c r="DO321" s="134"/>
      <c r="DP321" s="134"/>
      <c r="DQ321" s="134"/>
      <c r="DR321" s="134"/>
      <c r="DS321" s="134"/>
      <c r="DT321" s="134"/>
      <c r="DU321" s="301"/>
      <c r="DV321" s="301"/>
      <c r="DW321" s="277"/>
      <c r="DX321" s="134"/>
      <c r="DY321" s="134"/>
      <c r="DZ321" s="134"/>
      <c r="EA321" s="134"/>
      <c r="EB321" s="134"/>
      <c r="EC321" s="134"/>
      <c r="ED321" s="134"/>
      <c r="EE321" s="134"/>
      <c r="EF321" s="301"/>
      <c r="EG321" s="301"/>
      <c r="EH321" s="134"/>
      <c r="EI321" s="134"/>
      <c r="EJ321" s="134"/>
      <c r="EK321" s="134"/>
    </row>
    <row r="322" spans="1:141">
      <c r="A322" s="79" t="s">
        <v>358</v>
      </c>
      <c r="B322" s="117">
        <v>258</v>
      </c>
      <c r="C322" s="123" t="s">
        <v>2046</v>
      </c>
      <c r="D322" s="124" t="s">
        <v>2286</v>
      </c>
      <c r="E322" s="125">
        <v>2016</v>
      </c>
      <c r="F322" s="79">
        <v>26892753</v>
      </c>
      <c r="G322" s="79">
        <v>1</v>
      </c>
      <c r="H322" s="126"/>
      <c r="I322" s="127"/>
      <c r="J322" s="79">
        <v>1</v>
      </c>
      <c r="K322" s="79"/>
      <c r="L322" s="79">
        <v>1</v>
      </c>
      <c r="M322" s="128">
        <v>1</v>
      </c>
      <c r="N322" s="79" t="s">
        <v>924</v>
      </c>
      <c r="O322" s="79" t="s">
        <v>1196</v>
      </c>
      <c r="P322" s="79" t="s">
        <v>819</v>
      </c>
      <c r="Q322" s="79">
        <v>1</v>
      </c>
      <c r="R322" s="79"/>
      <c r="S322" s="79"/>
      <c r="T322" s="79"/>
      <c r="U322" s="79" t="s">
        <v>923</v>
      </c>
      <c r="V322" s="79" t="s">
        <v>24</v>
      </c>
      <c r="W322" s="79" t="s">
        <v>24</v>
      </c>
      <c r="X322" s="79" t="s">
        <v>925</v>
      </c>
      <c r="Y322" s="79"/>
      <c r="Z322" s="79"/>
      <c r="AA322" s="154"/>
      <c r="AB322" s="155"/>
      <c r="AC322" s="121">
        <v>2</v>
      </c>
      <c r="AD322" s="202"/>
      <c r="AE322" s="192"/>
      <c r="AF322" s="203"/>
      <c r="AG322" s="121"/>
      <c r="AH322" s="121"/>
      <c r="AI322" s="121"/>
      <c r="AJ322" s="121"/>
      <c r="AK322" s="121"/>
      <c r="AL322" s="121"/>
      <c r="AM322" s="121"/>
      <c r="AN322" s="121"/>
      <c r="AO322" s="121"/>
      <c r="AP322" s="121"/>
      <c r="AQ322" s="121"/>
      <c r="AR322" s="121"/>
      <c r="AS322" s="121"/>
      <c r="AT322" s="121"/>
      <c r="AU322" s="121"/>
      <c r="AV322" s="156"/>
      <c r="AW322" s="156"/>
      <c r="AX322" s="156"/>
      <c r="AY322" s="156"/>
      <c r="AZ322" s="156"/>
      <c r="BA322" s="156">
        <v>1</v>
      </c>
      <c r="BB322" s="156"/>
      <c r="BC322" s="156"/>
      <c r="BD322" s="157"/>
      <c r="BE322" s="134"/>
      <c r="BF322" s="134"/>
      <c r="BG322" s="134"/>
      <c r="BH322" s="134"/>
      <c r="BI322" s="134"/>
      <c r="BJ322" s="259"/>
      <c r="BK322" s="138"/>
      <c r="BL322" s="134"/>
      <c r="BM322" s="134"/>
      <c r="BN322" s="134"/>
      <c r="BO322" s="138"/>
      <c r="BP322" s="134"/>
      <c r="BQ322" s="134"/>
      <c r="BR322" s="134"/>
      <c r="BS322" s="288"/>
      <c r="BT322" s="289"/>
      <c r="BU322" s="138"/>
      <c r="BV322" s="134"/>
      <c r="BW322" s="134"/>
      <c r="BX322" s="134"/>
      <c r="BY322" s="138"/>
      <c r="BZ322" s="134"/>
      <c r="CA322" s="134"/>
      <c r="CB322" s="134"/>
      <c r="CC322" s="288"/>
      <c r="CD322" s="289"/>
      <c r="CE322" s="276"/>
      <c r="CF322" s="308"/>
      <c r="CG322" s="138"/>
      <c r="CH322" s="134"/>
      <c r="CI322" s="134"/>
      <c r="CJ322" s="134"/>
      <c r="CK322" s="134"/>
      <c r="CL322" s="134"/>
      <c r="CM322" s="134"/>
      <c r="CN322" s="134"/>
      <c r="CO322" s="300"/>
      <c r="CP322" s="301"/>
      <c r="CQ322" s="134"/>
      <c r="CR322" s="134"/>
      <c r="CS322" s="134"/>
      <c r="CT322" s="134"/>
      <c r="CU322" s="134"/>
      <c r="CV322" s="134"/>
      <c r="CW322" s="134"/>
      <c r="CX322" s="134"/>
      <c r="CY322" s="300"/>
      <c r="CZ322" s="301"/>
      <c r="DA322" s="276"/>
      <c r="DB322" s="277"/>
      <c r="DC322" s="134"/>
      <c r="DD322" s="134"/>
      <c r="DE322" s="134"/>
      <c r="DF322" s="134"/>
      <c r="DG322" s="138"/>
      <c r="DH322" s="134"/>
      <c r="DI322" s="134"/>
      <c r="DJ322" s="134"/>
      <c r="DK322" s="301"/>
      <c r="DL322" s="301"/>
      <c r="DM322" s="134"/>
      <c r="DN322" s="134"/>
      <c r="DO322" s="134"/>
      <c r="DP322" s="134"/>
      <c r="DQ322" s="134"/>
      <c r="DR322" s="134"/>
      <c r="DS322" s="134"/>
      <c r="DT322" s="134"/>
      <c r="DU322" s="301"/>
      <c r="DV322" s="301"/>
      <c r="DW322" s="277"/>
      <c r="DX322" s="134"/>
      <c r="DY322" s="134"/>
      <c r="DZ322" s="134"/>
      <c r="EA322" s="134"/>
      <c r="EB322" s="134"/>
      <c r="EC322" s="134"/>
      <c r="ED322" s="134"/>
      <c r="EE322" s="134"/>
      <c r="EF322" s="301"/>
      <c r="EG322" s="301"/>
      <c r="EH322" s="134"/>
      <c r="EI322" s="134"/>
      <c r="EJ322" s="134"/>
      <c r="EK322" s="134"/>
    </row>
    <row r="323" spans="1:141">
      <c r="A323" s="79" t="s">
        <v>363</v>
      </c>
      <c r="B323" s="117">
        <v>259</v>
      </c>
      <c r="C323" s="123" t="s">
        <v>2047</v>
      </c>
      <c r="D323" s="124" t="s">
        <v>2287</v>
      </c>
      <c r="E323" s="125">
        <v>2007</v>
      </c>
      <c r="F323" s="79">
        <v>16445942</v>
      </c>
      <c r="G323" s="79">
        <v>1</v>
      </c>
      <c r="H323" s="126"/>
      <c r="I323" s="127"/>
      <c r="J323" s="79">
        <v>1</v>
      </c>
      <c r="K323" s="79"/>
      <c r="L323" s="79">
        <v>1</v>
      </c>
      <c r="M323" s="128">
        <v>1</v>
      </c>
      <c r="N323" s="79" t="s">
        <v>73</v>
      </c>
      <c r="O323" s="79" t="s">
        <v>1147</v>
      </c>
      <c r="P323" s="79" t="s">
        <v>25</v>
      </c>
      <c r="Q323" s="79">
        <v>1</v>
      </c>
      <c r="R323" s="79"/>
      <c r="S323" s="79"/>
      <c r="T323" s="79"/>
      <c r="U323" s="79" t="s">
        <v>934</v>
      </c>
      <c r="V323" s="79"/>
      <c r="W323" s="79"/>
      <c r="X323" s="79"/>
      <c r="Y323" s="79"/>
      <c r="Z323" s="79" t="s">
        <v>937</v>
      </c>
      <c r="AA323" s="154"/>
      <c r="AB323" s="155"/>
      <c r="AC323" s="121">
        <v>2</v>
      </c>
      <c r="AD323" s="202"/>
      <c r="AE323" s="192"/>
      <c r="AF323" s="203"/>
      <c r="AG323" s="121"/>
      <c r="AH323" s="121"/>
      <c r="AI323" s="121"/>
      <c r="AJ323" s="121"/>
      <c r="AK323" s="121"/>
      <c r="AL323" s="121"/>
      <c r="AM323" s="121"/>
      <c r="AN323" s="121"/>
      <c r="AO323" s="121"/>
      <c r="AP323" s="121"/>
      <c r="AQ323" s="121"/>
      <c r="AR323" s="121"/>
      <c r="AS323" s="121"/>
      <c r="AT323" s="121"/>
      <c r="AU323" s="121"/>
      <c r="AV323" s="156"/>
      <c r="AW323" s="156"/>
      <c r="AX323" s="156"/>
      <c r="AY323" s="156"/>
      <c r="AZ323" s="156">
        <v>1</v>
      </c>
      <c r="BA323" s="156"/>
      <c r="BB323" s="156"/>
      <c r="BC323" s="156"/>
      <c r="BD323" s="157"/>
      <c r="BE323" s="134"/>
      <c r="BF323" s="134"/>
      <c r="BG323" s="134"/>
      <c r="BH323" s="134"/>
      <c r="BI323" s="134"/>
      <c r="BJ323" s="259"/>
      <c r="BK323" s="138"/>
      <c r="BL323" s="134"/>
      <c r="BM323" s="134"/>
      <c r="BN323" s="134"/>
      <c r="BO323" s="138"/>
      <c r="BP323" s="134"/>
      <c r="BQ323" s="134"/>
      <c r="BR323" s="134"/>
      <c r="BS323" s="288"/>
      <c r="BT323" s="289"/>
      <c r="BU323" s="138"/>
      <c r="BV323" s="134"/>
      <c r="BW323" s="134"/>
      <c r="BX323" s="134"/>
      <c r="BY323" s="138"/>
      <c r="BZ323" s="134"/>
      <c r="CA323" s="134"/>
      <c r="CB323" s="134"/>
      <c r="CC323" s="288"/>
      <c r="CD323" s="289"/>
      <c r="CE323" s="276"/>
      <c r="CF323" s="308"/>
      <c r="CG323" s="138"/>
      <c r="CH323" s="134"/>
      <c r="CI323" s="134"/>
      <c r="CJ323" s="134"/>
      <c r="CK323" s="134"/>
      <c r="CL323" s="134"/>
      <c r="CM323" s="134"/>
      <c r="CN323" s="134"/>
      <c r="CO323" s="300"/>
      <c r="CP323" s="301"/>
      <c r="CQ323" s="134"/>
      <c r="CR323" s="134"/>
      <c r="CS323" s="134"/>
      <c r="CT323" s="134"/>
      <c r="CU323" s="134"/>
      <c r="CV323" s="134"/>
      <c r="CW323" s="134"/>
      <c r="CX323" s="134"/>
      <c r="CY323" s="300"/>
      <c r="CZ323" s="301"/>
      <c r="DA323" s="276"/>
      <c r="DB323" s="277"/>
      <c r="DC323" s="134"/>
      <c r="DD323" s="134"/>
      <c r="DE323" s="134"/>
      <c r="DF323" s="134"/>
      <c r="DG323" s="138"/>
      <c r="DH323" s="134"/>
      <c r="DI323" s="134"/>
      <c r="DJ323" s="134"/>
      <c r="DK323" s="301"/>
      <c r="DL323" s="301"/>
      <c r="DM323" s="134"/>
      <c r="DN323" s="134"/>
      <c r="DO323" s="134"/>
      <c r="DP323" s="134"/>
      <c r="DQ323" s="134"/>
      <c r="DR323" s="134"/>
      <c r="DS323" s="134"/>
      <c r="DT323" s="134"/>
      <c r="DU323" s="301"/>
      <c r="DV323" s="301"/>
      <c r="DW323" s="277"/>
      <c r="DX323" s="134"/>
      <c r="DY323" s="134"/>
      <c r="DZ323" s="134"/>
      <c r="EA323" s="134"/>
      <c r="EB323" s="134"/>
      <c r="EC323" s="134"/>
      <c r="ED323" s="134"/>
      <c r="EE323" s="134"/>
      <c r="EF323" s="301"/>
      <c r="EG323" s="301"/>
      <c r="EH323" s="134"/>
      <c r="EI323" s="134"/>
      <c r="EJ323" s="134"/>
      <c r="EK323" s="134"/>
    </row>
    <row r="324" spans="1:141">
      <c r="A324" s="79" t="s">
        <v>364</v>
      </c>
      <c r="B324" s="117">
        <v>260</v>
      </c>
      <c r="C324" s="123" t="s">
        <v>2047</v>
      </c>
      <c r="D324" s="124" t="s">
        <v>2288</v>
      </c>
      <c r="E324" s="125">
        <v>2005</v>
      </c>
      <c r="F324" s="79">
        <v>15962694</v>
      </c>
      <c r="G324" s="79">
        <v>1</v>
      </c>
      <c r="H324" s="126"/>
      <c r="I324" s="127"/>
      <c r="J324" s="79">
        <v>1</v>
      </c>
      <c r="K324" s="79"/>
      <c r="L324" s="79">
        <v>1</v>
      </c>
      <c r="M324" s="128">
        <v>1</v>
      </c>
      <c r="N324" s="79" t="s">
        <v>936</v>
      </c>
      <c r="O324" s="79" t="s">
        <v>1147</v>
      </c>
      <c r="P324" s="79" t="s">
        <v>25</v>
      </c>
      <c r="Q324" s="79">
        <v>1</v>
      </c>
      <c r="R324" s="79"/>
      <c r="S324" s="79"/>
      <c r="T324" s="79"/>
      <c r="U324" s="79" t="s">
        <v>935</v>
      </c>
      <c r="V324" s="79"/>
      <c r="W324" s="79"/>
      <c r="X324" s="79"/>
      <c r="Y324" s="79"/>
      <c r="Z324" s="79" t="s">
        <v>937</v>
      </c>
      <c r="AA324" s="154"/>
      <c r="AB324" s="155"/>
      <c r="AC324" s="121">
        <v>2</v>
      </c>
      <c r="AD324" s="202"/>
      <c r="AE324" s="192"/>
      <c r="AF324" s="203"/>
      <c r="AG324" s="121"/>
      <c r="AH324" s="121"/>
      <c r="AI324" s="121"/>
      <c r="AJ324" s="121"/>
      <c r="AK324" s="121"/>
      <c r="AL324" s="121"/>
      <c r="AM324" s="121"/>
      <c r="AN324" s="121"/>
      <c r="AO324" s="121"/>
      <c r="AP324" s="121"/>
      <c r="AQ324" s="121"/>
      <c r="AR324" s="121"/>
      <c r="AS324" s="121"/>
      <c r="AT324" s="121"/>
      <c r="AU324" s="121"/>
      <c r="AV324" s="156"/>
      <c r="AW324" s="156"/>
      <c r="AX324" s="156"/>
      <c r="AY324" s="156"/>
      <c r="AZ324" s="156">
        <v>1</v>
      </c>
      <c r="BA324" s="156"/>
      <c r="BB324" s="156"/>
      <c r="BC324" s="156"/>
      <c r="BD324" s="157"/>
      <c r="BE324" s="134"/>
      <c r="BF324" s="134"/>
      <c r="BG324" s="134"/>
      <c r="BH324" s="134"/>
      <c r="BI324" s="134"/>
      <c r="BJ324" s="259"/>
      <c r="BK324" s="138"/>
      <c r="BL324" s="134"/>
      <c r="BM324" s="134"/>
      <c r="BN324" s="134"/>
      <c r="BO324" s="138"/>
      <c r="BP324" s="134"/>
      <c r="BQ324" s="134"/>
      <c r="BR324" s="134"/>
      <c r="BS324" s="288"/>
      <c r="BT324" s="289"/>
      <c r="BU324" s="138"/>
      <c r="BV324" s="134"/>
      <c r="BW324" s="134"/>
      <c r="BX324" s="134"/>
      <c r="BY324" s="138"/>
      <c r="BZ324" s="134"/>
      <c r="CA324" s="134"/>
      <c r="CB324" s="134"/>
      <c r="CC324" s="288"/>
      <c r="CD324" s="289"/>
      <c r="CE324" s="276"/>
      <c r="CF324" s="308"/>
      <c r="CG324" s="138"/>
      <c r="CH324" s="134"/>
      <c r="CI324" s="134"/>
      <c r="CJ324" s="134"/>
      <c r="CK324" s="134"/>
      <c r="CL324" s="134"/>
      <c r="CM324" s="134"/>
      <c r="CN324" s="134"/>
      <c r="CO324" s="300"/>
      <c r="CP324" s="301"/>
      <c r="CQ324" s="134"/>
      <c r="CR324" s="134"/>
      <c r="CS324" s="134"/>
      <c r="CT324" s="134"/>
      <c r="CU324" s="134"/>
      <c r="CV324" s="134"/>
      <c r="CW324" s="134"/>
      <c r="CX324" s="134"/>
      <c r="CY324" s="300"/>
      <c r="CZ324" s="301"/>
      <c r="DA324" s="276"/>
      <c r="DB324" s="277"/>
      <c r="DC324" s="134"/>
      <c r="DD324" s="134"/>
      <c r="DE324" s="134"/>
      <c r="DF324" s="134"/>
      <c r="DG324" s="138"/>
      <c r="DH324" s="134"/>
      <c r="DI324" s="134"/>
      <c r="DJ324" s="134"/>
      <c r="DK324" s="301"/>
      <c r="DL324" s="301"/>
      <c r="DM324" s="134"/>
      <c r="DN324" s="134"/>
      <c r="DO324" s="134"/>
      <c r="DP324" s="134"/>
      <c r="DQ324" s="134"/>
      <c r="DR324" s="134"/>
      <c r="DS324" s="134"/>
      <c r="DT324" s="134"/>
      <c r="DU324" s="301"/>
      <c r="DV324" s="301"/>
      <c r="DW324" s="277"/>
      <c r="DX324" s="134"/>
      <c r="DY324" s="134"/>
      <c r="DZ324" s="134"/>
      <c r="EA324" s="134"/>
      <c r="EB324" s="134"/>
      <c r="EC324" s="134"/>
      <c r="ED324" s="134"/>
      <c r="EE324" s="134"/>
      <c r="EF324" s="301"/>
      <c r="EG324" s="301"/>
      <c r="EH324" s="134"/>
      <c r="EI324" s="134"/>
      <c r="EJ324" s="134"/>
      <c r="EK324" s="134"/>
    </row>
    <row r="325" spans="1:141">
      <c r="A325" s="79" t="s">
        <v>365</v>
      </c>
      <c r="B325" s="117">
        <v>261</v>
      </c>
      <c r="C325" s="123" t="s">
        <v>2047</v>
      </c>
      <c r="D325" s="124" t="s">
        <v>2289</v>
      </c>
      <c r="E325" s="125">
        <v>2007</v>
      </c>
      <c r="F325" s="79">
        <v>17392739</v>
      </c>
      <c r="G325" s="79">
        <v>1</v>
      </c>
      <c r="H325" s="126"/>
      <c r="I325" s="127"/>
      <c r="J325" s="79">
        <v>1</v>
      </c>
      <c r="K325" s="79"/>
      <c r="L325" s="79">
        <v>1</v>
      </c>
      <c r="M325" s="128">
        <v>1</v>
      </c>
      <c r="N325" s="79" t="s">
        <v>938</v>
      </c>
      <c r="O325" s="79" t="s">
        <v>1153</v>
      </c>
      <c r="P325" s="79" t="s">
        <v>25</v>
      </c>
      <c r="Q325" s="79">
        <v>1</v>
      </c>
      <c r="R325" s="79"/>
      <c r="S325" s="79"/>
      <c r="T325" s="79"/>
      <c r="U325" s="79" t="s">
        <v>938</v>
      </c>
      <c r="V325" s="79"/>
      <c r="W325" s="79" t="s">
        <v>565</v>
      </c>
      <c r="X325" s="79"/>
      <c r="Y325" s="79"/>
      <c r="Z325" s="79"/>
      <c r="AA325" s="154"/>
      <c r="AB325" s="155"/>
      <c r="AC325" s="121">
        <v>2</v>
      </c>
      <c r="AD325" s="202"/>
      <c r="AE325" s="192"/>
      <c r="AF325" s="203"/>
      <c r="AG325" s="121"/>
      <c r="AH325" s="121"/>
      <c r="AI325" s="121"/>
      <c r="AJ325" s="121"/>
      <c r="AK325" s="121"/>
      <c r="AL325" s="121"/>
      <c r="AM325" s="121"/>
      <c r="AN325" s="121"/>
      <c r="AO325" s="121"/>
      <c r="AP325" s="121"/>
      <c r="AQ325" s="121"/>
      <c r="AR325" s="121"/>
      <c r="AS325" s="121"/>
      <c r="AT325" s="121"/>
      <c r="AU325" s="121"/>
      <c r="AV325" s="156"/>
      <c r="AW325" s="156"/>
      <c r="AX325" s="156"/>
      <c r="AY325" s="156"/>
      <c r="AZ325" s="156">
        <v>1</v>
      </c>
      <c r="BA325" s="156">
        <v>1</v>
      </c>
      <c r="BB325" s="156"/>
      <c r="BC325" s="156"/>
      <c r="BD325" s="157"/>
      <c r="BE325" s="134"/>
      <c r="BF325" s="134"/>
      <c r="BG325" s="134"/>
      <c r="BH325" s="134"/>
      <c r="BI325" s="134"/>
      <c r="BJ325" s="259"/>
      <c r="BK325" s="138"/>
      <c r="BL325" s="134"/>
      <c r="BM325" s="134"/>
      <c r="BN325" s="134"/>
      <c r="BO325" s="138"/>
      <c r="BP325" s="134"/>
      <c r="BQ325" s="134"/>
      <c r="BR325" s="134"/>
      <c r="BS325" s="288"/>
      <c r="BT325" s="289"/>
      <c r="BU325" s="138"/>
      <c r="BV325" s="134"/>
      <c r="BW325" s="134"/>
      <c r="BX325" s="134"/>
      <c r="BY325" s="138"/>
      <c r="BZ325" s="134"/>
      <c r="CA325" s="134"/>
      <c r="CB325" s="134"/>
      <c r="CC325" s="288"/>
      <c r="CD325" s="289"/>
      <c r="CE325" s="276"/>
      <c r="CF325" s="308"/>
      <c r="CG325" s="138"/>
      <c r="CH325" s="134"/>
      <c r="CI325" s="134"/>
      <c r="CJ325" s="134"/>
      <c r="CK325" s="134"/>
      <c r="CL325" s="134"/>
      <c r="CM325" s="134"/>
      <c r="CN325" s="134"/>
      <c r="CO325" s="300"/>
      <c r="CP325" s="301"/>
      <c r="CQ325" s="134"/>
      <c r="CR325" s="134"/>
      <c r="CS325" s="134"/>
      <c r="CT325" s="134"/>
      <c r="CU325" s="134"/>
      <c r="CV325" s="134"/>
      <c r="CW325" s="134"/>
      <c r="CX325" s="134"/>
      <c r="CY325" s="300"/>
      <c r="CZ325" s="301"/>
      <c r="DA325" s="276"/>
      <c r="DB325" s="277"/>
      <c r="DC325" s="134"/>
      <c r="DD325" s="134"/>
      <c r="DE325" s="134"/>
      <c r="DF325" s="134"/>
      <c r="DG325" s="138"/>
      <c r="DH325" s="134"/>
      <c r="DI325" s="134"/>
      <c r="DJ325" s="134"/>
      <c r="DK325" s="301"/>
      <c r="DL325" s="301"/>
      <c r="DM325" s="134"/>
      <c r="DN325" s="134"/>
      <c r="DO325" s="134"/>
      <c r="DP325" s="134"/>
      <c r="DQ325" s="134"/>
      <c r="DR325" s="134"/>
      <c r="DS325" s="134"/>
      <c r="DT325" s="134"/>
      <c r="DU325" s="301"/>
      <c r="DV325" s="301"/>
      <c r="DW325" s="277"/>
      <c r="DX325" s="134"/>
      <c r="DY325" s="134"/>
      <c r="DZ325" s="134"/>
      <c r="EA325" s="134"/>
      <c r="EB325" s="134"/>
      <c r="EC325" s="134"/>
      <c r="ED325" s="134"/>
      <c r="EE325" s="134"/>
      <c r="EF325" s="301"/>
      <c r="EG325" s="301"/>
      <c r="EH325" s="134"/>
      <c r="EI325" s="134"/>
      <c r="EJ325" s="134"/>
      <c r="EK325" s="134"/>
    </row>
    <row r="326" spans="1:141">
      <c r="A326" s="79" t="s">
        <v>361</v>
      </c>
      <c r="B326" s="117">
        <v>262</v>
      </c>
      <c r="C326" s="123" t="s">
        <v>2047</v>
      </c>
      <c r="D326" s="124" t="s">
        <v>2290</v>
      </c>
      <c r="E326" s="125">
        <v>1995</v>
      </c>
      <c r="F326" s="79">
        <v>7802106</v>
      </c>
      <c r="G326" s="79">
        <v>1</v>
      </c>
      <c r="H326" s="126"/>
      <c r="I326" s="127"/>
      <c r="J326" s="79">
        <v>1</v>
      </c>
      <c r="K326" s="79"/>
      <c r="L326" s="79">
        <v>1</v>
      </c>
      <c r="M326" s="128">
        <v>1</v>
      </c>
      <c r="N326" s="79" t="s">
        <v>931</v>
      </c>
      <c r="O326" s="79" t="s">
        <v>1154</v>
      </c>
      <c r="P326" s="79" t="s">
        <v>819</v>
      </c>
      <c r="Q326" s="79">
        <v>1</v>
      </c>
      <c r="R326" s="79"/>
      <c r="S326" s="79"/>
      <c r="T326" s="79"/>
      <c r="U326" s="79" t="s">
        <v>930</v>
      </c>
      <c r="V326" s="79"/>
      <c r="W326" s="79"/>
      <c r="X326" s="79"/>
      <c r="Y326" s="79"/>
      <c r="Z326" s="79"/>
      <c r="AA326" s="154"/>
      <c r="AB326" s="155"/>
      <c r="AC326" s="121">
        <v>2</v>
      </c>
      <c r="AD326" s="202"/>
      <c r="AE326" s="192"/>
      <c r="AF326" s="203"/>
      <c r="AG326" s="121"/>
      <c r="AH326" s="121"/>
      <c r="AI326" s="121"/>
      <c r="AJ326" s="121"/>
      <c r="AK326" s="121"/>
      <c r="AL326" s="121"/>
      <c r="AM326" s="121"/>
      <c r="AN326" s="121"/>
      <c r="AO326" s="121"/>
      <c r="AP326" s="121"/>
      <c r="AQ326" s="121"/>
      <c r="AR326" s="121"/>
      <c r="AS326" s="121"/>
      <c r="AT326" s="121"/>
      <c r="AU326" s="121"/>
      <c r="AV326" s="156"/>
      <c r="AW326" s="156"/>
      <c r="AX326" s="156">
        <v>1</v>
      </c>
      <c r="AY326" s="156"/>
      <c r="AZ326" s="156">
        <v>1</v>
      </c>
      <c r="BA326" s="156"/>
      <c r="BB326" s="156"/>
      <c r="BC326" s="156"/>
      <c r="BD326" s="157"/>
      <c r="BE326" s="134"/>
      <c r="BF326" s="134"/>
      <c r="BG326" s="134"/>
      <c r="BH326" s="134"/>
      <c r="BI326" s="134"/>
      <c r="BJ326" s="259"/>
      <c r="BK326" s="138"/>
      <c r="BL326" s="134"/>
      <c r="BM326" s="134"/>
      <c r="BN326" s="134"/>
      <c r="BO326" s="138"/>
      <c r="BP326" s="134"/>
      <c r="BQ326" s="134"/>
      <c r="BR326" s="134"/>
      <c r="BS326" s="288"/>
      <c r="BT326" s="289"/>
      <c r="BU326" s="138"/>
      <c r="BV326" s="134"/>
      <c r="BW326" s="134"/>
      <c r="BX326" s="134"/>
      <c r="BY326" s="138"/>
      <c r="BZ326" s="134"/>
      <c r="CA326" s="134"/>
      <c r="CB326" s="134"/>
      <c r="CC326" s="288"/>
      <c r="CD326" s="289"/>
      <c r="CE326" s="276"/>
      <c r="CF326" s="308"/>
      <c r="CG326" s="138"/>
      <c r="CH326" s="134"/>
      <c r="CI326" s="134"/>
      <c r="CJ326" s="134"/>
      <c r="CK326" s="134"/>
      <c r="CL326" s="134"/>
      <c r="CM326" s="134"/>
      <c r="CN326" s="134"/>
      <c r="CO326" s="300"/>
      <c r="CP326" s="301"/>
      <c r="CQ326" s="134"/>
      <c r="CR326" s="134"/>
      <c r="CS326" s="134"/>
      <c r="CT326" s="134"/>
      <c r="CU326" s="134"/>
      <c r="CV326" s="134"/>
      <c r="CW326" s="134"/>
      <c r="CX326" s="134"/>
      <c r="CY326" s="300"/>
      <c r="CZ326" s="301"/>
      <c r="DA326" s="276"/>
      <c r="DB326" s="277"/>
      <c r="DC326" s="134"/>
      <c r="DD326" s="134"/>
      <c r="DE326" s="134"/>
      <c r="DF326" s="134"/>
      <c r="DG326" s="138"/>
      <c r="DH326" s="134"/>
      <c r="DI326" s="134"/>
      <c r="DJ326" s="134"/>
      <c r="DK326" s="301"/>
      <c r="DL326" s="301"/>
      <c r="DM326" s="134"/>
      <c r="DN326" s="134"/>
      <c r="DO326" s="134"/>
      <c r="DP326" s="134"/>
      <c r="DQ326" s="134"/>
      <c r="DR326" s="134"/>
      <c r="DS326" s="134"/>
      <c r="DT326" s="134"/>
      <c r="DU326" s="301"/>
      <c r="DV326" s="301"/>
      <c r="DW326" s="277"/>
      <c r="DX326" s="134"/>
      <c r="DY326" s="134"/>
      <c r="DZ326" s="134"/>
      <c r="EA326" s="134"/>
      <c r="EB326" s="134"/>
      <c r="EC326" s="134"/>
      <c r="ED326" s="134"/>
      <c r="EE326" s="134"/>
      <c r="EF326" s="301"/>
      <c r="EG326" s="301"/>
      <c r="EH326" s="134"/>
      <c r="EI326" s="134"/>
      <c r="EJ326" s="134"/>
      <c r="EK326" s="134"/>
    </row>
    <row r="327" spans="1:141">
      <c r="A327" s="79" t="s">
        <v>366</v>
      </c>
      <c r="B327" s="117">
        <v>263</v>
      </c>
      <c r="C327" s="123" t="s">
        <v>2048</v>
      </c>
      <c r="D327" s="124" t="s">
        <v>2291</v>
      </c>
      <c r="E327" s="125">
        <v>1994</v>
      </c>
      <c r="F327" s="79">
        <v>9465143</v>
      </c>
      <c r="G327" s="175" t="s">
        <v>1796</v>
      </c>
      <c r="H327" s="126"/>
      <c r="I327" s="127"/>
      <c r="J327" s="79">
        <v>1</v>
      </c>
      <c r="K327" s="79"/>
      <c r="L327" s="79">
        <v>1</v>
      </c>
      <c r="M327" s="128">
        <v>1</v>
      </c>
      <c r="N327" s="79" t="s">
        <v>940</v>
      </c>
      <c r="O327" s="79" t="s">
        <v>1147</v>
      </c>
      <c r="P327" s="79" t="s">
        <v>25</v>
      </c>
      <c r="Q327" s="79">
        <v>1</v>
      </c>
      <c r="R327" s="79"/>
      <c r="S327" s="79"/>
      <c r="T327" s="79"/>
      <c r="U327" s="79" t="s">
        <v>939</v>
      </c>
      <c r="V327" s="79"/>
      <c r="W327" s="79"/>
      <c r="X327" s="79"/>
      <c r="Y327" s="79"/>
      <c r="Z327" s="79"/>
      <c r="AA327" s="154"/>
      <c r="AB327" s="155"/>
      <c r="AC327" s="121">
        <v>2</v>
      </c>
      <c r="AD327" s="202"/>
      <c r="AE327" s="192"/>
      <c r="AF327" s="203"/>
      <c r="AG327" s="121"/>
      <c r="AH327" s="121"/>
      <c r="AI327" s="121"/>
      <c r="AJ327" s="121"/>
      <c r="AK327" s="121"/>
      <c r="AL327" s="121"/>
      <c r="AM327" s="121"/>
      <c r="AN327" s="121"/>
      <c r="AO327" s="121"/>
      <c r="AP327" s="121"/>
      <c r="AQ327" s="121"/>
      <c r="AR327" s="121"/>
      <c r="AS327" s="121"/>
      <c r="AT327" s="121"/>
      <c r="AU327" s="121"/>
      <c r="AV327" s="156"/>
      <c r="AW327" s="156"/>
      <c r="AX327" s="156"/>
      <c r="AY327" s="156"/>
      <c r="AZ327" s="156">
        <v>1</v>
      </c>
      <c r="BA327" s="156"/>
      <c r="BB327" s="156"/>
      <c r="BC327" s="156"/>
      <c r="BD327" s="157"/>
      <c r="BE327" s="134"/>
      <c r="BF327" s="134"/>
      <c r="BG327" s="134"/>
      <c r="BH327" s="134"/>
      <c r="BI327" s="134"/>
      <c r="BJ327" s="259"/>
      <c r="BK327" s="138"/>
      <c r="BL327" s="134"/>
      <c r="BM327" s="134"/>
      <c r="BN327" s="134"/>
      <c r="BO327" s="138"/>
      <c r="BP327" s="134"/>
      <c r="BQ327" s="134"/>
      <c r="BR327" s="134"/>
      <c r="BS327" s="288"/>
      <c r="BT327" s="289"/>
      <c r="BU327" s="138"/>
      <c r="BV327" s="134"/>
      <c r="BW327" s="134"/>
      <c r="BX327" s="134"/>
      <c r="BY327" s="138"/>
      <c r="BZ327" s="134"/>
      <c r="CA327" s="134"/>
      <c r="CB327" s="134"/>
      <c r="CC327" s="288"/>
      <c r="CD327" s="289"/>
      <c r="CE327" s="276"/>
      <c r="CF327" s="308"/>
      <c r="CG327" s="138"/>
      <c r="CH327" s="134"/>
      <c r="CI327" s="134"/>
      <c r="CJ327" s="134"/>
      <c r="CK327" s="134"/>
      <c r="CL327" s="134"/>
      <c r="CM327" s="134"/>
      <c r="CN327" s="134"/>
      <c r="CO327" s="300"/>
      <c r="CP327" s="301"/>
      <c r="CQ327" s="134"/>
      <c r="CR327" s="134"/>
      <c r="CS327" s="134"/>
      <c r="CT327" s="134"/>
      <c r="CU327" s="134"/>
      <c r="CV327" s="134"/>
      <c r="CW327" s="134"/>
      <c r="CX327" s="134"/>
      <c r="CY327" s="300"/>
      <c r="CZ327" s="301"/>
      <c r="DA327" s="276"/>
      <c r="DB327" s="277"/>
      <c r="DC327" s="134"/>
      <c r="DD327" s="134"/>
      <c r="DE327" s="134"/>
      <c r="DF327" s="134"/>
      <c r="DG327" s="138"/>
      <c r="DH327" s="134"/>
      <c r="DI327" s="134"/>
      <c r="DJ327" s="134"/>
      <c r="DK327" s="301"/>
      <c r="DL327" s="301"/>
      <c r="DM327" s="134"/>
      <c r="DN327" s="134"/>
      <c r="DO327" s="134"/>
      <c r="DP327" s="134"/>
      <c r="DQ327" s="134"/>
      <c r="DR327" s="134"/>
      <c r="DS327" s="134"/>
      <c r="DT327" s="134"/>
      <c r="DU327" s="301"/>
      <c r="DV327" s="301"/>
      <c r="DW327" s="277"/>
      <c r="DX327" s="134"/>
      <c r="DY327" s="134"/>
      <c r="DZ327" s="134"/>
      <c r="EA327" s="134"/>
      <c r="EB327" s="134"/>
      <c r="EC327" s="134"/>
      <c r="ED327" s="134"/>
      <c r="EE327" s="134"/>
      <c r="EF327" s="301"/>
      <c r="EG327" s="301"/>
      <c r="EH327" s="134"/>
      <c r="EI327" s="134"/>
      <c r="EJ327" s="134"/>
      <c r="EK327" s="134"/>
    </row>
    <row r="328" spans="1:141" ht="17" thickBot="1">
      <c r="A328" s="79" t="s">
        <v>943</v>
      </c>
      <c r="B328" s="117">
        <v>264</v>
      </c>
      <c r="C328" s="123" t="s">
        <v>2132</v>
      </c>
      <c r="D328" s="124" t="s">
        <v>2396</v>
      </c>
      <c r="E328" s="125">
        <v>2008</v>
      </c>
      <c r="F328" s="79">
        <v>18534828</v>
      </c>
      <c r="G328" s="79">
        <v>1</v>
      </c>
      <c r="H328" s="126" t="s">
        <v>1803</v>
      </c>
      <c r="I328" s="127"/>
      <c r="J328" s="79">
        <v>0</v>
      </c>
      <c r="K328" s="79"/>
      <c r="L328" s="79">
        <v>0</v>
      </c>
      <c r="M328" s="128">
        <v>2</v>
      </c>
      <c r="N328" s="79" t="s">
        <v>1421</v>
      </c>
      <c r="O328" s="79"/>
      <c r="P328" s="79" t="s">
        <v>1130</v>
      </c>
      <c r="Q328" s="79"/>
      <c r="R328" s="79" t="s">
        <v>1495</v>
      </c>
      <c r="S328" s="79"/>
      <c r="T328" s="79"/>
      <c r="U328" s="79" t="s">
        <v>1646</v>
      </c>
      <c r="V328" s="79"/>
      <c r="W328" s="79"/>
      <c r="X328" s="79"/>
      <c r="Y328" s="79" t="s">
        <v>1645</v>
      </c>
      <c r="Z328" s="79" t="s">
        <v>1260</v>
      </c>
      <c r="AA328" s="178"/>
      <c r="AB328" s="179"/>
      <c r="AC328" s="121">
        <v>4</v>
      </c>
      <c r="AD328" s="208"/>
      <c r="AE328" s="209"/>
      <c r="AF328" s="210"/>
      <c r="AG328" s="121"/>
      <c r="AH328" s="121"/>
      <c r="AI328" s="121"/>
      <c r="AJ328" s="121"/>
      <c r="AK328" s="121"/>
      <c r="AL328" s="121"/>
      <c r="AM328" s="121"/>
      <c r="AN328" s="121"/>
      <c r="AO328" s="121"/>
      <c r="AP328" s="121"/>
      <c r="AQ328" s="121"/>
      <c r="AR328" s="121"/>
      <c r="AS328" s="121"/>
      <c r="AT328" s="121"/>
      <c r="AU328" s="121"/>
      <c r="AV328" s="156"/>
      <c r="AW328" s="156"/>
      <c r="AX328" s="156"/>
      <c r="AY328" s="156"/>
      <c r="AZ328" s="156"/>
      <c r="BA328" s="156"/>
      <c r="BB328" s="156"/>
      <c r="BC328" s="156"/>
      <c r="BD328" s="157"/>
      <c r="BE328" s="134"/>
      <c r="BF328" s="134"/>
      <c r="BG328" s="134"/>
      <c r="BH328" s="134"/>
      <c r="BI328" s="134"/>
      <c r="BJ328" s="259"/>
      <c r="BK328" s="138"/>
      <c r="BL328" s="134"/>
      <c r="BM328" s="134"/>
      <c r="BN328" s="134"/>
      <c r="BO328" s="138"/>
      <c r="BP328" s="134"/>
      <c r="BQ328" s="134"/>
      <c r="BR328" s="134"/>
      <c r="BS328" s="288"/>
      <c r="BT328" s="289"/>
      <c r="BU328" s="138"/>
      <c r="BV328" s="134"/>
      <c r="BW328" s="134"/>
      <c r="BX328" s="134"/>
      <c r="BY328" s="138"/>
      <c r="BZ328" s="134"/>
      <c r="CA328" s="134"/>
      <c r="CB328" s="134"/>
      <c r="CC328" s="288"/>
      <c r="CD328" s="289"/>
      <c r="CE328" s="276"/>
      <c r="CF328" s="308"/>
      <c r="CG328" s="138"/>
      <c r="CH328" s="134"/>
      <c r="CI328" s="134"/>
      <c r="CJ328" s="134"/>
      <c r="CK328" s="134"/>
      <c r="CL328" s="134"/>
      <c r="CM328" s="134"/>
      <c r="CN328" s="134"/>
      <c r="CO328" s="300"/>
      <c r="CP328" s="301"/>
      <c r="CQ328" s="134"/>
      <c r="CR328" s="134"/>
      <c r="CS328" s="134"/>
      <c r="CT328" s="134"/>
      <c r="CU328" s="134"/>
      <c r="CV328" s="134"/>
      <c r="CW328" s="134"/>
      <c r="CX328" s="134"/>
      <c r="CY328" s="300"/>
      <c r="CZ328" s="301"/>
      <c r="DA328" s="276"/>
      <c r="DB328" s="277"/>
      <c r="DC328" s="134"/>
      <c r="DD328" s="134"/>
      <c r="DE328" s="134"/>
      <c r="DF328" s="134"/>
      <c r="DG328" s="138"/>
      <c r="DH328" s="134"/>
      <c r="DI328" s="134"/>
      <c r="DJ328" s="134"/>
      <c r="DK328" s="301"/>
      <c r="DL328" s="301"/>
      <c r="DM328" s="134"/>
      <c r="DN328" s="134"/>
      <c r="DO328" s="134"/>
      <c r="DP328" s="134"/>
      <c r="DQ328" s="134"/>
      <c r="DR328" s="134"/>
      <c r="DS328" s="134"/>
      <c r="DT328" s="134"/>
      <c r="DU328" s="301"/>
      <c r="DV328" s="301"/>
      <c r="DW328" s="277"/>
      <c r="DX328" s="134"/>
      <c r="DY328" s="134"/>
      <c r="DZ328" s="134"/>
      <c r="EA328" s="134"/>
      <c r="EB328" s="134"/>
      <c r="EC328" s="134"/>
      <c r="ED328" s="134"/>
      <c r="EE328" s="134"/>
      <c r="EF328" s="301"/>
      <c r="EG328" s="301"/>
      <c r="EH328" s="134"/>
      <c r="EI328" s="134"/>
      <c r="EJ328" s="134"/>
      <c r="EK328" s="134"/>
    </row>
    <row r="329" spans="1:141" ht="17" thickBot="1">
      <c r="A329" s="116"/>
      <c r="B329" s="362">
        <f>SUM(G1:G328)</f>
        <v>324</v>
      </c>
      <c r="C329" s="116"/>
      <c r="D329" s="109"/>
      <c r="E329" s="109"/>
      <c r="F329" s="109"/>
      <c r="G329" s="109"/>
      <c r="H329" s="109"/>
      <c r="I329" s="109"/>
      <c r="J329" s="109"/>
      <c r="K329" s="109"/>
      <c r="L329" s="109"/>
      <c r="M329" s="109"/>
      <c r="N329" s="109"/>
      <c r="O329" s="109"/>
      <c r="P329" s="109"/>
      <c r="Q329" s="109"/>
      <c r="R329" s="109"/>
      <c r="S329" s="109"/>
      <c r="T329" s="109"/>
      <c r="U329" s="110"/>
    </row>
  </sheetData>
  <sheetProtection password="DB7D" sheet="1" objects="1" scenarios="1"/>
  <pageMargins left="0.7" right="0.7" top="0.75" bottom="0.75" header="0.3" footer="0.3"/>
  <pageSetup paperSize="9" orientation="landscape" horizontalDpi="0" verticalDpi="0"/>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IZ381"/>
  <sheetViews>
    <sheetView workbookViewId="0">
      <pane xSplit="1" topLeftCell="B1" activePane="topRight" state="frozen"/>
      <selection pane="topRight" activeCell="Y19" sqref="Y19"/>
    </sheetView>
  </sheetViews>
  <sheetFormatPr baseColWidth="10" defaultColWidth="10.83203125" defaultRowHeight="16"/>
  <cols>
    <col min="1" max="1" width="7.83203125" style="3" customWidth="1"/>
    <col min="2" max="3" width="7.83203125" style="495" customWidth="1"/>
    <col min="4" max="31" width="7.83203125" style="3" customWidth="1"/>
    <col min="32" max="32" width="7.83203125" style="229" customWidth="1"/>
    <col min="33" max="37" width="7.83203125" style="3" customWidth="1"/>
    <col min="38" max="40" width="7.83203125" style="496" customWidth="1"/>
    <col min="41" max="55" width="7.83203125" style="3" customWidth="1"/>
    <col min="56" max="56" width="7.83203125" style="273" customWidth="1"/>
    <col min="57" max="63" width="7.83203125" style="3" customWidth="1"/>
    <col min="64" max="64" width="7.83203125" style="273" customWidth="1"/>
    <col min="65" max="70" width="7.83203125" style="3" customWidth="1"/>
    <col min="71" max="72" width="7.83203125" style="26" customWidth="1"/>
    <col min="73" max="73" width="7.83203125" style="520" customWidth="1"/>
    <col min="74" max="74" width="7.83203125" style="521" customWidth="1"/>
    <col min="75" max="75" width="7.83203125" style="3" customWidth="1"/>
    <col min="76" max="76" width="7.83203125" style="273" customWidth="1"/>
    <col min="77" max="82" width="7.83203125" style="3" customWidth="1"/>
    <col min="83" max="84" width="7.83203125" style="494" customWidth="1"/>
    <col min="85" max="85" width="7.83203125" style="3" customWidth="1"/>
    <col min="86" max="86" width="7.83203125" style="273" customWidth="1"/>
    <col min="87" max="95" width="7.83203125" style="3" customWidth="1"/>
    <col min="96" max="96" width="7.83203125" style="273" customWidth="1"/>
    <col min="97" max="97" width="7.83203125" style="3" customWidth="1"/>
    <col min="98" max="98" width="7.83203125" style="273" customWidth="1"/>
    <col min="99" max="104" width="7.83203125" style="3" customWidth="1"/>
    <col min="105" max="105" width="7.83203125" style="493" customWidth="1"/>
    <col min="106" max="262" width="7.83203125" style="3" customWidth="1"/>
    <col min="263" max="16384" width="10.83203125" style="3"/>
  </cols>
  <sheetData>
    <row r="1" spans="1:260" customFormat="1" ht="17" customHeight="1">
      <c r="A1" s="87" t="s">
        <v>367</v>
      </c>
      <c r="B1" s="505" t="s">
        <v>3817</v>
      </c>
      <c r="C1" s="361" t="s">
        <v>3818</v>
      </c>
      <c r="D1" s="361" t="s">
        <v>6155</v>
      </c>
      <c r="E1" s="87" t="s">
        <v>2134</v>
      </c>
      <c r="F1" s="87" t="s">
        <v>2135</v>
      </c>
      <c r="G1" s="87" t="s">
        <v>2398</v>
      </c>
      <c r="H1" s="87" t="s">
        <v>0</v>
      </c>
      <c r="I1" s="87" t="s">
        <v>1794</v>
      </c>
      <c r="J1" s="88" t="s">
        <v>1789</v>
      </c>
      <c r="K1" s="89" t="s">
        <v>1770</v>
      </c>
      <c r="L1" s="87" t="s">
        <v>1727</v>
      </c>
      <c r="M1" s="87" t="s">
        <v>1728</v>
      </c>
      <c r="N1" s="87" t="s">
        <v>1</v>
      </c>
      <c r="O1" s="107" t="s">
        <v>1906</v>
      </c>
      <c r="P1" s="87" t="s">
        <v>1237</v>
      </c>
      <c r="Q1" s="87" t="s">
        <v>40</v>
      </c>
      <c r="R1" s="68" t="s">
        <v>1910</v>
      </c>
      <c r="S1" s="87" t="s">
        <v>1907</v>
      </c>
      <c r="T1" s="87" t="s">
        <v>6</v>
      </c>
      <c r="U1" s="87" t="s">
        <v>1122</v>
      </c>
      <c r="V1" s="87" t="s">
        <v>1120</v>
      </c>
      <c r="W1" s="87" t="s">
        <v>5</v>
      </c>
      <c r="X1" s="87" t="s">
        <v>3</v>
      </c>
      <c r="Y1" s="87" t="s">
        <v>4</v>
      </c>
      <c r="Z1" s="87" t="s">
        <v>507</v>
      </c>
      <c r="AA1" s="87" t="s">
        <v>1650</v>
      </c>
      <c r="AB1" s="87" t="s">
        <v>1909</v>
      </c>
      <c r="AC1" s="561" t="s">
        <v>6167</v>
      </c>
      <c r="AD1" s="561" t="s">
        <v>6156</v>
      </c>
      <c r="AE1" s="561" t="s">
        <v>6329</v>
      </c>
      <c r="AF1" s="112" t="s">
        <v>1879</v>
      </c>
      <c r="AG1" s="113" t="s">
        <v>1880</v>
      </c>
      <c r="AH1" s="68" t="s">
        <v>2686</v>
      </c>
      <c r="AI1" s="483" t="s">
        <v>4704</v>
      </c>
      <c r="AJ1" s="193" t="s">
        <v>2472</v>
      </c>
      <c r="AK1" s="194" t="s">
        <v>4368</v>
      </c>
      <c r="AL1" s="195" t="s">
        <v>2692</v>
      </c>
      <c r="AM1" s="111" t="s">
        <v>1868</v>
      </c>
      <c r="AN1" s="111" t="s">
        <v>1869</v>
      </c>
      <c r="AO1" s="111" t="s">
        <v>1870</v>
      </c>
      <c r="AP1" s="111" t="s">
        <v>2935</v>
      </c>
      <c r="AQ1" s="111" t="s">
        <v>2936</v>
      </c>
      <c r="AR1" s="111" t="s">
        <v>2937</v>
      </c>
      <c r="AS1" s="111" t="s">
        <v>2938</v>
      </c>
      <c r="AT1" s="111" t="s">
        <v>2939</v>
      </c>
      <c r="AU1" s="111" t="s">
        <v>2940</v>
      </c>
      <c r="AV1" s="111" t="s">
        <v>1871</v>
      </c>
      <c r="AW1" s="111" t="s">
        <v>3315</v>
      </c>
      <c r="AX1" s="111" t="s">
        <v>3314</v>
      </c>
      <c r="AY1" s="111" t="s">
        <v>2422</v>
      </c>
      <c r="AZ1" s="111" t="s">
        <v>2604</v>
      </c>
      <c r="BA1" s="111" t="s">
        <v>1872</v>
      </c>
      <c r="BB1" s="111" t="s">
        <v>1421</v>
      </c>
      <c r="BC1" s="111" t="s">
        <v>6172</v>
      </c>
      <c r="BD1" s="115" t="s">
        <v>1911</v>
      </c>
      <c r="BE1" s="115" t="s">
        <v>2543</v>
      </c>
      <c r="BF1" s="115" t="s">
        <v>1912</v>
      </c>
      <c r="BG1" s="115" t="s">
        <v>1918</v>
      </c>
      <c r="BH1" s="115" t="s">
        <v>3864</v>
      </c>
      <c r="BI1" s="115" t="s">
        <v>3944</v>
      </c>
      <c r="BJ1" s="115" t="s">
        <v>1913</v>
      </c>
      <c r="BK1" s="115" t="s">
        <v>3865</v>
      </c>
      <c r="BL1" s="115" t="s">
        <v>609</v>
      </c>
      <c r="BM1" s="115" t="s">
        <v>1916</v>
      </c>
      <c r="BN1" s="115" t="s">
        <v>3997</v>
      </c>
      <c r="BO1" s="115" t="s">
        <v>3999</v>
      </c>
      <c r="BP1" s="115" t="s">
        <v>1915</v>
      </c>
      <c r="BQ1" s="117" t="s">
        <v>2447</v>
      </c>
      <c r="BR1" s="252" t="s">
        <v>1873</v>
      </c>
      <c r="BS1" s="252" t="s">
        <v>2409</v>
      </c>
      <c r="BT1" s="252" t="s">
        <v>2466</v>
      </c>
      <c r="BU1" s="252" t="s">
        <v>2469</v>
      </c>
      <c r="BV1" s="252" t="s">
        <v>2399</v>
      </c>
      <c r="BW1" s="254" t="s">
        <v>2525</v>
      </c>
      <c r="BX1" s="252" t="s">
        <v>2417</v>
      </c>
      <c r="BY1" s="252" t="s">
        <v>2401</v>
      </c>
      <c r="BZ1" s="252" t="s">
        <v>2509</v>
      </c>
      <c r="CA1" s="252" t="s">
        <v>2510</v>
      </c>
      <c r="CB1" s="252" t="s">
        <v>2419</v>
      </c>
      <c r="CC1" s="252" t="s">
        <v>2402</v>
      </c>
      <c r="CD1" s="252" t="s">
        <v>2511</v>
      </c>
      <c r="CE1" s="252" t="s">
        <v>2512</v>
      </c>
      <c r="CF1" s="286" t="s">
        <v>2427</v>
      </c>
      <c r="CG1" s="287" t="s">
        <v>2426</v>
      </c>
      <c r="CH1" s="252" t="s">
        <v>2421</v>
      </c>
      <c r="CI1" s="252" t="s">
        <v>2403</v>
      </c>
      <c r="CJ1" s="252" t="s">
        <v>2513</v>
      </c>
      <c r="CK1" s="252" t="s">
        <v>2514</v>
      </c>
      <c r="CL1" s="252" t="s">
        <v>2433</v>
      </c>
      <c r="CM1" s="270" t="s">
        <v>2404</v>
      </c>
      <c r="CN1" s="270" t="s">
        <v>2515</v>
      </c>
      <c r="CO1" s="252" t="s">
        <v>2516</v>
      </c>
      <c r="CP1" s="286" t="s">
        <v>2428</v>
      </c>
      <c r="CQ1" s="287" t="s">
        <v>2429</v>
      </c>
      <c r="CR1" s="274" t="s">
        <v>2430</v>
      </c>
      <c r="CS1" s="275" t="s">
        <v>2431</v>
      </c>
      <c r="CT1" s="252" t="s">
        <v>2432</v>
      </c>
      <c r="CU1" s="252" t="s">
        <v>2405</v>
      </c>
      <c r="CV1" s="252" t="s">
        <v>2517</v>
      </c>
      <c r="CW1" s="252" t="s">
        <v>2518</v>
      </c>
      <c r="CX1" s="252" t="s">
        <v>2435</v>
      </c>
      <c r="CY1" s="252" t="s">
        <v>2406</v>
      </c>
      <c r="CZ1" s="252" t="s">
        <v>2519</v>
      </c>
      <c r="DA1" s="252" t="s">
        <v>2520</v>
      </c>
      <c r="DB1" s="298" t="s">
        <v>2489</v>
      </c>
      <c r="DC1" s="299" t="s">
        <v>2536</v>
      </c>
      <c r="DD1" s="252" t="s">
        <v>2437</v>
      </c>
      <c r="DE1" s="252" t="s">
        <v>2407</v>
      </c>
      <c r="DF1" s="252" t="s">
        <v>2521</v>
      </c>
      <c r="DG1" s="252" t="s">
        <v>2522</v>
      </c>
      <c r="DH1" s="252" t="s">
        <v>2439</v>
      </c>
      <c r="DI1" s="252" t="s">
        <v>2408</v>
      </c>
      <c r="DJ1" s="252" t="s">
        <v>2523</v>
      </c>
      <c r="DK1" s="252" t="s">
        <v>2524</v>
      </c>
      <c r="DL1" s="298" t="s">
        <v>2490</v>
      </c>
      <c r="DM1" s="299" t="s">
        <v>2537</v>
      </c>
      <c r="DN1" s="274" t="s">
        <v>2539</v>
      </c>
      <c r="DO1" s="275" t="s">
        <v>2540</v>
      </c>
      <c r="DP1" s="252" t="s">
        <v>2576</v>
      </c>
      <c r="DQ1" s="252" t="s">
        <v>2577</v>
      </c>
      <c r="DR1" s="252" t="s">
        <v>2578</v>
      </c>
      <c r="DS1" s="252" t="s">
        <v>2579</v>
      </c>
      <c r="DT1" s="252" t="s">
        <v>2581</v>
      </c>
      <c r="DU1" s="252" t="s">
        <v>2582</v>
      </c>
      <c r="DV1" s="252" t="s">
        <v>2583</v>
      </c>
      <c r="DW1" s="252" t="s">
        <v>2584</v>
      </c>
      <c r="DX1" s="299" t="s">
        <v>2586</v>
      </c>
      <c r="DY1" s="299" t="s">
        <v>2587</v>
      </c>
      <c r="DZ1" s="252" t="s">
        <v>2627</v>
      </c>
      <c r="EA1" s="252" t="s">
        <v>2628</v>
      </c>
      <c r="EB1" s="252" t="s">
        <v>2629</v>
      </c>
      <c r="EC1" s="252" t="s">
        <v>2630</v>
      </c>
      <c r="ED1" s="252" t="s">
        <v>2626</v>
      </c>
      <c r="EE1" s="252" t="s">
        <v>2633</v>
      </c>
      <c r="EF1" s="252" t="s">
        <v>2634</v>
      </c>
      <c r="EG1" s="252" t="s">
        <v>2635</v>
      </c>
      <c r="EH1" s="299" t="s">
        <v>2636</v>
      </c>
      <c r="EI1" s="299" t="s">
        <v>2637</v>
      </c>
      <c r="EJ1" s="275" t="s">
        <v>2649</v>
      </c>
      <c r="EK1" s="252" t="s">
        <v>2758</v>
      </c>
      <c r="EL1" s="252" t="s">
        <v>2759</v>
      </c>
      <c r="EM1" s="252" t="s">
        <v>2760</v>
      </c>
      <c r="EN1" s="252" t="s">
        <v>2761</v>
      </c>
      <c r="EO1" s="252" t="s">
        <v>2762</v>
      </c>
      <c r="EP1" s="252" t="s">
        <v>2763</v>
      </c>
      <c r="EQ1" s="252" t="s">
        <v>2764</v>
      </c>
      <c r="ER1" s="252" t="s">
        <v>2765</v>
      </c>
      <c r="ES1" s="299" t="s">
        <v>2766</v>
      </c>
      <c r="ET1" s="299" t="s">
        <v>2767</v>
      </c>
      <c r="EU1" s="252" t="s">
        <v>2769</v>
      </c>
      <c r="EV1" s="252" t="s">
        <v>2771</v>
      </c>
      <c r="EW1" s="252" t="s">
        <v>2772</v>
      </c>
      <c r="EX1" s="252" t="s">
        <v>2773</v>
      </c>
      <c r="EY1" s="111" t="s">
        <v>4627</v>
      </c>
      <c r="EZ1" s="111" t="s">
        <v>4628</v>
      </c>
      <c r="FA1" s="111" t="s">
        <v>4629</v>
      </c>
      <c r="FB1" s="111" t="s">
        <v>4630</v>
      </c>
      <c r="FC1" s="481" t="s">
        <v>4631</v>
      </c>
      <c r="FD1" s="481" t="s">
        <v>4632</v>
      </c>
      <c r="FE1" s="111" t="s">
        <v>4813</v>
      </c>
      <c r="FF1" s="111" t="s">
        <v>4814</v>
      </c>
      <c r="FG1" s="111" t="s">
        <v>4815</v>
      </c>
      <c r="FH1" s="111" t="s">
        <v>4816</v>
      </c>
      <c r="FI1" s="111" t="s">
        <v>4817</v>
      </c>
      <c r="FJ1" s="111" t="s">
        <v>4818</v>
      </c>
      <c r="FK1" s="111" t="s">
        <v>4819</v>
      </c>
      <c r="FL1" s="111" t="s">
        <v>4820</v>
      </c>
      <c r="FM1" s="497" t="s">
        <v>4821</v>
      </c>
      <c r="FN1" s="497" t="s">
        <v>4822</v>
      </c>
      <c r="FO1" s="111" t="s">
        <v>4823</v>
      </c>
      <c r="FP1" s="111" t="s">
        <v>4824</v>
      </c>
      <c r="FQ1" s="111" t="s">
        <v>4825</v>
      </c>
      <c r="FR1" s="111" t="s">
        <v>4826</v>
      </c>
      <c r="FS1" s="111" t="s">
        <v>4827</v>
      </c>
      <c r="FT1" s="111" t="s">
        <v>4828</v>
      </c>
      <c r="FU1" s="111" t="s">
        <v>4829</v>
      </c>
      <c r="FV1" s="111" t="s">
        <v>4830</v>
      </c>
      <c r="FW1" s="481" t="s">
        <v>4831</v>
      </c>
      <c r="FX1" s="481" t="s">
        <v>4832</v>
      </c>
      <c r="FY1" s="111" t="s">
        <v>4833</v>
      </c>
      <c r="FZ1" s="111" t="s">
        <v>4834</v>
      </c>
      <c r="GA1" s="111" t="s">
        <v>4835</v>
      </c>
      <c r="GB1" s="111" t="s">
        <v>4836</v>
      </c>
      <c r="GC1" s="111" t="s">
        <v>4837</v>
      </c>
      <c r="GD1" s="111" t="s">
        <v>4838</v>
      </c>
      <c r="GE1" s="111" t="s">
        <v>4839</v>
      </c>
      <c r="GF1" s="111" t="s">
        <v>4840</v>
      </c>
      <c r="GG1" s="111" t="s">
        <v>4841</v>
      </c>
      <c r="GH1" s="111" t="s">
        <v>4842</v>
      </c>
      <c r="GI1" s="111" t="s">
        <v>4843</v>
      </c>
      <c r="GJ1" s="111" t="s">
        <v>4844</v>
      </c>
      <c r="GK1" s="111" t="s">
        <v>4845</v>
      </c>
      <c r="GL1" s="111" t="s">
        <v>4846</v>
      </c>
      <c r="GM1" s="111" t="s">
        <v>4847</v>
      </c>
      <c r="GN1" s="111" t="s">
        <v>4848</v>
      </c>
      <c r="GO1" s="111" t="s">
        <v>4849</v>
      </c>
      <c r="GP1" s="111" t="s">
        <v>4850</v>
      </c>
      <c r="GQ1" s="111" t="s">
        <v>4851</v>
      </c>
      <c r="GR1" s="111" t="s">
        <v>4852</v>
      </c>
      <c r="GS1" s="111" t="s">
        <v>6006</v>
      </c>
      <c r="GT1" s="111" t="s">
        <v>6007</v>
      </c>
      <c r="GU1" s="111" t="s">
        <v>6008</v>
      </c>
      <c r="GV1" s="529" t="s">
        <v>6009</v>
      </c>
      <c r="GW1" s="111" t="s">
        <v>6010</v>
      </c>
      <c r="GX1" s="111" t="s">
        <v>6011</v>
      </c>
      <c r="GY1" s="111" t="s">
        <v>6012</v>
      </c>
      <c r="GZ1" s="529" t="s">
        <v>6013</v>
      </c>
      <c r="HA1" s="111" t="s">
        <v>6033</v>
      </c>
      <c r="HB1" s="111" t="s">
        <v>6014</v>
      </c>
      <c r="HC1" s="111" t="s">
        <v>6015</v>
      </c>
      <c r="HD1" s="111" t="s">
        <v>6016</v>
      </c>
      <c r="HE1" s="111" t="s">
        <v>6017</v>
      </c>
      <c r="HF1" s="529" t="s">
        <v>6018</v>
      </c>
      <c r="HG1" s="111" t="s">
        <v>6019</v>
      </c>
      <c r="HH1" s="111" t="s">
        <v>6020</v>
      </c>
      <c r="HI1" s="111" t="s">
        <v>6021</v>
      </c>
      <c r="HJ1" s="529" t="s">
        <v>6022</v>
      </c>
      <c r="HK1" s="111" t="s">
        <v>6032</v>
      </c>
      <c r="HL1" s="111" t="s">
        <v>6023</v>
      </c>
      <c r="HM1" s="111" t="s">
        <v>6024</v>
      </c>
      <c r="HN1" s="111" t="s">
        <v>6025</v>
      </c>
      <c r="HO1" s="111" t="s">
        <v>6026</v>
      </c>
      <c r="HP1" s="530" t="s">
        <v>6027</v>
      </c>
      <c r="HQ1" s="111" t="s">
        <v>6028</v>
      </c>
      <c r="HR1" s="111" t="s">
        <v>6029</v>
      </c>
      <c r="HS1" s="111" t="s">
        <v>6030</v>
      </c>
      <c r="HT1" s="530" t="s">
        <v>6031</v>
      </c>
      <c r="HU1" s="111" t="s">
        <v>6035</v>
      </c>
      <c r="HV1" s="111" t="s">
        <v>6034</v>
      </c>
      <c r="HW1" s="529" t="s">
        <v>6039</v>
      </c>
      <c r="HX1" s="530" t="s">
        <v>6040</v>
      </c>
      <c r="HY1" s="530" t="s">
        <v>6041</v>
      </c>
      <c r="HZ1" s="530" t="s">
        <v>6042</v>
      </c>
      <c r="IA1" s="530" t="s">
        <v>6043</v>
      </c>
      <c r="IB1" s="530" t="s">
        <v>6044</v>
      </c>
      <c r="IC1" s="530" t="s">
        <v>6045</v>
      </c>
      <c r="ID1" s="530" t="s">
        <v>6046</v>
      </c>
      <c r="IE1" s="530" t="s">
        <v>6047</v>
      </c>
      <c r="IF1" s="530" t="s">
        <v>6048</v>
      </c>
      <c r="IG1" s="529" t="s">
        <v>6051</v>
      </c>
      <c r="IH1" s="530" t="s">
        <v>6052</v>
      </c>
      <c r="II1" s="530" t="s">
        <v>6053</v>
      </c>
      <c r="IJ1" s="530" t="s">
        <v>6054</v>
      </c>
      <c r="IK1" s="530" t="s">
        <v>6055</v>
      </c>
      <c r="IL1" s="530" t="s">
        <v>6056</v>
      </c>
      <c r="IM1" s="530" t="s">
        <v>6057</v>
      </c>
      <c r="IN1" s="530" t="s">
        <v>6058</v>
      </c>
      <c r="IO1" s="530" t="s">
        <v>6059</v>
      </c>
      <c r="IP1" s="530" t="s">
        <v>6060</v>
      </c>
      <c r="IQ1" s="529" t="s">
        <v>6062</v>
      </c>
      <c r="IR1" s="530" t="s">
        <v>6063</v>
      </c>
      <c r="IS1" s="530" t="s">
        <v>6064</v>
      </c>
      <c r="IT1" s="530" t="s">
        <v>6065</v>
      </c>
      <c r="IU1" s="530" t="s">
        <v>6066</v>
      </c>
      <c r="IV1" s="530" t="s">
        <v>6067</v>
      </c>
      <c r="IW1" s="530" t="s">
        <v>6068</v>
      </c>
      <c r="IX1" s="530" t="s">
        <v>6069</v>
      </c>
      <c r="IY1" s="530" t="s">
        <v>6070</v>
      </c>
      <c r="IZ1" s="530" t="s">
        <v>6071</v>
      </c>
    </row>
    <row r="2" spans="1:260" customFormat="1" ht="17" customHeight="1">
      <c r="A2" s="506" t="s">
        <v>283</v>
      </c>
      <c r="B2" s="117">
        <v>57</v>
      </c>
      <c r="C2" s="117"/>
      <c r="D2" s="117">
        <v>1</v>
      </c>
      <c r="E2" s="123" t="s">
        <v>2012</v>
      </c>
      <c r="F2" s="124" t="s">
        <v>2244</v>
      </c>
      <c r="G2" s="125">
        <v>2016</v>
      </c>
      <c r="H2" s="79">
        <v>27459209</v>
      </c>
      <c r="I2" s="79">
        <v>1</v>
      </c>
      <c r="J2" s="126"/>
      <c r="K2" s="127"/>
      <c r="L2" s="79">
        <v>1</v>
      </c>
      <c r="M2" s="79"/>
      <c r="N2" s="79">
        <v>1</v>
      </c>
      <c r="O2" s="128">
        <v>1</v>
      </c>
      <c r="P2" s="79" t="s">
        <v>742</v>
      </c>
      <c r="Q2" s="79" t="s">
        <v>1188</v>
      </c>
      <c r="R2" s="79" t="s">
        <v>25</v>
      </c>
      <c r="S2" s="79">
        <v>1</v>
      </c>
      <c r="T2" s="79"/>
      <c r="U2" s="79"/>
      <c r="V2" s="79"/>
      <c r="W2" s="79" t="s">
        <v>743</v>
      </c>
      <c r="X2" s="79" t="s">
        <v>24</v>
      </c>
      <c r="Y2" s="79" t="s">
        <v>24</v>
      </c>
      <c r="Z2" s="79"/>
      <c r="AA2" s="79"/>
      <c r="AB2" s="79"/>
      <c r="AC2" s="506"/>
      <c r="AD2" s="573">
        <v>1</v>
      </c>
      <c r="AE2" s="573">
        <v>1</v>
      </c>
      <c r="AF2" s="154"/>
      <c r="AG2" s="155"/>
      <c r="AH2" s="121">
        <v>2</v>
      </c>
      <c r="AI2" s="484"/>
      <c r="AJ2" s="202"/>
      <c r="AK2" s="192"/>
      <c r="AL2" s="203"/>
      <c r="AM2" s="121"/>
      <c r="AN2" s="121"/>
      <c r="AO2" s="121"/>
      <c r="AP2" s="121"/>
      <c r="AQ2" s="121"/>
      <c r="AR2" s="121"/>
      <c r="AS2" s="121"/>
      <c r="AT2" s="121"/>
      <c r="AU2" s="121"/>
      <c r="AV2" s="121"/>
      <c r="AW2" s="121"/>
      <c r="AX2" s="121"/>
      <c r="AY2" s="121"/>
      <c r="AZ2" s="121"/>
      <c r="BA2" s="121"/>
      <c r="BB2" s="121"/>
      <c r="BC2" s="121"/>
      <c r="BD2" s="156" t="s">
        <v>4727</v>
      </c>
      <c r="BE2" s="156"/>
      <c r="BF2" s="156"/>
      <c r="BG2" s="156"/>
      <c r="BH2" s="156"/>
      <c r="BI2" s="156"/>
      <c r="BJ2" s="156" t="s">
        <v>6160</v>
      </c>
      <c r="BK2" s="156"/>
      <c r="BL2" s="156"/>
      <c r="BM2" s="156"/>
      <c r="BN2" s="156"/>
      <c r="BO2" s="156"/>
      <c r="BP2" s="156"/>
      <c r="BQ2" s="157" t="s">
        <v>6157</v>
      </c>
      <c r="BR2" s="134"/>
      <c r="BS2" s="134"/>
      <c r="BT2" s="134"/>
      <c r="BU2" s="134"/>
      <c r="BV2" s="134"/>
      <c r="BW2" s="259" t="s">
        <v>24</v>
      </c>
      <c r="BX2" s="138"/>
      <c r="BY2" s="134"/>
      <c r="BZ2" s="134"/>
      <c r="CA2" s="134"/>
      <c r="CB2" s="138"/>
      <c r="CC2" s="134"/>
      <c r="CD2" s="134"/>
      <c r="CE2" s="134"/>
      <c r="CF2" s="288"/>
      <c r="CG2" s="289"/>
      <c r="CH2" s="138"/>
      <c r="CI2" s="134"/>
      <c r="CJ2" s="134"/>
      <c r="CK2" s="134"/>
      <c r="CL2" s="138"/>
      <c r="CM2" s="134"/>
      <c r="CN2" s="134"/>
      <c r="CO2" s="134"/>
      <c r="CP2" s="288"/>
      <c r="CQ2" s="289"/>
      <c r="CR2" s="276"/>
      <c r="CS2" s="308"/>
      <c r="CT2" s="138"/>
      <c r="CU2" s="134"/>
      <c r="CV2" s="134"/>
      <c r="CW2" s="134"/>
      <c r="CX2" s="134"/>
      <c r="CY2" s="134"/>
      <c r="CZ2" s="134"/>
      <c r="DA2" s="134"/>
      <c r="DB2" s="300"/>
      <c r="DC2" s="301"/>
      <c r="DD2" s="134"/>
      <c r="DE2" s="134"/>
      <c r="DF2" s="134"/>
      <c r="DG2" s="134"/>
      <c r="DH2" s="134"/>
      <c r="DI2" s="134"/>
      <c r="DJ2" s="134"/>
      <c r="DK2" s="134"/>
      <c r="DL2" s="300"/>
      <c r="DM2" s="301"/>
      <c r="DN2" s="276"/>
      <c r="DO2" s="277"/>
      <c r="DP2" s="134"/>
      <c r="DQ2" s="134"/>
      <c r="DR2" s="134"/>
      <c r="DS2" s="134"/>
      <c r="DT2" s="138"/>
      <c r="DU2" s="134"/>
      <c r="DV2" s="134"/>
      <c r="DW2" s="134"/>
      <c r="DX2" s="301"/>
      <c r="DY2" s="301"/>
      <c r="DZ2" s="138"/>
      <c r="EA2" s="134"/>
      <c r="EB2" s="134"/>
      <c r="EC2" s="134"/>
      <c r="ED2" s="138"/>
      <c r="EE2" s="134"/>
      <c r="EF2" s="134"/>
      <c r="EG2" s="134"/>
      <c r="EH2" s="301"/>
      <c r="EI2" s="301"/>
      <c r="EJ2" s="277"/>
      <c r="EK2" s="134"/>
      <c r="EL2" s="134"/>
      <c r="EM2" s="134"/>
      <c r="EN2" s="134"/>
      <c r="EO2" s="134"/>
      <c r="EP2" s="134"/>
      <c r="EQ2" s="134"/>
      <c r="ER2" s="134"/>
      <c r="ES2" s="301"/>
      <c r="ET2" s="301"/>
      <c r="EU2" s="134"/>
      <c r="EV2" s="134"/>
      <c r="EW2" s="134"/>
      <c r="EX2" s="134"/>
      <c r="EY2" s="134"/>
      <c r="EZ2" s="134"/>
      <c r="FA2" s="134"/>
      <c r="FB2" s="134"/>
      <c r="FC2" s="135"/>
      <c r="FD2" s="135"/>
      <c r="FE2" s="134"/>
      <c r="FF2" s="134"/>
      <c r="FG2" s="134"/>
      <c r="FH2" s="134"/>
      <c r="FI2" s="134"/>
      <c r="FJ2" s="134"/>
      <c r="FK2" s="134"/>
      <c r="FL2" s="134"/>
      <c r="FM2" s="135"/>
      <c r="FN2" s="135"/>
      <c r="FO2" s="134"/>
      <c r="FP2" s="134"/>
      <c r="FQ2" s="134"/>
      <c r="FR2" s="134"/>
      <c r="FS2" s="134"/>
      <c r="FT2" s="134"/>
      <c r="FU2" s="134"/>
      <c r="FV2" s="134"/>
      <c r="FW2" s="135"/>
      <c r="FX2" s="135"/>
      <c r="FY2" s="134"/>
      <c r="FZ2" s="134"/>
      <c r="GA2" s="134"/>
      <c r="GB2" s="134"/>
      <c r="GC2" s="134"/>
      <c r="GD2" s="134"/>
      <c r="GE2" s="134"/>
      <c r="GF2" s="134"/>
      <c r="GG2" s="135"/>
      <c r="GH2" s="135"/>
      <c r="GI2" s="134"/>
      <c r="GJ2" s="134"/>
      <c r="GK2" s="134"/>
      <c r="GL2" s="134"/>
      <c r="GM2" s="134"/>
      <c r="GN2" s="134"/>
      <c r="GO2" s="134"/>
      <c r="GP2" s="134"/>
      <c r="GQ2" s="135"/>
      <c r="GR2" s="135"/>
      <c r="GS2" s="134"/>
      <c r="GT2" s="134"/>
      <c r="GU2" s="134"/>
      <c r="GV2" s="134"/>
      <c r="GW2" s="134"/>
      <c r="GX2" s="134"/>
      <c r="GY2" s="134"/>
      <c r="GZ2" s="134"/>
      <c r="HA2" s="135"/>
      <c r="HB2" s="135"/>
      <c r="HC2" s="134"/>
      <c r="HD2" s="134"/>
      <c r="HE2" s="134"/>
      <c r="HF2" s="134"/>
      <c r="HG2" s="134"/>
      <c r="HH2" s="134"/>
      <c r="HI2" s="134"/>
      <c r="HJ2" s="134"/>
      <c r="HK2" s="135"/>
      <c r="HL2" s="135"/>
      <c r="HM2" s="134"/>
      <c r="HN2" s="134"/>
      <c r="HO2" s="134"/>
      <c r="HP2" s="134"/>
      <c r="HQ2" s="134"/>
      <c r="HR2" s="134"/>
      <c r="HS2" s="134"/>
      <c r="HT2" s="134"/>
      <c r="HU2" s="135"/>
      <c r="HV2" s="135"/>
      <c r="HW2" s="134"/>
      <c r="HX2" s="134"/>
      <c r="HY2" s="134"/>
      <c r="HZ2" s="134"/>
      <c r="IA2" s="134"/>
      <c r="IB2" s="134"/>
      <c r="IC2" s="134"/>
      <c r="ID2" s="134"/>
      <c r="IE2" s="135"/>
      <c r="IF2" s="135"/>
      <c r="IG2" s="134"/>
      <c r="IH2" s="134"/>
      <c r="II2" s="134"/>
      <c r="IJ2" s="134"/>
      <c r="IK2" s="134"/>
      <c r="IL2" s="134"/>
      <c r="IM2" s="134"/>
      <c r="IN2" s="134"/>
      <c r="IO2" s="135"/>
      <c r="IP2" s="135"/>
      <c r="IQ2" s="134"/>
      <c r="IR2" s="134"/>
      <c r="IS2" s="134"/>
      <c r="IT2" s="134"/>
      <c r="IU2" s="134"/>
      <c r="IV2" s="134"/>
      <c r="IW2" s="134"/>
      <c r="IX2" s="134"/>
      <c r="IY2" s="135"/>
      <c r="IZ2" s="135"/>
    </row>
    <row r="3" spans="1:260" customFormat="1" ht="17" customHeight="1">
      <c r="A3" s="79" t="s">
        <v>945</v>
      </c>
      <c r="B3" s="418">
        <v>58</v>
      </c>
      <c r="C3" s="117"/>
      <c r="D3" s="117">
        <v>2</v>
      </c>
      <c r="E3" s="123" t="s">
        <v>2130</v>
      </c>
      <c r="F3" s="124" t="s">
        <v>2394</v>
      </c>
      <c r="G3" s="125">
        <v>2016</v>
      </c>
      <c r="H3" s="79">
        <v>26888649</v>
      </c>
      <c r="I3" s="79">
        <v>1</v>
      </c>
      <c r="J3" s="126" t="s">
        <v>1803</v>
      </c>
      <c r="K3" s="127"/>
      <c r="L3" s="79">
        <v>0</v>
      </c>
      <c r="M3" s="79"/>
      <c r="N3" s="153">
        <v>0</v>
      </c>
      <c r="O3" s="128">
        <v>2</v>
      </c>
      <c r="P3" s="79" t="s">
        <v>23</v>
      </c>
      <c r="Q3" s="79"/>
      <c r="R3" s="79" t="s">
        <v>1639</v>
      </c>
      <c r="S3" s="79"/>
      <c r="T3" s="79" t="s">
        <v>1319</v>
      </c>
      <c r="U3" s="79"/>
      <c r="V3" s="79"/>
      <c r="W3" s="79" t="s">
        <v>1669</v>
      </c>
      <c r="X3" s="79"/>
      <c r="Y3" s="79"/>
      <c r="Z3" s="79"/>
      <c r="AA3" s="79"/>
      <c r="AB3" s="79" t="s">
        <v>1640</v>
      </c>
      <c r="AC3" s="506"/>
      <c r="AD3" s="573">
        <v>1</v>
      </c>
      <c r="AE3" s="573">
        <v>0</v>
      </c>
      <c r="AF3" s="165">
        <v>0</v>
      </c>
      <c r="AG3" s="166" t="s">
        <v>6158</v>
      </c>
      <c r="AH3" s="120">
        <v>5</v>
      </c>
      <c r="AI3" s="120"/>
      <c r="AJ3" s="206"/>
      <c r="AK3" s="372"/>
      <c r="AL3" s="207"/>
      <c r="AM3" s="120"/>
      <c r="AN3" s="120"/>
      <c r="AO3" s="120"/>
      <c r="AP3" s="120"/>
      <c r="AQ3" s="120"/>
      <c r="AR3" s="120"/>
      <c r="AS3" s="120"/>
      <c r="AT3" s="120"/>
      <c r="AU3" s="120"/>
      <c r="AV3" s="120"/>
      <c r="AW3" s="120"/>
      <c r="AX3" s="120"/>
      <c r="AY3" s="120"/>
      <c r="AZ3" s="120"/>
      <c r="BA3" s="120"/>
      <c r="BB3" s="120"/>
      <c r="BC3" s="120"/>
      <c r="BD3" s="373" t="s">
        <v>5207</v>
      </c>
      <c r="BE3" s="373"/>
      <c r="BF3" s="373"/>
      <c r="BG3" s="373"/>
      <c r="BH3" s="373"/>
      <c r="BI3" s="373"/>
      <c r="BJ3" s="373" t="s">
        <v>6174</v>
      </c>
      <c r="BK3" s="373"/>
      <c r="BL3" s="373"/>
      <c r="BM3" s="373"/>
      <c r="BN3" s="373"/>
      <c r="BO3" s="373"/>
      <c r="BP3" s="373"/>
      <c r="BQ3" s="157"/>
      <c r="BR3" s="134"/>
      <c r="BS3" s="134"/>
      <c r="BT3" s="134"/>
      <c r="BU3" s="134"/>
      <c r="BV3" s="134"/>
      <c r="BW3" s="259" t="s">
        <v>24</v>
      </c>
      <c r="BX3" s="138"/>
      <c r="BY3" s="134"/>
      <c r="BZ3" s="134"/>
      <c r="CA3" s="190"/>
      <c r="CB3" s="138"/>
      <c r="CC3" s="134"/>
      <c r="CD3" s="134"/>
      <c r="CE3" s="190"/>
      <c r="CF3" s="288"/>
      <c r="CG3" s="289"/>
      <c r="CH3" s="138"/>
      <c r="CI3" s="134"/>
      <c r="CJ3" s="134"/>
      <c r="CK3" s="190"/>
      <c r="CL3" s="138"/>
      <c r="CM3" s="134"/>
      <c r="CN3" s="134"/>
      <c r="CO3" s="190"/>
      <c r="CP3" s="288"/>
      <c r="CQ3" s="289"/>
      <c r="CR3" s="276"/>
      <c r="CS3" s="308"/>
      <c r="CT3" s="138"/>
      <c r="CU3" s="190"/>
      <c r="CV3" s="134"/>
      <c r="CW3" s="190"/>
      <c r="CX3" s="134"/>
      <c r="CY3" s="190"/>
      <c r="CZ3" s="134"/>
      <c r="DA3" s="190"/>
      <c r="DB3" s="300"/>
      <c r="DC3" s="301"/>
      <c r="DD3" s="134"/>
      <c r="DE3" s="190"/>
      <c r="DF3" s="134"/>
      <c r="DG3" s="190"/>
      <c r="DH3" s="134"/>
      <c r="DI3" s="190"/>
      <c r="DJ3" s="134"/>
      <c r="DK3" s="190"/>
      <c r="DL3" s="300"/>
      <c r="DM3" s="301"/>
      <c r="DN3" s="317"/>
      <c r="DO3" s="318"/>
      <c r="DP3" s="134"/>
      <c r="DQ3" s="134"/>
      <c r="DR3" s="134"/>
      <c r="DS3" s="134"/>
      <c r="DT3" s="138"/>
      <c r="DU3" s="134"/>
      <c r="DV3" s="134"/>
      <c r="DW3" s="134"/>
      <c r="DX3" s="301"/>
      <c r="DY3" s="301"/>
      <c r="DZ3" s="138"/>
      <c r="EA3" s="134"/>
      <c r="EB3" s="134"/>
      <c r="EC3" s="134"/>
      <c r="ED3" s="138"/>
      <c r="EE3" s="134"/>
      <c r="EF3" s="134"/>
      <c r="EG3" s="134"/>
      <c r="EH3" s="301"/>
      <c r="EI3" s="301"/>
      <c r="EJ3" s="277"/>
      <c r="EK3" s="134"/>
      <c r="EL3" s="134"/>
      <c r="EM3" s="134"/>
      <c r="EN3" s="134"/>
      <c r="EO3" s="134"/>
      <c r="EP3" s="134"/>
      <c r="EQ3" s="134"/>
      <c r="ER3" s="134"/>
      <c r="ES3" s="301"/>
      <c r="ET3" s="301"/>
      <c r="EU3" s="134"/>
      <c r="EV3" s="134"/>
      <c r="EW3" s="134"/>
      <c r="EX3" s="134"/>
      <c r="EY3" s="134"/>
      <c r="EZ3" s="134"/>
      <c r="FA3" s="134"/>
      <c r="FB3" s="134"/>
      <c r="FC3" s="135"/>
      <c r="FD3" s="135"/>
      <c r="FE3" s="134"/>
      <c r="FF3" s="134"/>
      <c r="FG3" s="134"/>
      <c r="FH3" s="134"/>
      <c r="FI3" s="134"/>
      <c r="FJ3" s="134"/>
      <c r="FK3" s="134"/>
      <c r="FL3" s="134"/>
      <c r="FM3" s="135"/>
      <c r="FN3" s="135"/>
      <c r="FO3" s="134"/>
      <c r="FP3" s="134"/>
      <c r="FQ3" s="134"/>
      <c r="FR3" s="134"/>
      <c r="FS3" s="134"/>
      <c r="FT3" s="134"/>
      <c r="FU3" s="134"/>
      <c r="FV3" s="134"/>
      <c r="FW3" s="135"/>
      <c r="FX3" s="135"/>
      <c r="FY3" s="134"/>
      <c r="FZ3" s="134"/>
      <c r="GA3" s="134"/>
      <c r="GB3" s="134"/>
      <c r="GC3" s="134"/>
      <c r="GD3" s="134"/>
      <c r="GE3" s="134"/>
      <c r="GF3" s="134"/>
      <c r="GG3" s="135"/>
      <c r="GH3" s="135"/>
      <c r="GI3" s="134"/>
      <c r="GJ3" s="134"/>
      <c r="GK3" s="134"/>
      <c r="GL3" s="134"/>
      <c r="GM3" s="134"/>
      <c r="GN3" s="134"/>
      <c r="GO3" s="134"/>
      <c r="GP3" s="134"/>
      <c r="GQ3" s="135"/>
      <c r="GR3" s="135"/>
      <c r="GS3" s="134"/>
      <c r="GT3" s="134"/>
      <c r="GU3" s="134"/>
      <c r="GV3" s="134"/>
      <c r="GW3" s="134"/>
      <c r="GX3" s="134"/>
      <c r="GY3" s="134"/>
      <c r="GZ3" s="134"/>
      <c r="HA3" s="135"/>
      <c r="HB3" s="135"/>
      <c r="HC3" s="134"/>
      <c r="HD3" s="134"/>
      <c r="HE3" s="134"/>
      <c r="HF3" s="134"/>
      <c r="HG3" s="134"/>
      <c r="HH3" s="134"/>
      <c r="HI3" s="134"/>
      <c r="HJ3" s="134"/>
      <c r="HK3" s="135"/>
      <c r="HL3" s="135"/>
      <c r="HM3" s="134"/>
      <c r="HN3" s="134"/>
      <c r="HO3" s="134"/>
      <c r="HP3" s="134"/>
      <c r="HQ3" s="134"/>
      <c r="HR3" s="134"/>
      <c r="HS3" s="134"/>
      <c r="HT3" s="134"/>
      <c r="HU3" s="135"/>
      <c r="HV3" s="135"/>
      <c r="HW3" s="134"/>
      <c r="HX3" s="134"/>
      <c r="HY3" s="134"/>
      <c r="HZ3" s="134"/>
      <c r="IA3" s="134"/>
      <c r="IB3" s="134"/>
      <c r="IC3" s="134"/>
      <c r="ID3" s="134"/>
      <c r="IE3" s="135"/>
      <c r="IF3" s="135"/>
      <c r="IG3" s="134"/>
      <c r="IH3" s="134"/>
      <c r="II3" s="134"/>
      <c r="IJ3" s="134"/>
      <c r="IK3" s="134"/>
      <c r="IL3" s="134"/>
      <c r="IM3" s="134"/>
      <c r="IN3" s="134"/>
      <c r="IO3" s="135"/>
      <c r="IP3" s="135"/>
      <c r="IQ3" s="134"/>
      <c r="IR3" s="134"/>
      <c r="IS3" s="134"/>
      <c r="IT3" s="134"/>
      <c r="IU3" s="134"/>
      <c r="IV3" s="134"/>
      <c r="IW3" s="134"/>
      <c r="IX3" s="134"/>
      <c r="IY3" s="135"/>
      <c r="IZ3" s="135"/>
    </row>
    <row r="4" spans="1:260" s="119" customFormat="1" ht="17" customHeight="1">
      <c r="A4" s="79" t="s">
        <v>77</v>
      </c>
      <c r="B4" s="418">
        <v>59</v>
      </c>
      <c r="C4" s="117"/>
      <c r="D4" s="117">
        <v>3</v>
      </c>
      <c r="E4" s="123" t="s">
        <v>1920</v>
      </c>
      <c r="F4" s="124" t="s">
        <v>2137</v>
      </c>
      <c r="G4" s="125">
        <v>2013</v>
      </c>
      <c r="H4" s="79">
        <v>23823533</v>
      </c>
      <c r="I4" s="79">
        <v>1</v>
      </c>
      <c r="J4" s="126"/>
      <c r="K4" s="127"/>
      <c r="L4" s="79">
        <v>1</v>
      </c>
      <c r="M4" s="79"/>
      <c r="N4" s="79">
        <v>1</v>
      </c>
      <c r="O4" s="128">
        <v>1</v>
      </c>
      <c r="P4" s="79" t="s">
        <v>15</v>
      </c>
      <c r="Q4" s="79" t="s">
        <v>1192</v>
      </c>
      <c r="R4" s="79" t="s">
        <v>17</v>
      </c>
      <c r="S4" s="79">
        <v>1</v>
      </c>
      <c r="T4" s="79"/>
      <c r="U4" s="79"/>
      <c r="V4" s="79"/>
      <c r="W4" s="79" t="s">
        <v>16</v>
      </c>
      <c r="X4" s="79"/>
      <c r="Y4" s="79"/>
      <c r="Z4" s="79"/>
      <c r="AA4" s="79"/>
      <c r="AB4" s="79"/>
      <c r="AC4" s="506"/>
      <c r="AD4" s="573">
        <v>1</v>
      </c>
      <c r="AE4" s="573">
        <v>0</v>
      </c>
      <c r="AF4" s="154"/>
      <c r="AG4" s="155" t="s">
        <v>6159</v>
      </c>
      <c r="AH4" s="121">
        <v>2</v>
      </c>
      <c r="AI4" s="484"/>
      <c r="AJ4" s="202"/>
      <c r="AK4" s="192"/>
      <c r="AL4" s="203"/>
      <c r="AM4" s="121"/>
      <c r="AN4" s="121"/>
      <c r="AO4" s="121"/>
      <c r="AP4" s="121"/>
      <c r="AQ4" s="121"/>
      <c r="AR4" s="121"/>
      <c r="AS4" s="121"/>
      <c r="AT4" s="121"/>
      <c r="AU4" s="121"/>
      <c r="AV4" s="121"/>
      <c r="AW4" s="121"/>
      <c r="AX4" s="121"/>
      <c r="AY4" s="121"/>
      <c r="AZ4" s="121"/>
      <c r="BA4" s="121"/>
      <c r="BB4" s="121"/>
      <c r="BC4" s="121"/>
      <c r="BD4" s="156"/>
      <c r="BE4" s="156"/>
      <c r="BF4" s="156"/>
      <c r="BG4" s="156" t="s">
        <v>6175</v>
      </c>
      <c r="BH4" s="156"/>
      <c r="BI4" s="156" t="s">
        <v>4727</v>
      </c>
      <c r="BJ4" s="156"/>
      <c r="BK4" s="156"/>
      <c r="BL4" s="156"/>
      <c r="BM4" s="156"/>
      <c r="BN4" s="156"/>
      <c r="BO4" s="156"/>
      <c r="BP4" s="156"/>
      <c r="BQ4" s="157" t="s">
        <v>6163</v>
      </c>
      <c r="BR4" s="134"/>
      <c r="BS4" s="134"/>
      <c r="BT4" s="134"/>
      <c r="BU4" s="134"/>
      <c r="BV4" s="134"/>
      <c r="BW4" s="259"/>
      <c r="BX4" s="138"/>
      <c r="BY4" s="190"/>
      <c r="BZ4" s="134"/>
      <c r="CA4" s="190"/>
      <c r="CB4" s="138"/>
      <c r="CC4" s="134"/>
      <c r="CD4" s="134"/>
      <c r="CE4" s="190"/>
      <c r="CF4" s="288"/>
      <c r="CG4" s="289"/>
      <c r="CH4" s="138"/>
      <c r="CI4" s="134"/>
      <c r="CJ4" s="134"/>
      <c r="CK4" s="190"/>
      <c r="CL4" s="138"/>
      <c r="CM4" s="134"/>
      <c r="CN4" s="134"/>
      <c r="CO4" s="190"/>
      <c r="CP4" s="288"/>
      <c r="CQ4" s="289"/>
      <c r="CR4" s="276"/>
      <c r="CS4" s="308"/>
      <c r="CT4" s="138"/>
      <c r="CU4" s="134"/>
      <c r="CV4" s="134"/>
      <c r="CW4" s="134"/>
      <c r="CX4" s="134"/>
      <c r="CY4" s="134"/>
      <c r="CZ4" s="134"/>
      <c r="DA4" s="134"/>
      <c r="DB4" s="300"/>
      <c r="DC4" s="301"/>
      <c r="DD4" s="134"/>
      <c r="DE4" s="134"/>
      <c r="DF4" s="134"/>
      <c r="DG4" s="134"/>
      <c r="DH4" s="134"/>
      <c r="DI4" s="134"/>
      <c r="DJ4" s="134"/>
      <c r="DK4" s="134"/>
      <c r="DL4" s="300"/>
      <c r="DM4" s="301"/>
      <c r="DN4" s="276"/>
      <c r="DO4" s="277"/>
      <c r="DP4" s="134"/>
      <c r="DQ4" s="134"/>
      <c r="DR4" s="134"/>
      <c r="DS4" s="134"/>
      <c r="DT4" s="138"/>
      <c r="DU4" s="134"/>
      <c r="DV4" s="134"/>
      <c r="DW4" s="134"/>
      <c r="DX4" s="301"/>
      <c r="DY4" s="301"/>
      <c r="DZ4" s="138"/>
      <c r="EA4" s="134"/>
      <c r="EB4" s="134"/>
      <c r="EC4" s="134"/>
      <c r="ED4" s="138"/>
      <c r="EE4" s="134"/>
      <c r="EF4" s="134"/>
      <c r="EG4" s="134"/>
      <c r="EH4" s="301"/>
      <c r="EI4" s="301"/>
      <c r="EJ4" s="277"/>
      <c r="EK4" s="134"/>
      <c r="EL4" s="134"/>
      <c r="EM4" s="134"/>
      <c r="EN4" s="134"/>
      <c r="EO4" s="134"/>
      <c r="EP4" s="134"/>
      <c r="EQ4" s="134"/>
      <c r="ER4" s="134"/>
      <c r="ES4" s="301"/>
      <c r="ET4" s="301"/>
      <c r="EU4" s="134"/>
      <c r="EV4" s="134"/>
      <c r="EW4" s="134"/>
      <c r="EX4" s="134"/>
      <c r="EY4" s="134"/>
      <c r="EZ4" s="134"/>
      <c r="FA4" s="134"/>
      <c r="FB4" s="134"/>
      <c r="FC4" s="135"/>
      <c r="FD4" s="135"/>
      <c r="FE4" s="134"/>
      <c r="FF4" s="134"/>
      <c r="FG4" s="134"/>
      <c r="FH4" s="134"/>
      <c r="FI4" s="134"/>
      <c r="FJ4" s="134"/>
      <c r="FK4" s="134"/>
      <c r="FL4" s="134"/>
      <c r="FM4" s="135"/>
      <c r="FN4" s="135"/>
      <c r="FO4" s="134"/>
      <c r="FP4" s="134"/>
      <c r="FQ4" s="134"/>
      <c r="FR4" s="134"/>
      <c r="FS4" s="134"/>
      <c r="FT4" s="134"/>
      <c r="FU4" s="134"/>
      <c r="FV4" s="134"/>
      <c r="FW4" s="135"/>
      <c r="FX4" s="135"/>
      <c r="FY4" s="134"/>
      <c r="FZ4" s="134"/>
      <c r="GA4" s="134"/>
      <c r="GB4" s="134"/>
      <c r="GC4" s="134"/>
      <c r="GD4" s="134"/>
      <c r="GE4" s="134"/>
      <c r="GF4" s="134"/>
      <c r="GG4" s="135"/>
      <c r="GH4" s="135"/>
      <c r="GI4" s="134"/>
      <c r="GJ4" s="134"/>
      <c r="GK4" s="134"/>
      <c r="GL4" s="134"/>
      <c r="GM4" s="134"/>
      <c r="GN4" s="134"/>
      <c r="GO4" s="134"/>
      <c r="GP4" s="134"/>
      <c r="GQ4" s="135"/>
      <c r="GR4" s="135"/>
      <c r="GS4" s="134"/>
      <c r="GT4" s="134"/>
      <c r="GU4" s="134"/>
      <c r="GV4" s="134"/>
      <c r="GW4" s="134"/>
      <c r="GX4" s="134"/>
      <c r="GY4" s="134"/>
      <c r="GZ4" s="134"/>
      <c r="HA4" s="135"/>
      <c r="HB4" s="135"/>
      <c r="HC4" s="134"/>
      <c r="HD4" s="134"/>
      <c r="HE4" s="134"/>
      <c r="HF4" s="134"/>
      <c r="HG4" s="134"/>
      <c r="HH4" s="134"/>
      <c r="HI4" s="134"/>
      <c r="HJ4" s="134"/>
      <c r="HK4" s="135"/>
      <c r="HL4" s="135"/>
      <c r="HM4" s="134"/>
      <c r="HN4" s="134"/>
      <c r="HO4" s="134"/>
      <c r="HP4" s="134"/>
      <c r="HQ4" s="134"/>
      <c r="HR4" s="134"/>
      <c r="HS4" s="134"/>
      <c r="HT4" s="134"/>
      <c r="HU4" s="135"/>
      <c r="HV4" s="135"/>
      <c r="HW4" s="134"/>
      <c r="HX4" s="134"/>
      <c r="HY4" s="134"/>
      <c r="HZ4" s="134"/>
      <c r="IA4" s="134"/>
      <c r="IB4" s="134"/>
      <c r="IC4" s="134"/>
      <c r="ID4" s="134"/>
      <c r="IE4" s="135"/>
      <c r="IF4" s="135"/>
      <c r="IG4" s="134"/>
      <c r="IH4" s="134"/>
      <c r="II4" s="134"/>
      <c r="IJ4" s="134"/>
      <c r="IK4" s="134"/>
      <c r="IL4" s="134"/>
      <c r="IM4" s="134"/>
      <c r="IN4" s="134"/>
      <c r="IO4" s="135"/>
      <c r="IP4" s="135"/>
      <c r="IQ4" s="134"/>
      <c r="IR4" s="134"/>
      <c r="IS4" s="134"/>
      <c r="IT4" s="134"/>
      <c r="IU4" s="134"/>
      <c r="IV4" s="134"/>
      <c r="IW4" s="134"/>
      <c r="IX4" s="134"/>
      <c r="IY4" s="135"/>
      <c r="IZ4" s="135"/>
    </row>
    <row r="5" spans="1:260" customFormat="1" ht="17" customHeight="1">
      <c r="A5" s="79" t="s">
        <v>78</v>
      </c>
      <c r="B5" s="418">
        <v>60</v>
      </c>
      <c r="C5" s="117"/>
      <c r="D5" s="117">
        <v>4</v>
      </c>
      <c r="E5" s="123" t="s">
        <v>1921</v>
      </c>
      <c r="F5" s="124" t="s">
        <v>2138</v>
      </c>
      <c r="G5" s="125">
        <v>2015</v>
      </c>
      <c r="H5" s="79">
        <v>26372003</v>
      </c>
      <c r="I5" s="79">
        <v>1</v>
      </c>
      <c r="J5" s="126"/>
      <c r="K5" s="127"/>
      <c r="L5" s="79">
        <v>1</v>
      </c>
      <c r="M5" s="79"/>
      <c r="N5" s="79">
        <v>1</v>
      </c>
      <c r="O5" s="128">
        <v>1</v>
      </c>
      <c r="P5" s="79"/>
      <c r="Q5" s="79" t="s">
        <v>1146</v>
      </c>
      <c r="R5" s="79" t="s">
        <v>20</v>
      </c>
      <c r="S5" s="79">
        <v>1</v>
      </c>
      <c r="T5" s="79"/>
      <c r="U5" s="79"/>
      <c r="V5" s="79"/>
      <c r="W5" s="79" t="s">
        <v>19</v>
      </c>
      <c r="X5" s="79" t="s">
        <v>12</v>
      </c>
      <c r="Y5" s="79" t="s">
        <v>12</v>
      </c>
      <c r="Z5" s="79"/>
      <c r="AA5" s="79"/>
      <c r="AB5" s="79"/>
      <c r="AC5" s="506"/>
      <c r="AD5" s="573">
        <v>1</v>
      </c>
      <c r="AE5" s="573">
        <v>1</v>
      </c>
      <c r="AF5" s="154"/>
      <c r="AG5" s="155" t="s">
        <v>6161</v>
      </c>
      <c r="AH5" s="121">
        <v>2</v>
      </c>
      <c r="AI5" s="484"/>
      <c r="AJ5" s="202"/>
      <c r="AK5" s="192"/>
      <c r="AL5" s="203"/>
      <c r="AM5" s="121"/>
      <c r="AN5" s="121"/>
      <c r="AO5" s="121"/>
      <c r="AP5" s="121"/>
      <c r="AQ5" s="121"/>
      <c r="AR5" s="121"/>
      <c r="AS5" s="121"/>
      <c r="AT5" s="121"/>
      <c r="AU5" s="121"/>
      <c r="AV5" s="121"/>
      <c r="AW5" s="121"/>
      <c r="AX5" s="121"/>
      <c r="AY5" s="121"/>
      <c r="AZ5" s="121"/>
      <c r="BA5" s="121"/>
      <c r="BB5" s="121"/>
      <c r="BC5" s="121"/>
      <c r="BD5" s="156"/>
      <c r="BE5" s="156"/>
      <c r="BF5" s="156"/>
      <c r="BG5" s="156"/>
      <c r="BH5" s="156"/>
      <c r="BI5" s="156"/>
      <c r="BJ5" s="156" t="s">
        <v>6174</v>
      </c>
      <c r="BK5" s="156"/>
      <c r="BL5" s="156" t="s">
        <v>5207</v>
      </c>
      <c r="BM5" s="156"/>
      <c r="BN5" s="156"/>
      <c r="BO5" s="156"/>
      <c r="BP5" s="156"/>
      <c r="BQ5" s="157" t="s">
        <v>6164</v>
      </c>
      <c r="BR5" s="134"/>
      <c r="BS5" s="134"/>
      <c r="BT5" s="134"/>
      <c r="BU5" s="134"/>
      <c r="BV5" s="134"/>
      <c r="BW5" s="259"/>
      <c r="BX5" s="138"/>
      <c r="BY5" s="134"/>
      <c r="BZ5" s="134"/>
      <c r="CA5" s="134"/>
      <c r="CB5" s="138"/>
      <c r="CC5" s="134"/>
      <c r="CD5" s="134"/>
      <c r="CE5" s="134"/>
      <c r="CF5" s="288"/>
      <c r="CG5" s="289"/>
      <c r="CH5" s="138"/>
      <c r="CI5" s="134"/>
      <c r="CJ5" s="134"/>
      <c r="CK5" s="134"/>
      <c r="CL5" s="138"/>
      <c r="CM5" s="134"/>
      <c r="CN5" s="134"/>
      <c r="CO5" s="134"/>
      <c r="CP5" s="288"/>
      <c r="CQ5" s="289"/>
      <c r="CR5" s="276"/>
      <c r="CS5" s="308"/>
      <c r="CT5" s="138"/>
      <c r="CU5" s="190"/>
      <c r="CV5" s="134"/>
      <c r="CW5" s="190"/>
      <c r="CX5" s="134"/>
      <c r="CY5" s="190"/>
      <c r="CZ5" s="134"/>
      <c r="DA5" s="190"/>
      <c r="DB5" s="300"/>
      <c r="DC5" s="301"/>
      <c r="DD5" s="134"/>
      <c r="DE5" s="190"/>
      <c r="DF5" s="134"/>
      <c r="DG5" s="190"/>
      <c r="DH5" s="134"/>
      <c r="DI5" s="190"/>
      <c r="DJ5" s="134"/>
      <c r="DK5" s="190"/>
      <c r="DL5" s="300"/>
      <c r="DM5" s="301"/>
      <c r="DN5" s="317"/>
      <c r="DO5" s="318"/>
      <c r="DP5" s="134"/>
      <c r="DQ5" s="134"/>
      <c r="DR5" s="134"/>
      <c r="DS5" s="134"/>
      <c r="DT5" s="138"/>
      <c r="DU5" s="134"/>
      <c r="DV5" s="134"/>
      <c r="DW5" s="134"/>
      <c r="DX5" s="301"/>
      <c r="DY5" s="301"/>
      <c r="DZ5" s="138"/>
      <c r="EA5" s="134"/>
      <c r="EB5" s="134"/>
      <c r="EC5" s="134"/>
      <c r="ED5" s="138"/>
      <c r="EE5" s="134"/>
      <c r="EF5" s="134"/>
      <c r="EG5" s="134"/>
      <c r="EH5" s="301"/>
      <c r="EI5" s="301"/>
      <c r="EJ5" s="277"/>
      <c r="EK5" s="134"/>
      <c r="EL5" s="134"/>
      <c r="EM5" s="134"/>
      <c r="EN5" s="134"/>
      <c r="EO5" s="134"/>
      <c r="EP5" s="134"/>
      <c r="EQ5" s="134"/>
      <c r="ER5" s="134"/>
      <c r="ES5" s="301"/>
      <c r="ET5" s="301"/>
      <c r="EU5" s="134"/>
      <c r="EV5" s="134"/>
      <c r="EW5" s="134"/>
      <c r="EX5" s="134"/>
      <c r="EY5" s="134"/>
      <c r="EZ5" s="134"/>
      <c r="FA5" s="134"/>
      <c r="FB5" s="134"/>
      <c r="FC5" s="135"/>
      <c r="FD5" s="135"/>
      <c r="FE5" s="134"/>
      <c r="FF5" s="134"/>
      <c r="FG5" s="134"/>
      <c r="FH5" s="134"/>
      <c r="FI5" s="134"/>
      <c r="FJ5" s="134"/>
      <c r="FK5" s="134"/>
      <c r="FL5" s="134"/>
      <c r="FM5" s="135"/>
      <c r="FN5" s="135"/>
      <c r="FO5" s="134"/>
      <c r="FP5" s="134"/>
      <c r="FQ5" s="134"/>
      <c r="FR5" s="134"/>
      <c r="FS5" s="134"/>
      <c r="FT5" s="134"/>
      <c r="FU5" s="134"/>
      <c r="FV5" s="134"/>
      <c r="FW5" s="135"/>
      <c r="FX5" s="135"/>
      <c r="FY5" s="134"/>
      <c r="FZ5" s="134"/>
      <c r="GA5" s="134"/>
      <c r="GB5" s="134"/>
      <c r="GC5" s="134"/>
      <c r="GD5" s="134"/>
      <c r="GE5" s="134"/>
      <c r="GF5" s="134"/>
      <c r="GG5" s="135"/>
      <c r="GH5" s="135"/>
      <c r="GI5" s="134"/>
      <c r="GJ5" s="134"/>
      <c r="GK5" s="134"/>
      <c r="GL5" s="134"/>
      <c r="GM5" s="134"/>
      <c r="GN5" s="134"/>
      <c r="GO5" s="134"/>
      <c r="GP5" s="134"/>
      <c r="GQ5" s="135"/>
      <c r="GR5" s="135"/>
      <c r="GS5" s="134"/>
      <c r="GT5" s="134"/>
      <c r="GU5" s="134"/>
      <c r="GV5" s="134"/>
      <c r="GW5" s="134"/>
      <c r="GX5" s="134"/>
      <c r="GY5" s="134"/>
      <c r="GZ5" s="134"/>
      <c r="HA5" s="135"/>
      <c r="HB5" s="135"/>
      <c r="HC5" s="134"/>
      <c r="HD5" s="134"/>
      <c r="HE5" s="134"/>
      <c r="HF5" s="134"/>
      <c r="HG5" s="134"/>
      <c r="HH5" s="134"/>
      <c r="HI5" s="134"/>
      <c r="HJ5" s="134"/>
      <c r="HK5" s="135"/>
      <c r="HL5" s="135"/>
      <c r="HM5" s="134"/>
      <c r="HN5" s="134"/>
      <c r="HO5" s="134"/>
      <c r="HP5" s="134"/>
      <c r="HQ5" s="134"/>
      <c r="HR5" s="134"/>
      <c r="HS5" s="134"/>
      <c r="HT5" s="134"/>
      <c r="HU5" s="135"/>
      <c r="HV5" s="135"/>
      <c r="HW5" s="134"/>
      <c r="HX5" s="134"/>
      <c r="HY5" s="134"/>
      <c r="HZ5" s="134"/>
      <c r="IA5" s="134"/>
      <c r="IB5" s="134"/>
      <c r="IC5" s="134"/>
      <c r="ID5" s="134"/>
      <c r="IE5" s="135"/>
      <c r="IF5" s="135"/>
      <c r="IG5" s="134"/>
      <c r="IH5" s="134"/>
      <c r="II5" s="134"/>
      <c r="IJ5" s="134"/>
      <c r="IK5" s="134"/>
      <c r="IL5" s="134"/>
      <c r="IM5" s="134"/>
      <c r="IN5" s="134"/>
      <c r="IO5" s="135"/>
      <c r="IP5" s="135"/>
      <c r="IQ5" s="134"/>
      <c r="IR5" s="134"/>
      <c r="IS5" s="134"/>
      <c r="IT5" s="134"/>
      <c r="IU5" s="134"/>
      <c r="IV5" s="134"/>
      <c r="IW5" s="134"/>
      <c r="IX5" s="134"/>
      <c r="IY5" s="135"/>
      <c r="IZ5" s="135"/>
    </row>
    <row r="6" spans="1:260" s="119" customFormat="1" ht="17" customHeight="1">
      <c r="A6" s="79" t="s">
        <v>79</v>
      </c>
      <c r="B6" s="418">
        <v>61</v>
      </c>
      <c r="C6" s="117"/>
      <c r="D6" s="117">
        <v>5</v>
      </c>
      <c r="E6" s="123" t="s">
        <v>1922</v>
      </c>
      <c r="F6" s="124" t="s">
        <v>2139</v>
      </c>
      <c r="G6" s="125">
        <v>1999</v>
      </c>
      <c r="H6" s="79">
        <v>10217920</v>
      </c>
      <c r="I6" s="79">
        <v>1</v>
      </c>
      <c r="J6" s="126"/>
      <c r="K6" s="127"/>
      <c r="L6" s="164">
        <v>1</v>
      </c>
      <c r="M6" s="79" t="s">
        <v>1730</v>
      </c>
      <c r="N6" s="79">
        <v>1</v>
      </c>
      <c r="O6" s="128">
        <v>1</v>
      </c>
      <c r="P6" s="79" t="s">
        <v>23</v>
      </c>
      <c r="Q6" s="79"/>
      <c r="R6" s="79" t="s">
        <v>25</v>
      </c>
      <c r="S6" s="79">
        <v>1</v>
      </c>
      <c r="T6" s="79"/>
      <c r="U6" s="79"/>
      <c r="V6" s="79"/>
      <c r="W6" s="79" t="s">
        <v>23</v>
      </c>
      <c r="X6" s="79"/>
      <c r="Y6" s="79"/>
      <c r="Z6" s="79"/>
      <c r="AA6" s="79"/>
      <c r="AB6" s="79"/>
      <c r="AC6" s="506"/>
      <c r="AD6" s="573">
        <v>1</v>
      </c>
      <c r="AE6" s="573">
        <v>0</v>
      </c>
      <c r="AF6" s="165">
        <v>0</v>
      </c>
      <c r="AG6" s="166" t="s">
        <v>6162</v>
      </c>
      <c r="AH6" s="120">
        <v>2</v>
      </c>
      <c r="AI6" s="120"/>
      <c r="AJ6" s="206"/>
      <c r="AK6" s="372"/>
      <c r="AL6" s="207"/>
      <c r="AM6" s="120"/>
      <c r="AN6" s="120"/>
      <c r="AO6" s="120"/>
      <c r="AP6" s="120"/>
      <c r="AQ6" s="120"/>
      <c r="AR6" s="120"/>
      <c r="AS6" s="120"/>
      <c r="AT6" s="120"/>
      <c r="AU6" s="120"/>
      <c r="AV6" s="120"/>
      <c r="AW6" s="120"/>
      <c r="AX6" s="120"/>
      <c r="AY6" s="120"/>
      <c r="AZ6" s="120"/>
      <c r="BA6" s="120"/>
      <c r="BB6" s="120"/>
      <c r="BC6" s="120"/>
      <c r="BD6" s="373"/>
      <c r="BE6" s="373"/>
      <c r="BF6" s="373" t="s">
        <v>5207</v>
      </c>
      <c r="BG6" s="373"/>
      <c r="BH6" s="373"/>
      <c r="BI6" s="373" t="s">
        <v>5207</v>
      </c>
      <c r="BJ6" s="373" t="s">
        <v>6160</v>
      </c>
      <c r="BK6" s="373"/>
      <c r="BL6" s="373" t="s">
        <v>4727</v>
      </c>
      <c r="BM6" s="373"/>
      <c r="BN6" s="373"/>
      <c r="BO6" s="373"/>
      <c r="BP6" s="373"/>
      <c r="BQ6" s="157" t="s">
        <v>6165</v>
      </c>
      <c r="BR6" s="134"/>
      <c r="BS6" s="134"/>
      <c r="BT6" s="134"/>
      <c r="BU6" s="134"/>
      <c r="BV6" s="134"/>
      <c r="BW6" s="454"/>
      <c r="BX6" s="138"/>
      <c r="BY6" s="134"/>
      <c r="BZ6" s="134"/>
      <c r="CA6" s="134"/>
      <c r="CB6" s="138"/>
      <c r="CC6" s="190"/>
      <c r="CD6" s="190"/>
      <c r="CE6" s="190"/>
      <c r="CF6" s="288"/>
      <c r="CG6" s="289"/>
      <c r="CH6" s="138"/>
      <c r="CI6" s="134"/>
      <c r="CJ6" s="134"/>
      <c r="CK6" s="134"/>
      <c r="CL6" s="138"/>
      <c r="CM6" s="134"/>
      <c r="CN6" s="134"/>
      <c r="CO6" s="134"/>
      <c r="CP6" s="288"/>
      <c r="CQ6" s="289"/>
      <c r="CR6" s="276"/>
      <c r="CS6" s="308"/>
      <c r="CT6" s="138"/>
      <c r="CU6" s="134"/>
      <c r="CV6" s="134"/>
      <c r="CW6" s="134"/>
      <c r="CX6" s="134"/>
      <c r="CY6" s="190"/>
      <c r="CZ6" s="190"/>
      <c r="DA6" s="190"/>
      <c r="DB6" s="300"/>
      <c r="DC6" s="301"/>
      <c r="DD6" s="134"/>
      <c r="DE6" s="134"/>
      <c r="DF6" s="134"/>
      <c r="DG6" s="134"/>
      <c r="DH6" s="134"/>
      <c r="DI6" s="134"/>
      <c r="DJ6" s="134"/>
      <c r="DK6" s="134"/>
      <c r="DL6" s="300"/>
      <c r="DM6" s="301"/>
      <c r="DN6" s="276"/>
      <c r="DO6" s="277"/>
      <c r="DP6" s="134"/>
      <c r="DQ6" s="134"/>
      <c r="DR6" s="134"/>
      <c r="DS6" s="134"/>
      <c r="DT6" s="138"/>
      <c r="DU6" s="134"/>
      <c r="DV6" s="134"/>
      <c r="DW6" s="134"/>
      <c r="DX6" s="301"/>
      <c r="DY6" s="301"/>
      <c r="DZ6" s="138"/>
      <c r="EA6" s="134"/>
      <c r="EB6" s="134"/>
      <c r="EC6" s="134"/>
      <c r="ED6" s="138"/>
      <c r="EE6" s="134"/>
      <c r="EF6" s="134"/>
      <c r="EG6" s="134"/>
      <c r="EH6" s="301"/>
      <c r="EI6" s="301"/>
      <c r="EJ6" s="277"/>
      <c r="EK6" s="134"/>
      <c r="EL6" s="134"/>
      <c r="EM6" s="134"/>
      <c r="EN6" s="134"/>
      <c r="EO6" s="134"/>
      <c r="EP6" s="134"/>
      <c r="EQ6" s="134"/>
      <c r="ER6" s="134"/>
      <c r="ES6" s="301"/>
      <c r="ET6" s="301"/>
      <c r="EU6" s="134"/>
      <c r="EV6" s="134"/>
      <c r="EW6" s="134"/>
      <c r="EX6" s="134"/>
      <c r="EY6" s="134"/>
      <c r="EZ6" s="134"/>
      <c r="FA6" s="134"/>
      <c r="FB6" s="134"/>
      <c r="FC6" s="135"/>
      <c r="FD6" s="135"/>
      <c r="FE6" s="134"/>
      <c r="FF6" s="134"/>
      <c r="FG6" s="134"/>
      <c r="FH6" s="134"/>
      <c r="FI6" s="134"/>
      <c r="FJ6" s="134"/>
      <c r="FK6" s="134"/>
      <c r="FL6" s="134"/>
      <c r="FM6" s="135"/>
      <c r="FN6" s="135"/>
      <c r="FO6" s="134"/>
      <c r="FP6" s="134"/>
      <c r="FQ6" s="134"/>
      <c r="FR6" s="134"/>
      <c r="FS6" s="134"/>
      <c r="FT6" s="134"/>
      <c r="FU6" s="134"/>
      <c r="FV6" s="134"/>
      <c r="FW6" s="135"/>
      <c r="FX6" s="135"/>
      <c r="FY6" s="134"/>
      <c r="FZ6" s="134"/>
      <c r="GA6" s="134"/>
      <c r="GB6" s="134"/>
      <c r="GC6" s="134"/>
      <c r="GD6" s="134"/>
      <c r="GE6" s="134"/>
      <c r="GF6" s="134"/>
      <c r="GG6" s="135"/>
      <c r="GH6" s="135"/>
      <c r="GI6" s="134"/>
      <c r="GJ6" s="134"/>
      <c r="GK6" s="134"/>
      <c r="GL6" s="134"/>
      <c r="GM6" s="134"/>
      <c r="GN6" s="134"/>
      <c r="GO6" s="134"/>
      <c r="GP6" s="134"/>
      <c r="GQ6" s="135"/>
      <c r="GR6" s="135"/>
      <c r="GS6" s="134"/>
      <c r="GT6" s="134"/>
      <c r="GU6" s="134"/>
      <c r="GV6" s="134"/>
      <c r="GW6" s="134"/>
      <c r="GX6" s="134"/>
      <c r="GY6" s="134"/>
      <c r="GZ6" s="134"/>
      <c r="HA6" s="135"/>
      <c r="HB6" s="135"/>
      <c r="HC6" s="134"/>
      <c r="HD6" s="134"/>
      <c r="HE6" s="134"/>
      <c r="HF6" s="134"/>
      <c r="HG6" s="134"/>
      <c r="HH6" s="134"/>
      <c r="HI6" s="134"/>
      <c r="HJ6" s="134"/>
      <c r="HK6" s="135"/>
      <c r="HL6" s="135"/>
      <c r="HM6" s="134"/>
      <c r="HN6" s="134"/>
      <c r="HO6" s="134"/>
      <c r="HP6" s="134"/>
      <c r="HQ6" s="134"/>
      <c r="HR6" s="134"/>
      <c r="HS6" s="134"/>
      <c r="HT6" s="134"/>
      <c r="HU6" s="135"/>
      <c r="HV6" s="135"/>
      <c r="HW6" s="134"/>
      <c r="HX6" s="134"/>
      <c r="HY6" s="134"/>
      <c r="HZ6" s="134"/>
      <c r="IA6" s="134"/>
      <c r="IB6" s="134"/>
      <c r="IC6" s="134"/>
      <c r="ID6" s="134"/>
      <c r="IE6" s="135"/>
      <c r="IF6" s="135"/>
      <c r="IG6" s="134"/>
      <c r="IH6" s="134"/>
      <c r="II6" s="134"/>
      <c r="IJ6" s="134"/>
      <c r="IK6" s="134"/>
      <c r="IL6" s="134"/>
      <c r="IM6" s="134"/>
      <c r="IN6" s="134"/>
      <c r="IO6" s="135"/>
      <c r="IP6" s="135"/>
      <c r="IQ6" s="134"/>
      <c r="IR6" s="134"/>
      <c r="IS6" s="134"/>
      <c r="IT6" s="134"/>
      <c r="IU6" s="134"/>
      <c r="IV6" s="134"/>
      <c r="IW6" s="134"/>
      <c r="IX6" s="134"/>
      <c r="IY6" s="135"/>
      <c r="IZ6" s="135"/>
    </row>
    <row r="7" spans="1:260" s="119" customFormat="1" ht="17" customHeight="1">
      <c r="A7" s="79" t="s">
        <v>83</v>
      </c>
      <c r="B7" s="418">
        <v>62</v>
      </c>
      <c r="C7" s="117"/>
      <c r="D7" s="117">
        <v>6</v>
      </c>
      <c r="E7" s="123" t="s">
        <v>1923</v>
      </c>
      <c r="F7" s="124" t="s">
        <v>2140</v>
      </c>
      <c r="G7" s="125">
        <v>2013</v>
      </c>
      <c r="H7" s="79">
        <v>23496805</v>
      </c>
      <c r="I7" s="79">
        <v>1</v>
      </c>
      <c r="J7" s="126"/>
      <c r="K7" s="127"/>
      <c r="L7" s="79">
        <v>1</v>
      </c>
      <c r="M7" s="79"/>
      <c r="N7" s="79">
        <v>1</v>
      </c>
      <c r="O7" s="128">
        <v>1</v>
      </c>
      <c r="P7" s="79" t="s">
        <v>32</v>
      </c>
      <c r="Q7" s="79" t="s">
        <v>1164</v>
      </c>
      <c r="R7" s="79" t="s">
        <v>25</v>
      </c>
      <c r="S7" s="79">
        <v>1</v>
      </c>
      <c r="T7" s="79"/>
      <c r="U7" s="79"/>
      <c r="V7" s="79"/>
      <c r="W7" s="79" t="s">
        <v>30</v>
      </c>
      <c r="X7" s="79"/>
      <c r="Y7" s="79"/>
      <c r="Z7" s="79"/>
      <c r="AA7" s="79"/>
      <c r="AB7" s="79"/>
      <c r="AC7" s="506"/>
      <c r="AD7" s="573">
        <v>1</v>
      </c>
      <c r="AE7" s="573">
        <v>0</v>
      </c>
      <c r="AF7" s="154"/>
      <c r="AG7" s="155"/>
      <c r="AH7" s="121">
        <v>2</v>
      </c>
      <c r="AI7" s="484"/>
      <c r="AJ7" s="202"/>
      <c r="AK7" s="192"/>
      <c r="AL7" s="203"/>
      <c r="AM7" s="121"/>
      <c r="AN7" s="121"/>
      <c r="AO7" s="121"/>
      <c r="AP7" s="121"/>
      <c r="AQ7" s="121"/>
      <c r="AR7" s="121"/>
      <c r="AS7" s="121"/>
      <c r="AT7" s="121"/>
      <c r="AU7" s="121"/>
      <c r="AV7" s="121"/>
      <c r="AW7" s="121"/>
      <c r="AX7" s="121"/>
      <c r="AY7" s="121"/>
      <c r="AZ7" s="121"/>
      <c r="BA7" s="121"/>
      <c r="BB7" s="121"/>
      <c r="BC7" s="121"/>
      <c r="BD7" s="156"/>
      <c r="BE7" s="156"/>
      <c r="BF7" s="156" t="s">
        <v>5207</v>
      </c>
      <c r="BG7" s="156"/>
      <c r="BH7" s="156"/>
      <c r="BI7" s="156"/>
      <c r="BJ7" s="156"/>
      <c r="BK7" s="156"/>
      <c r="BL7" s="156"/>
      <c r="BM7" s="156"/>
      <c r="BN7" s="156"/>
      <c r="BO7" s="156"/>
      <c r="BP7" s="156"/>
      <c r="BQ7" s="157" t="s">
        <v>6166</v>
      </c>
      <c r="BR7" s="134"/>
      <c r="BS7" s="134"/>
      <c r="BT7" s="134"/>
      <c r="BU7" s="134"/>
      <c r="BV7" s="134"/>
      <c r="BW7" s="454"/>
      <c r="BX7" s="138"/>
      <c r="BY7" s="134"/>
      <c r="BZ7" s="134"/>
      <c r="CA7" s="134"/>
      <c r="CB7" s="138"/>
      <c r="CC7" s="134"/>
      <c r="CD7" s="134"/>
      <c r="CE7" s="134"/>
      <c r="CF7" s="288"/>
      <c r="CG7" s="289"/>
      <c r="CH7" s="430"/>
      <c r="CI7" s="134"/>
      <c r="CJ7" s="134"/>
      <c r="CK7" s="134"/>
      <c r="CL7" s="430"/>
      <c r="CM7" s="134"/>
      <c r="CN7" s="134"/>
      <c r="CO7" s="134"/>
      <c r="CP7" s="288"/>
      <c r="CQ7" s="289"/>
      <c r="CR7" s="276"/>
      <c r="CS7" s="308"/>
      <c r="CT7" s="430"/>
      <c r="CU7" s="134"/>
      <c r="CV7" s="134"/>
      <c r="CW7" s="134"/>
      <c r="CX7" s="134"/>
      <c r="CY7" s="190"/>
      <c r="CZ7" s="190"/>
      <c r="DA7" s="190"/>
      <c r="DB7" s="300"/>
      <c r="DC7" s="301"/>
      <c r="DD7" s="134"/>
      <c r="DE7" s="134"/>
      <c r="DF7" s="134"/>
      <c r="DG7" s="134"/>
      <c r="DH7" s="134"/>
      <c r="DI7" s="134"/>
      <c r="DJ7" s="134"/>
      <c r="DK7" s="134"/>
      <c r="DL7" s="300"/>
      <c r="DM7" s="301"/>
      <c r="DN7" s="276"/>
      <c r="DO7" s="277"/>
      <c r="DP7" s="134"/>
      <c r="DQ7" s="134"/>
      <c r="DR7" s="134"/>
      <c r="DS7" s="134"/>
      <c r="DT7" s="138"/>
      <c r="DU7" s="134"/>
      <c r="DV7" s="134"/>
      <c r="DW7" s="134"/>
      <c r="DX7" s="301"/>
      <c r="DY7" s="301"/>
      <c r="DZ7" s="138"/>
      <c r="EA7" s="134"/>
      <c r="EB7" s="134"/>
      <c r="EC7" s="134"/>
      <c r="ED7" s="138"/>
      <c r="EE7" s="134"/>
      <c r="EF7" s="134"/>
      <c r="EG7" s="134"/>
      <c r="EH7" s="301"/>
      <c r="EI7" s="301"/>
      <c r="EJ7" s="277"/>
      <c r="EK7" s="134"/>
      <c r="EL7" s="134"/>
      <c r="EM7" s="134"/>
      <c r="EN7" s="134"/>
      <c r="EO7" s="134"/>
      <c r="EP7" s="134"/>
      <c r="EQ7" s="134"/>
      <c r="ER7" s="134"/>
      <c r="ES7" s="301"/>
      <c r="ET7" s="301"/>
      <c r="EU7" s="134"/>
      <c r="EV7" s="134"/>
      <c r="EW7" s="134"/>
      <c r="EX7" s="134"/>
      <c r="EY7" s="134"/>
      <c r="EZ7" s="134"/>
      <c r="FA7" s="134"/>
      <c r="FB7" s="134"/>
      <c r="FC7" s="135"/>
      <c r="FD7" s="135"/>
      <c r="FE7" s="134"/>
      <c r="FF7" s="134"/>
      <c r="FG7" s="134"/>
      <c r="FH7" s="134"/>
      <c r="FI7" s="134"/>
      <c r="FJ7" s="134"/>
      <c r="FK7" s="134"/>
      <c r="FL7" s="134"/>
      <c r="FM7" s="135"/>
      <c r="FN7" s="135"/>
      <c r="FO7" s="134"/>
      <c r="FP7" s="134"/>
      <c r="FQ7" s="134"/>
      <c r="FR7" s="134"/>
      <c r="FS7" s="134"/>
      <c r="FT7" s="134"/>
      <c r="FU7" s="134"/>
      <c r="FV7" s="134"/>
      <c r="FW7" s="135"/>
      <c r="FX7" s="135"/>
      <c r="FY7" s="134"/>
      <c r="FZ7" s="134"/>
      <c r="GA7" s="134"/>
      <c r="GB7" s="134"/>
      <c r="GC7" s="134"/>
      <c r="GD7" s="134"/>
      <c r="GE7" s="134"/>
      <c r="GF7" s="134"/>
      <c r="GG7" s="135"/>
      <c r="GH7" s="135"/>
      <c r="GI7" s="134"/>
      <c r="GJ7" s="134"/>
      <c r="GK7" s="134"/>
      <c r="GL7" s="134"/>
      <c r="GM7" s="134"/>
      <c r="GN7" s="134"/>
      <c r="GO7" s="134"/>
      <c r="GP7" s="134"/>
      <c r="GQ7" s="135"/>
      <c r="GR7" s="135"/>
      <c r="GS7" s="134"/>
      <c r="GT7" s="134"/>
      <c r="GU7" s="134"/>
      <c r="GV7" s="134"/>
      <c r="GW7" s="134"/>
      <c r="GX7" s="134"/>
      <c r="GY7" s="134"/>
      <c r="GZ7" s="134"/>
      <c r="HA7" s="135"/>
      <c r="HB7" s="135"/>
      <c r="HC7" s="134"/>
      <c r="HD7" s="134"/>
      <c r="HE7" s="134"/>
      <c r="HF7" s="134"/>
      <c r="HG7" s="134"/>
      <c r="HH7" s="134"/>
      <c r="HI7" s="134"/>
      <c r="HJ7" s="134"/>
      <c r="HK7" s="135"/>
      <c r="HL7" s="135"/>
      <c r="HM7" s="134"/>
      <c r="HN7" s="134"/>
      <c r="HO7" s="134"/>
      <c r="HP7" s="134"/>
      <c r="HQ7" s="134"/>
      <c r="HR7" s="134"/>
      <c r="HS7" s="134"/>
      <c r="HT7" s="134"/>
      <c r="HU7" s="135"/>
      <c r="HV7" s="135"/>
      <c r="HW7" s="134"/>
      <c r="HX7" s="134"/>
      <c r="HY7" s="134"/>
      <c r="HZ7" s="134"/>
      <c r="IA7" s="134"/>
      <c r="IB7" s="134"/>
      <c r="IC7" s="134"/>
      <c r="ID7" s="134"/>
      <c r="IE7" s="135"/>
      <c r="IF7" s="135"/>
      <c r="IG7" s="134"/>
      <c r="IH7" s="134"/>
      <c r="II7" s="134"/>
      <c r="IJ7" s="134"/>
      <c r="IK7" s="134"/>
      <c r="IL7" s="134"/>
      <c r="IM7" s="134"/>
      <c r="IN7" s="134"/>
      <c r="IO7" s="135"/>
      <c r="IP7" s="135"/>
      <c r="IQ7" s="134"/>
      <c r="IR7" s="134"/>
      <c r="IS7" s="134"/>
      <c r="IT7" s="134"/>
      <c r="IU7" s="134"/>
      <c r="IV7" s="134"/>
      <c r="IW7" s="134"/>
      <c r="IX7" s="134"/>
      <c r="IY7" s="135"/>
      <c r="IZ7" s="135"/>
    </row>
    <row r="8" spans="1:260" s="119" customFormat="1" ht="17" customHeight="1">
      <c r="A8" s="79" t="s">
        <v>84</v>
      </c>
      <c r="B8" s="418">
        <v>63</v>
      </c>
      <c r="C8" s="117"/>
      <c r="D8" s="117">
        <v>7</v>
      </c>
      <c r="E8" s="123" t="s">
        <v>1924</v>
      </c>
      <c r="F8" s="124" t="s">
        <v>2141</v>
      </c>
      <c r="G8" s="125">
        <v>1996</v>
      </c>
      <c r="H8" s="79">
        <v>8770439</v>
      </c>
      <c r="I8" s="79">
        <v>1</v>
      </c>
      <c r="J8" s="126"/>
      <c r="K8" s="127"/>
      <c r="L8" s="164">
        <v>1</v>
      </c>
      <c r="M8" s="79"/>
      <c r="N8" s="79">
        <v>1</v>
      </c>
      <c r="O8" s="128">
        <v>1</v>
      </c>
      <c r="P8" s="79" t="s">
        <v>35</v>
      </c>
      <c r="Q8" s="79" t="s">
        <v>1143</v>
      </c>
      <c r="R8" s="79" t="s">
        <v>25</v>
      </c>
      <c r="S8" s="79">
        <v>1</v>
      </c>
      <c r="T8" s="79"/>
      <c r="U8" s="79"/>
      <c r="V8" s="79"/>
      <c r="W8" s="79" t="s">
        <v>34</v>
      </c>
      <c r="X8" s="79" t="s">
        <v>33</v>
      </c>
      <c r="Y8" s="79" t="s">
        <v>33</v>
      </c>
      <c r="Z8" s="79"/>
      <c r="AA8" s="79"/>
      <c r="AB8" s="79"/>
      <c r="AC8" s="506" t="s">
        <v>6168</v>
      </c>
      <c r="AD8" s="573">
        <v>1</v>
      </c>
      <c r="AE8" s="573">
        <v>0</v>
      </c>
      <c r="AF8" s="154"/>
      <c r="AG8" s="155"/>
      <c r="AH8" s="121">
        <v>2</v>
      </c>
      <c r="AI8" s="484"/>
      <c r="AJ8" s="202"/>
      <c r="AK8" s="192"/>
      <c r="AL8" s="203"/>
      <c r="AM8" s="121"/>
      <c r="AN8" s="121"/>
      <c r="AO8" s="121"/>
      <c r="AP8" s="121"/>
      <c r="AQ8" s="121"/>
      <c r="AR8" s="448"/>
      <c r="AS8" s="121"/>
      <c r="AT8" s="121"/>
      <c r="AU8" s="121"/>
      <c r="AV8" s="121"/>
      <c r="AW8" s="121"/>
      <c r="AX8" s="121"/>
      <c r="AY8" s="121"/>
      <c r="AZ8" s="121"/>
      <c r="BA8" s="121"/>
      <c r="BB8" s="121"/>
      <c r="BC8" s="121"/>
      <c r="BD8" s="156"/>
      <c r="BE8" s="156"/>
      <c r="BF8" s="156">
        <v>1</v>
      </c>
      <c r="BG8" s="156"/>
      <c r="BH8" s="156"/>
      <c r="BI8" s="156"/>
      <c r="BJ8" s="156"/>
      <c r="BK8" s="156"/>
      <c r="BL8" s="156"/>
      <c r="BM8" s="156"/>
      <c r="BN8" s="156"/>
      <c r="BO8" s="156"/>
      <c r="BP8" s="156"/>
      <c r="BQ8" s="157"/>
      <c r="BR8" s="134"/>
      <c r="BS8" s="134"/>
      <c r="BT8" s="134"/>
      <c r="BU8" s="134"/>
      <c r="BV8" s="134"/>
      <c r="BW8" s="259"/>
      <c r="BX8" s="138"/>
      <c r="BY8" s="134"/>
      <c r="BZ8" s="134"/>
      <c r="CA8" s="190"/>
      <c r="CB8" s="138"/>
      <c r="CC8" s="190"/>
      <c r="CD8" s="190"/>
      <c r="CE8" s="134"/>
      <c r="CF8" s="288"/>
      <c r="CG8" s="289"/>
      <c r="CH8" s="138"/>
      <c r="CI8" s="134"/>
      <c r="CJ8" s="134"/>
      <c r="CK8" s="134"/>
      <c r="CL8" s="138"/>
      <c r="CM8" s="134"/>
      <c r="CN8" s="134"/>
      <c r="CO8" s="134"/>
      <c r="CP8" s="288"/>
      <c r="CQ8" s="289"/>
      <c r="CR8" s="276"/>
      <c r="CS8" s="308"/>
      <c r="CT8" s="138"/>
      <c r="CU8" s="134"/>
      <c r="CV8" s="134"/>
      <c r="CW8" s="134"/>
      <c r="CX8" s="134"/>
      <c r="CY8" s="190"/>
      <c r="CZ8" s="190"/>
      <c r="DA8" s="190"/>
      <c r="DB8" s="300"/>
      <c r="DC8" s="301"/>
      <c r="DD8" s="134"/>
      <c r="DE8" s="134"/>
      <c r="DF8" s="134"/>
      <c r="DG8" s="134"/>
      <c r="DH8" s="134"/>
      <c r="DI8" s="134"/>
      <c r="DJ8" s="134"/>
      <c r="DK8" s="134"/>
      <c r="DL8" s="300"/>
      <c r="DM8" s="301"/>
      <c r="DN8" s="276"/>
      <c r="DO8" s="277"/>
      <c r="DP8" s="134"/>
      <c r="DQ8" s="134"/>
      <c r="DR8" s="134"/>
      <c r="DS8" s="134"/>
      <c r="DT8" s="138"/>
      <c r="DU8" s="134"/>
      <c r="DV8" s="134"/>
      <c r="DW8" s="134"/>
      <c r="DX8" s="301"/>
      <c r="DY8" s="301"/>
      <c r="DZ8" s="138"/>
      <c r="EA8" s="134"/>
      <c r="EB8" s="134"/>
      <c r="EC8" s="134"/>
      <c r="ED8" s="138"/>
      <c r="EE8" s="134"/>
      <c r="EF8" s="134"/>
      <c r="EG8" s="134"/>
      <c r="EH8" s="301"/>
      <c r="EI8" s="301"/>
      <c r="EJ8" s="277"/>
      <c r="EK8" s="134"/>
      <c r="EL8" s="134"/>
      <c r="EM8" s="134"/>
      <c r="EN8" s="134"/>
      <c r="EO8" s="134"/>
      <c r="EP8" s="134"/>
      <c r="EQ8" s="134"/>
      <c r="ER8" s="134"/>
      <c r="ES8" s="301"/>
      <c r="ET8" s="301"/>
      <c r="EU8" s="134"/>
      <c r="EV8" s="134"/>
      <c r="EW8" s="134"/>
      <c r="EX8" s="134"/>
      <c r="EY8" s="134"/>
      <c r="EZ8" s="134"/>
      <c r="FA8" s="134"/>
      <c r="FB8" s="134"/>
      <c r="FC8" s="135"/>
      <c r="FD8" s="135"/>
      <c r="FE8" s="134"/>
      <c r="FF8" s="134"/>
      <c r="FG8" s="134"/>
      <c r="FH8" s="134"/>
      <c r="FI8" s="134"/>
      <c r="FJ8" s="134"/>
      <c r="FK8" s="134"/>
      <c r="FL8" s="134"/>
      <c r="FM8" s="135"/>
      <c r="FN8" s="135"/>
      <c r="FO8" s="134"/>
      <c r="FP8" s="134"/>
      <c r="FQ8" s="134"/>
      <c r="FR8" s="134"/>
      <c r="FS8" s="134"/>
      <c r="FT8" s="134"/>
      <c r="FU8" s="134"/>
      <c r="FV8" s="134"/>
      <c r="FW8" s="135"/>
      <c r="FX8" s="135"/>
      <c r="FY8" s="134"/>
      <c r="FZ8" s="134"/>
      <c r="GA8" s="134"/>
      <c r="GB8" s="134"/>
      <c r="GC8" s="134"/>
      <c r="GD8" s="134"/>
      <c r="GE8" s="134"/>
      <c r="GF8" s="134"/>
      <c r="GG8" s="135"/>
      <c r="GH8" s="135"/>
      <c r="GI8" s="134"/>
      <c r="GJ8" s="134"/>
      <c r="GK8" s="134"/>
      <c r="GL8" s="134"/>
      <c r="GM8" s="134"/>
      <c r="GN8" s="134"/>
      <c r="GO8" s="134"/>
      <c r="GP8" s="134"/>
      <c r="GQ8" s="135"/>
      <c r="GR8" s="135"/>
      <c r="GS8" s="134"/>
      <c r="GT8" s="134"/>
      <c r="GU8" s="134"/>
      <c r="GV8" s="134"/>
      <c r="GW8" s="134"/>
      <c r="GX8" s="134"/>
      <c r="GY8" s="134"/>
      <c r="GZ8" s="134"/>
      <c r="HA8" s="135"/>
      <c r="HB8" s="135"/>
      <c r="HC8" s="134"/>
      <c r="HD8" s="134"/>
      <c r="HE8" s="134"/>
      <c r="HF8" s="134"/>
      <c r="HG8" s="134"/>
      <c r="HH8" s="134"/>
      <c r="HI8" s="134"/>
      <c r="HJ8" s="134"/>
      <c r="HK8" s="135"/>
      <c r="HL8" s="135"/>
      <c r="HM8" s="134"/>
      <c r="HN8" s="134"/>
      <c r="HO8" s="134"/>
      <c r="HP8" s="134"/>
      <c r="HQ8" s="134"/>
      <c r="HR8" s="134"/>
      <c r="HS8" s="134"/>
      <c r="HT8" s="134"/>
      <c r="HU8" s="135"/>
      <c r="HV8" s="135"/>
      <c r="HW8" s="134"/>
      <c r="HX8" s="134"/>
      <c r="HY8" s="134"/>
      <c r="HZ8" s="134"/>
      <c r="IA8" s="134"/>
      <c r="IB8" s="134"/>
      <c r="IC8" s="134"/>
      <c r="ID8" s="134"/>
      <c r="IE8" s="135"/>
      <c r="IF8" s="135"/>
      <c r="IG8" s="134"/>
      <c r="IH8" s="134"/>
      <c r="II8" s="134"/>
      <c r="IJ8" s="134"/>
      <c r="IK8" s="134"/>
      <c r="IL8" s="134"/>
      <c r="IM8" s="134"/>
      <c r="IN8" s="134"/>
      <c r="IO8" s="135"/>
      <c r="IP8" s="135"/>
      <c r="IQ8" s="134"/>
      <c r="IR8" s="134"/>
      <c r="IS8" s="134"/>
      <c r="IT8" s="134"/>
      <c r="IU8" s="134"/>
      <c r="IV8" s="134"/>
      <c r="IW8" s="134"/>
      <c r="IX8" s="134"/>
      <c r="IY8" s="135"/>
      <c r="IZ8" s="135"/>
    </row>
    <row r="9" spans="1:260" ht="17" customHeight="1">
      <c r="A9" s="79" t="s">
        <v>1115</v>
      </c>
      <c r="B9" s="418">
        <v>64</v>
      </c>
      <c r="C9" s="117"/>
      <c r="D9" s="117">
        <v>8</v>
      </c>
      <c r="E9" s="123" t="s">
        <v>2049</v>
      </c>
      <c r="F9" s="124" t="s">
        <v>2292</v>
      </c>
      <c r="G9" s="125">
        <v>2012</v>
      </c>
      <c r="H9" s="79">
        <v>22522023</v>
      </c>
      <c r="I9" s="79">
        <v>1</v>
      </c>
      <c r="J9" s="126" t="s">
        <v>1835</v>
      </c>
      <c r="K9" s="127"/>
      <c r="L9" s="79">
        <v>0</v>
      </c>
      <c r="M9" s="79"/>
      <c r="N9" s="79">
        <v>0</v>
      </c>
      <c r="O9" s="128">
        <v>2</v>
      </c>
      <c r="P9" s="79" t="s">
        <v>24</v>
      </c>
      <c r="Q9" s="79" t="s">
        <v>1171</v>
      </c>
      <c r="R9" s="79" t="s">
        <v>1130</v>
      </c>
      <c r="S9" s="79"/>
      <c r="T9" s="79" t="s">
        <v>1495</v>
      </c>
      <c r="U9" s="79" t="s">
        <v>1539</v>
      </c>
      <c r="V9" s="79" t="s">
        <v>23</v>
      </c>
      <c r="W9" s="79" t="s">
        <v>1799</v>
      </c>
      <c r="X9" s="79" t="s">
        <v>1131</v>
      </c>
      <c r="Y9" s="79" t="s">
        <v>1132</v>
      </c>
      <c r="Z9" s="79"/>
      <c r="AA9" s="79"/>
      <c r="AB9" s="79" t="s">
        <v>1798</v>
      </c>
      <c r="AC9" s="506" t="s">
        <v>6169</v>
      </c>
      <c r="AD9" s="573">
        <v>1</v>
      </c>
      <c r="AE9" s="573">
        <v>1</v>
      </c>
      <c r="AF9" s="154" t="s">
        <v>3003</v>
      </c>
      <c r="AG9" s="155" t="s">
        <v>1597</v>
      </c>
      <c r="AH9" s="121">
        <v>4</v>
      </c>
      <c r="AI9" s="484"/>
      <c r="AJ9" s="202"/>
      <c r="AK9" s="192"/>
      <c r="AL9" s="203"/>
      <c r="AM9" s="121"/>
      <c r="AN9" s="121"/>
      <c r="AO9" s="121"/>
      <c r="AP9" s="121"/>
      <c r="AQ9" s="121"/>
      <c r="AR9" s="121"/>
      <c r="AS9" s="121"/>
      <c r="AT9" s="121"/>
      <c r="AU9" s="121"/>
      <c r="AV9" s="121"/>
      <c r="AW9" s="121"/>
      <c r="AX9" s="121"/>
      <c r="AY9" s="121"/>
      <c r="AZ9" s="121"/>
      <c r="BA9" s="121"/>
      <c r="BB9" s="121" t="s">
        <v>1917</v>
      </c>
      <c r="BC9" s="121"/>
      <c r="BD9" s="156" t="s">
        <v>4727</v>
      </c>
      <c r="BE9" s="156"/>
      <c r="BF9" s="156"/>
      <c r="BG9" s="156"/>
      <c r="BH9" s="156"/>
      <c r="BI9" s="156"/>
      <c r="BJ9" s="156"/>
      <c r="BK9" s="156"/>
      <c r="BL9" s="156"/>
      <c r="BM9" s="156"/>
      <c r="BN9" s="156"/>
      <c r="BO9" s="156"/>
      <c r="BP9" s="156"/>
      <c r="BQ9" s="157"/>
      <c r="BR9" s="134"/>
      <c r="BS9" s="134"/>
      <c r="BT9" s="134"/>
      <c r="BU9" s="134"/>
      <c r="BV9" s="134"/>
      <c r="BW9" s="259"/>
      <c r="BX9" s="138"/>
      <c r="BY9" s="134"/>
      <c r="BZ9" s="134"/>
      <c r="CA9" s="134"/>
      <c r="CB9" s="138"/>
      <c r="CC9" s="134"/>
      <c r="CD9" s="134"/>
      <c r="CE9" s="134"/>
      <c r="CF9" s="288"/>
      <c r="CG9" s="289"/>
      <c r="CH9" s="138"/>
      <c r="CI9" s="134"/>
      <c r="CJ9" s="134"/>
      <c r="CK9" s="134"/>
      <c r="CL9" s="138"/>
      <c r="CM9" s="134"/>
      <c r="CN9" s="134"/>
      <c r="CO9" s="134"/>
      <c r="CP9" s="288"/>
      <c r="CQ9" s="289"/>
      <c r="CR9" s="276"/>
      <c r="CS9" s="308"/>
      <c r="CT9" s="138"/>
      <c r="CU9" s="190"/>
      <c r="CV9" s="134"/>
      <c r="CW9" s="190"/>
      <c r="CX9" s="134"/>
      <c r="CY9" s="190"/>
      <c r="CZ9" s="134"/>
      <c r="DA9" s="190"/>
      <c r="DB9" s="300"/>
      <c r="DC9" s="301"/>
      <c r="DD9" s="134"/>
      <c r="DE9" s="190"/>
      <c r="DF9" s="134"/>
      <c r="DG9" s="190"/>
      <c r="DH9" s="134"/>
      <c r="DI9" s="190"/>
      <c r="DJ9" s="134"/>
      <c r="DK9" s="190"/>
      <c r="DL9" s="300"/>
      <c r="DM9" s="301"/>
      <c r="DN9" s="317"/>
      <c r="DO9" s="318"/>
      <c r="DP9" s="134"/>
      <c r="DQ9" s="134"/>
      <c r="DR9" s="134"/>
      <c r="DS9" s="134"/>
      <c r="DT9" s="138"/>
      <c r="DU9" s="134"/>
      <c r="DV9" s="134"/>
      <c r="DW9" s="134"/>
      <c r="DX9" s="301"/>
      <c r="DY9" s="301"/>
      <c r="DZ9" s="138"/>
      <c r="EA9" s="134"/>
      <c r="EB9" s="134"/>
      <c r="EC9" s="134"/>
      <c r="ED9" s="138"/>
      <c r="EE9" s="134"/>
      <c r="EF9" s="134"/>
      <c r="EG9" s="134"/>
      <c r="EH9" s="301"/>
      <c r="EI9" s="301"/>
      <c r="EJ9" s="277"/>
      <c r="EK9" s="134"/>
      <c r="EL9" s="134"/>
      <c r="EM9" s="134"/>
      <c r="EN9" s="134"/>
      <c r="EO9" s="134"/>
      <c r="EP9" s="134"/>
      <c r="EQ9" s="134"/>
      <c r="ER9" s="134"/>
      <c r="ES9" s="301"/>
      <c r="ET9" s="301"/>
      <c r="EU9" s="134"/>
      <c r="EV9" s="134"/>
      <c r="EW9" s="134"/>
      <c r="EX9" s="134"/>
      <c r="EY9" s="134"/>
      <c r="EZ9" s="134"/>
      <c r="FA9" s="134"/>
      <c r="FB9" s="134"/>
      <c r="FC9" s="135"/>
      <c r="FD9" s="135"/>
      <c r="FE9" s="134"/>
      <c r="FF9" s="134"/>
      <c r="FG9" s="134"/>
      <c r="FH9" s="134"/>
      <c r="FI9" s="134"/>
      <c r="FJ9" s="134"/>
      <c r="FK9" s="134"/>
      <c r="FL9" s="134"/>
      <c r="FM9" s="135"/>
      <c r="FN9" s="135"/>
      <c r="FO9" s="134"/>
      <c r="FP9" s="134"/>
      <c r="FQ9" s="134"/>
      <c r="FR9" s="134"/>
      <c r="FS9" s="134"/>
      <c r="FT9" s="134"/>
      <c r="FU9" s="134"/>
      <c r="FV9" s="134"/>
      <c r="FW9" s="135"/>
      <c r="FX9" s="135"/>
      <c r="FY9" s="134"/>
      <c r="FZ9" s="134"/>
      <c r="GA9" s="134"/>
      <c r="GB9" s="134"/>
      <c r="GC9" s="134"/>
      <c r="GD9" s="134"/>
      <c r="GE9" s="134"/>
      <c r="GF9" s="134"/>
      <c r="GG9" s="135"/>
      <c r="GH9" s="135"/>
      <c r="GI9" s="134"/>
      <c r="GJ9" s="134"/>
      <c r="GK9" s="134"/>
      <c r="GL9" s="134"/>
      <c r="GM9" s="134"/>
      <c r="GN9" s="134"/>
      <c r="GO9" s="134"/>
      <c r="GP9" s="134"/>
      <c r="GQ9" s="135"/>
      <c r="GR9" s="135"/>
      <c r="GS9" s="134"/>
      <c r="GT9" s="134"/>
      <c r="GU9" s="134"/>
      <c r="GV9" s="134"/>
      <c r="GW9" s="134"/>
      <c r="GX9" s="134"/>
      <c r="GY9" s="134"/>
      <c r="GZ9" s="134"/>
      <c r="HA9" s="135"/>
      <c r="HB9" s="135"/>
      <c r="HC9" s="134"/>
      <c r="HD9" s="134"/>
      <c r="HE9" s="134"/>
      <c r="HF9" s="134"/>
      <c r="HG9" s="134"/>
      <c r="HH9" s="134"/>
      <c r="HI9" s="134"/>
      <c r="HJ9" s="134"/>
      <c r="HK9" s="135"/>
      <c r="HL9" s="135"/>
      <c r="HM9" s="134"/>
      <c r="HN9" s="134"/>
      <c r="HO9" s="134"/>
      <c r="HP9" s="134"/>
      <c r="HQ9" s="134"/>
      <c r="HR9" s="134"/>
      <c r="HS9" s="134"/>
      <c r="HT9" s="134"/>
      <c r="HU9" s="135"/>
      <c r="HV9" s="135"/>
      <c r="HW9" s="134"/>
      <c r="HX9" s="134"/>
      <c r="HY9" s="134"/>
      <c r="HZ9" s="134"/>
      <c r="IA9" s="134"/>
      <c r="IB9" s="134"/>
      <c r="IC9" s="134"/>
      <c r="ID9" s="134"/>
      <c r="IE9" s="135"/>
      <c r="IF9" s="135"/>
      <c r="IG9" s="134"/>
      <c r="IH9" s="134"/>
      <c r="II9" s="134"/>
      <c r="IJ9" s="134"/>
      <c r="IK9" s="134"/>
      <c r="IL9" s="134"/>
      <c r="IM9" s="134"/>
      <c r="IN9" s="134"/>
      <c r="IO9" s="135"/>
      <c r="IP9" s="135"/>
      <c r="IQ9" s="134"/>
      <c r="IR9" s="134"/>
      <c r="IS9" s="134"/>
      <c r="IT9" s="134"/>
      <c r="IU9" s="134"/>
      <c r="IV9" s="134"/>
      <c r="IW9" s="134"/>
      <c r="IX9" s="134"/>
      <c r="IY9" s="135"/>
      <c r="IZ9" s="135"/>
    </row>
    <row r="10" spans="1:260" s="229" customFormat="1" ht="17" customHeight="1">
      <c r="A10" s="79" t="s">
        <v>87</v>
      </c>
      <c r="B10" s="418">
        <v>65</v>
      </c>
      <c r="C10" s="117"/>
      <c r="D10" s="117">
        <v>9</v>
      </c>
      <c r="E10" s="123" t="s">
        <v>1925</v>
      </c>
      <c r="F10" s="124" t="s">
        <v>2142</v>
      </c>
      <c r="G10" s="125">
        <v>2015</v>
      </c>
      <c r="H10" s="79">
        <v>26184460</v>
      </c>
      <c r="I10" s="79">
        <v>1</v>
      </c>
      <c r="J10" s="170" t="s">
        <v>1773</v>
      </c>
      <c r="K10" s="127" t="s">
        <v>1755</v>
      </c>
      <c r="L10" s="79">
        <v>0</v>
      </c>
      <c r="M10" s="79" t="s">
        <v>1731</v>
      </c>
      <c r="N10" s="79">
        <v>1</v>
      </c>
      <c r="O10" s="128">
        <v>1</v>
      </c>
      <c r="P10" s="79" t="s">
        <v>38</v>
      </c>
      <c r="Q10" s="79" t="s">
        <v>1144</v>
      </c>
      <c r="R10" s="79" t="s">
        <v>25</v>
      </c>
      <c r="S10" s="79">
        <v>1</v>
      </c>
      <c r="T10" s="79"/>
      <c r="U10" s="79"/>
      <c r="V10" s="79"/>
      <c r="W10" s="79"/>
      <c r="X10" s="79" t="s">
        <v>39</v>
      </c>
      <c r="Y10" s="79"/>
      <c r="Z10" s="79"/>
      <c r="AA10" s="79"/>
      <c r="AB10" s="79"/>
      <c r="AC10" s="506" t="s">
        <v>6170</v>
      </c>
      <c r="AD10" s="573">
        <v>1</v>
      </c>
      <c r="AE10" s="573">
        <v>0</v>
      </c>
      <c r="AF10" s="154">
        <v>0</v>
      </c>
      <c r="AG10" s="155" t="s">
        <v>6171</v>
      </c>
      <c r="AH10" s="121">
        <v>2</v>
      </c>
      <c r="AI10" s="484"/>
      <c r="AJ10" s="202"/>
      <c r="AK10" s="192"/>
      <c r="AL10" s="203"/>
      <c r="AM10" s="121"/>
      <c r="AN10" s="121"/>
      <c r="AO10" s="121"/>
      <c r="AP10" s="121"/>
      <c r="AQ10" s="121"/>
      <c r="AR10" s="121"/>
      <c r="AS10" s="121"/>
      <c r="AT10" s="121"/>
      <c r="AU10" s="121"/>
      <c r="AV10" s="121"/>
      <c r="AW10" s="121"/>
      <c r="AX10" s="121"/>
      <c r="AY10" s="121"/>
      <c r="AZ10" s="121"/>
      <c r="BA10" s="121"/>
      <c r="BB10" s="121"/>
      <c r="BC10" s="121">
        <v>1</v>
      </c>
      <c r="BD10" s="156"/>
      <c r="BE10" s="156"/>
      <c r="BF10" s="156"/>
      <c r="BG10" s="156"/>
      <c r="BH10" s="156"/>
      <c r="BI10" s="156"/>
      <c r="BJ10" s="156"/>
      <c r="BK10" s="156"/>
      <c r="BL10" s="156"/>
      <c r="BM10" s="156"/>
      <c r="BN10" s="156"/>
      <c r="BO10" s="156"/>
      <c r="BP10" s="156">
        <v>1</v>
      </c>
      <c r="BQ10" s="157"/>
      <c r="BR10" s="134"/>
      <c r="BS10" s="134"/>
      <c r="BT10" s="134"/>
      <c r="BU10" s="134"/>
      <c r="BV10" s="134"/>
      <c r="BW10" s="454"/>
      <c r="BX10" s="138"/>
      <c r="BY10" s="134"/>
      <c r="BZ10" s="134"/>
      <c r="CA10" s="134"/>
      <c r="CB10" s="138"/>
      <c r="CC10" s="134"/>
      <c r="CD10" s="134"/>
      <c r="CE10" s="134"/>
      <c r="CF10" s="288"/>
      <c r="CG10" s="289"/>
      <c r="CH10" s="138"/>
      <c r="CI10" s="134"/>
      <c r="CJ10" s="134"/>
      <c r="CK10" s="134"/>
      <c r="CL10" s="138"/>
      <c r="CM10" s="134"/>
      <c r="CN10" s="134"/>
      <c r="CO10" s="134"/>
      <c r="CP10" s="288"/>
      <c r="CQ10" s="289"/>
      <c r="CR10" s="276"/>
      <c r="CS10" s="308"/>
      <c r="CT10" s="138"/>
      <c r="CU10" s="134"/>
      <c r="CV10" s="134"/>
      <c r="CW10" s="134"/>
      <c r="CX10" s="134"/>
      <c r="CY10" s="134"/>
      <c r="CZ10" s="134"/>
      <c r="DA10" s="134"/>
      <c r="DB10" s="300"/>
      <c r="DC10" s="301"/>
      <c r="DD10" s="134"/>
      <c r="DE10" s="134"/>
      <c r="DF10" s="134"/>
      <c r="DG10" s="134"/>
      <c r="DH10" s="134"/>
      <c r="DI10" s="134"/>
      <c r="DJ10" s="134"/>
      <c r="DK10" s="134"/>
      <c r="DL10" s="300"/>
      <c r="DM10" s="301"/>
      <c r="DN10" s="276"/>
      <c r="DO10" s="277"/>
      <c r="DP10" s="134"/>
      <c r="DQ10" s="134"/>
      <c r="DR10" s="134"/>
      <c r="DS10" s="134"/>
      <c r="DT10" s="138"/>
      <c r="DU10" s="134"/>
      <c r="DV10" s="134"/>
      <c r="DW10" s="134"/>
      <c r="DX10" s="301"/>
      <c r="DY10" s="301"/>
      <c r="DZ10" s="138"/>
      <c r="EA10" s="134"/>
      <c r="EB10" s="134"/>
      <c r="EC10" s="134"/>
      <c r="ED10" s="138"/>
      <c r="EE10" s="134"/>
      <c r="EF10" s="134"/>
      <c r="EG10" s="134"/>
      <c r="EH10" s="301"/>
      <c r="EI10" s="301"/>
      <c r="EJ10" s="277"/>
      <c r="EK10" s="134"/>
      <c r="EL10" s="134"/>
      <c r="EM10" s="134"/>
      <c r="EN10" s="134"/>
      <c r="EO10" s="134"/>
      <c r="EP10" s="134"/>
      <c r="EQ10" s="134"/>
      <c r="ER10" s="134"/>
      <c r="ES10" s="301"/>
      <c r="ET10" s="301"/>
      <c r="EU10" s="134"/>
      <c r="EV10" s="134"/>
      <c r="EW10" s="134"/>
      <c r="EX10" s="134"/>
      <c r="EY10" s="134"/>
      <c r="EZ10" s="134"/>
      <c r="FA10" s="134"/>
      <c r="FB10" s="134"/>
      <c r="FC10" s="135"/>
      <c r="FD10" s="135"/>
      <c r="FE10" s="134"/>
      <c r="FF10" s="134"/>
      <c r="FG10" s="134"/>
      <c r="FH10" s="134"/>
      <c r="FI10" s="134"/>
      <c r="FJ10" s="134"/>
      <c r="FK10" s="134"/>
      <c r="FL10" s="134"/>
      <c r="FM10" s="135"/>
      <c r="FN10" s="135"/>
      <c r="FO10" s="134"/>
      <c r="FP10" s="134"/>
      <c r="FQ10" s="134"/>
      <c r="FR10" s="134"/>
      <c r="FS10" s="134"/>
      <c r="FT10" s="134"/>
      <c r="FU10" s="134"/>
      <c r="FV10" s="134"/>
      <c r="FW10" s="135"/>
      <c r="FX10" s="135"/>
      <c r="FY10" s="134"/>
      <c r="FZ10" s="134"/>
      <c r="GA10" s="134"/>
      <c r="GB10" s="134"/>
      <c r="GC10" s="134"/>
      <c r="GD10" s="134"/>
      <c r="GE10" s="134"/>
      <c r="GF10" s="134"/>
      <c r="GG10" s="135"/>
      <c r="GH10" s="135"/>
      <c r="GI10" s="134"/>
      <c r="GJ10" s="134"/>
      <c r="GK10" s="134"/>
      <c r="GL10" s="134"/>
      <c r="GM10" s="134"/>
      <c r="GN10" s="134"/>
      <c r="GO10" s="134"/>
      <c r="GP10" s="134"/>
      <c r="GQ10" s="135"/>
      <c r="GR10" s="135"/>
      <c r="GS10" s="134"/>
      <c r="GT10" s="134"/>
      <c r="GU10" s="134"/>
      <c r="GV10" s="134"/>
      <c r="GW10" s="134"/>
      <c r="GX10" s="134"/>
      <c r="GY10" s="134"/>
      <c r="GZ10" s="134"/>
      <c r="HA10" s="135"/>
      <c r="HB10" s="135"/>
      <c r="HC10" s="134"/>
      <c r="HD10" s="134"/>
      <c r="HE10" s="134"/>
      <c r="HF10" s="134"/>
      <c r="HG10" s="134"/>
      <c r="HH10" s="134"/>
      <c r="HI10" s="134"/>
      <c r="HJ10" s="134"/>
      <c r="HK10" s="135"/>
      <c r="HL10" s="135"/>
      <c r="HM10" s="134"/>
      <c r="HN10" s="134"/>
      <c r="HO10" s="134"/>
      <c r="HP10" s="134"/>
      <c r="HQ10" s="134"/>
      <c r="HR10" s="134"/>
      <c r="HS10" s="134"/>
      <c r="HT10" s="134"/>
      <c r="HU10" s="135"/>
      <c r="HV10" s="135"/>
      <c r="HW10" s="134"/>
      <c r="HX10" s="134"/>
      <c r="HY10" s="134"/>
      <c r="HZ10" s="134"/>
      <c r="IA10" s="134"/>
      <c r="IB10" s="134"/>
      <c r="IC10" s="134"/>
      <c r="ID10" s="134"/>
      <c r="IE10" s="135"/>
      <c r="IF10" s="135"/>
      <c r="IG10" s="134"/>
      <c r="IH10" s="134"/>
      <c r="II10" s="134"/>
      <c r="IJ10" s="134"/>
      <c r="IK10" s="134"/>
      <c r="IL10" s="134"/>
      <c r="IM10" s="134"/>
      <c r="IN10" s="134"/>
      <c r="IO10" s="135"/>
      <c r="IP10" s="135"/>
      <c r="IQ10" s="134"/>
      <c r="IR10" s="134"/>
      <c r="IS10" s="134"/>
      <c r="IT10" s="134"/>
      <c r="IU10" s="134"/>
      <c r="IV10" s="134"/>
      <c r="IW10" s="134"/>
      <c r="IX10" s="134"/>
      <c r="IY10" s="135"/>
      <c r="IZ10" s="135"/>
    </row>
    <row r="11" spans="1:260" customFormat="1" ht="17" customHeight="1">
      <c r="A11" s="79" t="s">
        <v>1114</v>
      </c>
      <c r="B11" s="418">
        <v>66</v>
      </c>
      <c r="C11" s="117"/>
      <c r="D11" s="117">
        <v>10</v>
      </c>
      <c r="E11" s="123" t="s">
        <v>2050</v>
      </c>
      <c r="F11" s="124" t="s">
        <v>2293</v>
      </c>
      <c r="G11" s="125">
        <v>2011</v>
      </c>
      <c r="H11" s="79">
        <v>21843541</v>
      </c>
      <c r="I11" s="79">
        <v>1</v>
      </c>
      <c r="J11" s="126">
        <v>1</v>
      </c>
      <c r="K11" s="127" t="s">
        <v>1786</v>
      </c>
      <c r="L11" s="164">
        <v>1</v>
      </c>
      <c r="M11" s="79"/>
      <c r="N11" s="79">
        <v>0</v>
      </c>
      <c r="O11" s="128">
        <v>2</v>
      </c>
      <c r="P11" s="79" t="s">
        <v>1133</v>
      </c>
      <c r="Q11" s="79" t="s">
        <v>1170</v>
      </c>
      <c r="R11" s="79" t="s">
        <v>1127</v>
      </c>
      <c r="S11" s="79"/>
      <c r="T11" s="79" t="s">
        <v>1543</v>
      </c>
      <c r="U11" s="79" t="s">
        <v>23</v>
      </c>
      <c r="V11" s="79" t="s">
        <v>23</v>
      </c>
      <c r="W11" s="79" t="s">
        <v>23</v>
      </c>
      <c r="X11" s="79" t="s">
        <v>1134</v>
      </c>
      <c r="Y11" s="79" t="s">
        <v>24</v>
      </c>
      <c r="Z11" s="79"/>
      <c r="AA11" s="79"/>
      <c r="AB11" s="79" t="s">
        <v>1135</v>
      </c>
      <c r="AC11" s="506" t="s">
        <v>6173</v>
      </c>
      <c r="AD11" s="573">
        <v>1</v>
      </c>
      <c r="AE11" s="573">
        <v>0</v>
      </c>
      <c r="AF11" s="154"/>
      <c r="AG11" s="155"/>
      <c r="AH11" s="121">
        <v>4</v>
      </c>
      <c r="AI11" s="484"/>
      <c r="AJ11" s="202"/>
      <c r="AK11" s="192"/>
      <c r="AL11" s="203"/>
      <c r="AM11" s="121"/>
      <c r="AN11" s="121"/>
      <c r="AO11" s="121"/>
      <c r="AP11" s="121"/>
      <c r="AQ11" s="121"/>
      <c r="AR11" s="121"/>
      <c r="AS11" s="121"/>
      <c r="AT11" s="121"/>
      <c r="AU11" s="121"/>
      <c r="AV11" s="121"/>
      <c r="AW11" s="121"/>
      <c r="AX11" s="121"/>
      <c r="AY11" s="121"/>
      <c r="AZ11" s="121"/>
      <c r="BA11" s="121"/>
      <c r="BB11" s="121"/>
      <c r="BC11" s="121">
        <v>1</v>
      </c>
      <c r="BD11" s="156"/>
      <c r="BE11" s="156"/>
      <c r="BF11" s="156"/>
      <c r="BG11" s="156" t="s">
        <v>1917</v>
      </c>
      <c r="BH11" s="156"/>
      <c r="BI11" s="156"/>
      <c r="BJ11" s="156"/>
      <c r="BK11" s="156"/>
      <c r="BL11" s="156"/>
      <c r="BM11" s="156"/>
      <c r="BN11" s="156"/>
      <c r="BO11" s="156"/>
      <c r="BP11" s="156"/>
      <c r="BQ11" s="157"/>
      <c r="BR11" s="134"/>
      <c r="BS11" s="134"/>
      <c r="BT11" s="134"/>
      <c r="BU11" s="134"/>
      <c r="BV11" s="134"/>
      <c r="BW11" s="259"/>
      <c r="BX11" s="138"/>
      <c r="BY11" s="190"/>
      <c r="BZ11" s="134"/>
      <c r="CA11" s="190"/>
      <c r="CB11" s="138"/>
      <c r="CC11" s="134"/>
      <c r="CD11" s="134"/>
      <c r="CE11" s="134"/>
      <c r="CF11" s="288"/>
      <c r="CG11" s="289"/>
      <c r="CH11" s="138"/>
      <c r="CI11" s="134"/>
      <c r="CJ11" s="134"/>
      <c r="CK11" s="134"/>
      <c r="CL11" s="138"/>
      <c r="CM11" s="134"/>
      <c r="CN11" s="134"/>
      <c r="CO11" s="134"/>
      <c r="CP11" s="288"/>
      <c r="CQ11" s="289"/>
      <c r="CR11" s="276"/>
      <c r="CS11" s="308"/>
      <c r="CT11" s="138"/>
      <c r="CU11" s="134"/>
      <c r="CV11" s="134"/>
      <c r="CW11" s="134"/>
      <c r="CX11" s="134"/>
      <c r="CY11" s="134"/>
      <c r="CZ11" s="134"/>
      <c r="DA11" s="134"/>
      <c r="DB11" s="300"/>
      <c r="DC11" s="301"/>
      <c r="DD11" s="134"/>
      <c r="DE11" s="190"/>
      <c r="DF11" s="190"/>
      <c r="DG11" s="190"/>
      <c r="DH11" s="134"/>
      <c r="DI11" s="134"/>
      <c r="DJ11" s="134"/>
      <c r="DK11" s="134"/>
      <c r="DL11" s="300"/>
      <c r="DM11" s="301"/>
      <c r="DN11" s="276"/>
      <c r="DO11" s="277"/>
      <c r="DP11" s="134"/>
      <c r="DQ11" s="134"/>
      <c r="DR11" s="134"/>
      <c r="DS11" s="134"/>
      <c r="DT11" s="138"/>
      <c r="DU11" s="134"/>
      <c r="DV11" s="134"/>
      <c r="DW11" s="134"/>
      <c r="DX11" s="301"/>
      <c r="DY11" s="301"/>
      <c r="DZ11" s="138"/>
      <c r="EA11" s="134"/>
      <c r="EB11" s="134"/>
      <c r="EC11" s="134"/>
      <c r="ED11" s="138"/>
      <c r="EE11" s="134"/>
      <c r="EF11" s="134"/>
      <c r="EG11" s="134"/>
      <c r="EH11" s="301"/>
      <c r="EI11" s="301"/>
      <c r="EJ11" s="277"/>
      <c r="EK11" s="134"/>
      <c r="EL11" s="134"/>
      <c r="EM11" s="134"/>
      <c r="EN11" s="134"/>
      <c r="EO11" s="134"/>
      <c r="EP11" s="134"/>
      <c r="EQ11" s="134"/>
      <c r="ER11" s="134"/>
      <c r="ES11" s="301"/>
      <c r="ET11" s="301"/>
      <c r="EU11" s="134"/>
      <c r="EV11" s="134"/>
      <c r="EW11" s="134"/>
      <c r="EX11" s="134"/>
      <c r="EY11" s="134"/>
      <c r="EZ11" s="134"/>
      <c r="FA11" s="134"/>
      <c r="FB11" s="134"/>
      <c r="FC11" s="135"/>
      <c r="FD11" s="135"/>
      <c r="FE11" s="134"/>
      <c r="FF11" s="134"/>
      <c r="FG11" s="134"/>
      <c r="FH11" s="134"/>
      <c r="FI11" s="134"/>
      <c r="FJ11" s="134"/>
      <c r="FK11" s="134"/>
      <c r="FL11" s="134"/>
      <c r="FM11" s="135"/>
      <c r="FN11" s="135"/>
      <c r="FO11" s="134"/>
      <c r="FP11" s="134"/>
      <c r="FQ11" s="134"/>
      <c r="FR11" s="134"/>
      <c r="FS11" s="134"/>
      <c r="FT11" s="134"/>
      <c r="FU11" s="134"/>
      <c r="FV11" s="134"/>
      <c r="FW11" s="135"/>
      <c r="FX11" s="135"/>
      <c r="FY11" s="134"/>
      <c r="FZ11" s="134"/>
      <c r="GA11" s="134"/>
      <c r="GB11" s="134"/>
      <c r="GC11" s="134"/>
      <c r="GD11" s="134"/>
      <c r="GE11" s="134"/>
      <c r="GF11" s="134"/>
      <c r="GG11" s="135"/>
      <c r="GH11" s="135"/>
      <c r="GI11" s="134"/>
      <c r="GJ11" s="134"/>
      <c r="GK11" s="134"/>
      <c r="GL11" s="134"/>
      <c r="GM11" s="134"/>
      <c r="GN11" s="134"/>
      <c r="GO11" s="134"/>
      <c r="GP11" s="134"/>
      <c r="GQ11" s="135"/>
      <c r="GR11" s="135"/>
      <c r="GS11" s="134"/>
      <c r="GT11" s="134"/>
      <c r="GU11" s="134"/>
      <c r="GV11" s="134"/>
      <c r="GW11" s="134"/>
      <c r="GX11" s="134"/>
      <c r="GY11" s="134"/>
      <c r="GZ11" s="134"/>
      <c r="HA11" s="135"/>
      <c r="HB11" s="135"/>
      <c r="HC11" s="134"/>
      <c r="HD11" s="134"/>
      <c r="HE11" s="134"/>
      <c r="HF11" s="134"/>
      <c r="HG11" s="134"/>
      <c r="HH11" s="134"/>
      <c r="HI11" s="134"/>
      <c r="HJ11" s="134"/>
      <c r="HK11" s="135"/>
      <c r="HL11" s="135"/>
      <c r="HM11" s="134"/>
      <c r="HN11" s="134"/>
      <c r="HO11" s="134"/>
      <c r="HP11" s="134"/>
      <c r="HQ11" s="134"/>
      <c r="HR11" s="134"/>
      <c r="HS11" s="134"/>
      <c r="HT11" s="134"/>
      <c r="HU11" s="135"/>
      <c r="HV11" s="135"/>
      <c r="HW11" s="134"/>
      <c r="HX11" s="134"/>
      <c r="HY11" s="134"/>
      <c r="HZ11" s="134"/>
      <c r="IA11" s="134"/>
      <c r="IB11" s="134"/>
      <c r="IC11" s="134"/>
      <c r="ID11" s="134"/>
      <c r="IE11" s="135"/>
      <c r="IF11" s="135"/>
      <c r="IG11" s="134"/>
      <c r="IH11" s="134"/>
      <c r="II11" s="134"/>
      <c r="IJ11" s="134"/>
      <c r="IK11" s="134"/>
      <c r="IL11" s="134"/>
      <c r="IM11" s="134"/>
      <c r="IN11" s="134"/>
      <c r="IO11" s="135"/>
      <c r="IP11" s="135"/>
      <c r="IQ11" s="134"/>
      <c r="IR11" s="134"/>
      <c r="IS11" s="134"/>
      <c r="IT11" s="134"/>
      <c r="IU11" s="134"/>
      <c r="IV11" s="134"/>
      <c r="IW11" s="134"/>
      <c r="IX11" s="134"/>
      <c r="IY11" s="135"/>
      <c r="IZ11" s="135"/>
    </row>
    <row r="12" spans="1:260" s="119" customFormat="1" ht="17" customHeight="1">
      <c r="A12" s="79" t="s">
        <v>90</v>
      </c>
      <c r="B12" s="418">
        <v>67</v>
      </c>
      <c r="C12" s="117"/>
      <c r="D12" s="117">
        <v>11</v>
      </c>
      <c r="E12" s="123" t="s">
        <v>1926</v>
      </c>
      <c r="F12" s="124" t="s">
        <v>2143</v>
      </c>
      <c r="G12" s="125">
        <v>2012</v>
      </c>
      <c r="H12" s="79">
        <v>23341282</v>
      </c>
      <c r="I12" s="79">
        <v>1</v>
      </c>
      <c r="J12" s="126"/>
      <c r="K12" s="127"/>
      <c r="L12" s="79">
        <v>1</v>
      </c>
      <c r="M12" s="79"/>
      <c r="N12" s="79">
        <v>1</v>
      </c>
      <c r="O12" s="128">
        <v>1</v>
      </c>
      <c r="P12" s="79" t="s">
        <v>46</v>
      </c>
      <c r="Q12" s="79" t="s">
        <v>1143</v>
      </c>
      <c r="R12" s="79" t="s">
        <v>47</v>
      </c>
      <c r="S12" s="79">
        <v>1</v>
      </c>
      <c r="T12" s="79"/>
      <c r="U12" s="79"/>
      <c r="V12" s="79"/>
      <c r="W12" s="79" t="s">
        <v>46</v>
      </c>
      <c r="X12" s="79" t="s">
        <v>12</v>
      </c>
      <c r="Y12" s="79" t="s">
        <v>12</v>
      </c>
      <c r="Z12" s="79"/>
      <c r="AA12" s="79"/>
      <c r="AB12" s="79"/>
      <c r="AC12" s="506" t="s">
        <v>31</v>
      </c>
      <c r="AD12" s="573">
        <v>1</v>
      </c>
      <c r="AE12" s="573">
        <v>0</v>
      </c>
      <c r="AF12" s="154"/>
      <c r="AG12" s="155"/>
      <c r="AH12" s="121">
        <v>2</v>
      </c>
      <c r="AI12" s="484"/>
      <c r="AJ12" s="202"/>
      <c r="AK12" s="192"/>
      <c r="AL12" s="203"/>
      <c r="AM12" s="121"/>
      <c r="AN12" s="121"/>
      <c r="AO12" s="121"/>
      <c r="AP12" s="121"/>
      <c r="AQ12" s="121"/>
      <c r="AR12" s="121"/>
      <c r="AS12" s="121"/>
      <c r="AT12" s="121"/>
      <c r="AU12" s="121"/>
      <c r="AV12" s="121"/>
      <c r="AW12" s="121"/>
      <c r="AX12" s="121"/>
      <c r="AY12" s="121"/>
      <c r="AZ12" s="121"/>
      <c r="BA12" s="121"/>
      <c r="BB12" s="121"/>
      <c r="BC12" s="121"/>
      <c r="BD12" s="156"/>
      <c r="BE12" s="156"/>
      <c r="BF12" s="156" t="s">
        <v>5207</v>
      </c>
      <c r="BG12" s="156"/>
      <c r="BH12" s="156"/>
      <c r="BI12" s="156"/>
      <c r="BJ12" s="156"/>
      <c r="BK12" s="156"/>
      <c r="BL12" s="156"/>
      <c r="BM12" s="156"/>
      <c r="BN12" s="156"/>
      <c r="BO12" s="156"/>
      <c r="BP12" s="156"/>
      <c r="BQ12" s="157"/>
      <c r="BR12" s="134"/>
      <c r="BS12" s="134"/>
      <c r="BT12" s="134"/>
      <c r="BU12" s="134"/>
      <c r="BV12" s="134"/>
      <c r="BW12" s="259"/>
      <c r="BX12" s="138"/>
      <c r="BY12" s="134"/>
      <c r="BZ12" s="134"/>
      <c r="CA12" s="190"/>
      <c r="CB12" s="138"/>
      <c r="CC12" s="134"/>
      <c r="CD12" s="134"/>
      <c r="CE12" s="134"/>
      <c r="CF12" s="288"/>
      <c r="CG12" s="289"/>
      <c r="CH12" s="138"/>
      <c r="CI12" s="134"/>
      <c r="CJ12" s="134"/>
      <c r="CK12" s="134"/>
      <c r="CL12" s="138"/>
      <c r="CM12" s="134"/>
      <c r="CN12" s="134"/>
      <c r="CO12" s="134"/>
      <c r="CP12" s="288"/>
      <c r="CQ12" s="441"/>
      <c r="CR12" s="455"/>
      <c r="CS12" s="559"/>
      <c r="CT12" s="138"/>
      <c r="CU12" s="134"/>
      <c r="CV12" s="134"/>
      <c r="CW12" s="134"/>
      <c r="CX12" s="134"/>
      <c r="CY12" s="134"/>
      <c r="CZ12" s="134"/>
      <c r="DA12" s="134"/>
      <c r="DB12" s="300"/>
      <c r="DC12" s="301"/>
      <c r="DD12" s="134"/>
      <c r="DE12" s="190"/>
      <c r="DF12" s="190"/>
      <c r="DG12" s="190"/>
      <c r="DH12" s="134"/>
      <c r="DI12" s="134"/>
      <c r="DJ12" s="134"/>
      <c r="DK12" s="134"/>
      <c r="DL12" s="300"/>
      <c r="DM12" s="301"/>
      <c r="DN12" s="276"/>
      <c r="DO12" s="277"/>
      <c r="DP12" s="134"/>
      <c r="DQ12" s="134"/>
      <c r="DR12" s="134"/>
      <c r="DS12" s="134"/>
      <c r="DT12" s="138"/>
      <c r="DU12" s="134"/>
      <c r="DV12" s="134"/>
      <c r="DW12" s="134"/>
      <c r="DX12" s="301"/>
      <c r="DY12" s="301"/>
      <c r="DZ12" s="138"/>
      <c r="EA12" s="134"/>
      <c r="EB12" s="134"/>
      <c r="EC12" s="134"/>
      <c r="ED12" s="138"/>
      <c r="EE12" s="134"/>
      <c r="EF12" s="134"/>
      <c r="EG12" s="134"/>
      <c r="EH12" s="301"/>
      <c r="EI12" s="301"/>
      <c r="EJ12" s="277"/>
      <c r="EK12" s="134"/>
      <c r="EL12" s="134"/>
      <c r="EM12" s="134"/>
      <c r="EN12" s="134"/>
      <c r="EO12" s="134"/>
      <c r="EP12" s="134"/>
      <c r="EQ12" s="134"/>
      <c r="ER12" s="134"/>
      <c r="ES12" s="301"/>
      <c r="ET12" s="301"/>
      <c r="EU12" s="134"/>
      <c r="EV12" s="134"/>
      <c r="EW12" s="134"/>
      <c r="EX12" s="134"/>
      <c r="EY12" s="134"/>
      <c r="EZ12" s="134"/>
      <c r="FA12" s="134"/>
      <c r="FB12" s="134"/>
      <c r="FC12" s="135"/>
      <c r="FD12" s="135"/>
      <c r="FE12" s="134"/>
      <c r="FF12" s="134"/>
      <c r="FG12" s="134"/>
      <c r="FH12" s="134"/>
      <c r="FI12" s="134"/>
      <c r="FJ12" s="134"/>
      <c r="FK12" s="134"/>
      <c r="FL12" s="134"/>
      <c r="FM12" s="135"/>
      <c r="FN12" s="135"/>
      <c r="FO12" s="134"/>
      <c r="FP12" s="134"/>
      <c r="FQ12" s="134"/>
      <c r="FR12" s="134"/>
      <c r="FS12" s="134"/>
      <c r="FT12" s="134"/>
      <c r="FU12" s="134"/>
      <c r="FV12" s="134"/>
      <c r="FW12" s="135"/>
      <c r="FX12" s="135"/>
      <c r="FY12" s="134"/>
      <c r="FZ12" s="134"/>
      <c r="GA12" s="134"/>
      <c r="GB12" s="134"/>
      <c r="GC12" s="134"/>
      <c r="GD12" s="134"/>
      <c r="GE12" s="134"/>
      <c r="GF12" s="134"/>
      <c r="GG12" s="135"/>
      <c r="GH12" s="135"/>
      <c r="GI12" s="134"/>
      <c r="GJ12" s="134"/>
      <c r="GK12" s="134"/>
      <c r="GL12" s="134"/>
      <c r="GM12" s="134"/>
      <c r="GN12" s="134"/>
      <c r="GO12" s="134"/>
      <c r="GP12" s="134"/>
      <c r="GQ12" s="135"/>
      <c r="GR12" s="135"/>
      <c r="GS12" s="134"/>
      <c r="GT12" s="134"/>
      <c r="GU12" s="134"/>
      <c r="GV12" s="134"/>
      <c r="GW12" s="134"/>
      <c r="GX12" s="134"/>
      <c r="GY12" s="134"/>
      <c r="GZ12" s="134"/>
      <c r="HA12" s="135"/>
      <c r="HB12" s="135"/>
      <c r="HC12" s="134"/>
      <c r="HD12" s="134"/>
      <c r="HE12" s="134"/>
      <c r="HF12" s="134"/>
      <c r="HG12" s="134"/>
      <c r="HH12" s="134"/>
      <c r="HI12" s="134"/>
      <c r="HJ12" s="134"/>
      <c r="HK12" s="135"/>
      <c r="HL12" s="135"/>
      <c r="HM12" s="134"/>
      <c r="HN12" s="134"/>
      <c r="HO12" s="134"/>
      <c r="HP12" s="134"/>
      <c r="HQ12" s="134"/>
      <c r="HR12" s="134"/>
      <c r="HS12" s="134"/>
      <c r="HT12" s="134"/>
      <c r="HU12" s="135"/>
      <c r="HV12" s="135"/>
      <c r="HW12" s="134"/>
      <c r="HX12" s="134"/>
      <c r="HY12" s="134"/>
      <c r="HZ12" s="134"/>
      <c r="IA12" s="134"/>
      <c r="IB12" s="134"/>
      <c r="IC12" s="134"/>
      <c r="ID12" s="134"/>
      <c r="IE12" s="135"/>
      <c r="IF12" s="135"/>
      <c r="IG12" s="134"/>
      <c r="IH12" s="134"/>
      <c r="II12" s="134"/>
      <c r="IJ12" s="134"/>
      <c r="IK12" s="134"/>
      <c r="IL12" s="134"/>
      <c r="IM12" s="134"/>
      <c r="IN12" s="134"/>
      <c r="IO12" s="135"/>
      <c r="IP12" s="135"/>
      <c r="IQ12" s="134"/>
      <c r="IR12" s="134"/>
      <c r="IS12" s="134"/>
      <c r="IT12" s="134"/>
      <c r="IU12" s="134"/>
      <c r="IV12" s="134"/>
      <c r="IW12" s="134"/>
      <c r="IX12" s="134"/>
      <c r="IY12" s="135"/>
      <c r="IZ12" s="135"/>
    </row>
    <row r="13" spans="1:260" customFormat="1" ht="17" customHeight="1">
      <c r="A13" s="79" t="s">
        <v>91</v>
      </c>
      <c r="B13" s="418">
        <v>69</v>
      </c>
      <c r="C13" s="117"/>
      <c r="D13" s="117">
        <v>12</v>
      </c>
      <c r="E13" s="123" t="s">
        <v>1927</v>
      </c>
      <c r="F13" s="124" t="s">
        <v>2144</v>
      </c>
      <c r="G13" s="125">
        <v>1998</v>
      </c>
      <c r="H13" s="79">
        <v>9870231</v>
      </c>
      <c r="I13" s="79">
        <v>1</v>
      </c>
      <c r="J13" s="126"/>
      <c r="K13" s="127"/>
      <c r="L13" s="79">
        <v>1</v>
      </c>
      <c r="M13" s="79"/>
      <c r="N13" s="79">
        <v>1</v>
      </c>
      <c r="O13" s="128">
        <v>1</v>
      </c>
      <c r="P13" s="79" t="s">
        <v>1182</v>
      </c>
      <c r="Q13" s="79" t="s">
        <v>1181</v>
      </c>
      <c r="R13" s="79" t="s">
        <v>47</v>
      </c>
      <c r="S13" s="79">
        <v>1</v>
      </c>
      <c r="T13" s="79"/>
      <c r="U13" s="79"/>
      <c r="V13" s="79"/>
      <c r="W13" s="79" t="s">
        <v>49</v>
      </c>
      <c r="X13" s="79" t="s">
        <v>12</v>
      </c>
      <c r="Y13" s="79" t="s">
        <v>48</v>
      </c>
      <c r="Z13" s="79"/>
      <c r="AA13" s="79"/>
      <c r="AB13" s="79"/>
      <c r="AC13" s="506" t="s">
        <v>6176</v>
      </c>
      <c r="AD13" s="573">
        <v>1</v>
      </c>
      <c r="AE13" s="573">
        <v>0</v>
      </c>
      <c r="AF13" s="154"/>
      <c r="AG13" s="155"/>
      <c r="AH13" s="121">
        <v>2</v>
      </c>
      <c r="AI13" s="484"/>
      <c r="AJ13" s="202"/>
      <c r="AK13" s="192"/>
      <c r="AL13" s="203"/>
      <c r="AM13" s="121"/>
      <c r="AN13" s="121"/>
      <c r="AO13" s="121"/>
      <c r="AP13" s="121"/>
      <c r="AQ13" s="121"/>
      <c r="AR13" s="121"/>
      <c r="AS13" s="121"/>
      <c r="AT13" s="121"/>
      <c r="AU13" s="121"/>
      <c r="AV13" s="121"/>
      <c r="AW13" s="121"/>
      <c r="AX13" s="121"/>
      <c r="AY13" s="121"/>
      <c r="AZ13" s="121"/>
      <c r="BA13" s="121"/>
      <c r="BB13" s="121"/>
      <c r="BC13" s="121"/>
      <c r="BD13" s="156"/>
      <c r="BE13" s="156"/>
      <c r="BF13" s="156" t="s">
        <v>5207</v>
      </c>
      <c r="BG13" s="156"/>
      <c r="BH13" s="156"/>
      <c r="BI13" s="156" t="s">
        <v>4727</v>
      </c>
      <c r="BJ13" s="156"/>
      <c r="BK13" s="156"/>
      <c r="BL13" s="156"/>
      <c r="BM13" s="156"/>
      <c r="BN13" s="156"/>
      <c r="BO13" s="156"/>
      <c r="BP13" s="156"/>
      <c r="BQ13" s="157"/>
      <c r="BR13" s="134"/>
      <c r="BS13" s="134"/>
      <c r="BT13" s="134"/>
      <c r="BU13" s="134"/>
      <c r="BV13" s="134"/>
      <c r="BW13" s="259"/>
      <c r="BX13" s="138"/>
      <c r="BY13" s="134"/>
      <c r="BZ13" s="134"/>
      <c r="CA13" s="190"/>
      <c r="CB13" s="138"/>
      <c r="CC13" s="134"/>
      <c r="CD13" s="134"/>
      <c r="CE13" s="134"/>
      <c r="CF13" s="288"/>
      <c r="CG13" s="289"/>
      <c r="CH13" s="138"/>
      <c r="CI13" s="134"/>
      <c r="CJ13" s="134"/>
      <c r="CK13" s="134"/>
      <c r="CL13" s="138"/>
      <c r="CM13" s="134"/>
      <c r="CN13" s="134"/>
      <c r="CO13" s="134"/>
      <c r="CP13" s="288"/>
      <c r="CQ13" s="289"/>
      <c r="CR13" s="276"/>
      <c r="CS13" s="308"/>
      <c r="CT13" s="138"/>
      <c r="CU13" s="134"/>
      <c r="CV13" s="134"/>
      <c r="CW13" s="134"/>
      <c r="CX13" s="134"/>
      <c r="CY13" s="134"/>
      <c r="CZ13" s="134"/>
      <c r="DA13" s="134"/>
      <c r="DB13" s="300"/>
      <c r="DC13" s="301"/>
      <c r="DD13" s="134"/>
      <c r="DE13" s="190"/>
      <c r="DF13" s="190"/>
      <c r="DG13" s="190"/>
      <c r="DH13" s="134"/>
      <c r="DI13" s="134"/>
      <c r="DJ13" s="134"/>
      <c r="DK13" s="134"/>
      <c r="DL13" s="300"/>
      <c r="DM13" s="301"/>
      <c r="DN13" s="276"/>
      <c r="DO13" s="277"/>
      <c r="DP13" s="134"/>
      <c r="DQ13" s="134"/>
      <c r="DR13" s="134"/>
      <c r="DS13" s="134"/>
      <c r="DT13" s="138"/>
      <c r="DU13" s="134"/>
      <c r="DV13" s="134"/>
      <c r="DW13" s="134"/>
      <c r="DX13" s="301"/>
      <c r="DY13" s="301"/>
      <c r="DZ13" s="138"/>
      <c r="EA13" s="134"/>
      <c r="EB13" s="134"/>
      <c r="EC13" s="134"/>
      <c r="ED13" s="138"/>
      <c r="EE13" s="134"/>
      <c r="EF13" s="134"/>
      <c r="EG13" s="134"/>
      <c r="EH13" s="301"/>
      <c r="EI13" s="301"/>
      <c r="EJ13" s="277"/>
      <c r="EK13" s="134"/>
      <c r="EL13" s="134"/>
      <c r="EM13" s="134"/>
      <c r="EN13" s="134"/>
      <c r="EO13" s="134"/>
      <c r="EP13" s="134"/>
      <c r="EQ13" s="134"/>
      <c r="ER13" s="134"/>
      <c r="ES13" s="301"/>
      <c r="ET13" s="301"/>
      <c r="EU13" s="134"/>
      <c r="EV13" s="134"/>
      <c r="EW13" s="134"/>
      <c r="EX13" s="134"/>
      <c r="EY13" s="134"/>
      <c r="EZ13" s="134"/>
      <c r="FA13" s="134"/>
      <c r="FB13" s="134"/>
      <c r="FC13" s="135"/>
      <c r="FD13" s="135"/>
      <c r="FE13" s="134"/>
      <c r="FF13" s="134"/>
      <c r="FG13" s="134"/>
      <c r="FH13" s="134"/>
      <c r="FI13" s="134"/>
      <c r="FJ13" s="134"/>
      <c r="FK13" s="134"/>
      <c r="FL13" s="134"/>
      <c r="FM13" s="135"/>
      <c r="FN13" s="135"/>
      <c r="FO13" s="134"/>
      <c r="FP13" s="134"/>
      <c r="FQ13" s="134"/>
      <c r="FR13" s="134"/>
      <c r="FS13" s="134"/>
      <c r="FT13" s="134"/>
      <c r="FU13" s="134"/>
      <c r="FV13" s="134"/>
      <c r="FW13" s="135"/>
      <c r="FX13" s="135"/>
      <c r="FY13" s="134"/>
      <c r="FZ13" s="134"/>
      <c r="GA13" s="134"/>
      <c r="GB13" s="134"/>
      <c r="GC13" s="134"/>
      <c r="GD13" s="134"/>
      <c r="GE13" s="134"/>
      <c r="GF13" s="134"/>
      <c r="GG13" s="135"/>
      <c r="GH13" s="135"/>
      <c r="GI13" s="134"/>
      <c r="GJ13" s="134"/>
      <c r="GK13" s="134"/>
      <c r="GL13" s="134"/>
      <c r="GM13" s="134"/>
      <c r="GN13" s="134"/>
      <c r="GO13" s="134"/>
      <c r="GP13" s="134"/>
      <c r="GQ13" s="135"/>
      <c r="GR13" s="135"/>
      <c r="GS13" s="134"/>
      <c r="GT13" s="134"/>
      <c r="GU13" s="134"/>
      <c r="GV13" s="134"/>
      <c r="GW13" s="134"/>
      <c r="GX13" s="134"/>
      <c r="GY13" s="134"/>
      <c r="GZ13" s="134"/>
      <c r="HA13" s="135"/>
      <c r="HB13" s="135"/>
      <c r="HC13" s="134"/>
      <c r="HD13" s="134"/>
      <c r="HE13" s="134"/>
      <c r="HF13" s="134"/>
      <c r="HG13" s="134"/>
      <c r="HH13" s="134"/>
      <c r="HI13" s="134"/>
      <c r="HJ13" s="134"/>
      <c r="HK13" s="135"/>
      <c r="HL13" s="135"/>
      <c r="HM13" s="134"/>
      <c r="HN13" s="134"/>
      <c r="HO13" s="134"/>
      <c r="HP13" s="134"/>
      <c r="HQ13" s="134"/>
      <c r="HR13" s="134"/>
      <c r="HS13" s="134"/>
      <c r="HT13" s="134"/>
      <c r="HU13" s="135"/>
      <c r="HV13" s="135"/>
      <c r="HW13" s="134"/>
      <c r="HX13" s="134"/>
      <c r="HY13" s="134"/>
      <c r="HZ13" s="134"/>
      <c r="IA13" s="134"/>
      <c r="IB13" s="134"/>
      <c r="IC13" s="134"/>
      <c r="ID13" s="134"/>
      <c r="IE13" s="135"/>
      <c r="IF13" s="135"/>
      <c r="IG13" s="134"/>
      <c r="IH13" s="134"/>
      <c r="II13" s="134"/>
      <c r="IJ13" s="134"/>
      <c r="IK13" s="134"/>
      <c r="IL13" s="134"/>
      <c r="IM13" s="134"/>
      <c r="IN13" s="134"/>
      <c r="IO13" s="135"/>
      <c r="IP13" s="135"/>
      <c r="IQ13" s="134"/>
      <c r="IR13" s="134"/>
      <c r="IS13" s="134"/>
      <c r="IT13" s="134"/>
      <c r="IU13" s="134"/>
      <c r="IV13" s="134"/>
      <c r="IW13" s="134"/>
      <c r="IX13" s="134"/>
      <c r="IY13" s="135"/>
      <c r="IZ13" s="135"/>
    </row>
    <row r="14" spans="1:260" s="119" customFormat="1" ht="17" customHeight="1">
      <c r="A14" s="79" t="s">
        <v>1104</v>
      </c>
      <c r="B14" s="418">
        <v>70</v>
      </c>
      <c r="C14" s="117"/>
      <c r="D14" s="117">
        <v>13</v>
      </c>
      <c r="E14" s="123" t="s">
        <v>2054</v>
      </c>
      <c r="F14" s="124" t="s">
        <v>2297</v>
      </c>
      <c r="G14" s="125">
        <v>2006</v>
      </c>
      <c r="H14" s="79">
        <v>19412447</v>
      </c>
      <c r="I14" s="79">
        <v>1</v>
      </c>
      <c r="J14" s="126">
        <v>1</v>
      </c>
      <c r="K14" s="127"/>
      <c r="L14" s="79">
        <v>1</v>
      </c>
      <c r="M14" s="79"/>
      <c r="N14" s="79">
        <v>1</v>
      </c>
      <c r="O14" s="128">
        <v>2</v>
      </c>
      <c r="P14" s="79" t="s">
        <v>1206</v>
      </c>
      <c r="Q14" s="79" t="s">
        <v>1207</v>
      </c>
      <c r="R14" s="79" t="s">
        <v>1127</v>
      </c>
      <c r="S14" s="79"/>
      <c r="T14" s="79" t="s">
        <v>1506</v>
      </c>
      <c r="U14" s="79" t="s">
        <v>23</v>
      </c>
      <c r="V14" s="79" t="s">
        <v>23</v>
      </c>
      <c r="W14" s="79" t="s">
        <v>1205</v>
      </c>
      <c r="X14" s="79" t="s">
        <v>24</v>
      </c>
      <c r="Y14" s="79" t="s">
        <v>1209</v>
      </c>
      <c r="Z14" s="79"/>
      <c r="AA14" s="79" t="s">
        <v>1208</v>
      </c>
      <c r="AB14" s="79"/>
      <c r="AC14" s="506" t="s">
        <v>6177</v>
      </c>
      <c r="AD14" s="573">
        <v>1</v>
      </c>
      <c r="AE14" s="573">
        <v>1</v>
      </c>
      <c r="AF14" s="154"/>
      <c r="AG14" s="155"/>
      <c r="AH14" s="121">
        <v>4</v>
      </c>
      <c r="AI14" s="484"/>
      <c r="AJ14" s="202"/>
      <c r="AK14" s="192"/>
      <c r="AL14" s="203"/>
      <c r="AM14" s="121"/>
      <c r="AN14" s="121"/>
      <c r="AO14" s="121"/>
      <c r="AP14" s="121"/>
      <c r="AQ14" s="121"/>
      <c r="AR14" s="121"/>
      <c r="AS14" s="121"/>
      <c r="AT14" s="121"/>
      <c r="AU14" s="121"/>
      <c r="AV14" s="121"/>
      <c r="AW14" s="121"/>
      <c r="AX14" s="121"/>
      <c r="AY14" s="121"/>
      <c r="AZ14" s="121"/>
      <c r="BA14" s="121"/>
      <c r="BB14" s="121"/>
      <c r="BC14" s="121"/>
      <c r="BD14" s="156" t="s">
        <v>4727</v>
      </c>
      <c r="BE14" s="156" t="s">
        <v>5545</v>
      </c>
      <c r="BF14" s="156"/>
      <c r="BG14" s="156"/>
      <c r="BH14" s="156"/>
      <c r="BI14" s="156"/>
      <c r="BJ14" s="156" t="s">
        <v>5545</v>
      </c>
      <c r="BK14" s="156"/>
      <c r="BL14" s="156"/>
      <c r="BM14" s="156"/>
      <c r="BN14" s="156"/>
      <c r="BO14" s="156"/>
      <c r="BP14" s="156"/>
      <c r="BQ14" s="157"/>
      <c r="BR14" s="134"/>
      <c r="BS14" s="134"/>
      <c r="BT14" s="134"/>
      <c r="BU14" s="134"/>
      <c r="BV14" s="134"/>
      <c r="BW14" s="259"/>
      <c r="BX14" s="138"/>
      <c r="BY14" s="134"/>
      <c r="BZ14" s="134"/>
      <c r="CA14" s="190"/>
      <c r="CB14" s="138"/>
      <c r="CC14" s="134"/>
      <c r="CD14" s="134"/>
      <c r="CE14" s="134"/>
      <c r="CF14" s="288"/>
      <c r="CG14" s="289"/>
      <c r="CH14" s="138"/>
      <c r="CI14" s="134"/>
      <c r="CJ14" s="134"/>
      <c r="CK14" s="134"/>
      <c r="CL14" s="138"/>
      <c r="CM14" s="134"/>
      <c r="CN14" s="134"/>
      <c r="CO14" s="134"/>
      <c r="CP14" s="288"/>
      <c r="CQ14" s="289"/>
      <c r="CR14" s="276"/>
      <c r="CS14" s="308"/>
      <c r="CT14" s="138"/>
      <c r="CU14" s="134"/>
      <c r="CV14" s="134"/>
      <c r="CW14" s="134"/>
      <c r="CX14" s="134"/>
      <c r="CY14" s="134"/>
      <c r="CZ14" s="134"/>
      <c r="DA14" s="134"/>
      <c r="DB14" s="300"/>
      <c r="DC14" s="301"/>
      <c r="DD14" s="134"/>
      <c r="DE14" s="190"/>
      <c r="DF14" s="190"/>
      <c r="DG14" s="190"/>
      <c r="DH14" s="134"/>
      <c r="DI14" s="134"/>
      <c r="DJ14" s="134"/>
      <c r="DK14" s="134"/>
      <c r="DL14" s="300"/>
      <c r="DM14" s="301"/>
      <c r="DN14" s="276"/>
      <c r="DO14" s="277"/>
      <c r="DP14" s="134"/>
      <c r="DQ14" s="134"/>
      <c r="DR14" s="134"/>
      <c r="DS14" s="134"/>
      <c r="DT14" s="138"/>
      <c r="DU14" s="134"/>
      <c r="DV14" s="134"/>
      <c r="DW14" s="134"/>
      <c r="DX14" s="301"/>
      <c r="DY14" s="301"/>
      <c r="DZ14" s="138"/>
      <c r="EA14" s="134"/>
      <c r="EB14" s="134"/>
      <c r="EC14" s="134"/>
      <c r="ED14" s="138"/>
      <c r="EE14" s="134"/>
      <c r="EF14" s="134"/>
      <c r="EG14" s="134"/>
      <c r="EH14" s="301"/>
      <c r="EI14" s="301"/>
      <c r="EJ14" s="277"/>
      <c r="EK14" s="134"/>
      <c r="EL14" s="134"/>
      <c r="EM14" s="134"/>
      <c r="EN14" s="134"/>
      <c r="EO14" s="134"/>
      <c r="EP14" s="134"/>
      <c r="EQ14" s="134"/>
      <c r="ER14" s="134"/>
      <c r="ES14" s="301"/>
      <c r="ET14" s="301"/>
      <c r="EU14" s="134"/>
      <c r="EV14" s="134"/>
      <c r="EW14" s="134"/>
      <c r="EX14" s="134"/>
      <c r="EY14" s="134"/>
      <c r="EZ14" s="134"/>
      <c r="FA14" s="134"/>
      <c r="FB14" s="134"/>
      <c r="FC14" s="135"/>
      <c r="FD14" s="135"/>
      <c r="FE14" s="134"/>
      <c r="FF14" s="134"/>
      <c r="FG14" s="134"/>
      <c r="FH14" s="134"/>
      <c r="FI14" s="134"/>
      <c r="FJ14" s="134"/>
      <c r="FK14" s="134"/>
      <c r="FL14" s="134"/>
      <c r="FM14" s="135"/>
      <c r="FN14" s="135"/>
      <c r="FO14" s="134"/>
      <c r="FP14" s="134"/>
      <c r="FQ14" s="134"/>
      <c r="FR14" s="134"/>
      <c r="FS14" s="134"/>
      <c r="FT14" s="134"/>
      <c r="FU14" s="134"/>
      <c r="FV14" s="134"/>
      <c r="FW14" s="135"/>
      <c r="FX14" s="135"/>
      <c r="FY14" s="134"/>
      <c r="FZ14" s="134"/>
      <c r="GA14" s="134"/>
      <c r="GB14" s="134"/>
      <c r="GC14" s="134"/>
      <c r="GD14" s="134"/>
      <c r="GE14" s="134"/>
      <c r="GF14" s="134"/>
      <c r="GG14" s="135"/>
      <c r="GH14" s="135"/>
      <c r="GI14" s="134"/>
      <c r="GJ14" s="134"/>
      <c r="GK14" s="134"/>
      <c r="GL14" s="134"/>
      <c r="GM14" s="134"/>
      <c r="GN14" s="134"/>
      <c r="GO14" s="134"/>
      <c r="GP14" s="134"/>
      <c r="GQ14" s="135"/>
      <c r="GR14" s="135"/>
      <c r="GS14" s="134"/>
      <c r="GT14" s="134"/>
      <c r="GU14" s="134"/>
      <c r="GV14" s="134"/>
      <c r="GW14" s="134"/>
      <c r="GX14" s="134"/>
      <c r="GY14" s="134"/>
      <c r="GZ14" s="134"/>
      <c r="HA14" s="135"/>
      <c r="HB14" s="135"/>
      <c r="HC14" s="134"/>
      <c r="HD14" s="134"/>
      <c r="HE14" s="134"/>
      <c r="HF14" s="134"/>
      <c r="HG14" s="134"/>
      <c r="HH14" s="134"/>
      <c r="HI14" s="134"/>
      <c r="HJ14" s="134"/>
      <c r="HK14" s="135"/>
      <c r="HL14" s="135"/>
      <c r="HM14" s="134"/>
      <c r="HN14" s="134"/>
      <c r="HO14" s="134"/>
      <c r="HP14" s="134"/>
      <c r="HQ14" s="134"/>
      <c r="HR14" s="134"/>
      <c r="HS14" s="134"/>
      <c r="HT14" s="134"/>
      <c r="HU14" s="135"/>
      <c r="HV14" s="135"/>
      <c r="HW14" s="134"/>
      <c r="HX14" s="134"/>
      <c r="HY14" s="134"/>
      <c r="HZ14" s="134"/>
      <c r="IA14" s="134"/>
      <c r="IB14" s="134"/>
      <c r="IC14" s="134"/>
      <c r="ID14" s="134"/>
      <c r="IE14" s="135"/>
      <c r="IF14" s="135"/>
      <c r="IG14" s="134"/>
      <c r="IH14" s="134"/>
      <c r="II14" s="134"/>
      <c r="IJ14" s="134"/>
      <c r="IK14" s="134"/>
      <c r="IL14" s="134"/>
      <c r="IM14" s="134"/>
      <c r="IN14" s="134"/>
      <c r="IO14" s="135"/>
      <c r="IP14" s="135"/>
      <c r="IQ14" s="134"/>
      <c r="IR14" s="134"/>
      <c r="IS14" s="134"/>
      <c r="IT14" s="134"/>
      <c r="IU14" s="134"/>
      <c r="IV14" s="134"/>
      <c r="IW14" s="134"/>
      <c r="IX14" s="134"/>
      <c r="IY14" s="135"/>
      <c r="IZ14" s="135"/>
    </row>
    <row r="15" spans="1:260" s="119" customFormat="1" ht="17" customHeight="1">
      <c r="A15" s="79" t="s">
        <v>1105</v>
      </c>
      <c r="B15" s="418">
        <v>71</v>
      </c>
      <c r="C15" s="117"/>
      <c r="D15" s="117">
        <v>14</v>
      </c>
      <c r="E15" s="123" t="s">
        <v>2054</v>
      </c>
      <c r="F15" s="124" t="s">
        <v>2298</v>
      </c>
      <c r="G15" s="125">
        <v>2005</v>
      </c>
      <c r="H15" s="79">
        <v>18568126</v>
      </c>
      <c r="I15" s="79">
        <v>1</v>
      </c>
      <c r="J15" s="126">
        <v>1</v>
      </c>
      <c r="K15" s="127"/>
      <c r="L15" s="79">
        <v>1</v>
      </c>
      <c r="M15" s="79"/>
      <c r="N15" s="79">
        <v>1</v>
      </c>
      <c r="O15" s="128">
        <v>2</v>
      </c>
      <c r="P15" s="79" t="s">
        <v>1206</v>
      </c>
      <c r="Q15" s="79" t="s">
        <v>1207</v>
      </c>
      <c r="R15" s="79" t="s">
        <v>1127</v>
      </c>
      <c r="S15" s="79"/>
      <c r="T15" s="79" t="s">
        <v>1805</v>
      </c>
      <c r="U15" s="79" t="s">
        <v>23</v>
      </c>
      <c r="V15" s="79" t="s">
        <v>23</v>
      </c>
      <c r="W15" s="79" t="s">
        <v>1205</v>
      </c>
      <c r="X15" s="79" t="s">
        <v>24</v>
      </c>
      <c r="Y15" s="79" t="s">
        <v>1209</v>
      </c>
      <c r="Z15" s="79"/>
      <c r="AA15" s="79"/>
      <c r="AB15" s="79"/>
      <c r="AC15" s="506" t="s">
        <v>6178</v>
      </c>
      <c r="AD15" s="573">
        <v>1</v>
      </c>
      <c r="AE15" s="573">
        <v>1</v>
      </c>
      <c r="AF15" s="154"/>
      <c r="AG15" s="155"/>
      <c r="AH15" s="121">
        <v>4</v>
      </c>
      <c r="AI15" s="484"/>
      <c r="AJ15" s="202"/>
      <c r="AK15" s="192"/>
      <c r="AL15" s="203"/>
      <c r="AM15" s="121"/>
      <c r="AN15" s="121"/>
      <c r="AO15" s="121"/>
      <c r="AP15" s="121"/>
      <c r="AQ15" s="121"/>
      <c r="AR15" s="121"/>
      <c r="AS15" s="121"/>
      <c r="AT15" s="121"/>
      <c r="AU15" s="121"/>
      <c r="AV15" s="121"/>
      <c r="AW15" s="121"/>
      <c r="AX15" s="121"/>
      <c r="AY15" s="121"/>
      <c r="AZ15" s="121"/>
      <c r="BA15" s="121"/>
      <c r="BB15" s="121"/>
      <c r="BC15" s="121"/>
      <c r="BD15" s="156" t="s">
        <v>4727</v>
      </c>
      <c r="BE15" s="156" t="s">
        <v>5545</v>
      </c>
      <c r="BF15" s="156"/>
      <c r="BG15" s="156"/>
      <c r="BH15" s="156"/>
      <c r="BI15" s="156"/>
      <c r="BJ15" s="156" t="s">
        <v>5545</v>
      </c>
      <c r="BK15" s="156"/>
      <c r="BL15" s="156"/>
      <c r="BM15" s="156"/>
      <c r="BN15" s="156"/>
      <c r="BO15" s="156"/>
      <c r="BP15" s="156"/>
      <c r="BQ15" s="157"/>
      <c r="BR15" s="134"/>
      <c r="BS15" s="134"/>
      <c r="BT15" s="134"/>
      <c r="BU15" s="134"/>
      <c r="BV15" s="134"/>
      <c r="BW15" s="259"/>
      <c r="BX15" s="138"/>
      <c r="BY15" s="134"/>
      <c r="BZ15" s="134"/>
      <c r="CA15" s="134"/>
      <c r="CB15" s="138"/>
      <c r="CC15" s="134"/>
      <c r="CD15" s="134"/>
      <c r="CE15" s="134"/>
      <c r="CF15" s="288"/>
      <c r="CG15" s="289"/>
      <c r="CH15" s="138"/>
      <c r="CI15" s="134"/>
      <c r="CJ15" s="134"/>
      <c r="CK15" s="134"/>
      <c r="CL15" s="138"/>
      <c r="CM15" s="134"/>
      <c r="CN15" s="134"/>
      <c r="CO15" s="134"/>
      <c r="CP15" s="288"/>
      <c r="CQ15" s="289"/>
      <c r="CR15" s="276"/>
      <c r="CS15" s="308"/>
      <c r="CT15" s="138"/>
      <c r="CU15" s="134"/>
      <c r="CV15" s="134"/>
      <c r="CW15" s="134"/>
      <c r="CX15" s="134"/>
      <c r="CY15" s="134"/>
      <c r="CZ15" s="134"/>
      <c r="DA15" s="134"/>
      <c r="DB15" s="300"/>
      <c r="DC15" s="301"/>
      <c r="DD15" s="134"/>
      <c r="DE15" s="134"/>
      <c r="DF15" s="134"/>
      <c r="DG15" s="134"/>
      <c r="DH15" s="134"/>
      <c r="DI15" s="134"/>
      <c r="DJ15" s="134"/>
      <c r="DK15" s="134"/>
      <c r="DL15" s="300"/>
      <c r="DM15" s="301"/>
      <c r="DN15" s="276"/>
      <c r="DO15" s="277"/>
      <c r="DP15" s="134"/>
      <c r="DQ15" s="134"/>
      <c r="DR15" s="134"/>
      <c r="DS15" s="134"/>
      <c r="DT15" s="138"/>
      <c r="DU15" s="134"/>
      <c r="DV15" s="134"/>
      <c r="DW15" s="134"/>
      <c r="DX15" s="301"/>
      <c r="DY15" s="301"/>
      <c r="DZ15" s="138"/>
      <c r="EA15" s="134"/>
      <c r="EB15" s="134"/>
      <c r="EC15" s="134"/>
      <c r="ED15" s="138"/>
      <c r="EE15" s="134"/>
      <c r="EF15" s="134"/>
      <c r="EG15" s="134"/>
      <c r="EH15" s="301"/>
      <c r="EI15" s="301"/>
      <c r="EJ15" s="277"/>
      <c r="EK15" s="134"/>
      <c r="EL15" s="134"/>
      <c r="EM15" s="134"/>
      <c r="EN15" s="134"/>
      <c r="EO15" s="134"/>
      <c r="EP15" s="134"/>
      <c r="EQ15" s="134"/>
      <c r="ER15" s="134"/>
      <c r="ES15" s="301"/>
      <c r="ET15" s="301"/>
      <c r="EU15" s="134"/>
      <c r="EV15" s="134"/>
      <c r="EW15" s="134"/>
      <c r="EX15" s="134"/>
      <c r="EY15" s="134"/>
      <c r="EZ15" s="134"/>
      <c r="FA15" s="134"/>
      <c r="FB15" s="134"/>
      <c r="FC15" s="135"/>
      <c r="FD15" s="135"/>
      <c r="FE15" s="134"/>
      <c r="FF15" s="134"/>
      <c r="FG15" s="134"/>
      <c r="FH15" s="134"/>
      <c r="FI15" s="134"/>
      <c r="FJ15" s="134"/>
      <c r="FK15" s="134"/>
      <c r="FL15" s="134"/>
      <c r="FM15" s="135"/>
      <c r="FN15" s="135"/>
      <c r="FO15" s="134"/>
      <c r="FP15" s="134"/>
      <c r="FQ15" s="134"/>
      <c r="FR15" s="134"/>
      <c r="FS15" s="134"/>
      <c r="FT15" s="134"/>
      <c r="FU15" s="134"/>
      <c r="FV15" s="134"/>
      <c r="FW15" s="135"/>
      <c r="FX15" s="135"/>
      <c r="FY15" s="134"/>
      <c r="FZ15" s="134"/>
      <c r="GA15" s="134"/>
      <c r="GB15" s="134"/>
      <c r="GC15" s="134"/>
      <c r="GD15" s="134"/>
      <c r="GE15" s="134"/>
      <c r="GF15" s="134"/>
      <c r="GG15" s="135"/>
      <c r="GH15" s="135"/>
      <c r="GI15" s="134"/>
      <c r="GJ15" s="134"/>
      <c r="GK15" s="134"/>
      <c r="GL15" s="134"/>
      <c r="GM15" s="134"/>
      <c r="GN15" s="134"/>
      <c r="GO15" s="134"/>
      <c r="GP15" s="134"/>
      <c r="GQ15" s="135"/>
      <c r="GR15" s="135"/>
      <c r="GS15" s="134"/>
      <c r="GT15" s="134"/>
      <c r="GU15" s="134"/>
      <c r="GV15" s="134"/>
      <c r="GW15" s="134"/>
      <c r="GX15" s="134"/>
      <c r="GY15" s="134"/>
      <c r="GZ15" s="134"/>
      <c r="HA15" s="135"/>
      <c r="HB15" s="135"/>
      <c r="HC15" s="134"/>
      <c r="HD15" s="134"/>
      <c r="HE15" s="134"/>
      <c r="HF15" s="134"/>
      <c r="HG15" s="134"/>
      <c r="HH15" s="134"/>
      <c r="HI15" s="134"/>
      <c r="HJ15" s="134"/>
      <c r="HK15" s="135"/>
      <c r="HL15" s="135"/>
      <c r="HM15" s="134"/>
      <c r="HN15" s="134"/>
      <c r="HO15" s="134"/>
      <c r="HP15" s="134"/>
      <c r="HQ15" s="134"/>
      <c r="HR15" s="134"/>
      <c r="HS15" s="134"/>
      <c r="HT15" s="134"/>
      <c r="HU15" s="135"/>
      <c r="HV15" s="135"/>
      <c r="HW15" s="134"/>
      <c r="HX15" s="134"/>
      <c r="HY15" s="134"/>
      <c r="HZ15" s="134"/>
      <c r="IA15" s="134"/>
      <c r="IB15" s="134"/>
      <c r="IC15" s="134"/>
      <c r="ID15" s="134"/>
      <c r="IE15" s="135"/>
      <c r="IF15" s="135"/>
      <c r="IG15" s="134"/>
      <c r="IH15" s="134"/>
      <c r="II15" s="134"/>
      <c r="IJ15" s="134"/>
      <c r="IK15" s="134"/>
      <c r="IL15" s="134"/>
      <c r="IM15" s="134"/>
      <c r="IN15" s="134"/>
      <c r="IO15" s="135"/>
      <c r="IP15" s="135"/>
      <c r="IQ15" s="134"/>
      <c r="IR15" s="134"/>
      <c r="IS15" s="134"/>
      <c r="IT15" s="134"/>
      <c r="IU15" s="134"/>
      <c r="IV15" s="134"/>
      <c r="IW15" s="134"/>
      <c r="IX15" s="134"/>
      <c r="IY15" s="135"/>
      <c r="IZ15" s="135"/>
    </row>
    <row r="16" spans="1:260" customFormat="1" ht="17" customHeight="1">
      <c r="A16" s="79" t="s">
        <v>98</v>
      </c>
      <c r="B16" s="418">
        <v>73</v>
      </c>
      <c r="C16" s="117"/>
      <c r="D16" s="117">
        <v>15</v>
      </c>
      <c r="E16" s="123" t="s">
        <v>1929</v>
      </c>
      <c r="F16" s="124" t="s">
        <v>2146</v>
      </c>
      <c r="G16" s="125">
        <v>1985</v>
      </c>
      <c r="H16" s="79">
        <v>3989520</v>
      </c>
      <c r="I16" s="79">
        <v>1</v>
      </c>
      <c r="J16" s="126"/>
      <c r="K16" s="127"/>
      <c r="L16" s="79">
        <v>1</v>
      </c>
      <c r="M16" s="79"/>
      <c r="N16" s="79">
        <v>1</v>
      </c>
      <c r="O16" s="128">
        <v>1</v>
      </c>
      <c r="P16" s="79" t="s">
        <v>1179</v>
      </c>
      <c r="Q16" s="79" t="s">
        <v>1142</v>
      </c>
      <c r="R16" s="79" t="s">
        <v>25</v>
      </c>
      <c r="S16" s="79">
        <v>1</v>
      </c>
      <c r="T16" s="79"/>
      <c r="U16" s="79"/>
      <c r="V16" s="79"/>
      <c r="W16" s="79" t="s">
        <v>67</v>
      </c>
      <c r="X16" s="79" t="s">
        <v>12</v>
      </c>
      <c r="Y16" s="79"/>
      <c r="Z16" s="79"/>
      <c r="AA16" s="79"/>
      <c r="AB16" s="79"/>
      <c r="AC16" s="506" t="s">
        <v>6179</v>
      </c>
      <c r="AD16" s="573">
        <v>1</v>
      </c>
      <c r="AE16" s="573">
        <v>0</v>
      </c>
      <c r="AF16" s="154">
        <v>0</v>
      </c>
      <c r="AG16" s="155" t="s">
        <v>6180</v>
      </c>
      <c r="AH16" s="121">
        <v>2</v>
      </c>
      <c r="AI16" s="484"/>
      <c r="AJ16" s="202"/>
      <c r="AK16" s="192"/>
      <c r="AL16" s="203"/>
      <c r="AM16" s="121"/>
      <c r="AN16" s="121"/>
      <c r="AO16" s="121"/>
      <c r="AP16" s="417"/>
      <c r="AQ16" s="121"/>
      <c r="AR16" s="121"/>
      <c r="AS16" s="121"/>
      <c r="AT16" s="121"/>
      <c r="AU16" s="121"/>
      <c r="AV16" s="121"/>
      <c r="AW16" s="121"/>
      <c r="AX16" s="121"/>
      <c r="AY16" s="121"/>
      <c r="AZ16" s="121"/>
      <c r="BA16" s="121"/>
      <c r="BB16" s="121"/>
      <c r="BC16" s="121"/>
      <c r="BD16" s="156"/>
      <c r="BE16" s="156"/>
      <c r="BF16" s="156"/>
      <c r="BG16" s="156"/>
      <c r="BH16" s="156"/>
      <c r="BI16" s="156"/>
      <c r="BJ16" s="156"/>
      <c r="BK16" s="156"/>
      <c r="BL16" s="156"/>
      <c r="BM16" s="156"/>
      <c r="BN16" s="156"/>
      <c r="BO16" s="156"/>
      <c r="BP16" s="156"/>
      <c r="BQ16" s="157"/>
      <c r="BR16" s="134"/>
      <c r="BS16" s="134"/>
      <c r="BT16" s="134"/>
      <c r="BU16" s="134"/>
      <c r="BV16" s="134"/>
      <c r="BW16" s="259"/>
      <c r="BX16" s="138"/>
      <c r="BY16" s="134"/>
      <c r="BZ16" s="134"/>
      <c r="CA16" s="134"/>
      <c r="CB16" s="138"/>
      <c r="CC16" s="134"/>
      <c r="CD16" s="134"/>
      <c r="CE16" s="134"/>
      <c r="CF16" s="288"/>
      <c r="CG16" s="289"/>
      <c r="CH16" s="138"/>
      <c r="CI16" s="134"/>
      <c r="CJ16" s="134"/>
      <c r="CK16" s="134"/>
      <c r="CL16" s="138"/>
      <c r="CM16" s="134"/>
      <c r="CN16" s="134"/>
      <c r="CO16" s="134"/>
      <c r="CP16" s="288"/>
      <c r="CQ16" s="289"/>
      <c r="CR16" s="276"/>
      <c r="CS16" s="308"/>
      <c r="CT16" s="138"/>
      <c r="CU16" s="134"/>
      <c r="CV16" s="134"/>
      <c r="CW16" s="134"/>
      <c r="CX16" s="134"/>
      <c r="CY16" s="134"/>
      <c r="CZ16" s="134"/>
      <c r="DA16" s="134"/>
      <c r="DB16" s="300"/>
      <c r="DC16" s="301"/>
      <c r="DD16" s="134"/>
      <c r="DE16" s="134"/>
      <c r="DF16" s="134"/>
      <c r="DG16" s="134"/>
      <c r="DH16" s="134"/>
      <c r="DI16" s="134"/>
      <c r="DJ16" s="134"/>
      <c r="DK16" s="134"/>
      <c r="DL16" s="300"/>
      <c r="DM16" s="301"/>
      <c r="DN16" s="276"/>
      <c r="DO16" s="277"/>
      <c r="DP16" s="134"/>
      <c r="DQ16" s="134"/>
      <c r="DR16" s="134"/>
      <c r="DS16" s="134"/>
      <c r="DT16" s="138"/>
      <c r="DU16" s="134"/>
      <c r="DV16" s="134"/>
      <c r="DW16" s="134"/>
      <c r="DX16" s="301"/>
      <c r="DY16" s="301"/>
      <c r="DZ16" s="138"/>
      <c r="EA16" s="134"/>
      <c r="EB16" s="134"/>
      <c r="EC16" s="134"/>
      <c r="ED16" s="138"/>
      <c r="EE16" s="134"/>
      <c r="EF16" s="134"/>
      <c r="EG16" s="134"/>
      <c r="EH16" s="301"/>
      <c r="EI16" s="301"/>
      <c r="EJ16" s="277"/>
      <c r="EK16" s="134"/>
      <c r="EL16" s="134"/>
      <c r="EM16" s="134"/>
      <c r="EN16" s="134"/>
      <c r="EO16" s="134"/>
      <c r="EP16" s="134"/>
      <c r="EQ16" s="134"/>
      <c r="ER16" s="134"/>
      <c r="ES16" s="301"/>
      <c r="ET16" s="301"/>
      <c r="EU16" s="134"/>
      <c r="EV16" s="134"/>
      <c r="EW16" s="134"/>
      <c r="EX16" s="134"/>
      <c r="EY16" s="134"/>
      <c r="EZ16" s="134"/>
      <c r="FA16" s="134"/>
      <c r="FB16" s="134"/>
      <c r="FC16" s="135"/>
      <c r="FD16" s="135"/>
      <c r="FE16" s="134"/>
      <c r="FF16" s="134"/>
      <c r="FG16" s="134"/>
      <c r="FH16" s="134"/>
      <c r="FI16" s="134"/>
      <c r="FJ16" s="134"/>
      <c r="FK16" s="134"/>
      <c r="FL16" s="134"/>
      <c r="FM16" s="135"/>
      <c r="FN16" s="135"/>
      <c r="FO16" s="134"/>
      <c r="FP16" s="134"/>
      <c r="FQ16" s="134"/>
      <c r="FR16" s="134"/>
      <c r="FS16" s="134"/>
      <c r="FT16" s="134"/>
      <c r="FU16" s="134"/>
      <c r="FV16" s="134"/>
      <c r="FW16" s="135"/>
      <c r="FX16" s="135"/>
      <c r="FY16" s="134"/>
      <c r="FZ16" s="134"/>
      <c r="GA16" s="134"/>
      <c r="GB16" s="134"/>
      <c r="GC16" s="134"/>
      <c r="GD16" s="134"/>
      <c r="GE16" s="134"/>
      <c r="GF16" s="134"/>
      <c r="GG16" s="135"/>
      <c r="GH16" s="135"/>
      <c r="GI16" s="134"/>
      <c r="GJ16" s="134"/>
      <c r="GK16" s="134"/>
      <c r="GL16" s="134"/>
      <c r="GM16" s="134"/>
      <c r="GN16" s="134"/>
      <c r="GO16" s="134"/>
      <c r="GP16" s="134"/>
      <c r="GQ16" s="135"/>
      <c r="GR16" s="135"/>
      <c r="GS16" s="134"/>
      <c r="GT16" s="134"/>
      <c r="GU16" s="134"/>
      <c r="GV16" s="134"/>
      <c r="GW16" s="134"/>
      <c r="GX16" s="134"/>
      <c r="GY16" s="134"/>
      <c r="GZ16" s="134"/>
      <c r="HA16" s="135"/>
      <c r="HB16" s="135"/>
      <c r="HC16" s="134"/>
      <c r="HD16" s="134"/>
      <c r="HE16" s="134"/>
      <c r="HF16" s="134"/>
      <c r="HG16" s="134"/>
      <c r="HH16" s="134"/>
      <c r="HI16" s="134"/>
      <c r="HJ16" s="134"/>
      <c r="HK16" s="135"/>
      <c r="HL16" s="135"/>
      <c r="HM16" s="134"/>
      <c r="HN16" s="134"/>
      <c r="HO16" s="134"/>
      <c r="HP16" s="134"/>
      <c r="HQ16" s="134"/>
      <c r="HR16" s="134"/>
      <c r="HS16" s="134"/>
      <c r="HT16" s="134"/>
      <c r="HU16" s="135"/>
      <c r="HV16" s="135"/>
      <c r="HW16" s="134"/>
      <c r="HX16" s="134"/>
      <c r="HY16" s="134"/>
      <c r="HZ16" s="134"/>
      <c r="IA16" s="134"/>
      <c r="IB16" s="134"/>
      <c r="IC16" s="134"/>
      <c r="ID16" s="134"/>
      <c r="IE16" s="135"/>
      <c r="IF16" s="135"/>
      <c r="IG16" s="134"/>
      <c r="IH16" s="134"/>
      <c r="II16" s="134"/>
      <c r="IJ16" s="134"/>
      <c r="IK16" s="134"/>
      <c r="IL16" s="134"/>
      <c r="IM16" s="134"/>
      <c r="IN16" s="134"/>
      <c r="IO16" s="135"/>
      <c r="IP16" s="135"/>
      <c r="IQ16" s="134"/>
      <c r="IR16" s="134"/>
      <c r="IS16" s="134"/>
      <c r="IT16" s="134"/>
      <c r="IU16" s="134"/>
      <c r="IV16" s="134"/>
      <c r="IW16" s="134"/>
      <c r="IX16" s="134"/>
      <c r="IY16" s="135"/>
      <c r="IZ16" s="135"/>
    </row>
    <row r="17" spans="1:260" customFormat="1" ht="17" customHeight="1">
      <c r="A17" s="79" t="s">
        <v>100</v>
      </c>
      <c r="B17" s="418">
        <v>74</v>
      </c>
      <c r="C17" s="117"/>
      <c r="D17" s="117">
        <v>16</v>
      </c>
      <c r="E17" s="123" t="s">
        <v>1930</v>
      </c>
      <c r="F17" s="124" t="s">
        <v>2147</v>
      </c>
      <c r="G17" s="125">
        <v>2005</v>
      </c>
      <c r="H17" s="79">
        <v>15820703</v>
      </c>
      <c r="I17" s="79">
        <v>1</v>
      </c>
      <c r="J17" s="126" t="s">
        <v>1774</v>
      </c>
      <c r="K17" s="127" t="s">
        <v>1756</v>
      </c>
      <c r="L17" s="79">
        <v>1</v>
      </c>
      <c r="M17" s="79" t="s">
        <v>1733</v>
      </c>
      <c r="N17" s="79">
        <v>1</v>
      </c>
      <c r="O17" s="128">
        <v>1</v>
      </c>
      <c r="P17" s="79" t="s">
        <v>1179</v>
      </c>
      <c r="Q17" s="79" t="s">
        <v>1142</v>
      </c>
      <c r="R17" s="79" t="s">
        <v>25</v>
      </c>
      <c r="S17" s="79">
        <v>1</v>
      </c>
      <c r="T17" s="79"/>
      <c r="U17" s="79"/>
      <c r="V17" s="79"/>
      <c r="W17" s="79" t="s">
        <v>69</v>
      </c>
      <c r="X17" s="79" t="s">
        <v>56</v>
      </c>
      <c r="Y17" s="79"/>
      <c r="Z17" s="79"/>
      <c r="AA17" s="79"/>
      <c r="AB17" s="79"/>
      <c r="AC17" s="506" t="s">
        <v>6181</v>
      </c>
      <c r="AD17" s="573">
        <v>1</v>
      </c>
      <c r="AE17" s="573">
        <v>0</v>
      </c>
      <c r="AF17" s="154">
        <v>0</v>
      </c>
      <c r="AG17" s="506" t="s">
        <v>6182</v>
      </c>
      <c r="AH17" s="121">
        <v>2</v>
      </c>
      <c r="AI17" s="484"/>
      <c r="AJ17" s="202"/>
      <c r="AK17" s="192"/>
      <c r="AL17" s="203"/>
      <c r="AM17" s="121"/>
      <c r="AN17" s="121"/>
      <c r="AO17" s="121"/>
      <c r="AP17" s="121"/>
      <c r="AQ17" s="121"/>
      <c r="AR17" s="121"/>
      <c r="AS17" s="121"/>
      <c r="AT17" s="121"/>
      <c r="AU17" s="121"/>
      <c r="AV17" s="121"/>
      <c r="AW17" s="121"/>
      <c r="AX17" s="121"/>
      <c r="AY17" s="121"/>
      <c r="AZ17" s="121"/>
      <c r="BA17" s="121"/>
      <c r="BB17" s="121"/>
      <c r="BC17" s="121"/>
      <c r="BD17" s="156"/>
      <c r="BE17" s="156"/>
      <c r="BF17" s="156"/>
      <c r="BG17" s="156"/>
      <c r="BH17" s="156"/>
      <c r="BI17" s="156"/>
      <c r="BJ17" s="156"/>
      <c r="BK17" s="156"/>
      <c r="BL17" s="156"/>
      <c r="BM17" s="156"/>
      <c r="BN17" s="156"/>
      <c r="BO17" s="156"/>
      <c r="BP17" s="156"/>
      <c r="BQ17" s="157"/>
      <c r="BR17" s="134"/>
      <c r="BS17" s="134"/>
      <c r="BT17" s="134"/>
      <c r="BU17" s="134"/>
      <c r="BV17" s="134"/>
      <c r="BW17" s="259"/>
      <c r="BX17" s="138"/>
      <c r="BY17" s="190"/>
      <c r="BZ17" s="134"/>
      <c r="CA17" s="190"/>
      <c r="CB17" s="138"/>
      <c r="CC17" s="134"/>
      <c r="CD17" s="134"/>
      <c r="CE17" s="134"/>
      <c r="CF17" s="288"/>
      <c r="CG17" s="289"/>
      <c r="CH17" s="138"/>
      <c r="CI17" s="134"/>
      <c r="CJ17" s="134"/>
      <c r="CK17" s="134"/>
      <c r="CL17" s="138"/>
      <c r="CM17" s="134"/>
      <c r="CN17" s="134"/>
      <c r="CO17" s="134"/>
      <c r="CP17" s="288"/>
      <c r="CQ17" s="289"/>
      <c r="CR17" s="276"/>
      <c r="CS17" s="308"/>
      <c r="CT17" s="138"/>
      <c r="CU17" s="134"/>
      <c r="CV17" s="134"/>
      <c r="CW17" s="134"/>
      <c r="CX17" s="134"/>
      <c r="CY17" s="134"/>
      <c r="CZ17" s="134"/>
      <c r="DA17" s="134"/>
      <c r="DB17" s="300"/>
      <c r="DC17" s="301"/>
      <c r="DD17" s="134"/>
      <c r="DE17" s="134"/>
      <c r="DF17" s="134"/>
      <c r="DG17" s="134"/>
      <c r="DH17" s="134"/>
      <c r="DI17" s="134"/>
      <c r="DJ17" s="134"/>
      <c r="DK17" s="134"/>
      <c r="DL17" s="300"/>
      <c r="DM17" s="301"/>
      <c r="DN17" s="276"/>
      <c r="DO17" s="277"/>
      <c r="DP17" s="134"/>
      <c r="DQ17" s="134"/>
      <c r="DR17" s="134"/>
      <c r="DS17" s="134"/>
      <c r="DT17" s="138"/>
      <c r="DU17" s="134"/>
      <c r="DV17" s="134"/>
      <c r="DW17" s="134"/>
      <c r="DX17" s="301"/>
      <c r="DY17" s="301"/>
      <c r="DZ17" s="138"/>
      <c r="EA17" s="134"/>
      <c r="EB17" s="134"/>
      <c r="EC17" s="134"/>
      <c r="ED17" s="138"/>
      <c r="EE17" s="134"/>
      <c r="EF17" s="134"/>
      <c r="EG17" s="134"/>
      <c r="EH17" s="301"/>
      <c r="EI17" s="301"/>
      <c r="EJ17" s="277"/>
      <c r="EK17" s="134"/>
      <c r="EL17" s="134"/>
      <c r="EM17" s="134"/>
      <c r="EN17" s="134"/>
      <c r="EO17" s="134"/>
      <c r="EP17" s="134"/>
      <c r="EQ17" s="134"/>
      <c r="ER17" s="134"/>
      <c r="ES17" s="301"/>
      <c r="ET17" s="301"/>
      <c r="EU17" s="134"/>
      <c r="EV17" s="134"/>
      <c r="EW17" s="134"/>
      <c r="EX17" s="134"/>
      <c r="EY17" s="134"/>
      <c r="EZ17" s="134"/>
      <c r="FA17" s="134"/>
      <c r="FB17" s="134"/>
      <c r="FC17" s="135"/>
      <c r="FD17" s="135"/>
      <c r="FE17" s="134"/>
      <c r="FF17" s="134"/>
      <c r="FG17" s="134"/>
      <c r="FH17" s="134"/>
      <c r="FI17" s="134"/>
      <c r="FJ17" s="134"/>
      <c r="FK17" s="134"/>
      <c r="FL17" s="134"/>
      <c r="FM17" s="135"/>
      <c r="FN17" s="135"/>
      <c r="FO17" s="134"/>
      <c r="FP17" s="134"/>
      <c r="FQ17" s="134"/>
      <c r="FR17" s="134"/>
      <c r="FS17" s="134"/>
      <c r="FT17" s="134"/>
      <c r="FU17" s="134"/>
      <c r="FV17" s="134"/>
      <c r="FW17" s="135"/>
      <c r="FX17" s="135"/>
      <c r="FY17" s="134"/>
      <c r="FZ17" s="134"/>
      <c r="GA17" s="134"/>
      <c r="GB17" s="134"/>
      <c r="GC17" s="134"/>
      <c r="GD17" s="134"/>
      <c r="GE17" s="134"/>
      <c r="GF17" s="134"/>
      <c r="GG17" s="135"/>
      <c r="GH17" s="135"/>
      <c r="GI17" s="134"/>
      <c r="GJ17" s="134"/>
      <c r="GK17" s="134"/>
      <c r="GL17" s="134"/>
      <c r="GM17" s="134"/>
      <c r="GN17" s="134"/>
      <c r="GO17" s="134"/>
      <c r="GP17" s="134"/>
      <c r="GQ17" s="135"/>
      <c r="GR17" s="135"/>
      <c r="GS17" s="134"/>
      <c r="GT17" s="134"/>
      <c r="GU17" s="134"/>
      <c r="GV17" s="134"/>
      <c r="GW17" s="134"/>
      <c r="GX17" s="134"/>
      <c r="GY17" s="134"/>
      <c r="GZ17" s="134"/>
      <c r="HA17" s="135"/>
      <c r="HB17" s="135"/>
      <c r="HC17" s="134"/>
      <c r="HD17" s="134"/>
      <c r="HE17" s="134"/>
      <c r="HF17" s="134"/>
      <c r="HG17" s="134"/>
      <c r="HH17" s="134"/>
      <c r="HI17" s="134"/>
      <c r="HJ17" s="134"/>
      <c r="HK17" s="135"/>
      <c r="HL17" s="135"/>
      <c r="HM17" s="134"/>
      <c r="HN17" s="134"/>
      <c r="HO17" s="134"/>
      <c r="HP17" s="134"/>
      <c r="HQ17" s="134"/>
      <c r="HR17" s="134"/>
      <c r="HS17" s="134"/>
      <c r="HT17" s="134"/>
      <c r="HU17" s="135"/>
      <c r="HV17" s="135"/>
      <c r="HW17" s="134"/>
      <c r="HX17" s="134"/>
      <c r="HY17" s="134"/>
      <c r="HZ17" s="134"/>
      <c r="IA17" s="134"/>
      <c r="IB17" s="134"/>
      <c r="IC17" s="134"/>
      <c r="ID17" s="134"/>
      <c r="IE17" s="135"/>
      <c r="IF17" s="135"/>
      <c r="IG17" s="134"/>
      <c r="IH17" s="134"/>
      <c r="II17" s="134"/>
      <c r="IJ17" s="134"/>
      <c r="IK17" s="134"/>
      <c r="IL17" s="134"/>
      <c r="IM17" s="134"/>
      <c r="IN17" s="134"/>
      <c r="IO17" s="135"/>
      <c r="IP17" s="135"/>
      <c r="IQ17" s="134"/>
      <c r="IR17" s="134"/>
      <c r="IS17" s="134"/>
      <c r="IT17" s="134"/>
      <c r="IU17" s="134"/>
      <c r="IV17" s="134"/>
      <c r="IW17" s="134"/>
      <c r="IX17" s="134"/>
      <c r="IY17" s="135"/>
      <c r="IZ17" s="135"/>
    </row>
    <row r="18" spans="1:260" s="188" customFormat="1" ht="17" customHeight="1">
      <c r="A18" s="79" t="s">
        <v>111</v>
      </c>
      <c r="B18" s="418">
        <v>79</v>
      </c>
      <c r="C18" s="117"/>
      <c r="D18" s="117">
        <v>17</v>
      </c>
      <c r="E18" s="123" t="s">
        <v>1934</v>
      </c>
      <c r="F18" s="124" t="s">
        <v>2152</v>
      </c>
      <c r="G18" s="125">
        <v>1999</v>
      </c>
      <c r="H18" s="79">
        <v>10378168</v>
      </c>
      <c r="I18" s="79">
        <v>1</v>
      </c>
      <c r="J18" s="126"/>
      <c r="K18" s="127"/>
      <c r="L18" s="79">
        <v>1</v>
      </c>
      <c r="M18" s="79" t="s">
        <v>1734</v>
      </c>
      <c r="N18" s="171">
        <v>1</v>
      </c>
      <c r="O18" s="128">
        <v>1</v>
      </c>
      <c r="P18" s="79" t="s">
        <v>383</v>
      </c>
      <c r="Q18" s="79" t="s">
        <v>1143</v>
      </c>
      <c r="R18" s="79" t="s">
        <v>25</v>
      </c>
      <c r="S18" s="79">
        <v>1</v>
      </c>
      <c r="T18" s="79"/>
      <c r="U18" s="79"/>
      <c r="V18" s="79"/>
      <c r="W18" s="79" t="s">
        <v>382</v>
      </c>
      <c r="X18" s="79"/>
      <c r="Y18" s="79"/>
      <c r="Z18" s="79"/>
      <c r="AA18" s="79"/>
      <c r="AB18" s="79"/>
      <c r="AC18" s="506" t="s">
        <v>31</v>
      </c>
      <c r="AD18" s="573">
        <v>1</v>
      </c>
      <c r="AE18" s="573">
        <v>0</v>
      </c>
      <c r="AF18" s="154"/>
      <c r="AG18" s="155"/>
      <c r="AH18" s="121">
        <v>2</v>
      </c>
      <c r="AI18" s="484"/>
      <c r="AJ18" s="202"/>
      <c r="AK18" s="192"/>
      <c r="AL18" s="203"/>
      <c r="AM18" s="121"/>
      <c r="AN18" s="121"/>
      <c r="AO18" s="121"/>
      <c r="AP18" s="121"/>
      <c r="AQ18" s="121"/>
      <c r="AR18" s="121"/>
      <c r="AS18" s="121"/>
      <c r="AT18" s="121"/>
      <c r="AU18" s="121"/>
      <c r="AV18" s="121"/>
      <c r="AW18" s="121"/>
      <c r="AX18" s="121"/>
      <c r="AY18" s="121"/>
      <c r="AZ18" s="121"/>
      <c r="BA18" s="121"/>
      <c r="BB18" s="121"/>
      <c r="BC18" s="121"/>
      <c r="BD18" s="156"/>
      <c r="BE18" s="156"/>
      <c r="BF18" s="156" t="s">
        <v>5207</v>
      </c>
      <c r="BG18" s="156"/>
      <c r="BH18" s="156"/>
      <c r="BI18" s="156"/>
      <c r="BJ18" s="156"/>
      <c r="BK18" s="156"/>
      <c r="BL18" s="156"/>
      <c r="BM18" s="156"/>
      <c r="BN18" s="156"/>
      <c r="BO18" s="156"/>
      <c r="BP18" s="156"/>
      <c r="BQ18" s="157"/>
      <c r="BR18" s="134"/>
      <c r="BS18" s="134"/>
      <c r="BT18" s="134"/>
      <c r="BU18" s="134"/>
      <c r="BV18" s="134"/>
      <c r="BW18" s="259"/>
      <c r="BX18" s="138"/>
      <c r="BY18" s="134"/>
      <c r="BZ18" s="134"/>
      <c r="CA18" s="134"/>
      <c r="CB18" s="138"/>
      <c r="CC18" s="134"/>
      <c r="CD18" s="134"/>
      <c r="CE18" s="134"/>
      <c r="CF18" s="288"/>
      <c r="CG18" s="289"/>
      <c r="CH18" s="138"/>
      <c r="CI18" s="134"/>
      <c r="CJ18" s="134"/>
      <c r="CK18" s="134"/>
      <c r="CL18" s="138"/>
      <c r="CM18" s="134"/>
      <c r="CN18" s="134"/>
      <c r="CO18" s="134"/>
      <c r="CP18" s="288"/>
      <c r="CQ18" s="289"/>
      <c r="CR18" s="276"/>
      <c r="CS18" s="308"/>
      <c r="CT18" s="138"/>
      <c r="CU18" s="134"/>
      <c r="CV18" s="134"/>
      <c r="CW18" s="134"/>
      <c r="CX18" s="134"/>
      <c r="CY18" s="134"/>
      <c r="CZ18" s="134"/>
      <c r="DA18" s="134"/>
      <c r="DB18" s="300"/>
      <c r="DC18" s="301"/>
      <c r="DD18" s="134"/>
      <c r="DE18" s="134"/>
      <c r="DF18" s="134"/>
      <c r="DG18" s="134"/>
      <c r="DH18" s="134"/>
      <c r="DI18" s="134"/>
      <c r="DJ18" s="134"/>
      <c r="DK18" s="134"/>
      <c r="DL18" s="300"/>
      <c r="DM18" s="301"/>
      <c r="DN18" s="276"/>
      <c r="DO18" s="277"/>
      <c r="DP18" s="134"/>
      <c r="DQ18" s="134"/>
      <c r="DR18" s="134"/>
      <c r="DS18" s="134"/>
      <c r="DT18" s="138"/>
      <c r="DU18" s="134"/>
      <c r="DV18" s="134"/>
      <c r="DW18" s="134"/>
      <c r="DX18" s="301"/>
      <c r="DY18" s="301"/>
      <c r="DZ18" s="138"/>
      <c r="EA18" s="134"/>
      <c r="EB18" s="134"/>
      <c r="EC18" s="134"/>
      <c r="ED18" s="138"/>
      <c r="EE18" s="134"/>
      <c r="EF18" s="134"/>
      <c r="EG18" s="134"/>
      <c r="EH18" s="301"/>
      <c r="EI18" s="301"/>
      <c r="EJ18" s="277"/>
      <c r="EK18" s="134"/>
      <c r="EL18" s="134"/>
      <c r="EM18" s="134"/>
      <c r="EN18" s="134"/>
      <c r="EO18" s="134"/>
      <c r="EP18" s="134"/>
      <c r="EQ18" s="134"/>
      <c r="ER18" s="134"/>
      <c r="ES18" s="301"/>
      <c r="ET18" s="301"/>
      <c r="EU18" s="134"/>
      <c r="EV18" s="134"/>
      <c r="EW18" s="134"/>
      <c r="EX18" s="134"/>
      <c r="EY18" s="134"/>
      <c r="EZ18" s="134"/>
      <c r="FA18" s="134"/>
      <c r="FB18" s="134"/>
      <c r="FC18" s="135"/>
      <c r="FD18" s="135"/>
      <c r="FE18" s="134"/>
      <c r="FF18" s="134"/>
      <c r="FG18" s="134"/>
      <c r="FH18" s="134"/>
      <c r="FI18" s="134"/>
      <c r="FJ18" s="134"/>
      <c r="FK18" s="134"/>
      <c r="FL18" s="134"/>
      <c r="FM18" s="135"/>
      <c r="FN18" s="135"/>
      <c r="FO18" s="134"/>
      <c r="FP18" s="134"/>
      <c r="FQ18" s="134"/>
      <c r="FR18" s="134"/>
      <c r="FS18" s="134"/>
      <c r="FT18" s="134"/>
      <c r="FU18" s="134"/>
      <c r="FV18" s="134"/>
      <c r="FW18" s="135"/>
      <c r="FX18" s="135"/>
      <c r="FY18" s="134"/>
      <c r="FZ18" s="134"/>
      <c r="GA18" s="134"/>
      <c r="GB18" s="134"/>
      <c r="GC18" s="134"/>
      <c r="GD18" s="134"/>
      <c r="GE18" s="134"/>
      <c r="GF18" s="134"/>
      <c r="GG18" s="135"/>
      <c r="GH18" s="135"/>
      <c r="GI18" s="134"/>
      <c r="GJ18" s="134"/>
      <c r="GK18" s="134"/>
      <c r="GL18" s="134"/>
      <c r="GM18" s="134"/>
      <c r="GN18" s="134"/>
      <c r="GO18" s="134"/>
      <c r="GP18" s="134"/>
      <c r="GQ18" s="135"/>
      <c r="GR18" s="135"/>
      <c r="GS18" s="134"/>
      <c r="GT18" s="134"/>
      <c r="GU18" s="134"/>
      <c r="GV18" s="134"/>
      <c r="GW18" s="134"/>
      <c r="GX18" s="134"/>
      <c r="GY18" s="134"/>
      <c r="GZ18" s="134"/>
      <c r="HA18" s="135"/>
      <c r="HB18" s="135"/>
      <c r="HC18" s="134"/>
      <c r="HD18" s="134"/>
      <c r="HE18" s="134"/>
      <c r="HF18" s="134"/>
      <c r="HG18" s="134"/>
      <c r="HH18" s="134"/>
      <c r="HI18" s="134"/>
      <c r="HJ18" s="134"/>
      <c r="HK18" s="135"/>
      <c r="HL18" s="135"/>
      <c r="HM18" s="134"/>
      <c r="HN18" s="134"/>
      <c r="HO18" s="134"/>
      <c r="HP18" s="134"/>
      <c r="HQ18" s="134"/>
      <c r="HR18" s="134"/>
      <c r="HS18" s="134"/>
      <c r="HT18" s="134"/>
      <c r="HU18" s="135"/>
      <c r="HV18" s="135"/>
      <c r="HW18" s="134"/>
      <c r="HX18" s="134"/>
      <c r="HY18" s="134"/>
      <c r="HZ18" s="134"/>
      <c r="IA18" s="134"/>
      <c r="IB18" s="134"/>
      <c r="IC18" s="134"/>
      <c r="ID18" s="134"/>
      <c r="IE18" s="135"/>
      <c r="IF18" s="135"/>
      <c r="IG18" s="134"/>
      <c r="IH18" s="134"/>
      <c r="II18" s="134"/>
      <c r="IJ18" s="134"/>
      <c r="IK18" s="134"/>
      <c r="IL18" s="134"/>
      <c r="IM18" s="134"/>
      <c r="IN18" s="134"/>
      <c r="IO18" s="135"/>
      <c r="IP18" s="135"/>
      <c r="IQ18" s="134"/>
      <c r="IR18" s="134"/>
      <c r="IS18" s="134"/>
      <c r="IT18" s="134"/>
      <c r="IU18" s="134"/>
      <c r="IV18" s="134"/>
      <c r="IW18" s="134"/>
      <c r="IX18" s="134"/>
      <c r="IY18" s="135"/>
      <c r="IZ18" s="135"/>
    </row>
    <row r="19" spans="1:260" s="119" customFormat="1" ht="17" customHeight="1">
      <c r="A19" s="79" t="s">
        <v>1093</v>
      </c>
      <c r="B19" s="418">
        <v>80</v>
      </c>
      <c r="C19" s="117"/>
      <c r="D19" s="117">
        <v>18</v>
      </c>
      <c r="E19" s="123" t="s">
        <v>2059</v>
      </c>
      <c r="F19" s="124" t="s">
        <v>2304</v>
      </c>
      <c r="G19" s="125">
        <v>2011</v>
      </c>
      <c r="H19" s="79">
        <v>21701068</v>
      </c>
      <c r="I19" s="79">
        <v>1</v>
      </c>
      <c r="J19" s="126"/>
      <c r="K19" s="127"/>
      <c r="L19" s="79">
        <v>1</v>
      </c>
      <c r="M19" s="79"/>
      <c r="N19" s="79">
        <v>1</v>
      </c>
      <c r="O19" s="128">
        <v>2</v>
      </c>
      <c r="P19" s="79" t="s">
        <v>1240</v>
      </c>
      <c r="Q19" s="79" t="s">
        <v>1244</v>
      </c>
      <c r="R19" s="79"/>
      <c r="S19" s="79"/>
      <c r="T19" s="79" t="s">
        <v>1493</v>
      </c>
      <c r="U19" s="79"/>
      <c r="V19" s="79"/>
      <c r="W19" s="79" t="s">
        <v>1239</v>
      </c>
      <c r="X19" s="79" t="s">
        <v>1243</v>
      </c>
      <c r="Y19" s="79" t="s">
        <v>1242</v>
      </c>
      <c r="Z19" s="79"/>
      <c r="AA19" s="79"/>
      <c r="AB19" s="79" t="s">
        <v>1241</v>
      </c>
      <c r="AC19" s="506" t="s">
        <v>6183</v>
      </c>
      <c r="AD19" s="573">
        <v>1</v>
      </c>
      <c r="AE19" s="573">
        <v>1</v>
      </c>
      <c r="AF19" s="154" t="s">
        <v>3003</v>
      </c>
      <c r="AG19" s="155" t="s">
        <v>6184</v>
      </c>
      <c r="AH19" s="121"/>
      <c r="AI19" s="484"/>
      <c r="AJ19" s="202"/>
      <c r="AK19" s="192"/>
      <c r="AL19" s="203"/>
      <c r="AM19" s="121"/>
      <c r="AN19" s="121"/>
      <c r="AO19" s="121"/>
      <c r="AP19" s="121"/>
      <c r="AQ19" s="121"/>
      <c r="AR19" s="121"/>
      <c r="AS19" s="121"/>
      <c r="AT19" s="121"/>
      <c r="AU19" s="121"/>
      <c r="AV19" s="121"/>
      <c r="AW19" s="121"/>
      <c r="AX19" s="121"/>
      <c r="AY19" s="121"/>
      <c r="AZ19" s="121"/>
      <c r="BA19" s="121"/>
      <c r="BB19" s="121"/>
      <c r="BC19" s="121"/>
      <c r="BD19" s="156"/>
      <c r="BE19" s="156"/>
      <c r="BF19" s="156"/>
      <c r="BG19" s="156"/>
      <c r="BH19" s="156"/>
      <c r="BI19" s="156"/>
      <c r="BJ19" s="156" t="s">
        <v>5545</v>
      </c>
      <c r="BK19" s="156"/>
      <c r="BL19" s="156"/>
      <c r="BM19" s="156" t="s">
        <v>5545</v>
      </c>
      <c r="BN19" s="156"/>
      <c r="BO19" s="156"/>
      <c r="BP19" s="156"/>
      <c r="BQ19" s="157"/>
      <c r="BR19" s="134"/>
      <c r="BS19" s="134"/>
      <c r="BT19" s="134"/>
      <c r="BU19" s="134"/>
      <c r="BV19" s="134"/>
      <c r="BW19" s="259"/>
      <c r="BX19" s="138"/>
      <c r="BY19" s="190"/>
      <c r="BZ19" s="134"/>
      <c r="CA19" s="190"/>
      <c r="CB19" s="138"/>
      <c r="CC19" s="134"/>
      <c r="CD19" s="134"/>
      <c r="CE19" s="134"/>
      <c r="CF19" s="288"/>
      <c r="CG19" s="289"/>
      <c r="CH19" s="138"/>
      <c r="CI19" s="134"/>
      <c r="CJ19" s="134"/>
      <c r="CK19" s="134"/>
      <c r="CL19" s="138"/>
      <c r="CM19" s="134"/>
      <c r="CN19" s="134"/>
      <c r="CO19" s="134"/>
      <c r="CP19" s="288"/>
      <c r="CQ19" s="289"/>
      <c r="CR19" s="276"/>
      <c r="CS19" s="308"/>
      <c r="CT19" s="138"/>
      <c r="CU19" s="134"/>
      <c r="CV19" s="134"/>
      <c r="CW19" s="134"/>
      <c r="CX19" s="134"/>
      <c r="CY19" s="134"/>
      <c r="CZ19" s="134"/>
      <c r="DA19" s="134"/>
      <c r="DB19" s="300"/>
      <c r="DC19" s="301"/>
      <c r="DD19" s="134"/>
      <c r="DE19" s="134"/>
      <c r="DF19" s="134"/>
      <c r="DG19" s="134"/>
      <c r="DH19" s="134"/>
      <c r="DI19" s="134"/>
      <c r="DJ19" s="134"/>
      <c r="DK19" s="134"/>
      <c r="DL19" s="300"/>
      <c r="DM19" s="301"/>
      <c r="DN19" s="276"/>
      <c r="DO19" s="277"/>
      <c r="DP19" s="134"/>
      <c r="DQ19" s="134"/>
      <c r="DR19" s="134"/>
      <c r="DS19" s="134"/>
      <c r="DT19" s="138"/>
      <c r="DU19" s="134"/>
      <c r="DV19" s="134"/>
      <c r="DW19" s="134"/>
      <c r="DX19" s="301"/>
      <c r="DY19" s="301"/>
      <c r="DZ19" s="138"/>
      <c r="EA19" s="134"/>
      <c r="EB19" s="134"/>
      <c r="EC19" s="134"/>
      <c r="ED19" s="138"/>
      <c r="EE19" s="134"/>
      <c r="EF19" s="134"/>
      <c r="EG19" s="134"/>
      <c r="EH19" s="301"/>
      <c r="EI19" s="301"/>
      <c r="EJ19" s="277"/>
      <c r="EK19" s="134"/>
      <c r="EL19" s="134"/>
      <c r="EM19" s="134"/>
      <c r="EN19" s="134"/>
      <c r="EO19" s="134"/>
      <c r="EP19" s="134"/>
      <c r="EQ19" s="134"/>
      <c r="ER19" s="134"/>
      <c r="ES19" s="301"/>
      <c r="ET19" s="301"/>
      <c r="EU19" s="134"/>
      <c r="EV19" s="134"/>
      <c r="EW19" s="134"/>
      <c r="EX19" s="134"/>
      <c r="EY19" s="134"/>
      <c r="EZ19" s="134"/>
      <c r="FA19" s="134"/>
      <c r="FB19" s="134"/>
      <c r="FC19" s="135"/>
      <c r="FD19" s="135"/>
      <c r="FE19" s="134"/>
      <c r="FF19" s="134"/>
      <c r="FG19" s="134"/>
      <c r="FH19" s="134"/>
      <c r="FI19" s="134"/>
      <c r="FJ19" s="134"/>
      <c r="FK19" s="134"/>
      <c r="FL19" s="134"/>
      <c r="FM19" s="135"/>
      <c r="FN19" s="135"/>
      <c r="FO19" s="134"/>
      <c r="FP19" s="134"/>
      <c r="FQ19" s="134"/>
      <c r="FR19" s="134"/>
      <c r="FS19" s="134"/>
      <c r="FT19" s="134"/>
      <c r="FU19" s="134"/>
      <c r="FV19" s="134"/>
      <c r="FW19" s="135"/>
      <c r="FX19" s="135"/>
      <c r="FY19" s="134"/>
      <c r="FZ19" s="134"/>
      <c r="GA19" s="134"/>
      <c r="GB19" s="134"/>
      <c r="GC19" s="134"/>
      <c r="GD19" s="134"/>
      <c r="GE19" s="134"/>
      <c r="GF19" s="134"/>
      <c r="GG19" s="135"/>
      <c r="GH19" s="135"/>
      <c r="GI19" s="134"/>
      <c r="GJ19" s="134"/>
      <c r="GK19" s="134"/>
      <c r="GL19" s="134"/>
      <c r="GM19" s="134"/>
      <c r="GN19" s="134"/>
      <c r="GO19" s="134"/>
      <c r="GP19" s="134"/>
      <c r="GQ19" s="135"/>
      <c r="GR19" s="135"/>
      <c r="GS19" s="134"/>
      <c r="GT19" s="134"/>
      <c r="GU19" s="134"/>
      <c r="GV19" s="134"/>
      <c r="GW19" s="134"/>
      <c r="GX19" s="134"/>
      <c r="GY19" s="134"/>
      <c r="GZ19" s="134"/>
      <c r="HA19" s="135"/>
      <c r="HB19" s="135"/>
      <c r="HC19" s="134"/>
      <c r="HD19" s="134"/>
      <c r="HE19" s="134"/>
      <c r="HF19" s="134"/>
      <c r="HG19" s="134"/>
      <c r="HH19" s="134"/>
      <c r="HI19" s="134"/>
      <c r="HJ19" s="134"/>
      <c r="HK19" s="135"/>
      <c r="HL19" s="135"/>
      <c r="HM19" s="134"/>
      <c r="HN19" s="134"/>
      <c r="HO19" s="134"/>
      <c r="HP19" s="134"/>
      <c r="HQ19" s="134"/>
      <c r="HR19" s="134"/>
      <c r="HS19" s="134"/>
      <c r="HT19" s="134"/>
      <c r="HU19" s="135"/>
      <c r="HV19" s="135"/>
      <c r="HW19" s="134"/>
      <c r="HX19" s="134"/>
      <c r="HY19" s="134"/>
      <c r="HZ19" s="134"/>
      <c r="IA19" s="134"/>
      <c r="IB19" s="134"/>
      <c r="IC19" s="134"/>
      <c r="ID19" s="134"/>
      <c r="IE19" s="135"/>
      <c r="IF19" s="135"/>
      <c r="IG19" s="134"/>
      <c r="IH19" s="134"/>
      <c r="II19" s="134"/>
      <c r="IJ19" s="134"/>
      <c r="IK19" s="134"/>
      <c r="IL19" s="134"/>
      <c r="IM19" s="134"/>
      <c r="IN19" s="134"/>
      <c r="IO19" s="135"/>
      <c r="IP19" s="135"/>
      <c r="IQ19" s="134"/>
      <c r="IR19" s="134"/>
      <c r="IS19" s="134"/>
      <c r="IT19" s="134"/>
      <c r="IU19" s="134"/>
      <c r="IV19" s="134"/>
      <c r="IW19" s="134"/>
      <c r="IX19" s="134"/>
      <c r="IY19" s="135"/>
      <c r="IZ19" s="135"/>
    </row>
    <row r="20" spans="1:260" s="119" customFormat="1" ht="17" customHeight="1">
      <c r="A20" s="79" t="s">
        <v>117</v>
      </c>
      <c r="B20" s="418">
        <v>83</v>
      </c>
      <c r="C20" s="117"/>
      <c r="D20" s="117">
        <v>19</v>
      </c>
      <c r="E20" s="123" t="s">
        <v>1937</v>
      </c>
      <c r="F20" s="124" t="s">
        <v>2156</v>
      </c>
      <c r="G20" s="125">
        <v>2016</v>
      </c>
      <c r="H20" s="79">
        <v>27252673</v>
      </c>
      <c r="I20" s="79">
        <v>1</v>
      </c>
      <c r="J20" s="126"/>
      <c r="K20" s="127"/>
      <c r="L20" s="79">
        <v>1</v>
      </c>
      <c r="M20" s="79"/>
      <c r="N20" s="79">
        <v>1</v>
      </c>
      <c r="O20" s="128">
        <v>1</v>
      </c>
      <c r="P20" s="79" t="s">
        <v>397</v>
      </c>
      <c r="Q20" s="79" t="s">
        <v>1183</v>
      </c>
      <c r="R20" s="79" t="s">
        <v>25</v>
      </c>
      <c r="S20" s="79">
        <v>1</v>
      </c>
      <c r="T20" s="79"/>
      <c r="U20" s="79"/>
      <c r="V20" s="79"/>
      <c r="W20" s="79" t="s">
        <v>398</v>
      </c>
      <c r="X20" s="79"/>
      <c r="Y20" s="79"/>
      <c r="Z20" s="79"/>
      <c r="AA20" s="79"/>
      <c r="AB20" s="79"/>
      <c r="AC20" s="506" t="s">
        <v>6185</v>
      </c>
      <c r="AD20" s="573">
        <v>1</v>
      </c>
      <c r="AE20" s="573">
        <v>0</v>
      </c>
      <c r="AF20" s="154"/>
      <c r="AG20" s="155"/>
      <c r="AH20" s="121">
        <v>2</v>
      </c>
      <c r="AI20" s="484"/>
      <c r="AJ20" s="202"/>
      <c r="AK20" s="192"/>
      <c r="AL20" s="203"/>
      <c r="AM20" s="121"/>
      <c r="AN20" s="121"/>
      <c r="AO20" s="121"/>
      <c r="AP20" s="121"/>
      <c r="AQ20" s="121"/>
      <c r="AR20" s="121"/>
      <c r="AS20" s="121"/>
      <c r="AT20" s="121"/>
      <c r="AU20" s="121"/>
      <c r="AV20" s="121"/>
      <c r="AW20" s="121"/>
      <c r="AX20" s="121"/>
      <c r="AY20" s="121"/>
      <c r="AZ20" s="121"/>
      <c r="BA20" s="121"/>
      <c r="BB20" s="121"/>
      <c r="BC20" s="121" t="s">
        <v>6186</v>
      </c>
      <c r="BD20" s="156"/>
      <c r="BE20" s="156"/>
      <c r="BF20" s="156"/>
      <c r="BG20" s="156"/>
      <c r="BH20" s="156"/>
      <c r="BI20" s="156"/>
      <c r="BJ20" s="156"/>
      <c r="BK20" s="156"/>
      <c r="BL20" s="156"/>
      <c r="BM20" s="156" t="s">
        <v>5545</v>
      </c>
      <c r="BN20" s="156"/>
      <c r="BO20" s="156"/>
      <c r="BP20" s="156"/>
      <c r="BQ20" s="157"/>
      <c r="BR20" s="134"/>
      <c r="BS20" s="134"/>
      <c r="BT20" s="134"/>
      <c r="BU20" s="134"/>
      <c r="BV20" s="134"/>
      <c r="BW20" s="259"/>
      <c r="BX20" s="138"/>
      <c r="BY20" s="134"/>
      <c r="BZ20" s="134"/>
      <c r="CA20" s="134"/>
      <c r="CB20" s="138"/>
      <c r="CC20" s="134"/>
      <c r="CD20" s="134"/>
      <c r="CE20" s="134"/>
      <c r="CF20" s="288"/>
      <c r="CG20" s="289"/>
      <c r="CH20" s="138"/>
      <c r="CI20" s="134"/>
      <c r="CJ20" s="134"/>
      <c r="CK20" s="134"/>
      <c r="CL20" s="138"/>
      <c r="CM20" s="134"/>
      <c r="CN20" s="134"/>
      <c r="CO20" s="134"/>
      <c r="CP20" s="288"/>
      <c r="CQ20" s="289"/>
      <c r="CR20" s="276"/>
      <c r="CS20" s="308"/>
      <c r="CT20" s="138"/>
      <c r="CU20" s="134"/>
      <c r="CV20" s="134"/>
      <c r="CW20" s="134"/>
      <c r="CX20" s="426"/>
      <c r="CY20" s="134"/>
      <c r="CZ20" s="134"/>
      <c r="DA20" s="134"/>
      <c r="DB20" s="300"/>
      <c r="DC20" s="301"/>
      <c r="DD20" s="134"/>
      <c r="DE20" s="134"/>
      <c r="DF20" s="134"/>
      <c r="DG20" s="134"/>
      <c r="DH20" s="134"/>
      <c r="DI20" s="134"/>
      <c r="DJ20" s="134"/>
      <c r="DK20" s="134"/>
      <c r="DL20" s="300"/>
      <c r="DM20" s="301"/>
      <c r="DN20" s="276"/>
      <c r="DO20" s="277"/>
      <c r="DP20" s="134"/>
      <c r="DQ20" s="134"/>
      <c r="DR20" s="134"/>
      <c r="DS20" s="134"/>
      <c r="DT20" s="138"/>
      <c r="DU20" s="134"/>
      <c r="DV20" s="134"/>
      <c r="DW20" s="134"/>
      <c r="DX20" s="301"/>
      <c r="DY20" s="301"/>
      <c r="DZ20" s="138"/>
      <c r="EA20" s="134"/>
      <c r="EB20" s="134"/>
      <c r="EC20" s="134"/>
      <c r="ED20" s="138"/>
      <c r="EE20" s="134"/>
      <c r="EF20" s="134"/>
      <c r="EG20" s="134"/>
      <c r="EH20" s="301"/>
      <c r="EI20" s="301"/>
      <c r="EJ20" s="277"/>
      <c r="EK20" s="134"/>
      <c r="EL20" s="134"/>
      <c r="EM20" s="134"/>
      <c r="EN20" s="134"/>
      <c r="EO20" s="134"/>
      <c r="EP20" s="134"/>
      <c r="EQ20" s="134"/>
      <c r="ER20" s="134"/>
      <c r="ES20" s="301"/>
      <c r="ET20" s="301"/>
      <c r="EU20" s="134"/>
      <c r="EV20" s="134"/>
      <c r="EW20" s="134"/>
      <c r="EX20" s="134"/>
      <c r="EY20" s="134"/>
      <c r="EZ20" s="134"/>
      <c r="FA20" s="134"/>
      <c r="FB20" s="134"/>
      <c r="FC20" s="135"/>
      <c r="FD20" s="135"/>
      <c r="FE20" s="134"/>
      <c r="FF20" s="134"/>
      <c r="FG20" s="134"/>
      <c r="FH20" s="134"/>
      <c r="FI20" s="134"/>
      <c r="FJ20" s="134"/>
      <c r="FK20" s="134"/>
      <c r="FL20" s="134"/>
      <c r="FM20" s="135"/>
      <c r="FN20" s="135"/>
      <c r="FO20" s="134"/>
      <c r="FP20" s="134"/>
      <c r="FQ20" s="134"/>
      <c r="FR20" s="134"/>
      <c r="FS20" s="134"/>
      <c r="FT20" s="134"/>
      <c r="FU20" s="134"/>
      <c r="FV20" s="134"/>
      <c r="FW20" s="135"/>
      <c r="FX20" s="135"/>
      <c r="FY20" s="134"/>
      <c r="FZ20" s="134"/>
      <c r="GA20" s="134"/>
      <c r="GB20" s="134"/>
      <c r="GC20" s="134"/>
      <c r="GD20" s="134"/>
      <c r="GE20" s="134"/>
      <c r="GF20" s="134"/>
      <c r="GG20" s="135"/>
      <c r="GH20" s="135"/>
      <c r="GI20" s="134"/>
      <c r="GJ20" s="134"/>
      <c r="GK20" s="134"/>
      <c r="GL20" s="134"/>
      <c r="GM20" s="134"/>
      <c r="GN20" s="134"/>
      <c r="GO20" s="134"/>
      <c r="GP20" s="134"/>
      <c r="GQ20" s="135"/>
      <c r="GR20" s="135"/>
      <c r="GS20" s="134"/>
      <c r="GT20" s="134"/>
      <c r="GU20" s="134"/>
      <c r="GV20" s="134"/>
      <c r="GW20" s="134"/>
      <c r="GX20" s="134"/>
      <c r="GY20" s="134"/>
      <c r="GZ20" s="134"/>
      <c r="HA20" s="135"/>
      <c r="HB20" s="135"/>
      <c r="HC20" s="134"/>
      <c r="HD20" s="134"/>
      <c r="HE20" s="134"/>
      <c r="HF20" s="134"/>
      <c r="HG20" s="134"/>
      <c r="HH20" s="134"/>
      <c r="HI20" s="134"/>
      <c r="HJ20" s="134"/>
      <c r="HK20" s="135"/>
      <c r="HL20" s="135"/>
      <c r="HM20" s="134"/>
      <c r="HN20" s="134"/>
      <c r="HO20" s="134"/>
      <c r="HP20" s="134"/>
      <c r="HQ20" s="134"/>
      <c r="HR20" s="134"/>
      <c r="HS20" s="134"/>
      <c r="HT20" s="134"/>
      <c r="HU20" s="135"/>
      <c r="HV20" s="135"/>
      <c r="HW20" s="134"/>
      <c r="HX20" s="134"/>
      <c r="HY20" s="134"/>
      <c r="HZ20" s="134"/>
      <c r="IA20" s="134"/>
      <c r="IB20" s="134"/>
      <c r="IC20" s="134"/>
      <c r="ID20" s="134"/>
      <c r="IE20" s="135"/>
      <c r="IF20" s="135"/>
      <c r="IG20" s="134"/>
      <c r="IH20" s="134"/>
      <c r="II20" s="134"/>
      <c r="IJ20" s="134"/>
      <c r="IK20" s="134"/>
      <c r="IL20" s="134"/>
      <c r="IM20" s="134"/>
      <c r="IN20" s="134"/>
      <c r="IO20" s="135"/>
      <c r="IP20" s="135"/>
      <c r="IQ20" s="134"/>
      <c r="IR20" s="134"/>
      <c r="IS20" s="134"/>
      <c r="IT20" s="134"/>
      <c r="IU20" s="134"/>
      <c r="IV20" s="134"/>
      <c r="IW20" s="134"/>
      <c r="IX20" s="134"/>
      <c r="IY20" s="135"/>
      <c r="IZ20" s="135"/>
    </row>
    <row r="21" spans="1:260" customFormat="1" ht="17" customHeight="1">
      <c r="A21" s="79" t="s">
        <v>1092</v>
      </c>
      <c r="B21" s="418">
        <v>86</v>
      </c>
      <c r="C21" s="117"/>
      <c r="D21" s="117">
        <v>20</v>
      </c>
      <c r="E21" s="123" t="s">
        <v>1938</v>
      </c>
      <c r="F21" s="124" t="s">
        <v>2306</v>
      </c>
      <c r="G21" s="125">
        <v>2010</v>
      </c>
      <c r="H21" s="79">
        <v>20403087</v>
      </c>
      <c r="I21" s="79">
        <v>1</v>
      </c>
      <c r="J21" s="126" t="s">
        <v>1827</v>
      </c>
      <c r="K21" s="127"/>
      <c r="L21" s="79">
        <v>0</v>
      </c>
      <c r="M21" s="79"/>
      <c r="N21" s="79">
        <v>0</v>
      </c>
      <c r="O21" s="128">
        <v>2</v>
      </c>
      <c r="P21" s="79" t="s">
        <v>1247</v>
      </c>
      <c r="Q21" s="79" t="s">
        <v>1171</v>
      </c>
      <c r="R21" s="79" t="s">
        <v>1127</v>
      </c>
      <c r="S21" s="79"/>
      <c r="T21" s="79" t="s">
        <v>1495</v>
      </c>
      <c r="U21" s="79" t="s">
        <v>803</v>
      </c>
      <c r="V21" s="79" t="s">
        <v>23</v>
      </c>
      <c r="W21" s="79" t="s">
        <v>1826</v>
      </c>
      <c r="X21" s="79" t="s">
        <v>1245</v>
      </c>
      <c r="Y21" s="79" t="s">
        <v>1246</v>
      </c>
      <c r="Z21" s="79"/>
      <c r="AA21" s="79"/>
      <c r="AB21" s="79" t="s">
        <v>424</v>
      </c>
      <c r="AC21" s="506" t="s">
        <v>6187</v>
      </c>
      <c r="AD21" s="573">
        <v>1</v>
      </c>
      <c r="AE21" s="573">
        <v>1</v>
      </c>
      <c r="AF21" s="154" t="s">
        <v>1917</v>
      </c>
      <c r="AG21" s="155"/>
      <c r="AH21" s="121">
        <v>4</v>
      </c>
      <c r="AI21" s="484"/>
      <c r="AJ21" s="202"/>
      <c r="AK21" s="192"/>
      <c r="AL21" s="203"/>
      <c r="AM21" s="417"/>
      <c r="AN21" s="121"/>
      <c r="AO21" s="121"/>
      <c r="AP21" s="121"/>
      <c r="AQ21" s="121"/>
      <c r="AR21" s="121"/>
      <c r="AS21" s="121"/>
      <c r="AT21" s="121"/>
      <c r="AU21" s="121"/>
      <c r="AV21" s="121"/>
      <c r="AW21" s="121"/>
      <c r="AX21" s="121"/>
      <c r="AY21" s="121"/>
      <c r="AZ21" s="121"/>
      <c r="BA21" s="121"/>
      <c r="BB21" s="121"/>
      <c r="BC21" s="121"/>
      <c r="BD21" s="156" t="s">
        <v>4727</v>
      </c>
      <c r="BE21" s="156"/>
      <c r="BF21" s="156"/>
      <c r="BG21" s="156"/>
      <c r="BH21" s="156"/>
      <c r="BI21" s="156"/>
      <c r="BJ21" s="156"/>
      <c r="BK21" s="156"/>
      <c r="BL21" s="156"/>
      <c r="BM21" s="156"/>
      <c r="BN21" s="156"/>
      <c r="BO21" s="156"/>
      <c r="BP21" s="156"/>
      <c r="BQ21" s="157"/>
      <c r="BR21" s="134"/>
      <c r="BS21" s="134"/>
      <c r="BT21" s="134"/>
      <c r="BU21" s="134"/>
      <c r="BV21" s="134"/>
      <c r="BW21" s="259"/>
      <c r="BX21" s="138"/>
      <c r="BY21" s="134"/>
      <c r="BZ21" s="134"/>
      <c r="CA21" s="134"/>
      <c r="CB21" s="138"/>
      <c r="CC21" s="134"/>
      <c r="CD21" s="134"/>
      <c r="CE21" s="134"/>
      <c r="CF21" s="288"/>
      <c r="CG21" s="289"/>
      <c r="CH21" s="138"/>
      <c r="CI21" s="134"/>
      <c r="CJ21" s="134"/>
      <c r="CK21" s="134"/>
      <c r="CL21" s="138"/>
      <c r="CM21" s="134"/>
      <c r="CN21" s="134"/>
      <c r="CO21" s="134"/>
      <c r="CP21" s="288"/>
      <c r="CQ21" s="289"/>
      <c r="CR21" s="276"/>
      <c r="CS21" s="308"/>
      <c r="CT21" s="138"/>
      <c r="CU21" s="134"/>
      <c r="CV21" s="134"/>
      <c r="CW21" s="134"/>
      <c r="CX21" s="134"/>
      <c r="CY21" s="134"/>
      <c r="CZ21" s="134"/>
      <c r="DA21" s="134"/>
      <c r="DB21" s="300"/>
      <c r="DC21" s="301"/>
      <c r="DD21" s="134"/>
      <c r="DE21" s="134"/>
      <c r="DF21" s="134"/>
      <c r="DG21" s="134"/>
      <c r="DH21" s="134"/>
      <c r="DI21" s="134"/>
      <c r="DJ21" s="134"/>
      <c r="DK21" s="134"/>
      <c r="DL21" s="300"/>
      <c r="DM21" s="301"/>
      <c r="DN21" s="276"/>
      <c r="DO21" s="277"/>
      <c r="DP21" s="134"/>
      <c r="DQ21" s="134"/>
      <c r="DR21" s="134"/>
      <c r="DS21" s="134"/>
      <c r="DT21" s="138"/>
      <c r="DU21" s="134"/>
      <c r="DV21" s="134"/>
      <c r="DW21" s="134"/>
      <c r="DX21" s="301"/>
      <c r="DY21" s="301"/>
      <c r="DZ21" s="138"/>
      <c r="EA21" s="134"/>
      <c r="EB21" s="134"/>
      <c r="EC21" s="134"/>
      <c r="ED21" s="138"/>
      <c r="EE21" s="134"/>
      <c r="EF21" s="134"/>
      <c r="EG21" s="134"/>
      <c r="EH21" s="301"/>
      <c r="EI21" s="301"/>
      <c r="EJ21" s="318"/>
      <c r="EK21" s="134"/>
      <c r="EL21" s="134"/>
      <c r="EM21" s="134"/>
      <c r="EN21" s="134"/>
      <c r="EO21" s="134"/>
      <c r="EP21" s="134"/>
      <c r="EQ21" s="134"/>
      <c r="ER21" s="134"/>
      <c r="ES21" s="301"/>
      <c r="ET21" s="301"/>
      <c r="EU21" s="134"/>
      <c r="EV21" s="134"/>
      <c r="EW21" s="134"/>
      <c r="EX21" s="134"/>
      <c r="EY21" s="134"/>
      <c r="EZ21" s="134"/>
      <c r="FA21" s="134"/>
      <c r="FB21" s="134"/>
      <c r="FC21" s="135"/>
      <c r="FD21" s="135"/>
      <c r="FE21" s="134"/>
      <c r="FF21" s="134"/>
      <c r="FG21" s="134"/>
      <c r="FH21" s="134"/>
      <c r="FI21" s="134"/>
      <c r="FJ21" s="134"/>
      <c r="FK21" s="134"/>
      <c r="FL21" s="134"/>
      <c r="FM21" s="135"/>
      <c r="FN21" s="135"/>
      <c r="FO21" s="134"/>
      <c r="FP21" s="134"/>
      <c r="FQ21" s="134"/>
      <c r="FR21" s="134"/>
      <c r="FS21" s="134"/>
      <c r="FT21" s="134"/>
      <c r="FU21" s="134"/>
      <c r="FV21" s="134"/>
      <c r="FW21" s="135"/>
      <c r="FX21" s="135"/>
      <c r="FY21" s="134"/>
      <c r="FZ21" s="134"/>
      <c r="GA21" s="134"/>
      <c r="GB21" s="134"/>
      <c r="GC21" s="134"/>
      <c r="GD21" s="134"/>
      <c r="GE21" s="134"/>
      <c r="GF21" s="134"/>
      <c r="GG21" s="135"/>
      <c r="GH21" s="135"/>
      <c r="GI21" s="134"/>
      <c r="GJ21" s="134"/>
      <c r="GK21" s="134"/>
      <c r="GL21" s="134"/>
      <c r="GM21" s="134"/>
      <c r="GN21" s="134"/>
      <c r="GO21" s="134"/>
      <c r="GP21" s="134"/>
      <c r="GQ21" s="135"/>
      <c r="GR21" s="135"/>
      <c r="GS21" s="134"/>
      <c r="GT21" s="134"/>
      <c r="GU21" s="134"/>
      <c r="GV21" s="134"/>
      <c r="GW21" s="134"/>
      <c r="GX21" s="134"/>
      <c r="GY21" s="134"/>
      <c r="GZ21" s="134"/>
      <c r="HA21" s="135"/>
      <c r="HB21" s="135"/>
      <c r="HC21" s="134"/>
      <c r="HD21" s="134"/>
      <c r="HE21" s="134"/>
      <c r="HF21" s="134"/>
      <c r="HG21" s="134"/>
      <c r="HH21" s="134"/>
      <c r="HI21" s="134"/>
      <c r="HJ21" s="134"/>
      <c r="HK21" s="135"/>
      <c r="HL21" s="135"/>
      <c r="HM21" s="134"/>
      <c r="HN21" s="134"/>
      <c r="HO21" s="134"/>
      <c r="HP21" s="134"/>
      <c r="HQ21" s="134"/>
      <c r="HR21" s="134"/>
      <c r="HS21" s="134"/>
      <c r="HT21" s="134"/>
      <c r="HU21" s="135"/>
      <c r="HV21" s="135"/>
      <c r="HW21" s="134"/>
      <c r="HX21" s="134"/>
      <c r="HY21" s="134"/>
      <c r="HZ21" s="134"/>
      <c r="IA21" s="134"/>
      <c r="IB21" s="134"/>
      <c r="IC21" s="134"/>
      <c r="ID21" s="134"/>
      <c r="IE21" s="135"/>
      <c r="IF21" s="135"/>
      <c r="IG21" s="134"/>
      <c r="IH21" s="134"/>
      <c r="II21" s="134"/>
      <c r="IJ21" s="134"/>
      <c r="IK21" s="134"/>
      <c r="IL21" s="134"/>
      <c r="IM21" s="134"/>
      <c r="IN21" s="134"/>
      <c r="IO21" s="135"/>
      <c r="IP21" s="135"/>
      <c r="IQ21" s="134"/>
      <c r="IR21" s="134"/>
      <c r="IS21" s="134"/>
      <c r="IT21" s="134"/>
      <c r="IU21" s="134"/>
      <c r="IV21" s="134"/>
      <c r="IW21" s="134"/>
      <c r="IX21" s="134"/>
      <c r="IY21" s="135"/>
      <c r="IZ21" s="135"/>
    </row>
    <row r="22" spans="1:260" s="457" customFormat="1" ht="17" customHeight="1">
      <c r="A22" s="79" t="s">
        <v>1086</v>
      </c>
      <c r="B22" s="418">
        <v>89</v>
      </c>
      <c r="C22" s="117"/>
      <c r="D22" s="117">
        <v>21</v>
      </c>
      <c r="E22" s="123" t="s">
        <v>1938</v>
      </c>
      <c r="F22" s="124" t="s">
        <v>2310</v>
      </c>
      <c r="G22" s="125">
        <v>2006</v>
      </c>
      <c r="H22" s="79">
        <v>16555237</v>
      </c>
      <c r="I22" s="79">
        <v>1</v>
      </c>
      <c r="J22" s="126" t="s">
        <v>1824</v>
      </c>
      <c r="K22" s="127"/>
      <c r="L22" s="79">
        <v>1</v>
      </c>
      <c r="M22" s="79"/>
      <c r="N22" s="79">
        <v>1</v>
      </c>
      <c r="O22" s="128">
        <v>2</v>
      </c>
      <c r="P22" s="79" t="s">
        <v>1263</v>
      </c>
      <c r="Q22" s="79" t="s">
        <v>1264</v>
      </c>
      <c r="R22" s="79" t="s">
        <v>1265</v>
      </c>
      <c r="S22" s="79"/>
      <c r="T22" s="79" t="s">
        <v>1495</v>
      </c>
      <c r="U22" s="79" t="s">
        <v>23</v>
      </c>
      <c r="V22" s="79" t="s">
        <v>23</v>
      </c>
      <c r="W22" s="79" t="s">
        <v>1267</v>
      </c>
      <c r="X22" s="79" t="s">
        <v>1266</v>
      </c>
      <c r="Y22" s="79" t="s">
        <v>13</v>
      </c>
      <c r="Z22" s="79"/>
      <c r="AA22" s="79"/>
      <c r="AB22" s="79"/>
      <c r="AC22" s="506" t="s">
        <v>6188</v>
      </c>
      <c r="AD22" s="573">
        <v>1</v>
      </c>
      <c r="AE22" s="573">
        <v>0</v>
      </c>
      <c r="AF22" s="154"/>
      <c r="AG22" s="155"/>
      <c r="AH22" s="121">
        <v>5</v>
      </c>
      <c r="AI22" s="484"/>
      <c r="AJ22" s="202"/>
      <c r="AK22" s="192"/>
      <c r="AL22" s="203"/>
      <c r="AM22" s="121"/>
      <c r="AN22" s="121"/>
      <c r="AO22" s="121"/>
      <c r="AP22" s="121"/>
      <c r="AQ22" s="121"/>
      <c r="AR22" s="121"/>
      <c r="AS22" s="121"/>
      <c r="AT22" s="121"/>
      <c r="AU22" s="121"/>
      <c r="AV22" s="121"/>
      <c r="AW22" s="121"/>
      <c r="AX22" s="121"/>
      <c r="AY22" s="121"/>
      <c r="AZ22" s="121"/>
      <c r="BA22" s="121"/>
      <c r="BB22" s="121" t="s">
        <v>1917</v>
      </c>
      <c r="BC22" s="121"/>
      <c r="BD22" s="156"/>
      <c r="BE22" s="156" t="s">
        <v>5545</v>
      </c>
      <c r="BF22" s="156"/>
      <c r="BG22" s="156"/>
      <c r="BH22" s="156"/>
      <c r="BI22" s="156"/>
      <c r="BJ22" s="156"/>
      <c r="BK22" s="156"/>
      <c r="BL22" s="156"/>
      <c r="BM22" s="156"/>
      <c r="BN22" s="156"/>
      <c r="BO22" s="156"/>
      <c r="BP22" s="156"/>
      <c r="BQ22" s="157"/>
      <c r="BR22" s="134"/>
      <c r="BS22" s="134"/>
      <c r="BT22" s="134"/>
      <c r="BU22" s="134"/>
      <c r="BV22" s="134"/>
      <c r="BW22" s="259"/>
      <c r="BX22" s="138"/>
      <c r="BY22" s="134"/>
      <c r="BZ22" s="134"/>
      <c r="CA22" s="134"/>
      <c r="CB22" s="138"/>
      <c r="CC22" s="134"/>
      <c r="CD22" s="134"/>
      <c r="CE22" s="134"/>
      <c r="CF22" s="288"/>
      <c r="CG22" s="289"/>
      <c r="CH22" s="138"/>
      <c r="CI22" s="134"/>
      <c r="CJ22" s="134"/>
      <c r="CK22" s="134"/>
      <c r="CL22" s="138"/>
      <c r="CM22" s="134"/>
      <c r="CN22" s="134"/>
      <c r="CO22" s="134"/>
      <c r="CP22" s="288"/>
      <c r="CQ22" s="289"/>
      <c r="CR22" s="276"/>
      <c r="CS22" s="308"/>
      <c r="CT22" s="138"/>
      <c r="CU22" s="134"/>
      <c r="CV22" s="134"/>
      <c r="CW22" s="134"/>
      <c r="CX22" s="134"/>
      <c r="CY22" s="134"/>
      <c r="CZ22" s="134"/>
      <c r="DA22" s="134"/>
      <c r="DB22" s="300"/>
      <c r="DC22" s="301"/>
      <c r="DD22" s="134"/>
      <c r="DE22" s="134"/>
      <c r="DF22" s="134"/>
      <c r="DG22" s="134"/>
      <c r="DH22" s="134"/>
      <c r="DI22" s="134"/>
      <c r="DJ22" s="134"/>
      <c r="DK22" s="134"/>
      <c r="DL22" s="300"/>
      <c r="DM22" s="301"/>
      <c r="DN22" s="276"/>
      <c r="DO22" s="277"/>
      <c r="DP22" s="134"/>
      <c r="DQ22" s="134"/>
      <c r="DR22" s="134"/>
      <c r="DS22" s="134"/>
      <c r="DT22" s="138"/>
      <c r="DU22" s="134"/>
      <c r="DV22" s="134"/>
      <c r="DW22" s="134"/>
      <c r="DX22" s="301"/>
      <c r="DY22" s="301"/>
      <c r="DZ22" s="138"/>
      <c r="EA22" s="134"/>
      <c r="EB22" s="134"/>
      <c r="EC22" s="134"/>
      <c r="ED22" s="138"/>
      <c r="EE22" s="134"/>
      <c r="EF22" s="134"/>
      <c r="EG22" s="134"/>
      <c r="EH22" s="301"/>
      <c r="EI22" s="301"/>
      <c r="EJ22" s="277"/>
      <c r="EK22" s="134"/>
      <c r="EL22" s="134"/>
      <c r="EM22" s="134"/>
      <c r="EN22" s="134"/>
      <c r="EO22" s="134"/>
      <c r="EP22" s="134"/>
      <c r="EQ22" s="134"/>
      <c r="ER22" s="134"/>
      <c r="ES22" s="301"/>
      <c r="ET22" s="301"/>
      <c r="EU22" s="134"/>
      <c r="EV22" s="134"/>
      <c r="EW22" s="134"/>
      <c r="EX22" s="134"/>
      <c r="EY22" s="134"/>
      <c r="EZ22" s="134"/>
      <c r="FA22" s="134"/>
      <c r="FB22" s="134"/>
      <c r="FC22" s="135"/>
      <c r="FD22" s="135"/>
      <c r="FE22" s="134"/>
      <c r="FF22" s="134"/>
      <c r="FG22" s="134"/>
      <c r="FH22" s="134"/>
      <c r="FI22" s="134"/>
      <c r="FJ22" s="134"/>
      <c r="FK22" s="134"/>
      <c r="FL22" s="134"/>
      <c r="FM22" s="135"/>
      <c r="FN22" s="135"/>
      <c r="FO22" s="134"/>
      <c r="FP22" s="134"/>
      <c r="FQ22" s="134"/>
      <c r="FR22" s="134"/>
      <c r="FS22" s="134"/>
      <c r="FT22" s="134"/>
      <c r="FU22" s="134"/>
      <c r="FV22" s="134"/>
      <c r="FW22" s="135"/>
      <c r="FX22" s="135"/>
      <c r="FY22" s="134"/>
      <c r="FZ22" s="134"/>
      <c r="GA22" s="134"/>
      <c r="GB22" s="134"/>
      <c r="GC22" s="134"/>
      <c r="GD22" s="134"/>
      <c r="GE22" s="134"/>
      <c r="GF22" s="134"/>
      <c r="GG22" s="135"/>
      <c r="GH22" s="135"/>
      <c r="GI22" s="134"/>
      <c r="GJ22" s="134"/>
      <c r="GK22" s="134"/>
      <c r="GL22" s="134"/>
      <c r="GM22" s="134"/>
      <c r="GN22" s="134"/>
      <c r="GO22" s="134"/>
      <c r="GP22" s="134"/>
      <c r="GQ22" s="135"/>
      <c r="GR22" s="135"/>
      <c r="GS22" s="134"/>
      <c r="GT22" s="134"/>
      <c r="GU22" s="134"/>
      <c r="GV22" s="134"/>
      <c r="GW22" s="134"/>
      <c r="GX22" s="134"/>
      <c r="GY22" s="134"/>
      <c r="GZ22" s="134"/>
      <c r="HA22" s="135"/>
      <c r="HB22" s="135"/>
      <c r="HC22" s="134"/>
      <c r="HD22" s="134"/>
      <c r="HE22" s="134"/>
      <c r="HF22" s="134"/>
      <c r="HG22" s="134"/>
      <c r="HH22" s="134"/>
      <c r="HI22" s="134"/>
      <c r="HJ22" s="134"/>
      <c r="HK22" s="135"/>
      <c r="HL22" s="135"/>
      <c r="HM22" s="134"/>
      <c r="HN22" s="134"/>
      <c r="HO22" s="134"/>
      <c r="HP22" s="134"/>
      <c r="HQ22" s="134"/>
      <c r="HR22" s="134"/>
      <c r="HS22" s="134"/>
      <c r="HT22" s="134"/>
      <c r="HU22" s="135"/>
      <c r="HV22" s="135"/>
      <c r="HW22" s="134"/>
      <c r="HX22" s="134"/>
      <c r="HY22" s="134"/>
      <c r="HZ22" s="134"/>
      <c r="IA22" s="134"/>
      <c r="IB22" s="134"/>
      <c r="IC22" s="134"/>
      <c r="ID22" s="134"/>
      <c r="IE22" s="135"/>
      <c r="IF22" s="135"/>
      <c r="IG22" s="134"/>
      <c r="IH22" s="134"/>
      <c r="II22" s="134"/>
      <c r="IJ22" s="134"/>
      <c r="IK22" s="134"/>
      <c r="IL22" s="134"/>
      <c r="IM22" s="134"/>
      <c r="IN22" s="134"/>
      <c r="IO22" s="135"/>
      <c r="IP22" s="135"/>
      <c r="IQ22" s="134"/>
      <c r="IR22" s="134"/>
      <c r="IS22" s="134"/>
      <c r="IT22" s="134"/>
      <c r="IU22" s="134"/>
      <c r="IV22" s="134"/>
      <c r="IW22" s="134"/>
      <c r="IX22" s="134"/>
      <c r="IY22" s="135"/>
      <c r="IZ22" s="135"/>
    </row>
    <row r="23" spans="1:260" s="119" customFormat="1" ht="17" customHeight="1">
      <c r="A23" s="79" t="s">
        <v>1084</v>
      </c>
      <c r="B23" s="418">
        <v>90</v>
      </c>
      <c r="C23" s="117"/>
      <c r="D23" s="117">
        <v>22</v>
      </c>
      <c r="E23" s="123" t="s">
        <v>1938</v>
      </c>
      <c r="F23" s="124" t="s">
        <v>2311</v>
      </c>
      <c r="G23" s="125">
        <v>2012</v>
      </c>
      <c r="H23" s="79">
        <v>22713910</v>
      </c>
      <c r="I23" s="79">
        <v>1</v>
      </c>
      <c r="J23" s="126" t="s">
        <v>1827</v>
      </c>
      <c r="K23" s="127"/>
      <c r="L23" s="79">
        <v>0</v>
      </c>
      <c r="M23" s="79"/>
      <c r="N23" s="79">
        <v>0</v>
      </c>
      <c r="O23" s="128">
        <v>2</v>
      </c>
      <c r="P23" s="79" t="s">
        <v>23</v>
      </c>
      <c r="Q23" s="79"/>
      <c r="R23" s="79" t="s">
        <v>1127</v>
      </c>
      <c r="S23" s="79"/>
      <c r="T23" s="79" t="s">
        <v>1505</v>
      </c>
      <c r="U23" s="79" t="s">
        <v>803</v>
      </c>
      <c r="V23" s="79" t="s">
        <v>23</v>
      </c>
      <c r="W23" s="79" t="s">
        <v>1825</v>
      </c>
      <c r="X23" s="79" t="s">
        <v>1272</v>
      </c>
      <c r="Y23" s="79" t="s">
        <v>1270</v>
      </c>
      <c r="Z23" s="79"/>
      <c r="AA23" s="79" t="s">
        <v>1271</v>
      </c>
      <c r="AB23" s="79"/>
      <c r="AC23" s="506" t="s">
        <v>6189</v>
      </c>
      <c r="AD23" s="573">
        <v>1</v>
      </c>
      <c r="AE23" s="573">
        <v>1</v>
      </c>
      <c r="AF23" s="154"/>
      <c r="AG23" s="155"/>
      <c r="AH23" s="121">
        <v>4</v>
      </c>
      <c r="AI23" s="484"/>
      <c r="AJ23" s="202"/>
      <c r="AK23" s="192"/>
      <c r="AL23" s="203"/>
      <c r="AM23" s="121"/>
      <c r="AN23" s="121"/>
      <c r="AO23" s="121"/>
      <c r="AP23" s="121"/>
      <c r="AQ23" s="121"/>
      <c r="AR23" s="121"/>
      <c r="AS23" s="121"/>
      <c r="AT23" s="121"/>
      <c r="AU23" s="121"/>
      <c r="AV23" s="121"/>
      <c r="AW23" s="121"/>
      <c r="AX23" s="121"/>
      <c r="AY23" s="121"/>
      <c r="AZ23" s="121"/>
      <c r="BA23" s="121"/>
      <c r="BB23" s="121"/>
      <c r="BC23" s="121"/>
      <c r="BD23" s="156" t="s">
        <v>4727</v>
      </c>
      <c r="BE23" s="156"/>
      <c r="BF23" s="156"/>
      <c r="BG23" s="156"/>
      <c r="BH23" s="156"/>
      <c r="BI23" s="156"/>
      <c r="BJ23" s="156"/>
      <c r="BK23" s="156"/>
      <c r="BL23" s="156"/>
      <c r="BM23" s="156"/>
      <c r="BN23" s="156"/>
      <c r="BO23" s="156"/>
      <c r="BP23" s="156"/>
      <c r="BQ23" s="157"/>
      <c r="BR23" s="134"/>
      <c r="BS23" s="134"/>
      <c r="BT23" s="134"/>
      <c r="BU23" s="134"/>
      <c r="BV23" s="134"/>
      <c r="BW23" s="259"/>
      <c r="BX23" s="138"/>
      <c r="BY23" s="134"/>
      <c r="BZ23" s="134"/>
      <c r="CA23" s="134"/>
      <c r="CB23" s="138"/>
      <c r="CC23" s="134"/>
      <c r="CD23" s="134"/>
      <c r="CE23" s="134"/>
      <c r="CF23" s="288"/>
      <c r="CG23" s="289"/>
      <c r="CH23" s="138"/>
      <c r="CI23" s="134"/>
      <c r="CJ23" s="134"/>
      <c r="CK23" s="134"/>
      <c r="CL23" s="138"/>
      <c r="CM23" s="134"/>
      <c r="CN23" s="134"/>
      <c r="CO23" s="134"/>
      <c r="CP23" s="288"/>
      <c r="CQ23" s="289"/>
      <c r="CR23" s="276"/>
      <c r="CS23" s="308"/>
      <c r="CT23" s="138"/>
      <c r="CU23" s="134"/>
      <c r="CV23" s="134"/>
      <c r="CW23" s="134"/>
      <c r="CX23" s="426"/>
      <c r="CY23" s="134"/>
      <c r="CZ23" s="134"/>
      <c r="DA23" s="134"/>
      <c r="DB23" s="300"/>
      <c r="DC23" s="301"/>
      <c r="DD23" s="134"/>
      <c r="DE23" s="134"/>
      <c r="DF23" s="134"/>
      <c r="DG23" s="134"/>
      <c r="DH23" s="134"/>
      <c r="DI23" s="134"/>
      <c r="DJ23" s="134"/>
      <c r="DK23" s="134"/>
      <c r="DL23" s="300"/>
      <c r="DM23" s="301"/>
      <c r="DN23" s="276"/>
      <c r="DO23" s="277"/>
      <c r="DP23" s="134"/>
      <c r="DQ23" s="134"/>
      <c r="DR23" s="134"/>
      <c r="DS23" s="134"/>
      <c r="DT23" s="138"/>
      <c r="DU23" s="134"/>
      <c r="DV23" s="134"/>
      <c r="DW23" s="134"/>
      <c r="DX23" s="301"/>
      <c r="DY23" s="301"/>
      <c r="DZ23" s="138"/>
      <c r="EA23" s="134"/>
      <c r="EB23" s="134"/>
      <c r="EC23" s="134"/>
      <c r="ED23" s="138"/>
      <c r="EE23" s="134"/>
      <c r="EF23" s="134"/>
      <c r="EG23" s="134"/>
      <c r="EH23" s="301"/>
      <c r="EI23" s="301"/>
      <c r="EJ23" s="277"/>
      <c r="EK23" s="134"/>
      <c r="EL23" s="134"/>
      <c r="EM23" s="134"/>
      <c r="EN23" s="134"/>
      <c r="EO23" s="134"/>
      <c r="EP23" s="134"/>
      <c r="EQ23" s="134"/>
      <c r="ER23" s="134"/>
      <c r="ES23" s="301"/>
      <c r="ET23" s="301"/>
      <c r="EU23" s="134"/>
      <c r="EV23" s="134"/>
      <c r="EW23" s="134"/>
      <c r="EX23" s="134"/>
      <c r="EY23" s="134"/>
      <c r="EZ23" s="134"/>
      <c r="FA23" s="134"/>
      <c r="FB23" s="134"/>
      <c r="FC23" s="135"/>
      <c r="FD23" s="135"/>
      <c r="FE23" s="134"/>
      <c r="FF23" s="134"/>
      <c r="FG23" s="134"/>
      <c r="FH23" s="134"/>
      <c r="FI23" s="134"/>
      <c r="FJ23" s="134"/>
      <c r="FK23" s="134"/>
      <c r="FL23" s="134"/>
      <c r="FM23" s="135"/>
      <c r="FN23" s="135"/>
      <c r="FO23" s="134"/>
      <c r="FP23" s="134"/>
      <c r="FQ23" s="134"/>
      <c r="FR23" s="134"/>
      <c r="FS23" s="134"/>
      <c r="FT23" s="134"/>
      <c r="FU23" s="134"/>
      <c r="FV23" s="134"/>
      <c r="FW23" s="135"/>
      <c r="FX23" s="135"/>
      <c r="FY23" s="134"/>
      <c r="FZ23" s="134"/>
      <c r="GA23" s="134"/>
      <c r="GB23" s="134"/>
      <c r="GC23" s="134"/>
      <c r="GD23" s="134"/>
      <c r="GE23" s="134"/>
      <c r="GF23" s="134"/>
      <c r="GG23" s="135"/>
      <c r="GH23" s="135"/>
      <c r="GI23" s="134"/>
      <c r="GJ23" s="134"/>
      <c r="GK23" s="134"/>
      <c r="GL23" s="134"/>
      <c r="GM23" s="134"/>
      <c r="GN23" s="134"/>
      <c r="GO23" s="134"/>
      <c r="GP23" s="134"/>
      <c r="GQ23" s="135"/>
      <c r="GR23" s="135"/>
      <c r="GS23" s="134"/>
      <c r="GT23" s="134"/>
      <c r="GU23" s="134"/>
      <c r="GV23" s="134"/>
      <c r="GW23" s="134"/>
      <c r="GX23" s="134"/>
      <c r="GY23" s="134"/>
      <c r="GZ23" s="134"/>
      <c r="HA23" s="135"/>
      <c r="HB23" s="135"/>
      <c r="HC23" s="134"/>
      <c r="HD23" s="134"/>
      <c r="HE23" s="134"/>
      <c r="HF23" s="134"/>
      <c r="HG23" s="134"/>
      <c r="HH23" s="134"/>
      <c r="HI23" s="134"/>
      <c r="HJ23" s="134"/>
      <c r="HK23" s="135"/>
      <c r="HL23" s="135"/>
      <c r="HM23" s="134"/>
      <c r="HN23" s="134"/>
      <c r="HO23" s="134"/>
      <c r="HP23" s="134"/>
      <c r="HQ23" s="134"/>
      <c r="HR23" s="134"/>
      <c r="HS23" s="134"/>
      <c r="HT23" s="134"/>
      <c r="HU23" s="135"/>
      <c r="HV23" s="135"/>
      <c r="HW23" s="134"/>
      <c r="HX23" s="134"/>
      <c r="HY23" s="134"/>
      <c r="HZ23" s="134"/>
      <c r="IA23" s="134"/>
      <c r="IB23" s="134"/>
      <c r="IC23" s="134"/>
      <c r="ID23" s="134"/>
      <c r="IE23" s="135"/>
      <c r="IF23" s="135"/>
      <c r="IG23" s="134"/>
      <c r="IH23" s="134"/>
      <c r="II23" s="134"/>
      <c r="IJ23" s="134"/>
      <c r="IK23" s="134"/>
      <c r="IL23" s="134"/>
      <c r="IM23" s="134"/>
      <c r="IN23" s="134"/>
      <c r="IO23" s="135"/>
      <c r="IP23" s="135"/>
      <c r="IQ23" s="134"/>
      <c r="IR23" s="134"/>
      <c r="IS23" s="134"/>
      <c r="IT23" s="134"/>
      <c r="IU23" s="134"/>
      <c r="IV23" s="134"/>
      <c r="IW23" s="134"/>
      <c r="IX23" s="134"/>
      <c r="IY23" s="135"/>
      <c r="IZ23" s="135"/>
    </row>
    <row r="24" spans="1:260" s="119" customFormat="1" ht="17" customHeight="1">
      <c r="A24" s="79" t="s">
        <v>120</v>
      </c>
      <c r="B24" s="418">
        <v>91</v>
      </c>
      <c r="C24" s="117"/>
      <c r="D24" s="117">
        <v>23</v>
      </c>
      <c r="E24" s="123" t="s">
        <v>1939</v>
      </c>
      <c r="F24" s="124" t="s">
        <v>2158</v>
      </c>
      <c r="G24" s="125">
        <v>2016</v>
      </c>
      <c r="H24" s="79">
        <v>27214523</v>
      </c>
      <c r="I24" s="79">
        <v>1</v>
      </c>
      <c r="J24" s="170" t="s">
        <v>1775</v>
      </c>
      <c r="K24" s="127" t="s">
        <v>1760</v>
      </c>
      <c r="L24" s="164">
        <v>1</v>
      </c>
      <c r="M24" s="79"/>
      <c r="N24" s="79">
        <v>0</v>
      </c>
      <c r="O24" s="128">
        <v>1</v>
      </c>
      <c r="P24" s="79" t="s">
        <v>403</v>
      </c>
      <c r="Q24" s="79" t="s">
        <v>1192</v>
      </c>
      <c r="R24" s="79" t="s">
        <v>405</v>
      </c>
      <c r="S24" s="79">
        <v>1</v>
      </c>
      <c r="T24" s="79"/>
      <c r="U24" s="79"/>
      <c r="V24" s="79"/>
      <c r="W24" s="79" t="s">
        <v>406</v>
      </c>
      <c r="X24" s="79" t="s">
        <v>404</v>
      </c>
      <c r="Y24" s="79"/>
      <c r="Z24" s="79"/>
      <c r="AA24" s="79"/>
      <c r="AB24" s="79" t="s">
        <v>407</v>
      </c>
      <c r="AC24" s="506" t="s">
        <v>6190</v>
      </c>
      <c r="AD24" s="573">
        <v>1</v>
      </c>
      <c r="AE24" s="573">
        <v>0</v>
      </c>
      <c r="AF24" s="154">
        <v>0</v>
      </c>
      <c r="AG24" s="155" t="s">
        <v>6191</v>
      </c>
      <c r="AH24" s="121">
        <v>2</v>
      </c>
      <c r="AI24" s="484"/>
      <c r="AJ24" s="202"/>
      <c r="AK24" s="192"/>
      <c r="AL24" s="203"/>
      <c r="AM24" s="121"/>
      <c r="AN24" s="121"/>
      <c r="AO24" s="121"/>
      <c r="AP24" s="121"/>
      <c r="AQ24" s="121"/>
      <c r="AR24" s="121"/>
      <c r="AS24" s="121"/>
      <c r="AT24" s="121"/>
      <c r="AU24" s="121"/>
      <c r="AV24" s="121"/>
      <c r="AW24" s="121"/>
      <c r="AX24" s="121"/>
      <c r="AY24" s="121"/>
      <c r="AZ24" s="121"/>
      <c r="BA24" s="121"/>
      <c r="BB24" s="121"/>
      <c r="BC24" s="121"/>
      <c r="BD24" s="156"/>
      <c r="BE24" s="156"/>
      <c r="BF24" s="156" t="s">
        <v>5207</v>
      </c>
      <c r="BG24" s="156" t="s">
        <v>6175</v>
      </c>
      <c r="BH24" s="156"/>
      <c r="BI24" s="156"/>
      <c r="BJ24" s="156"/>
      <c r="BK24" s="156"/>
      <c r="BL24" s="156"/>
      <c r="BM24" s="156"/>
      <c r="BN24" s="156"/>
      <c r="BO24" s="156"/>
      <c r="BP24" s="156"/>
      <c r="BQ24" s="157"/>
      <c r="BR24" s="134"/>
      <c r="BS24" s="134"/>
      <c r="BT24" s="134"/>
      <c r="BU24" s="134"/>
      <c r="BV24" s="134"/>
      <c r="BW24" s="259"/>
      <c r="BX24" s="138"/>
      <c r="BY24" s="134"/>
      <c r="BZ24" s="134"/>
      <c r="CA24" s="134"/>
      <c r="CB24" s="138"/>
      <c r="CC24" s="134"/>
      <c r="CD24" s="134"/>
      <c r="CE24" s="134"/>
      <c r="CF24" s="288"/>
      <c r="CG24" s="289"/>
      <c r="CH24" s="138"/>
      <c r="CI24" s="134"/>
      <c r="CJ24" s="134"/>
      <c r="CK24" s="134"/>
      <c r="CL24" s="138"/>
      <c r="CM24" s="134"/>
      <c r="CN24" s="134"/>
      <c r="CO24" s="134"/>
      <c r="CP24" s="288"/>
      <c r="CQ24" s="289"/>
      <c r="CR24" s="276"/>
      <c r="CS24" s="308"/>
      <c r="CT24" s="138"/>
      <c r="CU24" s="134"/>
      <c r="CV24" s="134"/>
      <c r="CW24" s="134"/>
      <c r="CX24" s="134"/>
      <c r="CY24" s="134"/>
      <c r="CZ24" s="134"/>
      <c r="DA24" s="134"/>
      <c r="DB24" s="300"/>
      <c r="DC24" s="301"/>
      <c r="DD24" s="134"/>
      <c r="DE24" s="134"/>
      <c r="DF24" s="134"/>
      <c r="DG24" s="134"/>
      <c r="DH24" s="134"/>
      <c r="DI24" s="134"/>
      <c r="DJ24" s="134"/>
      <c r="DK24" s="134"/>
      <c r="DL24" s="300"/>
      <c r="DM24" s="301"/>
      <c r="DN24" s="276"/>
      <c r="DO24" s="277"/>
      <c r="DP24" s="134"/>
      <c r="DQ24" s="134"/>
      <c r="DR24" s="134"/>
      <c r="DS24" s="134"/>
      <c r="DT24" s="138"/>
      <c r="DU24" s="134"/>
      <c r="DV24" s="134"/>
      <c r="DW24" s="134"/>
      <c r="DX24" s="301"/>
      <c r="DY24" s="301"/>
      <c r="DZ24" s="138"/>
      <c r="EA24" s="134"/>
      <c r="EB24" s="134"/>
      <c r="EC24" s="134"/>
      <c r="ED24" s="138"/>
      <c r="EE24" s="134"/>
      <c r="EF24" s="134"/>
      <c r="EG24" s="134"/>
      <c r="EH24" s="301"/>
      <c r="EI24" s="301"/>
      <c r="EJ24" s="277"/>
      <c r="EK24" s="134"/>
      <c r="EL24" s="134"/>
      <c r="EM24" s="134"/>
      <c r="EN24" s="134"/>
      <c r="EO24" s="134"/>
      <c r="EP24" s="134"/>
      <c r="EQ24" s="134"/>
      <c r="ER24" s="134"/>
      <c r="ES24" s="301"/>
      <c r="ET24" s="301"/>
      <c r="EU24" s="134"/>
      <c r="EV24" s="134"/>
      <c r="EW24" s="134"/>
      <c r="EX24" s="134"/>
      <c r="EY24" s="134"/>
      <c r="EZ24" s="134"/>
      <c r="FA24" s="134"/>
      <c r="FB24" s="134"/>
      <c r="FC24" s="135"/>
      <c r="FD24" s="135"/>
      <c r="FE24" s="134"/>
      <c r="FF24" s="134"/>
      <c r="FG24" s="134"/>
      <c r="FH24" s="134"/>
      <c r="FI24" s="134"/>
      <c r="FJ24" s="134"/>
      <c r="FK24" s="134"/>
      <c r="FL24" s="134"/>
      <c r="FM24" s="135"/>
      <c r="FN24" s="135"/>
      <c r="FO24" s="134"/>
      <c r="FP24" s="134"/>
      <c r="FQ24" s="134"/>
      <c r="FR24" s="134"/>
      <c r="FS24" s="134"/>
      <c r="FT24" s="134"/>
      <c r="FU24" s="134"/>
      <c r="FV24" s="134"/>
      <c r="FW24" s="135"/>
      <c r="FX24" s="135"/>
      <c r="FY24" s="134"/>
      <c r="FZ24" s="134"/>
      <c r="GA24" s="134"/>
      <c r="GB24" s="134"/>
      <c r="GC24" s="134"/>
      <c r="GD24" s="134"/>
      <c r="GE24" s="134"/>
      <c r="GF24" s="134"/>
      <c r="GG24" s="135"/>
      <c r="GH24" s="135"/>
      <c r="GI24" s="134"/>
      <c r="GJ24" s="134"/>
      <c r="GK24" s="134"/>
      <c r="GL24" s="134"/>
      <c r="GM24" s="134"/>
      <c r="GN24" s="134"/>
      <c r="GO24" s="134"/>
      <c r="GP24" s="134"/>
      <c r="GQ24" s="135"/>
      <c r="GR24" s="135"/>
      <c r="GS24" s="134"/>
      <c r="GT24" s="134"/>
      <c r="GU24" s="134"/>
      <c r="GV24" s="134"/>
      <c r="GW24" s="134"/>
      <c r="GX24" s="134"/>
      <c r="GY24" s="134"/>
      <c r="GZ24" s="134"/>
      <c r="HA24" s="135"/>
      <c r="HB24" s="135"/>
      <c r="HC24" s="134"/>
      <c r="HD24" s="134"/>
      <c r="HE24" s="134"/>
      <c r="HF24" s="134"/>
      <c r="HG24" s="134"/>
      <c r="HH24" s="134"/>
      <c r="HI24" s="134"/>
      <c r="HJ24" s="134"/>
      <c r="HK24" s="135"/>
      <c r="HL24" s="135"/>
      <c r="HM24" s="134"/>
      <c r="HN24" s="134"/>
      <c r="HO24" s="134"/>
      <c r="HP24" s="134"/>
      <c r="HQ24" s="134"/>
      <c r="HR24" s="134"/>
      <c r="HS24" s="134"/>
      <c r="HT24" s="134"/>
      <c r="HU24" s="135"/>
      <c r="HV24" s="135"/>
      <c r="HW24" s="134"/>
      <c r="HX24" s="134"/>
      <c r="HY24" s="134"/>
      <c r="HZ24" s="134"/>
      <c r="IA24" s="134"/>
      <c r="IB24" s="134"/>
      <c r="IC24" s="134"/>
      <c r="ID24" s="134"/>
      <c r="IE24" s="135"/>
      <c r="IF24" s="135"/>
      <c r="IG24" s="134"/>
      <c r="IH24" s="134"/>
      <c r="II24" s="134"/>
      <c r="IJ24" s="134"/>
      <c r="IK24" s="134"/>
      <c r="IL24" s="134"/>
      <c r="IM24" s="134"/>
      <c r="IN24" s="134"/>
      <c r="IO24" s="135"/>
      <c r="IP24" s="135"/>
      <c r="IQ24" s="134"/>
      <c r="IR24" s="134"/>
      <c r="IS24" s="134"/>
      <c r="IT24" s="134"/>
      <c r="IU24" s="134"/>
      <c r="IV24" s="134"/>
      <c r="IW24" s="134"/>
      <c r="IX24" s="134"/>
      <c r="IY24" s="135"/>
      <c r="IZ24" s="135"/>
    </row>
    <row r="25" spans="1:260" s="119" customFormat="1" ht="17" customHeight="1">
      <c r="A25" s="79" t="s">
        <v>1082</v>
      </c>
      <c r="B25" s="418">
        <v>92</v>
      </c>
      <c r="C25" s="117"/>
      <c r="D25" s="117">
        <v>24</v>
      </c>
      <c r="E25" s="123" t="s">
        <v>2061</v>
      </c>
      <c r="F25" s="124" t="s">
        <v>2313</v>
      </c>
      <c r="G25" s="125">
        <v>2013</v>
      </c>
      <c r="H25" s="79">
        <v>23011267</v>
      </c>
      <c r="I25" s="79">
        <v>1</v>
      </c>
      <c r="J25" s="126" t="s">
        <v>1836</v>
      </c>
      <c r="K25" s="127"/>
      <c r="L25" s="79">
        <v>0</v>
      </c>
      <c r="M25" s="79"/>
      <c r="N25" s="79">
        <v>0</v>
      </c>
      <c r="O25" s="128">
        <v>2</v>
      </c>
      <c r="P25" s="79" t="s">
        <v>1275</v>
      </c>
      <c r="Q25" s="79" t="s">
        <v>1162</v>
      </c>
      <c r="R25" s="79" t="s">
        <v>1127</v>
      </c>
      <c r="S25" s="79"/>
      <c r="T25" s="79" t="s">
        <v>1500</v>
      </c>
      <c r="U25" s="79"/>
      <c r="V25" s="79"/>
      <c r="W25" s="79" t="s">
        <v>1275</v>
      </c>
      <c r="X25" s="79" t="s">
        <v>1274</v>
      </c>
      <c r="Y25" s="79"/>
      <c r="Z25" s="79"/>
      <c r="AA25" s="79"/>
      <c r="AB25" s="79" t="s">
        <v>1124</v>
      </c>
      <c r="AC25" s="506" t="s">
        <v>6192</v>
      </c>
      <c r="AD25" s="573">
        <v>1</v>
      </c>
      <c r="AE25" s="573">
        <v>1</v>
      </c>
      <c r="AF25" s="154"/>
      <c r="AG25" s="155"/>
      <c r="AH25" s="121">
        <v>4</v>
      </c>
      <c r="AI25" s="484"/>
      <c r="AJ25" s="202"/>
      <c r="AK25" s="192"/>
      <c r="AL25" s="203"/>
      <c r="AM25" s="121"/>
      <c r="AN25" s="121"/>
      <c r="AO25" s="121"/>
      <c r="AP25" s="121"/>
      <c r="AQ25" s="121"/>
      <c r="AR25" s="121"/>
      <c r="AS25" s="121"/>
      <c r="AT25" s="121"/>
      <c r="AU25" s="121"/>
      <c r="AV25" s="121"/>
      <c r="AW25" s="121"/>
      <c r="AX25" s="121"/>
      <c r="AY25" s="121"/>
      <c r="AZ25" s="121"/>
      <c r="BA25" s="121"/>
      <c r="BB25" s="121" t="s">
        <v>1917</v>
      </c>
      <c r="BC25" s="121" t="s">
        <v>1917</v>
      </c>
      <c r="BD25" s="156" t="s">
        <v>4727</v>
      </c>
      <c r="BE25" s="156"/>
      <c r="BF25" s="156"/>
      <c r="BG25" s="156"/>
      <c r="BH25" s="156"/>
      <c r="BI25" s="156"/>
      <c r="BJ25" s="156" t="s">
        <v>5545</v>
      </c>
      <c r="BK25" s="156"/>
      <c r="BL25" s="156"/>
      <c r="BM25" s="156"/>
      <c r="BN25" s="156"/>
      <c r="BO25" s="156"/>
      <c r="BP25" s="156"/>
      <c r="BQ25" s="157"/>
      <c r="BR25" s="134"/>
      <c r="BS25" s="134"/>
      <c r="BT25" s="134"/>
      <c r="BU25" s="134"/>
      <c r="BV25" s="134"/>
      <c r="BW25" s="259"/>
      <c r="BX25" s="138"/>
      <c r="BY25" s="134"/>
      <c r="BZ25" s="134"/>
      <c r="CA25" s="134"/>
      <c r="CB25" s="138"/>
      <c r="CC25" s="134"/>
      <c r="CD25" s="134"/>
      <c r="CE25" s="134"/>
      <c r="CF25" s="288"/>
      <c r="CG25" s="289"/>
      <c r="CH25" s="138"/>
      <c r="CI25" s="134"/>
      <c r="CJ25" s="134"/>
      <c r="CK25" s="134"/>
      <c r="CL25" s="138"/>
      <c r="CM25" s="134"/>
      <c r="CN25" s="134"/>
      <c r="CO25" s="134"/>
      <c r="CP25" s="288"/>
      <c r="CQ25" s="289"/>
      <c r="CR25" s="276"/>
      <c r="CS25" s="308"/>
      <c r="CT25" s="138"/>
      <c r="CU25" s="134"/>
      <c r="CV25" s="134"/>
      <c r="CW25" s="134"/>
      <c r="CX25" s="134"/>
      <c r="CY25" s="134"/>
      <c r="CZ25" s="134"/>
      <c r="DA25" s="134"/>
      <c r="DB25" s="300"/>
      <c r="DC25" s="301"/>
      <c r="DD25" s="134"/>
      <c r="DE25" s="190"/>
      <c r="DF25" s="134"/>
      <c r="DG25" s="134"/>
      <c r="DH25" s="134"/>
      <c r="DI25" s="134"/>
      <c r="DJ25" s="134"/>
      <c r="DK25" s="134"/>
      <c r="DL25" s="300"/>
      <c r="DM25" s="301"/>
      <c r="DN25" s="276"/>
      <c r="DO25" s="277"/>
      <c r="DP25" s="134"/>
      <c r="DQ25" s="134"/>
      <c r="DR25" s="134"/>
      <c r="DS25" s="134"/>
      <c r="DT25" s="138"/>
      <c r="DU25" s="134"/>
      <c r="DV25" s="134"/>
      <c r="DW25" s="134"/>
      <c r="DX25" s="301"/>
      <c r="DY25" s="301"/>
      <c r="DZ25" s="138"/>
      <c r="EA25" s="134"/>
      <c r="EB25" s="134"/>
      <c r="EC25" s="134"/>
      <c r="ED25" s="138"/>
      <c r="EE25" s="134"/>
      <c r="EF25" s="134"/>
      <c r="EG25" s="134"/>
      <c r="EH25" s="301"/>
      <c r="EI25" s="301"/>
      <c r="EJ25" s="277"/>
      <c r="EK25" s="134"/>
      <c r="EL25" s="134"/>
      <c r="EM25" s="134"/>
      <c r="EN25" s="134"/>
      <c r="EO25" s="134"/>
      <c r="EP25" s="134"/>
      <c r="EQ25" s="134"/>
      <c r="ER25" s="134"/>
      <c r="ES25" s="301"/>
      <c r="ET25" s="301"/>
      <c r="EU25" s="134"/>
      <c r="EV25" s="134"/>
      <c r="EW25" s="134"/>
      <c r="EX25" s="134"/>
      <c r="EY25" s="134"/>
      <c r="EZ25" s="134"/>
      <c r="FA25" s="134"/>
      <c r="FB25" s="134"/>
      <c r="FC25" s="135"/>
      <c r="FD25" s="135"/>
      <c r="FE25" s="134"/>
      <c r="FF25" s="134"/>
      <c r="FG25" s="134"/>
      <c r="FH25" s="134"/>
      <c r="FI25" s="134"/>
      <c r="FJ25" s="134"/>
      <c r="FK25" s="134"/>
      <c r="FL25" s="134"/>
      <c r="FM25" s="135"/>
      <c r="FN25" s="135"/>
      <c r="FO25" s="134"/>
      <c r="FP25" s="134"/>
      <c r="FQ25" s="134"/>
      <c r="FR25" s="134"/>
      <c r="FS25" s="134"/>
      <c r="FT25" s="134"/>
      <c r="FU25" s="134"/>
      <c r="FV25" s="134"/>
      <c r="FW25" s="135"/>
      <c r="FX25" s="135"/>
      <c r="FY25" s="134"/>
      <c r="FZ25" s="134"/>
      <c r="GA25" s="134"/>
      <c r="GB25" s="134"/>
      <c r="GC25" s="134"/>
      <c r="GD25" s="134"/>
      <c r="GE25" s="134"/>
      <c r="GF25" s="134"/>
      <c r="GG25" s="135"/>
      <c r="GH25" s="135"/>
      <c r="GI25" s="134"/>
      <c r="GJ25" s="134"/>
      <c r="GK25" s="134"/>
      <c r="GL25" s="134"/>
      <c r="GM25" s="134"/>
      <c r="GN25" s="134"/>
      <c r="GO25" s="134"/>
      <c r="GP25" s="134"/>
      <c r="GQ25" s="135"/>
      <c r="GR25" s="135"/>
      <c r="GS25" s="134"/>
      <c r="GT25" s="134"/>
      <c r="GU25" s="134"/>
      <c r="GV25" s="134"/>
      <c r="GW25" s="134"/>
      <c r="GX25" s="134"/>
      <c r="GY25" s="134"/>
      <c r="GZ25" s="134"/>
      <c r="HA25" s="135"/>
      <c r="HB25" s="135"/>
      <c r="HC25" s="134"/>
      <c r="HD25" s="134"/>
      <c r="HE25" s="134"/>
      <c r="HF25" s="134"/>
      <c r="HG25" s="134"/>
      <c r="HH25" s="134"/>
      <c r="HI25" s="134"/>
      <c r="HJ25" s="134"/>
      <c r="HK25" s="135"/>
      <c r="HL25" s="135"/>
      <c r="HM25" s="134"/>
      <c r="HN25" s="134"/>
      <c r="HO25" s="134"/>
      <c r="HP25" s="134"/>
      <c r="HQ25" s="134"/>
      <c r="HR25" s="134"/>
      <c r="HS25" s="134"/>
      <c r="HT25" s="134"/>
      <c r="HU25" s="135"/>
      <c r="HV25" s="135"/>
      <c r="HW25" s="134"/>
      <c r="HX25" s="134"/>
      <c r="HY25" s="134"/>
      <c r="HZ25" s="134"/>
      <c r="IA25" s="134"/>
      <c r="IB25" s="134"/>
      <c r="IC25" s="134"/>
      <c r="ID25" s="134"/>
      <c r="IE25" s="135"/>
      <c r="IF25" s="135"/>
      <c r="IG25" s="134"/>
      <c r="IH25" s="134"/>
      <c r="II25" s="134"/>
      <c r="IJ25" s="134"/>
      <c r="IK25" s="134"/>
      <c r="IL25" s="134"/>
      <c r="IM25" s="134"/>
      <c r="IN25" s="134"/>
      <c r="IO25" s="135"/>
      <c r="IP25" s="135"/>
      <c r="IQ25" s="134"/>
      <c r="IR25" s="134"/>
      <c r="IS25" s="134"/>
      <c r="IT25" s="134"/>
      <c r="IU25" s="134"/>
      <c r="IV25" s="134"/>
      <c r="IW25" s="134"/>
      <c r="IX25" s="134"/>
      <c r="IY25" s="135"/>
      <c r="IZ25" s="135"/>
    </row>
    <row r="26" spans="1:260" s="119" customFormat="1" ht="17" customHeight="1">
      <c r="A26" s="79" t="s">
        <v>123</v>
      </c>
      <c r="B26" s="418">
        <v>94</v>
      </c>
      <c r="C26" s="117"/>
      <c r="D26" s="117">
        <v>25</v>
      </c>
      <c r="E26" s="123" t="s">
        <v>1941</v>
      </c>
      <c r="F26" s="124" t="s">
        <v>2160</v>
      </c>
      <c r="G26" s="125">
        <v>2014</v>
      </c>
      <c r="H26" s="79">
        <v>24724093</v>
      </c>
      <c r="I26" s="79">
        <v>1</v>
      </c>
      <c r="J26" s="126"/>
      <c r="K26" s="127"/>
      <c r="L26" s="79">
        <v>1</v>
      </c>
      <c r="M26" s="79"/>
      <c r="N26" s="79">
        <v>1</v>
      </c>
      <c r="O26" s="128">
        <v>1</v>
      </c>
      <c r="P26" s="79" t="s">
        <v>411</v>
      </c>
      <c r="Q26" s="79" t="s">
        <v>1192</v>
      </c>
      <c r="R26" s="79" t="s">
        <v>412</v>
      </c>
      <c r="S26" s="79">
        <v>1</v>
      </c>
      <c r="T26" s="79"/>
      <c r="U26" s="79"/>
      <c r="V26" s="79"/>
      <c r="W26" s="79" t="s">
        <v>1155</v>
      </c>
      <c r="X26" s="79" t="s">
        <v>56</v>
      </c>
      <c r="Y26" s="79"/>
      <c r="Z26" s="79"/>
      <c r="AA26" s="79"/>
      <c r="AB26" s="79"/>
      <c r="AC26" s="506" t="s">
        <v>6193</v>
      </c>
      <c r="AD26" s="573">
        <v>1</v>
      </c>
      <c r="AE26" s="573">
        <v>0</v>
      </c>
      <c r="AF26" s="154"/>
      <c r="AG26" s="155"/>
      <c r="AH26" s="121"/>
      <c r="AI26" s="484"/>
      <c r="AJ26" s="202"/>
      <c r="AK26" s="192"/>
      <c r="AL26" s="203"/>
      <c r="AM26" s="121"/>
      <c r="AN26" s="121"/>
      <c r="AO26" s="121"/>
      <c r="AP26" s="121"/>
      <c r="AQ26" s="121"/>
      <c r="AR26" s="121"/>
      <c r="AS26" s="121"/>
      <c r="AT26" s="121"/>
      <c r="AU26" s="121"/>
      <c r="AV26" s="121"/>
      <c r="AW26" s="121"/>
      <c r="AX26" s="121"/>
      <c r="AY26" s="121"/>
      <c r="AZ26" s="121"/>
      <c r="BA26" s="121"/>
      <c r="BB26" s="121"/>
      <c r="BC26" s="121"/>
      <c r="BD26" s="156"/>
      <c r="BE26" s="156"/>
      <c r="BF26" s="156" t="s">
        <v>5207</v>
      </c>
      <c r="BG26" s="156" t="s">
        <v>6175</v>
      </c>
      <c r="BH26" s="156"/>
      <c r="BI26" s="156"/>
      <c r="BJ26" s="156"/>
      <c r="BK26" s="156"/>
      <c r="BL26" s="156"/>
      <c r="BM26" s="156"/>
      <c r="BN26" s="156"/>
      <c r="BO26" s="156"/>
      <c r="BP26" s="156"/>
      <c r="BQ26" s="157"/>
      <c r="BR26" s="134"/>
      <c r="BS26" s="134"/>
      <c r="BT26" s="134"/>
      <c r="BU26" s="134"/>
      <c r="BV26" s="134"/>
      <c r="BW26" s="259"/>
      <c r="BX26" s="138"/>
      <c r="BY26" s="134"/>
      <c r="BZ26" s="134"/>
      <c r="CA26" s="134"/>
      <c r="CB26" s="138"/>
      <c r="CC26" s="134"/>
      <c r="CD26" s="134"/>
      <c r="CE26" s="134"/>
      <c r="CF26" s="288"/>
      <c r="CG26" s="289"/>
      <c r="CH26" s="138"/>
      <c r="CI26" s="134"/>
      <c r="CJ26" s="134"/>
      <c r="CK26" s="134"/>
      <c r="CL26" s="138"/>
      <c r="CM26" s="134"/>
      <c r="CN26" s="134"/>
      <c r="CO26" s="134"/>
      <c r="CP26" s="288"/>
      <c r="CQ26" s="289"/>
      <c r="CR26" s="276"/>
      <c r="CS26" s="308"/>
      <c r="CT26" s="430"/>
      <c r="CU26" s="426"/>
      <c r="CV26" s="426"/>
      <c r="CW26" s="426"/>
      <c r="CX26" s="426"/>
      <c r="CY26" s="426"/>
      <c r="CZ26" s="426"/>
      <c r="DA26" s="426"/>
      <c r="DB26" s="300"/>
      <c r="DC26" s="301"/>
      <c r="DD26" s="426"/>
      <c r="DE26" s="426"/>
      <c r="DF26" s="426"/>
      <c r="DG26" s="426"/>
      <c r="DH26" s="426"/>
      <c r="DI26" s="426"/>
      <c r="DJ26" s="426"/>
      <c r="DK26" s="426"/>
      <c r="DL26" s="300"/>
      <c r="DM26" s="301"/>
      <c r="DN26" s="276"/>
      <c r="DO26" s="277"/>
      <c r="DP26" s="134"/>
      <c r="DQ26" s="134"/>
      <c r="DR26" s="134"/>
      <c r="DS26" s="134"/>
      <c r="DT26" s="138"/>
      <c r="DU26" s="134"/>
      <c r="DV26" s="134"/>
      <c r="DW26" s="134"/>
      <c r="DX26" s="301"/>
      <c r="DY26" s="301"/>
      <c r="DZ26" s="138"/>
      <c r="EA26" s="134"/>
      <c r="EB26" s="134"/>
      <c r="EC26" s="134"/>
      <c r="ED26" s="138"/>
      <c r="EE26" s="134"/>
      <c r="EF26" s="134"/>
      <c r="EG26" s="134"/>
      <c r="EH26" s="301"/>
      <c r="EI26" s="301"/>
      <c r="EJ26" s="277"/>
      <c r="EK26" s="134"/>
      <c r="EL26" s="134"/>
      <c r="EM26" s="134"/>
      <c r="EN26" s="134"/>
      <c r="EO26" s="134"/>
      <c r="EP26" s="134"/>
      <c r="EQ26" s="134"/>
      <c r="ER26" s="134"/>
      <c r="ES26" s="301"/>
      <c r="ET26" s="301"/>
      <c r="EU26" s="134"/>
      <c r="EV26" s="134"/>
      <c r="EW26" s="134"/>
      <c r="EX26" s="134"/>
      <c r="EY26" s="134"/>
      <c r="EZ26" s="134"/>
      <c r="FA26" s="134"/>
      <c r="FB26" s="134"/>
      <c r="FC26" s="135"/>
      <c r="FD26" s="135"/>
      <c r="FE26" s="134"/>
      <c r="FF26" s="134"/>
      <c r="FG26" s="134"/>
      <c r="FH26" s="134"/>
      <c r="FI26" s="134"/>
      <c r="FJ26" s="134"/>
      <c r="FK26" s="134"/>
      <c r="FL26" s="134"/>
      <c r="FM26" s="135"/>
      <c r="FN26" s="135"/>
      <c r="FO26" s="134"/>
      <c r="FP26" s="134"/>
      <c r="FQ26" s="134"/>
      <c r="FR26" s="134"/>
      <c r="FS26" s="134"/>
      <c r="FT26" s="134"/>
      <c r="FU26" s="134"/>
      <c r="FV26" s="134"/>
      <c r="FW26" s="135"/>
      <c r="FX26" s="135"/>
      <c r="FY26" s="134"/>
      <c r="FZ26" s="134"/>
      <c r="GA26" s="134"/>
      <c r="GB26" s="134"/>
      <c r="GC26" s="134"/>
      <c r="GD26" s="134"/>
      <c r="GE26" s="134"/>
      <c r="GF26" s="134"/>
      <c r="GG26" s="135"/>
      <c r="GH26" s="135"/>
      <c r="GI26" s="134"/>
      <c r="GJ26" s="134"/>
      <c r="GK26" s="134"/>
      <c r="GL26" s="134"/>
      <c r="GM26" s="134"/>
      <c r="GN26" s="134"/>
      <c r="GO26" s="134"/>
      <c r="GP26" s="134"/>
      <c r="GQ26" s="135"/>
      <c r="GR26" s="135"/>
      <c r="GS26" s="134"/>
      <c r="GT26" s="134"/>
      <c r="GU26" s="134"/>
      <c r="GV26" s="134"/>
      <c r="GW26" s="134"/>
      <c r="GX26" s="134"/>
      <c r="GY26" s="134"/>
      <c r="GZ26" s="134"/>
      <c r="HA26" s="135"/>
      <c r="HB26" s="135"/>
      <c r="HC26" s="134"/>
      <c r="HD26" s="134"/>
      <c r="HE26" s="134"/>
      <c r="HF26" s="134"/>
      <c r="HG26" s="134"/>
      <c r="HH26" s="134"/>
      <c r="HI26" s="134"/>
      <c r="HJ26" s="134"/>
      <c r="HK26" s="135"/>
      <c r="HL26" s="135"/>
      <c r="HM26" s="134"/>
      <c r="HN26" s="134"/>
      <c r="HO26" s="134"/>
      <c r="HP26" s="134"/>
      <c r="HQ26" s="134"/>
      <c r="HR26" s="134"/>
      <c r="HS26" s="134"/>
      <c r="HT26" s="134"/>
      <c r="HU26" s="135"/>
      <c r="HV26" s="135"/>
      <c r="HW26" s="134"/>
      <c r="HX26" s="134"/>
      <c r="HY26" s="134"/>
      <c r="HZ26" s="134"/>
      <c r="IA26" s="134"/>
      <c r="IB26" s="134"/>
      <c r="IC26" s="134"/>
      <c r="ID26" s="134"/>
      <c r="IE26" s="135"/>
      <c r="IF26" s="135"/>
      <c r="IG26" s="134"/>
      <c r="IH26" s="134"/>
      <c r="II26" s="134"/>
      <c r="IJ26" s="134"/>
      <c r="IK26" s="134"/>
      <c r="IL26" s="134"/>
      <c r="IM26" s="134"/>
      <c r="IN26" s="134"/>
      <c r="IO26" s="135"/>
      <c r="IP26" s="135"/>
      <c r="IQ26" s="134"/>
      <c r="IR26" s="134"/>
      <c r="IS26" s="134"/>
      <c r="IT26" s="134"/>
      <c r="IU26" s="134"/>
      <c r="IV26" s="134"/>
      <c r="IW26" s="134"/>
      <c r="IX26" s="134"/>
      <c r="IY26" s="135"/>
      <c r="IZ26" s="135"/>
    </row>
    <row r="27" spans="1:260" s="119" customFormat="1" ht="17" customHeight="1">
      <c r="A27" s="79" t="s">
        <v>125</v>
      </c>
      <c r="B27" s="418">
        <v>96</v>
      </c>
      <c r="C27" s="117"/>
      <c r="D27" s="117">
        <v>26</v>
      </c>
      <c r="E27" s="123" t="s">
        <v>1942</v>
      </c>
      <c r="F27" s="124" t="s">
        <v>2161</v>
      </c>
      <c r="G27" s="125">
        <v>2012</v>
      </c>
      <c r="H27" s="79">
        <v>22950039</v>
      </c>
      <c r="I27" s="79">
        <v>1</v>
      </c>
      <c r="J27" s="126"/>
      <c r="K27" s="127"/>
      <c r="L27" s="79">
        <v>1</v>
      </c>
      <c r="M27" s="79"/>
      <c r="N27" s="79">
        <v>1</v>
      </c>
      <c r="O27" s="128">
        <v>1</v>
      </c>
      <c r="P27" s="79" t="s">
        <v>414</v>
      </c>
      <c r="Q27" s="79" t="s">
        <v>1149</v>
      </c>
      <c r="R27" s="79" t="s">
        <v>20</v>
      </c>
      <c r="S27" s="79">
        <v>1</v>
      </c>
      <c r="T27" s="79"/>
      <c r="U27" s="79"/>
      <c r="V27" s="79"/>
      <c r="W27" s="79" t="s">
        <v>415</v>
      </c>
      <c r="X27" s="79"/>
      <c r="Y27" s="79"/>
      <c r="Z27" s="79"/>
      <c r="AA27" s="79"/>
      <c r="AB27" s="79"/>
      <c r="AC27" s="506" t="s">
        <v>6194</v>
      </c>
      <c r="AD27" s="573">
        <v>1</v>
      </c>
      <c r="AE27" s="573">
        <v>0</v>
      </c>
      <c r="AF27" s="154"/>
      <c r="AG27" s="155"/>
      <c r="AH27" s="121">
        <v>2</v>
      </c>
      <c r="AI27" s="484"/>
      <c r="AJ27" s="202"/>
      <c r="AK27" s="192"/>
      <c r="AL27" s="203"/>
      <c r="AM27" s="121"/>
      <c r="AN27" s="121"/>
      <c r="AO27" s="121"/>
      <c r="AP27" s="121"/>
      <c r="AQ27" s="121"/>
      <c r="AR27" s="121"/>
      <c r="AS27" s="121"/>
      <c r="AT27" s="121"/>
      <c r="AU27" s="121"/>
      <c r="AV27" s="121"/>
      <c r="AW27" s="121"/>
      <c r="AX27" s="121"/>
      <c r="AY27" s="121"/>
      <c r="AZ27" s="121"/>
      <c r="BA27" s="121"/>
      <c r="BB27" s="121"/>
      <c r="BC27" s="121"/>
      <c r="BD27" s="156"/>
      <c r="BE27" s="156"/>
      <c r="BF27" s="156" t="s">
        <v>5207</v>
      </c>
      <c r="BG27" s="156"/>
      <c r="BH27" s="156"/>
      <c r="BI27" s="156"/>
      <c r="BJ27" s="156"/>
      <c r="BK27" s="156"/>
      <c r="BL27" s="156" t="s">
        <v>5207</v>
      </c>
      <c r="BM27" s="156"/>
      <c r="BN27" s="156"/>
      <c r="BO27" s="156"/>
      <c r="BP27" s="156"/>
      <c r="BQ27" s="157"/>
      <c r="BR27" s="134"/>
      <c r="BS27" s="134"/>
      <c r="BT27" s="134"/>
      <c r="BU27" s="134"/>
      <c r="BV27" s="134"/>
      <c r="BW27" s="259"/>
      <c r="BX27" s="138"/>
      <c r="BY27" s="134"/>
      <c r="BZ27" s="134"/>
      <c r="CA27" s="134"/>
      <c r="CB27" s="138"/>
      <c r="CC27" s="134"/>
      <c r="CD27" s="134"/>
      <c r="CE27" s="134"/>
      <c r="CF27" s="288"/>
      <c r="CG27" s="289"/>
      <c r="CH27" s="138"/>
      <c r="CI27" s="134"/>
      <c r="CJ27" s="134"/>
      <c r="CK27" s="134"/>
      <c r="CL27" s="430"/>
      <c r="CM27" s="134"/>
      <c r="CN27" s="134"/>
      <c r="CO27" s="134"/>
      <c r="CP27" s="288"/>
      <c r="CQ27" s="289"/>
      <c r="CR27" s="276"/>
      <c r="CS27" s="308"/>
      <c r="CT27" s="430"/>
      <c r="CU27" s="134"/>
      <c r="CV27" s="134"/>
      <c r="CW27" s="134"/>
      <c r="CX27" s="426"/>
      <c r="CY27" s="134"/>
      <c r="CZ27" s="134"/>
      <c r="DA27" s="134"/>
      <c r="DB27" s="300"/>
      <c r="DC27" s="301"/>
      <c r="DD27" s="134"/>
      <c r="DE27" s="134"/>
      <c r="DF27" s="134"/>
      <c r="DG27" s="134"/>
      <c r="DH27" s="134"/>
      <c r="DI27" s="134"/>
      <c r="DJ27" s="134"/>
      <c r="DK27" s="134"/>
      <c r="DL27" s="300"/>
      <c r="DM27" s="301"/>
      <c r="DN27" s="276"/>
      <c r="DO27" s="277"/>
      <c r="DP27" s="134"/>
      <c r="DQ27" s="134"/>
      <c r="DR27" s="190"/>
      <c r="DS27" s="190"/>
      <c r="DT27" s="138"/>
      <c r="DU27" s="134"/>
      <c r="DV27" s="190"/>
      <c r="DW27" s="134"/>
      <c r="DX27" s="301"/>
      <c r="DY27" s="301"/>
      <c r="DZ27" s="138"/>
      <c r="EA27" s="134"/>
      <c r="EB27" s="134"/>
      <c r="EC27" s="134"/>
      <c r="ED27" s="138"/>
      <c r="EE27" s="134"/>
      <c r="EF27" s="134"/>
      <c r="EG27" s="134"/>
      <c r="EH27" s="301"/>
      <c r="EI27" s="301"/>
      <c r="EJ27" s="277"/>
      <c r="EK27" s="134"/>
      <c r="EL27" s="134"/>
      <c r="EM27" s="134"/>
      <c r="EN27" s="134"/>
      <c r="EO27" s="134"/>
      <c r="EP27" s="134"/>
      <c r="EQ27" s="134"/>
      <c r="ER27" s="134"/>
      <c r="ES27" s="301"/>
      <c r="ET27" s="301"/>
      <c r="EU27" s="134"/>
      <c r="EV27" s="134"/>
      <c r="EW27" s="134"/>
      <c r="EX27" s="134"/>
      <c r="EY27" s="134"/>
      <c r="EZ27" s="134"/>
      <c r="FA27" s="134"/>
      <c r="FB27" s="134"/>
      <c r="FC27" s="135"/>
      <c r="FD27" s="135"/>
      <c r="FE27" s="134"/>
      <c r="FF27" s="134"/>
      <c r="FG27" s="134"/>
      <c r="FH27" s="134"/>
      <c r="FI27" s="134"/>
      <c r="FJ27" s="134"/>
      <c r="FK27" s="134"/>
      <c r="FL27" s="134"/>
      <c r="FM27" s="135"/>
      <c r="FN27" s="135"/>
      <c r="FO27" s="134"/>
      <c r="FP27" s="134"/>
      <c r="FQ27" s="134"/>
      <c r="FR27" s="134"/>
      <c r="FS27" s="134"/>
      <c r="FT27" s="134"/>
      <c r="FU27" s="134"/>
      <c r="FV27" s="134"/>
      <c r="FW27" s="135"/>
      <c r="FX27" s="135"/>
      <c r="FY27" s="134"/>
      <c r="FZ27" s="134"/>
      <c r="GA27" s="134"/>
      <c r="GB27" s="134"/>
      <c r="GC27" s="134"/>
      <c r="GD27" s="134"/>
      <c r="GE27" s="134"/>
      <c r="GF27" s="134"/>
      <c r="GG27" s="135"/>
      <c r="GH27" s="135"/>
      <c r="GI27" s="134"/>
      <c r="GJ27" s="134"/>
      <c r="GK27" s="134"/>
      <c r="GL27" s="134"/>
      <c r="GM27" s="134"/>
      <c r="GN27" s="134"/>
      <c r="GO27" s="134"/>
      <c r="GP27" s="134"/>
      <c r="GQ27" s="135"/>
      <c r="GR27" s="135"/>
      <c r="GS27" s="134"/>
      <c r="GT27" s="134"/>
      <c r="GU27" s="134"/>
      <c r="GV27" s="134"/>
      <c r="GW27" s="134"/>
      <c r="GX27" s="134"/>
      <c r="GY27" s="134"/>
      <c r="GZ27" s="134"/>
      <c r="HA27" s="135"/>
      <c r="HB27" s="135"/>
      <c r="HC27" s="134"/>
      <c r="HD27" s="134"/>
      <c r="HE27" s="134"/>
      <c r="HF27" s="134"/>
      <c r="HG27" s="134"/>
      <c r="HH27" s="134"/>
      <c r="HI27" s="134"/>
      <c r="HJ27" s="134"/>
      <c r="HK27" s="135"/>
      <c r="HL27" s="135"/>
      <c r="HM27" s="134"/>
      <c r="HN27" s="134"/>
      <c r="HO27" s="134"/>
      <c r="HP27" s="134"/>
      <c r="HQ27" s="134"/>
      <c r="HR27" s="134"/>
      <c r="HS27" s="134"/>
      <c r="HT27" s="134"/>
      <c r="HU27" s="135"/>
      <c r="HV27" s="135"/>
      <c r="HW27" s="134"/>
      <c r="HX27" s="134"/>
      <c r="HY27" s="134"/>
      <c r="HZ27" s="134"/>
      <c r="IA27" s="134"/>
      <c r="IB27" s="134"/>
      <c r="IC27" s="134"/>
      <c r="ID27" s="134"/>
      <c r="IE27" s="135"/>
      <c r="IF27" s="135"/>
      <c r="IG27" s="134"/>
      <c r="IH27" s="134"/>
      <c r="II27" s="134"/>
      <c r="IJ27" s="134"/>
      <c r="IK27" s="134"/>
      <c r="IL27" s="134"/>
      <c r="IM27" s="134"/>
      <c r="IN27" s="134"/>
      <c r="IO27" s="135"/>
      <c r="IP27" s="135"/>
      <c r="IQ27" s="134"/>
      <c r="IR27" s="134"/>
      <c r="IS27" s="134"/>
      <c r="IT27" s="134"/>
      <c r="IU27" s="134"/>
      <c r="IV27" s="134"/>
      <c r="IW27" s="134"/>
      <c r="IX27" s="134"/>
      <c r="IY27" s="135"/>
      <c r="IZ27" s="135"/>
    </row>
    <row r="28" spans="1:260" customFormat="1" ht="17" customHeight="1">
      <c r="A28" s="79" t="s">
        <v>128</v>
      </c>
      <c r="B28" s="418">
        <v>97</v>
      </c>
      <c r="C28" s="117"/>
      <c r="D28" s="117">
        <v>27</v>
      </c>
      <c r="E28" s="123" t="s">
        <v>1944</v>
      </c>
      <c r="F28" s="124" t="s">
        <v>2163</v>
      </c>
      <c r="G28" s="125">
        <v>2005</v>
      </c>
      <c r="H28" s="79">
        <v>15993948</v>
      </c>
      <c r="I28" s="79">
        <v>1</v>
      </c>
      <c r="J28" s="126"/>
      <c r="K28" s="127"/>
      <c r="L28" s="79">
        <v>1</v>
      </c>
      <c r="M28" s="79"/>
      <c r="N28" s="79">
        <v>1</v>
      </c>
      <c r="O28" s="128">
        <v>1</v>
      </c>
      <c r="P28" s="79" t="s">
        <v>418</v>
      </c>
      <c r="Q28" s="79" t="s">
        <v>1150</v>
      </c>
      <c r="R28" s="79" t="s">
        <v>25</v>
      </c>
      <c r="S28" s="79">
        <v>1</v>
      </c>
      <c r="T28" s="79"/>
      <c r="U28" s="79"/>
      <c r="V28" s="79"/>
      <c r="W28" s="79" t="s">
        <v>419</v>
      </c>
      <c r="X28" s="79"/>
      <c r="Y28" s="79"/>
      <c r="Z28" s="79"/>
      <c r="AA28" s="79"/>
      <c r="AB28" s="79"/>
      <c r="AC28" s="506" t="s">
        <v>6196</v>
      </c>
      <c r="AD28" s="573">
        <v>1</v>
      </c>
      <c r="AE28" s="573">
        <v>0</v>
      </c>
      <c r="AF28" s="154" t="s">
        <v>3003</v>
      </c>
      <c r="AG28" s="155" t="s">
        <v>6195</v>
      </c>
      <c r="AH28" s="121">
        <v>2</v>
      </c>
      <c r="AI28" s="484"/>
      <c r="AJ28" s="202"/>
      <c r="AK28" s="192"/>
      <c r="AL28" s="203"/>
      <c r="AM28" s="121"/>
      <c r="AN28" s="121"/>
      <c r="AO28" s="121"/>
      <c r="AP28" s="121"/>
      <c r="AQ28" s="121"/>
      <c r="AR28" s="121"/>
      <c r="AS28" s="417"/>
      <c r="AT28" s="121"/>
      <c r="AU28" s="121"/>
      <c r="AV28" s="121"/>
      <c r="AW28" s="121"/>
      <c r="AX28" s="121"/>
      <c r="AY28" s="121"/>
      <c r="AZ28" s="121"/>
      <c r="BA28" s="121"/>
      <c r="BB28" s="121"/>
      <c r="BC28" s="121" t="s">
        <v>6186</v>
      </c>
      <c r="BD28" s="156"/>
      <c r="BE28" s="156"/>
      <c r="BF28" s="156"/>
      <c r="BG28" s="156"/>
      <c r="BH28" s="156"/>
      <c r="BI28" s="156"/>
      <c r="BJ28" s="156"/>
      <c r="BK28" s="156"/>
      <c r="BL28" s="156"/>
      <c r="BM28" s="156" t="s">
        <v>5545</v>
      </c>
      <c r="BN28" s="156"/>
      <c r="BO28" s="156"/>
      <c r="BP28" s="156"/>
      <c r="BQ28" s="157"/>
      <c r="BR28" s="134"/>
      <c r="BS28" s="134"/>
      <c r="BT28" s="134"/>
      <c r="BU28" s="134"/>
      <c r="BV28" s="134"/>
      <c r="BW28" s="259"/>
      <c r="BX28" s="138"/>
      <c r="BY28" s="190"/>
      <c r="BZ28" s="134"/>
      <c r="CA28" s="134"/>
      <c r="CB28" s="138"/>
      <c r="CC28" s="134"/>
      <c r="CD28" s="134"/>
      <c r="CE28" s="134"/>
      <c r="CF28" s="288"/>
      <c r="CG28" s="289"/>
      <c r="CH28" s="138"/>
      <c r="CI28" s="190"/>
      <c r="CJ28" s="134"/>
      <c r="CK28" s="134"/>
      <c r="CL28" s="138"/>
      <c r="CM28" s="134"/>
      <c r="CN28" s="134"/>
      <c r="CO28" s="134"/>
      <c r="CP28" s="288"/>
      <c r="CQ28" s="289"/>
      <c r="CR28" s="276"/>
      <c r="CS28" s="308"/>
      <c r="CT28" s="138"/>
      <c r="CU28" s="190"/>
      <c r="CV28" s="134"/>
      <c r="CW28" s="134"/>
      <c r="CX28" s="134"/>
      <c r="CY28" s="134"/>
      <c r="CZ28" s="134"/>
      <c r="DA28" s="134"/>
      <c r="DB28" s="300"/>
      <c r="DC28" s="301"/>
      <c r="DD28" s="134"/>
      <c r="DE28" s="190"/>
      <c r="DF28" s="134"/>
      <c r="DG28" s="134"/>
      <c r="DH28" s="134"/>
      <c r="DI28" s="134"/>
      <c r="DJ28" s="134"/>
      <c r="DK28" s="134"/>
      <c r="DL28" s="300"/>
      <c r="DM28" s="301"/>
      <c r="DN28" s="276"/>
      <c r="DO28" s="277"/>
      <c r="DP28" s="134"/>
      <c r="DQ28" s="134"/>
      <c r="DR28" s="134"/>
      <c r="DS28" s="134"/>
      <c r="DT28" s="138"/>
      <c r="DU28" s="134"/>
      <c r="DV28" s="134"/>
      <c r="DW28" s="134"/>
      <c r="DX28" s="301"/>
      <c r="DY28" s="301"/>
      <c r="DZ28" s="138"/>
      <c r="EA28" s="134"/>
      <c r="EB28" s="134"/>
      <c r="EC28" s="134"/>
      <c r="ED28" s="138"/>
      <c r="EE28" s="134"/>
      <c r="EF28" s="134"/>
      <c r="EG28" s="134"/>
      <c r="EH28" s="301"/>
      <c r="EI28" s="301"/>
      <c r="EJ28" s="277"/>
      <c r="EK28" s="134"/>
      <c r="EL28" s="134"/>
      <c r="EM28" s="134"/>
      <c r="EN28" s="134"/>
      <c r="EO28" s="190"/>
      <c r="EP28" s="134"/>
      <c r="EQ28" s="134"/>
      <c r="ER28" s="134"/>
      <c r="ES28" s="301"/>
      <c r="ET28" s="301"/>
      <c r="EU28" s="134"/>
      <c r="EV28" s="134"/>
      <c r="EW28" s="134"/>
      <c r="EX28" s="134"/>
      <c r="EY28" s="134"/>
      <c r="EZ28" s="134"/>
      <c r="FA28" s="134"/>
      <c r="FB28" s="134"/>
      <c r="FC28" s="135"/>
      <c r="FD28" s="135"/>
      <c r="FE28" s="134"/>
      <c r="FF28" s="134"/>
      <c r="FG28" s="134"/>
      <c r="FH28" s="134"/>
      <c r="FI28" s="134"/>
      <c r="FJ28" s="134"/>
      <c r="FK28" s="134"/>
      <c r="FL28" s="134"/>
      <c r="FM28" s="135"/>
      <c r="FN28" s="135"/>
      <c r="FO28" s="134"/>
      <c r="FP28" s="134"/>
      <c r="FQ28" s="134"/>
      <c r="FR28" s="134"/>
      <c r="FS28" s="134"/>
      <c r="FT28" s="134"/>
      <c r="FU28" s="134"/>
      <c r="FV28" s="134"/>
      <c r="FW28" s="135"/>
      <c r="FX28" s="135"/>
      <c r="FY28" s="134"/>
      <c r="FZ28" s="134"/>
      <c r="GA28" s="134"/>
      <c r="GB28" s="134"/>
      <c r="GC28" s="134"/>
      <c r="GD28" s="134"/>
      <c r="GE28" s="134"/>
      <c r="GF28" s="134"/>
      <c r="GG28" s="135"/>
      <c r="GH28" s="135"/>
      <c r="GI28" s="134"/>
      <c r="GJ28" s="134"/>
      <c r="GK28" s="134"/>
      <c r="GL28" s="134"/>
      <c r="GM28" s="134"/>
      <c r="GN28" s="134"/>
      <c r="GO28" s="134"/>
      <c r="GP28" s="134"/>
      <c r="GQ28" s="135"/>
      <c r="GR28" s="135"/>
      <c r="GS28" s="134"/>
      <c r="GT28" s="134"/>
      <c r="GU28" s="134"/>
      <c r="GV28" s="134"/>
      <c r="GW28" s="134"/>
      <c r="GX28" s="134"/>
      <c r="GY28" s="134"/>
      <c r="GZ28" s="134"/>
      <c r="HA28" s="135"/>
      <c r="HB28" s="135"/>
      <c r="HC28" s="134"/>
      <c r="HD28" s="134"/>
      <c r="HE28" s="134"/>
      <c r="HF28" s="134"/>
      <c r="HG28" s="134"/>
      <c r="HH28" s="134"/>
      <c r="HI28" s="134"/>
      <c r="HJ28" s="134"/>
      <c r="HK28" s="135"/>
      <c r="HL28" s="135"/>
      <c r="HM28" s="134"/>
      <c r="HN28" s="134"/>
      <c r="HO28" s="134"/>
      <c r="HP28" s="134"/>
      <c r="HQ28" s="134"/>
      <c r="HR28" s="134"/>
      <c r="HS28" s="134"/>
      <c r="HT28" s="134"/>
      <c r="HU28" s="135"/>
      <c r="HV28" s="135"/>
      <c r="HW28" s="134"/>
      <c r="HX28" s="134"/>
      <c r="HY28" s="134"/>
      <c r="HZ28" s="134"/>
      <c r="IA28" s="134"/>
      <c r="IB28" s="134"/>
      <c r="IC28" s="134"/>
      <c r="ID28" s="134"/>
      <c r="IE28" s="135"/>
      <c r="IF28" s="135"/>
      <c r="IG28" s="134"/>
      <c r="IH28" s="134"/>
      <c r="II28" s="134"/>
      <c r="IJ28" s="134"/>
      <c r="IK28" s="134"/>
      <c r="IL28" s="134"/>
      <c r="IM28" s="134"/>
      <c r="IN28" s="134"/>
      <c r="IO28" s="135"/>
      <c r="IP28" s="135"/>
      <c r="IQ28" s="134"/>
      <c r="IR28" s="134"/>
      <c r="IS28" s="134"/>
      <c r="IT28" s="134"/>
      <c r="IU28" s="134"/>
      <c r="IV28" s="134"/>
      <c r="IW28" s="134"/>
      <c r="IX28" s="134"/>
      <c r="IY28" s="135"/>
      <c r="IZ28" s="135"/>
    </row>
    <row r="29" spans="1:260" customFormat="1" ht="17" customHeight="1">
      <c r="A29" s="79" t="s">
        <v>129</v>
      </c>
      <c r="B29" s="418">
        <v>98</v>
      </c>
      <c r="C29" s="117"/>
      <c r="D29" s="117">
        <v>28</v>
      </c>
      <c r="E29" s="123" t="s">
        <v>1945</v>
      </c>
      <c r="F29" s="124" t="s">
        <v>2164</v>
      </c>
      <c r="G29" s="125">
        <v>2013</v>
      </c>
      <c r="H29" s="79">
        <v>23803518</v>
      </c>
      <c r="I29" s="79">
        <v>1</v>
      </c>
      <c r="J29" s="126"/>
      <c r="K29" s="127"/>
      <c r="L29" s="79">
        <v>1</v>
      </c>
      <c r="M29" s="79"/>
      <c r="N29" s="79">
        <v>1</v>
      </c>
      <c r="O29" s="128">
        <v>1</v>
      </c>
      <c r="P29" s="79" t="s">
        <v>31</v>
      </c>
      <c r="Q29" s="79" t="s">
        <v>1143</v>
      </c>
      <c r="R29" s="79"/>
      <c r="S29" s="79"/>
      <c r="T29" s="79"/>
      <c r="U29" s="79"/>
      <c r="V29" s="79"/>
      <c r="W29" s="79"/>
      <c r="X29" s="79"/>
      <c r="Y29" s="79"/>
      <c r="Z29" s="79"/>
      <c r="AA29" s="79"/>
      <c r="AB29" s="79"/>
      <c r="AC29" s="506" t="s">
        <v>31</v>
      </c>
      <c r="AD29" s="573">
        <v>1</v>
      </c>
      <c r="AE29" s="573">
        <v>0</v>
      </c>
      <c r="AF29" s="154"/>
      <c r="AG29" s="155"/>
      <c r="AH29" s="121"/>
      <c r="AI29" s="484"/>
      <c r="AJ29" s="202"/>
      <c r="AK29" s="192"/>
      <c r="AL29" s="203"/>
      <c r="AM29" s="121"/>
      <c r="AN29" s="121"/>
      <c r="AO29" s="121"/>
      <c r="AP29" s="121"/>
      <c r="AQ29" s="121"/>
      <c r="AR29" s="121"/>
      <c r="AS29" s="121"/>
      <c r="AT29" s="121"/>
      <c r="AU29" s="121"/>
      <c r="AV29" s="121"/>
      <c r="AW29" s="121"/>
      <c r="AX29" s="121"/>
      <c r="AY29" s="121"/>
      <c r="AZ29" s="121"/>
      <c r="BA29" s="121"/>
      <c r="BB29" s="121"/>
      <c r="BC29" s="121"/>
      <c r="BD29" s="156"/>
      <c r="BE29" s="156"/>
      <c r="BF29" s="156" t="s">
        <v>5207</v>
      </c>
      <c r="BG29" s="156"/>
      <c r="BH29" s="156"/>
      <c r="BI29" s="156"/>
      <c r="BJ29" s="156"/>
      <c r="BK29" s="156"/>
      <c r="BL29" s="156"/>
      <c r="BM29" s="156"/>
      <c r="BN29" s="156"/>
      <c r="BO29" s="156"/>
      <c r="BP29" s="156"/>
      <c r="BQ29" s="157"/>
      <c r="BR29" s="134"/>
      <c r="BS29" s="134"/>
      <c r="BT29" s="134"/>
      <c r="BU29" s="134"/>
      <c r="BV29" s="134"/>
      <c r="BW29" s="259"/>
      <c r="BX29" s="138"/>
      <c r="BY29" s="190"/>
      <c r="BZ29" s="134"/>
      <c r="CA29" s="190"/>
      <c r="CB29" s="463"/>
      <c r="CC29" s="134"/>
      <c r="CD29" s="134"/>
      <c r="CE29" s="134"/>
      <c r="CF29" s="288"/>
      <c r="CG29" s="289"/>
      <c r="CH29" s="439"/>
      <c r="CI29" s="134"/>
      <c r="CJ29" s="134"/>
      <c r="CK29" s="134"/>
      <c r="CL29" s="138"/>
      <c r="CM29" s="134"/>
      <c r="CN29" s="134"/>
      <c r="CO29" s="134"/>
      <c r="CP29" s="288"/>
      <c r="CQ29" s="289"/>
      <c r="CR29" s="276"/>
      <c r="CS29" s="308"/>
      <c r="CT29" s="138"/>
      <c r="CU29" s="134"/>
      <c r="CV29" s="134"/>
      <c r="CW29" s="134"/>
      <c r="CX29" s="134"/>
      <c r="CY29" s="134"/>
      <c r="CZ29" s="134"/>
      <c r="DA29" s="134"/>
      <c r="DB29" s="300"/>
      <c r="DC29" s="301"/>
      <c r="DD29" s="134"/>
      <c r="DE29" s="134"/>
      <c r="DF29" s="134"/>
      <c r="DG29" s="134"/>
      <c r="DH29" s="134"/>
      <c r="DI29" s="134"/>
      <c r="DJ29" s="134"/>
      <c r="DK29" s="134"/>
      <c r="DL29" s="300"/>
      <c r="DM29" s="301"/>
      <c r="DN29" s="276"/>
      <c r="DO29" s="277"/>
      <c r="DP29" s="134"/>
      <c r="DQ29" s="134"/>
      <c r="DR29" s="134"/>
      <c r="DS29" s="134"/>
      <c r="DT29" s="138"/>
      <c r="DU29" s="134"/>
      <c r="DV29" s="134"/>
      <c r="DW29" s="134"/>
      <c r="DX29" s="301"/>
      <c r="DY29" s="301"/>
      <c r="DZ29" s="138"/>
      <c r="EA29" s="134"/>
      <c r="EB29" s="134"/>
      <c r="EC29" s="134"/>
      <c r="ED29" s="138"/>
      <c r="EE29" s="134"/>
      <c r="EF29" s="134"/>
      <c r="EG29" s="134"/>
      <c r="EH29" s="301"/>
      <c r="EI29" s="301"/>
      <c r="EJ29" s="277"/>
      <c r="EK29" s="134"/>
      <c r="EL29" s="134"/>
      <c r="EM29" s="134"/>
      <c r="EN29" s="134"/>
      <c r="EO29" s="134"/>
      <c r="EP29" s="134"/>
      <c r="EQ29" s="134"/>
      <c r="ER29" s="134"/>
      <c r="ES29" s="301"/>
      <c r="ET29" s="301"/>
      <c r="EU29" s="134"/>
      <c r="EV29" s="134"/>
      <c r="EW29" s="134"/>
      <c r="EX29" s="134"/>
      <c r="EY29" s="134"/>
      <c r="EZ29" s="134"/>
      <c r="FA29" s="134"/>
      <c r="FB29" s="134"/>
      <c r="FC29" s="135"/>
      <c r="FD29" s="135"/>
      <c r="FE29" s="134"/>
      <c r="FF29" s="134"/>
      <c r="FG29" s="134"/>
      <c r="FH29" s="134"/>
      <c r="FI29" s="134"/>
      <c r="FJ29" s="134"/>
      <c r="FK29" s="134"/>
      <c r="FL29" s="134"/>
      <c r="FM29" s="135"/>
      <c r="FN29" s="135"/>
      <c r="FO29" s="134"/>
      <c r="FP29" s="134"/>
      <c r="FQ29" s="134"/>
      <c r="FR29" s="134"/>
      <c r="FS29" s="134"/>
      <c r="FT29" s="134"/>
      <c r="FU29" s="134"/>
      <c r="FV29" s="134"/>
      <c r="FW29" s="135"/>
      <c r="FX29" s="135"/>
      <c r="FY29" s="134"/>
      <c r="FZ29" s="134"/>
      <c r="GA29" s="134"/>
      <c r="GB29" s="134"/>
      <c r="GC29" s="134"/>
      <c r="GD29" s="134"/>
      <c r="GE29" s="134"/>
      <c r="GF29" s="134"/>
      <c r="GG29" s="135"/>
      <c r="GH29" s="135"/>
      <c r="GI29" s="134"/>
      <c r="GJ29" s="134"/>
      <c r="GK29" s="134"/>
      <c r="GL29" s="134"/>
      <c r="GM29" s="134"/>
      <c r="GN29" s="134"/>
      <c r="GO29" s="134"/>
      <c r="GP29" s="134"/>
      <c r="GQ29" s="135"/>
      <c r="GR29" s="135"/>
      <c r="GS29" s="134"/>
      <c r="GT29" s="134"/>
      <c r="GU29" s="134"/>
      <c r="GV29" s="134"/>
      <c r="GW29" s="134"/>
      <c r="GX29" s="134"/>
      <c r="GY29" s="134"/>
      <c r="GZ29" s="134"/>
      <c r="HA29" s="135"/>
      <c r="HB29" s="135"/>
      <c r="HC29" s="134"/>
      <c r="HD29" s="134"/>
      <c r="HE29" s="134"/>
      <c r="HF29" s="134"/>
      <c r="HG29" s="134"/>
      <c r="HH29" s="134"/>
      <c r="HI29" s="134"/>
      <c r="HJ29" s="134"/>
      <c r="HK29" s="135"/>
      <c r="HL29" s="135"/>
      <c r="HM29" s="134"/>
      <c r="HN29" s="134"/>
      <c r="HO29" s="134"/>
      <c r="HP29" s="134"/>
      <c r="HQ29" s="134"/>
      <c r="HR29" s="134"/>
      <c r="HS29" s="134"/>
      <c r="HT29" s="134"/>
      <c r="HU29" s="135"/>
      <c r="HV29" s="135"/>
      <c r="HW29" s="134"/>
      <c r="HX29" s="134"/>
      <c r="HY29" s="134"/>
      <c r="HZ29" s="134"/>
      <c r="IA29" s="134"/>
      <c r="IB29" s="134"/>
      <c r="IC29" s="134"/>
      <c r="ID29" s="134"/>
      <c r="IE29" s="135"/>
      <c r="IF29" s="135"/>
      <c r="IG29" s="134"/>
      <c r="IH29" s="134"/>
      <c r="II29" s="134"/>
      <c r="IJ29" s="134"/>
      <c r="IK29" s="134"/>
      <c r="IL29" s="134"/>
      <c r="IM29" s="134"/>
      <c r="IN29" s="134"/>
      <c r="IO29" s="135"/>
      <c r="IP29" s="135"/>
      <c r="IQ29" s="134"/>
      <c r="IR29" s="134"/>
      <c r="IS29" s="134"/>
      <c r="IT29" s="134"/>
      <c r="IU29" s="134"/>
      <c r="IV29" s="134"/>
      <c r="IW29" s="134"/>
      <c r="IX29" s="134"/>
      <c r="IY29" s="135"/>
      <c r="IZ29" s="135"/>
    </row>
    <row r="30" spans="1:260" s="119" customFormat="1" ht="17" customHeight="1">
      <c r="A30" s="79" t="s">
        <v>1076</v>
      </c>
      <c r="B30" s="418">
        <v>100</v>
      </c>
      <c r="C30" s="117"/>
      <c r="D30" s="117">
        <v>29</v>
      </c>
      <c r="E30" s="123" t="s">
        <v>2064</v>
      </c>
      <c r="F30" s="124" t="s">
        <v>2316</v>
      </c>
      <c r="G30" s="125">
        <v>2015</v>
      </c>
      <c r="H30" s="79">
        <v>25979764</v>
      </c>
      <c r="I30" s="79">
        <v>1</v>
      </c>
      <c r="J30" s="126"/>
      <c r="K30" s="127"/>
      <c r="L30" s="164">
        <v>1</v>
      </c>
      <c r="M30" s="79"/>
      <c r="N30" s="164">
        <v>1</v>
      </c>
      <c r="O30" s="128">
        <v>2</v>
      </c>
      <c r="P30" s="79" t="s">
        <v>1293</v>
      </c>
      <c r="Q30" s="79" t="s">
        <v>23</v>
      </c>
      <c r="R30" s="79" t="s">
        <v>1127</v>
      </c>
      <c r="S30" s="79"/>
      <c r="T30" s="79" t="s">
        <v>1487</v>
      </c>
      <c r="U30" s="79"/>
      <c r="V30" s="79"/>
      <c r="W30" s="79" t="s">
        <v>1293</v>
      </c>
      <c r="X30" s="79" t="s">
        <v>1292</v>
      </c>
      <c r="Y30" s="79"/>
      <c r="Z30" s="79"/>
      <c r="AA30" s="79"/>
      <c r="AB30" s="79" t="s">
        <v>1294</v>
      </c>
      <c r="AC30" s="506" t="s">
        <v>6197</v>
      </c>
      <c r="AD30" s="573">
        <v>1</v>
      </c>
      <c r="AE30" s="573">
        <v>1</v>
      </c>
      <c r="AF30" s="154"/>
      <c r="AG30" s="155"/>
      <c r="AH30" s="121">
        <v>4</v>
      </c>
      <c r="AI30" s="484"/>
      <c r="AJ30" s="202"/>
      <c r="AK30" s="192"/>
      <c r="AL30" s="203"/>
      <c r="AM30" s="121"/>
      <c r="AN30" s="121"/>
      <c r="AO30" s="121"/>
      <c r="AP30" s="121"/>
      <c r="AQ30" s="121"/>
      <c r="AR30" s="121"/>
      <c r="AS30" s="121"/>
      <c r="AT30" s="121"/>
      <c r="AU30" s="121"/>
      <c r="AV30" s="121"/>
      <c r="AW30" s="121"/>
      <c r="AX30" s="121"/>
      <c r="AY30" s="121"/>
      <c r="AZ30" s="121"/>
      <c r="BA30" s="121"/>
      <c r="BB30" s="121"/>
      <c r="BC30" s="121"/>
      <c r="BD30" s="156" t="s">
        <v>5207</v>
      </c>
      <c r="BE30" s="156"/>
      <c r="BF30" s="156"/>
      <c r="BG30" s="156"/>
      <c r="BH30" s="156"/>
      <c r="BI30" s="156"/>
      <c r="BJ30" s="156"/>
      <c r="BK30" s="156"/>
      <c r="BL30" s="156"/>
      <c r="BM30" s="156"/>
      <c r="BN30" s="156"/>
      <c r="BO30" s="156"/>
      <c r="BP30" s="156"/>
      <c r="BQ30" s="157"/>
      <c r="BR30" s="134"/>
      <c r="BS30" s="134"/>
      <c r="BT30" s="134"/>
      <c r="BU30" s="134"/>
      <c r="BV30" s="134"/>
      <c r="BW30" s="259"/>
      <c r="BX30" s="138"/>
      <c r="BY30" s="190"/>
      <c r="BZ30" s="134"/>
      <c r="CA30" s="190"/>
      <c r="CB30" s="463"/>
      <c r="CC30" s="190"/>
      <c r="CD30" s="134"/>
      <c r="CE30" s="190"/>
      <c r="CF30" s="288"/>
      <c r="CG30" s="289"/>
      <c r="CH30" s="439"/>
      <c r="CI30" s="134"/>
      <c r="CJ30" s="134"/>
      <c r="CK30" s="134"/>
      <c r="CL30" s="138"/>
      <c r="CM30" s="134"/>
      <c r="CN30" s="134"/>
      <c r="CO30" s="134"/>
      <c r="CP30" s="288"/>
      <c r="CQ30" s="289"/>
      <c r="CR30" s="276"/>
      <c r="CS30" s="308"/>
      <c r="CT30" s="138"/>
      <c r="CU30" s="134"/>
      <c r="CV30" s="134"/>
      <c r="CW30" s="134"/>
      <c r="CX30" s="134"/>
      <c r="CY30" s="134"/>
      <c r="CZ30" s="134"/>
      <c r="DA30" s="134"/>
      <c r="DB30" s="300"/>
      <c r="DC30" s="301"/>
      <c r="DD30" s="134"/>
      <c r="DE30" s="134"/>
      <c r="DF30" s="134"/>
      <c r="DG30" s="134"/>
      <c r="DH30" s="134"/>
      <c r="DI30" s="134"/>
      <c r="DJ30" s="134"/>
      <c r="DK30" s="134"/>
      <c r="DL30" s="300"/>
      <c r="DM30" s="301"/>
      <c r="DN30" s="276"/>
      <c r="DO30" s="277"/>
      <c r="DP30" s="134"/>
      <c r="DQ30" s="134"/>
      <c r="DR30" s="134"/>
      <c r="DS30" s="134"/>
      <c r="DT30" s="138"/>
      <c r="DU30" s="134"/>
      <c r="DV30" s="134"/>
      <c r="DW30" s="134"/>
      <c r="DX30" s="301"/>
      <c r="DY30" s="301"/>
      <c r="DZ30" s="138"/>
      <c r="EA30" s="134"/>
      <c r="EB30" s="134"/>
      <c r="EC30" s="134"/>
      <c r="ED30" s="138"/>
      <c r="EE30" s="134"/>
      <c r="EF30" s="134"/>
      <c r="EG30" s="134"/>
      <c r="EH30" s="301"/>
      <c r="EI30" s="301"/>
      <c r="EJ30" s="277"/>
      <c r="EK30" s="134"/>
      <c r="EL30" s="134"/>
      <c r="EM30" s="134"/>
      <c r="EN30" s="134"/>
      <c r="EO30" s="134"/>
      <c r="EP30" s="134"/>
      <c r="EQ30" s="134"/>
      <c r="ER30" s="134"/>
      <c r="ES30" s="301"/>
      <c r="ET30" s="301"/>
      <c r="EU30" s="134"/>
      <c r="EV30" s="134"/>
      <c r="EW30" s="134"/>
      <c r="EX30" s="134"/>
      <c r="EY30" s="134"/>
      <c r="EZ30" s="134"/>
      <c r="FA30" s="134"/>
      <c r="FB30" s="134"/>
      <c r="FC30" s="135"/>
      <c r="FD30" s="135"/>
      <c r="FE30" s="134"/>
      <c r="FF30" s="134"/>
      <c r="FG30" s="134"/>
      <c r="FH30" s="134"/>
      <c r="FI30" s="134"/>
      <c r="FJ30" s="134"/>
      <c r="FK30" s="134"/>
      <c r="FL30" s="134"/>
      <c r="FM30" s="135"/>
      <c r="FN30" s="135"/>
      <c r="FO30" s="134"/>
      <c r="FP30" s="134"/>
      <c r="FQ30" s="134"/>
      <c r="FR30" s="134"/>
      <c r="FS30" s="134"/>
      <c r="FT30" s="134"/>
      <c r="FU30" s="134"/>
      <c r="FV30" s="134"/>
      <c r="FW30" s="135"/>
      <c r="FX30" s="135"/>
      <c r="FY30" s="134"/>
      <c r="FZ30" s="134"/>
      <c r="GA30" s="134"/>
      <c r="GB30" s="134"/>
      <c r="GC30" s="134"/>
      <c r="GD30" s="134"/>
      <c r="GE30" s="134"/>
      <c r="GF30" s="134"/>
      <c r="GG30" s="135"/>
      <c r="GH30" s="135"/>
      <c r="GI30" s="134"/>
      <c r="GJ30" s="134"/>
      <c r="GK30" s="134"/>
      <c r="GL30" s="134"/>
      <c r="GM30" s="134"/>
      <c r="GN30" s="134"/>
      <c r="GO30" s="134"/>
      <c r="GP30" s="134"/>
      <c r="GQ30" s="135"/>
      <c r="GR30" s="135"/>
      <c r="GS30" s="134"/>
      <c r="GT30" s="134"/>
      <c r="GU30" s="134"/>
      <c r="GV30" s="134"/>
      <c r="GW30" s="134"/>
      <c r="GX30" s="134"/>
      <c r="GY30" s="134"/>
      <c r="GZ30" s="134"/>
      <c r="HA30" s="135"/>
      <c r="HB30" s="135"/>
      <c r="HC30" s="134"/>
      <c r="HD30" s="134"/>
      <c r="HE30" s="134"/>
      <c r="HF30" s="134"/>
      <c r="HG30" s="134"/>
      <c r="HH30" s="134"/>
      <c r="HI30" s="134"/>
      <c r="HJ30" s="134"/>
      <c r="HK30" s="135"/>
      <c r="HL30" s="135"/>
      <c r="HM30" s="134"/>
      <c r="HN30" s="134"/>
      <c r="HO30" s="134"/>
      <c r="HP30" s="134"/>
      <c r="HQ30" s="134"/>
      <c r="HR30" s="134"/>
      <c r="HS30" s="134"/>
      <c r="HT30" s="134"/>
      <c r="HU30" s="135"/>
      <c r="HV30" s="135"/>
      <c r="HW30" s="134"/>
      <c r="HX30" s="134"/>
      <c r="HY30" s="134"/>
      <c r="HZ30" s="134"/>
      <c r="IA30" s="134"/>
      <c r="IB30" s="134"/>
      <c r="IC30" s="134"/>
      <c r="ID30" s="134"/>
      <c r="IE30" s="135"/>
      <c r="IF30" s="135"/>
      <c r="IG30" s="134"/>
      <c r="IH30" s="134"/>
      <c r="II30" s="134"/>
      <c r="IJ30" s="134"/>
      <c r="IK30" s="134"/>
      <c r="IL30" s="134"/>
      <c r="IM30" s="134"/>
      <c r="IN30" s="134"/>
      <c r="IO30" s="135"/>
      <c r="IP30" s="135"/>
      <c r="IQ30" s="134"/>
      <c r="IR30" s="134"/>
      <c r="IS30" s="134"/>
      <c r="IT30" s="134"/>
      <c r="IU30" s="134"/>
      <c r="IV30" s="134"/>
      <c r="IW30" s="134"/>
      <c r="IX30" s="134"/>
      <c r="IY30" s="135"/>
      <c r="IZ30" s="135"/>
    </row>
    <row r="31" spans="1:260" customFormat="1" ht="17" customHeight="1">
      <c r="A31" s="79" t="s">
        <v>136</v>
      </c>
      <c r="B31" s="418">
        <v>102</v>
      </c>
      <c r="C31" s="117"/>
      <c r="D31" s="117">
        <v>30</v>
      </c>
      <c r="E31" s="123" t="s">
        <v>1948</v>
      </c>
      <c r="F31" s="124" t="s">
        <v>2167</v>
      </c>
      <c r="G31" s="125">
        <v>2009</v>
      </c>
      <c r="H31" s="79">
        <v>19359452</v>
      </c>
      <c r="I31" s="79">
        <v>1</v>
      </c>
      <c r="J31" s="126"/>
      <c r="K31" s="127"/>
      <c r="L31" s="79">
        <v>1</v>
      </c>
      <c r="M31" s="79"/>
      <c r="N31" s="79">
        <v>1</v>
      </c>
      <c r="O31" s="128">
        <v>1</v>
      </c>
      <c r="P31" s="79" t="s">
        <v>430</v>
      </c>
      <c r="Q31" s="79" t="s">
        <v>1164</v>
      </c>
      <c r="R31" s="79" t="s">
        <v>25</v>
      </c>
      <c r="S31" s="79">
        <v>1</v>
      </c>
      <c r="T31" s="79"/>
      <c r="U31" s="79"/>
      <c r="V31" s="79"/>
      <c r="W31" s="79" t="s">
        <v>432</v>
      </c>
      <c r="X31" s="79" t="s">
        <v>431</v>
      </c>
      <c r="Y31" s="79"/>
      <c r="Z31" s="79"/>
      <c r="AA31" s="79"/>
      <c r="AB31" s="79"/>
      <c r="AC31" s="506" t="s">
        <v>6198</v>
      </c>
      <c r="AD31" s="573">
        <v>1</v>
      </c>
      <c r="AE31" s="573">
        <v>0</v>
      </c>
      <c r="AF31" s="154"/>
      <c r="AG31" s="155"/>
      <c r="AH31" s="121">
        <v>2</v>
      </c>
      <c r="AI31" s="484"/>
      <c r="AJ31" s="202"/>
      <c r="AK31" s="192"/>
      <c r="AL31" s="203"/>
      <c r="AM31" s="121"/>
      <c r="AN31" s="121"/>
      <c r="AO31" s="121"/>
      <c r="AP31" s="121"/>
      <c r="AQ31" s="121"/>
      <c r="AR31" s="121"/>
      <c r="AS31" s="121"/>
      <c r="AT31" s="121"/>
      <c r="AU31" s="121"/>
      <c r="AV31" s="121"/>
      <c r="AW31" s="121"/>
      <c r="AX31" s="121"/>
      <c r="AY31" s="121"/>
      <c r="AZ31" s="121"/>
      <c r="BA31" s="121"/>
      <c r="BB31" s="121"/>
      <c r="BC31" s="121" t="s">
        <v>1917</v>
      </c>
      <c r="BD31" s="156"/>
      <c r="BE31" s="156"/>
      <c r="BF31" s="156"/>
      <c r="BG31" s="156"/>
      <c r="BH31" s="156"/>
      <c r="BI31" s="156" t="s">
        <v>4727</v>
      </c>
      <c r="BJ31" s="156"/>
      <c r="BK31" s="156"/>
      <c r="BL31" s="156"/>
      <c r="BM31" s="156"/>
      <c r="BN31" s="156"/>
      <c r="BO31" s="156" t="s">
        <v>4727</v>
      </c>
      <c r="BP31" s="156" t="s">
        <v>5545</v>
      </c>
      <c r="BQ31" s="157"/>
      <c r="BR31" s="134"/>
      <c r="BS31" s="134"/>
      <c r="BT31" s="134"/>
      <c r="BU31" s="134"/>
      <c r="BV31" s="134"/>
      <c r="BW31" s="259"/>
      <c r="BX31" s="138"/>
      <c r="BY31" s="190"/>
      <c r="BZ31" s="134"/>
      <c r="CA31" s="134"/>
      <c r="CB31" s="138"/>
      <c r="CC31" s="134"/>
      <c r="CD31" s="134"/>
      <c r="CE31" s="134"/>
      <c r="CF31" s="288"/>
      <c r="CG31" s="289"/>
      <c r="CH31" s="138"/>
      <c r="CI31" s="190"/>
      <c r="CJ31" s="134"/>
      <c r="CK31" s="134"/>
      <c r="CL31" s="138"/>
      <c r="CM31" s="134"/>
      <c r="CN31" s="134"/>
      <c r="CO31" s="134"/>
      <c r="CP31" s="288"/>
      <c r="CQ31" s="289"/>
      <c r="CR31" s="276"/>
      <c r="CS31" s="308"/>
      <c r="CT31" s="138"/>
      <c r="CU31" s="134"/>
      <c r="CV31" s="134"/>
      <c r="CW31" s="134"/>
      <c r="CX31" s="134"/>
      <c r="CY31" s="134"/>
      <c r="CZ31" s="134"/>
      <c r="DA31" s="134"/>
      <c r="DB31" s="300"/>
      <c r="DC31" s="301"/>
      <c r="DD31" s="134"/>
      <c r="DE31" s="134"/>
      <c r="DF31" s="134"/>
      <c r="DG31" s="134"/>
      <c r="DH31" s="134"/>
      <c r="DI31" s="134"/>
      <c r="DJ31" s="134"/>
      <c r="DK31" s="134"/>
      <c r="DL31" s="300"/>
      <c r="DM31" s="301"/>
      <c r="DN31" s="276"/>
      <c r="DO31" s="277"/>
      <c r="DP31" s="134"/>
      <c r="DQ31" s="134"/>
      <c r="DR31" s="134"/>
      <c r="DS31" s="134"/>
      <c r="DT31" s="138"/>
      <c r="DU31" s="134"/>
      <c r="DV31" s="134"/>
      <c r="DW31" s="134"/>
      <c r="DX31" s="301"/>
      <c r="DY31" s="301"/>
      <c r="DZ31" s="138"/>
      <c r="EA31" s="134"/>
      <c r="EB31" s="134"/>
      <c r="EC31" s="134"/>
      <c r="ED31" s="138"/>
      <c r="EE31" s="134"/>
      <c r="EF31" s="134"/>
      <c r="EG31" s="134"/>
      <c r="EH31" s="301"/>
      <c r="EI31" s="301"/>
      <c r="EJ31" s="277"/>
      <c r="EK31" s="134"/>
      <c r="EL31" s="134"/>
      <c r="EM31" s="134"/>
      <c r="EN31" s="134"/>
      <c r="EO31" s="134"/>
      <c r="EP31" s="134"/>
      <c r="EQ31" s="134"/>
      <c r="ER31" s="134"/>
      <c r="ES31" s="301"/>
      <c r="ET31" s="301"/>
      <c r="EU31" s="134"/>
      <c r="EV31" s="134"/>
      <c r="EW31" s="134"/>
      <c r="EX31" s="134"/>
      <c r="EY31" s="134"/>
      <c r="EZ31" s="134"/>
      <c r="FA31" s="134"/>
      <c r="FB31" s="134"/>
      <c r="FC31" s="135"/>
      <c r="FD31" s="135"/>
      <c r="FE31" s="134"/>
      <c r="FF31" s="134"/>
      <c r="FG31" s="134"/>
      <c r="FH31" s="134"/>
      <c r="FI31" s="134"/>
      <c r="FJ31" s="134"/>
      <c r="FK31" s="134"/>
      <c r="FL31" s="134"/>
      <c r="FM31" s="135"/>
      <c r="FN31" s="135"/>
      <c r="FO31" s="134"/>
      <c r="FP31" s="134"/>
      <c r="FQ31" s="134"/>
      <c r="FR31" s="134"/>
      <c r="FS31" s="134"/>
      <c r="FT31" s="134"/>
      <c r="FU31" s="134"/>
      <c r="FV31" s="134"/>
      <c r="FW31" s="135"/>
      <c r="FX31" s="135"/>
      <c r="FY31" s="134"/>
      <c r="FZ31" s="134"/>
      <c r="GA31" s="134"/>
      <c r="GB31" s="134"/>
      <c r="GC31" s="134"/>
      <c r="GD31" s="134"/>
      <c r="GE31" s="134"/>
      <c r="GF31" s="134"/>
      <c r="GG31" s="135"/>
      <c r="GH31" s="135"/>
      <c r="GI31" s="134"/>
      <c r="GJ31" s="134"/>
      <c r="GK31" s="134"/>
      <c r="GL31" s="134"/>
      <c r="GM31" s="134"/>
      <c r="GN31" s="134"/>
      <c r="GO31" s="134"/>
      <c r="GP31" s="134"/>
      <c r="GQ31" s="135"/>
      <c r="GR31" s="135"/>
      <c r="GS31" s="134"/>
      <c r="GT31" s="134"/>
      <c r="GU31" s="134"/>
      <c r="GV31" s="134"/>
      <c r="GW31" s="134"/>
      <c r="GX31" s="134"/>
      <c r="GY31" s="134"/>
      <c r="GZ31" s="134"/>
      <c r="HA31" s="135"/>
      <c r="HB31" s="135"/>
      <c r="HC31" s="134"/>
      <c r="HD31" s="134"/>
      <c r="HE31" s="134"/>
      <c r="HF31" s="134"/>
      <c r="HG31" s="134"/>
      <c r="HH31" s="134"/>
      <c r="HI31" s="134"/>
      <c r="HJ31" s="134"/>
      <c r="HK31" s="135"/>
      <c r="HL31" s="135"/>
      <c r="HM31" s="134"/>
      <c r="HN31" s="134"/>
      <c r="HO31" s="134"/>
      <c r="HP31" s="134"/>
      <c r="HQ31" s="134"/>
      <c r="HR31" s="134"/>
      <c r="HS31" s="134"/>
      <c r="HT31" s="134"/>
      <c r="HU31" s="135"/>
      <c r="HV31" s="135"/>
      <c r="HW31" s="134"/>
      <c r="HX31" s="134"/>
      <c r="HY31" s="134"/>
      <c r="HZ31" s="134"/>
      <c r="IA31" s="134"/>
      <c r="IB31" s="134"/>
      <c r="IC31" s="134"/>
      <c r="ID31" s="134"/>
      <c r="IE31" s="135"/>
      <c r="IF31" s="135"/>
      <c r="IG31" s="134"/>
      <c r="IH31" s="134"/>
      <c r="II31" s="134"/>
      <c r="IJ31" s="134"/>
      <c r="IK31" s="134"/>
      <c r="IL31" s="134"/>
      <c r="IM31" s="134"/>
      <c r="IN31" s="134"/>
      <c r="IO31" s="135"/>
      <c r="IP31" s="135"/>
      <c r="IQ31" s="134"/>
      <c r="IR31" s="134"/>
      <c r="IS31" s="134"/>
      <c r="IT31" s="134"/>
      <c r="IU31" s="134"/>
      <c r="IV31" s="134"/>
      <c r="IW31" s="134"/>
      <c r="IX31" s="134"/>
      <c r="IY31" s="135"/>
      <c r="IZ31" s="135"/>
    </row>
    <row r="32" spans="1:260" s="188" customFormat="1" ht="17" customHeight="1">
      <c r="A32" s="79" t="s">
        <v>1074</v>
      </c>
      <c r="B32" s="418">
        <v>103</v>
      </c>
      <c r="C32" s="117"/>
      <c r="D32" s="117">
        <v>31</v>
      </c>
      <c r="E32" s="123" t="s">
        <v>2065</v>
      </c>
      <c r="F32" s="124" t="s">
        <v>2317</v>
      </c>
      <c r="G32" s="125">
        <v>2016</v>
      </c>
      <c r="H32" s="79">
        <v>27417516</v>
      </c>
      <c r="I32" s="79">
        <v>1</v>
      </c>
      <c r="J32" s="126">
        <v>1</v>
      </c>
      <c r="K32" s="127"/>
      <c r="L32" s="79">
        <v>1</v>
      </c>
      <c r="M32" s="79"/>
      <c r="N32" s="79">
        <v>1</v>
      </c>
      <c r="O32" s="128">
        <v>2</v>
      </c>
      <c r="P32" s="79" t="s">
        <v>1296</v>
      </c>
      <c r="Q32" s="79" t="s">
        <v>1166</v>
      </c>
      <c r="R32" s="79" t="s">
        <v>1127</v>
      </c>
      <c r="S32" s="79"/>
      <c r="T32" s="79" t="s">
        <v>1542</v>
      </c>
      <c r="U32" s="79"/>
      <c r="V32" s="79"/>
      <c r="W32" s="79" t="s">
        <v>1297</v>
      </c>
      <c r="X32" s="79" t="s">
        <v>1298</v>
      </c>
      <c r="Y32" s="79"/>
      <c r="Z32" s="79"/>
      <c r="AA32" s="79"/>
      <c r="AB32" s="79" t="s">
        <v>1299</v>
      </c>
      <c r="AC32" s="506" t="s">
        <v>6199</v>
      </c>
      <c r="AD32" s="573">
        <v>1</v>
      </c>
      <c r="AE32" s="573">
        <v>1</v>
      </c>
      <c r="AF32" s="154"/>
      <c r="AG32" s="155"/>
      <c r="AH32" s="121">
        <v>4</v>
      </c>
      <c r="AI32" s="484"/>
      <c r="AJ32" s="202"/>
      <c r="AK32" s="192"/>
      <c r="AL32" s="203"/>
      <c r="AM32" s="121"/>
      <c r="AN32" s="121"/>
      <c r="AO32" s="121"/>
      <c r="AP32" s="121"/>
      <c r="AQ32" s="121"/>
      <c r="AR32" s="121"/>
      <c r="AS32" s="121"/>
      <c r="AT32" s="121"/>
      <c r="AU32" s="121"/>
      <c r="AV32" s="121"/>
      <c r="AW32" s="121"/>
      <c r="AX32" s="121"/>
      <c r="AY32" s="121"/>
      <c r="AZ32" s="121"/>
      <c r="BA32" s="121"/>
      <c r="BB32" s="121"/>
      <c r="BC32" s="121"/>
      <c r="BD32" s="156" t="s">
        <v>5207</v>
      </c>
      <c r="BE32" s="156"/>
      <c r="BF32" s="156" t="s">
        <v>5207</v>
      </c>
      <c r="BG32" s="156" t="s">
        <v>1917</v>
      </c>
      <c r="BH32" s="156"/>
      <c r="BI32" s="156" t="s">
        <v>4727</v>
      </c>
      <c r="BJ32" s="156"/>
      <c r="BK32" s="156"/>
      <c r="BL32" s="156"/>
      <c r="BM32" s="156"/>
      <c r="BN32" s="156"/>
      <c r="BO32" s="156"/>
      <c r="BP32" s="156"/>
      <c r="BQ32" s="157"/>
      <c r="BR32" s="134"/>
      <c r="BS32" s="134"/>
      <c r="BT32" s="134"/>
      <c r="BU32" s="134"/>
      <c r="BV32" s="134"/>
      <c r="BW32" s="259"/>
      <c r="BX32" s="138"/>
      <c r="BY32" s="134"/>
      <c r="BZ32" s="134"/>
      <c r="CA32" s="134"/>
      <c r="CB32" s="138"/>
      <c r="CC32" s="134"/>
      <c r="CD32" s="134"/>
      <c r="CE32" s="134"/>
      <c r="CF32" s="288"/>
      <c r="CG32" s="437"/>
      <c r="CH32" s="138"/>
      <c r="CI32" s="134"/>
      <c r="CJ32" s="134"/>
      <c r="CK32" s="134"/>
      <c r="CL32" s="138"/>
      <c r="CM32" s="134"/>
      <c r="CN32" s="134"/>
      <c r="CO32" s="134"/>
      <c r="CP32" s="288"/>
      <c r="CQ32" s="289"/>
      <c r="CR32" s="276"/>
      <c r="CS32" s="308"/>
      <c r="CT32" s="138"/>
      <c r="CU32" s="134"/>
      <c r="CV32" s="134"/>
      <c r="CW32" s="134"/>
      <c r="CX32" s="134"/>
      <c r="CY32" s="134"/>
      <c r="CZ32" s="134"/>
      <c r="DA32" s="134"/>
      <c r="DB32" s="300"/>
      <c r="DC32" s="301"/>
      <c r="DD32" s="134"/>
      <c r="DE32" s="134"/>
      <c r="DF32" s="134"/>
      <c r="DG32" s="134"/>
      <c r="DH32" s="134"/>
      <c r="DI32" s="134"/>
      <c r="DJ32" s="134"/>
      <c r="DK32" s="134"/>
      <c r="DL32" s="300"/>
      <c r="DM32" s="301"/>
      <c r="DN32" s="276"/>
      <c r="DO32" s="277"/>
      <c r="DP32" s="134"/>
      <c r="DQ32" s="134"/>
      <c r="DR32" s="134"/>
      <c r="DS32" s="134"/>
      <c r="DT32" s="138"/>
      <c r="DU32" s="134"/>
      <c r="DV32" s="134"/>
      <c r="DW32" s="134"/>
      <c r="DX32" s="301"/>
      <c r="DY32" s="301"/>
      <c r="DZ32" s="138"/>
      <c r="EA32" s="134"/>
      <c r="EB32" s="134"/>
      <c r="EC32" s="134"/>
      <c r="ED32" s="138"/>
      <c r="EE32" s="134"/>
      <c r="EF32" s="134"/>
      <c r="EG32" s="134"/>
      <c r="EH32" s="301"/>
      <c r="EI32" s="301"/>
      <c r="EJ32" s="277"/>
      <c r="EK32" s="134"/>
      <c r="EL32" s="134"/>
      <c r="EM32" s="134"/>
      <c r="EN32" s="134"/>
      <c r="EO32" s="134"/>
      <c r="EP32" s="134"/>
      <c r="EQ32" s="134"/>
      <c r="ER32" s="134"/>
      <c r="ES32" s="301"/>
      <c r="ET32" s="301"/>
      <c r="EU32" s="134"/>
      <c r="EV32" s="134"/>
      <c r="EW32" s="134"/>
      <c r="EX32" s="134"/>
      <c r="EY32" s="134"/>
      <c r="EZ32" s="134"/>
      <c r="FA32" s="134"/>
      <c r="FB32" s="134"/>
      <c r="FC32" s="135"/>
      <c r="FD32" s="135"/>
      <c r="FE32" s="134"/>
      <c r="FF32" s="134"/>
      <c r="FG32" s="134"/>
      <c r="FH32" s="134"/>
      <c r="FI32" s="134"/>
      <c r="FJ32" s="134"/>
      <c r="FK32" s="134"/>
      <c r="FL32" s="134"/>
      <c r="FM32" s="135"/>
      <c r="FN32" s="135"/>
      <c r="FO32" s="134"/>
      <c r="FP32" s="134"/>
      <c r="FQ32" s="134"/>
      <c r="FR32" s="134"/>
      <c r="FS32" s="134"/>
      <c r="FT32" s="134"/>
      <c r="FU32" s="134"/>
      <c r="FV32" s="134"/>
      <c r="FW32" s="135"/>
      <c r="FX32" s="135"/>
      <c r="FY32" s="134"/>
      <c r="FZ32" s="134"/>
      <c r="GA32" s="134"/>
      <c r="GB32" s="134"/>
      <c r="GC32" s="134"/>
      <c r="GD32" s="134"/>
      <c r="GE32" s="134"/>
      <c r="GF32" s="134"/>
      <c r="GG32" s="135"/>
      <c r="GH32" s="135"/>
      <c r="GI32" s="134"/>
      <c r="GJ32" s="134"/>
      <c r="GK32" s="134"/>
      <c r="GL32" s="134"/>
      <c r="GM32" s="134"/>
      <c r="GN32" s="134"/>
      <c r="GO32" s="134"/>
      <c r="GP32" s="134"/>
      <c r="GQ32" s="135"/>
      <c r="GR32" s="135"/>
      <c r="GS32" s="134"/>
      <c r="GT32" s="134"/>
      <c r="GU32" s="134"/>
      <c r="GV32" s="134"/>
      <c r="GW32" s="134"/>
      <c r="GX32" s="134"/>
      <c r="GY32" s="134"/>
      <c r="GZ32" s="134"/>
      <c r="HA32" s="135"/>
      <c r="HB32" s="135"/>
      <c r="HC32" s="134"/>
      <c r="HD32" s="134"/>
      <c r="HE32" s="134"/>
      <c r="HF32" s="134"/>
      <c r="HG32" s="134"/>
      <c r="HH32" s="134"/>
      <c r="HI32" s="134"/>
      <c r="HJ32" s="134"/>
      <c r="HK32" s="135"/>
      <c r="HL32" s="135"/>
      <c r="HM32" s="134"/>
      <c r="HN32" s="134"/>
      <c r="HO32" s="134"/>
      <c r="HP32" s="134"/>
      <c r="HQ32" s="134"/>
      <c r="HR32" s="134"/>
      <c r="HS32" s="134"/>
      <c r="HT32" s="134"/>
      <c r="HU32" s="135"/>
      <c r="HV32" s="135"/>
      <c r="HW32" s="134"/>
      <c r="HX32" s="134"/>
      <c r="HY32" s="134"/>
      <c r="HZ32" s="134"/>
      <c r="IA32" s="134"/>
      <c r="IB32" s="134"/>
      <c r="IC32" s="134"/>
      <c r="ID32" s="134"/>
      <c r="IE32" s="135"/>
      <c r="IF32" s="135"/>
      <c r="IG32" s="134"/>
      <c r="IH32" s="134"/>
      <c r="II32" s="134"/>
      <c r="IJ32" s="134"/>
      <c r="IK32" s="134"/>
      <c r="IL32" s="134"/>
      <c r="IM32" s="134"/>
      <c r="IN32" s="134"/>
      <c r="IO32" s="135"/>
      <c r="IP32" s="135"/>
      <c r="IQ32" s="134"/>
      <c r="IR32" s="134"/>
      <c r="IS32" s="134"/>
      <c r="IT32" s="134"/>
      <c r="IU32" s="134"/>
      <c r="IV32" s="134"/>
      <c r="IW32" s="134"/>
      <c r="IX32" s="134"/>
      <c r="IY32" s="135"/>
      <c r="IZ32" s="135"/>
    </row>
    <row r="33" spans="1:260" s="119" customFormat="1" ht="17" customHeight="1">
      <c r="A33" s="79" t="s">
        <v>137</v>
      </c>
      <c r="B33" s="418">
        <v>104</v>
      </c>
      <c r="C33" s="117"/>
      <c r="D33" s="117">
        <v>32</v>
      </c>
      <c r="E33" s="123" t="s">
        <v>1949</v>
      </c>
      <c r="F33" s="124" t="s">
        <v>2168</v>
      </c>
      <c r="G33" s="125">
        <v>2008</v>
      </c>
      <c r="H33" s="79">
        <v>18423610</v>
      </c>
      <c r="I33" s="79">
        <v>1</v>
      </c>
      <c r="J33" s="126"/>
      <c r="K33" s="127"/>
      <c r="L33" s="79">
        <v>1</v>
      </c>
      <c r="M33" s="79"/>
      <c r="N33" s="79">
        <v>1</v>
      </c>
      <c r="O33" s="128">
        <v>1</v>
      </c>
      <c r="P33" s="79" t="s">
        <v>433</v>
      </c>
      <c r="Q33" s="79" t="s">
        <v>1152</v>
      </c>
      <c r="R33" s="79" t="s">
        <v>434</v>
      </c>
      <c r="S33" s="79">
        <v>0</v>
      </c>
      <c r="T33" s="79"/>
      <c r="U33" s="79"/>
      <c r="V33" s="79"/>
      <c r="W33" s="79" t="s">
        <v>435</v>
      </c>
      <c r="X33" s="79" t="s">
        <v>436</v>
      </c>
      <c r="Y33" s="79"/>
      <c r="Z33" s="79"/>
      <c r="AA33" s="79"/>
      <c r="AB33" s="79"/>
      <c r="AC33" s="506" t="s">
        <v>6200</v>
      </c>
      <c r="AD33" s="573">
        <v>1</v>
      </c>
      <c r="AE33" s="573">
        <v>0</v>
      </c>
      <c r="AF33" s="154"/>
      <c r="AG33" s="155"/>
      <c r="AH33" s="121"/>
      <c r="AI33" s="484"/>
      <c r="AJ33" s="202"/>
      <c r="AK33" s="192"/>
      <c r="AL33" s="203"/>
      <c r="AM33" s="121"/>
      <c r="AN33" s="121"/>
      <c r="AO33" s="121"/>
      <c r="AP33" s="121"/>
      <c r="AQ33" s="121"/>
      <c r="AR33" s="121"/>
      <c r="AS33" s="121"/>
      <c r="AT33" s="121"/>
      <c r="AU33" s="121"/>
      <c r="AV33" s="121"/>
      <c r="AW33" s="121"/>
      <c r="AX33" s="121"/>
      <c r="AY33" s="121"/>
      <c r="AZ33" s="121"/>
      <c r="BA33" s="121"/>
      <c r="BB33" s="121"/>
      <c r="BC33" s="121"/>
      <c r="BD33" s="156"/>
      <c r="BE33" s="156"/>
      <c r="BF33" s="156"/>
      <c r="BG33" s="156"/>
      <c r="BH33" s="156"/>
      <c r="BI33" s="156"/>
      <c r="BJ33" s="156"/>
      <c r="BK33" s="156"/>
      <c r="BL33" s="156" t="s">
        <v>5207</v>
      </c>
      <c r="BM33" s="156"/>
      <c r="BN33" s="156"/>
      <c r="BO33" s="156"/>
      <c r="BP33" s="156"/>
      <c r="BQ33" s="157"/>
      <c r="BR33" s="134"/>
      <c r="BS33" s="134"/>
      <c r="BT33" s="134"/>
      <c r="BU33" s="134"/>
      <c r="BV33" s="134"/>
      <c r="BW33" s="259"/>
      <c r="BX33" s="138"/>
      <c r="BY33" s="134"/>
      <c r="BZ33" s="134"/>
      <c r="CA33" s="134"/>
      <c r="CB33" s="138"/>
      <c r="CC33" s="134"/>
      <c r="CD33" s="134"/>
      <c r="CE33" s="134"/>
      <c r="CF33" s="288"/>
      <c r="CG33" s="437"/>
      <c r="CH33" s="138"/>
      <c r="CI33" s="134"/>
      <c r="CJ33" s="134"/>
      <c r="CK33" s="134"/>
      <c r="CL33" s="138"/>
      <c r="CM33" s="134"/>
      <c r="CN33" s="134"/>
      <c r="CO33" s="134"/>
      <c r="CP33" s="288"/>
      <c r="CQ33" s="289"/>
      <c r="CR33" s="276"/>
      <c r="CS33" s="308"/>
      <c r="CT33" s="138"/>
      <c r="CU33" s="134"/>
      <c r="CV33" s="134"/>
      <c r="CW33" s="134"/>
      <c r="CX33" s="134"/>
      <c r="CY33" s="134"/>
      <c r="CZ33" s="134"/>
      <c r="DA33" s="134"/>
      <c r="DB33" s="300"/>
      <c r="DC33" s="301"/>
      <c r="DD33" s="134"/>
      <c r="DE33" s="134"/>
      <c r="DF33" s="134"/>
      <c r="DG33" s="134"/>
      <c r="DH33" s="134"/>
      <c r="DI33" s="134"/>
      <c r="DJ33" s="134"/>
      <c r="DK33" s="134"/>
      <c r="DL33" s="300"/>
      <c r="DM33" s="301"/>
      <c r="DN33" s="276"/>
      <c r="DO33" s="277"/>
      <c r="DP33" s="134"/>
      <c r="DQ33" s="134"/>
      <c r="DR33" s="134"/>
      <c r="DS33" s="134"/>
      <c r="DT33" s="138"/>
      <c r="DU33" s="134"/>
      <c r="DV33" s="134"/>
      <c r="DW33" s="134"/>
      <c r="DX33" s="301"/>
      <c r="DY33" s="301"/>
      <c r="DZ33" s="138"/>
      <c r="EA33" s="134"/>
      <c r="EB33" s="134"/>
      <c r="EC33" s="134"/>
      <c r="ED33" s="138"/>
      <c r="EE33" s="134"/>
      <c r="EF33" s="134"/>
      <c r="EG33" s="134"/>
      <c r="EH33" s="301"/>
      <c r="EI33" s="301"/>
      <c r="EJ33" s="277"/>
      <c r="EK33" s="134"/>
      <c r="EL33" s="134"/>
      <c r="EM33" s="134"/>
      <c r="EN33" s="134"/>
      <c r="EO33" s="134"/>
      <c r="EP33" s="134"/>
      <c r="EQ33" s="134"/>
      <c r="ER33" s="134"/>
      <c r="ES33" s="301"/>
      <c r="ET33" s="301"/>
      <c r="EU33" s="134"/>
      <c r="EV33" s="134"/>
      <c r="EW33" s="134"/>
      <c r="EX33" s="134"/>
      <c r="EY33" s="134"/>
      <c r="EZ33" s="134"/>
      <c r="FA33" s="134"/>
      <c r="FB33" s="134"/>
      <c r="FC33" s="135"/>
      <c r="FD33" s="135"/>
      <c r="FE33" s="134"/>
      <c r="FF33" s="134"/>
      <c r="FG33" s="134"/>
      <c r="FH33" s="134"/>
      <c r="FI33" s="134"/>
      <c r="FJ33" s="134"/>
      <c r="FK33" s="134"/>
      <c r="FL33" s="134"/>
      <c r="FM33" s="135"/>
      <c r="FN33" s="135"/>
      <c r="FO33" s="134"/>
      <c r="FP33" s="134"/>
      <c r="FQ33" s="134"/>
      <c r="FR33" s="134"/>
      <c r="FS33" s="134"/>
      <c r="FT33" s="134"/>
      <c r="FU33" s="134"/>
      <c r="FV33" s="134"/>
      <c r="FW33" s="135"/>
      <c r="FX33" s="135"/>
      <c r="FY33" s="134"/>
      <c r="FZ33" s="134"/>
      <c r="GA33" s="134"/>
      <c r="GB33" s="134"/>
      <c r="GC33" s="134"/>
      <c r="GD33" s="134"/>
      <c r="GE33" s="134"/>
      <c r="GF33" s="134"/>
      <c r="GG33" s="135"/>
      <c r="GH33" s="135"/>
      <c r="GI33" s="134"/>
      <c r="GJ33" s="134"/>
      <c r="GK33" s="134"/>
      <c r="GL33" s="134"/>
      <c r="GM33" s="134"/>
      <c r="GN33" s="134"/>
      <c r="GO33" s="134"/>
      <c r="GP33" s="134"/>
      <c r="GQ33" s="135"/>
      <c r="GR33" s="135"/>
      <c r="GS33" s="134"/>
      <c r="GT33" s="134"/>
      <c r="GU33" s="134"/>
      <c r="GV33" s="134"/>
      <c r="GW33" s="134"/>
      <c r="GX33" s="134"/>
      <c r="GY33" s="134"/>
      <c r="GZ33" s="134"/>
      <c r="HA33" s="135"/>
      <c r="HB33" s="135"/>
      <c r="HC33" s="134"/>
      <c r="HD33" s="134"/>
      <c r="HE33" s="134"/>
      <c r="HF33" s="134"/>
      <c r="HG33" s="134"/>
      <c r="HH33" s="134"/>
      <c r="HI33" s="134"/>
      <c r="HJ33" s="134"/>
      <c r="HK33" s="135"/>
      <c r="HL33" s="135"/>
      <c r="HM33" s="134"/>
      <c r="HN33" s="134"/>
      <c r="HO33" s="134"/>
      <c r="HP33" s="134"/>
      <c r="HQ33" s="134"/>
      <c r="HR33" s="134"/>
      <c r="HS33" s="134"/>
      <c r="HT33" s="134"/>
      <c r="HU33" s="135"/>
      <c r="HV33" s="135"/>
      <c r="HW33" s="134"/>
      <c r="HX33" s="134"/>
      <c r="HY33" s="134"/>
      <c r="HZ33" s="134"/>
      <c r="IA33" s="134"/>
      <c r="IB33" s="134"/>
      <c r="IC33" s="134"/>
      <c r="ID33" s="134"/>
      <c r="IE33" s="135"/>
      <c r="IF33" s="135"/>
      <c r="IG33" s="134"/>
      <c r="IH33" s="134"/>
      <c r="II33" s="134"/>
      <c r="IJ33" s="134"/>
      <c r="IK33" s="134"/>
      <c r="IL33" s="134"/>
      <c r="IM33" s="134"/>
      <c r="IN33" s="134"/>
      <c r="IO33" s="135"/>
      <c r="IP33" s="135"/>
      <c r="IQ33" s="134"/>
      <c r="IR33" s="134"/>
      <c r="IS33" s="134"/>
      <c r="IT33" s="134"/>
      <c r="IU33" s="134"/>
      <c r="IV33" s="134"/>
      <c r="IW33" s="134"/>
      <c r="IX33" s="134"/>
      <c r="IY33" s="135"/>
      <c r="IZ33" s="135"/>
    </row>
    <row r="34" spans="1:260" s="119" customFormat="1" ht="17" customHeight="1">
      <c r="A34" s="79" t="s">
        <v>1070</v>
      </c>
      <c r="B34" s="418">
        <v>105</v>
      </c>
      <c r="C34" s="117"/>
      <c r="D34" s="117">
        <v>33</v>
      </c>
      <c r="E34" s="123" t="s">
        <v>2068</v>
      </c>
      <c r="F34" s="124" t="s">
        <v>2320</v>
      </c>
      <c r="G34" s="125">
        <v>2014</v>
      </c>
      <c r="H34" s="79">
        <v>24675061</v>
      </c>
      <c r="I34" s="79">
        <v>1</v>
      </c>
      <c r="J34" s="126"/>
      <c r="K34" s="127"/>
      <c r="L34" s="79">
        <v>1</v>
      </c>
      <c r="M34" s="79"/>
      <c r="N34" s="79">
        <v>1</v>
      </c>
      <c r="O34" s="128">
        <v>2</v>
      </c>
      <c r="P34" s="79" t="s">
        <v>1307</v>
      </c>
      <c r="Q34" s="79" t="s">
        <v>1224</v>
      </c>
      <c r="R34" s="79" t="s">
        <v>1127</v>
      </c>
      <c r="S34" s="79"/>
      <c r="T34" s="79" t="s">
        <v>1498</v>
      </c>
      <c r="U34" s="79"/>
      <c r="V34" s="79"/>
      <c r="W34" s="79" t="s">
        <v>1516</v>
      </c>
      <c r="X34" s="79" t="s">
        <v>1308</v>
      </c>
      <c r="Y34" s="79" t="s">
        <v>1309</v>
      </c>
      <c r="Z34" s="79"/>
      <c r="AA34" s="79"/>
      <c r="AB34" s="79"/>
      <c r="AC34" s="506" t="s">
        <v>6201</v>
      </c>
      <c r="AD34" s="573">
        <v>1</v>
      </c>
      <c r="AE34" s="573">
        <v>1</v>
      </c>
      <c r="AF34" s="154"/>
      <c r="AG34" s="155"/>
      <c r="AH34" s="121">
        <v>4</v>
      </c>
      <c r="AI34" s="484"/>
      <c r="AJ34" s="202"/>
      <c r="AK34" s="192"/>
      <c r="AL34" s="203"/>
      <c r="AM34" s="121"/>
      <c r="AN34" s="121"/>
      <c r="AO34" s="121"/>
      <c r="AP34" s="121"/>
      <c r="AQ34" s="121"/>
      <c r="AR34" s="121"/>
      <c r="AS34" s="121"/>
      <c r="AT34" s="121"/>
      <c r="AU34" s="121"/>
      <c r="AV34" s="121"/>
      <c r="AW34" s="121"/>
      <c r="AX34" s="121"/>
      <c r="AY34" s="121"/>
      <c r="AZ34" s="121"/>
      <c r="BA34" s="121"/>
      <c r="BB34" s="121"/>
      <c r="BC34" s="121"/>
      <c r="BD34" s="156" t="s">
        <v>5207</v>
      </c>
      <c r="BE34" s="156"/>
      <c r="BF34" s="156"/>
      <c r="BG34" s="156"/>
      <c r="BH34" s="156"/>
      <c r="BI34" s="156"/>
      <c r="BJ34" s="156" t="s">
        <v>6174</v>
      </c>
      <c r="BK34" s="156"/>
      <c r="BL34" s="156"/>
      <c r="BM34" s="156"/>
      <c r="BN34" s="156"/>
      <c r="BO34" s="156"/>
      <c r="BP34" s="156"/>
      <c r="BQ34" s="157"/>
      <c r="BR34" s="134"/>
      <c r="BS34" s="134"/>
      <c r="BT34" s="134"/>
      <c r="BU34" s="134"/>
      <c r="BV34" s="134"/>
      <c r="BW34" s="540"/>
      <c r="BX34" s="138"/>
      <c r="BY34" s="190"/>
      <c r="BZ34" s="134"/>
      <c r="CA34" s="190"/>
      <c r="CB34" s="138"/>
      <c r="CC34" s="190"/>
      <c r="CD34" s="134"/>
      <c r="CE34" s="389"/>
      <c r="CF34" s="288"/>
      <c r="CG34" s="289"/>
      <c r="CH34" s="439"/>
      <c r="CI34" s="190"/>
      <c r="CJ34" s="134"/>
      <c r="CK34" s="190"/>
      <c r="CL34" s="439"/>
      <c r="CM34" s="190"/>
      <c r="CN34" s="134"/>
      <c r="CO34" s="389"/>
      <c r="CP34" s="288"/>
      <c r="CQ34" s="441"/>
      <c r="CR34" s="479"/>
      <c r="CS34" s="308"/>
      <c r="CT34" s="138"/>
      <c r="CU34" s="190"/>
      <c r="CV34" s="134"/>
      <c r="CW34" s="190"/>
      <c r="CX34" s="134"/>
      <c r="CY34" s="190"/>
      <c r="CZ34" s="134"/>
      <c r="DA34" s="190"/>
      <c r="DB34" s="300"/>
      <c r="DC34" s="301"/>
      <c r="DD34" s="134"/>
      <c r="DE34" s="190"/>
      <c r="DF34" s="134"/>
      <c r="DG34" s="190"/>
      <c r="DH34" s="134"/>
      <c r="DI34" s="190"/>
      <c r="DJ34" s="134"/>
      <c r="DK34" s="190"/>
      <c r="DL34" s="300"/>
      <c r="DM34" s="301"/>
      <c r="DN34" s="317"/>
      <c r="DO34" s="318"/>
      <c r="DP34" s="190"/>
      <c r="DQ34" s="190"/>
      <c r="DR34" s="190"/>
      <c r="DS34" s="190"/>
      <c r="DT34" s="556"/>
      <c r="DU34" s="190"/>
      <c r="DV34" s="190"/>
      <c r="DW34" s="190"/>
      <c r="DX34" s="469"/>
      <c r="DY34" s="469"/>
      <c r="DZ34" s="556"/>
      <c r="EA34" s="190"/>
      <c r="EB34" s="190"/>
      <c r="EC34" s="190"/>
      <c r="ED34" s="556"/>
      <c r="EE34" s="190"/>
      <c r="EF34" s="190"/>
      <c r="EG34" s="190"/>
      <c r="EH34" s="469"/>
      <c r="EI34" s="469"/>
      <c r="EJ34" s="318"/>
      <c r="EK34" s="190"/>
      <c r="EL34" s="190"/>
      <c r="EM34" s="190"/>
      <c r="EN34" s="190"/>
      <c r="EO34" s="190"/>
      <c r="EP34" s="190"/>
      <c r="EQ34" s="190"/>
      <c r="ER34" s="190"/>
      <c r="ES34" s="469"/>
      <c r="ET34" s="469"/>
      <c r="EU34" s="190"/>
      <c r="EV34" s="190"/>
      <c r="EW34" s="190"/>
      <c r="EX34" s="190"/>
      <c r="EY34" s="134"/>
      <c r="EZ34" s="134"/>
      <c r="FA34" s="134"/>
      <c r="FB34" s="134"/>
      <c r="FC34" s="135"/>
      <c r="FD34" s="135"/>
      <c r="FE34" s="134"/>
      <c r="FF34" s="134"/>
      <c r="FG34" s="134"/>
      <c r="FH34" s="134"/>
      <c r="FI34" s="134"/>
      <c r="FJ34" s="134"/>
      <c r="FK34" s="134"/>
      <c r="FL34" s="134"/>
      <c r="FM34" s="135"/>
      <c r="FN34" s="135"/>
      <c r="FO34" s="134"/>
      <c r="FP34" s="134"/>
      <c r="FQ34" s="134"/>
      <c r="FR34" s="134"/>
      <c r="FS34" s="134"/>
      <c r="FT34" s="134"/>
      <c r="FU34" s="134"/>
      <c r="FV34" s="134"/>
      <c r="FW34" s="135"/>
      <c r="FX34" s="135"/>
      <c r="FY34" s="134"/>
      <c r="FZ34" s="134"/>
      <c r="GA34" s="134"/>
      <c r="GB34" s="134"/>
      <c r="GC34" s="134"/>
      <c r="GD34" s="134"/>
      <c r="GE34" s="134"/>
      <c r="GF34" s="134"/>
      <c r="GG34" s="135"/>
      <c r="GH34" s="135"/>
      <c r="GI34" s="134"/>
      <c r="GJ34" s="134"/>
      <c r="GK34" s="134"/>
      <c r="GL34" s="134"/>
      <c r="GM34" s="134"/>
      <c r="GN34" s="134"/>
      <c r="GO34" s="134"/>
      <c r="GP34" s="134"/>
      <c r="GQ34" s="135"/>
      <c r="GR34" s="135"/>
      <c r="GS34" s="134"/>
      <c r="GT34" s="134"/>
      <c r="GU34" s="134"/>
      <c r="GV34" s="134"/>
      <c r="GW34" s="134"/>
      <c r="GX34" s="134"/>
      <c r="GY34" s="134"/>
      <c r="GZ34" s="134"/>
      <c r="HA34" s="135"/>
      <c r="HB34" s="135"/>
      <c r="HC34" s="134"/>
      <c r="HD34" s="134"/>
      <c r="HE34" s="134"/>
      <c r="HF34" s="134"/>
      <c r="HG34" s="134"/>
      <c r="HH34" s="134"/>
      <c r="HI34" s="134"/>
      <c r="HJ34" s="134"/>
      <c r="HK34" s="135"/>
      <c r="HL34" s="135"/>
      <c r="HM34" s="134"/>
      <c r="HN34" s="134"/>
      <c r="HO34" s="134"/>
      <c r="HP34" s="134"/>
      <c r="HQ34" s="134"/>
      <c r="HR34" s="134"/>
      <c r="HS34" s="134"/>
      <c r="HT34" s="134"/>
      <c r="HU34" s="135"/>
      <c r="HV34" s="135"/>
      <c r="HW34" s="134"/>
      <c r="HX34" s="134"/>
      <c r="HY34" s="134"/>
      <c r="HZ34" s="134"/>
      <c r="IA34" s="134"/>
      <c r="IB34" s="134"/>
      <c r="IC34" s="134"/>
      <c r="ID34" s="134"/>
      <c r="IE34" s="135"/>
      <c r="IF34" s="135"/>
      <c r="IG34" s="134"/>
      <c r="IH34" s="134"/>
      <c r="II34" s="134"/>
      <c r="IJ34" s="134"/>
      <c r="IK34" s="134"/>
      <c r="IL34" s="134"/>
      <c r="IM34" s="134"/>
      <c r="IN34" s="134"/>
      <c r="IO34" s="135"/>
      <c r="IP34" s="135"/>
      <c r="IQ34" s="134"/>
      <c r="IR34" s="134"/>
      <c r="IS34" s="134"/>
      <c r="IT34" s="134"/>
      <c r="IU34" s="134"/>
      <c r="IV34" s="134"/>
      <c r="IW34" s="134"/>
      <c r="IX34" s="134"/>
      <c r="IY34" s="135"/>
      <c r="IZ34" s="135"/>
    </row>
    <row r="35" spans="1:260" s="119" customFormat="1" ht="17" customHeight="1">
      <c r="A35" s="79" t="s">
        <v>1065</v>
      </c>
      <c r="B35" s="418">
        <v>107</v>
      </c>
      <c r="C35" s="117"/>
      <c r="D35" s="117">
        <v>34</v>
      </c>
      <c r="E35" s="123" t="s">
        <v>2070</v>
      </c>
      <c r="F35" s="124" t="s">
        <v>2322</v>
      </c>
      <c r="G35" s="125">
        <v>2015</v>
      </c>
      <c r="H35" s="79">
        <v>25746511</v>
      </c>
      <c r="I35" s="79">
        <v>1</v>
      </c>
      <c r="J35" s="126"/>
      <c r="K35" s="127"/>
      <c r="L35" s="79">
        <v>1</v>
      </c>
      <c r="M35" s="79"/>
      <c r="N35" s="79">
        <v>1</v>
      </c>
      <c r="O35" s="128">
        <v>2</v>
      </c>
      <c r="P35" s="79" t="s">
        <v>1317</v>
      </c>
      <c r="Q35" s="79" t="s">
        <v>1166</v>
      </c>
      <c r="R35" s="79" t="s">
        <v>1127</v>
      </c>
      <c r="S35" s="79"/>
      <c r="T35" s="79" t="s">
        <v>1487</v>
      </c>
      <c r="U35" s="79"/>
      <c r="V35" s="79"/>
      <c r="W35" s="79" t="s">
        <v>1316</v>
      </c>
      <c r="X35" s="79"/>
      <c r="Y35" s="79"/>
      <c r="Z35" s="79"/>
      <c r="AA35" s="79"/>
      <c r="AB35" s="79"/>
      <c r="AC35" s="506" t="s">
        <v>6202</v>
      </c>
      <c r="AD35" s="573">
        <v>1</v>
      </c>
      <c r="AE35" s="573">
        <v>0</v>
      </c>
      <c r="AF35" s="154"/>
      <c r="AG35" s="155"/>
      <c r="AH35" s="121">
        <v>4</v>
      </c>
      <c r="AI35" s="484"/>
      <c r="AJ35" s="202"/>
      <c r="AK35" s="192"/>
      <c r="AL35" s="203"/>
      <c r="AM35" s="121"/>
      <c r="AN35" s="121"/>
      <c r="AO35" s="121"/>
      <c r="AP35" s="121"/>
      <c r="AQ35" s="121"/>
      <c r="AR35" s="121"/>
      <c r="AS35" s="121"/>
      <c r="AT35" s="121"/>
      <c r="AU35" s="121"/>
      <c r="AV35" s="121"/>
      <c r="AW35" s="121"/>
      <c r="AX35" s="121"/>
      <c r="AY35" s="121"/>
      <c r="AZ35" s="121"/>
      <c r="BA35" s="121"/>
      <c r="BB35" s="121"/>
      <c r="BC35" s="121"/>
      <c r="BD35" s="156"/>
      <c r="BE35" s="156"/>
      <c r="BF35" s="156"/>
      <c r="BG35" s="156" t="s">
        <v>6175</v>
      </c>
      <c r="BH35" s="156"/>
      <c r="BI35" s="156" t="s">
        <v>5207</v>
      </c>
      <c r="BJ35" s="156"/>
      <c r="BK35" s="156"/>
      <c r="BL35" s="156"/>
      <c r="BM35" s="156"/>
      <c r="BN35" s="156"/>
      <c r="BO35" s="156"/>
      <c r="BP35" s="156"/>
      <c r="BQ35" s="157"/>
      <c r="BR35" s="134"/>
      <c r="BS35" s="134"/>
      <c r="BT35" s="134"/>
      <c r="BU35" s="134"/>
      <c r="BV35" s="134"/>
      <c r="BW35" s="259"/>
      <c r="BX35" s="138"/>
      <c r="BY35" s="134"/>
      <c r="BZ35" s="134"/>
      <c r="CA35" s="134"/>
      <c r="CB35" s="138"/>
      <c r="CC35" s="134"/>
      <c r="CD35" s="134"/>
      <c r="CE35" s="134"/>
      <c r="CF35" s="288"/>
      <c r="CG35" s="289"/>
      <c r="CH35" s="138"/>
      <c r="CI35" s="134"/>
      <c r="CJ35" s="134"/>
      <c r="CK35" s="134"/>
      <c r="CL35" s="138"/>
      <c r="CM35" s="134"/>
      <c r="CN35" s="134"/>
      <c r="CO35" s="134"/>
      <c r="CP35" s="288"/>
      <c r="CQ35" s="289"/>
      <c r="CR35" s="276"/>
      <c r="CS35" s="308"/>
      <c r="CT35" s="138"/>
      <c r="CU35" s="134"/>
      <c r="CV35" s="134"/>
      <c r="CW35" s="134"/>
      <c r="CX35" s="134"/>
      <c r="CY35" s="134"/>
      <c r="CZ35" s="134"/>
      <c r="DA35" s="134"/>
      <c r="DB35" s="300"/>
      <c r="DC35" s="301"/>
      <c r="DD35" s="134"/>
      <c r="DE35" s="134"/>
      <c r="DF35" s="134"/>
      <c r="DG35" s="134"/>
      <c r="DH35" s="134"/>
      <c r="DI35" s="134"/>
      <c r="DJ35" s="134"/>
      <c r="DK35" s="134"/>
      <c r="DL35" s="300"/>
      <c r="DM35" s="301"/>
      <c r="DN35" s="276"/>
      <c r="DO35" s="277"/>
      <c r="DP35" s="134"/>
      <c r="DQ35" s="134"/>
      <c r="DR35" s="134"/>
      <c r="DS35" s="134"/>
      <c r="DT35" s="138"/>
      <c r="DU35" s="134"/>
      <c r="DV35" s="134"/>
      <c r="DW35" s="134"/>
      <c r="DX35" s="301"/>
      <c r="DY35" s="301"/>
      <c r="DZ35" s="138"/>
      <c r="EA35" s="134"/>
      <c r="EB35" s="134"/>
      <c r="EC35" s="134"/>
      <c r="ED35" s="138"/>
      <c r="EE35" s="134"/>
      <c r="EF35" s="134"/>
      <c r="EG35" s="134"/>
      <c r="EH35" s="301"/>
      <c r="EI35" s="301"/>
      <c r="EJ35" s="277"/>
      <c r="EK35" s="134"/>
      <c r="EL35" s="134"/>
      <c r="EM35" s="134"/>
      <c r="EN35" s="134"/>
      <c r="EO35" s="134"/>
      <c r="EP35" s="134"/>
      <c r="EQ35" s="134"/>
      <c r="ER35" s="134"/>
      <c r="ES35" s="301"/>
      <c r="ET35" s="301"/>
      <c r="EU35" s="134"/>
      <c r="EV35" s="134"/>
      <c r="EW35" s="134"/>
      <c r="EX35" s="134"/>
      <c r="EY35" s="134"/>
      <c r="EZ35" s="134"/>
      <c r="FA35" s="134"/>
      <c r="FB35" s="134"/>
      <c r="FC35" s="135"/>
      <c r="FD35" s="135"/>
      <c r="FE35" s="134"/>
      <c r="FF35" s="134"/>
      <c r="FG35" s="134"/>
      <c r="FH35" s="134"/>
      <c r="FI35" s="134"/>
      <c r="FJ35" s="134"/>
      <c r="FK35" s="134"/>
      <c r="FL35" s="134"/>
      <c r="FM35" s="135"/>
      <c r="FN35" s="135"/>
      <c r="FO35" s="134"/>
      <c r="FP35" s="134"/>
      <c r="FQ35" s="134"/>
      <c r="FR35" s="134"/>
      <c r="FS35" s="134"/>
      <c r="FT35" s="134"/>
      <c r="FU35" s="134"/>
      <c r="FV35" s="134"/>
      <c r="FW35" s="135"/>
      <c r="FX35" s="135"/>
      <c r="FY35" s="134"/>
      <c r="FZ35" s="134"/>
      <c r="GA35" s="134"/>
      <c r="GB35" s="134"/>
      <c r="GC35" s="134"/>
      <c r="GD35" s="134"/>
      <c r="GE35" s="134"/>
      <c r="GF35" s="134"/>
      <c r="GG35" s="135"/>
      <c r="GH35" s="135"/>
      <c r="GI35" s="134"/>
      <c r="GJ35" s="134"/>
      <c r="GK35" s="134"/>
      <c r="GL35" s="134"/>
      <c r="GM35" s="134"/>
      <c r="GN35" s="134"/>
      <c r="GO35" s="134"/>
      <c r="GP35" s="134"/>
      <c r="GQ35" s="135"/>
      <c r="GR35" s="135"/>
      <c r="GS35" s="134"/>
      <c r="GT35" s="134"/>
      <c r="GU35" s="134"/>
      <c r="GV35" s="134"/>
      <c r="GW35" s="134"/>
      <c r="GX35" s="134"/>
      <c r="GY35" s="134"/>
      <c r="GZ35" s="134"/>
      <c r="HA35" s="135"/>
      <c r="HB35" s="135"/>
      <c r="HC35" s="134"/>
      <c r="HD35" s="134"/>
      <c r="HE35" s="134"/>
      <c r="HF35" s="134"/>
      <c r="HG35" s="134"/>
      <c r="HH35" s="134"/>
      <c r="HI35" s="134"/>
      <c r="HJ35" s="134"/>
      <c r="HK35" s="135"/>
      <c r="HL35" s="135"/>
      <c r="HM35" s="134"/>
      <c r="HN35" s="134"/>
      <c r="HO35" s="134"/>
      <c r="HP35" s="134"/>
      <c r="HQ35" s="134"/>
      <c r="HR35" s="134"/>
      <c r="HS35" s="134"/>
      <c r="HT35" s="134"/>
      <c r="HU35" s="135"/>
      <c r="HV35" s="135"/>
      <c r="HW35" s="134"/>
      <c r="HX35" s="134"/>
      <c r="HY35" s="134"/>
      <c r="HZ35" s="134"/>
      <c r="IA35" s="134"/>
      <c r="IB35" s="134"/>
      <c r="IC35" s="134"/>
      <c r="ID35" s="134"/>
      <c r="IE35" s="135"/>
      <c r="IF35" s="135"/>
      <c r="IG35" s="134"/>
      <c r="IH35" s="134"/>
      <c r="II35" s="134"/>
      <c r="IJ35" s="134"/>
      <c r="IK35" s="134"/>
      <c r="IL35" s="134"/>
      <c r="IM35" s="134"/>
      <c r="IN35" s="134"/>
      <c r="IO35" s="135"/>
      <c r="IP35" s="135"/>
      <c r="IQ35" s="134"/>
      <c r="IR35" s="134"/>
      <c r="IS35" s="134"/>
      <c r="IT35" s="134"/>
      <c r="IU35" s="134"/>
      <c r="IV35" s="134"/>
      <c r="IW35" s="134"/>
      <c r="IX35" s="134"/>
      <c r="IY35" s="135"/>
      <c r="IZ35" s="135"/>
    </row>
    <row r="36" spans="1:260" s="119" customFormat="1" ht="17" customHeight="1">
      <c r="A36" s="79" t="s">
        <v>154</v>
      </c>
      <c r="B36" s="418">
        <v>116</v>
      </c>
      <c r="C36" s="117"/>
      <c r="D36" s="117">
        <v>35</v>
      </c>
      <c r="E36" s="123" t="s">
        <v>1956</v>
      </c>
      <c r="F36" s="124" t="s">
        <v>2178</v>
      </c>
      <c r="G36" s="125">
        <v>2007</v>
      </c>
      <c r="H36" s="79">
        <v>18037391</v>
      </c>
      <c r="I36" s="79">
        <v>1</v>
      </c>
      <c r="J36" s="126"/>
      <c r="K36" s="127"/>
      <c r="L36" s="79">
        <v>1</v>
      </c>
      <c r="M36" s="79"/>
      <c r="N36" s="164">
        <v>1</v>
      </c>
      <c r="O36" s="128">
        <v>1</v>
      </c>
      <c r="P36" s="79" t="s">
        <v>449</v>
      </c>
      <c r="Q36" s="79"/>
      <c r="R36" s="79" t="s">
        <v>471</v>
      </c>
      <c r="S36" s="79">
        <v>0</v>
      </c>
      <c r="T36" s="79"/>
      <c r="U36" s="79"/>
      <c r="V36" s="79"/>
      <c r="W36" s="79" t="s">
        <v>24</v>
      </c>
      <c r="X36" s="79"/>
      <c r="Y36" s="79" t="s">
        <v>23</v>
      </c>
      <c r="Z36" s="79"/>
      <c r="AA36" s="79"/>
      <c r="AB36" s="79" t="s">
        <v>470</v>
      </c>
      <c r="AC36" s="506" t="s">
        <v>6204</v>
      </c>
      <c r="AD36" s="573">
        <v>1</v>
      </c>
      <c r="AE36" s="573">
        <v>0</v>
      </c>
      <c r="AF36" s="154"/>
      <c r="AG36" s="155" t="s">
        <v>6203</v>
      </c>
      <c r="AH36" s="121"/>
      <c r="AI36" s="484"/>
      <c r="AJ36" s="202"/>
      <c r="AK36" s="192"/>
      <c r="AL36" s="203"/>
      <c r="AM36" s="121"/>
      <c r="AN36" s="121"/>
      <c r="AO36" s="121"/>
      <c r="AP36" s="121"/>
      <c r="AQ36" s="121"/>
      <c r="AR36" s="121"/>
      <c r="AS36" s="121"/>
      <c r="AT36" s="121"/>
      <c r="AU36" s="121"/>
      <c r="AV36" s="121"/>
      <c r="AW36" s="121"/>
      <c r="AX36" s="121"/>
      <c r="AY36" s="121"/>
      <c r="AZ36" s="121"/>
      <c r="BA36" s="121"/>
      <c r="BB36" s="121"/>
      <c r="BC36" s="121"/>
      <c r="BD36" s="156"/>
      <c r="BE36" s="156"/>
      <c r="BF36" s="156"/>
      <c r="BG36" s="156"/>
      <c r="BH36" s="156"/>
      <c r="BI36" s="156"/>
      <c r="BJ36" s="156"/>
      <c r="BK36" s="156"/>
      <c r="BL36" s="156" t="s">
        <v>5207</v>
      </c>
      <c r="BM36" s="156"/>
      <c r="BN36" s="156"/>
      <c r="BO36" s="156"/>
      <c r="BP36" s="156"/>
      <c r="BQ36" s="157"/>
      <c r="BR36" s="134"/>
      <c r="BS36" s="134"/>
      <c r="BT36" s="134"/>
      <c r="BU36" s="134"/>
      <c r="BV36" s="134"/>
      <c r="BW36" s="259"/>
      <c r="BX36" s="138"/>
      <c r="BY36" s="134"/>
      <c r="BZ36" s="134"/>
      <c r="CA36" s="134"/>
      <c r="CB36" s="138"/>
      <c r="CC36" s="134"/>
      <c r="CD36" s="134"/>
      <c r="CE36" s="134"/>
      <c r="CF36" s="288"/>
      <c r="CG36" s="289"/>
      <c r="CH36" s="138"/>
      <c r="CI36" s="134"/>
      <c r="CJ36" s="134"/>
      <c r="CK36" s="134"/>
      <c r="CL36" s="138"/>
      <c r="CM36" s="134"/>
      <c r="CN36" s="134"/>
      <c r="CO36" s="134"/>
      <c r="CP36" s="288"/>
      <c r="CQ36" s="289"/>
      <c r="CR36" s="276"/>
      <c r="CS36" s="308"/>
      <c r="CT36" s="138"/>
      <c r="CU36" s="134"/>
      <c r="CV36" s="134"/>
      <c r="CW36" s="134"/>
      <c r="CX36" s="134"/>
      <c r="CY36" s="134"/>
      <c r="CZ36" s="134"/>
      <c r="DA36" s="134"/>
      <c r="DB36" s="300"/>
      <c r="DC36" s="301"/>
      <c r="DD36" s="134"/>
      <c r="DE36" s="134"/>
      <c r="DF36" s="134"/>
      <c r="DG36" s="134"/>
      <c r="DH36" s="134"/>
      <c r="DI36" s="134"/>
      <c r="DJ36" s="134"/>
      <c r="DK36" s="134"/>
      <c r="DL36" s="300"/>
      <c r="DM36" s="301"/>
      <c r="DN36" s="276"/>
      <c r="DO36" s="277"/>
      <c r="DP36" s="134"/>
      <c r="DQ36" s="134"/>
      <c r="DR36" s="134"/>
      <c r="DS36" s="134"/>
      <c r="DT36" s="138"/>
      <c r="DU36" s="134"/>
      <c r="DV36" s="134"/>
      <c r="DW36" s="134"/>
      <c r="DX36" s="301"/>
      <c r="DY36" s="301"/>
      <c r="DZ36" s="138"/>
      <c r="EA36" s="134"/>
      <c r="EB36" s="134"/>
      <c r="EC36" s="134"/>
      <c r="ED36" s="138"/>
      <c r="EE36" s="134"/>
      <c r="EF36" s="134"/>
      <c r="EG36" s="134"/>
      <c r="EH36" s="301"/>
      <c r="EI36" s="301"/>
      <c r="EJ36" s="277"/>
      <c r="EK36" s="134"/>
      <c r="EL36" s="134"/>
      <c r="EM36" s="134"/>
      <c r="EN36" s="134"/>
      <c r="EO36" s="134"/>
      <c r="EP36" s="134"/>
      <c r="EQ36" s="134"/>
      <c r="ER36" s="134"/>
      <c r="ES36" s="301"/>
      <c r="ET36" s="301"/>
      <c r="EU36" s="134"/>
      <c r="EV36" s="134"/>
      <c r="EW36" s="134"/>
      <c r="EX36" s="134"/>
      <c r="EY36" s="134"/>
      <c r="EZ36" s="134"/>
      <c r="FA36" s="134"/>
      <c r="FB36" s="134"/>
      <c r="FC36" s="135"/>
      <c r="FD36" s="135"/>
      <c r="FE36" s="134"/>
      <c r="FF36" s="134"/>
      <c r="FG36" s="134"/>
      <c r="FH36" s="134"/>
      <c r="FI36" s="134"/>
      <c r="FJ36" s="134"/>
      <c r="FK36" s="134"/>
      <c r="FL36" s="134"/>
      <c r="FM36" s="135"/>
      <c r="FN36" s="135"/>
      <c r="FO36" s="134"/>
      <c r="FP36" s="134"/>
      <c r="FQ36" s="134"/>
      <c r="FR36" s="134"/>
      <c r="FS36" s="134"/>
      <c r="FT36" s="134"/>
      <c r="FU36" s="134"/>
      <c r="FV36" s="134"/>
      <c r="FW36" s="135"/>
      <c r="FX36" s="135"/>
      <c r="FY36" s="134"/>
      <c r="FZ36" s="134"/>
      <c r="GA36" s="134"/>
      <c r="GB36" s="134"/>
      <c r="GC36" s="134"/>
      <c r="GD36" s="134"/>
      <c r="GE36" s="134"/>
      <c r="GF36" s="134"/>
      <c r="GG36" s="135"/>
      <c r="GH36" s="135"/>
      <c r="GI36" s="134"/>
      <c r="GJ36" s="134"/>
      <c r="GK36" s="134"/>
      <c r="GL36" s="134"/>
      <c r="GM36" s="134"/>
      <c r="GN36" s="134"/>
      <c r="GO36" s="134"/>
      <c r="GP36" s="134"/>
      <c r="GQ36" s="135"/>
      <c r="GR36" s="135"/>
      <c r="GS36" s="134"/>
      <c r="GT36" s="134"/>
      <c r="GU36" s="134"/>
      <c r="GV36" s="134"/>
      <c r="GW36" s="134"/>
      <c r="GX36" s="134"/>
      <c r="GY36" s="134"/>
      <c r="GZ36" s="134"/>
      <c r="HA36" s="135"/>
      <c r="HB36" s="135"/>
      <c r="HC36" s="134"/>
      <c r="HD36" s="134"/>
      <c r="HE36" s="134"/>
      <c r="HF36" s="134"/>
      <c r="HG36" s="134"/>
      <c r="HH36" s="134"/>
      <c r="HI36" s="134"/>
      <c r="HJ36" s="134"/>
      <c r="HK36" s="135"/>
      <c r="HL36" s="135"/>
      <c r="HM36" s="134"/>
      <c r="HN36" s="134"/>
      <c r="HO36" s="134"/>
      <c r="HP36" s="134"/>
      <c r="HQ36" s="134"/>
      <c r="HR36" s="134"/>
      <c r="HS36" s="134"/>
      <c r="HT36" s="134"/>
      <c r="HU36" s="135"/>
      <c r="HV36" s="135"/>
      <c r="HW36" s="134"/>
      <c r="HX36" s="134"/>
      <c r="HY36" s="134"/>
      <c r="HZ36" s="134"/>
      <c r="IA36" s="134"/>
      <c r="IB36" s="134"/>
      <c r="IC36" s="134"/>
      <c r="ID36" s="134"/>
      <c r="IE36" s="135"/>
      <c r="IF36" s="135"/>
      <c r="IG36" s="134"/>
      <c r="IH36" s="134"/>
      <c r="II36" s="134"/>
      <c r="IJ36" s="134"/>
      <c r="IK36" s="134"/>
      <c r="IL36" s="134"/>
      <c r="IM36" s="134"/>
      <c r="IN36" s="134"/>
      <c r="IO36" s="135"/>
      <c r="IP36" s="135"/>
      <c r="IQ36" s="134"/>
      <c r="IR36" s="134"/>
      <c r="IS36" s="134"/>
      <c r="IT36" s="134"/>
      <c r="IU36" s="134"/>
      <c r="IV36" s="134"/>
      <c r="IW36" s="134"/>
      <c r="IX36" s="134"/>
      <c r="IY36" s="135"/>
      <c r="IZ36" s="135"/>
    </row>
    <row r="37" spans="1:260" s="119" customFormat="1" ht="17" customHeight="1">
      <c r="A37" s="79" t="s">
        <v>156</v>
      </c>
      <c r="B37" s="418">
        <v>117</v>
      </c>
      <c r="C37" s="117"/>
      <c r="D37" s="117">
        <v>36</v>
      </c>
      <c r="E37" s="123" t="s">
        <v>1957</v>
      </c>
      <c r="F37" s="124" t="s">
        <v>2179</v>
      </c>
      <c r="G37" s="125">
        <v>2002</v>
      </c>
      <c r="H37" s="79">
        <v>12450636</v>
      </c>
      <c r="I37" s="79">
        <v>1</v>
      </c>
      <c r="J37" s="126"/>
      <c r="K37" s="127"/>
      <c r="L37" s="79">
        <v>1</v>
      </c>
      <c r="M37" s="79"/>
      <c r="N37" s="79">
        <v>1</v>
      </c>
      <c r="O37" s="128">
        <v>1</v>
      </c>
      <c r="P37" s="79" t="s">
        <v>473</v>
      </c>
      <c r="Q37" s="79" t="s">
        <v>1184</v>
      </c>
      <c r="R37" s="79" t="s">
        <v>471</v>
      </c>
      <c r="S37" s="79">
        <v>0</v>
      </c>
      <c r="T37" s="79"/>
      <c r="U37" s="79"/>
      <c r="V37" s="79"/>
      <c r="W37" s="79" t="s">
        <v>474</v>
      </c>
      <c r="X37" s="79" t="s">
        <v>24</v>
      </c>
      <c r="Y37" s="79" t="s">
        <v>24</v>
      </c>
      <c r="Z37" s="79"/>
      <c r="AA37" s="79"/>
      <c r="AB37" s="79"/>
      <c r="AC37" s="506" t="s">
        <v>6206</v>
      </c>
      <c r="AD37" s="573">
        <v>1</v>
      </c>
      <c r="AE37" s="573">
        <v>0</v>
      </c>
      <c r="AF37" s="154"/>
      <c r="AG37" s="155"/>
      <c r="AH37" s="121"/>
      <c r="AI37" s="484"/>
      <c r="AJ37" s="202"/>
      <c r="AK37" s="192"/>
      <c r="AL37" s="203"/>
      <c r="AM37" s="121"/>
      <c r="AN37" s="121"/>
      <c r="AO37" s="121"/>
      <c r="AP37" s="121"/>
      <c r="AQ37" s="121"/>
      <c r="AR37" s="121"/>
      <c r="AS37" s="121"/>
      <c r="AT37" s="121"/>
      <c r="AU37" s="121"/>
      <c r="AV37" s="121"/>
      <c r="AW37" s="121"/>
      <c r="AX37" s="121"/>
      <c r="AY37" s="121"/>
      <c r="AZ37" s="121"/>
      <c r="BA37" s="121"/>
      <c r="BB37" s="121"/>
      <c r="BC37" s="121"/>
      <c r="BD37" s="156"/>
      <c r="BE37" s="156"/>
      <c r="BF37" s="156"/>
      <c r="BG37" s="156"/>
      <c r="BH37" s="156"/>
      <c r="BI37" s="156"/>
      <c r="BJ37" s="156"/>
      <c r="BK37" s="156"/>
      <c r="BL37" s="156"/>
      <c r="BM37" s="156"/>
      <c r="BN37" s="156"/>
      <c r="BO37" s="156"/>
      <c r="BP37" s="156" t="s">
        <v>6205</v>
      </c>
      <c r="BQ37" s="157" t="s">
        <v>6207</v>
      </c>
      <c r="BR37" s="134"/>
      <c r="BS37" s="134"/>
      <c r="BT37" s="134"/>
      <c r="BU37" s="134"/>
      <c r="BV37" s="134"/>
      <c r="BW37" s="259"/>
      <c r="BX37" s="138"/>
      <c r="BY37" s="134"/>
      <c r="BZ37" s="134"/>
      <c r="CA37" s="134"/>
      <c r="CB37" s="138"/>
      <c r="CC37" s="134"/>
      <c r="CD37" s="134"/>
      <c r="CE37" s="134"/>
      <c r="CF37" s="288"/>
      <c r="CG37" s="289"/>
      <c r="CH37" s="138"/>
      <c r="CI37" s="134"/>
      <c r="CJ37" s="134"/>
      <c r="CK37" s="134"/>
      <c r="CL37" s="138"/>
      <c r="CM37" s="134"/>
      <c r="CN37" s="134"/>
      <c r="CO37" s="134"/>
      <c r="CP37" s="288"/>
      <c r="CQ37" s="289"/>
      <c r="CR37" s="276"/>
      <c r="CS37" s="308"/>
      <c r="CT37" s="138"/>
      <c r="CU37" s="134"/>
      <c r="CV37" s="134"/>
      <c r="CW37" s="134"/>
      <c r="CX37" s="134"/>
      <c r="CY37" s="134"/>
      <c r="CZ37" s="134"/>
      <c r="DA37" s="134"/>
      <c r="DB37" s="300"/>
      <c r="DC37" s="301"/>
      <c r="DD37" s="134"/>
      <c r="DE37" s="134"/>
      <c r="DF37" s="134"/>
      <c r="DG37" s="134"/>
      <c r="DH37" s="134"/>
      <c r="DI37" s="134"/>
      <c r="DJ37" s="134"/>
      <c r="DK37" s="134"/>
      <c r="DL37" s="300"/>
      <c r="DM37" s="301"/>
      <c r="DN37" s="276"/>
      <c r="DO37" s="277"/>
      <c r="DP37" s="134"/>
      <c r="DQ37" s="134"/>
      <c r="DR37" s="134"/>
      <c r="DS37" s="134"/>
      <c r="DT37" s="138"/>
      <c r="DU37" s="134"/>
      <c r="DV37" s="134"/>
      <c r="DW37" s="134"/>
      <c r="DX37" s="301"/>
      <c r="DY37" s="301"/>
      <c r="DZ37" s="138"/>
      <c r="EA37" s="134"/>
      <c r="EB37" s="134"/>
      <c r="EC37" s="134"/>
      <c r="ED37" s="138"/>
      <c r="EE37" s="134"/>
      <c r="EF37" s="134"/>
      <c r="EG37" s="134"/>
      <c r="EH37" s="301"/>
      <c r="EI37" s="301"/>
      <c r="EJ37" s="277"/>
      <c r="EK37" s="134"/>
      <c r="EL37" s="134"/>
      <c r="EM37" s="134"/>
      <c r="EN37" s="134"/>
      <c r="EO37" s="134"/>
      <c r="EP37" s="134"/>
      <c r="EQ37" s="134"/>
      <c r="ER37" s="134"/>
      <c r="ES37" s="301"/>
      <c r="ET37" s="301"/>
      <c r="EU37" s="134"/>
      <c r="EV37" s="134"/>
      <c r="EW37" s="134"/>
      <c r="EX37" s="134"/>
      <c r="EY37" s="134"/>
      <c r="EZ37" s="134"/>
      <c r="FA37" s="134"/>
      <c r="FB37" s="134"/>
      <c r="FC37" s="135"/>
      <c r="FD37" s="135"/>
      <c r="FE37" s="134"/>
      <c r="FF37" s="134"/>
      <c r="FG37" s="134"/>
      <c r="FH37" s="134"/>
      <c r="FI37" s="134"/>
      <c r="FJ37" s="134"/>
      <c r="FK37" s="134"/>
      <c r="FL37" s="134"/>
      <c r="FM37" s="135"/>
      <c r="FN37" s="135"/>
      <c r="FO37" s="134"/>
      <c r="FP37" s="134"/>
      <c r="FQ37" s="134"/>
      <c r="FR37" s="134"/>
      <c r="FS37" s="134"/>
      <c r="FT37" s="134"/>
      <c r="FU37" s="134"/>
      <c r="FV37" s="134"/>
      <c r="FW37" s="135"/>
      <c r="FX37" s="135"/>
      <c r="FY37" s="134"/>
      <c r="FZ37" s="134"/>
      <c r="GA37" s="134"/>
      <c r="GB37" s="134"/>
      <c r="GC37" s="134"/>
      <c r="GD37" s="134"/>
      <c r="GE37" s="134"/>
      <c r="GF37" s="134"/>
      <c r="GG37" s="135"/>
      <c r="GH37" s="135"/>
      <c r="GI37" s="134"/>
      <c r="GJ37" s="134"/>
      <c r="GK37" s="134"/>
      <c r="GL37" s="134"/>
      <c r="GM37" s="134"/>
      <c r="GN37" s="134"/>
      <c r="GO37" s="134"/>
      <c r="GP37" s="134"/>
      <c r="GQ37" s="135"/>
      <c r="GR37" s="135"/>
      <c r="GS37" s="134"/>
      <c r="GT37" s="134"/>
      <c r="GU37" s="134"/>
      <c r="GV37" s="134"/>
      <c r="GW37" s="134"/>
      <c r="GX37" s="134"/>
      <c r="GY37" s="134"/>
      <c r="GZ37" s="134"/>
      <c r="HA37" s="135"/>
      <c r="HB37" s="135"/>
      <c r="HC37" s="134"/>
      <c r="HD37" s="134"/>
      <c r="HE37" s="134"/>
      <c r="HF37" s="134"/>
      <c r="HG37" s="134"/>
      <c r="HH37" s="134"/>
      <c r="HI37" s="134"/>
      <c r="HJ37" s="134"/>
      <c r="HK37" s="135"/>
      <c r="HL37" s="135"/>
      <c r="HM37" s="134"/>
      <c r="HN37" s="134"/>
      <c r="HO37" s="134"/>
      <c r="HP37" s="134"/>
      <c r="HQ37" s="134"/>
      <c r="HR37" s="134"/>
      <c r="HS37" s="134"/>
      <c r="HT37" s="134"/>
      <c r="HU37" s="135"/>
      <c r="HV37" s="135"/>
      <c r="HW37" s="134"/>
      <c r="HX37" s="134"/>
      <c r="HY37" s="134"/>
      <c r="HZ37" s="134"/>
      <c r="IA37" s="134"/>
      <c r="IB37" s="134"/>
      <c r="IC37" s="134"/>
      <c r="ID37" s="134"/>
      <c r="IE37" s="135"/>
      <c r="IF37" s="135"/>
      <c r="IG37" s="134"/>
      <c r="IH37" s="134"/>
      <c r="II37" s="134"/>
      <c r="IJ37" s="134"/>
      <c r="IK37" s="134"/>
      <c r="IL37" s="134"/>
      <c r="IM37" s="134"/>
      <c r="IN37" s="134"/>
      <c r="IO37" s="135"/>
      <c r="IP37" s="135"/>
      <c r="IQ37" s="134"/>
      <c r="IR37" s="134"/>
      <c r="IS37" s="134"/>
      <c r="IT37" s="134"/>
      <c r="IU37" s="134"/>
      <c r="IV37" s="134"/>
      <c r="IW37" s="134"/>
      <c r="IX37" s="134"/>
      <c r="IY37" s="135"/>
      <c r="IZ37" s="135"/>
    </row>
    <row r="38" spans="1:260" s="188" customFormat="1" ht="17" customHeight="1">
      <c r="A38" s="79" t="s">
        <v>160</v>
      </c>
      <c r="B38" s="418">
        <v>118</v>
      </c>
      <c r="C38" s="117"/>
      <c r="D38" s="117">
        <v>37</v>
      </c>
      <c r="E38" s="123" t="s">
        <v>1958</v>
      </c>
      <c r="F38" s="124" t="s">
        <v>2180</v>
      </c>
      <c r="G38" s="125">
        <v>2012</v>
      </c>
      <c r="H38" s="79">
        <v>23198722</v>
      </c>
      <c r="I38" s="79">
        <v>1</v>
      </c>
      <c r="J38" s="126"/>
      <c r="K38" s="127"/>
      <c r="L38" s="79">
        <v>1</v>
      </c>
      <c r="M38" s="79"/>
      <c r="N38" s="79">
        <v>1</v>
      </c>
      <c r="O38" s="128">
        <v>1</v>
      </c>
      <c r="P38" s="79" t="s">
        <v>484</v>
      </c>
      <c r="Q38" s="79" t="s">
        <v>1161</v>
      </c>
      <c r="R38" s="79" t="s">
        <v>483</v>
      </c>
      <c r="S38" s="79">
        <v>1</v>
      </c>
      <c r="T38" s="79"/>
      <c r="U38" s="79"/>
      <c r="V38" s="79"/>
      <c r="W38" s="79" t="s">
        <v>482</v>
      </c>
      <c r="X38" s="79" t="s">
        <v>480</v>
      </c>
      <c r="Y38" s="79"/>
      <c r="Z38" s="79"/>
      <c r="AA38" s="79"/>
      <c r="AB38" s="79" t="s">
        <v>481</v>
      </c>
      <c r="AC38" s="506" t="s">
        <v>6208</v>
      </c>
      <c r="AD38" s="573">
        <v>1</v>
      </c>
      <c r="AE38" s="573">
        <v>0</v>
      </c>
      <c r="AF38" s="154"/>
      <c r="AG38" s="155"/>
      <c r="AH38" s="121"/>
      <c r="AI38" s="484"/>
      <c r="AJ38" s="202"/>
      <c r="AK38" s="192"/>
      <c r="AL38" s="203"/>
      <c r="AM38" s="121"/>
      <c r="AN38" s="121"/>
      <c r="AO38" s="121"/>
      <c r="AP38" s="121"/>
      <c r="AQ38" s="121"/>
      <c r="AR38" s="121"/>
      <c r="AS38" s="121"/>
      <c r="AT38" s="121"/>
      <c r="AU38" s="121"/>
      <c r="AV38" s="121"/>
      <c r="AW38" s="121"/>
      <c r="AX38" s="121"/>
      <c r="AY38" s="121"/>
      <c r="AZ38" s="121"/>
      <c r="BA38" s="121"/>
      <c r="BB38" s="121"/>
      <c r="BC38" s="121"/>
      <c r="BD38" s="156"/>
      <c r="BE38" s="156"/>
      <c r="BF38" s="156" t="s">
        <v>6209</v>
      </c>
      <c r="BG38" s="156"/>
      <c r="BH38" s="156"/>
      <c r="BI38" s="156"/>
      <c r="BJ38" s="156"/>
      <c r="BK38" s="156"/>
      <c r="BL38" s="156" t="s">
        <v>5207</v>
      </c>
      <c r="BM38" s="156"/>
      <c r="BN38" s="156"/>
      <c r="BO38" s="156"/>
      <c r="BP38" s="156" t="s">
        <v>6205</v>
      </c>
      <c r="BQ38" s="157"/>
      <c r="BR38" s="134"/>
      <c r="BS38" s="134"/>
      <c r="BT38" s="134"/>
      <c r="BU38" s="134"/>
      <c r="BV38" s="134"/>
      <c r="BW38" s="259"/>
      <c r="BX38" s="138"/>
      <c r="BY38" s="134"/>
      <c r="BZ38" s="134"/>
      <c r="CA38" s="134"/>
      <c r="CB38" s="138"/>
      <c r="CC38" s="134"/>
      <c r="CD38" s="134"/>
      <c r="CE38" s="134"/>
      <c r="CF38" s="288"/>
      <c r="CG38" s="289"/>
      <c r="CH38" s="138"/>
      <c r="CI38" s="134"/>
      <c r="CJ38" s="134"/>
      <c r="CK38" s="134"/>
      <c r="CL38" s="138"/>
      <c r="CM38" s="134"/>
      <c r="CN38" s="134"/>
      <c r="CO38" s="134"/>
      <c r="CP38" s="288"/>
      <c r="CQ38" s="289"/>
      <c r="CR38" s="276"/>
      <c r="CS38" s="308"/>
      <c r="CT38" s="138"/>
      <c r="CU38" s="134"/>
      <c r="CV38" s="134"/>
      <c r="CW38" s="134"/>
      <c r="CX38" s="134"/>
      <c r="CY38" s="134"/>
      <c r="CZ38" s="134"/>
      <c r="DA38" s="134"/>
      <c r="DB38" s="300"/>
      <c r="DC38" s="301"/>
      <c r="DD38" s="134"/>
      <c r="DE38" s="134"/>
      <c r="DF38" s="134"/>
      <c r="DG38" s="134"/>
      <c r="DH38" s="134"/>
      <c r="DI38" s="134"/>
      <c r="DJ38" s="134"/>
      <c r="DK38" s="134"/>
      <c r="DL38" s="300"/>
      <c r="DM38" s="301"/>
      <c r="DN38" s="276"/>
      <c r="DO38" s="277"/>
      <c r="DP38" s="134"/>
      <c r="DQ38" s="134"/>
      <c r="DR38" s="134"/>
      <c r="DS38" s="134"/>
      <c r="DT38" s="138"/>
      <c r="DU38" s="134"/>
      <c r="DV38" s="134"/>
      <c r="DW38" s="134"/>
      <c r="DX38" s="301"/>
      <c r="DY38" s="301"/>
      <c r="DZ38" s="138"/>
      <c r="EA38" s="134"/>
      <c r="EB38" s="134"/>
      <c r="EC38" s="134"/>
      <c r="ED38" s="138"/>
      <c r="EE38" s="134"/>
      <c r="EF38" s="134"/>
      <c r="EG38" s="134"/>
      <c r="EH38" s="301"/>
      <c r="EI38" s="301"/>
      <c r="EJ38" s="277"/>
      <c r="EK38" s="134"/>
      <c r="EL38" s="134"/>
      <c r="EM38" s="134"/>
      <c r="EN38" s="134"/>
      <c r="EO38" s="134"/>
      <c r="EP38" s="134"/>
      <c r="EQ38" s="134"/>
      <c r="ER38" s="134"/>
      <c r="ES38" s="301"/>
      <c r="ET38" s="301"/>
      <c r="EU38" s="134"/>
      <c r="EV38" s="134"/>
      <c r="EW38" s="134"/>
      <c r="EX38" s="134"/>
      <c r="EY38" s="134"/>
      <c r="EZ38" s="134"/>
      <c r="FA38" s="134"/>
      <c r="FB38" s="134"/>
      <c r="FC38" s="135"/>
      <c r="FD38" s="135"/>
      <c r="FE38" s="134"/>
      <c r="FF38" s="134"/>
      <c r="FG38" s="134"/>
      <c r="FH38" s="134"/>
      <c r="FI38" s="134"/>
      <c r="FJ38" s="134"/>
      <c r="FK38" s="134"/>
      <c r="FL38" s="134"/>
      <c r="FM38" s="135"/>
      <c r="FN38" s="135"/>
      <c r="FO38" s="134"/>
      <c r="FP38" s="134"/>
      <c r="FQ38" s="134"/>
      <c r="FR38" s="134"/>
      <c r="FS38" s="134"/>
      <c r="FT38" s="134"/>
      <c r="FU38" s="134"/>
      <c r="FV38" s="134"/>
      <c r="FW38" s="135"/>
      <c r="FX38" s="135"/>
      <c r="FY38" s="134"/>
      <c r="FZ38" s="134"/>
      <c r="GA38" s="134"/>
      <c r="GB38" s="134"/>
      <c r="GC38" s="134"/>
      <c r="GD38" s="134"/>
      <c r="GE38" s="134"/>
      <c r="GF38" s="134"/>
      <c r="GG38" s="135"/>
      <c r="GH38" s="135"/>
      <c r="GI38" s="134"/>
      <c r="GJ38" s="134"/>
      <c r="GK38" s="134"/>
      <c r="GL38" s="134"/>
      <c r="GM38" s="134"/>
      <c r="GN38" s="134"/>
      <c r="GO38" s="134"/>
      <c r="GP38" s="134"/>
      <c r="GQ38" s="135"/>
      <c r="GR38" s="135"/>
      <c r="GS38" s="134"/>
      <c r="GT38" s="134"/>
      <c r="GU38" s="134"/>
      <c r="GV38" s="134"/>
      <c r="GW38" s="134"/>
      <c r="GX38" s="134"/>
      <c r="GY38" s="134"/>
      <c r="GZ38" s="134"/>
      <c r="HA38" s="135"/>
      <c r="HB38" s="135"/>
      <c r="HC38" s="134"/>
      <c r="HD38" s="134"/>
      <c r="HE38" s="134"/>
      <c r="HF38" s="134"/>
      <c r="HG38" s="134"/>
      <c r="HH38" s="134"/>
      <c r="HI38" s="134"/>
      <c r="HJ38" s="134"/>
      <c r="HK38" s="135"/>
      <c r="HL38" s="135"/>
      <c r="HM38" s="134"/>
      <c r="HN38" s="134"/>
      <c r="HO38" s="134"/>
      <c r="HP38" s="134"/>
      <c r="HQ38" s="134"/>
      <c r="HR38" s="134"/>
      <c r="HS38" s="134"/>
      <c r="HT38" s="134"/>
      <c r="HU38" s="135"/>
      <c r="HV38" s="135"/>
      <c r="HW38" s="134"/>
      <c r="HX38" s="134"/>
      <c r="HY38" s="134"/>
      <c r="HZ38" s="134"/>
      <c r="IA38" s="134"/>
      <c r="IB38" s="134"/>
      <c r="IC38" s="134"/>
      <c r="ID38" s="134"/>
      <c r="IE38" s="135"/>
      <c r="IF38" s="135"/>
      <c r="IG38" s="134"/>
      <c r="IH38" s="134"/>
      <c r="II38" s="134"/>
      <c r="IJ38" s="134"/>
      <c r="IK38" s="134"/>
      <c r="IL38" s="134"/>
      <c r="IM38" s="134"/>
      <c r="IN38" s="134"/>
      <c r="IO38" s="135"/>
      <c r="IP38" s="135"/>
      <c r="IQ38" s="134"/>
      <c r="IR38" s="134"/>
      <c r="IS38" s="134"/>
      <c r="IT38" s="134"/>
      <c r="IU38" s="134"/>
      <c r="IV38" s="134"/>
      <c r="IW38" s="134"/>
      <c r="IX38" s="134"/>
      <c r="IY38" s="135"/>
      <c r="IZ38" s="135"/>
    </row>
    <row r="39" spans="1:260" s="119" customFormat="1" ht="17" customHeight="1">
      <c r="A39" s="79" t="s">
        <v>163</v>
      </c>
      <c r="B39" s="418">
        <v>119</v>
      </c>
      <c r="C39" s="117"/>
      <c r="D39" s="117">
        <v>38</v>
      </c>
      <c r="E39" s="123" t="s">
        <v>1959</v>
      </c>
      <c r="F39" s="124" t="s">
        <v>2181</v>
      </c>
      <c r="G39" s="125">
        <v>2008</v>
      </c>
      <c r="H39" s="79">
        <v>18806234</v>
      </c>
      <c r="I39" s="79">
        <v>1</v>
      </c>
      <c r="J39" s="126"/>
      <c r="K39" s="127"/>
      <c r="L39" s="79">
        <v>1</v>
      </c>
      <c r="M39" s="79"/>
      <c r="N39" s="79">
        <v>1</v>
      </c>
      <c r="O39" s="128">
        <v>1</v>
      </c>
      <c r="P39" s="79" t="s">
        <v>486</v>
      </c>
      <c r="Q39" s="79"/>
      <c r="R39" s="79" t="s">
        <v>487</v>
      </c>
      <c r="S39" s="79">
        <v>0</v>
      </c>
      <c r="T39" s="79"/>
      <c r="U39" s="79"/>
      <c r="V39" s="79"/>
      <c r="W39" s="79"/>
      <c r="X39" s="79"/>
      <c r="Y39" s="79"/>
      <c r="Z39" s="79"/>
      <c r="AA39" s="79"/>
      <c r="AB39" s="79"/>
      <c r="AC39" s="506" t="s">
        <v>6210</v>
      </c>
      <c r="AD39" s="573">
        <v>1</v>
      </c>
      <c r="AE39" s="573">
        <v>1</v>
      </c>
      <c r="AF39" s="154"/>
      <c r="AG39" s="155"/>
      <c r="AH39" s="121"/>
      <c r="AI39" s="484"/>
      <c r="AJ39" s="202"/>
      <c r="AK39" s="192"/>
      <c r="AL39" s="203"/>
      <c r="AM39" s="121"/>
      <c r="AN39" s="121"/>
      <c r="AO39" s="121"/>
      <c r="AP39" s="121"/>
      <c r="AQ39" s="121"/>
      <c r="AR39" s="121"/>
      <c r="AS39" s="121"/>
      <c r="AT39" s="121"/>
      <c r="AU39" s="121"/>
      <c r="AV39" s="121"/>
      <c r="AW39" s="121"/>
      <c r="AX39" s="121"/>
      <c r="AY39" s="121"/>
      <c r="AZ39" s="121"/>
      <c r="BA39" s="121"/>
      <c r="BB39" s="121"/>
      <c r="BC39" s="121"/>
      <c r="BD39" s="156"/>
      <c r="BE39" s="156"/>
      <c r="BF39" s="156" t="s">
        <v>6209</v>
      </c>
      <c r="BG39" s="156"/>
      <c r="BH39" s="156"/>
      <c r="BI39" s="156" t="s">
        <v>4727</v>
      </c>
      <c r="BJ39" s="156" t="s">
        <v>6174</v>
      </c>
      <c r="BK39" s="156"/>
      <c r="BL39" s="156" t="s">
        <v>4727</v>
      </c>
      <c r="BM39" s="156"/>
      <c r="BN39" s="156"/>
      <c r="BO39" s="156"/>
      <c r="BP39" s="156"/>
      <c r="BQ39" s="157"/>
      <c r="BR39" s="134"/>
      <c r="BS39" s="134"/>
      <c r="BT39" s="134"/>
      <c r="BU39" s="134"/>
      <c r="BV39" s="134"/>
      <c r="BW39" s="259"/>
      <c r="BX39" s="138"/>
      <c r="BY39" s="134"/>
      <c r="BZ39" s="134"/>
      <c r="CA39" s="134"/>
      <c r="CB39" s="138"/>
      <c r="CC39" s="134"/>
      <c r="CD39" s="134"/>
      <c r="CE39" s="134"/>
      <c r="CF39" s="288"/>
      <c r="CG39" s="289"/>
      <c r="CH39" s="138"/>
      <c r="CI39" s="134"/>
      <c r="CJ39" s="134"/>
      <c r="CK39" s="134"/>
      <c r="CL39" s="138"/>
      <c r="CM39" s="134"/>
      <c r="CN39" s="134"/>
      <c r="CO39" s="134"/>
      <c r="CP39" s="288"/>
      <c r="CQ39" s="289"/>
      <c r="CR39" s="276"/>
      <c r="CS39" s="308"/>
      <c r="CT39" s="138"/>
      <c r="CU39" s="134"/>
      <c r="CV39" s="134"/>
      <c r="CW39" s="134"/>
      <c r="CX39" s="134"/>
      <c r="CY39" s="134"/>
      <c r="CZ39" s="134"/>
      <c r="DA39" s="134"/>
      <c r="DB39" s="300"/>
      <c r="DC39" s="301"/>
      <c r="DD39" s="134"/>
      <c r="DE39" s="134"/>
      <c r="DF39" s="134"/>
      <c r="DG39" s="134"/>
      <c r="DH39" s="134"/>
      <c r="DI39" s="134"/>
      <c r="DJ39" s="134"/>
      <c r="DK39" s="134"/>
      <c r="DL39" s="300"/>
      <c r="DM39" s="301"/>
      <c r="DN39" s="276"/>
      <c r="DO39" s="277"/>
      <c r="DP39" s="134"/>
      <c r="DQ39" s="134"/>
      <c r="DR39" s="134"/>
      <c r="DS39" s="134"/>
      <c r="DT39" s="138"/>
      <c r="DU39" s="134"/>
      <c r="DV39" s="134"/>
      <c r="DW39" s="134"/>
      <c r="DX39" s="301"/>
      <c r="DY39" s="301"/>
      <c r="DZ39" s="138"/>
      <c r="EA39" s="134"/>
      <c r="EB39" s="134"/>
      <c r="EC39" s="134"/>
      <c r="ED39" s="138"/>
      <c r="EE39" s="134"/>
      <c r="EF39" s="134"/>
      <c r="EG39" s="134"/>
      <c r="EH39" s="301"/>
      <c r="EI39" s="301"/>
      <c r="EJ39" s="277"/>
      <c r="EK39" s="134"/>
      <c r="EL39" s="134"/>
      <c r="EM39" s="134"/>
      <c r="EN39" s="134"/>
      <c r="EO39" s="134"/>
      <c r="EP39" s="134"/>
      <c r="EQ39" s="134"/>
      <c r="ER39" s="134"/>
      <c r="ES39" s="301"/>
      <c r="ET39" s="301"/>
      <c r="EU39" s="134"/>
      <c r="EV39" s="134"/>
      <c r="EW39" s="134"/>
      <c r="EX39" s="134"/>
      <c r="EY39" s="134"/>
      <c r="EZ39" s="134"/>
      <c r="FA39" s="134"/>
      <c r="FB39" s="134"/>
      <c r="FC39" s="135"/>
      <c r="FD39" s="135"/>
      <c r="FE39" s="134"/>
      <c r="FF39" s="134"/>
      <c r="FG39" s="134"/>
      <c r="FH39" s="134"/>
      <c r="FI39" s="134"/>
      <c r="FJ39" s="134"/>
      <c r="FK39" s="134"/>
      <c r="FL39" s="134"/>
      <c r="FM39" s="135"/>
      <c r="FN39" s="135"/>
      <c r="FO39" s="134"/>
      <c r="FP39" s="134"/>
      <c r="FQ39" s="134"/>
      <c r="FR39" s="134"/>
      <c r="FS39" s="134"/>
      <c r="FT39" s="134"/>
      <c r="FU39" s="134"/>
      <c r="FV39" s="134"/>
      <c r="FW39" s="135"/>
      <c r="FX39" s="135"/>
      <c r="FY39" s="134"/>
      <c r="FZ39" s="134"/>
      <c r="GA39" s="134"/>
      <c r="GB39" s="134"/>
      <c r="GC39" s="134"/>
      <c r="GD39" s="134"/>
      <c r="GE39" s="134"/>
      <c r="GF39" s="134"/>
      <c r="GG39" s="135"/>
      <c r="GH39" s="135"/>
      <c r="GI39" s="134"/>
      <c r="GJ39" s="134"/>
      <c r="GK39" s="134"/>
      <c r="GL39" s="134"/>
      <c r="GM39" s="134"/>
      <c r="GN39" s="134"/>
      <c r="GO39" s="134"/>
      <c r="GP39" s="134"/>
      <c r="GQ39" s="135"/>
      <c r="GR39" s="135"/>
      <c r="GS39" s="134"/>
      <c r="GT39" s="134"/>
      <c r="GU39" s="134"/>
      <c r="GV39" s="134"/>
      <c r="GW39" s="134"/>
      <c r="GX39" s="134"/>
      <c r="GY39" s="134"/>
      <c r="GZ39" s="134"/>
      <c r="HA39" s="135"/>
      <c r="HB39" s="135"/>
      <c r="HC39" s="134"/>
      <c r="HD39" s="134"/>
      <c r="HE39" s="134"/>
      <c r="HF39" s="134"/>
      <c r="HG39" s="134"/>
      <c r="HH39" s="134"/>
      <c r="HI39" s="134"/>
      <c r="HJ39" s="134"/>
      <c r="HK39" s="135"/>
      <c r="HL39" s="135"/>
      <c r="HM39" s="134"/>
      <c r="HN39" s="134"/>
      <c r="HO39" s="134"/>
      <c r="HP39" s="134"/>
      <c r="HQ39" s="134"/>
      <c r="HR39" s="134"/>
      <c r="HS39" s="134"/>
      <c r="HT39" s="134"/>
      <c r="HU39" s="135"/>
      <c r="HV39" s="135"/>
      <c r="HW39" s="134"/>
      <c r="HX39" s="134"/>
      <c r="HY39" s="134"/>
      <c r="HZ39" s="134"/>
      <c r="IA39" s="134"/>
      <c r="IB39" s="134"/>
      <c r="IC39" s="134"/>
      <c r="ID39" s="134"/>
      <c r="IE39" s="135"/>
      <c r="IF39" s="135"/>
      <c r="IG39" s="134"/>
      <c r="IH39" s="134"/>
      <c r="II39" s="134"/>
      <c r="IJ39" s="134"/>
      <c r="IK39" s="134"/>
      <c r="IL39" s="134"/>
      <c r="IM39" s="134"/>
      <c r="IN39" s="134"/>
      <c r="IO39" s="135"/>
      <c r="IP39" s="135"/>
      <c r="IQ39" s="134"/>
      <c r="IR39" s="134"/>
      <c r="IS39" s="134"/>
      <c r="IT39" s="134"/>
      <c r="IU39" s="134"/>
      <c r="IV39" s="134"/>
      <c r="IW39" s="134"/>
      <c r="IX39" s="134"/>
      <c r="IY39" s="135"/>
      <c r="IZ39" s="135"/>
    </row>
    <row r="40" spans="1:260" s="119" customFormat="1" ht="17" customHeight="1">
      <c r="A40" s="79" t="s">
        <v>1057</v>
      </c>
      <c r="B40" s="418">
        <v>123</v>
      </c>
      <c r="C40" s="117"/>
      <c r="D40" s="117">
        <v>39</v>
      </c>
      <c r="E40" s="123" t="s">
        <v>2074</v>
      </c>
      <c r="F40" s="124" t="s">
        <v>2326</v>
      </c>
      <c r="G40" s="125">
        <v>2012</v>
      </c>
      <c r="H40" s="79">
        <v>22659471</v>
      </c>
      <c r="I40" s="79">
        <v>1</v>
      </c>
      <c r="J40" s="126"/>
      <c r="K40" s="127"/>
      <c r="L40" s="79">
        <v>1</v>
      </c>
      <c r="M40" s="79"/>
      <c r="N40" s="79">
        <v>1</v>
      </c>
      <c r="O40" s="128">
        <v>2</v>
      </c>
      <c r="P40" s="79" t="s">
        <v>1336</v>
      </c>
      <c r="Q40" s="79" t="s">
        <v>1224</v>
      </c>
      <c r="R40" s="79" t="s">
        <v>1127</v>
      </c>
      <c r="S40" s="79"/>
      <c r="T40" s="79" t="s">
        <v>1498</v>
      </c>
      <c r="U40" s="79" t="s">
        <v>803</v>
      </c>
      <c r="V40" s="79"/>
      <c r="W40" s="79" t="s">
        <v>1337</v>
      </c>
      <c r="X40" s="79" t="s">
        <v>1338</v>
      </c>
      <c r="Y40" s="79"/>
      <c r="Z40" s="79"/>
      <c r="AA40" s="79"/>
      <c r="AB40" s="79"/>
      <c r="AC40" s="506" t="s">
        <v>1227</v>
      </c>
      <c r="AD40" s="573">
        <v>1</v>
      </c>
      <c r="AE40" s="573">
        <v>1</v>
      </c>
      <c r="AF40" s="154"/>
      <c r="AG40" s="155"/>
      <c r="AH40" s="121">
        <v>4</v>
      </c>
      <c r="AI40" s="484"/>
      <c r="AJ40" s="202"/>
      <c r="AK40" s="192"/>
      <c r="AL40" s="203"/>
      <c r="AM40" s="121"/>
      <c r="AN40" s="121"/>
      <c r="AO40" s="121"/>
      <c r="AP40" s="121"/>
      <c r="AQ40" s="121"/>
      <c r="AR40" s="121"/>
      <c r="AS40" s="121"/>
      <c r="AT40" s="121"/>
      <c r="AU40" s="121"/>
      <c r="AV40" s="121"/>
      <c r="AW40" s="121"/>
      <c r="AX40" s="121"/>
      <c r="AY40" s="121"/>
      <c r="AZ40" s="121"/>
      <c r="BA40" s="121"/>
      <c r="BB40" s="121"/>
      <c r="BC40" s="121"/>
      <c r="BD40" s="156" t="s">
        <v>4727</v>
      </c>
      <c r="BE40" s="156"/>
      <c r="BF40" s="156"/>
      <c r="BG40" s="156"/>
      <c r="BH40" s="156"/>
      <c r="BI40" s="156"/>
      <c r="BJ40" s="156"/>
      <c r="BK40" s="156"/>
      <c r="BL40" s="156"/>
      <c r="BM40" s="156"/>
      <c r="BN40" s="156"/>
      <c r="BO40" s="156"/>
      <c r="BP40" s="156"/>
      <c r="BQ40" s="157"/>
      <c r="BR40" s="134"/>
      <c r="BS40" s="134"/>
      <c r="BT40" s="134"/>
      <c r="BU40" s="134"/>
      <c r="BV40" s="134"/>
      <c r="BW40" s="259"/>
      <c r="BX40" s="138"/>
      <c r="BY40" s="134"/>
      <c r="BZ40" s="134"/>
      <c r="CA40" s="134"/>
      <c r="CB40" s="138"/>
      <c r="CC40" s="134"/>
      <c r="CD40" s="134"/>
      <c r="CE40" s="134"/>
      <c r="CF40" s="288"/>
      <c r="CG40" s="289"/>
      <c r="CH40" s="138"/>
      <c r="CI40" s="134"/>
      <c r="CJ40" s="134"/>
      <c r="CK40" s="134"/>
      <c r="CL40" s="138"/>
      <c r="CM40" s="134"/>
      <c r="CN40" s="134"/>
      <c r="CO40" s="134"/>
      <c r="CP40" s="288"/>
      <c r="CQ40" s="289"/>
      <c r="CR40" s="276"/>
      <c r="CS40" s="308"/>
      <c r="CT40" s="430"/>
      <c r="CU40" s="134"/>
      <c r="CV40" s="134"/>
      <c r="CW40" s="134"/>
      <c r="CX40" s="426"/>
      <c r="CY40" s="134"/>
      <c r="CZ40" s="134"/>
      <c r="DA40" s="134"/>
      <c r="DB40" s="300"/>
      <c r="DC40" s="301"/>
      <c r="DD40" s="134"/>
      <c r="DE40" s="134"/>
      <c r="DF40" s="134"/>
      <c r="DG40" s="134"/>
      <c r="DH40" s="134"/>
      <c r="DI40" s="134"/>
      <c r="DJ40" s="134"/>
      <c r="DK40" s="134"/>
      <c r="DL40" s="300"/>
      <c r="DM40" s="301"/>
      <c r="DN40" s="276"/>
      <c r="DO40" s="277"/>
      <c r="DP40" s="134"/>
      <c r="DQ40" s="134"/>
      <c r="DR40" s="134"/>
      <c r="DS40" s="134"/>
      <c r="DT40" s="138"/>
      <c r="DU40" s="134"/>
      <c r="DV40" s="134"/>
      <c r="DW40" s="134"/>
      <c r="DX40" s="301"/>
      <c r="DY40" s="301"/>
      <c r="DZ40" s="138"/>
      <c r="EA40" s="134"/>
      <c r="EB40" s="134"/>
      <c r="EC40" s="134"/>
      <c r="ED40" s="138"/>
      <c r="EE40" s="134"/>
      <c r="EF40" s="134"/>
      <c r="EG40" s="134"/>
      <c r="EH40" s="301"/>
      <c r="EI40" s="301"/>
      <c r="EJ40" s="277"/>
      <c r="EK40" s="134"/>
      <c r="EL40" s="134"/>
      <c r="EM40" s="134"/>
      <c r="EN40" s="134"/>
      <c r="EO40" s="134"/>
      <c r="EP40" s="134"/>
      <c r="EQ40" s="134"/>
      <c r="ER40" s="134"/>
      <c r="ES40" s="301"/>
      <c r="ET40" s="301"/>
      <c r="EU40" s="134"/>
      <c r="EV40" s="134"/>
      <c r="EW40" s="134"/>
      <c r="EX40" s="134"/>
      <c r="EY40" s="134"/>
      <c r="EZ40" s="134"/>
      <c r="FA40" s="134"/>
      <c r="FB40" s="134"/>
      <c r="FC40" s="135"/>
      <c r="FD40" s="135"/>
      <c r="FE40" s="134"/>
      <c r="FF40" s="134"/>
      <c r="FG40" s="134"/>
      <c r="FH40" s="134"/>
      <c r="FI40" s="134"/>
      <c r="FJ40" s="134"/>
      <c r="FK40" s="134"/>
      <c r="FL40" s="134"/>
      <c r="FM40" s="135"/>
      <c r="FN40" s="135"/>
      <c r="FO40" s="134"/>
      <c r="FP40" s="134"/>
      <c r="FQ40" s="134"/>
      <c r="FR40" s="134"/>
      <c r="FS40" s="134"/>
      <c r="FT40" s="134"/>
      <c r="FU40" s="134"/>
      <c r="FV40" s="134"/>
      <c r="FW40" s="135"/>
      <c r="FX40" s="135"/>
      <c r="FY40" s="134"/>
      <c r="FZ40" s="134"/>
      <c r="GA40" s="134"/>
      <c r="GB40" s="134"/>
      <c r="GC40" s="134"/>
      <c r="GD40" s="134"/>
      <c r="GE40" s="134"/>
      <c r="GF40" s="134"/>
      <c r="GG40" s="135"/>
      <c r="GH40" s="135"/>
      <c r="GI40" s="134"/>
      <c r="GJ40" s="134"/>
      <c r="GK40" s="134"/>
      <c r="GL40" s="134"/>
      <c r="GM40" s="134"/>
      <c r="GN40" s="134"/>
      <c r="GO40" s="134"/>
      <c r="GP40" s="134"/>
      <c r="GQ40" s="135"/>
      <c r="GR40" s="135"/>
      <c r="GS40" s="134"/>
      <c r="GT40" s="134"/>
      <c r="GU40" s="134"/>
      <c r="GV40" s="134"/>
      <c r="GW40" s="134"/>
      <c r="GX40" s="134"/>
      <c r="GY40" s="134"/>
      <c r="GZ40" s="134"/>
      <c r="HA40" s="135"/>
      <c r="HB40" s="135"/>
      <c r="HC40" s="134"/>
      <c r="HD40" s="134"/>
      <c r="HE40" s="134"/>
      <c r="HF40" s="134"/>
      <c r="HG40" s="134"/>
      <c r="HH40" s="134"/>
      <c r="HI40" s="134"/>
      <c r="HJ40" s="134"/>
      <c r="HK40" s="135"/>
      <c r="HL40" s="135"/>
      <c r="HM40" s="134"/>
      <c r="HN40" s="134"/>
      <c r="HO40" s="134"/>
      <c r="HP40" s="134"/>
      <c r="HQ40" s="134"/>
      <c r="HR40" s="134"/>
      <c r="HS40" s="134"/>
      <c r="HT40" s="134"/>
      <c r="HU40" s="135"/>
      <c r="HV40" s="135"/>
      <c r="HW40" s="134"/>
      <c r="HX40" s="134"/>
      <c r="HY40" s="134"/>
      <c r="HZ40" s="134"/>
      <c r="IA40" s="134"/>
      <c r="IB40" s="134"/>
      <c r="IC40" s="134"/>
      <c r="ID40" s="134"/>
      <c r="IE40" s="135"/>
      <c r="IF40" s="135"/>
      <c r="IG40" s="134"/>
      <c r="IH40" s="134"/>
      <c r="II40" s="134"/>
      <c r="IJ40" s="134"/>
      <c r="IK40" s="134"/>
      <c r="IL40" s="134"/>
      <c r="IM40" s="134"/>
      <c r="IN40" s="134"/>
      <c r="IO40" s="135"/>
      <c r="IP40" s="135"/>
      <c r="IQ40" s="134"/>
      <c r="IR40" s="134"/>
      <c r="IS40" s="134"/>
      <c r="IT40" s="134"/>
      <c r="IU40" s="134"/>
      <c r="IV40" s="134"/>
      <c r="IW40" s="134"/>
      <c r="IX40" s="134"/>
      <c r="IY40" s="135"/>
      <c r="IZ40" s="135"/>
    </row>
    <row r="41" spans="1:260" s="119" customFormat="1" ht="17" customHeight="1">
      <c r="A41" s="79" t="s">
        <v>170</v>
      </c>
      <c r="B41" s="418">
        <v>125</v>
      </c>
      <c r="C41" s="117"/>
      <c r="D41" s="117">
        <v>40</v>
      </c>
      <c r="E41" s="123" t="s">
        <v>1961</v>
      </c>
      <c r="F41" s="124" t="s">
        <v>2184</v>
      </c>
      <c r="G41" s="125">
        <v>2014</v>
      </c>
      <c r="H41" s="79">
        <v>24165904</v>
      </c>
      <c r="I41" s="79">
        <v>1</v>
      </c>
      <c r="J41" s="126"/>
      <c r="K41" s="127"/>
      <c r="L41" s="79">
        <v>1</v>
      </c>
      <c r="M41" s="79"/>
      <c r="N41" s="79">
        <v>1</v>
      </c>
      <c r="O41" s="128">
        <v>1</v>
      </c>
      <c r="P41" s="79" t="s">
        <v>497</v>
      </c>
      <c r="Q41" s="79" t="s">
        <v>1198</v>
      </c>
      <c r="R41" s="79" t="s">
        <v>498</v>
      </c>
      <c r="S41" s="79">
        <v>0</v>
      </c>
      <c r="T41" s="79"/>
      <c r="U41" s="79"/>
      <c r="V41" s="79"/>
      <c r="W41" s="79" t="s">
        <v>496</v>
      </c>
      <c r="X41" s="79" t="s">
        <v>499</v>
      </c>
      <c r="Y41" s="79"/>
      <c r="Z41" s="79"/>
      <c r="AA41" s="79"/>
      <c r="AB41" s="79"/>
      <c r="AC41" s="506" t="s">
        <v>6211</v>
      </c>
      <c r="AD41" s="573">
        <v>1</v>
      </c>
      <c r="AE41" s="573">
        <v>1</v>
      </c>
      <c r="AF41" s="154"/>
      <c r="AG41" s="155"/>
      <c r="AH41" s="121"/>
      <c r="AI41" s="484"/>
      <c r="AJ41" s="202"/>
      <c r="AK41" s="192"/>
      <c r="AL41" s="203"/>
      <c r="AM41" s="121"/>
      <c r="AN41" s="121"/>
      <c r="AO41" s="121"/>
      <c r="AP41" s="121"/>
      <c r="AQ41" s="121"/>
      <c r="AR41" s="121"/>
      <c r="AS41" s="121"/>
      <c r="AT41" s="121"/>
      <c r="AU41" s="121"/>
      <c r="AV41" s="121"/>
      <c r="AW41" s="121"/>
      <c r="AX41" s="121"/>
      <c r="AY41" s="121"/>
      <c r="AZ41" s="121"/>
      <c r="BA41" s="121"/>
      <c r="BB41" s="121"/>
      <c r="BC41" s="121"/>
      <c r="BD41" s="156"/>
      <c r="BE41" s="156"/>
      <c r="BF41" s="156" t="s">
        <v>6209</v>
      </c>
      <c r="BG41" s="156" t="s">
        <v>1917</v>
      </c>
      <c r="BH41" s="156"/>
      <c r="BI41" s="156" t="s">
        <v>4727</v>
      </c>
      <c r="BJ41" s="156" t="s">
        <v>6160</v>
      </c>
      <c r="BK41" s="156"/>
      <c r="BL41" s="156" t="s">
        <v>5207</v>
      </c>
      <c r="BM41" s="156"/>
      <c r="BN41" s="156"/>
      <c r="BO41" s="156"/>
      <c r="BP41" s="156"/>
      <c r="BQ41" s="157"/>
      <c r="BR41" s="134"/>
      <c r="BS41" s="134"/>
      <c r="BT41" s="134"/>
      <c r="BU41" s="134"/>
      <c r="BV41" s="134"/>
      <c r="BW41" s="259"/>
      <c r="BX41" s="138"/>
      <c r="BY41" s="134"/>
      <c r="BZ41" s="134"/>
      <c r="CA41" s="134"/>
      <c r="CB41" s="138"/>
      <c r="CC41" s="134"/>
      <c r="CD41" s="134"/>
      <c r="CE41" s="134"/>
      <c r="CF41" s="288"/>
      <c r="CG41" s="289"/>
      <c r="CH41" s="138"/>
      <c r="CI41" s="134"/>
      <c r="CJ41" s="134"/>
      <c r="CK41" s="134"/>
      <c r="CL41" s="138"/>
      <c r="CM41" s="134"/>
      <c r="CN41" s="134"/>
      <c r="CO41" s="134"/>
      <c r="CP41" s="288"/>
      <c r="CQ41" s="289"/>
      <c r="CR41" s="276"/>
      <c r="CS41" s="308"/>
      <c r="CT41" s="138"/>
      <c r="CU41" s="134"/>
      <c r="CV41" s="134"/>
      <c r="CW41" s="134"/>
      <c r="CX41" s="134"/>
      <c r="CY41" s="134"/>
      <c r="CZ41" s="134"/>
      <c r="DA41" s="134"/>
      <c r="DB41" s="300"/>
      <c r="DC41" s="301"/>
      <c r="DD41" s="134"/>
      <c r="DE41" s="134"/>
      <c r="DF41" s="134"/>
      <c r="DG41" s="134"/>
      <c r="DH41" s="134"/>
      <c r="DI41" s="134"/>
      <c r="DJ41" s="134"/>
      <c r="DK41" s="134"/>
      <c r="DL41" s="300"/>
      <c r="DM41" s="301"/>
      <c r="DN41" s="276"/>
      <c r="DO41" s="277"/>
      <c r="DP41" s="134"/>
      <c r="DQ41" s="134"/>
      <c r="DR41" s="134"/>
      <c r="DS41" s="134"/>
      <c r="DT41" s="138"/>
      <c r="DU41" s="134"/>
      <c r="DV41" s="134"/>
      <c r="DW41" s="134"/>
      <c r="DX41" s="301"/>
      <c r="DY41" s="301"/>
      <c r="DZ41" s="138"/>
      <c r="EA41" s="134"/>
      <c r="EB41" s="134"/>
      <c r="EC41" s="134"/>
      <c r="ED41" s="138"/>
      <c r="EE41" s="134"/>
      <c r="EF41" s="134"/>
      <c r="EG41" s="134"/>
      <c r="EH41" s="301"/>
      <c r="EI41" s="301"/>
      <c r="EJ41" s="277"/>
      <c r="EK41" s="134"/>
      <c r="EL41" s="134"/>
      <c r="EM41" s="134"/>
      <c r="EN41" s="134"/>
      <c r="EO41" s="134"/>
      <c r="EP41" s="134"/>
      <c r="EQ41" s="134"/>
      <c r="ER41" s="134"/>
      <c r="ES41" s="301"/>
      <c r="ET41" s="301"/>
      <c r="EU41" s="134"/>
      <c r="EV41" s="134"/>
      <c r="EW41" s="134"/>
      <c r="EX41" s="134"/>
      <c r="EY41" s="134"/>
      <c r="EZ41" s="134"/>
      <c r="FA41" s="134"/>
      <c r="FB41" s="134"/>
      <c r="FC41" s="135"/>
      <c r="FD41" s="135"/>
      <c r="FE41" s="134"/>
      <c r="FF41" s="134"/>
      <c r="FG41" s="134"/>
      <c r="FH41" s="134"/>
      <c r="FI41" s="134"/>
      <c r="FJ41" s="134"/>
      <c r="FK41" s="134"/>
      <c r="FL41" s="134"/>
      <c r="FM41" s="135"/>
      <c r="FN41" s="135"/>
      <c r="FO41" s="134"/>
      <c r="FP41" s="134"/>
      <c r="FQ41" s="134"/>
      <c r="FR41" s="134"/>
      <c r="FS41" s="134"/>
      <c r="FT41" s="134"/>
      <c r="FU41" s="134"/>
      <c r="FV41" s="134"/>
      <c r="FW41" s="135"/>
      <c r="FX41" s="135"/>
      <c r="FY41" s="134"/>
      <c r="FZ41" s="134"/>
      <c r="GA41" s="134"/>
      <c r="GB41" s="134"/>
      <c r="GC41" s="134"/>
      <c r="GD41" s="134"/>
      <c r="GE41" s="134"/>
      <c r="GF41" s="134"/>
      <c r="GG41" s="135"/>
      <c r="GH41" s="135"/>
      <c r="GI41" s="134"/>
      <c r="GJ41" s="134"/>
      <c r="GK41" s="134"/>
      <c r="GL41" s="134"/>
      <c r="GM41" s="134"/>
      <c r="GN41" s="134"/>
      <c r="GO41" s="134"/>
      <c r="GP41" s="134"/>
      <c r="GQ41" s="135"/>
      <c r="GR41" s="135"/>
      <c r="GS41" s="134"/>
      <c r="GT41" s="134"/>
      <c r="GU41" s="134"/>
      <c r="GV41" s="134"/>
      <c r="GW41" s="134"/>
      <c r="GX41" s="134"/>
      <c r="GY41" s="134"/>
      <c r="GZ41" s="134"/>
      <c r="HA41" s="135"/>
      <c r="HB41" s="135"/>
      <c r="HC41" s="134"/>
      <c r="HD41" s="134"/>
      <c r="HE41" s="134"/>
      <c r="HF41" s="134"/>
      <c r="HG41" s="134"/>
      <c r="HH41" s="134"/>
      <c r="HI41" s="134"/>
      <c r="HJ41" s="134"/>
      <c r="HK41" s="135"/>
      <c r="HL41" s="135"/>
      <c r="HM41" s="134"/>
      <c r="HN41" s="134"/>
      <c r="HO41" s="134"/>
      <c r="HP41" s="134"/>
      <c r="HQ41" s="134"/>
      <c r="HR41" s="134"/>
      <c r="HS41" s="134"/>
      <c r="HT41" s="134"/>
      <c r="HU41" s="135"/>
      <c r="HV41" s="135"/>
      <c r="HW41" s="134"/>
      <c r="HX41" s="134"/>
      <c r="HY41" s="134"/>
      <c r="HZ41" s="134"/>
      <c r="IA41" s="134"/>
      <c r="IB41" s="134"/>
      <c r="IC41" s="134"/>
      <c r="ID41" s="134"/>
      <c r="IE41" s="135"/>
      <c r="IF41" s="135"/>
      <c r="IG41" s="134"/>
      <c r="IH41" s="134"/>
      <c r="II41" s="134"/>
      <c r="IJ41" s="134"/>
      <c r="IK41" s="134"/>
      <c r="IL41" s="134"/>
      <c r="IM41" s="134"/>
      <c r="IN41" s="134"/>
      <c r="IO41" s="135"/>
      <c r="IP41" s="135"/>
      <c r="IQ41" s="134"/>
      <c r="IR41" s="134"/>
      <c r="IS41" s="134"/>
      <c r="IT41" s="134"/>
      <c r="IU41" s="134"/>
      <c r="IV41" s="134"/>
      <c r="IW41" s="134"/>
      <c r="IX41" s="134"/>
      <c r="IY41" s="135"/>
      <c r="IZ41" s="135"/>
    </row>
    <row r="42" spans="1:260" s="119" customFormat="1" ht="17" customHeight="1">
      <c r="A42" s="79" t="s">
        <v>171</v>
      </c>
      <c r="B42" s="418">
        <v>126</v>
      </c>
      <c r="C42" s="117"/>
      <c r="D42" s="117">
        <v>41</v>
      </c>
      <c r="E42" s="123" t="s">
        <v>1962</v>
      </c>
      <c r="F42" s="124" t="s">
        <v>2185</v>
      </c>
      <c r="G42" s="125">
        <v>2008</v>
      </c>
      <c r="H42" s="79">
        <v>18068725</v>
      </c>
      <c r="I42" s="79">
        <v>1</v>
      </c>
      <c r="J42" s="126"/>
      <c r="K42" s="127"/>
      <c r="L42" s="79">
        <v>1</v>
      </c>
      <c r="M42" s="79"/>
      <c r="N42" s="79">
        <v>1</v>
      </c>
      <c r="O42" s="128">
        <v>1</v>
      </c>
      <c r="P42" s="79" t="s">
        <v>397</v>
      </c>
      <c r="Q42" s="79"/>
      <c r="R42" s="79" t="s">
        <v>500</v>
      </c>
      <c r="S42" s="79">
        <v>1</v>
      </c>
      <c r="T42" s="79"/>
      <c r="U42" s="79"/>
      <c r="V42" s="79"/>
      <c r="W42" s="79" t="s">
        <v>501</v>
      </c>
      <c r="X42" s="79"/>
      <c r="Y42" s="79"/>
      <c r="Z42" s="79"/>
      <c r="AA42" s="79"/>
      <c r="AB42" s="79"/>
      <c r="AC42" s="506" t="s">
        <v>6212</v>
      </c>
      <c r="AD42" s="573">
        <v>1</v>
      </c>
      <c r="AE42" s="573">
        <v>0</v>
      </c>
      <c r="AF42" s="154"/>
      <c r="AG42" s="155"/>
      <c r="AH42" s="121">
        <v>2</v>
      </c>
      <c r="AI42" s="484"/>
      <c r="AJ42" s="202"/>
      <c r="AK42" s="192"/>
      <c r="AL42" s="203"/>
      <c r="AM42" s="121"/>
      <c r="AN42" s="121"/>
      <c r="AO42" s="121"/>
      <c r="AP42" s="121"/>
      <c r="AQ42" s="121"/>
      <c r="AR42" s="121"/>
      <c r="AS42" s="121"/>
      <c r="AT42" s="121"/>
      <c r="AU42" s="121"/>
      <c r="AV42" s="121"/>
      <c r="AW42" s="121"/>
      <c r="AX42" s="121"/>
      <c r="AY42" s="121"/>
      <c r="AZ42" s="121"/>
      <c r="BA42" s="121"/>
      <c r="BB42" s="121"/>
      <c r="BC42" s="121"/>
      <c r="BD42" s="156"/>
      <c r="BE42" s="156"/>
      <c r="BF42" s="156"/>
      <c r="BG42" s="156"/>
      <c r="BH42" s="156"/>
      <c r="BI42" s="156"/>
      <c r="BJ42" s="156"/>
      <c r="BK42" s="156"/>
      <c r="BL42" s="156"/>
      <c r="BM42" s="156" t="s">
        <v>6205</v>
      </c>
      <c r="BN42" s="156"/>
      <c r="BO42" s="156"/>
      <c r="BP42" s="156" t="s">
        <v>5545</v>
      </c>
      <c r="BQ42" s="157"/>
      <c r="BR42" s="134"/>
      <c r="BS42" s="134"/>
      <c r="BT42" s="134"/>
      <c r="BU42" s="134"/>
      <c r="BV42" s="134"/>
      <c r="BW42" s="259"/>
      <c r="BX42" s="138"/>
      <c r="BY42" s="134"/>
      <c r="BZ42" s="134"/>
      <c r="CA42" s="134"/>
      <c r="CB42" s="138"/>
      <c r="CC42" s="134"/>
      <c r="CD42" s="134"/>
      <c r="CE42" s="134"/>
      <c r="CF42" s="288"/>
      <c r="CG42" s="289"/>
      <c r="CH42" s="138"/>
      <c r="CI42" s="134"/>
      <c r="CJ42" s="134"/>
      <c r="CK42" s="134"/>
      <c r="CL42" s="138"/>
      <c r="CM42" s="134"/>
      <c r="CN42" s="134"/>
      <c r="CO42" s="134"/>
      <c r="CP42" s="288"/>
      <c r="CQ42" s="289"/>
      <c r="CR42" s="276"/>
      <c r="CS42" s="308"/>
      <c r="CT42" s="138"/>
      <c r="CU42" s="134"/>
      <c r="CV42" s="134"/>
      <c r="CW42" s="134"/>
      <c r="CX42" s="134"/>
      <c r="CY42" s="134"/>
      <c r="CZ42" s="134"/>
      <c r="DA42" s="134"/>
      <c r="DB42" s="300"/>
      <c r="DC42" s="301"/>
      <c r="DD42" s="134"/>
      <c r="DE42" s="134"/>
      <c r="DF42" s="134"/>
      <c r="DG42" s="134"/>
      <c r="DH42" s="134"/>
      <c r="DI42" s="134"/>
      <c r="DJ42" s="134"/>
      <c r="DK42" s="134"/>
      <c r="DL42" s="300"/>
      <c r="DM42" s="301"/>
      <c r="DN42" s="276"/>
      <c r="DO42" s="277"/>
      <c r="DP42" s="134"/>
      <c r="DQ42" s="134"/>
      <c r="DR42" s="134"/>
      <c r="DS42" s="134"/>
      <c r="DT42" s="138"/>
      <c r="DU42" s="134"/>
      <c r="DV42" s="134"/>
      <c r="DW42" s="134"/>
      <c r="DX42" s="301"/>
      <c r="DY42" s="301"/>
      <c r="DZ42" s="138"/>
      <c r="EA42" s="134"/>
      <c r="EB42" s="134"/>
      <c r="EC42" s="134"/>
      <c r="ED42" s="138"/>
      <c r="EE42" s="134"/>
      <c r="EF42" s="134"/>
      <c r="EG42" s="134"/>
      <c r="EH42" s="301"/>
      <c r="EI42" s="301"/>
      <c r="EJ42" s="277"/>
      <c r="EK42" s="134"/>
      <c r="EL42" s="134"/>
      <c r="EM42" s="134"/>
      <c r="EN42" s="134"/>
      <c r="EO42" s="134"/>
      <c r="EP42" s="134"/>
      <c r="EQ42" s="134"/>
      <c r="ER42" s="134"/>
      <c r="ES42" s="301"/>
      <c r="ET42" s="301"/>
      <c r="EU42" s="134"/>
      <c r="EV42" s="134"/>
      <c r="EW42" s="134"/>
      <c r="EX42" s="134"/>
      <c r="EY42" s="134"/>
      <c r="EZ42" s="134"/>
      <c r="FA42" s="134"/>
      <c r="FB42" s="134"/>
      <c r="FC42" s="135"/>
      <c r="FD42" s="135"/>
      <c r="FE42" s="134"/>
      <c r="FF42" s="134"/>
      <c r="FG42" s="134"/>
      <c r="FH42" s="134"/>
      <c r="FI42" s="134"/>
      <c r="FJ42" s="134"/>
      <c r="FK42" s="134"/>
      <c r="FL42" s="134"/>
      <c r="FM42" s="135"/>
      <c r="FN42" s="135"/>
      <c r="FO42" s="134"/>
      <c r="FP42" s="134"/>
      <c r="FQ42" s="134"/>
      <c r="FR42" s="134"/>
      <c r="FS42" s="134"/>
      <c r="FT42" s="134"/>
      <c r="FU42" s="134"/>
      <c r="FV42" s="134"/>
      <c r="FW42" s="135"/>
      <c r="FX42" s="135"/>
      <c r="FY42" s="134"/>
      <c r="FZ42" s="134"/>
      <c r="GA42" s="134"/>
      <c r="GB42" s="134"/>
      <c r="GC42" s="134"/>
      <c r="GD42" s="134"/>
      <c r="GE42" s="134"/>
      <c r="GF42" s="134"/>
      <c r="GG42" s="135"/>
      <c r="GH42" s="135"/>
      <c r="GI42" s="134"/>
      <c r="GJ42" s="134"/>
      <c r="GK42" s="134"/>
      <c r="GL42" s="134"/>
      <c r="GM42" s="134"/>
      <c r="GN42" s="134"/>
      <c r="GO42" s="134"/>
      <c r="GP42" s="134"/>
      <c r="GQ42" s="135"/>
      <c r="GR42" s="135"/>
      <c r="GS42" s="134"/>
      <c r="GT42" s="134"/>
      <c r="GU42" s="134"/>
      <c r="GV42" s="134"/>
      <c r="GW42" s="134"/>
      <c r="GX42" s="134"/>
      <c r="GY42" s="134"/>
      <c r="GZ42" s="134"/>
      <c r="HA42" s="135"/>
      <c r="HB42" s="135"/>
      <c r="HC42" s="134"/>
      <c r="HD42" s="134"/>
      <c r="HE42" s="134"/>
      <c r="HF42" s="134"/>
      <c r="HG42" s="134"/>
      <c r="HH42" s="134"/>
      <c r="HI42" s="134"/>
      <c r="HJ42" s="134"/>
      <c r="HK42" s="135"/>
      <c r="HL42" s="135"/>
      <c r="HM42" s="134"/>
      <c r="HN42" s="134"/>
      <c r="HO42" s="134"/>
      <c r="HP42" s="134"/>
      <c r="HQ42" s="134"/>
      <c r="HR42" s="134"/>
      <c r="HS42" s="134"/>
      <c r="HT42" s="134"/>
      <c r="HU42" s="135"/>
      <c r="HV42" s="135"/>
      <c r="HW42" s="134"/>
      <c r="HX42" s="134"/>
      <c r="HY42" s="134"/>
      <c r="HZ42" s="134"/>
      <c r="IA42" s="134"/>
      <c r="IB42" s="134"/>
      <c r="IC42" s="134"/>
      <c r="ID42" s="134"/>
      <c r="IE42" s="135"/>
      <c r="IF42" s="135"/>
      <c r="IG42" s="134"/>
      <c r="IH42" s="134"/>
      <c r="II42" s="134"/>
      <c r="IJ42" s="134"/>
      <c r="IK42" s="134"/>
      <c r="IL42" s="134"/>
      <c r="IM42" s="134"/>
      <c r="IN42" s="134"/>
      <c r="IO42" s="135"/>
      <c r="IP42" s="135"/>
      <c r="IQ42" s="134"/>
      <c r="IR42" s="134"/>
      <c r="IS42" s="134"/>
      <c r="IT42" s="134"/>
      <c r="IU42" s="134"/>
      <c r="IV42" s="134"/>
      <c r="IW42" s="134"/>
      <c r="IX42" s="134"/>
      <c r="IY42" s="135"/>
      <c r="IZ42" s="135"/>
    </row>
    <row r="43" spans="1:260" s="119" customFormat="1" ht="17" customHeight="1">
      <c r="A43" s="79" t="s">
        <v>1047</v>
      </c>
      <c r="B43" s="418">
        <v>131</v>
      </c>
      <c r="C43" s="117"/>
      <c r="D43" s="117">
        <v>42</v>
      </c>
      <c r="E43" s="123" t="s">
        <v>2079</v>
      </c>
      <c r="F43" s="124" t="s">
        <v>2333</v>
      </c>
      <c r="G43" s="125">
        <v>2016</v>
      </c>
      <c r="H43" s="79">
        <v>27275520</v>
      </c>
      <c r="I43" s="79">
        <v>1</v>
      </c>
      <c r="J43" s="126"/>
      <c r="K43" s="127"/>
      <c r="L43" s="79">
        <v>1</v>
      </c>
      <c r="M43" s="79"/>
      <c r="N43" s="79">
        <v>1</v>
      </c>
      <c r="O43" s="128">
        <v>2</v>
      </c>
      <c r="P43" s="79" t="s">
        <v>1361</v>
      </c>
      <c r="Q43" s="79" t="s">
        <v>1216</v>
      </c>
      <c r="R43" s="79" t="s">
        <v>1127</v>
      </c>
      <c r="S43" s="79"/>
      <c r="T43" s="79" t="s">
        <v>1487</v>
      </c>
      <c r="U43" s="79"/>
      <c r="V43" s="79"/>
      <c r="W43" s="79" t="s">
        <v>1360</v>
      </c>
      <c r="X43" s="79" t="s">
        <v>24</v>
      </c>
      <c r="Y43" s="79" t="s">
        <v>24</v>
      </c>
      <c r="Z43" s="79"/>
      <c r="AA43" s="79"/>
      <c r="AB43" s="79"/>
      <c r="AC43" s="506" t="s">
        <v>6213</v>
      </c>
      <c r="AD43" s="573">
        <v>1</v>
      </c>
      <c r="AE43" s="573">
        <v>1</v>
      </c>
      <c r="AF43" s="154"/>
      <c r="AG43" s="155"/>
      <c r="AH43" s="121">
        <v>4</v>
      </c>
      <c r="AI43" s="484"/>
      <c r="AJ43" s="202"/>
      <c r="AK43" s="192"/>
      <c r="AL43" s="203"/>
      <c r="AM43" s="121"/>
      <c r="AN43" s="121"/>
      <c r="AO43" s="121"/>
      <c r="AP43" s="121"/>
      <c r="AQ43" s="121"/>
      <c r="AR43" s="121"/>
      <c r="AS43" s="121"/>
      <c r="AT43" s="121"/>
      <c r="AU43" s="121"/>
      <c r="AV43" s="121"/>
      <c r="AW43" s="121"/>
      <c r="AX43" s="121"/>
      <c r="AY43" s="121"/>
      <c r="AZ43" s="121"/>
      <c r="BA43" s="121"/>
      <c r="BB43" s="121">
        <v>1</v>
      </c>
      <c r="BC43" s="121"/>
      <c r="BD43" s="156"/>
      <c r="BE43" s="156"/>
      <c r="BF43" s="156"/>
      <c r="BG43" s="156"/>
      <c r="BH43" s="156"/>
      <c r="BI43" s="156"/>
      <c r="BJ43" s="156" t="s">
        <v>6174</v>
      </c>
      <c r="BK43" s="156"/>
      <c r="BL43" s="156"/>
      <c r="BM43" s="156"/>
      <c r="BN43" s="156"/>
      <c r="BO43" s="156"/>
      <c r="BP43" s="156"/>
      <c r="BQ43" s="157"/>
      <c r="BR43" s="134"/>
      <c r="BS43" s="134"/>
      <c r="BT43" s="134"/>
      <c r="BU43" s="134"/>
      <c r="BV43" s="134"/>
      <c r="BW43" s="259"/>
      <c r="BX43" s="138"/>
      <c r="BY43" s="134"/>
      <c r="BZ43" s="134"/>
      <c r="CA43" s="134"/>
      <c r="CB43" s="138"/>
      <c r="CC43" s="134"/>
      <c r="CD43" s="134"/>
      <c r="CE43" s="134"/>
      <c r="CF43" s="288"/>
      <c r="CG43" s="289"/>
      <c r="CH43" s="138"/>
      <c r="CI43" s="134"/>
      <c r="CJ43" s="134"/>
      <c r="CK43" s="134"/>
      <c r="CL43" s="138"/>
      <c r="CM43" s="134"/>
      <c r="CN43" s="134"/>
      <c r="CO43" s="134"/>
      <c r="CP43" s="288"/>
      <c r="CQ43" s="289"/>
      <c r="CR43" s="276"/>
      <c r="CS43" s="308"/>
      <c r="CT43" s="138"/>
      <c r="CU43" s="134"/>
      <c r="CV43" s="134"/>
      <c r="CW43" s="134"/>
      <c r="CX43" s="134"/>
      <c r="CY43" s="134"/>
      <c r="CZ43" s="134"/>
      <c r="DA43" s="134"/>
      <c r="DB43" s="300"/>
      <c r="DC43" s="301"/>
      <c r="DD43" s="134"/>
      <c r="DE43" s="134"/>
      <c r="DF43" s="134"/>
      <c r="DG43" s="134"/>
      <c r="DH43" s="134"/>
      <c r="DI43" s="134"/>
      <c r="DJ43" s="134"/>
      <c r="DK43" s="134"/>
      <c r="DL43" s="300"/>
      <c r="DM43" s="301"/>
      <c r="DN43" s="276"/>
      <c r="DO43" s="277"/>
      <c r="DP43" s="134"/>
      <c r="DQ43" s="134"/>
      <c r="DR43" s="134"/>
      <c r="DS43" s="134"/>
      <c r="DT43" s="138"/>
      <c r="DU43" s="134"/>
      <c r="DV43" s="134"/>
      <c r="DW43" s="134"/>
      <c r="DX43" s="301"/>
      <c r="DY43" s="301"/>
      <c r="DZ43" s="138"/>
      <c r="EA43" s="134"/>
      <c r="EB43" s="134"/>
      <c r="EC43" s="134"/>
      <c r="ED43" s="138"/>
      <c r="EE43" s="134"/>
      <c r="EF43" s="134"/>
      <c r="EG43" s="134"/>
      <c r="EH43" s="301"/>
      <c r="EI43" s="301"/>
      <c r="EJ43" s="277"/>
      <c r="EK43" s="134"/>
      <c r="EL43" s="134"/>
      <c r="EM43" s="134"/>
      <c r="EN43" s="134"/>
      <c r="EO43" s="134"/>
      <c r="EP43" s="134"/>
      <c r="EQ43" s="134"/>
      <c r="ER43" s="134"/>
      <c r="ES43" s="301"/>
      <c r="ET43" s="301"/>
      <c r="EU43" s="134"/>
      <c r="EV43" s="134"/>
      <c r="EW43" s="134"/>
      <c r="EX43" s="134"/>
      <c r="EY43" s="134"/>
      <c r="EZ43" s="134"/>
      <c r="FA43" s="134"/>
      <c r="FB43" s="134"/>
      <c r="FC43" s="135"/>
      <c r="FD43" s="135"/>
      <c r="FE43" s="134"/>
      <c r="FF43" s="134"/>
      <c r="FG43" s="134"/>
      <c r="FH43" s="134"/>
      <c r="FI43" s="134"/>
      <c r="FJ43" s="134"/>
      <c r="FK43" s="134"/>
      <c r="FL43" s="134"/>
      <c r="FM43" s="135"/>
      <c r="FN43" s="135"/>
      <c r="FO43" s="134"/>
      <c r="FP43" s="134"/>
      <c r="FQ43" s="134"/>
      <c r="FR43" s="134"/>
      <c r="FS43" s="134"/>
      <c r="FT43" s="134"/>
      <c r="FU43" s="134"/>
      <c r="FV43" s="134"/>
      <c r="FW43" s="135"/>
      <c r="FX43" s="135"/>
      <c r="FY43" s="134"/>
      <c r="FZ43" s="134"/>
      <c r="GA43" s="134"/>
      <c r="GB43" s="134"/>
      <c r="GC43" s="134"/>
      <c r="GD43" s="134"/>
      <c r="GE43" s="134"/>
      <c r="GF43" s="134"/>
      <c r="GG43" s="135"/>
      <c r="GH43" s="135"/>
      <c r="GI43" s="134"/>
      <c r="GJ43" s="134"/>
      <c r="GK43" s="134"/>
      <c r="GL43" s="134"/>
      <c r="GM43" s="134"/>
      <c r="GN43" s="134"/>
      <c r="GO43" s="134"/>
      <c r="GP43" s="134"/>
      <c r="GQ43" s="135"/>
      <c r="GR43" s="135"/>
      <c r="GS43" s="134"/>
      <c r="GT43" s="134"/>
      <c r="GU43" s="134"/>
      <c r="GV43" s="134"/>
      <c r="GW43" s="134"/>
      <c r="GX43" s="134"/>
      <c r="GY43" s="134"/>
      <c r="GZ43" s="134"/>
      <c r="HA43" s="135"/>
      <c r="HB43" s="135"/>
      <c r="HC43" s="134"/>
      <c r="HD43" s="134"/>
      <c r="HE43" s="134"/>
      <c r="HF43" s="134"/>
      <c r="HG43" s="134"/>
      <c r="HH43" s="134"/>
      <c r="HI43" s="134"/>
      <c r="HJ43" s="134"/>
      <c r="HK43" s="135"/>
      <c r="HL43" s="135"/>
      <c r="HM43" s="134"/>
      <c r="HN43" s="134"/>
      <c r="HO43" s="134"/>
      <c r="HP43" s="134"/>
      <c r="HQ43" s="134"/>
      <c r="HR43" s="134"/>
      <c r="HS43" s="134"/>
      <c r="HT43" s="134"/>
      <c r="HU43" s="135"/>
      <c r="HV43" s="135"/>
      <c r="HW43" s="134"/>
      <c r="HX43" s="134"/>
      <c r="HY43" s="134"/>
      <c r="HZ43" s="134"/>
      <c r="IA43" s="134"/>
      <c r="IB43" s="134"/>
      <c r="IC43" s="134"/>
      <c r="ID43" s="134"/>
      <c r="IE43" s="135"/>
      <c r="IF43" s="135"/>
      <c r="IG43" s="134"/>
      <c r="IH43" s="134"/>
      <c r="II43" s="134"/>
      <c r="IJ43" s="134"/>
      <c r="IK43" s="134"/>
      <c r="IL43" s="134"/>
      <c r="IM43" s="134"/>
      <c r="IN43" s="134"/>
      <c r="IO43" s="135"/>
      <c r="IP43" s="135"/>
      <c r="IQ43" s="134"/>
      <c r="IR43" s="134"/>
      <c r="IS43" s="134"/>
      <c r="IT43" s="134"/>
      <c r="IU43" s="134"/>
      <c r="IV43" s="134"/>
      <c r="IW43" s="134"/>
      <c r="IX43" s="134"/>
      <c r="IY43" s="135"/>
      <c r="IZ43" s="135"/>
    </row>
    <row r="44" spans="1:260" s="119" customFormat="1" ht="17" customHeight="1">
      <c r="A44" s="79" t="s">
        <v>1043</v>
      </c>
      <c r="B44" s="418">
        <v>132</v>
      </c>
      <c r="C44" s="117"/>
      <c r="D44" s="117">
        <v>43</v>
      </c>
      <c r="E44" s="123" t="s">
        <v>2080</v>
      </c>
      <c r="F44" s="124" t="s">
        <v>2334</v>
      </c>
      <c r="G44" s="125">
        <v>2014</v>
      </c>
      <c r="H44" s="79">
        <v>24239430</v>
      </c>
      <c r="I44" s="79">
        <v>1</v>
      </c>
      <c r="J44" s="126" t="s">
        <v>1852</v>
      </c>
      <c r="K44" s="127"/>
      <c r="L44" s="79">
        <v>0</v>
      </c>
      <c r="M44" s="79"/>
      <c r="N44" s="79">
        <v>0</v>
      </c>
      <c r="O44" s="128">
        <v>2</v>
      </c>
      <c r="P44" s="79" t="s">
        <v>1369</v>
      </c>
      <c r="Q44" s="79"/>
      <c r="R44" s="79"/>
      <c r="S44" s="79"/>
      <c r="T44" s="79" t="s">
        <v>1367</v>
      </c>
      <c r="U44" s="79"/>
      <c r="V44" s="79"/>
      <c r="W44" s="79" t="s">
        <v>1248</v>
      </c>
      <c r="X44" s="79" t="s">
        <v>24</v>
      </c>
      <c r="Y44" s="79" t="s">
        <v>1368</v>
      </c>
      <c r="Z44" s="79"/>
      <c r="AA44" s="79" t="s">
        <v>1660</v>
      </c>
      <c r="AB44" s="79" t="s">
        <v>1659</v>
      </c>
      <c r="AC44" s="506" t="s">
        <v>6214</v>
      </c>
      <c r="AD44" s="573">
        <v>1</v>
      </c>
      <c r="AE44" s="573">
        <v>1</v>
      </c>
      <c r="AF44" s="154"/>
      <c r="AG44" s="155"/>
      <c r="AH44" s="121"/>
      <c r="AI44" s="484"/>
      <c r="AJ44" s="202"/>
      <c r="AK44" s="192"/>
      <c r="AL44" s="203"/>
      <c r="AM44" s="121"/>
      <c r="AN44" s="121"/>
      <c r="AO44" s="121"/>
      <c r="AP44" s="121"/>
      <c r="AQ44" s="121"/>
      <c r="AR44" s="121"/>
      <c r="AS44" s="121"/>
      <c r="AT44" s="121"/>
      <c r="AU44" s="121"/>
      <c r="AV44" s="121"/>
      <c r="AW44" s="121"/>
      <c r="AX44" s="121"/>
      <c r="AY44" s="121"/>
      <c r="AZ44" s="121"/>
      <c r="BA44" s="121"/>
      <c r="BB44" s="121"/>
      <c r="BC44" s="121"/>
      <c r="BD44" s="156" t="s">
        <v>5207</v>
      </c>
      <c r="BE44" s="156"/>
      <c r="BF44" s="156"/>
      <c r="BG44" s="156"/>
      <c r="BH44" s="156"/>
      <c r="BI44" s="156"/>
      <c r="BJ44" s="156" t="s">
        <v>6174</v>
      </c>
      <c r="BK44" s="156"/>
      <c r="BL44" s="156"/>
      <c r="BM44" s="156"/>
      <c r="BN44" s="156"/>
      <c r="BO44" s="156"/>
      <c r="BP44" s="156"/>
      <c r="BQ44" s="157"/>
      <c r="BR44" s="134"/>
      <c r="BS44" s="134"/>
      <c r="BT44" s="134"/>
      <c r="BU44" s="134"/>
      <c r="BV44" s="134"/>
      <c r="BW44" s="259"/>
      <c r="BX44" s="138"/>
      <c r="BY44" s="134"/>
      <c r="BZ44" s="134"/>
      <c r="CA44" s="134"/>
      <c r="CB44" s="138"/>
      <c r="CC44" s="134"/>
      <c r="CD44" s="134"/>
      <c r="CE44" s="134"/>
      <c r="CF44" s="288"/>
      <c r="CG44" s="289"/>
      <c r="CH44" s="138"/>
      <c r="CI44" s="134"/>
      <c r="CJ44" s="134"/>
      <c r="CK44" s="134"/>
      <c r="CL44" s="138"/>
      <c r="CM44" s="134"/>
      <c r="CN44" s="134"/>
      <c r="CO44" s="134"/>
      <c r="CP44" s="288"/>
      <c r="CQ44" s="289"/>
      <c r="CR44" s="276"/>
      <c r="CS44" s="308"/>
      <c r="CT44" s="138"/>
      <c r="CU44" s="134"/>
      <c r="CV44" s="134"/>
      <c r="CW44" s="134"/>
      <c r="CX44" s="134"/>
      <c r="CY44" s="134"/>
      <c r="CZ44" s="134"/>
      <c r="DA44" s="134"/>
      <c r="DB44" s="300"/>
      <c r="DC44" s="301"/>
      <c r="DD44" s="134"/>
      <c r="DE44" s="134"/>
      <c r="DF44" s="134"/>
      <c r="DG44" s="134"/>
      <c r="DH44" s="134"/>
      <c r="DI44" s="134"/>
      <c r="DJ44" s="134"/>
      <c r="DK44" s="134"/>
      <c r="DL44" s="300"/>
      <c r="DM44" s="301"/>
      <c r="DN44" s="276"/>
      <c r="DO44" s="277"/>
      <c r="DP44" s="134"/>
      <c r="DQ44" s="134"/>
      <c r="DR44" s="134"/>
      <c r="DS44" s="134"/>
      <c r="DT44" s="138"/>
      <c r="DU44" s="134"/>
      <c r="DV44" s="134"/>
      <c r="DW44" s="134"/>
      <c r="DX44" s="301"/>
      <c r="DY44" s="301"/>
      <c r="DZ44" s="138"/>
      <c r="EA44" s="134"/>
      <c r="EB44" s="134"/>
      <c r="EC44" s="134"/>
      <c r="ED44" s="138"/>
      <c r="EE44" s="134"/>
      <c r="EF44" s="134"/>
      <c r="EG44" s="134"/>
      <c r="EH44" s="301"/>
      <c r="EI44" s="301"/>
      <c r="EJ44" s="277"/>
      <c r="EK44" s="134"/>
      <c r="EL44" s="134"/>
      <c r="EM44" s="134"/>
      <c r="EN44" s="134"/>
      <c r="EO44" s="134"/>
      <c r="EP44" s="134"/>
      <c r="EQ44" s="134"/>
      <c r="ER44" s="134"/>
      <c r="ES44" s="301"/>
      <c r="ET44" s="301"/>
      <c r="EU44" s="134"/>
      <c r="EV44" s="134"/>
      <c r="EW44" s="134"/>
      <c r="EX44" s="134"/>
      <c r="EY44" s="134"/>
      <c r="EZ44" s="134"/>
      <c r="FA44" s="134"/>
      <c r="FB44" s="134"/>
      <c r="FC44" s="135"/>
      <c r="FD44" s="135"/>
      <c r="FE44" s="134"/>
      <c r="FF44" s="134"/>
      <c r="FG44" s="134"/>
      <c r="FH44" s="134"/>
      <c r="FI44" s="134"/>
      <c r="FJ44" s="134"/>
      <c r="FK44" s="134"/>
      <c r="FL44" s="134"/>
      <c r="FM44" s="135"/>
      <c r="FN44" s="135"/>
      <c r="FO44" s="134"/>
      <c r="FP44" s="134"/>
      <c r="FQ44" s="134"/>
      <c r="FR44" s="134"/>
      <c r="FS44" s="134"/>
      <c r="FT44" s="134"/>
      <c r="FU44" s="134"/>
      <c r="FV44" s="134"/>
      <c r="FW44" s="135"/>
      <c r="FX44" s="135"/>
      <c r="FY44" s="134"/>
      <c r="FZ44" s="134"/>
      <c r="GA44" s="134"/>
      <c r="GB44" s="134"/>
      <c r="GC44" s="134"/>
      <c r="GD44" s="134"/>
      <c r="GE44" s="134"/>
      <c r="GF44" s="134"/>
      <c r="GG44" s="135"/>
      <c r="GH44" s="135"/>
      <c r="GI44" s="134"/>
      <c r="GJ44" s="134"/>
      <c r="GK44" s="134"/>
      <c r="GL44" s="134"/>
      <c r="GM44" s="134"/>
      <c r="GN44" s="134"/>
      <c r="GO44" s="134"/>
      <c r="GP44" s="134"/>
      <c r="GQ44" s="135"/>
      <c r="GR44" s="135"/>
      <c r="GS44" s="134"/>
      <c r="GT44" s="134"/>
      <c r="GU44" s="134"/>
      <c r="GV44" s="134"/>
      <c r="GW44" s="134"/>
      <c r="GX44" s="134"/>
      <c r="GY44" s="134"/>
      <c r="GZ44" s="134"/>
      <c r="HA44" s="135"/>
      <c r="HB44" s="135"/>
      <c r="HC44" s="134"/>
      <c r="HD44" s="134"/>
      <c r="HE44" s="134"/>
      <c r="HF44" s="134"/>
      <c r="HG44" s="134"/>
      <c r="HH44" s="134"/>
      <c r="HI44" s="134"/>
      <c r="HJ44" s="134"/>
      <c r="HK44" s="135"/>
      <c r="HL44" s="135"/>
      <c r="HM44" s="134"/>
      <c r="HN44" s="134"/>
      <c r="HO44" s="134"/>
      <c r="HP44" s="134"/>
      <c r="HQ44" s="134"/>
      <c r="HR44" s="134"/>
      <c r="HS44" s="134"/>
      <c r="HT44" s="134"/>
      <c r="HU44" s="135"/>
      <c r="HV44" s="135"/>
      <c r="HW44" s="134"/>
      <c r="HX44" s="134"/>
      <c r="HY44" s="134"/>
      <c r="HZ44" s="134"/>
      <c r="IA44" s="134"/>
      <c r="IB44" s="134"/>
      <c r="IC44" s="134"/>
      <c r="ID44" s="134"/>
      <c r="IE44" s="135"/>
      <c r="IF44" s="135"/>
      <c r="IG44" s="134"/>
      <c r="IH44" s="134"/>
      <c r="II44" s="134"/>
      <c r="IJ44" s="134"/>
      <c r="IK44" s="134"/>
      <c r="IL44" s="134"/>
      <c r="IM44" s="134"/>
      <c r="IN44" s="134"/>
      <c r="IO44" s="135"/>
      <c r="IP44" s="135"/>
      <c r="IQ44" s="134"/>
      <c r="IR44" s="134"/>
      <c r="IS44" s="134"/>
      <c r="IT44" s="134"/>
      <c r="IU44" s="134"/>
      <c r="IV44" s="134"/>
      <c r="IW44" s="134"/>
      <c r="IX44" s="134"/>
      <c r="IY44" s="135"/>
      <c r="IZ44" s="135"/>
    </row>
    <row r="45" spans="1:260" s="119" customFormat="1" ht="17" customHeight="1">
      <c r="A45" s="79" t="s">
        <v>186</v>
      </c>
      <c r="B45" s="418">
        <v>135</v>
      </c>
      <c r="C45" s="117"/>
      <c r="D45" s="117">
        <v>44</v>
      </c>
      <c r="E45" s="123" t="s">
        <v>1966</v>
      </c>
      <c r="F45" s="124" t="s">
        <v>2190</v>
      </c>
      <c r="G45" s="125">
        <v>2015</v>
      </c>
      <c r="H45" s="79">
        <v>24156759</v>
      </c>
      <c r="I45" s="79">
        <v>1</v>
      </c>
      <c r="J45" s="126"/>
      <c r="K45" s="127"/>
      <c r="L45" s="164">
        <v>1</v>
      </c>
      <c r="M45" s="79"/>
      <c r="N45" s="164">
        <v>1</v>
      </c>
      <c r="O45" s="128">
        <v>1</v>
      </c>
      <c r="P45" s="79" t="s">
        <v>541</v>
      </c>
      <c r="Q45" s="79"/>
      <c r="R45" s="79" t="s">
        <v>542</v>
      </c>
      <c r="S45" s="79">
        <v>0</v>
      </c>
      <c r="T45" s="79"/>
      <c r="U45" s="79"/>
      <c r="V45" s="79"/>
      <c r="W45" s="79" t="s">
        <v>492</v>
      </c>
      <c r="X45" s="79"/>
      <c r="Y45" s="79"/>
      <c r="Z45" s="79"/>
      <c r="AA45" s="79"/>
      <c r="AB45" s="79" t="s">
        <v>543</v>
      </c>
      <c r="AC45" s="506" t="s">
        <v>6215</v>
      </c>
      <c r="AD45" s="573">
        <v>1</v>
      </c>
      <c r="AE45" s="573">
        <v>0</v>
      </c>
      <c r="AF45" s="154" t="s">
        <v>3003</v>
      </c>
      <c r="AG45" s="155" t="s">
        <v>6216</v>
      </c>
      <c r="AH45" s="121"/>
      <c r="AI45" s="484"/>
      <c r="AJ45" s="202"/>
      <c r="AK45" s="192"/>
      <c r="AL45" s="203"/>
      <c r="AM45" s="121"/>
      <c r="AN45" s="121"/>
      <c r="AO45" s="121"/>
      <c r="AP45" s="121"/>
      <c r="AQ45" s="121"/>
      <c r="AR45" s="121"/>
      <c r="AS45" s="121"/>
      <c r="AT45" s="121"/>
      <c r="AU45" s="121"/>
      <c r="AV45" s="121"/>
      <c r="AW45" s="121"/>
      <c r="AX45" s="121"/>
      <c r="AY45" s="121"/>
      <c r="AZ45" s="121"/>
      <c r="BA45" s="121"/>
      <c r="BB45" s="121"/>
      <c r="BC45" s="121"/>
      <c r="BD45" s="156"/>
      <c r="BE45" s="156"/>
      <c r="BF45" s="156" t="s">
        <v>5207</v>
      </c>
      <c r="BG45" s="156" t="s">
        <v>6175</v>
      </c>
      <c r="BH45" s="156" t="s">
        <v>6205</v>
      </c>
      <c r="BI45" s="156" t="s">
        <v>5207</v>
      </c>
      <c r="BJ45" s="156"/>
      <c r="BK45" s="156"/>
      <c r="BL45" s="156" t="s">
        <v>5207</v>
      </c>
      <c r="BM45" s="156"/>
      <c r="BN45" s="156" t="s">
        <v>5207</v>
      </c>
      <c r="BO45" s="156" t="s">
        <v>5207</v>
      </c>
      <c r="BP45" s="156"/>
      <c r="BQ45" s="157"/>
      <c r="BR45" s="134"/>
      <c r="BS45" s="134"/>
      <c r="BT45" s="134"/>
      <c r="BU45" s="134"/>
      <c r="BV45" s="134"/>
      <c r="BW45" s="259"/>
      <c r="BX45" s="138"/>
      <c r="BY45" s="134"/>
      <c r="BZ45" s="134"/>
      <c r="CA45" s="134"/>
      <c r="CB45" s="138"/>
      <c r="CC45" s="134"/>
      <c r="CD45" s="134"/>
      <c r="CE45" s="134"/>
      <c r="CF45" s="288"/>
      <c r="CG45" s="289"/>
      <c r="CH45" s="138"/>
      <c r="CI45" s="134"/>
      <c r="CJ45" s="134"/>
      <c r="CK45" s="134"/>
      <c r="CL45" s="138"/>
      <c r="CM45" s="134"/>
      <c r="CN45" s="134"/>
      <c r="CO45" s="134"/>
      <c r="CP45" s="288"/>
      <c r="CQ45" s="289"/>
      <c r="CR45" s="276"/>
      <c r="CS45" s="308"/>
      <c r="CT45" s="138"/>
      <c r="CU45" s="134"/>
      <c r="CV45" s="134"/>
      <c r="CW45" s="134"/>
      <c r="CX45" s="134"/>
      <c r="CY45" s="134"/>
      <c r="CZ45" s="134"/>
      <c r="DA45" s="134"/>
      <c r="DB45" s="300"/>
      <c r="DC45" s="301"/>
      <c r="DD45" s="134"/>
      <c r="DE45" s="134"/>
      <c r="DF45" s="134"/>
      <c r="DG45" s="134"/>
      <c r="DH45" s="134"/>
      <c r="DI45" s="134"/>
      <c r="DJ45" s="134"/>
      <c r="DK45" s="134"/>
      <c r="DL45" s="300"/>
      <c r="DM45" s="301"/>
      <c r="DN45" s="276"/>
      <c r="DO45" s="277"/>
      <c r="DP45" s="134"/>
      <c r="DQ45" s="134"/>
      <c r="DR45" s="134"/>
      <c r="DS45" s="134"/>
      <c r="DT45" s="138"/>
      <c r="DU45" s="134"/>
      <c r="DV45" s="134"/>
      <c r="DW45" s="134"/>
      <c r="DX45" s="301"/>
      <c r="DY45" s="301"/>
      <c r="DZ45" s="138"/>
      <c r="EA45" s="134"/>
      <c r="EB45" s="134"/>
      <c r="EC45" s="134"/>
      <c r="ED45" s="138"/>
      <c r="EE45" s="134"/>
      <c r="EF45" s="134"/>
      <c r="EG45" s="134"/>
      <c r="EH45" s="301"/>
      <c r="EI45" s="301"/>
      <c r="EJ45" s="277"/>
      <c r="EK45" s="134"/>
      <c r="EL45" s="134"/>
      <c r="EM45" s="134"/>
      <c r="EN45" s="134"/>
      <c r="EO45" s="134"/>
      <c r="EP45" s="134"/>
      <c r="EQ45" s="134"/>
      <c r="ER45" s="134"/>
      <c r="ES45" s="301"/>
      <c r="ET45" s="301"/>
      <c r="EU45" s="134"/>
      <c r="EV45" s="134"/>
      <c r="EW45" s="134"/>
      <c r="EX45" s="134"/>
      <c r="EY45" s="134"/>
      <c r="EZ45" s="134"/>
      <c r="FA45" s="134"/>
      <c r="FB45" s="134"/>
      <c r="FC45" s="135"/>
      <c r="FD45" s="135"/>
      <c r="FE45" s="134"/>
      <c r="FF45" s="134"/>
      <c r="FG45" s="134"/>
      <c r="FH45" s="134"/>
      <c r="FI45" s="134"/>
      <c r="FJ45" s="134"/>
      <c r="FK45" s="134"/>
      <c r="FL45" s="134"/>
      <c r="FM45" s="135"/>
      <c r="FN45" s="135"/>
      <c r="FO45" s="134"/>
      <c r="FP45" s="134"/>
      <c r="FQ45" s="134"/>
      <c r="FR45" s="134"/>
      <c r="FS45" s="134"/>
      <c r="FT45" s="134"/>
      <c r="FU45" s="134"/>
      <c r="FV45" s="134"/>
      <c r="FW45" s="135"/>
      <c r="FX45" s="135"/>
      <c r="FY45" s="134"/>
      <c r="FZ45" s="134"/>
      <c r="GA45" s="134"/>
      <c r="GB45" s="134"/>
      <c r="GC45" s="134"/>
      <c r="GD45" s="134"/>
      <c r="GE45" s="134"/>
      <c r="GF45" s="134"/>
      <c r="GG45" s="135"/>
      <c r="GH45" s="135"/>
      <c r="GI45" s="134"/>
      <c r="GJ45" s="134"/>
      <c r="GK45" s="134"/>
      <c r="GL45" s="134"/>
      <c r="GM45" s="134"/>
      <c r="GN45" s="134"/>
      <c r="GO45" s="134"/>
      <c r="GP45" s="134"/>
      <c r="GQ45" s="135"/>
      <c r="GR45" s="135"/>
      <c r="GS45" s="134"/>
      <c r="GT45" s="134"/>
      <c r="GU45" s="134"/>
      <c r="GV45" s="134"/>
      <c r="GW45" s="134"/>
      <c r="GX45" s="134"/>
      <c r="GY45" s="134"/>
      <c r="GZ45" s="134"/>
      <c r="HA45" s="135"/>
      <c r="HB45" s="135"/>
      <c r="HC45" s="134"/>
      <c r="HD45" s="134"/>
      <c r="HE45" s="134"/>
      <c r="HF45" s="134"/>
      <c r="HG45" s="134"/>
      <c r="HH45" s="134"/>
      <c r="HI45" s="134"/>
      <c r="HJ45" s="134"/>
      <c r="HK45" s="135"/>
      <c r="HL45" s="135"/>
      <c r="HM45" s="134"/>
      <c r="HN45" s="134"/>
      <c r="HO45" s="134"/>
      <c r="HP45" s="134"/>
      <c r="HQ45" s="134"/>
      <c r="HR45" s="134"/>
      <c r="HS45" s="134"/>
      <c r="HT45" s="134"/>
      <c r="HU45" s="135"/>
      <c r="HV45" s="135"/>
      <c r="HW45" s="134"/>
      <c r="HX45" s="134"/>
      <c r="HY45" s="134"/>
      <c r="HZ45" s="134"/>
      <c r="IA45" s="134"/>
      <c r="IB45" s="134"/>
      <c r="IC45" s="134"/>
      <c r="ID45" s="134"/>
      <c r="IE45" s="135"/>
      <c r="IF45" s="135"/>
      <c r="IG45" s="134"/>
      <c r="IH45" s="134"/>
      <c r="II45" s="134"/>
      <c r="IJ45" s="134"/>
      <c r="IK45" s="134"/>
      <c r="IL45" s="134"/>
      <c r="IM45" s="134"/>
      <c r="IN45" s="134"/>
      <c r="IO45" s="135"/>
      <c r="IP45" s="135"/>
      <c r="IQ45" s="134"/>
      <c r="IR45" s="134"/>
      <c r="IS45" s="134"/>
      <c r="IT45" s="134"/>
      <c r="IU45" s="134"/>
      <c r="IV45" s="134"/>
      <c r="IW45" s="134"/>
      <c r="IX45" s="134"/>
      <c r="IY45" s="135"/>
      <c r="IZ45" s="135"/>
    </row>
    <row r="46" spans="1:260" s="119" customFormat="1" ht="17" customHeight="1">
      <c r="A46" s="79" t="s">
        <v>191</v>
      </c>
      <c r="B46" s="418">
        <v>137</v>
      </c>
      <c r="C46" s="117"/>
      <c r="D46" s="117">
        <v>45</v>
      </c>
      <c r="E46" s="123" t="s">
        <v>1968</v>
      </c>
      <c r="F46" s="124" t="s">
        <v>2192</v>
      </c>
      <c r="G46" s="125">
        <v>2004</v>
      </c>
      <c r="H46" s="79">
        <v>15027789</v>
      </c>
      <c r="I46" s="79">
        <v>1</v>
      </c>
      <c r="J46" s="126"/>
      <c r="K46" s="127"/>
      <c r="L46" s="79">
        <v>1</v>
      </c>
      <c r="M46" s="79"/>
      <c r="N46" s="79">
        <v>1</v>
      </c>
      <c r="O46" s="128">
        <v>1</v>
      </c>
      <c r="P46" s="79" t="s">
        <v>554</v>
      </c>
      <c r="Q46" s="79" t="s">
        <v>555</v>
      </c>
      <c r="R46" s="79" t="s">
        <v>25</v>
      </c>
      <c r="S46" s="79">
        <v>1</v>
      </c>
      <c r="T46" s="79"/>
      <c r="U46" s="79"/>
      <c r="V46" s="79"/>
      <c r="W46" s="79" t="s">
        <v>555</v>
      </c>
      <c r="X46" s="79" t="s">
        <v>24</v>
      </c>
      <c r="Y46" s="79" t="s">
        <v>556</v>
      </c>
      <c r="Z46" s="79" t="s">
        <v>510</v>
      </c>
      <c r="AA46" s="79"/>
      <c r="AB46" s="79"/>
      <c r="AC46" s="506" t="s">
        <v>6217</v>
      </c>
      <c r="AD46" s="573">
        <v>1</v>
      </c>
      <c r="AE46" s="573">
        <v>0</v>
      </c>
      <c r="AF46" s="154" t="s">
        <v>3003</v>
      </c>
      <c r="AG46" s="155" t="s">
        <v>6218</v>
      </c>
      <c r="AH46" s="121">
        <v>2</v>
      </c>
      <c r="AI46" s="484"/>
      <c r="AJ46" s="202"/>
      <c r="AK46" s="192"/>
      <c r="AL46" s="203"/>
      <c r="AM46" s="121"/>
      <c r="AN46" s="121"/>
      <c r="AO46" s="121"/>
      <c r="AP46" s="121"/>
      <c r="AQ46" s="121"/>
      <c r="AR46" s="121"/>
      <c r="AS46" s="121"/>
      <c r="AT46" s="121"/>
      <c r="AU46" s="121"/>
      <c r="AV46" s="121"/>
      <c r="AW46" s="121"/>
      <c r="AX46" s="121"/>
      <c r="AY46" s="121"/>
      <c r="AZ46" s="121"/>
      <c r="BA46" s="121"/>
      <c r="BB46" s="121"/>
      <c r="BC46" s="121"/>
      <c r="BD46" s="156" t="s">
        <v>6219</v>
      </c>
      <c r="BE46" s="156"/>
      <c r="BF46" s="156"/>
      <c r="BG46" s="156"/>
      <c r="BH46" s="156"/>
      <c r="BI46" s="156"/>
      <c r="BJ46" s="156"/>
      <c r="BK46" s="156"/>
      <c r="BL46" s="156"/>
      <c r="BM46" s="156"/>
      <c r="BN46" s="156"/>
      <c r="BO46" s="156"/>
      <c r="BP46" s="156" t="s">
        <v>6219</v>
      </c>
      <c r="BQ46" s="157"/>
      <c r="BR46" s="134"/>
      <c r="BS46" s="134"/>
      <c r="BT46" s="134"/>
      <c r="BU46" s="134"/>
      <c r="BV46" s="134"/>
      <c r="BW46" s="259"/>
      <c r="BX46" s="138"/>
      <c r="BY46" s="134"/>
      <c r="BZ46" s="134"/>
      <c r="CA46" s="134"/>
      <c r="CB46" s="138"/>
      <c r="CC46" s="134"/>
      <c r="CD46" s="134"/>
      <c r="CE46" s="134"/>
      <c r="CF46" s="288"/>
      <c r="CG46" s="289"/>
      <c r="CH46" s="138"/>
      <c r="CI46" s="134"/>
      <c r="CJ46" s="134"/>
      <c r="CK46" s="134"/>
      <c r="CL46" s="138"/>
      <c r="CM46" s="134"/>
      <c r="CN46" s="134"/>
      <c r="CO46" s="134"/>
      <c r="CP46" s="288"/>
      <c r="CQ46" s="289"/>
      <c r="CR46" s="276"/>
      <c r="CS46" s="308"/>
      <c r="CT46" s="138"/>
      <c r="CU46" s="134"/>
      <c r="CV46" s="134"/>
      <c r="CW46" s="134"/>
      <c r="CX46" s="134"/>
      <c r="CY46" s="134"/>
      <c r="CZ46" s="134"/>
      <c r="DA46" s="134"/>
      <c r="DB46" s="300"/>
      <c r="DC46" s="301"/>
      <c r="DD46" s="134"/>
      <c r="DE46" s="134"/>
      <c r="DF46" s="134"/>
      <c r="DG46" s="134"/>
      <c r="DH46" s="134"/>
      <c r="DI46" s="134"/>
      <c r="DJ46" s="134"/>
      <c r="DK46" s="134"/>
      <c r="DL46" s="300"/>
      <c r="DM46" s="301"/>
      <c r="DN46" s="276"/>
      <c r="DO46" s="277"/>
      <c r="DP46" s="134"/>
      <c r="DQ46" s="134"/>
      <c r="DR46" s="134"/>
      <c r="DS46" s="134"/>
      <c r="DT46" s="138"/>
      <c r="DU46" s="134"/>
      <c r="DV46" s="134"/>
      <c r="DW46" s="134"/>
      <c r="DX46" s="301"/>
      <c r="DY46" s="301"/>
      <c r="DZ46" s="138"/>
      <c r="EA46" s="134"/>
      <c r="EB46" s="134"/>
      <c r="EC46" s="134"/>
      <c r="ED46" s="138"/>
      <c r="EE46" s="134"/>
      <c r="EF46" s="134"/>
      <c r="EG46" s="134"/>
      <c r="EH46" s="301"/>
      <c r="EI46" s="301"/>
      <c r="EJ46" s="277"/>
      <c r="EK46" s="134"/>
      <c r="EL46" s="134"/>
      <c r="EM46" s="134"/>
      <c r="EN46" s="134"/>
      <c r="EO46" s="134"/>
      <c r="EP46" s="134"/>
      <c r="EQ46" s="134"/>
      <c r="ER46" s="134"/>
      <c r="ES46" s="301"/>
      <c r="ET46" s="301"/>
      <c r="EU46" s="134"/>
      <c r="EV46" s="134"/>
      <c r="EW46" s="134"/>
      <c r="EX46" s="134"/>
      <c r="EY46" s="134"/>
      <c r="EZ46" s="134"/>
      <c r="FA46" s="134"/>
      <c r="FB46" s="134"/>
      <c r="FC46" s="135"/>
      <c r="FD46" s="135"/>
      <c r="FE46" s="134"/>
      <c r="FF46" s="134"/>
      <c r="FG46" s="134"/>
      <c r="FH46" s="134"/>
      <c r="FI46" s="134"/>
      <c r="FJ46" s="134"/>
      <c r="FK46" s="134"/>
      <c r="FL46" s="134"/>
      <c r="FM46" s="135"/>
      <c r="FN46" s="135"/>
      <c r="FO46" s="134"/>
      <c r="FP46" s="134"/>
      <c r="FQ46" s="134"/>
      <c r="FR46" s="134"/>
      <c r="FS46" s="134"/>
      <c r="FT46" s="134"/>
      <c r="FU46" s="134"/>
      <c r="FV46" s="134"/>
      <c r="FW46" s="135"/>
      <c r="FX46" s="135"/>
      <c r="FY46" s="134"/>
      <c r="FZ46" s="134"/>
      <c r="GA46" s="134"/>
      <c r="GB46" s="134"/>
      <c r="GC46" s="134"/>
      <c r="GD46" s="134"/>
      <c r="GE46" s="134"/>
      <c r="GF46" s="134"/>
      <c r="GG46" s="135"/>
      <c r="GH46" s="135"/>
      <c r="GI46" s="134"/>
      <c r="GJ46" s="134"/>
      <c r="GK46" s="134"/>
      <c r="GL46" s="134"/>
      <c r="GM46" s="134"/>
      <c r="GN46" s="134"/>
      <c r="GO46" s="134"/>
      <c r="GP46" s="134"/>
      <c r="GQ46" s="135"/>
      <c r="GR46" s="135"/>
      <c r="GS46" s="134"/>
      <c r="GT46" s="134"/>
      <c r="GU46" s="134"/>
      <c r="GV46" s="134"/>
      <c r="GW46" s="134"/>
      <c r="GX46" s="134"/>
      <c r="GY46" s="134"/>
      <c r="GZ46" s="134"/>
      <c r="HA46" s="135"/>
      <c r="HB46" s="135"/>
      <c r="HC46" s="134"/>
      <c r="HD46" s="134"/>
      <c r="HE46" s="134"/>
      <c r="HF46" s="134"/>
      <c r="HG46" s="134"/>
      <c r="HH46" s="134"/>
      <c r="HI46" s="134"/>
      <c r="HJ46" s="134"/>
      <c r="HK46" s="135"/>
      <c r="HL46" s="135"/>
      <c r="HM46" s="134"/>
      <c r="HN46" s="134"/>
      <c r="HO46" s="134"/>
      <c r="HP46" s="134"/>
      <c r="HQ46" s="134"/>
      <c r="HR46" s="134"/>
      <c r="HS46" s="134"/>
      <c r="HT46" s="134"/>
      <c r="HU46" s="135"/>
      <c r="HV46" s="135"/>
      <c r="HW46" s="134"/>
      <c r="HX46" s="134"/>
      <c r="HY46" s="134"/>
      <c r="HZ46" s="134"/>
      <c r="IA46" s="134"/>
      <c r="IB46" s="134"/>
      <c r="IC46" s="134"/>
      <c r="ID46" s="134"/>
      <c r="IE46" s="135"/>
      <c r="IF46" s="135"/>
      <c r="IG46" s="134"/>
      <c r="IH46" s="134"/>
      <c r="II46" s="134"/>
      <c r="IJ46" s="134"/>
      <c r="IK46" s="134"/>
      <c r="IL46" s="134"/>
      <c r="IM46" s="134"/>
      <c r="IN46" s="134"/>
      <c r="IO46" s="135"/>
      <c r="IP46" s="135"/>
      <c r="IQ46" s="134"/>
      <c r="IR46" s="134"/>
      <c r="IS46" s="134"/>
      <c r="IT46" s="134"/>
      <c r="IU46" s="134"/>
      <c r="IV46" s="134"/>
      <c r="IW46" s="134"/>
      <c r="IX46" s="134"/>
      <c r="IY46" s="135"/>
      <c r="IZ46" s="135"/>
    </row>
    <row r="47" spans="1:260" customFormat="1" ht="17" customHeight="1">
      <c r="A47" s="79" t="s">
        <v>192</v>
      </c>
      <c r="B47" s="418">
        <v>138</v>
      </c>
      <c r="C47" s="117"/>
      <c r="D47" s="117">
        <v>46</v>
      </c>
      <c r="E47" s="123" t="s">
        <v>1969</v>
      </c>
      <c r="F47" s="124" t="s">
        <v>2193</v>
      </c>
      <c r="G47" s="125">
        <v>2000</v>
      </c>
      <c r="H47" s="79">
        <v>10807961</v>
      </c>
      <c r="I47" s="79">
        <v>1</v>
      </c>
      <c r="J47" s="126"/>
      <c r="K47" s="127"/>
      <c r="L47" s="79">
        <v>1</v>
      </c>
      <c r="M47" s="79"/>
      <c r="N47" s="79">
        <v>1</v>
      </c>
      <c r="O47" s="128">
        <v>1</v>
      </c>
      <c r="P47" s="79" t="s">
        <v>31</v>
      </c>
      <c r="Q47" s="79" t="s">
        <v>1157</v>
      </c>
      <c r="R47" s="79" t="s">
        <v>25</v>
      </c>
      <c r="S47" s="79">
        <v>1</v>
      </c>
      <c r="T47" s="79"/>
      <c r="U47" s="79"/>
      <c r="V47" s="79"/>
      <c r="W47" s="79" t="s">
        <v>557</v>
      </c>
      <c r="X47" s="79" t="s">
        <v>33</v>
      </c>
      <c r="Y47" s="79"/>
      <c r="Z47" s="79"/>
      <c r="AA47" s="79"/>
      <c r="AB47" s="79"/>
      <c r="AC47" s="506" t="s">
        <v>6220</v>
      </c>
      <c r="AD47" s="573">
        <v>1</v>
      </c>
      <c r="AE47" s="573">
        <v>0</v>
      </c>
      <c r="AF47" s="154"/>
      <c r="AG47" s="155"/>
      <c r="AH47" s="121">
        <v>2</v>
      </c>
      <c r="AI47" s="484"/>
      <c r="AJ47" s="202"/>
      <c r="AK47" s="192"/>
      <c r="AL47" s="203"/>
      <c r="AM47" s="121"/>
      <c r="AN47" s="121"/>
      <c r="AO47" s="121"/>
      <c r="AP47" s="121"/>
      <c r="AQ47" s="121"/>
      <c r="AR47" s="121"/>
      <c r="AS47" s="121"/>
      <c r="AT47" s="121"/>
      <c r="AU47" s="121"/>
      <c r="AV47" s="121"/>
      <c r="AW47" s="121"/>
      <c r="AX47" s="121"/>
      <c r="AY47" s="121"/>
      <c r="AZ47" s="121"/>
      <c r="BA47" s="121"/>
      <c r="BB47" s="121"/>
      <c r="BC47" s="121"/>
      <c r="BD47" s="156"/>
      <c r="BE47" s="156"/>
      <c r="BF47" s="156" t="s">
        <v>5207</v>
      </c>
      <c r="BG47" s="156"/>
      <c r="BH47" s="156"/>
      <c r="BI47" s="156"/>
      <c r="BJ47" s="156"/>
      <c r="BK47" s="156"/>
      <c r="BL47" s="156"/>
      <c r="BM47" s="156"/>
      <c r="BN47" s="156"/>
      <c r="BO47" s="156"/>
      <c r="BP47" s="156"/>
      <c r="BQ47" s="157" t="s">
        <v>31</v>
      </c>
      <c r="BR47" s="134"/>
      <c r="BS47" s="134"/>
      <c r="BT47" s="134"/>
      <c r="BU47" s="134"/>
      <c r="BV47" s="134"/>
      <c r="BW47" s="259"/>
      <c r="BX47" s="138"/>
      <c r="BY47" s="134"/>
      <c r="BZ47" s="134"/>
      <c r="CA47" s="134"/>
      <c r="CB47" s="138"/>
      <c r="CC47" s="134"/>
      <c r="CD47" s="134"/>
      <c r="CE47" s="134"/>
      <c r="CF47" s="288"/>
      <c r="CG47" s="289"/>
      <c r="CH47" s="138"/>
      <c r="CI47" s="134"/>
      <c r="CJ47" s="134"/>
      <c r="CK47" s="134"/>
      <c r="CL47" s="138"/>
      <c r="CM47" s="134"/>
      <c r="CN47" s="134"/>
      <c r="CO47" s="134"/>
      <c r="CP47" s="288"/>
      <c r="CQ47" s="289"/>
      <c r="CR47" s="276"/>
      <c r="CS47" s="308"/>
      <c r="CT47" s="138"/>
      <c r="CU47" s="134"/>
      <c r="CV47" s="134"/>
      <c r="CW47" s="134"/>
      <c r="CX47" s="134"/>
      <c r="CY47" s="134"/>
      <c r="CZ47" s="134"/>
      <c r="DA47" s="134"/>
      <c r="DB47" s="300"/>
      <c r="DC47" s="301"/>
      <c r="DD47" s="134"/>
      <c r="DE47" s="134"/>
      <c r="DF47" s="134"/>
      <c r="DG47" s="134"/>
      <c r="DH47" s="134"/>
      <c r="DI47" s="134"/>
      <c r="DJ47" s="134"/>
      <c r="DK47" s="134"/>
      <c r="DL47" s="300"/>
      <c r="DM47" s="301"/>
      <c r="DN47" s="276"/>
      <c r="DO47" s="277"/>
      <c r="DP47" s="134"/>
      <c r="DQ47" s="134"/>
      <c r="DR47" s="134"/>
      <c r="DS47" s="134"/>
      <c r="DT47" s="138"/>
      <c r="DU47" s="134"/>
      <c r="DV47" s="134"/>
      <c r="DW47" s="134"/>
      <c r="DX47" s="301"/>
      <c r="DY47" s="301"/>
      <c r="DZ47" s="138"/>
      <c r="EA47" s="134"/>
      <c r="EB47" s="134"/>
      <c r="EC47" s="134"/>
      <c r="ED47" s="138"/>
      <c r="EE47" s="134"/>
      <c r="EF47" s="134"/>
      <c r="EG47" s="134"/>
      <c r="EH47" s="301"/>
      <c r="EI47" s="301"/>
      <c r="EJ47" s="277"/>
      <c r="EK47" s="134"/>
      <c r="EL47" s="134"/>
      <c r="EM47" s="134"/>
      <c r="EN47" s="134"/>
      <c r="EO47" s="134"/>
      <c r="EP47" s="134"/>
      <c r="EQ47" s="134"/>
      <c r="ER47" s="134"/>
      <c r="ES47" s="301"/>
      <c r="ET47" s="301"/>
      <c r="EU47" s="134"/>
      <c r="EV47" s="134"/>
      <c r="EW47" s="134"/>
      <c r="EX47" s="134"/>
      <c r="EY47" s="134"/>
      <c r="EZ47" s="134"/>
      <c r="FA47" s="134"/>
      <c r="FB47" s="134"/>
      <c r="FC47" s="135"/>
      <c r="FD47" s="135"/>
      <c r="FE47" s="134"/>
      <c r="FF47" s="134"/>
      <c r="FG47" s="134"/>
      <c r="FH47" s="134"/>
      <c r="FI47" s="134"/>
      <c r="FJ47" s="134"/>
      <c r="FK47" s="134"/>
      <c r="FL47" s="134"/>
      <c r="FM47" s="135"/>
      <c r="FN47" s="135"/>
      <c r="FO47" s="134"/>
      <c r="FP47" s="134"/>
      <c r="FQ47" s="134"/>
      <c r="FR47" s="134"/>
      <c r="FS47" s="134"/>
      <c r="FT47" s="134"/>
      <c r="FU47" s="134"/>
      <c r="FV47" s="134"/>
      <c r="FW47" s="135"/>
      <c r="FX47" s="135"/>
      <c r="FY47" s="134"/>
      <c r="FZ47" s="134"/>
      <c r="GA47" s="134"/>
      <c r="GB47" s="134"/>
      <c r="GC47" s="134"/>
      <c r="GD47" s="134"/>
      <c r="GE47" s="134"/>
      <c r="GF47" s="134"/>
      <c r="GG47" s="135"/>
      <c r="GH47" s="135"/>
      <c r="GI47" s="134"/>
      <c r="GJ47" s="134"/>
      <c r="GK47" s="134"/>
      <c r="GL47" s="134"/>
      <c r="GM47" s="134"/>
      <c r="GN47" s="134"/>
      <c r="GO47" s="134"/>
      <c r="GP47" s="134"/>
      <c r="GQ47" s="135"/>
      <c r="GR47" s="135"/>
      <c r="GS47" s="134"/>
      <c r="GT47" s="134"/>
      <c r="GU47" s="134"/>
      <c r="GV47" s="134"/>
      <c r="GW47" s="134"/>
      <c r="GX47" s="134"/>
      <c r="GY47" s="134"/>
      <c r="GZ47" s="134"/>
      <c r="HA47" s="135"/>
      <c r="HB47" s="135"/>
      <c r="HC47" s="134"/>
      <c r="HD47" s="134"/>
      <c r="HE47" s="134"/>
      <c r="HF47" s="134"/>
      <c r="HG47" s="134"/>
      <c r="HH47" s="134"/>
      <c r="HI47" s="134"/>
      <c r="HJ47" s="134"/>
      <c r="HK47" s="135"/>
      <c r="HL47" s="135"/>
      <c r="HM47" s="134"/>
      <c r="HN47" s="134"/>
      <c r="HO47" s="134"/>
      <c r="HP47" s="134"/>
      <c r="HQ47" s="134"/>
      <c r="HR47" s="134"/>
      <c r="HS47" s="134"/>
      <c r="HT47" s="134"/>
      <c r="HU47" s="135"/>
      <c r="HV47" s="135"/>
      <c r="HW47" s="134"/>
      <c r="HX47" s="134"/>
      <c r="HY47" s="134"/>
      <c r="HZ47" s="134"/>
      <c r="IA47" s="134"/>
      <c r="IB47" s="134"/>
      <c r="IC47" s="134"/>
      <c r="ID47" s="134"/>
      <c r="IE47" s="135"/>
      <c r="IF47" s="135"/>
      <c r="IG47" s="134"/>
      <c r="IH47" s="134"/>
      <c r="II47" s="134"/>
      <c r="IJ47" s="134"/>
      <c r="IK47" s="134"/>
      <c r="IL47" s="134"/>
      <c r="IM47" s="134"/>
      <c r="IN47" s="134"/>
      <c r="IO47" s="135"/>
      <c r="IP47" s="135"/>
      <c r="IQ47" s="134"/>
      <c r="IR47" s="134"/>
      <c r="IS47" s="134"/>
      <c r="IT47" s="134"/>
      <c r="IU47" s="134"/>
      <c r="IV47" s="134"/>
      <c r="IW47" s="134"/>
      <c r="IX47" s="134"/>
      <c r="IY47" s="135"/>
      <c r="IZ47" s="135"/>
    </row>
    <row r="48" spans="1:260" s="119" customFormat="1" ht="17" customHeight="1">
      <c r="A48" s="79" t="s">
        <v>1039</v>
      </c>
      <c r="B48" s="418">
        <v>141</v>
      </c>
      <c r="C48" s="117"/>
      <c r="D48" s="117">
        <v>47</v>
      </c>
      <c r="E48" s="123" t="s">
        <v>2081</v>
      </c>
      <c r="F48" s="124" t="s">
        <v>2335</v>
      </c>
      <c r="G48" s="125">
        <v>2001</v>
      </c>
      <c r="H48" s="79">
        <v>12587183</v>
      </c>
      <c r="I48" s="79">
        <v>1</v>
      </c>
      <c r="J48" s="126">
        <v>1</v>
      </c>
      <c r="K48" s="127"/>
      <c r="L48" s="79">
        <v>1</v>
      </c>
      <c r="M48" s="79"/>
      <c r="N48" s="79">
        <v>1</v>
      </c>
      <c r="O48" s="128">
        <v>2</v>
      </c>
      <c r="P48" s="79" t="s">
        <v>1376</v>
      </c>
      <c r="Q48" s="79" t="s">
        <v>1377</v>
      </c>
      <c r="R48" s="79"/>
      <c r="S48" s="79"/>
      <c r="T48" s="79" t="s">
        <v>1498</v>
      </c>
      <c r="U48" s="79"/>
      <c r="V48" s="79"/>
      <c r="W48" s="79" t="s">
        <v>1682</v>
      </c>
      <c r="X48" s="79"/>
      <c r="Y48" s="79"/>
      <c r="Z48" s="79"/>
      <c r="AA48" s="79"/>
      <c r="AB48" s="79"/>
      <c r="AC48" s="506" t="s">
        <v>6221</v>
      </c>
      <c r="AD48" s="573">
        <v>1</v>
      </c>
      <c r="AE48" s="573">
        <v>1</v>
      </c>
      <c r="AF48" s="154"/>
      <c r="AG48" s="155"/>
      <c r="AH48" s="121"/>
      <c r="AI48" s="484"/>
      <c r="AJ48" s="202"/>
      <c r="AK48" s="192"/>
      <c r="AL48" s="203"/>
      <c r="AM48" s="121"/>
      <c r="AN48" s="121"/>
      <c r="AO48" s="121"/>
      <c r="AP48" s="121"/>
      <c r="AQ48" s="121"/>
      <c r="AR48" s="121"/>
      <c r="AS48" s="121"/>
      <c r="AT48" s="121"/>
      <c r="AU48" s="121"/>
      <c r="AV48" s="121"/>
      <c r="AW48" s="121"/>
      <c r="AX48" s="121"/>
      <c r="AY48" s="121"/>
      <c r="AZ48" s="121"/>
      <c r="BA48" s="121"/>
      <c r="BB48" s="121"/>
      <c r="BC48" s="121"/>
      <c r="BD48" s="156" t="s">
        <v>5207</v>
      </c>
      <c r="BE48" s="156" t="s">
        <v>6205</v>
      </c>
      <c r="BF48" s="156"/>
      <c r="BG48" s="156"/>
      <c r="BH48" s="156"/>
      <c r="BI48" s="156"/>
      <c r="BJ48" s="156" t="s">
        <v>6174</v>
      </c>
      <c r="BK48" s="156"/>
      <c r="BL48" s="156"/>
      <c r="BM48" s="156"/>
      <c r="BN48" s="156"/>
      <c r="BO48" s="156"/>
      <c r="BP48" s="156"/>
      <c r="BQ48" s="157"/>
      <c r="BR48" s="134"/>
      <c r="BS48" s="134"/>
      <c r="BT48" s="134"/>
      <c r="BU48" s="134"/>
      <c r="BV48" s="134"/>
      <c r="BW48" s="259"/>
      <c r="BX48" s="138"/>
      <c r="BY48" s="134"/>
      <c r="BZ48" s="134"/>
      <c r="CA48" s="134"/>
      <c r="CB48" s="138"/>
      <c r="CC48" s="134"/>
      <c r="CD48" s="134"/>
      <c r="CE48" s="134"/>
      <c r="CF48" s="288"/>
      <c r="CG48" s="289"/>
      <c r="CH48" s="138"/>
      <c r="CI48" s="190"/>
      <c r="CJ48" s="134"/>
      <c r="CK48" s="190"/>
      <c r="CL48" s="138"/>
      <c r="CM48" s="134"/>
      <c r="CN48" s="134"/>
      <c r="CO48" s="134"/>
      <c r="CP48" s="288"/>
      <c r="CQ48" s="289"/>
      <c r="CR48" s="276"/>
      <c r="CS48" s="308"/>
      <c r="CT48" s="138"/>
      <c r="CU48" s="134"/>
      <c r="CV48" s="134"/>
      <c r="CW48" s="134"/>
      <c r="CX48" s="134"/>
      <c r="CY48" s="134"/>
      <c r="CZ48" s="134"/>
      <c r="DA48" s="134"/>
      <c r="DB48" s="300"/>
      <c r="DC48" s="301"/>
      <c r="DD48" s="134"/>
      <c r="DE48" s="134"/>
      <c r="DF48" s="134"/>
      <c r="DG48" s="134"/>
      <c r="DH48" s="134"/>
      <c r="DI48" s="134"/>
      <c r="DJ48" s="134"/>
      <c r="DK48" s="134"/>
      <c r="DL48" s="300"/>
      <c r="DM48" s="301"/>
      <c r="DN48" s="276"/>
      <c r="DO48" s="277"/>
      <c r="DP48" s="134"/>
      <c r="DQ48" s="134"/>
      <c r="DR48" s="134"/>
      <c r="DS48" s="134"/>
      <c r="DT48" s="138"/>
      <c r="DU48" s="134"/>
      <c r="DV48" s="134"/>
      <c r="DW48" s="134"/>
      <c r="DX48" s="301"/>
      <c r="DY48" s="301"/>
      <c r="DZ48" s="138"/>
      <c r="EA48" s="134"/>
      <c r="EB48" s="134"/>
      <c r="EC48" s="134"/>
      <c r="ED48" s="138"/>
      <c r="EE48" s="134"/>
      <c r="EF48" s="134"/>
      <c r="EG48" s="134"/>
      <c r="EH48" s="301"/>
      <c r="EI48" s="301"/>
      <c r="EJ48" s="277"/>
      <c r="EK48" s="134"/>
      <c r="EL48" s="134"/>
      <c r="EM48" s="134"/>
      <c r="EN48" s="134"/>
      <c r="EO48" s="134"/>
      <c r="EP48" s="134"/>
      <c r="EQ48" s="134"/>
      <c r="ER48" s="134"/>
      <c r="ES48" s="301"/>
      <c r="ET48" s="301"/>
      <c r="EU48" s="134"/>
      <c r="EV48" s="134"/>
      <c r="EW48" s="134"/>
      <c r="EX48" s="134"/>
      <c r="EY48" s="134"/>
      <c r="EZ48" s="134"/>
      <c r="FA48" s="134"/>
      <c r="FB48" s="134"/>
      <c r="FC48" s="135"/>
      <c r="FD48" s="135"/>
      <c r="FE48" s="134"/>
      <c r="FF48" s="134"/>
      <c r="FG48" s="134"/>
      <c r="FH48" s="134"/>
      <c r="FI48" s="134"/>
      <c r="FJ48" s="134"/>
      <c r="FK48" s="134"/>
      <c r="FL48" s="134"/>
      <c r="FM48" s="135"/>
      <c r="FN48" s="135"/>
      <c r="FO48" s="134"/>
      <c r="FP48" s="134"/>
      <c r="FQ48" s="134"/>
      <c r="FR48" s="134"/>
      <c r="FS48" s="134"/>
      <c r="FT48" s="134"/>
      <c r="FU48" s="134"/>
      <c r="FV48" s="134"/>
      <c r="FW48" s="135"/>
      <c r="FX48" s="135"/>
      <c r="FY48" s="134"/>
      <c r="FZ48" s="134"/>
      <c r="GA48" s="134"/>
      <c r="GB48" s="134"/>
      <c r="GC48" s="134"/>
      <c r="GD48" s="134"/>
      <c r="GE48" s="134"/>
      <c r="GF48" s="134"/>
      <c r="GG48" s="135"/>
      <c r="GH48" s="135"/>
      <c r="GI48" s="134"/>
      <c r="GJ48" s="134"/>
      <c r="GK48" s="134"/>
      <c r="GL48" s="134"/>
      <c r="GM48" s="134"/>
      <c r="GN48" s="134"/>
      <c r="GO48" s="134"/>
      <c r="GP48" s="134"/>
      <c r="GQ48" s="135"/>
      <c r="GR48" s="135"/>
      <c r="GS48" s="134"/>
      <c r="GT48" s="134"/>
      <c r="GU48" s="134"/>
      <c r="GV48" s="134"/>
      <c r="GW48" s="134"/>
      <c r="GX48" s="134"/>
      <c r="GY48" s="134"/>
      <c r="GZ48" s="134"/>
      <c r="HA48" s="135"/>
      <c r="HB48" s="135"/>
      <c r="HC48" s="134"/>
      <c r="HD48" s="134"/>
      <c r="HE48" s="134"/>
      <c r="HF48" s="134"/>
      <c r="HG48" s="134"/>
      <c r="HH48" s="134"/>
      <c r="HI48" s="134"/>
      <c r="HJ48" s="134"/>
      <c r="HK48" s="135"/>
      <c r="HL48" s="135"/>
      <c r="HM48" s="134"/>
      <c r="HN48" s="134"/>
      <c r="HO48" s="134"/>
      <c r="HP48" s="134"/>
      <c r="HQ48" s="134"/>
      <c r="HR48" s="134"/>
      <c r="HS48" s="134"/>
      <c r="HT48" s="134"/>
      <c r="HU48" s="135"/>
      <c r="HV48" s="135"/>
      <c r="HW48" s="134"/>
      <c r="HX48" s="134"/>
      <c r="HY48" s="134"/>
      <c r="HZ48" s="134"/>
      <c r="IA48" s="134"/>
      <c r="IB48" s="134"/>
      <c r="IC48" s="134"/>
      <c r="ID48" s="134"/>
      <c r="IE48" s="135"/>
      <c r="IF48" s="135"/>
      <c r="IG48" s="134"/>
      <c r="IH48" s="134"/>
      <c r="II48" s="134"/>
      <c r="IJ48" s="134"/>
      <c r="IK48" s="134"/>
      <c r="IL48" s="134"/>
      <c r="IM48" s="134"/>
      <c r="IN48" s="134"/>
      <c r="IO48" s="135"/>
      <c r="IP48" s="135"/>
      <c r="IQ48" s="134"/>
      <c r="IR48" s="134"/>
      <c r="IS48" s="134"/>
      <c r="IT48" s="134"/>
      <c r="IU48" s="134"/>
      <c r="IV48" s="134"/>
      <c r="IW48" s="134"/>
      <c r="IX48" s="134"/>
      <c r="IY48" s="135"/>
      <c r="IZ48" s="135"/>
    </row>
    <row r="49" spans="1:260" s="119" customFormat="1" ht="17" customHeight="1">
      <c r="A49" s="79" t="s">
        <v>196</v>
      </c>
      <c r="B49" s="418">
        <v>142</v>
      </c>
      <c r="C49" s="117"/>
      <c r="D49" s="117">
        <v>48</v>
      </c>
      <c r="E49" s="123" t="s">
        <v>1972</v>
      </c>
      <c r="F49" s="124" t="s">
        <v>2196</v>
      </c>
      <c r="G49" s="125">
        <v>2007</v>
      </c>
      <c r="H49" s="79">
        <v>17916253</v>
      </c>
      <c r="I49" s="79">
        <v>1</v>
      </c>
      <c r="J49" s="126"/>
      <c r="K49" s="127"/>
      <c r="L49" s="79">
        <v>1</v>
      </c>
      <c r="M49" s="79"/>
      <c r="N49" s="79">
        <v>1</v>
      </c>
      <c r="O49" s="128">
        <v>1</v>
      </c>
      <c r="P49" s="79"/>
      <c r="Q49" s="79" t="s">
        <v>1157</v>
      </c>
      <c r="R49" s="79" t="s">
        <v>560</v>
      </c>
      <c r="S49" s="79">
        <v>0</v>
      </c>
      <c r="T49" s="79"/>
      <c r="U49" s="79"/>
      <c r="V49" s="79"/>
      <c r="W49" s="79" t="s">
        <v>564</v>
      </c>
      <c r="X49" s="79" t="s">
        <v>24</v>
      </c>
      <c r="Y49" s="79" t="s">
        <v>565</v>
      </c>
      <c r="Z49" s="79"/>
      <c r="AA49" s="79"/>
      <c r="AB49" s="79"/>
      <c r="AC49" s="506" t="s">
        <v>6222</v>
      </c>
      <c r="AD49" s="573">
        <v>1</v>
      </c>
      <c r="AE49" s="573">
        <v>0</v>
      </c>
      <c r="AF49" s="165">
        <v>0</v>
      </c>
      <c r="AG49" s="166" t="s">
        <v>6223</v>
      </c>
      <c r="AH49" s="121"/>
      <c r="AI49" s="484"/>
      <c r="AJ49" s="202"/>
      <c r="AK49" s="192"/>
      <c r="AL49" s="203"/>
      <c r="AM49" s="121"/>
      <c r="AN49" s="121"/>
      <c r="AO49" s="121"/>
      <c r="AP49" s="121"/>
      <c r="AQ49" s="121"/>
      <c r="AR49" s="121"/>
      <c r="AS49" s="121"/>
      <c r="AT49" s="121"/>
      <c r="AU49" s="121"/>
      <c r="AV49" s="121"/>
      <c r="AW49" s="121"/>
      <c r="AX49" s="121"/>
      <c r="AY49" s="121"/>
      <c r="AZ49" s="121"/>
      <c r="BA49" s="121"/>
      <c r="BB49" s="121"/>
      <c r="BC49" s="121"/>
      <c r="BD49" s="156"/>
      <c r="BE49" s="156"/>
      <c r="BF49" s="156"/>
      <c r="BG49" s="156"/>
      <c r="BH49" s="156"/>
      <c r="BI49" s="156"/>
      <c r="BJ49" s="156" t="s">
        <v>6174</v>
      </c>
      <c r="BK49" s="156"/>
      <c r="BL49" s="156"/>
      <c r="BM49" s="156"/>
      <c r="BN49" s="156"/>
      <c r="BO49" s="156"/>
      <c r="BP49" s="156"/>
      <c r="BQ49" s="157"/>
      <c r="BR49" s="134"/>
      <c r="BS49" s="134"/>
      <c r="BT49" s="134"/>
      <c r="BU49" s="134"/>
      <c r="BV49" s="134"/>
      <c r="BW49" s="259"/>
      <c r="BX49" s="138"/>
      <c r="BY49" s="134"/>
      <c r="BZ49" s="134"/>
      <c r="CA49" s="134"/>
      <c r="CB49" s="138"/>
      <c r="CC49" s="134"/>
      <c r="CD49" s="134"/>
      <c r="CE49" s="134"/>
      <c r="CF49" s="288"/>
      <c r="CG49" s="289"/>
      <c r="CH49" s="439"/>
      <c r="CI49" s="190"/>
      <c r="CJ49" s="134"/>
      <c r="CK49" s="190"/>
      <c r="CL49" s="138"/>
      <c r="CM49" s="134"/>
      <c r="CN49" s="134"/>
      <c r="CO49" s="134"/>
      <c r="CP49" s="288"/>
      <c r="CQ49" s="289"/>
      <c r="CR49" s="276"/>
      <c r="CS49" s="308"/>
      <c r="CT49" s="138"/>
      <c r="CU49" s="134"/>
      <c r="CV49" s="134"/>
      <c r="CW49" s="134"/>
      <c r="CX49" s="134"/>
      <c r="CY49" s="134"/>
      <c r="CZ49" s="134"/>
      <c r="DA49" s="134"/>
      <c r="DB49" s="300"/>
      <c r="DC49" s="301"/>
      <c r="DD49" s="134"/>
      <c r="DE49" s="134"/>
      <c r="DF49" s="134"/>
      <c r="DG49" s="134"/>
      <c r="DH49" s="134"/>
      <c r="DI49" s="134"/>
      <c r="DJ49" s="134"/>
      <c r="DK49" s="134"/>
      <c r="DL49" s="300"/>
      <c r="DM49" s="301"/>
      <c r="DN49" s="276"/>
      <c r="DO49" s="277"/>
      <c r="DP49" s="134"/>
      <c r="DQ49" s="134"/>
      <c r="DR49" s="134"/>
      <c r="DS49" s="134"/>
      <c r="DT49" s="138"/>
      <c r="DU49" s="134"/>
      <c r="DV49" s="134"/>
      <c r="DW49" s="134"/>
      <c r="DX49" s="301"/>
      <c r="DY49" s="301"/>
      <c r="DZ49" s="138"/>
      <c r="EA49" s="134"/>
      <c r="EB49" s="134"/>
      <c r="EC49" s="134"/>
      <c r="ED49" s="138"/>
      <c r="EE49" s="134"/>
      <c r="EF49" s="134"/>
      <c r="EG49" s="134"/>
      <c r="EH49" s="301"/>
      <c r="EI49" s="301"/>
      <c r="EJ49" s="277"/>
      <c r="EK49" s="134"/>
      <c r="EL49" s="134"/>
      <c r="EM49" s="134"/>
      <c r="EN49" s="134"/>
      <c r="EO49" s="134"/>
      <c r="EP49" s="134"/>
      <c r="EQ49" s="134"/>
      <c r="ER49" s="134"/>
      <c r="ES49" s="301"/>
      <c r="ET49" s="301"/>
      <c r="EU49" s="134"/>
      <c r="EV49" s="134"/>
      <c r="EW49" s="134"/>
      <c r="EX49" s="134"/>
      <c r="EY49" s="134"/>
      <c r="EZ49" s="134"/>
      <c r="FA49" s="134"/>
      <c r="FB49" s="134"/>
      <c r="FC49" s="135"/>
      <c r="FD49" s="135"/>
      <c r="FE49" s="134"/>
      <c r="FF49" s="134"/>
      <c r="FG49" s="134"/>
      <c r="FH49" s="134"/>
      <c r="FI49" s="134"/>
      <c r="FJ49" s="134"/>
      <c r="FK49" s="134"/>
      <c r="FL49" s="134"/>
      <c r="FM49" s="135"/>
      <c r="FN49" s="135"/>
      <c r="FO49" s="134"/>
      <c r="FP49" s="134"/>
      <c r="FQ49" s="134"/>
      <c r="FR49" s="134"/>
      <c r="FS49" s="134"/>
      <c r="FT49" s="134"/>
      <c r="FU49" s="134"/>
      <c r="FV49" s="134"/>
      <c r="FW49" s="135"/>
      <c r="FX49" s="135"/>
      <c r="FY49" s="134"/>
      <c r="FZ49" s="134"/>
      <c r="GA49" s="134"/>
      <c r="GB49" s="134"/>
      <c r="GC49" s="134"/>
      <c r="GD49" s="134"/>
      <c r="GE49" s="134"/>
      <c r="GF49" s="134"/>
      <c r="GG49" s="135"/>
      <c r="GH49" s="135"/>
      <c r="GI49" s="134"/>
      <c r="GJ49" s="134"/>
      <c r="GK49" s="134"/>
      <c r="GL49" s="134"/>
      <c r="GM49" s="134"/>
      <c r="GN49" s="134"/>
      <c r="GO49" s="134"/>
      <c r="GP49" s="134"/>
      <c r="GQ49" s="135"/>
      <c r="GR49" s="135"/>
      <c r="GS49" s="134"/>
      <c r="GT49" s="134"/>
      <c r="GU49" s="134"/>
      <c r="GV49" s="134"/>
      <c r="GW49" s="134"/>
      <c r="GX49" s="134"/>
      <c r="GY49" s="134"/>
      <c r="GZ49" s="134"/>
      <c r="HA49" s="135"/>
      <c r="HB49" s="135"/>
      <c r="HC49" s="134"/>
      <c r="HD49" s="134"/>
      <c r="HE49" s="134"/>
      <c r="HF49" s="134"/>
      <c r="HG49" s="134"/>
      <c r="HH49" s="134"/>
      <c r="HI49" s="134"/>
      <c r="HJ49" s="134"/>
      <c r="HK49" s="135"/>
      <c r="HL49" s="135"/>
      <c r="HM49" s="134"/>
      <c r="HN49" s="134"/>
      <c r="HO49" s="134"/>
      <c r="HP49" s="134"/>
      <c r="HQ49" s="134"/>
      <c r="HR49" s="134"/>
      <c r="HS49" s="134"/>
      <c r="HT49" s="134"/>
      <c r="HU49" s="135"/>
      <c r="HV49" s="135"/>
      <c r="HW49" s="134"/>
      <c r="HX49" s="134"/>
      <c r="HY49" s="134"/>
      <c r="HZ49" s="134"/>
      <c r="IA49" s="134"/>
      <c r="IB49" s="134"/>
      <c r="IC49" s="134"/>
      <c r="ID49" s="134"/>
      <c r="IE49" s="135"/>
      <c r="IF49" s="135"/>
      <c r="IG49" s="134"/>
      <c r="IH49" s="134"/>
      <c r="II49" s="134"/>
      <c r="IJ49" s="134"/>
      <c r="IK49" s="134"/>
      <c r="IL49" s="134"/>
      <c r="IM49" s="134"/>
      <c r="IN49" s="134"/>
      <c r="IO49" s="135"/>
      <c r="IP49" s="135"/>
      <c r="IQ49" s="134"/>
      <c r="IR49" s="134"/>
      <c r="IS49" s="134"/>
      <c r="IT49" s="134"/>
      <c r="IU49" s="134"/>
      <c r="IV49" s="134"/>
      <c r="IW49" s="134"/>
      <c r="IX49" s="134"/>
      <c r="IY49" s="135"/>
      <c r="IZ49" s="135"/>
    </row>
    <row r="50" spans="1:260" s="119" customFormat="1" ht="17" customHeight="1">
      <c r="A50" s="79" t="s">
        <v>1037</v>
      </c>
      <c r="B50" s="418">
        <v>145</v>
      </c>
      <c r="C50" s="117"/>
      <c r="D50" s="117">
        <v>49</v>
      </c>
      <c r="E50" s="123" t="s">
        <v>2082</v>
      </c>
      <c r="F50" s="124" t="s">
        <v>2336</v>
      </c>
      <c r="G50" s="125">
        <v>2009</v>
      </c>
      <c r="H50" s="79">
        <v>19095221</v>
      </c>
      <c r="I50" s="79">
        <v>1</v>
      </c>
      <c r="J50" s="126" t="s">
        <v>1853</v>
      </c>
      <c r="K50" s="127"/>
      <c r="L50" s="79">
        <v>0</v>
      </c>
      <c r="M50" s="79"/>
      <c r="N50" s="79">
        <v>0</v>
      </c>
      <c r="O50" s="128">
        <v>2</v>
      </c>
      <c r="P50" s="79" t="s">
        <v>24</v>
      </c>
      <c r="Q50" s="79" t="s">
        <v>24</v>
      </c>
      <c r="R50" s="79" t="s">
        <v>1127</v>
      </c>
      <c r="S50" s="79"/>
      <c r="T50" s="79" t="s">
        <v>1495</v>
      </c>
      <c r="U50" s="79"/>
      <c r="V50" s="79"/>
      <c r="W50" s="79" t="s">
        <v>1382</v>
      </c>
      <c r="X50" s="79" t="s">
        <v>1380</v>
      </c>
      <c r="Y50" s="79" t="s">
        <v>1381</v>
      </c>
      <c r="Z50" s="79"/>
      <c r="AA50" s="79"/>
      <c r="AB50" s="79" t="s">
        <v>424</v>
      </c>
      <c r="AC50" s="506" t="s">
        <v>6224</v>
      </c>
      <c r="AD50" s="573">
        <v>1</v>
      </c>
      <c r="AE50" s="573">
        <v>1</v>
      </c>
      <c r="AF50" s="154"/>
      <c r="AG50" s="155"/>
      <c r="AH50" s="121">
        <v>4</v>
      </c>
      <c r="AI50" s="484"/>
      <c r="AJ50" s="202"/>
      <c r="AK50" s="192"/>
      <c r="AL50" s="203"/>
      <c r="AM50" s="121"/>
      <c r="AN50" s="121"/>
      <c r="AO50" s="121"/>
      <c r="AP50" s="121"/>
      <c r="AQ50" s="121"/>
      <c r="AR50" s="121"/>
      <c r="AS50" s="121"/>
      <c r="AT50" s="121"/>
      <c r="AU50" s="121"/>
      <c r="AV50" s="121"/>
      <c r="AW50" s="121"/>
      <c r="AX50" s="121"/>
      <c r="AY50" s="121"/>
      <c r="AZ50" s="121"/>
      <c r="BA50" s="121"/>
      <c r="BB50" s="121"/>
      <c r="BC50" s="121"/>
      <c r="BD50" s="156" t="s">
        <v>5207</v>
      </c>
      <c r="BE50" s="156"/>
      <c r="BF50" s="156"/>
      <c r="BG50" s="156"/>
      <c r="BH50" s="156"/>
      <c r="BI50" s="156"/>
      <c r="BJ50" s="156" t="s">
        <v>6174</v>
      </c>
      <c r="BK50" s="156"/>
      <c r="BL50" s="156"/>
      <c r="BM50" s="156"/>
      <c r="BN50" s="156"/>
      <c r="BO50" s="156"/>
      <c r="BP50" s="156"/>
      <c r="BQ50" s="157"/>
      <c r="BR50" s="134"/>
      <c r="BS50" s="134"/>
      <c r="BT50" s="134"/>
      <c r="BU50" s="134"/>
      <c r="BV50" s="134"/>
      <c r="BW50" s="259"/>
      <c r="BX50" s="138"/>
      <c r="BY50" s="134"/>
      <c r="BZ50" s="134"/>
      <c r="CA50" s="134"/>
      <c r="CB50" s="138"/>
      <c r="CC50" s="134"/>
      <c r="CD50" s="134"/>
      <c r="CE50" s="134"/>
      <c r="CF50" s="288"/>
      <c r="CG50" s="289"/>
      <c r="CH50" s="439"/>
      <c r="CI50" s="190"/>
      <c r="CJ50" s="134"/>
      <c r="CK50" s="190"/>
      <c r="CL50" s="138"/>
      <c r="CM50" s="134"/>
      <c r="CN50" s="134"/>
      <c r="CO50" s="134"/>
      <c r="CP50" s="288"/>
      <c r="CQ50" s="289"/>
      <c r="CR50" s="276"/>
      <c r="CS50" s="308"/>
      <c r="CT50" s="138"/>
      <c r="CU50" s="134"/>
      <c r="CV50" s="134"/>
      <c r="CW50" s="134"/>
      <c r="CX50" s="134"/>
      <c r="CY50" s="134"/>
      <c r="CZ50" s="134"/>
      <c r="DA50" s="134"/>
      <c r="DB50" s="300"/>
      <c r="DC50" s="301"/>
      <c r="DD50" s="134"/>
      <c r="DE50" s="134"/>
      <c r="DF50" s="134"/>
      <c r="DG50" s="134"/>
      <c r="DH50" s="134"/>
      <c r="DI50" s="134"/>
      <c r="DJ50" s="134"/>
      <c r="DK50" s="134"/>
      <c r="DL50" s="300"/>
      <c r="DM50" s="301"/>
      <c r="DN50" s="276"/>
      <c r="DO50" s="277"/>
      <c r="DP50" s="134"/>
      <c r="DQ50" s="134"/>
      <c r="DR50" s="134"/>
      <c r="DS50" s="134"/>
      <c r="DT50" s="138"/>
      <c r="DU50" s="134"/>
      <c r="DV50" s="134"/>
      <c r="DW50" s="134"/>
      <c r="DX50" s="301"/>
      <c r="DY50" s="301"/>
      <c r="DZ50" s="138"/>
      <c r="EA50" s="134"/>
      <c r="EB50" s="134"/>
      <c r="EC50" s="134"/>
      <c r="ED50" s="138"/>
      <c r="EE50" s="134"/>
      <c r="EF50" s="134"/>
      <c r="EG50" s="134"/>
      <c r="EH50" s="301"/>
      <c r="EI50" s="301"/>
      <c r="EJ50" s="277"/>
      <c r="EK50" s="134"/>
      <c r="EL50" s="134"/>
      <c r="EM50" s="134"/>
      <c r="EN50" s="134"/>
      <c r="EO50" s="134"/>
      <c r="EP50" s="134"/>
      <c r="EQ50" s="134"/>
      <c r="ER50" s="134"/>
      <c r="ES50" s="301"/>
      <c r="ET50" s="301"/>
      <c r="EU50" s="134"/>
      <c r="EV50" s="134"/>
      <c r="EW50" s="134"/>
      <c r="EX50" s="134"/>
      <c r="EY50" s="134"/>
      <c r="EZ50" s="134"/>
      <c r="FA50" s="134"/>
      <c r="FB50" s="134"/>
      <c r="FC50" s="135"/>
      <c r="FD50" s="135"/>
      <c r="FE50" s="134"/>
      <c r="FF50" s="134"/>
      <c r="FG50" s="134"/>
      <c r="FH50" s="134"/>
      <c r="FI50" s="134"/>
      <c r="FJ50" s="134"/>
      <c r="FK50" s="134"/>
      <c r="FL50" s="134"/>
      <c r="FM50" s="135"/>
      <c r="FN50" s="135"/>
      <c r="FO50" s="134"/>
      <c r="FP50" s="134"/>
      <c r="FQ50" s="134"/>
      <c r="FR50" s="134"/>
      <c r="FS50" s="134"/>
      <c r="FT50" s="134"/>
      <c r="FU50" s="134"/>
      <c r="FV50" s="134"/>
      <c r="FW50" s="135"/>
      <c r="FX50" s="135"/>
      <c r="FY50" s="134"/>
      <c r="FZ50" s="134"/>
      <c r="GA50" s="134"/>
      <c r="GB50" s="134"/>
      <c r="GC50" s="134"/>
      <c r="GD50" s="134"/>
      <c r="GE50" s="134"/>
      <c r="GF50" s="134"/>
      <c r="GG50" s="135"/>
      <c r="GH50" s="135"/>
      <c r="GI50" s="134"/>
      <c r="GJ50" s="134"/>
      <c r="GK50" s="134"/>
      <c r="GL50" s="134"/>
      <c r="GM50" s="134"/>
      <c r="GN50" s="134"/>
      <c r="GO50" s="134"/>
      <c r="GP50" s="134"/>
      <c r="GQ50" s="135"/>
      <c r="GR50" s="135"/>
      <c r="GS50" s="134"/>
      <c r="GT50" s="134"/>
      <c r="GU50" s="134"/>
      <c r="GV50" s="134"/>
      <c r="GW50" s="134"/>
      <c r="GX50" s="134"/>
      <c r="GY50" s="134"/>
      <c r="GZ50" s="134"/>
      <c r="HA50" s="135"/>
      <c r="HB50" s="135"/>
      <c r="HC50" s="134"/>
      <c r="HD50" s="134"/>
      <c r="HE50" s="134"/>
      <c r="HF50" s="134"/>
      <c r="HG50" s="134"/>
      <c r="HH50" s="134"/>
      <c r="HI50" s="134"/>
      <c r="HJ50" s="134"/>
      <c r="HK50" s="135"/>
      <c r="HL50" s="135"/>
      <c r="HM50" s="134"/>
      <c r="HN50" s="134"/>
      <c r="HO50" s="134"/>
      <c r="HP50" s="134"/>
      <c r="HQ50" s="134"/>
      <c r="HR50" s="134"/>
      <c r="HS50" s="134"/>
      <c r="HT50" s="134"/>
      <c r="HU50" s="135"/>
      <c r="HV50" s="135"/>
      <c r="HW50" s="134"/>
      <c r="HX50" s="134"/>
      <c r="HY50" s="134"/>
      <c r="HZ50" s="134"/>
      <c r="IA50" s="134"/>
      <c r="IB50" s="134"/>
      <c r="IC50" s="134"/>
      <c r="ID50" s="134"/>
      <c r="IE50" s="135"/>
      <c r="IF50" s="135"/>
      <c r="IG50" s="134"/>
      <c r="IH50" s="134"/>
      <c r="II50" s="134"/>
      <c r="IJ50" s="134"/>
      <c r="IK50" s="134"/>
      <c r="IL50" s="134"/>
      <c r="IM50" s="134"/>
      <c r="IN50" s="134"/>
      <c r="IO50" s="135"/>
      <c r="IP50" s="135"/>
      <c r="IQ50" s="134"/>
      <c r="IR50" s="134"/>
      <c r="IS50" s="134"/>
      <c r="IT50" s="134"/>
      <c r="IU50" s="134"/>
      <c r="IV50" s="134"/>
      <c r="IW50" s="134"/>
      <c r="IX50" s="134"/>
      <c r="IY50" s="135"/>
      <c r="IZ50" s="135"/>
    </row>
    <row r="51" spans="1:260" customFormat="1" ht="17" customHeight="1">
      <c r="A51" s="79" t="s">
        <v>1031</v>
      </c>
      <c r="B51" s="418">
        <v>149</v>
      </c>
      <c r="C51" s="117"/>
      <c r="D51" s="117">
        <v>50</v>
      </c>
      <c r="E51" s="123" t="s">
        <v>2085</v>
      </c>
      <c r="F51" s="124" t="s">
        <v>2339</v>
      </c>
      <c r="G51" s="125">
        <v>2016</v>
      </c>
      <c r="H51" s="79">
        <v>26611866</v>
      </c>
      <c r="I51" s="79">
        <v>1</v>
      </c>
      <c r="J51" s="126"/>
      <c r="K51" s="127"/>
      <c r="L51" s="79">
        <v>1</v>
      </c>
      <c r="M51" s="79"/>
      <c r="N51" s="164">
        <v>1</v>
      </c>
      <c r="O51" s="128">
        <v>2</v>
      </c>
      <c r="P51" s="79" t="s">
        <v>1393</v>
      </c>
      <c r="Q51" s="79" t="s">
        <v>1390</v>
      </c>
      <c r="R51" s="79" t="s">
        <v>1127</v>
      </c>
      <c r="S51" s="79"/>
      <c r="T51" s="79" t="s">
        <v>1487</v>
      </c>
      <c r="U51" s="79" t="s">
        <v>803</v>
      </c>
      <c r="V51" s="79" t="s">
        <v>23</v>
      </c>
      <c r="W51" s="79" t="s">
        <v>1716</v>
      </c>
      <c r="X51" s="79" t="s">
        <v>1391</v>
      </c>
      <c r="Y51" s="79"/>
      <c r="Z51" s="79"/>
      <c r="AA51" s="79"/>
      <c r="AB51" s="79" t="s">
        <v>1392</v>
      </c>
      <c r="AC51" s="506" t="s">
        <v>6225</v>
      </c>
      <c r="AD51" s="573">
        <v>1</v>
      </c>
      <c r="AE51" s="573">
        <v>0</v>
      </c>
      <c r="AF51" s="154">
        <v>0</v>
      </c>
      <c r="AG51" s="155" t="s">
        <v>6226</v>
      </c>
      <c r="AH51" s="121">
        <v>4</v>
      </c>
      <c r="AI51" s="484"/>
      <c r="AJ51" s="202"/>
      <c r="AK51" s="192"/>
      <c r="AL51" s="203"/>
      <c r="AM51" s="121"/>
      <c r="AN51" s="121"/>
      <c r="AO51" s="121"/>
      <c r="AP51" s="121"/>
      <c r="AQ51" s="121"/>
      <c r="AR51" s="121"/>
      <c r="AS51" s="121"/>
      <c r="AT51" s="121"/>
      <c r="AU51" s="121"/>
      <c r="AV51" s="121"/>
      <c r="AW51" s="121"/>
      <c r="AX51" s="121"/>
      <c r="AY51" s="121"/>
      <c r="AZ51" s="121"/>
      <c r="BA51" s="121"/>
      <c r="BB51" s="121">
        <v>1</v>
      </c>
      <c r="BC51" s="121"/>
      <c r="BD51" s="156"/>
      <c r="BE51" s="156"/>
      <c r="BF51" s="156"/>
      <c r="BG51" s="156" t="s">
        <v>1917</v>
      </c>
      <c r="BH51" s="156"/>
      <c r="BI51" s="156"/>
      <c r="BJ51" s="156"/>
      <c r="BK51" s="156"/>
      <c r="BL51" s="156"/>
      <c r="BM51" s="156"/>
      <c r="BN51" s="156"/>
      <c r="BO51" s="156"/>
      <c r="BP51" s="156"/>
      <c r="BQ51" s="157"/>
      <c r="BR51" s="134"/>
      <c r="BS51" s="134"/>
      <c r="BT51" s="134"/>
      <c r="BU51" s="134"/>
      <c r="BV51" s="134"/>
      <c r="BW51" s="259"/>
      <c r="BX51" s="138"/>
      <c r="BY51" s="134"/>
      <c r="BZ51" s="134"/>
      <c r="CA51" s="134"/>
      <c r="CB51" s="138"/>
      <c r="CC51" s="134"/>
      <c r="CD51" s="134"/>
      <c r="CE51" s="134"/>
      <c r="CF51" s="288"/>
      <c r="CG51" s="289"/>
      <c r="CH51" s="138"/>
      <c r="CI51" s="134"/>
      <c r="CJ51" s="134"/>
      <c r="CK51" s="134"/>
      <c r="CL51" s="138"/>
      <c r="CM51" s="134"/>
      <c r="CN51" s="134"/>
      <c r="CO51" s="134"/>
      <c r="CP51" s="288"/>
      <c r="CQ51" s="289"/>
      <c r="CR51" s="276"/>
      <c r="CS51" s="308"/>
      <c r="CT51" s="138"/>
      <c r="CU51" s="134"/>
      <c r="CV51" s="134"/>
      <c r="CW51" s="134"/>
      <c r="CX51" s="134"/>
      <c r="CY51" s="134"/>
      <c r="CZ51" s="134"/>
      <c r="DA51" s="134"/>
      <c r="DB51" s="300"/>
      <c r="DC51" s="301"/>
      <c r="DD51" s="134"/>
      <c r="DE51" s="134"/>
      <c r="DF51" s="134"/>
      <c r="DG51" s="134"/>
      <c r="DH51" s="134"/>
      <c r="DI51" s="190"/>
      <c r="DJ51" s="134"/>
      <c r="DK51" s="190"/>
      <c r="DL51" s="300"/>
      <c r="DM51" s="301"/>
      <c r="DN51" s="276"/>
      <c r="DO51" s="277"/>
      <c r="DP51" s="134"/>
      <c r="DQ51" s="134"/>
      <c r="DR51" s="134"/>
      <c r="DS51" s="134"/>
      <c r="DT51" s="138"/>
      <c r="DU51" s="190"/>
      <c r="DV51" s="190"/>
      <c r="DW51" s="190"/>
      <c r="DX51" s="301"/>
      <c r="DY51" s="301"/>
      <c r="DZ51" s="138"/>
      <c r="EA51" s="190"/>
      <c r="EB51" s="134"/>
      <c r="EC51" s="190"/>
      <c r="ED51" s="138"/>
      <c r="EE51" s="134"/>
      <c r="EF51" s="134"/>
      <c r="EG51" s="134"/>
      <c r="EH51" s="301"/>
      <c r="EI51" s="301"/>
      <c r="EJ51" s="277"/>
      <c r="EK51" s="134"/>
      <c r="EL51" s="134"/>
      <c r="EM51" s="134"/>
      <c r="EN51" s="134"/>
      <c r="EO51" s="134"/>
      <c r="EP51" s="134"/>
      <c r="EQ51" s="134"/>
      <c r="ER51" s="134"/>
      <c r="ES51" s="301"/>
      <c r="ET51" s="301"/>
      <c r="EU51" s="134"/>
      <c r="EV51" s="134"/>
      <c r="EW51" s="134"/>
      <c r="EX51" s="134"/>
      <c r="EY51" s="134"/>
      <c r="EZ51" s="134"/>
      <c r="FA51" s="134"/>
      <c r="FB51" s="134"/>
      <c r="FC51" s="135"/>
      <c r="FD51" s="135"/>
      <c r="FE51" s="134"/>
      <c r="FF51" s="134"/>
      <c r="FG51" s="134"/>
      <c r="FH51" s="134"/>
      <c r="FI51" s="134"/>
      <c r="FJ51" s="134"/>
      <c r="FK51" s="134"/>
      <c r="FL51" s="134"/>
      <c r="FM51" s="135"/>
      <c r="FN51" s="135"/>
      <c r="FO51" s="134"/>
      <c r="FP51" s="134"/>
      <c r="FQ51" s="134"/>
      <c r="FR51" s="134"/>
      <c r="FS51" s="134"/>
      <c r="FT51" s="134"/>
      <c r="FU51" s="134"/>
      <c r="FV51" s="134"/>
      <c r="FW51" s="135"/>
      <c r="FX51" s="135"/>
      <c r="FY51" s="134"/>
      <c r="FZ51" s="134"/>
      <c r="GA51" s="134"/>
      <c r="GB51" s="134"/>
      <c r="GC51" s="134"/>
      <c r="GD51" s="134"/>
      <c r="GE51" s="134"/>
      <c r="GF51" s="134"/>
      <c r="GG51" s="135"/>
      <c r="GH51" s="135"/>
      <c r="GI51" s="134"/>
      <c r="GJ51" s="134"/>
      <c r="GK51" s="134"/>
      <c r="GL51" s="134"/>
      <c r="GM51" s="134"/>
      <c r="GN51" s="134"/>
      <c r="GO51" s="134"/>
      <c r="GP51" s="134"/>
      <c r="GQ51" s="135"/>
      <c r="GR51" s="135"/>
      <c r="GS51" s="134"/>
      <c r="GT51" s="134"/>
      <c r="GU51" s="134"/>
      <c r="GV51" s="134"/>
      <c r="GW51" s="134"/>
      <c r="GX51" s="134"/>
      <c r="GY51" s="134"/>
      <c r="GZ51" s="134"/>
      <c r="HA51" s="135"/>
      <c r="HB51" s="135"/>
      <c r="HC51" s="134"/>
      <c r="HD51" s="134"/>
      <c r="HE51" s="134"/>
      <c r="HF51" s="134"/>
      <c r="HG51" s="134"/>
      <c r="HH51" s="134"/>
      <c r="HI51" s="134"/>
      <c r="HJ51" s="134"/>
      <c r="HK51" s="135"/>
      <c r="HL51" s="135"/>
      <c r="HM51" s="134"/>
      <c r="HN51" s="134"/>
      <c r="HO51" s="134"/>
      <c r="HP51" s="134"/>
      <c r="HQ51" s="134"/>
      <c r="HR51" s="134"/>
      <c r="HS51" s="134"/>
      <c r="HT51" s="134"/>
      <c r="HU51" s="135"/>
      <c r="HV51" s="135"/>
      <c r="HW51" s="134"/>
      <c r="HX51" s="134"/>
      <c r="HY51" s="134"/>
      <c r="HZ51" s="134"/>
      <c r="IA51" s="134"/>
      <c r="IB51" s="134"/>
      <c r="IC51" s="134"/>
      <c r="ID51" s="134"/>
      <c r="IE51" s="135"/>
      <c r="IF51" s="135"/>
      <c r="IG51" s="134"/>
      <c r="IH51" s="134"/>
      <c r="II51" s="134"/>
      <c r="IJ51" s="134"/>
      <c r="IK51" s="134"/>
      <c r="IL51" s="134"/>
      <c r="IM51" s="134"/>
      <c r="IN51" s="134"/>
      <c r="IO51" s="135"/>
      <c r="IP51" s="135"/>
      <c r="IQ51" s="134"/>
      <c r="IR51" s="134"/>
      <c r="IS51" s="134"/>
      <c r="IT51" s="134"/>
      <c r="IU51" s="134"/>
      <c r="IV51" s="134"/>
      <c r="IW51" s="134"/>
      <c r="IX51" s="134"/>
      <c r="IY51" s="135"/>
      <c r="IZ51" s="135"/>
    </row>
    <row r="52" spans="1:260" s="119" customFormat="1" ht="17" customHeight="1">
      <c r="A52" s="79" t="s">
        <v>204</v>
      </c>
      <c r="B52" s="418">
        <v>150</v>
      </c>
      <c r="C52" s="117"/>
      <c r="D52" s="117">
        <v>51</v>
      </c>
      <c r="E52" s="123" t="s">
        <v>1977</v>
      </c>
      <c r="F52" s="124" t="s">
        <v>2201</v>
      </c>
      <c r="G52" s="125">
        <v>2010</v>
      </c>
      <c r="H52" s="79">
        <v>20088647</v>
      </c>
      <c r="I52" s="79">
        <v>1</v>
      </c>
      <c r="J52" s="126"/>
      <c r="K52" s="127"/>
      <c r="L52" s="174">
        <v>1</v>
      </c>
      <c r="M52" s="79"/>
      <c r="N52" s="164">
        <v>1</v>
      </c>
      <c r="O52" s="128">
        <v>1</v>
      </c>
      <c r="P52" s="79"/>
      <c r="Q52" s="79"/>
      <c r="R52" s="79" t="s">
        <v>583</v>
      </c>
      <c r="S52" s="79">
        <v>1</v>
      </c>
      <c r="T52" s="79"/>
      <c r="U52" s="79"/>
      <c r="V52" s="79"/>
      <c r="W52" s="79" t="s">
        <v>23</v>
      </c>
      <c r="X52" s="79" t="s">
        <v>582</v>
      </c>
      <c r="Y52" s="79"/>
      <c r="Z52" s="79"/>
      <c r="AA52" s="79"/>
      <c r="AB52" s="79" t="s">
        <v>584</v>
      </c>
      <c r="AC52" s="506" t="s">
        <v>6227</v>
      </c>
      <c r="AD52" s="573">
        <v>1</v>
      </c>
      <c r="AE52" s="573">
        <v>1</v>
      </c>
      <c r="AF52" s="165">
        <v>0</v>
      </c>
      <c r="AG52" s="166" t="s">
        <v>6229</v>
      </c>
      <c r="AH52" s="121"/>
      <c r="AI52" s="484"/>
      <c r="AJ52" s="202"/>
      <c r="AK52" s="192"/>
      <c r="AL52" s="203"/>
      <c r="AM52" s="121"/>
      <c r="AN52" s="121"/>
      <c r="AO52" s="121"/>
      <c r="AP52" s="121"/>
      <c r="AQ52" s="121"/>
      <c r="AR52" s="121"/>
      <c r="AS52" s="121"/>
      <c r="AT52" s="121"/>
      <c r="AU52" s="121"/>
      <c r="AV52" s="121"/>
      <c r="AW52" s="121"/>
      <c r="AX52" s="121"/>
      <c r="AY52" s="121"/>
      <c r="AZ52" s="121"/>
      <c r="BA52" s="121"/>
      <c r="BB52" s="121"/>
      <c r="BC52" s="121"/>
      <c r="BD52" s="156"/>
      <c r="BE52" s="156"/>
      <c r="BF52" s="156"/>
      <c r="BG52" s="156"/>
      <c r="BH52" s="156" t="s">
        <v>6228</v>
      </c>
      <c r="BI52" s="156" t="s">
        <v>6228</v>
      </c>
      <c r="BJ52" s="156" t="s">
        <v>6174</v>
      </c>
      <c r="BK52" s="156"/>
      <c r="BL52" s="156"/>
      <c r="BM52" s="156"/>
      <c r="BN52" s="156"/>
      <c r="BO52" s="156"/>
      <c r="BP52" s="156"/>
      <c r="BQ52" s="157"/>
      <c r="BR52" s="134"/>
      <c r="BS52" s="134"/>
      <c r="BT52" s="134"/>
      <c r="BU52" s="134"/>
      <c r="BV52" s="134"/>
      <c r="BW52" s="259"/>
      <c r="BX52" s="138"/>
      <c r="BY52" s="134"/>
      <c r="BZ52" s="134"/>
      <c r="CA52" s="134"/>
      <c r="CB52" s="138"/>
      <c r="CC52" s="134"/>
      <c r="CD52" s="134"/>
      <c r="CE52" s="134"/>
      <c r="CF52" s="288"/>
      <c r="CG52" s="289"/>
      <c r="CH52" s="138"/>
      <c r="CI52" s="134"/>
      <c r="CJ52" s="134"/>
      <c r="CK52" s="134"/>
      <c r="CL52" s="138"/>
      <c r="CM52" s="134"/>
      <c r="CN52" s="134"/>
      <c r="CO52" s="134"/>
      <c r="CP52" s="288"/>
      <c r="CQ52" s="289"/>
      <c r="CR52" s="276"/>
      <c r="CS52" s="308"/>
      <c r="CT52" s="138"/>
      <c r="CU52" s="134"/>
      <c r="CV52" s="134"/>
      <c r="CW52" s="134"/>
      <c r="CX52" s="134"/>
      <c r="CY52" s="134"/>
      <c r="CZ52" s="134"/>
      <c r="DA52" s="134"/>
      <c r="DB52" s="300"/>
      <c r="DC52" s="301"/>
      <c r="DD52" s="134"/>
      <c r="DE52" s="134"/>
      <c r="DF52" s="134"/>
      <c r="DG52" s="134"/>
      <c r="DH52" s="134"/>
      <c r="DI52" s="190"/>
      <c r="DJ52" s="134"/>
      <c r="DK52" s="190"/>
      <c r="DL52" s="300"/>
      <c r="DM52" s="301"/>
      <c r="DN52" s="276"/>
      <c r="DO52" s="277"/>
      <c r="DP52" s="134"/>
      <c r="DQ52" s="134"/>
      <c r="DR52" s="134"/>
      <c r="DS52" s="134"/>
      <c r="DT52" s="138"/>
      <c r="DU52" s="190"/>
      <c r="DV52" s="190"/>
      <c r="DW52" s="190"/>
      <c r="DX52" s="301"/>
      <c r="DY52" s="301"/>
      <c r="DZ52" s="138"/>
      <c r="EA52" s="134"/>
      <c r="EB52" s="134"/>
      <c r="EC52" s="134"/>
      <c r="ED52" s="138"/>
      <c r="EE52" s="134"/>
      <c r="EF52" s="134"/>
      <c r="EG52" s="134"/>
      <c r="EH52" s="301"/>
      <c r="EI52" s="301"/>
      <c r="EJ52" s="277"/>
      <c r="EK52" s="134"/>
      <c r="EL52" s="134"/>
      <c r="EM52" s="134"/>
      <c r="EN52" s="134"/>
      <c r="EO52" s="134"/>
      <c r="EP52" s="134"/>
      <c r="EQ52" s="134"/>
      <c r="ER52" s="134"/>
      <c r="ES52" s="301"/>
      <c r="ET52" s="301"/>
      <c r="EU52" s="134"/>
      <c r="EV52" s="134"/>
      <c r="EW52" s="134"/>
      <c r="EX52" s="134"/>
      <c r="EY52" s="134"/>
      <c r="EZ52" s="134"/>
      <c r="FA52" s="134"/>
      <c r="FB52" s="134"/>
      <c r="FC52" s="135"/>
      <c r="FD52" s="135"/>
      <c r="FE52" s="134"/>
      <c r="FF52" s="134"/>
      <c r="FG52" s="134"/>
      <c r="FH52" s="134"/>
      <c r="FI52" s="134"/>
      <c r="FJ52" s="134"/>
      <c r="FK52" s="134"/>
      <c r="FL52" s="134"/>
      <c r="FM52" s="135"/>
      <c r="FN52" s="135"/>
      <c r="FO52" s="134"/>
      <c r="FP52" s="134"/>
      <c r="FQ52" s="134"/>
      <c r="FR52" s="134"/>
      <c r="FS52" s="134"/>
      <c r="FT52" s="134"/>
      <c r="FU52" s="134"/>
      <c r="FV52" s="134"/>
      <c r="FW52" s="135"/>
      <c r="FX52" s="135"/>
      <c r="FY52" s="134"/>
      <c r="FZ52" s="134"/>
      <c r="GA52" s="134"/>
      <c r="GB52" s="134"/>
      <c r="GC52" s="134"/>
      <c r="GD52" s="134"/>
      <c r="GE52" s="134"/>
      <c r="GF52" s="134"/>
      <c r="GG52" s="135"/>
      <c r="GH52" s="135"/>
      <c r="GI52" s="134"/>
      <c r="GJ52" s="134"/>
      <c r="GK52" s="134"/>
      <c r="GL52" s="134"/>
      <c r="GM52" s="134"/>
      <c r="GN52" s="134"/>
      <c r="GO52" s="134"/>
      <c r="GP52" s="134"/>
      <c r="GQ52" s="135"/>
      <c r="GR52" s="135"/>
      <c r="GS52" s="134"/>
      <c r="GT52" s="134"/>
      <c r="GU52" s="134"/>
      <c r="GV52" s="134"/>
      <c r="GW52" s="134"/>
      <c r="GX52" s="134"/>
      <c r="GY52" s="134"/>
      <c r="GZ52" s="134"/>
      <c r="HA52" s="135"/>
      <c r="HB52" s="135"/>
      <c r="HC52" s="134"/>
      <c r="HD52" s="134"/>
      <c r="HE52" s="134"/>
      <c r="HF52" s="134"/>
      <c r="HG52" s="134"/>
      <c r="HH52" s="134"/>
      <c r="HI52" s="134"/>
      <c r="HJ52" s="134"/>
      <c r="HK52" s="135"/>
      <c r="HL52" s="135"/>
      <c r="HM52" s="134"/>
      <c r="HN52" s="134"/>
      <c r="HO52" s="134"/>
      <c r="HP52" s="134"/>
      <c r="HQ52" s="134"/>
      <c r="HR52" s="134"/>
      <c r="HS52" s="134"/>
      <c r="HT52" s="134"/>
      <c r="HU52" s="135"/>
      <c r="HV52" s="135"/>
      <c r="HW52" s="134"/>
      <c r="HX52" s="134"/>
      <c r="HY52" s="134"/>
      <c r="HZ52" s="134"/>
      <c r="IA52" s="134"/>
      <c r="IB52" s="134"/>
      <c r="IC52" s="134"/>
      <c r="ID52" s="134"/>
      <c r="IE52" s="135"/>
      <c r="IF52" s="135"/>
      <c r="IG52" s="134"/>
      <c r="IH52" s="134"/>
      <c r="II52" s="134"/>
      <c r="IJ52" s="134"/>
      <c r="IK52" s="134"/>
      <c r="IL52" s="134"/>
      <c r="IM52" s="134"/>
      <c r="IN52" s="134"/>
      <c r="IO52" s="135"/>
      <c r="IP52" s="135"/>
      <c r="IQ52" s="134"/>
      <c r="IR52" s="134"/>
      <c r="IS52" s="134"/>
      <c r="IT52" s="134"/>
      <c r="IU52" s="134"/>
      <c r="IV52" s="134"/>
      <c r="IW52" s="134"/>
      <c r="IX52" s="134"/>
      <c r="IY52" s="135"/>
      <c r="IZ52" s="135"/>
    </row>
    <row r="53" spans="1:260" s="119" customFormat="1" ht="17" customHeight="1">
      <c r="A53" s="79" t="s">
        <v>207</v>
      </c>
      <c r="B53" s="418">
        <v>153</v>
      </c>
      <c r="C53" s="117"/>
      <c r="D53" s="117">
        <v>52</v>
      </c>
      <c r="E53" s="123" t="s">
        <v>1978</v>
      </c>
      <c r="F53" s="124" t="s">
        <v>2202</v>
      </c>
      <c r="G53" s="125">
        <v>1996</v>
      </c>
      <c r="H53" s="79">
        <v>8827652</v>
      </c>
      <c r="I53" s="79">
        <v>1</v>
      </c>
      <c r="J53" s="126"/>
      <c r="K53" s="127"/>
      <c r="L53" s="79">
        <v>1</v>
      </c>
      <c r="M53" s="79"/>
      <c r="N53" s="79">
        <v>1</v>
      </c>
      <c r="O53" s="128">
        <v>1</v>
      </c>
      <c r="P53" s="79" t="s">
        <v>920</v>
      </c>
      <c r="Q53" s="79" t="s">
        <v>1165</v>
      </c>
      <c r="R53" s="79" t="s">
        <v>591</v>
      </c>
      <c r="S53" s="79">
        <v>1</v>
      </c>
      <c r="T53" s="79"/>
      <c r="U53" s="79"/>
      <c r="V53" s="79"/>
      <c r="W53" s="79" t="s">
        <v>1156</v>
      </c>
      <c r="X53" s="79"/>
      <c r="Y53" s="79" t="s">
        <v>592</v>
      </c>
      <c r="Z53" s="79" t="s">
        <v>593</v>
      </c>
      <c r="AA53" s="79"/>
      <c r="AB53" s="79"/>
      <c r="AC53" s="506" t="s">
        <v>6230</v>
      </c>
      <c r="AD53" s="573">
        <v>1</v>
      </c>
      <c r="AE53" s="573">
        <v>1</v>
      </c>
      <c r="AF53" s="154"/>
      <c r="AG53" s="155"/>
      <c r="AH53" s="121">
        <v>2</v>
      </c>
      <c r="AI53" s="484"/>
      <c r="AJ53" s="202"/>
      <c r="AK53" s="192"/>
      <c r="AL53" s="203"/>
      <c r="AM53" s="121"/>
      <c r="AN53" s="121"/>
      <c r="AO53" s="121"/>
      <c r="AP53" s="121"/>
      <c r="AQ53" s="121"/>
      <c r="AR53" s="121"/>
      <c r="AS53" s="121"/>
      <c r="AT53" s="121"/>
      <c r="AU53" s="121"/>
      <c r="AV53" s="121"/>
      <c r="AW53" s="121"/>
      <c r="AX53" s="121"/>
      <c r="AY53" s="121"/>
      <c r="AZ53" s="121"/>
      <c r="BA53" s="121"/>
      <c r="BB53" s="121"/>
      <c r="BC53" s="121"/>
      <c r="BD53" s="156"/>
      <c r="BE53" s="156"/>
      <c r="BF53" s="156"/>
      <c r="BG53" s="156">
        <v>1</v>
      </c>
      <c r="BH53" s="156"/>
      <c r="BI53" s="156"/>
      <c r="BJ53" s="156" t="s">
        <v>6174</v>
      </c>
      <c r="BK53" s="156" t="s">
        <v>6231</v>
      </c>
      <c r="BL53" s="156"/>
      <c r="BM53" s="156"/>
      <c r="BN53" s="156"/>
      <c r="BO53" s="156"/>
      <c r="BP53" s="156"/>
      <c r="BQ53" s="157"/>
      <c r="BR53" s="134"/>
      <c r="BS53" s="134"/>
      <c r="BT53" s="134"/>
      <c r="BU53" s="134"/>
      <c r="BV53" s="134"/>
      <c r="BW53" s="259"/>
      <c r="BX53" s="138"/>
      <c r="BY53" s="134"/>
      <c r="BZ53" s="426"/>
      <c r="CA53" s="134"/>
      <c r="CB53" s="138"/>
      <c r="CC53" s="134"/>
      <c r="CD53" s="134"/>
      <c r="CE53" s="134"/>
      <c r="CF53" s="288"/>
      <c r="CG53" s="289"/>
      <c r="CH53" s="138"/>
      <c r="CI53" s="134"/>
      <c r="CJ53" s="134"/>
      <c r="CK53" s="134"/>
      <c r="CL53" s="138"/>
      <c r="CM53" s="134"/>
      <c r="CN53" s="134"/>
      <c r="CO53" s="134"/>
      <c r="CP53" s="288"/>
      <c r="CQ53" s="289"/>
      <c r="CR53" s="276"/>
      <c r="CS53" s="308"/>
      <c r="CT53" s="138"/>
      <c r="CU53" s="134"/>
      <c r="CV53" s="134"/>
      <c r="CW53" s="134"/>
      <c r="CX53" s="134"/>
      <c r="CY53" s="134"/>
      <c r="CZ53" s="134"/>
      <c r="DA53" s="134"/>
      <c r="DB53" s="300"/>
      <c r="DC53" s="301"/>
      <c r="DD53" s="134"/>
      <c r="DE53" s="134"/>
      <c r="DF53" s="134"/>
      <c r="DG53" s="134"/>
      <c r="DH53" s="134"/>
      <c r="DI53" s="190"/>
      <c r="DJ53" s="134"/>
      <c r="DK53" s="190"/>
      <c r="DL53" s="300"/>
      <c r="DM53" s="301"/>
      <c r="DN53" s="276"/>
      <c r="DO53" s="277"/>
      <c r="DP53" s="134"/>
      <c r="DQ53" s="134"/>
      <c r="DR53" s="134"/>
      <c r="DS53" s="134"/>
      <c r="DT53" s="138"/>
      <c r="DU53" s="190"/>
      <c r="DV53" s="190"/>
      <c r="DW53" s="190"/>
      <c r="DX53" s="301"/>
      <c r="DY53" s="301"/>
      <c r="DZ53" s="138"/>
      <c r="EA53" s="134"/>
      <c r="EB53" s="134"/>
      <c r="EC53" s="134"/>
      <c r="ED53" s="138"/>
      <c r="EE53" s="134"/>
      <c r="EF53" s="134"/>
      <c r="EG53" s="134"/>
      <c r="EH53" s="301"/>
      <c r="EI53" s="301"/>
      <c r="EJ53" s="277"/>
      <c r="EK53" s="134"/>
      <c r="EL53" s="134"/>
      <c r="EM53" s="134"/>
      <c r="EN53" s="134"/>
      <c r="EO53" s="134"/>
      <c r="EP53" s="134"/>
      <c r="EQ53" s="134"/>
      <c r="ER53" s="134"/>
      <c r="ES53" s="301"/>
      <c r="ET53" s="301"/>
      <c r="EU53" s="134"/>
      <c r="EV53" s="134"/>
      <c r="EW53" s="134"/>
      <c r="EX53" s="134"/>
      <c r="EY53" s="134"/>
      <c r="EZ53" s="134"/>
      <c r="FA53" s="134"/>
      <c r="FB53" s="134"/>
      <c r="FC53" s="135"/>
      <c r="FD53" s="135"/>
      <c r="FE53" s="134"/>
      <c r="FF53" s="134"/>
      <c r="FG53" s="134"/>
      <c r="FH53" s="134"/>
      <c r="FI53" s="134"/>
      <c r="FJ53" s="134"/>
      <c r="FK53" s="134"/>
      <c r="FL53" s="134"/>
      <c r="FM53" s="135"/>
      <c r="FN53" s="135"/>
      <c r="FO53" s="134"/>
      <c r="FP53" s="134"/>
      <c r="FQ53" s="134"/>
      <c r="FR53" s="134"/>
      <c r="FS53" s="134"/>
      <c r="FT53" s="134"/>
      <c r="FU53" s="134"/>
      <c r="FV53" s="134"/>
      <c r="FW53" s="135"/>
      <c r="FX53" s="135"/>
      <c r="FY53" s="134"/>
      <c r="FZ53" s="134"/>
      <c r="GA53" s="134"/>
      <c r="GB53" s="134"/>
      <c r="GC53" s="134"/>
      <c r="GD53" s="134"/>
      <c r="GE53" s="134"/>
      <c r="GF53" s="134"/>
      <c r="GG53" s="135"/>
      <c r="GH53" s="135"/>
      <c r="GI53" s="134"/>
      <c r="GJ53" s="134"/>
      <c r="GK53" s="134"/>
      <c r="GL53" s="134"/>
      <c r="GM53" s="134"/>
      <c r="GN53" s="134"/>
      <c r="GO53" s="134"/>
      <c r="GP53" s="134"/>
      <c r="GQ53" s="135"/>
      <c r="GR53" s="135"/>
      <c r="GS53" s="134"/>
      <c r="GT53" s="134"/>
      <c r="GU53" s="134"/>
      <c r="GV53" s="134"/>
      <c r="GW53" s="134"/>
      <c r="GX53" s="134"/>
      <c r="GY53" s="134"/>
      <c r="GZ53" s="134"/>
      <c r="HA53" s="135"/>
      <c r="HB53" s="135"/>
      <c r="HC53" s="134"/>
      <c r="HD53" s="134"/>
      <c r="HE53" s="134"/>
      <c r="HF53" s="134"/>
      <c r="HG53" s="134"/>
      <c r="HH53" s="134"/>
      <c r="HI53" s="134"/>
      <c r="HJ53" s="134"/>
      <c r="HK53" s="135"/>
      <c r="HL53" s="135"/>
      <c r="HM53" s="134"/>
      <c r="HN53" s="134"/>
      <c r="HO53" s="134"/>
      <c r="HP53" s="134"/>
      <c r="HQ53" s="134"/>
      <c r="HR53" s="134"/>
      <c r="HS53" s="134"/>
      <c r="HT53" s="134"/>
      <c r="HU53" s="135"/>
      <c r="HV53" s="135"/>
      <c r="HW53" s="134"/>
      <c r="HX53" s="134"/>
      <c r="HY53" s="134"/>
      <c r="HZ53" s="134"/>
      <c r="IA53" s="134"/>
      <c r="IB53" s="134"/>
      <c r="IC53" s="134"/>
      <c r="ID53" s="134"/>
      <c r="IE53" s="135"/>
      <c r="IF53" s="135"/>
      <c r="IG53" s="134"/>
      <c r="IH53" s="134"/>
      <c r="II53" s="134"/>
      <c r="IJ53" s="134"/>
      <c r="IK53" s="134"/>
      <c r="IL53" s="134"/>
      <c r="IM53" s="134"/>
      <c r="IN53" s="134"/>
      <c r="IO53" s="135"/>
      <c r="IP53" s="135"/>
      <c r="IQ53" s="134"/>
      <c r="IR53" s="134"/>
      <c r="IS53" s="134"/>
      <c r="IT53" s="134"/>
      <c r="IU53" s="134"/>
      <c r="IV53" s="134"/>
      <c r="IW53" s="134"/>
      <c r="IX53" s="134"/>
      <c r="IY53" s="135"/>
      <c r="IZ53" s="135"/>
    </row>
    <row r="54" spans="1:260" customFormat="1" ht="17" customHeight="1">
      <c r="A54" s="79" t="s">
        <v>210</v>
      </c>
      <c r="B54" s="418">
        <v>155</v>
      </c>
      <c r="C54" s="117"/>
      <c r="D54" s="117">
        <v>53</v>
      </c>
      <c r="E54" s="123" t="s">
        <v>1980</v>
      </c>
      <c r="F54" s="124" t="s">
        <v>2204</v>
      </c>
      <c r="G54" s="125">
        <v>2015</v>
      </c>
      <c r="H54" s="79">
        <v>26011671</v>
      </c>
      <c r="I54" s="79">
        <v>1</v>
      </c>
      <c r="J54" s="126"/>
      <c r="K54" s="127"/>
      <c r="L54" s="79">
        <v>1</v>
      </c>
      <c r="M54" s="79"/>
      <c r="N54" s="164">
        <v>1</v>
      </c>
      <c r="O54" s="128">
        <v>1</v>
      </c>
      <c r="P54" s="79" t="s">
        <v>599</v>
      </c>
      <c r="Q54" s="79" t="s">
        <v>1164</v>
      </c>
      <c r="R54" s="79" t="s">
        <v>498</v>
      </c>
      <c r="S54" s="79">
        <v>0</v>
      </c>
      <c r="T54" s="79"/>
      <c r="U54" s="79"/>
      <c r="V54" s="79"/>
      <c r="W54" s="79" t="s">
        <v>600</v>
      </c>
      <c r="X54" s="79"/>
      <c r="Y54" s="79"/>
      <c r="Z54" s="79"/>
      <c r="AA54" s="79"/>
      <c r="AB54" s="79" t="s">
        <v>601</v>
      </c>
      <c r="AC54" s="506" t="s">
        <v>6233</v>
      </c>
      <c r="AD54" s="573">
        <v>1</v>
      </c>
      <c r="AE54" s="573">
        <v>0</v>
      </c>
      <c r="AF54" s="576" t="s">
        <v>3003</v>
      </c>
      <c r="AG54" s="577" t="s">
        <v>6232</v>
      </c>
      <c r="AH54" s="121"/>
      <c r="AI54" s="484"/>
      <c r="AJ54" s="202"/>
      <c r="AK54" s="192"/>
      <c r="AL54" s="203"/>
      <c r="AM54" s="121"/>
      <c r="AN54" s="121"/>
      <c r="AO54" s="121"/>
      <c r="AP54" s="121"/>
      <c r="AQ54" s="121"/>
      <c r="AR54" s="121"/>
      <c r="AS54" s="121"/>
      <c r="AT54" s="121"/>
      <c r="AU54" s="121"/>
      <c r="AV54" s="121"/>
      <c r="AW54" s="121"/>
      <c r="AX54" s="121"/>
      <c r="AY54" s="121"/>
      <c r="AZ54" s="121"/>
      <c r="BA54" s="121"/>
      <c r="BB54" s="121"/>
      <c r="BC54" s="121"/>
      <c r="BD54" s="156"/>
      <c r="BE54" s="156"/>
      <c r="BF54" s="156"/>
      <c r="BG54" s="156"/>
      <c r="BH54" s="156"/>
      <c r="BI54" s="156"/>
      <c r="BJ54" s="156"/>
      <c r="BK54" s="156"/>
      <c r="BL54" s="156"/>
      <c r="BM54" s="156"/>
      <c r="BN54" s="156"/>
      <c r="BO54" s="156"/>
      <c r="BP54" s="156" t="s">
        <v>5545</v>
      </c>
      <c r="BQ54" s="157"/>
      <c r="BR54" s="134"/>
      <c r="BS54" s="134"/>
      <c r="BT54" s="134"/>
      <c r="BU54" s="134"/>
      <c r="BV54" s="134"/>
      <c r="BW54" s="259"/>
      <c r="BX54" s="138"/>
      <c r="BY54" s="134"/>
      <c r="BZ54" s="134"/>
      <c r="CA54" s="134"/>
      <c r="CB54" s="138"/>
      <c r="CC54" s="134"/>
      <c r="CD54" s="134"/>
      <c r="CE54" s="134"/>
      <c r="CF54" s="288"/>
      <c r="CG54" s="289"/>
      <c r="CH54" s="138"/>
      <c r="CI54" s="134"/>
      <c r="CJ54" s="134"/>
      <c r="CK54" s="134"/>
      <c r="CL54" s="138"/>
      <c r="CM54" s="134"/>
      <c r="CN54" s="134"/>
      <c r="CO54" s="134"/>
      <c r="CP54" s="288"/>
      <c r="CQ54" s="289"/>
      <c r="CR54" s="276"/>
      <c r="CS54" s="308"/>
      <c r="CT54" s="138"/>
      <c r="CU54" s="134"/>
      <c r="CV54" s="134"/>
      <c r="CW54" s="134"/>
      <c r="CX54" s="134"/>
      <c r="CY54" s="134"/>
      <c r="CZ54" s="134"/>
      <c r="DA54" s="134"/>
      <c r="DB54" s="300"/>
      <c r="DC54" s="301"/>
      <c r="DD54" s="134"/>
      <c r="DE54" s="134"/>
      <c r="DF54" s="134"/>
      <c r="DG54" s="134"/>
      <c r="DH54" s="134"/>
      <c r="DI54" s="134"/>
      <c r="DJ54" s="134"/>
      <c r="DK54" s="134"/>
      <c r="DL54" s="300"/>
      <c r="DM54" s="301"/>
      <c r="DN54" s="276"/>
      <c r="DO54" s="277"/>
      <c r="DP54" s="134"/>
      <c r="DQ54" s="134"/>
      <c r="DR54" s="134"/>
      <c r="DS54" s="134"/>
      <c r="DT54" s="138"/>
      <c r="DU54" s="134"/>
      <c r="DV54" s="134"/>
      <c r="DW54" s="134"/>
      <c r="DX54" s="301"/>
      <c r="DY54" s="301"/>
      <c r="DZ54" s="138"/>
      <c r="EA54" s="134"/>
      <c r="EB54" s="134"/>
      <c r="EC54" s="134"/>
      <c r="ED54" s="138"/>
      <c r="EE54" s="134"/>
      <c r="EF54" s="134"/>
      <c r="EG54" s="134"/>
      <c r="EH54" s="301"/>
      <c r="EI54" s="301"/>
      <c r="EJ54" s="277"/>
      <c r="EK54" s="134"/>
      <c r="EL54" s="134"/>
      <c r="EM54" s="134"/>
      <c r="EN54" s="134"/>
      <c r="EO54" s="134"/>
      <c r="EP54" s="134"/>
      <c r="EQ54" s="134"/>
      <c r="ER54" s="134"/>
      <c r="ES54" s="301"/>
      <c r="ET54" s="301"/>
      <c r="EU54" s="134"/>
      <c r="EV54" s="134"/>
      <c r="EW54" s="134"/>
      <c r="EX54" s="134"/>
      <c r="EY54" s="134"/>
      <c r="EZ54" s="134"/>
      <c r="FA54" s="134"/>
      <c r="FB54" s="134"/>
      <c r="FC54" s="135"/>
      <c r="FD54" s="135"/>
      <c r="FE54" s="134"/>
      <c r="FF54" s="134"/>
      <c r="FG54" s="134"/>
      <c r="FH54" s="134"/>
      <c r="FI54" s="134"/>
      <c r="FJ54" s="134"/>
      <c r="FK54" s="134"/>
      <c r="FL54" s="134"/>
      <c r="FM54" s="135"/>
      <c r="FN54" s="135"/>
      <c r="FO54" s="134"/>
      <c r="FP54" s="134"/>
      <c r="FQ54" s="134"/>
      <c r="FR54" s="134"/>
      <c r="FS54" s="134"/>
      <c r="FT54" s="134"/>
      <c r="FU54" s="134"/>
      <c r="FV54" s="134"/>
      <c r="FW54" s="135"/>
      <c r="FX54" s="135"/>
      <c r="FY54" s="134"/>
      <c r="FZ54" s="134"/>
      <c r="GA54" s="134"/>
      <c r="GB54" s="134"/>
      <c r="GC54" s="134"/>
      <c r="GD54" s="134"/>
      <c r="GE54" s="134"/>
      <c r="GF54" s="134"/>
      <c r="GG54" s="135"/>
      <c r="GH54" s="135"/>
      <c r="GI54" s="134"/>
      <c r="GJ54" s="134"/>
      <c r="GK54" s="134"/>
      <c r="GL54" s="134"/>
      <c r="GM54" s="134"/>
      <c r="GN54" s="134"/>
      <c r="GO54" s="134"/>
      <c r="GP54" s="134"/>
      <c r="GQ54" s="135"/>
      <c r="GR54" s="135"/>
      <c r="GS54" s="134"/>
      <c r="GT54" s="134"/>
      <c r="GU54" s="134"/>
      <c r="GV54" s="134"/>
      <c r="GW54" s="134"/>
      <c r="GX54" s="134"/>
      <c r="GY54" s="134"/>
      <c r="GZ54" s="134"/>
      <c r="HA54" s="135"/>
      <c r="HB54" s="135"/>
      <c r="HC54" s="134"/>
      <c r="HD54" s="134"/>
      <c r="HE54" s="134"/>
      <c r="HF54" s="134"/>
      <c r="HG54" s="134"/>
      <c r="HH54" s="134"/>
      <c r="HI54" s="134"/>
      <c r="HJ54" s="134"/>
      <c r="HK54" s="135"/>
      <c r="HL54" s="135"/>
      <c r="HM54" s="134"/>
      <c r="HN54" s="134"/>
      <c r="HO54" s="134"/>
      <c r="HP54" s="134"/>
      <c r="HQ54" s="134"/>
      <c r="HR54" s="134"/>
      <c r="HS54" s="134"/>
      <c r="HT54" s="134"/>
      <c r="HU54" s="135"/>
      <c r="HV54" s="135"/>
      <c r="HW54" s="134"/>
      <c r="HX54" s="134"/>
      <c r="HY54" s="134"/>
      <c r="HZ54" s="134"/>
      <c r="IA54" s="134"/>
      <c r="IB54" s="134"/>
      <c r="IC54" s="134"/>
      <c r="ID54" s="134"/>
      <c r="IE54" s="135"/>
      <c r="IF54" s="135"/>
      <c r="IG54" s="134"/>
      <c r="IH54" s="134"/>
      <c r="II54" s="134"/>
      <c r="IJ54" s="134"/>
      <c r="IK54" s="134"/>
      <c r="IL54" s="134"/>
      <c r="IM54" s="134"/>
      <c r="IN54" s="134"/>
      <c r="IO54" s="135"/>
      <c r="IP54" s="135"/>
      <c r="IQ54" s="134"/>
      <c r="IR54" s="134"/>
      <c r="IS54" s="134"/>
      <c r="IT54" s="134"/>
      <c r="IU54" s="134"/>
      <c r="IV54" s="134"/>
      <c r="IW54" s="134"/>
      <c r="IX54" s="134"/>
      <c r="IY54" s="135"/>
      <c r="IZ54" s="135"/>
    </row>
    <row r="55" spans="1:260" s="119" customFormat="1" ht="17" customHeight="1">
      <c r="A55" s="79" t="s">
        <v>211</v>
      </c>
      <c r="B55" s="418">
        <v>156</v>
      </c>
      <c r="C55" s="117"/>
      <c r="D55" s="117">
        <v>54</v>
      </c>
      <c r="E55" s="123" t="s">
        <v>1981</v>
      </c>
      <c r="F55" s="124" t="s">
        <v>2205</v>
      </c>
      <c r="G55" s="125">
        <v>2013</v>
      </c>
      <c r="H55" s="79">
        <v>24025760</v>
      </c>
      <c r="I55" s="79">
        <v>1</v>
      </c>
      <c r="J55" s="126"/>
      <c r="K55" s="127"/>
      <c r="L55" s="79">
        <v>1</v>
      </c>
      <c r="M55" s="79"/>
      <c r="N55" s="164">
        <v>1</v>
      </c>
      <c r="O55" s="128">
        <v>1</v>
      </c>
      <c r="P55" s="79"/>
      <c r="Q55" s="79" t="s">
        <v>1164</v>
      </c>
      <c r="R55" s="79" t="s">
        <v>25</v>
      </c>
      <c r="S55" s="79">
        <v>1</v>
      </c>
      <c r="T55" s="79"/>
      <c r="U55" s="79"/>
      <c r="V55" s="79"/>
      <c r="W55" s="79" t="s">
        <v>602</v>
      </c>
      <c r="X55" s="79" t="s">
        <v>33</v>
      </c>
      <c r="Y55" s="79"/>
      <c r="Z55" s="79"/>
      <c r="AA55" s="79"/>
      <c r="AB55" s="79"/>
      <c r="AC55" s="506" t="s">
        <v>6234</v>
      </c>
      <c r="AD55" s="573">
        <v>1</v>
      </c>
      <c r="AE55" s="573">
        <v>0</v>
      </c>
      <c r="AF55" s="154" t="s">
        <v>3003</v>
      </c>
      <c r="AG55" s="155" t="s">
        <v>6235</v>
      </c>
      <c r="AH55" s="121">
        <v>2</v>
      </c>
      <c r="AI55" s="484"/>
      <c r="AJ55" s="202"/>
      <c r="AK55" s="192"/>
      <c r="AL55" s="203"/>
      <c r="AM55" s="121"/>
      <c r="AN55" s="121"/>
      <c r="AO55" s="121"/>
      <c r="AP55" s="121"/>
      <c r="AQ55" s="121"/>
      <c r="AR55" s="121"/>
      <c r="AS55" s="121"/>
      <c r="AT55" s="121"/>
      <c r="AU55" s="121"/>
      <c r="AV55" s="121"/>
      <c r="AW55" s="121"/>
      <c r="AX55" s="121"/>
      <c r="AY55" s="121"/>
      <c r="AZ55" s="121"/>
      <c r="BA55" s="121"/>
      <c r="BB55" s="121"/>
      <c r="BC55" s="121"/>
      <c r="BD55" s="156"/>
      <c r="BE55" s="156"/>
      <c r="BF55" s="156"/>
      <c r="BG55" s="156"/>
      <c r="BH55" s="156"/>
      <c r="BI55" s="156"/>
      <c r="BJ55" s="156"/>
      <c r="BK55" s="156"/>
      <c r="BL55" s="156"/>
      <c r="BM55" s="156"/>
      <c r="BN55" s="156"/>
      <c r="BO55" s="156"/>
      <c r="BP55" s="156" t="s">
        <v>5545</v>
      </c>
      <c r="BQ55" s="157"/>
      <c r="BR55" s="134"/>
      <c r="BS55" s="134"/>
      <c r="BT55" s="134"/>
      <c r="BU55" s="134"/>
      <c r="BV55" s="134"/>
      <c r="BW55" s="259"/>
      <c r="BX55" s="138"/>
      <c r="BY55" s="134"/>
      <c r="BZ55" s="134"/>
      <c r="CA55" s="134"/>
      <c r="CB55" s="138"/>
      <c r="CC55" s="134"/>
      <c r="CD55" s="134"/>
      <c r="CE55" s="134"/>
      <c r="CF55" s="288"/>
      <c r="CG55" s="289"/>
      <c r="CH55" s="138"/>
      <c r="CI55" s="134"/>
      <c r="CJ55" s="134"/>
      <c r="CK55" s="134"/>
      <c r="CL55" s="138"/>
      <c r="CM55" s="134"/>
      <c r="CN55" s="134"/>
      <c r="CO55" s="134"/>
      <c r="CP55" s="288"/>
      <c r="CQ55" s="289"/>
      <c r="CR55" s="276"/>
      <c r="CS55" s="308"/>
      <c r="CT55" s="138"/>
      <c r="CU55" s="134"/>
      <c r="CV55" s="134"/>
      <c r="CW55" s="134"/>
      <c r="CX55" s="134"/>
      <c r="CY55" s="134"/>
      <c r="CZ55" s="134"/>
      <c r="DA55" s="134"/>
      <c r="DB55" s="300"/>
      <c r="DC55" s="301"/>
      <c r="DD55" s="134"/>
      <c r="DE55" s="134"/>
      <c r="DF55" s="134"/>
      <c r="DG55" s="134"/>
      <c r="DH55" s="134"/>
      <c r="DI55" s="134"/>
      <c r="DJ55" s="134"/>
      <c r="DK55" s="134"/>
      <c r="DL55" s="300"/>
      <c r="DM55" s="301"/>
      <c r="DN55" s="276"/>
      <c r="DO55" s="277"/>
      <c r="DP55" s="134"/>
      <c r="DQ55" s="134"/>
      <c r="DR55" s="134"/>
      <c r="DS55" s="134"/>
      <c r="DT55" s="138"/>
      <c r="DU55" s="134"/>
      <c r="DV55" s="134"/>
      <c r="DW55" s="134"/>
      <c r="DX55" s="301"/>
      <c r="DY55" s="301"/>
      <c r="DZ55" s="138"/>
      <c r="EA55" s="134"/>
      <c r="EB55" s="134"/>
      <c r="EC55" s="134"/>
      <c r="ED55" s="138"/>
      <c r="EE55" s="134"/>
      <c r="EF55" s="134"/>
      <c r="EG55" s="134"/>
      <c r="EH55" s="301"/>
      <c r="EI55" s="301"/>
      <c r="EJ55" s="277"/>
      <c r="EK55" s="134"/>
      <c r="EL55" s="134"/>
      <c r="EM55" s="134"/>
      <c r="EN55" s="134"/>
      <c r="EO55" s="134"/>
      <c r="EP55" s="134"/>
      <c r="EQ55" s="134"/>
      <c r="ER55" s="134"/>
      <c r="ES55" s="301"/>
      <c r="ET55" s="301"/>
      <c r="EU55" s="134"/>
      <c r="EV55" s="134"/>
      <c r="EW55" s="134"/>
      <c r="EX55" s="134"/>
      <c r="EY55" s="134"/>
      <c r="EZ55" s="134"/>
      <c r="FA55" s="134"/>
      <c r="FB55" s="134"/>
      <c r="FC55" s="135"/>
      <c r="FD55" s="135"/>
      <c r="FE55" s="134"/>
      <c r="FF55" s="134"/>
      <c r="FG55" s="134"/>
      <c r="FH55" s="134"/>
      <c r="FI55" s="134"/>
      <c r="FJ55" s="134"/>
      <c r="FK55" s="134"/>
      <c r="FL55" s="134"/>
      <c r="FM55" s="135"/>
      <c r="FN55" s="135"/>
      <c r="FO55" s="134"/>
      <c r="FP55" s="134"/>
      <c r="FQ55" s="134"/>
      <c r="FR55" s="134"/>
      <c r="FS55" s="134"/>
      <c r="FT55" s="134"/>
      <c r="FU55" s="134"/>
      <c r="FV55" s="134"/>
      <c r="FW55" s="135"/>
      <c r="FX55" s="135"/>
      <c r="FY55" s="134"/>
      <c r="FZ55" s="134"/>
      <c r="GA55" s="134"/>
      <c r="GB55" s="134"/>
      <c r="GC55" s="134"/>
      <c r="GD55" s="134"/>
      <c r="GE55" s="134"/>
      <c r="GF55" s="134"/>
      <c r="GG55" s="135"/>
      <c r="GH55" s="135"/>
      <c r="GI55" s="134"/>
      <c r="GJ55" s="134"/>
      <c r="GK55" s="134"/>
      <c r="GL55" s="134"/>
      <c r="GM55" s="134"/>
      <c r="GN55" s="134"/>
      <c r="GO55" s="134"/>
      <c r="GP55" s="134"/>
      <c r="GQ55" s="135"/>
      <c r="GR55" s="135"/>
      <c r="GS55" s="134"/>
      <c r="GT55" s="134"/>
      <c r="GU55" s="134"/>
      <c r="GV55" s="134"/>
      <c r="GW55" s="134"/>
      <c r="GX55" s="134"/>
      <c r="GY55" s="134"/>
      <c r="GZ55" s="134"/>
      <c r="HA55" s="135"/>
      <c r="HB55" s="135"/>
      <c r="HC55" s="134"/>
      <c r="HD55" s="134"/>
      <c r="HE55" s="134"/>
      <c r="HF55" s="134"/>
      <c r="HG55" s="134"/>
      <c r="HH55" s="134"/>
      <c r="HI55" s="134"/>
      <c r="HJ55" s="134"/>
      <c r="HK55" s="135"/>
      <c r="HL55" s="135"/>
      <c r="HM55" s="134"/>
      <c r="HN55" s="134"/>
      <c r="HO55" s="134"/>
      <c r="HP55" s="134"/>
      <c r="HQ55" s="134"/>
      <c r="HR55" s="134"/>
      <c r="HS55" s="134"/>
      <c r="HT55" s="134"/>
      <c r="HU55" s="135"/>
      <c r="HV55" s="135"/>
      <c r="HW55" s="134"/>
      <c r="HX55" s="134"/>
      <c r="HY55" s="134"/>
      <c r="HZ55" s="134"/>
      <c r="IA55" s="134"/>
      <c r="IB55" s="134"/>
      <c r="IC55" s="134"/>
      <c r="ID55" s="134"/>
      <c r="IE55" s="135"/>
      <c r="IF55" s="135"/>
      <c r="IG55" s="134"/>
      <c r="IH55" s="134"/>
      <c r="II55" s="134"/>
      <c r="IJ55" s="134"/>
      <c r="IK55" s="134"/>
      <c r="IL55" s="134"/>
      <c r="IM55" s="134"/>
      <c r="IN55" s="134"/>
      <c r="IO55" s="135"/>
      <c r="IP55" s="135"/>
      <c r="IQ55" s="134"/>
      <c r="IR55" s="134"/>
      <c r="IS55" s="134"/>
      <c r="IT55" s="134"/>
      <c r="IU55" s="134"/>
      <c r="IV55" s="134"/>
      <c r="IW55" s="134"/>
      <c r="IX55" s="134"/>
      <c r="IY55" s="135"/>
      <c r="IZ55" s="135"/>
    </row>
    <row r="56" spans="1:260" s="119" customFormat="1" ht="17" customHeight="1">
      <c r="A56" s="79" t="s">
        <v>1024</v>
      </c>
      <c r="B56" s="418">
        <v>157</v>
      </c>
      <c r="C56" s="117"/>
      <c r="D56" s="117">
        <v>55</v>
      </c>
      <c r="E56" s="123" t="s">
        <v>2090</v>
      </c>
      <c r="F56" s="124" t="s">
        <v>2345</v>
      </c>
      <c r="G56" s="125">
        <v>2009</v>
      </c>
      <c r="H56" s="79">
        <v>19167197</v>
      </c>
      <c r="I56" s="79">
        <v>1</v>
      </c>
      <c r="J56" s="126" t="s">
        <v>1856</v>
      </c>
      <c r="K56" s="127"/>
      <c r="L56" s="79">
        <v>0</v>
      </c>
      <c r="M56" s="79"/>
      <c r="N56" s="79">
        <v>0</v>
      </c>
      <c r="O56" s="128">
        <v>2</v>
      </c>
      <c r="P56" s="79" t="s">
        <v>1407</v>
      </c>
      <c r="Q56" s="79" t="s">
        <v>1264</v>
      </c>
      <c r="R56" s="79" t="s">
        <v>1127</v>
      </c>
      <c r="S56" s="79"/>
      <c r="T56" s="79" t="s">
        <v>1507</v>
      </c>
      <c r="U56" s="79" t="s">
        <v>803</v>
      </c>
      <c r="V56" s="79" t="s">
        <v>23</v>
      </c>
      <c r="W56" s="79" t="s">
        <v>1248</v>
      </c>
      <c r="X56" s="79"/>
      <c r="Y56" s="79" t="s">
        <v>1408</v>
      </c>
      <c r="Z56" s="79"/>
      <c r="AA56" s="79" t="s">
        <v>1664</v>
      </c>
      <c r="AB56" s="79" t="s">
        <v>1663</v>
      </c>
      <c r="AC56" s="506" t="s">
        <v>6236</v>
      </c>
      <c r="AD56" s="573">
        <v>1</v>
      </c>
      <c r="AE56" s="573">
        <v>1</v>
      </c>
      <c r="AF56" s="154"/>
      <c r="AG56" s="155"/>
      <c r="AH56" s="121">
        <v>4</v>
      </c>
      <c r="AI56" s="484"/>
      <c r="AJ56" s="202"/>
      <c r="AK56" s="192"/>
      <c r="AL56" s="203"/>
      <c r="AM56" s="121"/>
      <c r="AN56" s="121"/>
      <c r="AO56" s="121"/>
      <c r="AP56" s="121"/>
      <c r="AQ56" s="121"/>
      <c r="AR56" s="121"/>
      <c r="AS56" s="121"/>
      <c r="AT56" s="121"/>
      <c r="AU56" s="121"/>
      <c r="AV56" s="121"/>
      <c r="AW56" s="121"/>
      <c r="AX56" s="121"/>
      <c r="AY56" s="121"/>
      <c r="AZ56" s="121"/>
      <c r="BA56" s="121"/>
      <c r="BB56" s="121">
        <v>1</v>
      </c>
      <c r="BC56" s="121"/>
      <c r="BD56" s="156" t="s">
        <v>5207</v>
      </c>
      <c r="BE56" s="156"/>
      <c r="BF56" s="156"/>
      <c r="BG56" s="156"/>
      <c r="BH56" s="156"/>
      <c r="BI56" s="156"/>
      <c r="BJ56" s="156"/>
      <c r="BK56" s="156"/>
      <c r="BL56" s="156"/>
      <c r="BM56" s="156"/>
      <c r="BN56" s="156"/>
      <c r="BO56" s="156"/>
      <c r="BP56" s="156"/>
      <c r="BQ56" s="157"/>
      <c r="BR56" s="134"/>
      <c r="BS56" s="134"/>
      <c r="BT56" s="134"/>
      <c r="BU56" s="134"/>
      <c r="BV56" s="134"/>
      <c r="BW56" s="259"/>
      <c r="BX56" s="138"/>
      <c r="BY56" s="134"/>
      <c r="BZ56" s="134"/>
      <c r="CA56" s="134"/>
      <c r="CB56" s="138"/>
      <c r="CC56" s="134"/>
      <c r="CD56" s="134"/>
      <c r="CE56" s="134"/>
      <c r="CF56" s="288"/>
      <c r="CG56" s="289"/>
      <c r="CH56" s="138"/>
      <c r="CI56" s="134"/>
      <c r="CJ56" s="134"/>
      <c r="CK56" s="134"/>
      <c r="CL56" s="138"/>
      <c r="CM56" s="134"/>
      <c r="CN56" s="134"/>
      <c r="CO56" s="134"/>
      <c r="CP56" s="288"/>
      <c r="CQ56" s="289"/>
      <c r="CR56" s="276"/>
      <c r="CS56" s="308"/>
      <c r="CT56" s="138"/>
      <c r="CU56" s="134"/>
      <c r="CV56" s="134"/>
      <c r="CW56" s="134"/>
      <c r="CX56" s="134"/>
      <c r="CY56" s="134"/>
      <c r="CZ56" s="134"/>
      <c r="DA56" s="134"/>
      <c r="DB56" s="300"/>
      <c r="DC56" s="301"/>
      <c r="DD56" s="134"/>
      <c r="DE56" s="134"/>
      <c r="DF56" s="134"/>
      <c r="DG56" s="134"/>
      <c r="DH56" s="134"/>
      <c r="DI56" s="134"/>
      <c r="DJ56" s="134"/>
      <c r="DK56" s="134"/>
      <c r="DL56" s="300"/>
      <c r="DM56" s="301"/>
      <c r="DN56" s="276"/>
      <c r="DO56" s="277"/>
      <c r="DP56" s="134"/>
      <c r="DQ56" s="134"/>
      <c r="DR56" s="134"/>
      <c r="DS56" s="134"/>
      <c r="DT56" s="138"/>
      <c r="DU56" s="134"/>
      <c r="DV56" s="134"/>
      <c r="DW56" s="134"/>
      <c r="DX56" s="301"/>
      <c r="DY56" s="301"/>
      <c r="DZ56" s="138"/>
      <c r="EA56" s="134"/>
      <c r="EB56" s="134"/>
      <c r="EC56" s="134"/>
      <c r="ED56" s="138"/>
      <c r="EE56" s="134"/>
      <c r="EF56" s="134"/>
      <c r="EG56" s="134"/>
      <c r="EH56" s="301"/>
      <c r="EI56" s="301"/>
      <c r="EJ56" s="277"/>
      <c r="EK56" s="134"/>
      <c r="EL56" s="134"/>
      <c r="EM56" s="134"/>
      <c r="EN56" s="134"/>
      <c r="EO56" s="134"/>
      <c r="EP56" s="134"/>
      <c r="EQ56" s="134"/>
      <c r="ER56" s="134"/>
      <c r="ES56" s="301"/>
      <c r="ET56" s="301"/>
      <c r="EU56" s="134"/>
      <c r="EV56" s="134"/>
      <c r="EW56" s="134"/>
      <c r="EX56" s="134"/>
      <c r="EY56" s="134"/>
      <c r="EZ56" s="134"/>
      <c r="FA56" s="134"/>
      <c r="FB56" s="134"/>
      <c r="FC56" s="135"/>
      <c r="FD56" s="135"/>
      <c r="FE56" s="134"/>
      <c r="FF56" s="134"/>
      <c r="FG56" s="134"/>
      <c r="FH56" s="134"/>
      <c r="FI56" s="134"/>
      <c r="FJ56" s="134"/>
      <c r="FK56" s="134"/>
      <c r="FL56" s="134"/>
      <c r="FM56" s="135"/>
      <c r="FN56" s="135"/>
      <c r="FO56" s="134"/>
      <c r="FP56" s="134"/>
      <c r="FQ56" s="134"/>
      <c r="FR56" s="134"/>
      <c r="FS56" s="134"/>
      <c r="FT56" s="134"/>
      <c r="FU56" s="134"/>
      <c r="FV56" s="134"/>
      <c r="FW56" s="135"/>
      <c r="FX56" s="135"/>
      <c r="FY56" s="134"/>
      <c r="FZ56" s="134"/>
      <c r="GA56" s="134"/>
      <c r="GB56" s="134"/>
      <c r="GC56" s="134"/>
      <c r="GD56" s="134"/>
      <c r="GE56" s="134"/>
      <c r="GF56" s="134"/>
      <c r="GG56" s="135"/>
      <c r="GH56" s="135"/>
      <c r="GI56" s="134"/>
      <c r="GJ56" s="134"/>
      <c r="GK56" s="134"/>
      <c r="GL56" s="134"/>
      <c r="GM56" s="134"/>
      <c r="GN56" s="134"/>
      <c r="GO56" s="134"/>
      <c r="GP56" s="134"/>
      <c r="GQ56" s="135"/>
      <c r="GR56" s="135"/>
      <c r="GS56" s="134"/>
      <c r="GT56" s="134"/>
      <c r="GU56" s="134"/>
      <c r="GV56" s="134"/>
      <c r="GW56" s="134"/>
      <c r="GX56" s="134"/>
      <c r="GY56" s="134"/>
      <c r="GZ56" s="134"/>
      <c r="HA56" s="135"/>
      <c r="HB56" s="135"/>
      <c r="HC56" s="134"/>
      <c r="HD56" s="134"/>
      <c r="HE56" s="134"/>
      <c r="HF56" s="134"/>
      <c r="HG56" s="134"/>
      <c r="HH56" s="134"/>
      <c r="HI56" s="134"/>
      <c r="HJ56" s="134"/>
      <c r="HK56" s="135"/>
      <c r="HL56" s="135"/>
      <c r="HM56" s="134"/>
      <c r="HN56" s="134"/>
      <c r="HO56" s="134"/>
      <c r="HP56" s="134"/>
      <c r="HQ56" s="134"/>
      <c r="HR56" s="134"/>
      <c r="HS56" s="134"/>
      <c r="HT56" s="134"/>
      <c r="HU56" s="135"/>
      <c r="HV56" s="135"/>
      <c r="HW56" s="134"/>
      <c r="HX56" s="134"/>
      <c r="HY56" s="134"/>
      <c r="HZ56" s="134"/>
      <c r="IA56" s="134"/>
      <c r="IB56" s="134"/>
      <c r="IC56" s="134"/>
      <c r="ID56" s="134"/>
      <c r="IE56" s="135"/>
      <c r="IF56" s="135"/>
      <c r="IG56" s="134"/>
      <c r="IH56" s="134"/>
      <c r="II56" s="134"/>
      <c r="IJ56" s="134"/>
      <c r="IK56" s="134"/>
      <c r="IL56" s="134"/>
      <c r="IM56" s="134"/>
      <c r="IN56" s="134"/>
      <c r="IO56" s="135"/>
      <c r="IP56" s="135"/>
      <c r="IQ56" s="134"/>
      <c r="IR56" s="134"/>
      <c r="IS56" s="134"/>
      <c r="IT56" s="134"/>
      <c r="IU56" s="134"/>
      <c r="IV56" s="134"/>
      <c r="IW56" s="134"/>
      <c r="IX56" s="134"/>
      <c r="IY56" s="135"/>
      <c r="IZ56" s="135"/>
    </row>
    <row r="57" spans="1:260" s="119" customFormat="1" ht="17" customHeight="1">
      <c r="A57" s="79" t="s">
        <v>215</v>
      </c>
      <c r="B57" s="418">
        <v>160</v>
      </c>
      <c r="C57" s="117"/>
      <c r="D57" s="117">
        <v>56</v>
      </c>
      <c r="E57" s="123" t="s">
        <v>1983</v>
      </c>
      <c r="F57" s="124" t="s">
        <v>2207</v>
      </c>
      <c r="G57" s="125">
        <v>2016</v>
      </c>
      <c r="H57" s="79">
        <v>27722837</v>
      </c>
      <c r="I57" s="79">
        <v>1</v>
      </c>
      <c r="J57" s="126"/>
      <c r="K57" s="127"/>
      <c r="L57" s="79">
        <v>1</v>
      </c>
      <c r="M57" s="79"/>
      <c r="N57" s="79">
        <v>1</v>
      </c>
      <c r="O57" s="128">
        <v>1</v>
      </c>
      <c r="P57" s="79" t="s">
        <v>608</v>
      </c>
      <c r="Q57" s="79" t="s">
        <v>1158</v>
      </c>
      <c r="R57" s="79" t="s">
        <v>591</v>
      </c>
      <c r="S57" s="79">
        <v>1</v>
      </c>
      <c r="T57" s="79"/>
      <c r="U57" s="79"/>
      <c r="V57" s="79"/>
      <c r="W57" s="79" t="s">
        <v>610</v>
      </c>
      <c r="X57" s="79" t="s">
        <v>39</v>
      </c>
      <c r="Y57" s="79"/>
      <c r="Z57" s="79"/>
      <c r="AA57" s="79"/>
      <c r="AB57" s="79" t="s">
        <v>611</v>
      </c>
      <c r="AC57" s="506" t="s">
        <v>6238</v>
      </c>
      <c r="AD57" s="573">
        <v>1</v>
      </c>
      <c r="AE57" s="573">
        <v>0</v>
      </c>
      <c r="AF57" s="154"/>
      <c r="AG57" s="155"/>
      <c r="AH57" s="121">
        <v>2</v>
      </c>
      <c r="AI57" s="484"/>
      <c r="AJ57" s="202"/>
      <c r="AK57" s="192"/>
      <c r="AL57" s="203"/>
      <c r="AM57" s="121"/>
      <c r="AN57" s="121"/>
      <c r="AO57" s="121"/>
      <c r="AP57" s="121"/>
      <c r="AQ57" s="121"/>
      <c r="AR57" s="121"/>
      <c r="AS57" s="121"/>
      <c r="AT57" s="121"/>
      <c r="AU57" s="121"/>
      <c r="AV57" s="121"/>
      <c r="AW57" s="121"/>
      <c r="AX57" s="121"/>
      <c r="AY57" s="121"/>
      <c r="AZ57" s="121"/>
      <c r="BA57" s="121"/>
      <c r="BB57" s="121"/>
      <c r="BC57" s="121"/>
      <c r="BD57" s="156"/>
      <c r="BE57" s="156"/>
      <c r="BF57" s="156" t="s">
        <v>5207</v>
      </c>
      <c r="BG57" s="156" t="s">
        <v>6237</v>
      </c>
      <c r="BH57" s="156"/>
      <c r="BI57" s="156" t="s">
        <v>5207</v>
      </c>
      <c r="BJ57" s="156"/>
      <c r="BK57" s="156"/>
      <c r="BL57" s="156" t="s">
        <v>5207</v>
      </c>
      <c r="BM57" s="156"/>
      <c r="BN57" s="156"/>
      <c r="BO57" s="156"/>
      <c r="BP57" s="156"/>
      <c r="BQ57" s="157"/>
      <c r="BR57" s="134"/>
      <c r="BS57" s="134"/>
      <c r="BT57" s="134"/>
      <c r="BU57" s="134"/>
      <c r="BV57" s="134"/>
      <c r="BW57" s="259"/>
      <c r="BX57" s="138"/>
      <c r="BY57" s="134"/>
      <c r="BZ57" s="134"/>
      <c r="CA57" s="134"/>
      <c r="CB57" s="138"/>
      <c r="CC57" s="134"/>
      <c r="CD57" s="134"/>
      <c r="CE57" s="134"/>
      <c r="CF57" s="288"/>
      <c r="CG57" s="289"/>
      <c r="CH57" s="138"/>
      <c r="CI57" s="134"/>
      <c r="CJ57" s="134"/>
      <c r="CK57" s="134"/>
      <c r="CL57" s="138"/>
      <c r="CM57" s="134"/>
      <c r="CN57" s="134"/>
      <c r="CO57" s="134"/>
      <c r="CP57" s="288"/>
      <c r="CQ57" s="289"/>
      <c r="CR57" s="276"/>
      <c r="CS57" s="308"/>
      <c r="CT57" s="138"/>
      <c r="CU57" s="190"/>
      <c r="CV57" s="134"/>
      <c r="CW57" s="190"/>
      <c r="CX57" s="134"/>
      <c r="CY57" s="190"/>
      <c r="CZ57" s="134"/>
      <c r="DA57" s="190"/>
      <c r="DB57" s="300"/>
      <c r="DC57" s="301"/>
      <c r="DD57" s="134"/>
      <c r="DE57" s="134"/>
      <c r="DF57" s="134"/>
      <c r="DG57" s="134"/>
      <c r="DH57" s="134"/>
      <c r="DI57" s="134"/>
      <c r="DJ57" s="134"/>
      <c r="DK57" s="134"/>
      <c r="DL57" s="300"/>
      <c r="DM57" s="301"/>
      <c r="DN57" s="276"/>
      <c r="DO57" s="277"/>
      <c r="DP57" s="134"/>
      <c r="DQ57" s="134"/>
      <c r="DR57" s="134"/>
      <c r="DS57" s="134"/>
      <c r="DT57" s="138"/>
      <c r="DU57" s="134"/>
      <c r="DV57" s="134"/>
      <c r="DW57" s="134"/>
      <c r="DX57" s="301"/>
      <c r="DY57" s="301"/>
      <c r="DZ57" s="138"/>
      <c r="EA57" s="134"/>
      <c r="EB57" s="134"/>
      <c r="EC57" s="134"/>
      <c r="ED57" s="138"/>
      <c r="EE57" s="134"/>
      <c r="EF57" s="134"/>
      <c r="EG57" s="134"/>
      <c r="EH57" s="301"/>
      <c r="EI57" s="469"/>
      <c r="EJ57" s="277"/>
      <c r="EK57" s="134"/>
      <c r="EL57" s="134"/>
      <c r="EM57" s="134"/>
      <c r="EN57" s="134"/>
      <c r="EO57" s="134"/>
      <c r="EP57" s="134"/>
      <c r="EQ57" s="134"/>
      <c r="ER57" s="134"/>
      <c r="ES57" s="301"/>
      <c r="ET57" s="301"/>
      <c r="EU57" s="134"/>
      <c r="EV57" s="134"/>
      <c r="EW57" s="134"/>
      <c r="EX57" s="134"/>
      <c r="EY57" s="134"/>
      <c r="EZ57" s="134"/>
      <c r="FA57" s="134"/>
      <c r="FB57" s="134"/>
      <c r="FC57" s="135"/>
      <c r="FD57" s="135"/>
      <c r="FE57" s="134"/>
      <c r="FF57" s="134"/>
      <c r="FG57" s="134"/>
      <c r="FH57" s="134"/>
      <c r="FI57" s="134"/>
      <c r="FJ57" s="134"/>
      <c r="FK57" s="134"/>
      <c r="FL57" s="134"/>
      <c r="FM57" s="135"/>
      <c r="FN57" s="135"/>
      <c r="FO57" s="134"/>
      <c r="FP57" s="134"/>
      <c r="FQ57" s="134"/>
      <c r="FR57" s="134"/>
      <c r="FS57" s="134"/>
      <c r="FT57" s="134"/>
      <c r="FU57" s="134"/>
      <c r="FV57" s="134"/>
      <c r="FW57" s="135"/>
      <c r="FX57" s="135"/>
      <c r="FY57" s="134"/>
      <c r="FZ57" s="134"/>
      <c r="GA57" s="134"/>
      <c r="GB57" s="134"/>
      <c r="GC57" s="134"/>
      <c r="GD57" s="134"/>
      <c r="GE57" s="134"/>
      <c r="GF57" s="134"/>
      <c r="GG57" s="135"/>
      <c r="GH57" s="135"/>
      <c r="GI57" s="134"/>
      <c r="GJ57" s="134"/>
      <c r="GK57" s="134"/>
      <c r="GL57" s="134"/>
      <c r="GM57" s="134"/>
      <c r="GN57" s="134"/>
      <c r="GO57" s="134"/>
      <c r="GP57" s="134"/>
      <c r="GQ57" s="135"/>
      <c r="GR57" s="135"/>
      <c r="GS57" s="134"/>
      <c r="GT57" s="134"/>
      <c r="GU57" s="134"/>
      <c r="GV57" s="134"/>
      <c r="GW57" s="134"/>
      <c r="GX57" s="134"/>
      <c r="GY57" s="134"/>
      <c r="GZ57" s="134"/>
      <c r="HA57" s="135"/>
      <c r="HB57" s="135"/>
      <c r="HC57" s="134"/>
      <c r="HD57" s="134"/>
      <c r="HE57" s="134"/>
      <c r="HF57" s="134"/>
      <c r="HG57" s="134"/>
      <c r="HH57" s="134"/>
      <c r="HI57" s="134"/>
      <c r="HJ57" s="134"/>
      <c r="HK57" s="135"/>
      <c r="HL57" s="135"/>
      <c r="HM57" s="134"/>
      <c r="HN57" s="134"/>
      <c r="HO57" s="134"/>
      <c r="HP57" s="134"/>
      <c r="HQ57" s="134"/>
      <c r="HR57" s="134"/>
      <c r="HS57" s="134"/>
      <c r="HT57" s="134"/>
      <c r="HU57" s="135"/>
      <c r="HV57" s="135"/>
      <c r="HW57" s="134"/>
      <c r="HX57" s="134"/>
      <c r="HY57" s="134"/>
      <c r="HZ57" s="134"/>
      <c r="IA57" s="134"/>
      <c r="IB57" s="134"/>
      <c r="IC57" s="134"/>
      <c r="ID57" s="134"/>
      <c r="IE57" s="135"/>
      <c r="IF57" s="135"/>
      <c r="IG57" s="134"/>
      <c r="IH57" s="134"/>
      <c r="II57" s="134"/>
      <c r="IJ57" s="134"/>
      <c r="IK57" s="134"/>
      <c r="IL57" s="134"/>
      <c r="IM57" s="134"/>
      <c r="IN57" s="134"/>
      <c r="IO57" s="135"/>
      <c r="IP57" s="135"/>
      <c r="IQ57" s="134"/>
      <c r="IR57" s="134"/>
      <c r="IS57" s="134"/>
      <c r="IT57" s="134"/>
      <c r="IU57" s="134"/>
      <c r="IV57" s="134"/>
      <c r="IW57" s="134"/>
      <c r="IX57" s="134"/>
      <c r="IY57" s="135"/>
      <c r="IZ57" s="135"/>
    </row>
    <row r="58" spans="1:260" s="119" customFormat="1" ht="17" customHeight="1">
      <c r="A58" s="79" t="s">
        <v>216</v>
      </c>
      <c r="B58" s="418">
        <v>161</v>
      </c>
      <c r="C58" s="117"/>
      <c r="D58" s="117">
        <v>57</v>
      </c>
      <c r="E58" s="123" t="s">
        <v>1983</v>
      </c>
      <c r="F58" s="124" t="s">
        <v>2208</v>
      </c>
      <c r="G58" s="125">
        <v>2016</v>
      </c>
      <c r="H58" s="79">
        <v>26645740</v>
      </c>
      <c r="I58" s="79">
        <v>1</v>
      </c>
      <c r="J58" s="126"/>
      <c r="K58" s="127"/>
      <c r="L58" s="79">
        <v>1</v>
      </c>
      <c r="M58" s="79"/>
      <c r="N58" s="79">
        <v>1</v>
      </c>
      <c r="O58" s="128">
        <v>1</v>
      </c>
      <c r="P58" s="79" t="s">
        <v>608</v>
      </c>
      <c r="Q58" s="79" t="s">
        <v>1158</v>
      </c>
      <c r="R58" s="79" t="s">
        <v>591</v>
      </c>
      <c r="S58" s="79">
        <v>1</v>
      </c>
      <c r="T58" s="79"/>
      <c r="U58" s="79"/>
      <c r="V58" s="79"/>
      <c r="W58" s="79" t="s">
        <v>610</v>
      </c>
      <c r="X58" s="79" t="s">
        <v>39</v>
      </c>
      <c r="Y58" s="79"/>
      <c r="Z58" s="79"/>
      <c r="AA58" s="79"/>
      <c r="AB58" s="79" t="s">
        <v>611</v>
      </c>
      <c r="AC58" s="506" t="s">
        <v>6239</v>
      </c>
      <c r="AD58" s="573">
        <v>1</v>
      </c>
      <c r="AE58" s="573">
        <v>0</v>
      </c>
      <c r="AF58" s="154"/>
      <c r="AG58" s="155"/>
      <c r="AH58" s="121">
        <v>2</v>
      </c>
      <c r="AI58" s="484"/>
      <c r="AJ58" s="202"/>
      <c r="AK58" s="192"/>
      <c r="AL58" s="203"/>
      <c r="AM58" s="121"/>
      <c r="AN58" s="121"/>
      <c r="AO58" s="121"/>
      <c r="AP58" s="121"/>
      <c r="AQ58" s="121"/>
      <c r="AR58" s="121"/>
      <c r="AS58" s="121"/>
      <c r="AT58" s="121"/>
      <c r="AU58" s="121"/>
      <c r="AV58" s="121"/>
      <c r="AW58" s="121"/>
      <c r="AX58" s="121"/>
      <c r="AY58" s="121"/>
      <c r="AZ58" s="121"/>
      <c r="BA58" s="121"/>
      <c r="BB58" s="121"/>
      <c r="BC58" s="121"/>
      <c r="BD58" s="156"/>
      <c r="BE58" s="156"/>
      <c r="BF58" s="156"/>
      <c r="BG58" s="156"/>
      <c r="BH58" s="156"/>
      <c r="BI58" s="156"/>
      <c r="BJ58" s="156"/>
      <c r="BK58" s="156"/>
      <c r="BL58" s="156" t="s">
        <v>5207</v>
      </c>
      <c r="BM58" s="156"/>
      <c r="BN58" s="156"/>
      <c r="BO58" s="156"/>
      <c r="BP58" s="156"/>
      <c r="BQ58" s="157"/>
      <c r="BR58" s="134"/>
      <c r="BS58" s="134"/>
      <c r="BT58" s="134"/>
      <c r="BU58" s="134"/>
      <c r="BV58" s="134"/>
      <c r="BW58" s="259"/>
      <c r="BX58" s="138"/>
      <c r="BY58" s="134"/>
      <c r="BZ58" s="134"/>
      <c r="CA58" s="134"/>
      <c r="CB58" s="138"/>
      <c r="CC58" s="134"/>
      <c r="CD58" s="134"/>
      <c r="CE58" s="134"/>
      <c r="CF58" s="288"/>
      <c r="CG58" s="289"/>
      <c r="CH58" s="138"/>
      <c r="CI58" s="134"/>
      <c r="CJ58" s="134"/>
      <c r="CK58" s="134"/>
      <c r="CL58" s="138"/>
      <c r="CM58" s="134"/>
      <c r="CN58" s="134"/>
      <c r="CO58" s="134"/>
      <c r="CP58" s="288"/>
      <c r="CQ58" s="289"/>
      <c r="CR58" s="276"/>
      <c r="CS58" s="308"/>
      <c r="CT58" s="138"/>
      <c r="CU58" s="134"/>
      <c r="CV58" s="134"/>
      <c r="CW58" s="134"/>
      <c r="CX58" s="134"/>
      <c r="CY58" s="134"/>
      <c r="CZ58" s="134"/>
      <c r="DA58" s="190"/>
      <c r="DB58" s="300"/>
      <c r="DC58" s="301"/>
      <c r="DD58" s="134"/>
      <c r="DE58" s="134"/>
      <c r="DF58" s="134"/>
      <c r="DG58" s="134"/>
      <c r="DH58" s="134"/>
      <c r="DI58" s="134"/>
      <c r="DJ58" s="134"/>
      <c r="DK58" s="134"/>
      <c r="DL58" s="300"/>
      <c r="DM58" s="301"/>
      <c r="DN58" s="276"/>
      <c r="DO58" s="277"/>
      <c r="DP58" s="134"/>
      <c r="DQ58" s="134"/>
      <c r="DR58" s="134"/>
      <c r="DS58" s="134"/>
      <c r="DT58" s="138"/>
      <c r="DU58" s="134"/>
      <c r="DV58" s="134"/>
      <c r="DW58" s="134"/>
      <c r="DX58" s="301"/>
      <c r="DY58" s="301"/>
      <c r="DZ58" s="138"/>
      <c r="EA58" s="134"/>
      <c r="EB58" s="134"/>
      <c r="EC58" s="134"/>
      <c r="ED58" s="138"/>
      <c r="EE58" s="134"/>
      <c r="EF58" s="134"/>
      <c r="EG58" s="134"/>
      <c r="EH58" s="301"/>
      <c r="EI58" s="301"/>
      <c r="EJ58" s="277"/>
      <c r="EK58" s="134"/>
      <c r="EL58" s="134"/>
      <c r="EM58" s="134"/>
      <c r="EN58" s="134"/>
      <c r="EO58" s="134"/>
      <c r="EP58" s="134"/>
      <c r="EQ58" s="134"/>
      <c r="ER58" s="134"/>
      <c r="ES58" s="301"/>
      <c r="ET58" s="301"/>
      <c r="EU58" s="134"/>
      <c r="EV58" s="134"/>
      <c r="EW58" s="134"/>
      <c r="EX58" s="134"/>
      <c r="EY58" s="134"/>
      <c r="EZ58" s="134"/>
      <c r="FA58" s="134"/>
      <c r="FB58" s="134"/>
      <c r="FC58" s="135"/>
      <c r="FD58" s="135"/>
      <c r="FE58" s="134"/>
      <c r="FF58" s="134"/>
      <c r="FG58" s="134"/>
      <c r="FH58" s="134"/>
      <c r="FI58" s="134"/>
      <c r="FJ58" s="134"/>
      <c r="FK58" s="134"/>
      <c r="FL58" s="134"/>
      <c r="FM58" s="135"/>
      <c r="FN58" s="135"/>
      <c r="FO58" s="134"/>
      <c r="FP58" s="134"/>
      <c r="FQ58" s="134"/>
      <c r="FR58" s="134"/>
      <c r="FS58" s="134"/>
      <c r="FT58" s="134"/>
      <c r="FU58" s="134"/>
      <c r="FV58" s="134"/>
      <c r="FW58" s="135"/>
      <c r="FX58" s="135"/>
      <c r="FY58" s="134"/>
      <c r="FZ58" s="134"/>
      <c r="GA58" s="134"/>
      <c r="GB58" s="134"/>
      <c r="GC58" s="134"/>
      <c r="GD58" s="134"/>
      <c r="GE58" s="134"/>
      <c r="GF58" s="134"/>
      <c r="GG58" s="135"/>
      <c r="GH58" s="135"/>
      <c r="GI58" s="134"/>
      <c r="GJ58" s="134"/>
      <c r="GK58" s="134"/>
      <c r="GL58" s="134"/>
      <c r="GM58" s="134"/>
      <c r="GN58" s="134"/>
      <c r="GO58" s="134"/>
      <c r="GP58" s="134"/>
      <c r="GQ58" s="135"/>
      <c r="GR58" s="135"/>
      <c r="GS58" s="134"/>
      <c r="GT58" s="134"/>
      <c r="GU58" s="134"/>
      <c r="GV58" s="134"/>
      <c r="GW58" s="134"/>
      <c r="GX58" s="134"/>
      <c r="GY58" s="134"/>
      <c r="GZ58" s="134"/>
      <c r="HA58" s="135"/>
      <c r="HB58" s="135"/>
      <c r="HC58" s="134"/>
      <c r="HD58" s="134"/>
      <c r="HE58" s="134"/>
      <c r="HF58" s="134"/>
      <c r="HG58" s="134"/>
      <c r="HH58" s="134"/>
      <c r="HI58" s="134"/>
      <c r="HJ58" s="134"/>
      <c r="HK58" s="135"/>
      <c r="HL58" s="135"/>
      <c r="HM58" s="134"/>
      <c r="HN58" s="134"/>
      <c r="HO58" s="134"/>
      <c r="HP58" s="134"/>
      <c r="HQ58" s="134"/>
      <c r="HR58" s="134"/>
      <c r="HS58" s="134"/>
      <c r="HT58" s="134"/>
      <c r="HU58" s="135"/>
      <c r="HV58" s="135"/>
      <c r="HW58" s="134"/>
      <c r="HX58" s="134"/>
      <c r="HY58" s="134"/>
      <c r="HZ58" s="134"/>
      <c r="IA58" s="134"/>
      <c r="IB58" s="134"/>
      <c r="IC58" s="134"/>
      <c r="ID58" s="134"/>
      <c r="IE58" s="135"/>
      <c r="IF58" s="135"/>
      <c r="IG58" s="134"/>
      <c r="IH58" s="134"/>
      <c r="II58" s="134"/>
      <c r="IJ58" s="134"/>
      <c r="IK58" s="134"/>
      <c r="IL58" s="134"/>
      <c r="IM58" s="134"/>
      <c r="IN58" s="134"/>
      <c r="IO58" s="135"/>
      <c r="IP58" s="135"/>
      <c r="IQ58" s="134"/>
      <c r="IR58" s="134"/>
      <c r="IS58" s="134"/>
      <c r="IT58" s="134"/>
      <c r="IU58" s="134"/>
      <c r="IV58" s="134"/>
      <c r="IW58" s="134"/>
      <c r="IX58" s="134"/>
      <c r="IY58" s="135"/>
      <c r="IZ58" s="135"/>
    </row>
    <row r="59" spans="1:260" s="119" customFormat="1" ht="17" customHeight="1">
      <c r="A59" s="79" t="s">
        <v>228</v>
      </c>
      <c r="B59" s="418">
        <v>167</v>
      </c>
      <c r="C59" s="117"/>
      <c r="D59" s="117">
        <v>58</v>
      </c>
      <c r="E59" s="123" t="s">
        <v>1989</v>
      </c>
      <c r="F59" s="124" t="s">
        <v>2215</v>
      </c>
      <c r="G59" s="125">
        <v>2009</v>
      </c>
      <c r="H59" s="79">
        <v>19091328</v>
      </c>
      <c r="I59" s="79">
        <v>1</v>
      </c>
      <c r="J59" s="126"/>
      <c r="K59" s="127"/>
      <c r="L59" s="79">
        <v>1</v>
      </c>
      <c r="M59" s="79"/>
      <c r="N59" s="79">
        <v>1</v>
      </c>
      <c r="O59" s="128">
        <v>1</v>
      </c>
      <c r="P59" s="79" t="s">
        <v>636</v>
      </c>
      <c r="Q59" s="79" t="s">
        <v>1158</v>
      </c>
      <c r="R59" s="79" t="s">
        <v>591</v>
      </c>
      <c r="S59" s="79">
        <v>1</v>
      </c>
      <c r="T59" s="79"/>
      <c r="U59" s="79"/>
      <c r="V59" s="79"/>
      <c r="W59" s="79" t="s">
        <v>637</v>
      </c>
      <c r="X59" s="79" t="s">
        <v>56</v>
      </c>
      <c r="Y59" s="79"/>
      <c r="Z59" s="79"/>
      <c r="AA59" s="79"/>
      <c r="AB59" s="79"/>
      <c r="AC59" s="506" t="s">
        <v>6241</v>
      </c>
      <c r="AD59" s="573">
        <v>1</v>
      </c>
      <c r="AE59" s="573">
        <v>0</v>
      </c>
      <c r="AF59" s="154"/>
      <c r="AG59" s="155"/>
      <c r="AH59" s="121">
        <v>2</v>
      </c>
      <c r="AI59" s="484"/>
      <c r="AJ59" s="202"/>
      <c r="AK59" s="192"/>
      <c r="AL59" s="203"/>
      <c r="AM59" s="121"/>
      <c r="AN59" s="121"/>
      <c r="AO59" s="121"/>
      <c r="AP59" s="121"/>
      <c r="AQ59" s="121"/>
      <c r="AR59" s="121"/>
      <c r="AS59" s="121"/>
      <c r="AT59" s="121"/>
      <c r="AU59" s="121"/>
      <c r="AV59" s="121"/>
      <c r="AW59" s="121"/>
      <c r="AX59" s="121"/>
      <c r="AY59" s="121"/>
      <c r="AZ59" s="121"/>
      <c r="BA59" s="121"/>
      <c r="BB59" s="121"/>
      <c r="BC59" s="121"/>
      <c r="BD59" s="156"/>
      <c r="BE59" s="156"/>
      <c r="BF59" s="156"/>
      <c r="BG59" s="156"/>
      <c r="BH59" s="156"/>
      <c r="BI59" s="156" t="s">
        <v>4727</v>
      </c>
      <c r="BJ59" s="156"/>
      <c r="BK59" s="156" t="s">
        <v>6240</v>
      </c>
      <c r="BL59" s="156" t="s">
        <v>5207</v>
      </c>
      <c r="BM59" s="156"/>
      <c r="BN59" s="156"/>
      <c r="BO59" s="156"/>
      <c r="BP59" s="156"/>
      <c r="BQ59" s="157"/>
      <c r="BR59" s="134"/>
      <c r="BS59" s="134"/>
      <c r="BT59" s="134"/>
      <c r="BU59" s="134"/>
      <c r="BV59" s="134"/>
      <c r="BW59" s="259"/>
      <c r="BX59" s="138"/>
      <c r="BY59" s="134"/>
      <c r="BZ59" s="134"/>
      <c r="CA59" s="134"/>
      <c r="CB59" s="138"/>
      <c r="CC59" s="134"/>
      <c r="CD59" s="134"/>
      <c r="CE59" s="134"/>
      <c r="CF59" s="288"/>
      <c r="CG59" s="289"/>
      <c r="CH59" s="138"/>
      <c r="CI59" s="134"/>
      <c r="CJ59" s="134"/>
      <c r="CK59" s="134"/>
      <c r="CL59" s="138"/>
      <c r="CM59" s="134"/>
      <c r="CN59" s="134"/>
      <c r="CO59" s="134"/>
      <c r="CP59" s="288"/>
      <c r="CQ59" s="289"/>
      <c r="CR59" s="276"/>
      <c r="CS59" s="308"/>
      <c r="CT59" s="138"/>
      <c r="CU59" s="134"/>
      <c r="CV59" s="134"/>
      <c r="CW59" s="134"/>
      <c r="CX59" s="134"/>
      <c r="CY59" s="134"/>
      <c r="CZ59" s="134"/>
      <c r="DA59" s="190"/>
      <c r="DB59" s="300"/>
      <c r="DC59" s="301"/>
      <c r="DD59" s="134"/>
      <c r="DE59" s="134"/>
      <c r="DF59" s="134"/>
      <c r="DG59" s="134"/>
      <c r="DH59" s="134"/>
      <c r="DI59" s="134"/>
      <c r="DJ59" s="134"/>
      <c r="DK59" s="134"/>
      <c r="DL59" s="300"/>
      <c r="DM59" s="301"/>
      <c r="DN59" s="276"/>
      <c r="DO59" s="277"/>
      <c r="DP59" s="134"/>
      <c r="DQ59" s="134"/>
      <c r="DR59" s="134"/>
      <c r="DS59" s="134"/>
      <c r="DT59" s="138"/>
      <c r="DU59" s="134"/>
      <c r="DV59" s="134"/>
      <c r="DW59" s="134"/>
      <c r="DX59" s="301"/>
      <c r="DY59" s="301"/>
      <c r="DZ59" s="138"/>
      <c r="EA59" s="134"/>
      <c r="EB59" s="134"/>
      <c r="EC59" s="134"/>
      <c r="ED59" s="138"/>
      <c r="EE59" s="134"/>
      <c r="EF59" s="134"/>
      <c r="EG59" s="134"/>
      <c r="EH59" s="301"/>
      <c r="EI59" s="301"/>
      <c r="EJ59" s="277"/>
      <c r="EK59" s="134"/>
      <c r="EL59" s="134"/>
      <c r="EM59" s="134"/>
      <c r="EN59" s="134"/>
      <c r="EO59" s="134"/>
      <c r="EP59" s="134"/>
      <c r="EQ59" s="134"/>
      <c r="ER59" s="134"/>
      <c r="ES59" s="301"/>
      <c r="ET59" s="301"/>
      <c r="EU59" s="134"/>
      <c r="EV59" s="134"/>
      <c r="EW59" s="134"/>
      <c r="EX59" s="134"/>
      <c r="EY59" s="134"/>
      <c r="EZ59" s="134"/>
      <c r="FA59" s="134"/>
      <c r="FB59" s="134"/>
      <c r="FC59" s="135"/>
      <c r="FD59" s="135"/>
      <c r="FE59" s="134"/>
      <c r="FF59" s="134"/>
      <c r="FG59" s="134"/>
      <c r="FH59" s="134"/>
      <c r="FI59" s="134"/>
      <c r="FJ59" s="134"/>
      <c r="FK59" s="134"/>
      <c r="FL59" s="134"/>
      <c r="FM59" s="135"/>
      <c r="FN59" s="135"/>
      <c r="FO59" s="134"/>
      <c r="FP59" s="134"/>
      <c r="FQ59" s="134"/>
      <c r="FR59" s="134"/>
      <c r="FS59" s="134"/>
      <c r="FT59" s="134"/>
      <c r="FU59" s="134"/>
      <c r="FV59" s="134"/>
      <c r="FW59" s="135"/>
      <c r="FX59" s="135"/>
      <c r="FY59" s="134"/>
      <c r="FZ59" s="134"/>
      <c r="GA59" s="134"/>
      <c r="GB59" s="134"/>
      <c r="GC59" s="134"/>
      <c r="GD59" s="134"/>
      <c r="GE59" s="134"/>
      <c r="GF59" s="134"/>
      <c r="GG59" s="135"/>
      <c r="GH59" s="135"/>
      <c r="GI59" s="134"/>
      <c r="GJ59" s="134"/>
      <c r="GK59" s="134"/>
      <c r="GL59" s="134"/>
      <c r="GM59" s="134"/>
      <c r="GN59" s="134"/>
      <c r="GO59" s="134"/>
      <c r="GP59" s="134"/>
      <c r="GQ59" s="135"/>
      <c r="GR59" s="135"/>
      <c r="GS59" s="134"/>
      <c r="GT59" s="134"/>
      <c r="GU59" s="134"/>
      <c r="GV59" s="134"/>
      <c r="GW59" s="134"/>
      <c r="GX59" s="134"/>
      <c r="GY59" s="134"/>
      <c r="GZ59" s="134"/>
      <c r="HA59" s="135"/>
      <c r="HB59" s="135"/>
      <c r="HC59" s="134"/>
      <c r="HD59" s="134"/>
      <c r="HE59" s="134"/>
      <c r="HF59" s="134"/>
      <c r="HG59" s="134"/>
      <c r="HH59" s="134"/>
      <c r="HI59" s="134"/>
      <c r="HJ59" s="134"/>
      <c r="HK59" s="135"/>
      <c r="HL59" s="135"/>
      <c r="HM59" s="134"/>
      <c r="HN59" s="134"/>
      <c r="HO59" s="134"/>
      <c r="HP59" s="134"/>
      <c r="HQ59" s="134"/>
      <c r="HR59" s="134"/>
      <c r="HS59" s="134"/>
      <c r="HT59" s="134"/>
      <c r="HU59" s="135"/>
      <c r="HV59" s="135"/>
      <c r="HW59" s="134"/>
      <c r="HX59" s="134"/>
      <c r="HY59" s="134"/>
      <c r="HZ59" s="134"/>
      <c r="IA59" s="134"/>
      <c r="IB59" s="134"/>
      <c r="IC59" s="134"/>
      <c r="ID59" s="134"/>
      <c r="IE59" s="135"/>
      <c r="IF59" s="135"/>
      <c r="IG59" s="134"/>
      <c r="IH59" s="134"/>
      <c r="II59" s="134"/>
      <c r="IJ59" s="134"/>
      <c r="IK59" s="134"/>
      <c r="IL59" s="134"/>
      <c r="IM59" s="134"/>
      <c r="IN59" s="134"/>
      <c r="IO59" s="135"/>
      <c r="IP59" s="135"/>
      <c r="IQ59" s="134"/>
      <c r="IR59" s="134"/>
      <c r="IS59" s="134"/>
      <c r="IT59" s="134"/>
      <c r="IU59" s="134"/>
      <c r="IV59" s="134"/>
      <c r="IW59" s="134"/>
      <c r="IX59" s="134"/>
      <c r="IY59" s="135"/>
      <c r="IZ59" s="135"/>
    </row>
    <row r="60" spans="1:260" customFormat="1" ht="17" customHeight="1">
      <c r="A60" s="79" t="s">
        <v>229</v>
      </c>
      <c r="B60" s="418">
        <v>168</v>
      </c>
      <c r="C60" s="117"/>
      <c r="D60" s="117">
        <v>59</v>
      </c>
      <c r="E60" s="123" t="s">
        <v>1989</v>
      </c>
      <c r="F60" s="124" t="s">
        <v>2216</v>
      </c>
      <c r="G60" s="125">
        <v>2011</v>
      </c>
      <c r="H60" s="79">
        <v>21545724</v>
      </c>
      <c r="I60" s="79">
        <v>1</v>
      </c>
      <c r="J60" s="126"/>
      <c r="K60" s="127"/>
      <c r="L60" s="79">
        <v>1</v>
      </c>
      <c r="M60" s="79"/>
      <c r="N60" s="79">
        <v>1</v>
      </c>
      <c r="O60" s="128">
        <v>1</v>
      </c>
      <c r="P60" s="79" t="s">
        <v>609</v>
      </c>
      <c r="Q60" s="79" t="s">
        <v>1158</v>
      </c>
      <c r="R60" s="79" t="s">
        <v>591</v>
      </c>
      <c r="S60" s="79">
        <v>1</v>
      </c>
      <c r="T60" s="79"/>
      <c r="U60" s="79"/>
      <c r="V60" s="79"/>
      <c r="W60" s="79" t="s">
        <v>610</v>
      </c>
      <c r="X60" s="79" t="s">
        <v>42</v>
      </c>
      <c r="Y60" s="79" t="s">
        <v>638</v>
      </c>
      <c r="Z60" s="79"/>
      <c r="AA60" s="79"/>
      <c r="AB60" s="79" t="s">
        <v>639</v>
      </c>
      <c r="AC60" s="506" t="s">
        <v>6242</v>
      </c>
      <c r="AD60" s="573">
        <v>1</v>
      </c>
      <c r="AE60" s="573">
        <v>0</v>
      </c>
      <c r="AF60" s="154"/>
      <c r="AG60" s="155"/>
      <c r="AH60" s="121">
        <v>2</v>
      </c>
      <c r="AI60" s="484"/>
      <c r="AJ60" s="202"/>
      <c r="AK60" s="192"/>
      <c r="AL60" s="203"/>
      <c r="AM60" s="121"/>
      <c r="AN60" s="121"/>
      <c r="AO60" s="121"/>
      <c r="AP60" s="121"/>
      <c r="AQ60" s="121"/>
      <c r="AR60" s="121"/>
      <c r="AS60" s="121"/>
      <c r="AT60" s="121"/>
      <c r="AU60" s="121"/>
      <c r="AV60" s="121"/>
      <c r="AW60" s="121"/>
      <c r="AX60" s="121"/>
      <c r="AY60" s="121"/>
      <c r="AZ60" s="121"/>
      <c r="BA60" s="121"/>
      <c r="BB60" s="121"/>
      <c r="BC60" s="121"/>
      <c r="BD60" s="156"/>
      <c r="BE60" s="156"/>
      <c r="BF60" s="156"/>
      <c r="BG60" s="156"/>
      <c r="BH60" s="156"/>
      <c r="BI60" s="156" t="s">
        <v>4727</v>
      </c>
      <c r="BJ60" s="156"/>
      <c r="BK60" s="156" t="s">
        <v>6243</v>
      </c>
      <c r="BL60" s="156" t="s">
        <v>5207</v>
      </c>
      <c r="BM60" s="156"/>
      <c r="BN60" s="156"/>
      <c r="BO60" s="156"/>
      <c r="BP60" s="156"/>
      <c r="BQ60" s="157"/>
      <c r="BR60" s="134"/>
      <c r="BS60" s="134"/>
      <c r="BT60" s="134"/>
      <c r="BU60" s="134"/>
      <c r="BV60" s="134"/>
      <c r="BW60" s="259"/>
      <c r="BX60" s="138"/>
      <c r="BY60" s="134"/>
      <c r="BZ60" s="134"/>
      <c r="CA60" s="134"/>
      <c r="CB60" s="138"/>
      <c r="CC60" s="134"/>
      <c r="CD60" s="134"/>
      <c r="CE60" s="134"/>
      <c r="CF60" s="288"/>
      <c r="CG60" s="289"/>
      <c r="CH60" s="138"/>
      <c r="CI60" s="134"/>
      <c r="CJ60" s="134"/>
      <c r="CK60" s="134"/>
      <c r="CL60" s="138"/>
      <c r="CM60" s="134"/>
      <c r="CN60" s="134"/>
      <c r="CO60" s="134"/>
      <c r="CP60" s="288"/>
      <c r="CQ60" s="289"/>
      <c r="CR60" s="276"/>
      <c r="CS60" s="308"/>
      <c r="CT60" s="138"/>
      <c r="CU60" s="134"/>
      <c r="CV60" s="134"/>
      <c r="CW60" s="134"/>
      <c r="CX60" s="134"/>
      <c r="CY60" s="134"/>
      <c r="CZ60" s="134"/>
      <c r="DA60" s="190"/>
      <c r="DB60" s="300"/>
      <c r="DC60" s="301"/>
      <c r="DD60" s="134"/>
      <c r="DE60" s="134"/>
      <c r="DF60" s="134"/>
      <c r="DG60" s="134"/>
      <c r="DH60" s="134"/>
      <c r="DI60" s="134"/>
      <c r="DJ60" s="134"/>
      <c r="DK60" s="134"/>
      <c r="DL60" s="300"/>
      <c r="DM60" s="301"/>
      <c r="DN60" s="276"/>
      <c r="DO60" s="277"/>
      <c r="DP60" s="134"/>
      <c r="DQ60" s="134"/>
      <c r="DR60" s="134"/>
      <c r="DS60" s="134"/>
      <c r="DT60" s="138"/>
      <c r="DU60" s="134"/>
      <c r="DV60" s="134"/>
      <c r="DW60" s="134"/>
      <c r="DX60" s="301"/>
      <c r="DY60" s="301"/>
      <c r="DZ60" s="138"/>
      <c r="EA60" s="134"/>
      <c r="EB60" s="134"/>
      <c r="EC60" s="134"/>
      <c r="ED60" s="138"/>
      <c r="EE60" s="134"/>
      <c r="EF60" s="134"/>
      <c r="EG60" s="134"/>
      <c r="EH60" s="301"/>
      <c r="EI60" s="301"/>
      <c r="EJ60" s="277"/>
      <c r="EK60" s="134"/>
      <c r="EL60" s="134"/>
      <c r="EM60" s="134"/>
      <c r="EN60" s="134"/>
      <c r="EO60" s="134"/>
      <c r="EP60" s="134"/>
      <c r="EQ60" s="134"/>
      <c r="ER60" s="134"/>
      <c r="ES60" s="301"/>
      <c r="ET60" s="301"/>
      <c r="EU60" s="134"/>
      <c r="EV60" s="134"/>
      <c r="EW60" s="134"/>
      <c r="EX60" s="134"/>
      <c r="EY60" s="134"/>
      <c r="EZ60" s="134"/>
      <c r="FA60" s="134"/>
      <c r="FB60" s="134"/>
      <c r="FC60" s="135"/>
      <c r="FD60" s="135"/>
      <c r="FE60" s="134"/>
      <c r="FF60" s="134"/>
      <c r="FG60" s="134"/>
      <c r="FH60" s="134"/>
      <c r="FI60" s="134"/>
      <c r="FJ60" s="134"/>
      <c r="FK60" s="134"/>
      <c r="FL60" s="134"/>
      <c r="FM60" s="135"/>
      <c r="FN60" s="135"/>
      <c r="FO60" s="134"/>
      <c r="FP60" s="134"/>
      <c r="FQ60" s="134"/>
      <c r="FR60" s="134"/>
      <c r="FS60" s="134"/>
      <c r="FT60" s="134"/>
      <c r="FU60" s="134"/>
      <c r="FV60" s="134"/>
      <c r="FW60" s="135"/>
      <c r="FX60" s="135"/>
      <c r="FY60" s="134"/>
      <c r="FZ60" s="134"/>
      <c r="GA60" s="134"/>
      <c r="GB60" s="134"/>
      <c r="GC60" s="134"/>
      <c r="GD60" s="134"/>
      <c r="GE60" s="134"/>
      <c r="GF60" s="134"/>
      <c r="GG60" s="135"/>
      <c r="GH60" s="135"/>
      <c r="GI60" s="134"/>
      <c r="GJ60" s="134"/>
      <c r="GK60" s="134"/>
      <c r="GL60" s="134"/>
      <c r="GM60" s="134"/>
      <c r="GN60" s="134"/>
      <c r="GO60" s="134"/>
      <c r="GP60" s="134"/>
      <c r="GQ60" s="135"/>
      <c r="GR60" s="135"/>
      <c r="GS60" s="134"/>
      <c r="GT60" s="134"/>
      <c r="GU60" s="134"/>
      <c r="GV60" s="134"/>
      <c r="GW60" s="134"/>
      <c r="GX60" s="134"/>
      <c r="GY60" s="134"/>
      <c r="GZ60" s="134"/>
      <c r="HA60" s="135"/>
      <c r="HB60" s="135"/>
      <c r="HC60" s="134"/>
      <c r="HD60" s="134"/>
      <c r="HE60" s="134"/>
      <c r="HF60" s="134"/>
      <c r="HG60" s="134"/>
      <c r="HH60" s="134"/>
      <c r="HI60" s="134"/>
      <c r="HJ60" s="134"/>
      <c r="HK60" s="135"/>
      <c r="HL60" s="135"/>
      <c r="HM60" s="134"/>
      <c r="HN60" s="134"/>
      <c r="HO60" s="134"/>
      <c r="HP60" s="134"/>
      <c r="HQ60" s="134"/>
      <c r="HR60" s="134"/>
      <c r="HS60" s="134"/>
      <c r="HT60" s="134"/>
      <c r="HU60" s="135"/>
      <c r="HV60" s="135"/>
      <c r="HW60" s="134"/>
      <c r="HX60" s="134"/>
      <c r="HY60" s="134"/>
      <c r="HZ60" s="134"/>
      <c r="IA60" s="134"/>
      <c r="IB60" s="134"/>
      <c r="IC60" s="134"/>
      <c r="ID60" s="134"/>
      <c r="IE60" s="135"/>
      <c r="IF60" s="135"/>
      <c r="IG60" s="134"/>
      <c r="IH60" s="134"/>
      <c r="II60" s="134"/>
      <c r="IJ60" s="134"/>
      <c r="IK60" s="134"/>
      <c r="IL60" s="134"/>
      <c r="IM60" s="134"/>
      <c r="IN60" s="134"/>
      <c r="IO60" s="135"/>
      <c r="IP60" s="135"/>
      <c r="IQ60" s="134"/>
      <c r="IR60" s="134"/>
      <c r="IS60" s="134"/>
      <c r="IT60" s="134"/>
      <c r="IU60" s="134"/>
      <c r="IV60" s="134"/>
      <c r="IW60" s="134"/>
      <c r="IX60" s="134"/>
      <c r="IY60" s="135"/>
      <c r="IZ60" s="135"/>
    </row>
    <row r="61" spans="1:260" customFormat="1" ht="17" customHeight="1">
      <c r="A61" s="79" t="s">
        <v>230</v>
      </c>
      <c r="B61" s="418">
        <v>169</v>
      </c>
      <c r="C61" s="117"/>
      <c r="D61" s="117">
        <v>60</v>
      </c>
      <c r="E61" s="123" t="s">
        <v>1989</v>
      </c>
      <c r="F61" s="124" t="s">
        <v>2217</v>
      </c>
      <c r="G61" s="125">
        <v>2008</v>
      </c>
      <c r="H61" s="79">
        <v>18093809</v>
      </c>
      <c r="I61" s="79">
        <v>1</v>
      </c>
      <c r="J61" s="126"/>
      <c r="K61" s="127"/>
      <c r="L61" s="79">
        <v>1</v>
      </c>
      <c r="M61" s="79"/>
      <c r="N61" s="79">
        <v>1</v>
      </c>
      <c r="O61" s="128">
        <v>1</v>
      </c>
      <c r="P61" s="79"/>
      <c r="Q61" s="79" t="s">
        <v>642</v>
      </c>
      <c r="R61" s="79" t="s">
        <v>376</v>
      </c>
      <c r="S61" s="79">
        <v>1</v>
      </c>
      <c r="T61" s="79"/>
      <c r="U61" s="79"/>
      <c r="V61" s="79"/>
      <c r="W61" s="79" t="s">
        <v>641</v>
      </c>
      <c r="X61" s="79" t="s">
        <v>56</v>
      </c>
      <c r="Y61" s="79"/>
      <c r="Z61" s="79"/>
      <c r="AA61" s="79"/>
      <c r="AB61" s="79" t="s">
        <v>640</v>
      </c>
      <c r="AC61" s="506" t="s">
        <v>6245</v>
      </c>
      <c r="AD61" s="573">
        <v>1</v>
      </c>
      <c r="AE61" s="573">
        <v>0</v>
      </c>
      <c r="AF61" s="154"/>
      <c r="AG61" s="155"/>
      <c r="AH61" s="121">
        <v>2</v>
      </c>
      <c r="AI61" s="484"/>
      <c r="AJ61" s="202"/>
      <c r="AK61" s="192"/>
      <c r="AL61" s="203"/>
      <c r="AM61" s="121"/>
      <c r="AN61" s="121"/>
      <c r="AO61" s="121"/>
      <c r="AP61" s="121"/>
      <c r="AQ61" s="121"/>
      <c r="AR61" s="121"/>
      <c r="AS61" s="121"/>
      <c r="AT61" s="121"/>
      <c r="AU61" s="121"/>
      <c r="AV61" s="121"/>
      <c r="AW61" s="121"/>
      <c r="AX61" s="121"/>
      <c r="AY61" s="121"/>
      <c r="AZ61" s="121"/>
      <c r="BA61" s="121"/>
      <c r="BB61" s="121"/>
      <c r="BC61" s="121"/>
      <c r="BD61" s="156"/>
      <c r="BE61" s="156"/>
      <c r="BF61" s="156"/>
      <c r="BG61" s="156"/>
      <c r="BH61" s="156"/>
      <c r="BI61" s="156" t="s">
        <v>4727</v>
      </c>
      <c r="BJ61" s="156"/>
      <c r="BK61" s="156"/>
      <c r="BL61" s="156"/>
      <c r="BM61" s="156"/>
      <c r="BN61" s="156"/>
      <c r="BO61" s="156"/>
      <c r="BP61" s="537" t="s">
        <v>6244</v>
      </c>
      <c r="BQ61" s="157"/>
      <c r="BR61" s="190"/>
      <c r="BS61" s="134"/>
      <c r="BT61" s="134"/>
      <c r="BU61" s="134"/>
      <c r="BV61" s="134"/>
      <c r="BW61" s="540"/>
      <c r="BX61" s="138"/>
      <c r="BY61" s="190"/>
      <c r="BZ61" s="134"/>
      <c r="CA61" s="190"/>
      <c r="CB61" s="138"/>
      <c r="CC61" s="190"/>
      <c r="CD61" s="134"/>
      <c r="CE61" s="389"/>
      <c r="CF61" s="288"/>
      <c r="CG61" s="289"/>
      <c r="CH61" s="439"/>
      <c r="CI61" s="190"/>
      <c r="CJ61" s="134"/>
      <c r="CK61" s="190"/>
      <c r="CL61" s="138"/>
      <c r="CM61" s="190"/>
      <c r="CN61" s="134"/>
      <c r="CO61" s="389"/>
      <c r="CP61" s="288"/>
      <c r="CQ61" s="441"/>
      <c r="CR61" s="479"/>
      <c r="CS61" s="308"/>
      <c r="CT61" s="138"/>
      <c r="CU61" s="190"/>
      <c r="CV61" s="134"/>
      <c r="CW61" s="190"/>
      <c r="CX61" s="134"/>
      <c r="CY61" s="190"/>
      <c r="CZ61" s="134"/>
      <c r="DA61" s="190"/>
      <c r="DB61" s="300"/>
      <c r="DC61" s="301"/>
      <c r="DD61" s="134"/>
      <c r="DE61" s="190"/>
      <c r="DF61" s="134"/>
      <c r="DG61" s="190"/>
      <c r="DH61" s="134"/>
      <c r="DI61" s="190"/>
      <c r="DJ61" s="134"/>
      <c r="DK61" s="190"/>
      <c r="DL61" s="300"/>
      <c r="DM61" s="301"/>
      <c r="DN61" s="317"/>
      <c r="DO61" s="318"/>
      <c r="DP61" s="190"/>
      <c r="DQ61" s="190"/>
      <c r="DR61" s="190"/>
      <c r="DS61" s="190"/>
      <c r="DT61" s="556"/>
      <c r="DU61" s="190"/>
      <c r="DV61" s="190"/>
      <c r="DW61" s="190"/>
      <c r="DX61" s="469"/>
      <c r="DY61" s="469"/>
      <c r="DZ61" s="556"/>
      <c r="EA61" s="190"/>
      <c r="EB61" s="190"/>
      <c r="EC61" s="190"/>
      <c r="ED61" s="556"/>
      <c r="EE61" s="190"/>
      <c r="EF61" s="190"/>
      <c r="EG61" s="190"/>
      <c r="EH61" s="469"/>
      <c r="EI61" s="469"/>
      <c r="EJ61" s="318"/>
      <c r="EK61" s="190"/>
      <c r="EL61" s="190"/>
      <c r="EM61" s="190"/>
      <c r="EN61" s="190"/>
      <c r="EO61" s="190"/>
      <c r="EP61" s="190"/>
      <c r="EQ61" s="190"/>
      <c r="ER61" s="190"/>
      <c r="ES61" s="469"/>
      <c r="ET61" s="469"/>
      <c r="EU61" s="190"/>
      <c r="EV61" s="190"/>
      <c r="EW61" s="190"/>
      <c r="EX61" s="190"/>
      <c r="EY61" s="134"/>
      <c r="EZ61" s="134"/>
      <c r="FA61" s="134"/>
      <c r="FB61" s="134"/>
      <c r="FC61" s="135"/>
      <c r="FD61" s="135"/>
      <c r="FE61" s="134"/>
      <c r="FF61" s="134"/>
      <c r="FG61" s="134"/>
      <c r="FH61" s="134"/>
      <c r="FI61" s="134"/>
      <c r="FJ61" s="134"/>
      <c r="FK61" s="134"/>
      <c r="FL61" s="134"/>
      <c r="FM61" s="135"/>
      <c r="FN61" s="135"/>
      <c r="FO61" s="134"/>
      <c r="FP61" s="134"/>
      <c r="FQ61" s="134"/>
      <c r="FR61" s="134"/>
      <c r="FS61" s="134"/>
      <c r="FT61" s="134"/>
      <c r="FU61" s="134"/>
      <c r="FV61" s="134"/>
      <c r="FW61" s="135"/>
      <c r="FX61" s="135"/>
      <c r="FY61" s="134"/>
      <c r="FZ61" s="134"/>
      <c r="GA61" s="134"/>
      <c r="GB61" s="134"/>
      <c r="GC61" s="134"/>
      <c r="GD61" s="134"/>
      <c r="GE61" s="134"/>
      <c r="GF61" s="134"/>
      <c r="GG61" s="135"/>
      <c r="GH61" s="135"/>
      <c r="GI61" s="134"/>
      <c r="GJ61" s="134"/>
      <c r="GK61" s="134"/>
      <c r="GL61" s="134"/>
      <c r="GM61" s="134"/>
      <c r="GN61" s="134"/>
      <c r="GO61" s="134"/>
      <c r="GP61" s="134"/>
      <c r="GQ61" s="135"/>
      <c r="GR61" s="135"/>
      <c r="GS61" s="134"/>
      <c r="GT61" s="134"/>
      <c r="GU61" s="134"/>
      <c r="GV61" s="134"/>
      <c r="GW61" s="134"/>
      <c r="GX61" s="134"/>
      <c r="GY61" s="134"/>
      <c r="GZ61" s="134"/>
      <c r="HA61" s="135"/>
      <c r="HB61" s="135"/>
      <c r="HC61" s="134"/>
      <c r="HD61" s="134"/>
      <c r="HE61" s="134"/>
      <c r="HF61" s="134"/>
      <c r="HG61" s="134"/>
      <c r="HH61" s="134"/>
      <c r="HI61" s="134"/>
      <c r="HJ61" s="134"/>
      <c r="HK61" s="135"/>
      <c r="HL61" s="135"/>
      <c r="HM61" s="134"/>
      <c r="HN61" s="134"/>
      <c r="HO61" s="134"/>
      <c r="HP61" s="134"/>
      <c r="HQ61" s="134"/>
      <c r="HR61" s="134"/>
      <c r="HS61" s="134"/>
      <c r="HT61" s="134"/>
      <c r="HU61" s="135"/>
      <c r="HV61" s="135"/>
      <c r="HW61" s="134"/>
      <c r="HX61" s="134"/>
      <c r="HY61" s="134"/>
      <c r="HZ61" s="134"/>
      <c r="IA61" s="134"/>
      <c r="IB61" s="134"/>
      <c r="IC61" s="134"/>
      <c r="ID61" s="134"/>
      <c r="IE61" s="135"/>
      <c r="IF61" s="135"/>
      <c r="IG61" s="134"/>
      <c r="IH61" s="134"/>
      <c r="II61" s="134"/>
      <c r="IJ61" s="134"/>
      <c r="IK61" s="134"/>
      <c r="IL61" s="134"/>
      <c r="IM61" s="134"/>
      <c r="IN61" s="134"/>
      <c r="IO61" s="135"/>
      <c r="IP61" s="135"/>
      <c r="IQ61" s="134"/>
      <c r="IR61" s="134"/>
      <c r="IS61" s="134"/>
      <c r="IT61" s="134"/>
      <c r="IU61" s="134"/>
      <c r="IV61" s="134"/>
      <c r="IW61" s="134"/>
      <c r="IX61" s="134"/>
      <c r="IY61" s="135"/>
      <c r="IZ61" s="135"/>
    </row>
    <row r="62" spans="1:260" customFormat="1" ht="17" customHeight="1">
      <c r="A62" s="79" t="s">
        <v>233</v>
      </c>
      <c r="B62" s="418">
        <v>170</v>
      </c>
      <c r="C62" s="117"/>
      <c r="D62" s="117">
        <v>61</v>
      </c>
      <c r="E62" s="123" t="s">
        <v>1991</v>
      </c>
      <c r="F62" s="124" t="s">
        <v>2219</v>
      </c>
      <c r="G62" s="125">
        <v>1997</v>
      </c>
      <c r="H62" s="79">
        <v>9403392</v>
      </c>
      <c r="I62" s="79">
        <v>1</v>
      </c>
      <c r="J62" s="170" t="s">
        <v>1777</v>
      </c>
      <c r="K62" s="127"/>
      <c r="L62" s="164">
        <v>1</v>
      </c>
      <c r="M62" s="79" t="s">
        <v>1746</v>
      </c>
      <c r="N62" s="164">
        <v>0</v>
      </c>
      <c r="O62" s="128">
        <v>1</v>
      </c>
      <c r="P62" s="79" t="s">
        <v>647</v>
      </c>
      <c r="Q62" s="79"/>
      <c r="R62" s="79" t="s">
        <v>644</v>
      </c>
      <c r="S62" s="79"/>
      <c r="T62" s="79"/>
      <c r="U62" s="79"/>
      <c r="V62" s="79"/>
      <c r="W62" s="79" t="s">
        <v>645</v>
      </c>
      <c r="X62" s="79"/>
      <c r="Y62" s="79"/>
      <c r="Z62" s="79"/>
      <c r="AA62" s="79"/>
      <c r="AB62" s="79" t="s">
        <v>646</v>
      </c>
      <c r="AC62" s="506" t="s">
        <v>645</v>
      </c>
      <c r="AD62" s="573">
        <v>1</v>
      </c>
      <c r="AE62" s="573">
        <v>0</v>
      </c>
      <c r="AF62" s="154"/>
      <c r="AG62" s="155"/>
      <c r="AH62" s="121"/>
      <c r="AI62" s="484"/>
      <c r="AJ62" s="202"/>
      <c r="AK62" s="192"/>
      <c r="AL62" s="203"/>
      <c r="AM62" s="121"/>
      <c r="AN62" s="121"/>
      <c r="AO62" s="121"/>
      <c r="AP62" s="121"/>
      <c r="AQ62" s="121"/>
      <c r="AR62" s="121"/>
      <c r="AS62" s="121"/>
      <c r="AT62" s="121"/>
      <c r="AU62" s="121"/>
      <c r="AV62" s="121"/>
      <c r="AW62" s="121"/>
      <c r="AX62" s="121"/>
      <c r="AY62" s="121"/>
      <c r="AZ62" s="121"/>
      <c r="BA62" s="121"/>
      <c r="BB62" s="121"/>
      <c r="BC62" s="121"/>
      <c r="BD62" s="156"/>
      <c r="BE62" s="156"/>
      <c r="BF62" s="156" t="s">
        <v>5207</v>
      </c>
      <c r="BG62" s="156" t="s">
        <v>6175</v>
      </c>
      <c r="BH62" s="156"/>
      <c r="BI62" s="156"/>
      <c r="BJ62" s="156"/>
      <c r="BK62" s="156"/>
      <c r="BL62" s="156" t="s">
        <v>4727</v>
      </c>
      <c r="BM62" s="156"/>
      <c r="BN62" s="156"/>
      <c r="BO62" s="156"/>
      <c r="BP62" s="156"/>
      <c r="BQ62" s="157"/>
      <c r="BR62" s="134"/>
      <c r="BS62" s="134"/>
      <c r="BT62" s="134"/>
      <c r="BU62" s="134"/>
      <c r="BV62" s="134"/>
      <c r="BW62" s="259"/>
      <c r="BX62" s="138"/>
      <c r="BY62" s="134"/>
      <c r="BZ62" s="134"/>
      <c r="CA62" s="134"/>
      <c r="CB62" s="138"/>
      <c r="CC62" s="134"/>
      <c r="CD62" s="134"/>
      <c r="CE62" s="134"/>
      <c r="CF62" s="288"/>
      <c r="CG62" s="289"/>
      <c r="CH62" s="138"/>
      <c r="CI62" s="134"/>
      <c r="CJ62" s="134"/>
      <c r="CK62" s="134"/>
      <c r="CL62" s="138"/>
      <c r="CM62" s="134"/>
      <c r="CN62" s="134"/>
      <c r="CO62" s="134"/>
      <c r="CP62" s="288"/>
      <c r="CQ62" s="289"/>
      <c r="CR62" s="276"/>
      <c r="CS62" s="308"/>
      <c r="CT62" s="138"/>
      <c r="CU62" s="134"/>
      <c r="CV62" s="134"/>
      <c r="CW62" s="134"/>
      <c r="CX62" s="134"/>
      <c r="CY62" s="134"/>
      <c r="CZ62" s="134"/>
      <c r="DA62" s="134"/>
      <c r="DB62" s="300"/>
      <c r="DC62" s="301"/>
      <c r="DD62" s="134"/>
      <c r="DE62" s="134"/>
      <c r="DF62" s="134"/>
      <c r="DG62" s="134"/>
      <c r="DH62" s="134"/>
      <c r="DI62" s="134"/>
      <c r="DJ62" s="134"/>
      <c r="DK62" s="134"/>
      <c r="DL62" s="300"/>
      <c r="DM62" s="301"/>
      <c r="DN62" s="276"/>
      <c r="DO62" s="277"/>
      <c r="DP62" s="134"/>
      <c r="DQ62" s="134"/>
      <c r="DR62" s="134"/>
      <c r="DS62" s="134"/>
      <c r="DT62" s="138"/>
      <c r="DU62" s="134"/>
      <c r="DV62" s="134"/>
      <c r="DW62" s="134"/>
      <c r="DX62" s="301"/>
      <c r="DY62" s="301"/>
      <c r="DZ62" s="138"/>
      <c r="EA62" s="134"/>
      <c r="EB62" s="134"/>
      <c r="EC62" s="134"/>
      <c r="ED62" s="138"/>
      <c r="EE62" s="134"/>
      <c r="EF62" s="134"/>
      <c r="EG62" s="134"/>
      <c r="EH62" s="301"/>
      <c r="EI62" s="301"/>
      <c r="EJ62" s="277"/>
      <c r="EK62" s="134"/>
      <c r="EL62" s="134"/>
      <c r="EM62" s="134"/>
      <c r="EN62" s="134"/>
      <c r="EO62" s="134"/>
      <c r="EP62" s="134"/>
      <c r="EQ62" s="134"/>
      <c r="ER62" s="134"/>
      <c r="ES62" s="301"/>
      <c r="ET62" s="301"/>
      <c r="EU62" s="134"/>
      <c r="EV62" s="134"/>
      <c r="EW62" s="134"/>
      <c r="EX62" s="134"/>
      <c r="EY62" s="134"/>
      <c r="EZ62" s="134"/>
      <c r="FA62" s="134"/>
      <c r="FB62" s="134"/>
      <c r="FC62" s="135"/>
      <c r="FD62" s="135"/>
      <c r="FE62" s="134"/>
      <c r="FF62" s="134"/>
      <c r="FG62" s="134"/>
      <c r="FH62" s="134"/>
      <c r="FI62" s="134"/>
      <c r="FJ62" s="134"/>
      <c r="FK62" s="134"/>
      <c r="FL62" s="134"/>
      <c r="FM62" s="135"/>
      <c r="FN62" s="135"/>
      <c r="FO62" s="134"/>
      <c r="FP62" s="134"/>
      <c r="FQ62" s="134"/>
      <c r="FR62" s="134"/>
      <c r="FS62" s="134"/>
      <c r="FT62" s="134"/>
      <c r="FU62" s="134"/>
      <c r="FV62" s="134"/>
      <c r="FW62" s="135"/>
      <c r="FX62" s="135"/>
      <c r="FY62" s="134"/>
      <c r="FZ62" s="134"/>
      <c r="GA62" s="134"/>
      <c r="GB62" s="134"/>
      <c r="GC62" s="134"/>
      <c r="GD62" s="134"/>
      <c r="GE62" s="134"/>
      <c r="GF62" s="134"/>
      <c r="GG62" s="135"/>
      <c r="GH62" s="135"/>
      <c r="GI62" s="134"/>
      <c r="GJ62" s="134"/>
      <c r="GK62" s="134"/>
      <c r="GL62" s="134"/>
      <c r="GM62" s="134"/>
      <c r="GN62" s="134"/>
      <c r="GO62" s="134"/>
      <c r="GP62" s="134"/>
      <c r="GQ62" s="135"/>
      <c r="GR62" s="135"/>
      <c r="GS62" s="134"/>
      <c r="GT62" s="134"/>
      <c r="GU62" s="134"/>
      <c r="GV62" s="134"/>
      <c r="GW62" s="134"/>
      <c r="GX62" s="134"/>
      <c r="GY62" s="134"/>
      <c r="GZ62" s="134"/>
      <c r="HA62" s="135"/>
      <c r="HB62" s="135"/>
      <c r="HC62" s="134"/>
      <c r="HD62" s="134"/>
      <c r="HE62" s="134"/>
      <c r="HF62" s="134"/>
      <c r="HG62" s="134"/>
      <c r="HH62" s="134"/>
      <c r="HI62" s="134"/>
      <c r="HJ62" s="134"/>
      <c r="HK62" s="135"/>
      <c r="HL62" s="135"/>
      <c r="HM62" s="134"/>
      <c r="HN62" s="134"/>
      <c r="HO62" s="134"/>
      <c r="HP62" s="134"/>
      <c r="HQ62" s="134"/>
      <c r="HR62" s="134"/>
      <c r="HS62" s="134"/>
      <c r="HT62" s="134"/>
      <c r="HU62" s="135"/>
      <c r="HV62" s="135"/>
      <c r="HW62" s="134"/>
      <c r="HX62" s="134"/>
      <c r="HY62" s="134"/>
      <c r="HZ62" s="134"/>
      <c r="IA62" s="134"/>
      <c r="IB62" s="134"/>
      <c r="IC62" s="134"/>
      <c r="ID62" s="134"/>
      <c r="IE62" s="135"/>
      <c r="IF62" s="135"/>
      <c r="IG62" s="134"/>
      <c r="IH62" s="134"/>
      <c r="II62" s="134"/>
      <c r="IJ62" s="134"/>
      <c r="IK62" s="134"/>
      <c r="IL62" s="134"/>
      <c r="IM62" s="134"/>
      <c r="IN62" s="134"/>
      <c r="IO62" s="135"/>
      <c r="IP62" s="135"/>
      <c r="IQ62" s="134"/>
      <c r="IR62" s="134"/>
      <c r="IS62" s="134"/>
      <c r="IT62" s="134"/>
      <c r="IU62" s="134"/>
      <c r="IV62" s="134"/>
      <c r="IW62" s="134"/>
      <c r="IX62" s="134"/>
      <c r="IY62" s="135"/>
      <c r="IZ62" s="135"/>
    </row>
    <row r="63" spans="1:260" customFormat="1" ht="17" customHeight="1">
      <c r="A63" s="79" t="s">
        <v>236</v>
      </c>
      <c r="B63" s="418">
        <v>172</v>
      </c>
      <c r="C63" s="117"/>
      <c r="D63" s="117">
        <v>62</v>
      </c>
      <c r="E63" s="123" t="s">
        <v>1992</v>
      </c>
      <c r="F63" s="124" t="s">
        <v>2221</v>
      </c>
      <c r="G63" s="125">
        <v>2016</v>
      </c>
      <c r="H63" s="79">
        <v>27594113</v>
      </c>
      <c r="I63" s="79">
        <v>1</v>
      </c>
      <c r="J63" s="126"/>
      <c r="K63" s="127"/>
      <c r="L63" s="79">
        <v>1</v>
      </c>
      <c r="M63" s="79"/>
      <c r="N63" s="173">
        <v>1</v>
      </c>
      <c r="O63" s="128">
        <v>1</v>
      </c>
      <c r="P63" s="79" t="s">
        <v>651</v>
      </c>
      <c r="Q63" s="79"/>
      <c r="R63" s="79" t="s">
        <v>591</v>
      </c>
      <c r="S63" s="79">
        <v>1</v>
      </c>
      <c r="T63" s="79"/>
      <c r="U63" s="79"/>
      <c r="V63" s="79"/>
      <c r="W63" s="79" t="s">
        <v>650</v>
      </c>
      <c r="X63" s="79"/>
      <c r="Y63" s="79"/>
      <c r="Z63" s="79"/>
      <c r="AA63" s="79"/>
      <c r="AB63" s="79" t="s">
        <v>649</v>
      </c>
      <c r="AC63" s="506" t="s">
        <v>6247</v>
      </c>
      <c r="AD63" s="573">
        <v>1</v>
      </c>
      <c r="AE63" s="573">
        <v>0</v>
      </c>
      <c r="AF63" s="154" t="s">
        <v>3003</v>
      </c>
      <c r="AG63" s="155" t="s">
        <v>6248</v>
      </c>
      <c r="AH63" s="121">
        <v>2</v>
      </c>
      <c r="AI63" s="484"/>
      <c r="AJ63" s="202"/>
      <c r="AK63" s="192"/>
      <c r="AL63" s="203"/>
      <c r="AM63" s="121"/>
      <c r="AN63" s="121"/>
      <c r="AO63" s="121"/>
      <c r="AP63" s="121"/>
      <c r="AQ63" s="121"/>
      <c r="AR63" s="121"/>
      <c r="AS63" s="121"/>
      <c r="AT63" s="121"/>
      <c r="AU63" s="121"/>
      <c r="AV63" s="121"/>
      <c r="AW63" s="121"/>
      <c r="AX63" s="121"/>
      <c r="AY63" s="121"/>
      <c r="AZ63" s="121"/>
      <c r="BA63" s="121"/>
      <c r="BB63" s="121"/>
      <c r="BC63" s="121"/>
      <c r="BD63" s="578"/>
      <c r="BE63" s="156" t="s">
        <v>6246</v>
      </c>
      <c r="BF63" s="156"/>
      <c r="BG63" s="156"/>
      <c r="BH63" s="156"/>
      <c r="BI63" s="156"/>
      <c r="BJ63" s="156"/>
      <c r="BK63" s="156"/>
      <c r="BL63" s="156"/>
      <c r="BM63" s="156"/>
      <c r="BN63" s="156"/>
      <c r="BO63" s="156"/>
      <c r="BP63" s="156"/>
      <c r="BQ63" s="157"/>
      <c r="BR63" s="134"/>
      <c r="BS63" s="134"/>
      <c r="BT63" s="134"/>
      <c r="BU63" s="134"/>
      <c r="BV63" s="134"/>
      <c r="BW63" s="259"/>
      <c r="BX63" s="138"/>
      <c r="BY63" s="134"/>
      <c r="BZ63" s="134"/>
      <c r="CA63" s="134"/>
      <c r="CB63" s="138"/>
      <c r="CC63" s="134"/>
      <c r="CD63" s="134"/>
      <c r="CE63" s="134"/>
      <c r="CF63" s="288"/>
      <c r="CG63" s="289"/>
      <c r="CH63" s="138"/>
      <c r="CI63" s="134"/>
      <c r="CJ63" s="134"/>
      <c r="CK63" s="134"/>
      <c r="CL63" s="138"/>
      <c r="CM63" s="134"/>
      <c r="CN63" s="134"/>
      <c r="CO63" s="134"/>
      <c r="CP63" s="288"/>
      <c r="CQ63" s="289"/>
      <c r="CR63" s="276"/>
      <c r="CS63" s="308"/>
      <c r="CT63" s="138"/>
      <c r="CU63" s="134"/>
      <c r="CV63" s="134"/>
      <c r="CW63" s="134"/>
      <c r="CX63" s="134"/>
      <c r="CY63" s="134"/>
      <c r="CZ63" s="134"/>
      <c r="DA63" s="134"/>
      <c r="DB63" s="300"/>
      <c r="DC63" s="301"/>
      <c r="DD63" s="134"/>
      <c r="DE63" s="134"/>
      <c r="DF63" s="134"/>
      <c r="DG63" s="134"/>
      <c r="DH63" s="134"/>
      <c r="DI63" s="134"/>
      <c r="DJ63" s="134"/>
      <c r="DK63" s="134"/>
      <c r="DL63" s="300"/>
      <c r="DM63" s="301"/>
      <c r="DN63" s="276"/>
      <c r="DO63" s="277"/>
      <c r="DP63" s="134"/>
      <c r="DQ63" s="134"/>
      <c r="DR63" s="134"/>
      <c r="DS63" s="134"/>
      <c r="DT63" s="138"/>
      <c r="DU63" s="134"/>
      <c r="DV63" s="134"/>
      <c r="DW63" s="134"/>
      <c r="DX63" s="301"/>
      <c r="DY63" s="301"/>
      <c r="DZ63" s="138"/>
      <c r="EA63" s="134"/>
      <c r="EB63" s="134"/>
      <c r="EC63" s="134"/>
      <c r="ED63" s="138"/>
      <c r="EE63" s="134"/>
      <c r="EF63" s="134"/>
      <c r="EG63" s="134"/>
      <c r="EH63" s="301"/>
      <c r="EI63" s="301"/>
      <c r="EJ63" s="447"/>
      <c r="EK63" s="134"/>
      <c r="EL63" s="134"/>
      <c r="EM63" s="134"/>
      <c r="EN63" s="134"/>
      <c r="EO63" s="134"/>
      <c r="EP63" s="134"/>
      <c r="EQ63" s="134"/>
      <c r="ER63" s="134"/>
      <c r="ES63" s="301"/>
      <c r="ET63" s="301"/>
      <c r="EU63" s="134"/>
      <c r="EV63" s="134"/>
      <c r="EW63" s="134"/>
      <c r="EX63" s="134"/>
      <c r="EY63" s="134"/>
      <c r="EZ63" s="134"/>
      <c r="FA63" s="134"/>
      <c r="FB63" s="134"/>
      <c r="FC63" s="135"/>
      <c r="FD63" s="135"/>
      <c r="FE63" s="134"/>
      <c r="FF63" s="134"/>
      <c r="FG63" s="134"/>
      <c r="FH63" s="134"/>
      <c r="FI63" s="134"/>
      <c r="FJ63" s="134"/>
      <c r="FK63" s="134"/>
      <c r="FL63" s="134"/>
      <c r="FM63" s="135"/>
      <c r="FN63" s="135"/>
      <c r="FO63" s="134"/>
      <c r="FP63" s="134"/>
      <c r="FQ63" s="134"/>
      <c r="FR63" s="134"/>
      <c r="FS63" s="134"/>
      <c r="FT63" s="134"/>
      <c r="FU63" s="134"/>
      <c r="FV63" s="134"/>
      <c r="FW63" s="135"/>
      <c r="FX63" s="135"/>
      <c r="FY63" s="134"/>
      <c r="FZ63" s="134"/>
      <c r="GA63" s="134"/>
      <c r="GB63" s="134"/>
      <c r="GC63" s="134"/>
      <c r="GD63" s="134"/>
      <c r="GE63" s="134"/>
      <c r="GF63" s="134"/>
      <c r="GG63" s="135"/>
      <c r="GH63" s="135"/>
      <c r="GI63" s="134"/>
      <c r="GJ63" s="134"/>
      <c r="GK63" s="134"/>
      <c r="GL63" s="134"/>
      <c r="GM63" s="134"/>
      <c r="GN63" s="134"/>
      <c r="GO63" s="134"/>
      <c r="GP63" s="134"/>
      <c r="GQ63" s="135"/>
      <c r="GR63" s="135"/>
      <c r="GS63" s="134"/>
      <c r="GT63" s="134"/>
      <c r="GU63" s="134"/>
      <c r="GV63" s="134"/>
      <c r="GW63" s="134"/>
      <c r="GX63" s="134"/>
      <c r="GY63" s="134"/>
      <c r="GZ63" s="134"/>
      <c r="HA63" s="135"/>
      <c r="HB63" s="135"/>
      <c r="HC63" s="134"/>
      <c r="HD63" s="134"/>
      <c r="HE63" s="134"/>
      <c r="HF63" s="134"/>
      <c r="HG63" s="134"/>
      <c r="HH63" s="134"/>
      <c r="HI63" s="134"/>
      <c r="HJ63" s="134"/>
      <c r="HK63" s="135"/>
      <c r="HL63" s="135"/>
      <c r="HM63" s="134"/>
      <c r="HN63" s="134"/>
      <c r="HO63" s="134"/>
      <c r="HP63" s="134"/>
      <c r="HQ63" s="134"/>
      <c r="HR63" s="134"/>
      <c r="HS63" s="134"/>
      <c r="HT63" s="134"/>
      <c r="HU63" s="135"/>
      <c r="HV63" s="135"/>
      <c r="HW63" s="134"/>
      <c r="HX63" s="134"/>
      <c r="HY63" s="134"/>
      <c r="HZ63" s="134"/>
      <c r="IA63" s="134"/>
      <c r="IB63" s="134"/>
      <c r="IC63" s="134"/>
      <c r="ID63" s="134"/>
      <c r="IE63" s="135"/>
      <c r="IF63" s="135"/>
      <c r="IG63" s="134"/>
      <c r="IH63" s="134"/>
      <c r="II63" s="134"/>
      <c r="IJ63" s="134"/>
      <c r="IK63" s="134"/>
      <c r="IL63" s="134"/>
      <c r="IM63" s="134"/>
      <c r="IN63" s="134"/>
      <c r="IO63" s="135"/>
      <c r="IP63" s="135"/>
      <c r="IQ63" s="134"/>
      <c r="IR63" s="134"/>
      <c r="IS63" s="134"/>
      <c r="IT63" s="134"/>
      <c r="IU63" s="134"/>
      <c r="IV63" s="134"/>
      <c r="IW63" s="134"/>
      <c r="IX63" s="134"/>
      <c r="IY63" s="135"/>
      <c r="IZ63" s="135"/>
    </row>
    <row r="64" spans="1:260" customFormat="1" ht="17" customHeight="1">
      <c r="A64" s="79" t="s">
        <v>240</v>
      </c>
      <c r="B64" s="418">
        <v>175</v>
      </c>
      <c r="C64" s="117"/>
      <c r="D64" s="117">
        <v>63</v>
      </c>
      <c r="E64" s="123" t="s">
        <v>1994</v>
      </c>
      <c r="F64" s="124" t="s">
        <v>2224</v>
      </c>
      <c r="G64" s="125">
        <v>2014</v>
      </c>
      <c r="H64" s="79">
        <v>25180439</v>
      </c>
      <c r="I64" s="79">
        <v>1</v>
      </c>
      <c r="J64" s="126" t="s">
        <v>1778</v>
      </c>
      <c r="K64" s="127" t="s">
        <v>1761</v>
      </c>
      <c r="L64" s="164">
        <v>1</v>
      </c>
      <c r="M64" s="79" t="s">
        <v>1744</v>
      </c>
      <c r="N64" s="164">
        <v>0</v>
      </c>
      <c r="O64" s="128">
        <v>1</v>
      </c>
      <c r="P64" s="79"/>
      <c r="Q64" s="79" t="s">
        <v>1167</v>
      </c>
      <c r="R64" s="79" t="s">
        <v>659</v>
      </c>
      <c r="S64" s="79">
        <v>1</v>
      </c>
      <c r="T64" s="79"/>
      <c r="U64" s="79"/>
      <c r="V64" s="79"/>
      <c r="W64" s="79" t="s">
        <v>658</v>
      </c>
      <c r="X64" s="79" t="s">
        <v>24</v>
      </c>
      <c r="Y64" s="79"/>
      <c r="Z64" s="79"/>
      <c r="AA64" s="79"/>
      <c r="AB64" s="79" t="s">
        <v>660</v>
      </c>
      <c r="AC64" s="506" t="s">
        <v>6250</v>
      </c>
      <c r="AD64" s="573">
        <v>1</v>
      </c>
      <c r="AE64" s="573">
        <v>0</v>
      </c>
      <c r="AF64" s="576" t="s">
        <v>3003</v>
      </c>
      <c r="AG64" s="577" t="s">
        <v>6249</v>
      </c>
      <c r="AH64" s="121">
        <v>2</v>
      </c>
      <c r="AI64" s="484"/>
      <c r="AJ64" s="202"/>
      <c r="AK64" s="192"/>
      <c r="AL64" s="203"/>
      <c r="AM64" s="121"/>
      <c r="AN64" s="121"/>
      <c r="AO64" s="121"/>
      <c r="AP64" s="121"/>
      <c r="AQ64" s="121"/>
      <c r="AR64" s="121"/>
      <c r="AS64" s="121"/>
      <c r="AT64" s="121"/>
      <c r="AU64" s="121"/>
      <c r="AV64" s="121"/>
      <c r="AW64" s="121"/>
      <c r="AX64" s="121"/>
      <c r="AY64" s="121"/>
      <c r="AZ64" s="121"/>
      <c r="BA64" s="121"/>
      <c r="BB64" s="121"/>
      <c r="BC64" s="121"/>
      <c r="BD64" s="156"/>
      <c r="BE64" s="156"/>
      <c r="BF64" s="156" t="s">
        <v>5207</v>
      </c>
      <c r="BG64" s="156"/>
      <c r="BH64" s="156"/>
      <c r="BI64" s="156" t="s">
        <v>5207</v>
      </c>
      <c r="BJ64" s="156"/>
      <c r="BK64" s="156"/>
      <c r="BL64" s="156" t="s">
        <v>5207</v>
      </c>
      <c r="BM64" s="156"/>
      <c r="BN64" s="156"/>
      <c r="BO64" s="156"/>
      <c r="BP64" s="156"/>
      <c r="BQ64" s="157"/>
      <c r="BR64" s="134"/>
      <c r="BS64" s="134"/>
      <c r="BT64" s="134"/>
      <c r="BU64" s="134"/>
      <c r="BV64" s="134"/>
      <c r="BW64" s="259"/>
      <c r="BX64" s="138"/>
      <c r="BY64" s="134"/>
      <c r="BZ64" s="134"/>
      <c r="CA64" s="134"/>
      <c r="CB64" s="138"/>
      <c r="CC64" s="134"/>
      <c r="CD64" s="134"/>
      <c r="CE64" s="134"/>
      <c r="CF64" s="288"/>
      <c r="CG64" s="289"/>
      <c r="CH64" s="138"/>
      <c r="CI64" s="134"/>
      <c r="CJ64" s="134"/>
      <c r="CK64" s="134"/>
      <c r="CL64" s="138"/>
      <c r="CM64" s="134"/>
      <c r="CN64" s="134"/>
      <c r="CO64" s="134"/>
      <c r="CP64" s="288"/>
      <c r="CQ64" s="289"/>
      <c r="CR64" s="276"/>
      <c r="CS64" s="308"/>
      <c r="CT64" s="138"/>
      <c r="CU64" s="134"/>
      <c r="CV64" s="134"/>
      <c r="CW64" s="134"/>
      <c r="CX64" s="134"/>
      <c r="CY64" s="134"/>
      <c r="CZ64" s="134"/>
      <c r="DA64" s="134"/>
      <c r="DB64" s="300"/>
      <c r="DC64" s="301"/>
      <c r="DD64" s="134"/>
      <c r="DE64" s="134"/>
      <c r="DF64" s="134"/>
      <c r="DG64" s="134"/>
      <c r="DH64" s="134"/>
      <c r="DI64" s="134"/>
      <c r="DJ64" s="134"/>
      <c r="DK64" s="134"/>
      <c r="DL64" s="300"/>
      <c r="DM64" s="301"/>
      <c r="DN64" s="276"/>
      <c r="DO64" s="277"/>
      <c r="DP64" s="134"/>
      <c r="DQ64" s="134"/>
      <c r="DR64" s="134"/>
      <c r="DS64" s="134"/>
      <c r="DT64" s="138"/>
      <c r="DU64" s="134"/>
      <c r="DV64" s="134"/>
      <c r="DW64" s="134"/>
      <c r="DX64" s="301"/>
      <c r="DY64" s="301"/>
      <c r="DZ64" s="138"/>
      <c r="EA64" s="134"/>
      <c r="EB64" s="134"/>
      <c r="EC64" s="134"/>
      <c r="ED64" s="138"/>
      <c r="EE64" s="134"/>
      <c r="EF64" s="134"/>
      <c r="EG64" s="134"/>
      <c r="EH64" s="301"/>
      <c r="EI64" s="301"/>
      <c r="EJ64" s="447"/>
      <c r="EK64" s="134"/>
      <c r="EL64" s="134"/>
      <c r="EM64" s="134"/>
      <c r="EN64" s="134"/>
      <c r="EO64" s="134"/>
      <c r="EP64" s="134"/>
      <c r="EQ64" s="134"/>
      <c r="ER64" s="134"/>
      <c r="ES64" s="301"/>
      <c r="ET64" s="301"/>
      <c r="EU64" s="134"/>
      <c r="EV64" s="134"/>
      <c r="EW64" s="134"/>
      <c r="EX64" s="134"/>
      <c r="EY64" s="134"/>
      <c r="EZ64" s="134"/>
      <c r="FA64" s="134"/>
      <c r="FB64" s="134"/>
      <c r="FC64" s="135"/>
      <c r="FD64" s="135"/>
      <c r="FE64" s="134"/>
      <c r="FF64" s="134"/>
      <c r="FG64" s="134"/>
      <c r="FH64" s="134"/>
      <c r="FI64" s="134"/>
      <c r="FJ64" s="134"/>
      <c r="FK64" s="134"/>
      <c r="FL64" s="134"/>
      <c r="FM64" s="135"/>
      <c r="FN64" s="135"/>
      <c r="FO64" s="134"/>
      <c r="FP64" s="134"/>
      <c r="FQ64" s="134"/>
      <c r="FR64" s="134"/>
      <c r="FS64" s="134"/>
      <c r="FT64" s="134"/>
      <c r="FU64" s="134"/>
      <c r="FV64" s="134"/>
      <c r="FW64" s="135"/>
      <c r="FX64" s="135"/>
      <c r="FY64" s="134"/>
      <c r="FZ64" s="134"/>
      <c r="GA64" s="134"/>
      <c r="GB64" s="134"/>
      <c r="GC64" s="134"/>
      <c r="GD64" s="134"/>
      <c r="GE64" s="134"/>
      <c r="GF64" s="134"/>
      <c r="GG64" s="135"/>
      <c r="GH64" s="135"/>
      <c r="GI64" s="134"/>
      <c r="GJ64" s="134"/>
      <c r="GK64" s="134"/>
      <c r="GL64" s="134"/>
      <c r="GM64" s="134"/>
      <c r="GN64" s="134"/>
      <c r="GO64" s="134"/>
      <c r="GP64" s="134"/>
      <c r="GQ64" s="135"/>
      <c r="GR64" s="135"/>
      <c r="GS64" s="134"/>
      <c r="GT64" s="134"/>
      <c r="GU64" s="134"/>
      <c r="GV64" s="134"/>
      <c r="GW64" s="134"/>
      <c r="GX64" s="134"/>
      <c r="GY64" s="134"/>
      <c r="GZ64" s="134"/>
      <c r="HA64" s="135"/>
      <c r="HB64" s="135"/>
      <c r="HC64" s="134"/>
      <c r="HD64" s="134"/>
      <c r="HE64" s="134"/>
      <c r="HF64" s="134"/>
      <c r="HG64" s="134"/>
      <c r="HH64" s="134"/>
      <c r="HI64" s="134"/>
      <c r="HJ64" s="134"/>
      <c r="HK64" s="135"/>
      <c r="HL64" s="135"/>
      <c r="HM64" s="134"/>
      <c r="HN64" s="134"/>
      <c r="HO64" s="134"/>
      <c r="HP64" s="134"/>
      <c r="HQ64" s="134"/>
      <c r="HR64" s="134"/>
      <c r="HS64" s="134"/>
      <c r="HT64" s="134"/>
      <c r="HU64" s="135"/>
      <c r="HV64" s="135"/>
      <c r="HW64" s="134"/>
      <c r="HX64" s="134"/>
      <c r="HY64" s="134"/>
      <c r="HZ64" s="134"/>
      <c r="IA64" s="134"/>
      <c r="IB64" s="134"/>
      <c r="IC64" s="134"/>
      <c r="ID64" s="134"/>
      <c r="IE64" s="135"/>
      <c r="IF64" s="135"/>
      <c r="IG64" s="134"/>
      <c r="IH64" s="134"/>
      <c r="II64" s="134"/>
      <c r="IJ64" s="134"/>
      <c r="IK64" s="134"/>
      <c r="IL64" s="134"/>
      <c r="IM64" s="134"/>
      <c r="IN64" s="134"/>
      <c r="IO64" s="135"/>
      <c r="IP64" s="135"/>
      <c r="IQ64" s="134"/>
      <c r="IR64" s="134"/>
      <c r="IS64" s="134"/>
      <c r="IT64" s="134"/>
      <c r="IU64" s="134"/>
      <c r="IV64" s="134"/>
      <c r="IW64" s="134"/>
      <c r="IX64" s="134"/>
      <c r="IY64" s="135"/>
      <c r="IZ64" s="135"/>
    </row>
    <row r="65" spans="1:260" s="338" customFormat="1" ht="17" customHeight="1">
      <c r="A65" s="79" t="s">
        <v>242</v>
      </c>
      <c r="B65" s="418">
        <v>177</v>
      </c>
      <c r="C65" s="117"/>
      <c r="D65" s="117">
        <v>64</v>
      </c>
      <c r="E65" s="123" t="s">
        <v>1996</v>
      </c>
      <c r="F65" s="124" t="s">
        <v>2226</v>
      </c>
      <c r="G65" s="125">
        <v>2015</v>
      </c>
      <c r="H65" s="79">
        <v>26110112</v>
      </c>
      <c r="I65" s="79">
        <v>1</v>
      </c>
      <c r="J65" s="126"/>
      <c r="K65" s="127" t="s">
        <v>1745</v>
      </c>
      <c r="L65" s="164">
        <v>1</v>
      </c>
      <c r="M65" s="79" t="s">
        <v>1745</v>
      </c>
      <c r="N65" s="79">
        <v>0</v>
      </c>
      <c r="O65" s="128">
        <v>1</v>
      </c>
      <c r="P65" s="79"/>
      <c r="Q65" s="79" t="s">
        <v>1158</v>
      </c>
      <c r="R65" s="79" t="s">
        <v>659</v>
      </c>
      <c r="S65" s="79">
        <v>1</v>
      </c>
      <c r="T65" s="79"/>
      <c r="U65" s="79"/>
      <c r="V65" s="79"/>
      <c r="W65" s="79"/>
      <c r="X65" s="79" t="s">
        <v>56</v>
      </c>
      <c r="Y65" s="79"/>
      <c r="Z65" s="79"/>
      <c r="AA65" s="79"/>
      <c r="AB65" s="79" t="s">
        <v>516</v>
      </c>
      <c r="AC65" s="506" t="s">
        <v>433</v>
      </c>
      <c r="AD65" s="573">
        <v>1</v>
      </c>
      <c r="AE65" s="573">
        <v>0</v>
      </c>
      <c r="AF65" s="165" t="s">
        <v>3003</v>
      </c>
      <c r="AG65" s="577" t="s">
        <v>6249</v>
      </c>
      <c r="AH65" s="121">
        <v>2</v>
      </c>
      <c r="AI65" s="484"/>
      <c r="AJ65" s="202"/>
      <c r="AK65" s="192"/>
      <c r="AL65" s="203"/>
      <c r="AM65" s="121"/>
      <c r="AN65" s="121"/>
      <c r="AO65" s="121"/>
      <c r="AP65" s="121"/>
      <c r="AQ65" s="121"/>
      <c r="AR65" s="121"/>
      <c r="AS65" s="121"/>
      <c r="AT65" s="121"/>
      <c r="AU65" s="121"/>
      <c r="AV65" s="121"/>
      <c r="AW65" s="121"/>
      <c r="AX65" s="121"/>
      <c r="AY65" s="121"/>
      <c r="AZ65" s="121"/>
      <c r="BA65" s="121"/>
      <c r="BB65" s="121"/>
      <c r="BC65" s="121"/>
      <c r="BD65" s="156"/>
      <c r="BE65" s="156"/>
      <c r="BF65" s="156"/>
      <c r="BG65" s="156"/>
      <c r="BH65" s="156"/>
      <c r="BI65" s="156"/>
      <c r="BJ65" s="156"/>
      <c r="BK65" s="156"/>
      <c r="BL65" s="156" t="s">
        <v>5207</v>
      </c>
      <c r="BM65" s="156"/>
      <c r="BN65" s="156"/>
      <c r="BO65" s="156"/>
      <c r="BP65" s="156"/>
      <c r="BQ65" s="157"/>
      <c r="BR65" s="134"/>
      <c r="BS65" s="134"/>
      <c r="BT65" s="134"/>
      <c r="BU65" s="134"/>
      <c r="BV65" s="134"/>
      <c r="BW65" s="259"/>
      <c r="BX65" s="138"/>
      <c r="BY65" s="134"/>
      <c r="BZ65" s="134"/>
      <c r="CA65" s="134"/>
      <c r="CB65" s="138"/>
      <c r="CC65" s="134"/>
      <c r="CD65" s="134"/>
      <c r="CE65" s="134"/>
      <c r="CF65" s="288"/>
      <c r="CG65" s="289"/>
      <c r="CH65" s="138"/>
      <c r="CI65" s="134"/>
      <c r="CJ65" s="134"/>
      <c r="CK65" s="134"/>
      <c r="CL65" s="138"/>
      <c r="CM65" s="134"/>
      <c r="CN65" s="134"/>
      <c r="CO65" s="134"/>
      <c r="CP65" s="288"/>
      <c r="CQ65" s="289"/>
      <c r="CR65" s="276"/>
      <c r="CS65" s="308"/>
      <c r="CT65" s="138"/>
      <c r="CU65" s="134"/>
      <c r="CV65" s="134"/>
      <c r="CW65" s="134"/>
      <c r="CX65" s="134"/>
      <c r="CY65" s="134"/>
      <c r="CZ65" s="134"/>
      <c r="DA65" s="134"/>
      <c r="DB65" s="300"/>
      <c r="DC65" s="301"/>
      <c r="DD65" s="134"/>
      <c r="DE65" s="134"/>
      <c r="DF65" s="134"/>
      <c r="DG65" s="134"/>
      <c r="DH65" s="134"/>
      <c r="DI65" s="134"/>
      <c r="DJ65" s="134"/>
      <c r="DK65" s="134"/>
      <c r="DL65" s="300"/>
      <c r="DM65" s="301"/>
      <c r="DN65" s="276"/>
      <c r="DO65" s="277"/>
      <c r="DP65" s="134"/>
      <c r="DQ65" s="134"/>
      <c r="DR65" s="134"/>
      <c r="DS65" s="134"/>
      <c r="DT65" s="138"/>
      <c r="DU65" s="134"/>
      <c r="DV65" s="134"/>
      <c r="DW65" s="134"/>
      <c r="DX65" s="301"/>
      <c r="DY65" s="301"/>
      <c r="DZ65" s="138"/>
      <c r="EA65" s="134"/>
      <c r="EB65" s="134"/>
      <c r="EC65" s="134"/>
      <c r="ED65" s="138"/>
      <c r="EE65" s="134"/>
      <c r="EF65" s="134"/>
      <c r="EG65" s="134"/>
      <c r="EH65" s="301"/>
      <c r="EI65" s="301"/>
      <c r="EJ65" s="447"/>
      <c r="EK65" s="134"/>
      <c r="EL65" s="134"/>
      <c r="EM65" s="134"/>
      <c r="EN65" s="134"/>
      <c r="EO65" s="134"/>
      <c r="EP65" s="134"/>
      <c r="EQ65" s="134"/>
      <c r="ER65" s="134"/>
      <c r="ES65" s="301"/>
      <c r="ET65" s="301"/>
      <c r="EU65" s="134"/>
      <c r="EV65" s="134"/>
      <c r="EW65" s="134"/>
      <c r="EX65" s="134"/>
      <c r="EY65" s="134"/>
      <c r="EZ65" s="134"/>
      <c r="FA65" s="134"/>
      <c r="FB65" s="134"/>
      <c r="FC65" s="135"/>
      <c r="FD65" s="135"/>
      <c r="FE65" s="134"/>
      <c r="FF65" s="134"/>
      <c r="FG65" s="134"/>
      <c r="FH65" s="134"/>
      <c r="FI65" s="134"/>
      <c r="FJ65" s="134"/>
      <c r="FK65" s="134"/>
      <c r="FL65" s="134"/>
      <c r="FM65" s="135"/>
      <c r="FN65" s="135"/>
      <c r="FO65" s="134"/>
      <c r="FP65" s="134"/>
      <c r="FQ65" s="134"/>
      <c r="FR65" s="134"/>
      <c r="FS65" s="134"/>
      <c r="FT65" s="134"/>
      <c r="FU65" s="134"/>
      <c r="FV65" s="134"/>
      <c r="FW65" s="135"/>
      <c r="FX65" s="135"/>
      <c r="FY65" s="134"/>
      <c r="FZ65" s="134"/>
      <c r="GA65" s="134"/>
      <c r="GB65" s="134"/>
      <c r="GC65" s="134"/>
      <c r="GD65" s="134"/>
      <c r="GE65" s="134"/>
      <c r="GF65" s="134"/>
      <c r="GG65" s="135"/>
      <c r="GH65" s="135"/>
      <c r="GI65" s="134"/>
      <c r="GJ65" s="134"/>
      <c r="GK65" s="134"/>
      <c r="GL65" s="134"/>
      <c r="GM65" s="134"/>
      <c r="GN65" s="134"/>
      <c r="GO65" s="134"/>
      <c r="GP65" s="134"/>
      <c r="GQ65" s="135"/>
      <c r="GR65" s="135"/>
      <c r="GS65" s="134"/>
      <c r="GT65" s="134"/>
      <c r="GU65" s="134"/>
      <c r="GV65" s="134"/>
      <c r="GW65" s="134"/>
      <c r="GX65" s="134"/>
      <c r="GY65" s="134"/>
      <c r="GZ65" s="134"/>
      <c r="HA65" s="135"/>
      <c r="HB65" s="135"/>
      <c r="HC65" s="134"/>
      <c r="HD65" s="134"/>
      <c r="HE65" s="134"/>
      <c r="HF65" s="134"/>
      <c r="HG65" s="134"/>
      <c r="HH65" s="134"/>
      <c r="HI65" s="134"/>
      <c r="HJ65" s="134"/>
      <c r="HK65" s="135"/>
      <c r="HL65" s="135"/>
      <c r="HM65" s="134"/>
      <c r="HN65" s="134"/>
      <c r="HO65" s="134"/>
      <c r="HP65" s="134"/>
      <c r="HQ65" s="134"/>
      <c r="HR65" s="134"/>
      <c r="HS65" s="134"/>
      <c r="HT65" s="134"/>
      <c r="HU65" s="135"/>
      <c r="HV65" s="135"/>
      <c r="HW65" s="134"/>
      <c r="HX65" s="134"/>
      <c r="HY65" s="134"/>
      <c r="HZ65" s="134"/>
      <c r="IA65" s="134"/>
      <c r="IB65" s="134"/>
      <c r="IC65" s="134"/>
      <c r="ID65" s="134"/>
      <c r="IE65" s="135"/>
      <c r="IF65" s="135"/>
      <c r="IG65" s="134"/>
      <c r="IH65" s="134"/>
      <c r="II65" s="134"/>
      <c r="IJ65" s="134"/>
      <c r="IK65" s="134"/>
      <c r="IL65" s="134"/>
      <c r="IM65" s="134"/>
      <c r="IN65" s="134"/>
      <c r="IO65" s="135"/>
      <c r="IP65" s="135"/>
      <c r="IQ65" s="134"/>
      <c r="IR65" s="134"/>
      <c r="IS65" s="134"/>
      <c r="IT65" s="134"/>
      <c r="IU65" s="134"/>
      <c r="IV65" s="134"/>
      <c r="IW65" s="134"/>
      <c r="IX65" s="134"/>
      <c r="IY65" s="135"/>
      <c r="IZ65" s="135"/>
    </row>
    <row r="66" spans="1:260" s="338" customFormat="1" ht="17" customHeight="1">
      <c r="A66" s="79" t="s">
        <v>248</v>
      </c>
      <c r="B66" s="418">
        <v>179</v>
      </c>
      <c r="C66" s="117"/>
      <c r="D66" s="117">
        <v>65</v>
      </c>
      <c r="E66" s="123" t="s">
        <v>1998</v>
      </c>
      <c r="F66" s="124" t="s">
        <v>2228</v>
      </c>
      <c r="G66" s="125">
        <v>2015</v>
      </c>
      <c r="H66" s="79">
        <v>26254798</v>
      </c>
      <c r="I66" s="79">
        <v>1</v>
      </c>
      <c r="J66" s="126"/>
      <c r="K66" s="127"/>
      <c r="L66" s="79">
        <v>1</v>
      </c>
      <c r="M66" s="79"/>
      <c r="N66" s="79">
        <v>1</v>
      </c>
      <c r="O66" s="128">
        <v>1</v>
      </c>
      <c r="P66" s="79" t="s">
        <v>31</v>
      </c>
      <c r="Q66" s="79" t="s">
        <v>1157</v>
      </c>
      <c r="R66" s="79" t="s">
        <v>591</v>
      </c>
      <c r="S66" s="79">
        <v>1</v>
      </c>
      <c r="T66" s="79"/>
      <c r="U66" s="79"/>
      <c r="V66" s="79"/>
      <c r="W66" s="79" t="s">
        <v>675</v>
      </c>
      <c r="X66" s="79"/>
      <c r="Y66" s="79"/>
      <c r="Z66" s="79"/>
      <c r="AA66" s="79"/>
      <c r="AB66" s="79"/>
      <c r="AC66" s="506" t="s">
        <v>6253</v>
      </c>
      <c r="AD66" s="573">
        <v>1</v>
      </c>
      <c r="AE66" s="573">
        <v>0</v>
      </c>
      <c r="AF66" s="154"/>
      <c r="AG66" s="155"/>
      <c r="AH66" s="121">
        <v>2</v>
      </c>
      <c r="AI66" s="484"/>
      <c r="AJ66" s="202"/>
      <c r="AK66" s="192"/>
      <c r="AL66" s="203"/>
      <c r="AM66" s="121"/>
      <c r="AN66" s="121"/>
      <c r="AO66" s="121"/>
      <c r="AP66" s="121"/>
      <c r="AQ66" s="121"/>
      <c r="AR66" s="121"/>
      <c r="AS66" s="121"/>
      <c r="AT66" s="121"/>
      <c r="AU66" s="121"/>
      <c r="AV66" s="121"/>
      <c r="AW66" s="121"/>
      <c r="AX66" s="121"/>
      <c r="AY66" s="121"/>
      <c r="AZ66" s="121"/>
      <c r="BA66" s="121"/>
      <c r="BB66" s="121"/>
      <c r="BC66" s="121"/>
      <c r="BD66" s="156"/>
      <c r="BE66" s="156"/>
      <c r="BF66" s="156" t="s">
        <v>5207</v>
      </c>
      <c r="BG66" s="156"/>
      <c r="BH66" s="156"/>
      <c r="BI66" s="156" t="s">
        <v>6252</v>
      </c>
      <c r="BJ66" s="156"/>
      <c r="BK66" s="156" t="s">
        <v>6251</v>
      </c>
      <c r="BL66" s="156"/>
      <c r="BM66" s="156"/>
      <c r="BN66" s="156"/>
      <c r="BO66" s="156"/>
      <c r="BP66" s="156"/>
      <c r="BQ66" s="157"/>
      <c r="BR66" s="134"/>
      <c r="BS66" s="134"/>
      <c r="BT66" s="134"/>
      <c r="BU66" s="134"/>
      <c r="BV66" s="134"/>
      <c r="BW66" s="259"/>
      <c r="BX66" s="138"/>
      <c r="BY66" s="134"/>
      <c r="BZ66" s="134"/>
      <c r="CA66" s="134"/>
      <c r="CB66" s="138"/>
      <c r="CC66" s="134"/>
      <c r="CD66" s="134"/>
      <c r="CE66" s="134"/>
      <c r="CF66" s="288"/>
      <c r="CG66" s="289"/>
      <c r="CH66" s="138"/>
      <c r="CI66" s="134"/>
      <c r="CJ66" s="134"/>
      <c r="CK66" s="134"/>
      <c r="CL66" s="138"/>
      <c r="CM66" s="134"/>
      <c r="CN66" s="134"/>
      <c r="CO66" s="134"/>
      <c r="CP66" s="288"/>
      <c r="CQ66" s="289"/>
      <c r="CR66" s="276"/>
      <c r="CS66" s="308"/>
      <c r="CT66" s="138"/>
      <c r="CU66" s="134"/>
      <c r="CV66" s="134"/>
      <c r="CW66" s="134"/>
      <c r="CX66" s="134"/>
      <c r="CY66" s="134"/>
      <c r="CZ66" s="134"/>
      <c r="DA66" s="134"/>
      <c r="DB66" s="300"/>
      <c r="DC66" s="301"/>
      <c r="DD66" s="134"/>
      <c r="DE66" s="134"/>
      <c r="DF66" s="134"/>
      <c r="DG66" s="134"/>
      <c r="DH66" s="134"/>
      <c r="DI66" s="134"/>
      <c r="DJ66" s="134"/>
      <c r="DK66" s="134"/>
      <c r="DL66" s="300"/>
      <c r="DM66" s="301"/>
      <c r="DN66" s="276"/>
      <c r="DO66" s="277"/>
      <c r="DP66" s="134"/>
      <c r="DQ66" s="134"/>
      <c r="DR66" s="134"/>
      <c r="DS66" s="134"/>
      <c r="DT66" s="138"/>
      <c r="DU66" s="134"/>
      <c r="DV66" s="134"/>
      <c r="DW66" s="134"/>
      <c r="DX66" s="301"/>
      <c r="DY66" s="301"/>
      <c r="DZ66" s="138"/>
      <c r="EA66" s="134"/>
      <c r="EB66" s="134"/>
      <c r="EC66" s="134"/>
      <c r="ED66" s="138"/>
      <c r="EE66" s="134"/>
      <c r="EF66" s="134"/>
      <c r="EG66" s="134"/>
      <c r="EH66" s="301"/>
      <c r="EI66" s="301"/>
      <c r="EJ66" s="277"/>
      <c r="EK66" s="134"/>
      <c r="EL66" s="134"/>
      <c r="EM66" s="134"/>
      <c r="EN66" s="134"/>
      <c r="EO66" s="134"/>
      <c r="EP66" s="134"/>
      <c r="EQ66" s="134"/>
      <c r="ER66" s="134"/>
      <c r="ES66" s="301"/>
      <c r="ET66" s="301"/>
      <c r="EU66" s="134"/>
      <c r="EV66" s="134"/>
      <c r="EW66" s="134"/>
      <c r="EX66" s="134"/>
      <c r="EY66" s="134"/>
      <c r="EZ66" s="134"/>
      <c r="FA66" s="134"/>
      <c r="FB66" s="134"/>
      <c r="FC66" s="135"/>
      <c r="FD66" s="135"/>
      <c r="FE66" s="134"/>
      <c r="FF66" s="134"/>
      <c r="FG66" s="134"/>
      <c r="FH66" s="134"/>
      <c r="FI66" s="134"/>
      <c r="FJ66" s="134"/>
      <c r="FK66" s="134"/>
      <c r="FL66" s="134"/>
      <c r="FM66" s="135"/>
      <c r="FN66" s="135"/>
      <c r="FO66" s="134"/>
      <c r="FP66" s="134"/>
      <c r="FQ66" s="134"/>
      <c r="FR66" s="134"/>
      <c r="FS66" s="134"/>
      <c r="FT66" s="134"/>
      <c r="FU66" s="134"/>
      <c r="FV66" s="134"/>
      <c r="FW66" s="135"/>
      <c r="FX66" s="135"/>
      <c r="FY66" s="134"/>
      <c r="FZ66" s="134"/>
      <c r="GA66" s="134"/>
      <c r="GB66" s="134"/>
      <c r="GC66" s="134"/>
      <c r="GD66" s="134"/>
      <c r="GE66" s="134"/>
      <c r="GF66" s="134"/>
      <c r="GG66" s="135"/>
      <c r="GH66" s="135"/>
      <c r="GI66" s="134"/>
      <c r="GJ66" s="134"/>
      <c r="GK66" s="134"/>
      <c r="GL66" s="134"/>
      <c r="GM66" s="134"/>
      <c r="GN66" s="134"/>
      <c r="GO66" s="134"/>
      <c r="GP66" s="134"/>
      <c r="GQ66" s="135"/>
      <c r="GR66" s="135"/>
      <c r="GS66" s="134"/>
      <c r="GT66" s="134"/>
      <c r="GU66" s="134"/>
      <c r="GV66" s="134"/>
      <c r="GW66" s="134"/>
      <c r="GX66" s="134"/>
      <c r="GY66" s="134"/>
      <c r="GZ66" s="134"/>
      <c r="HA66" s="135"/>
      <c r="HB66" s="135"/>
      <c r="HC66" s="134"/>
      <c r="HD66" s="134"/>
      <c r="HE66" s="134"/>
      <c r="HF66" s="134"/>
      <c r="HG66" s="134"/>
      <c r="HH66" s="134"/>
      <c r="HI66" s="134"/>
      <c r="HJ66" s="134"/>
      <c r="HK66" s="135"/>
      <c r="HL66" s="135"/>
      <c r="HM66" s="134"/>
      <c r="HN66" s="134"/>
      <c r="HO66" s="134"/>
      <c r="HP66" s="134"/>
      <c r="HQ66" s="134"/>
      <c r="HR66" s="134"/>
      <c r="HS66" s="134"/>
      <c r="HT66" s="134"/>
      <c r="HU66" s="135"/>
      <c r="HV66" s="135"/>
      <c r="HW66" s="134"/>
      <c r="HX66" s="134"/>
      <c r="HY66" s="134"/>
      <c r="HZ66" s="134"/>
      <c r="IA66" s="134"/>
      <c r="IB66" s="134"/>
      <c r="IC66" s="134"/>
      <c r="ID66" s="134"/>
      <c r="IE66" s="135"/>
      <c r="IF66" s="135"/>
      <c r="IG66" s="134"/>
      <c r="IH66" s="134"/>
      <c r="II66" s="134"/>
      <c r="IJ66" s="134"/>
      <c r="IK66" s="134"/>
      <c r="IL66" s="134"/>
      <c r="IM66" s="134"/>
      <c r="IN66" s="134"/>
      <c r="IO66" s="135"/>
      <c r="IP66" s="135"/>
      <c r="IQ66" s="134"/>
      <c r="IR66" s="134"/>
      <c r="IS66" s="134"/>
      <c r="IT66" s="134"/>
      <c r="IU66" s="134"/>
      <c r="IV66" s="134"/>
      <c r="IW66" s="134"/>
      <c r="IX66" s="134"/>
      <c r="IY66" s="135"/>
      <c r="IZ66" s="135"/>
    </row>
    <row r="67" spans="1:260" s="338" customFormat="1" ht="17" customHeight="1">
      <c r="A67" s="79" t="s">
        <v>249</v>
      </c>
      <c r="B67" s="418">
        <v>180</v>
      </c>
      <c r="C67" s="117"/>
      <c r="D67" s="117">
        <v>66</v>
      </c>
      <c r="E67" s="123" t="s">
        <v>1998</v>
      </c>
      <c r="F67" s="124" t="s">
        <v>2229</v>
      </c>
      <c r="G67" s="125">
        <v>2013</v>
      </c>
      <c r="H67" s="79">
        <v>23148782</v>
      </c>
      <c r="I67" s="79">
        <v>1</v>
      </c>
      <c r="J67" s="126"/>
      <c r="K67" s="127"/>
      <c r="L67" s="79">
        <v>1</v>
      </c>
      <c r="M67" s="79"/>
      <c r="N67" s="79">
        <v>1</v>
      </c>
      <c r="O67" s="128">
        <v>1</v>
      </c>
      <c r="P67" s="79" t="s">
        <v>676</v>
      </c>
      <c r="Q67" s="79" t="s">
        <v>1157</v>
      </c>
      <c r="R67" s="79" t="s">
        <v>591</v>
      </c>
      <c r="S67" s="79">
        <v>1</v>
      </c>
      <c r="T67" s="79"/>
      <c r="U67" s="79"/>
      <c r="V67" s="79"/>
      <c r="W67" s="79" t="s">
        <v>677</v>
      </c>
      <c r="X67" s="79"/>
      <c r="Y67" s="79"/>
      <c r="Z67" s="79"/>
      <c r="AA67" s="79"/>
      <c r="AB67" s="79"/>
      <c r="AC67" s="506" t="s">
        <v>6254</v>
      </c>
      <c r="AD67" s="573">
        <v>1</v>
      </c>
      <c r="AE67" s="573">
        <v>0</v>
      </c>
      <c r="AF67" s="154"/>
      <c r="AG67" s="155"/>
      <c r="AH67" s="121">
        <v>2</v>
      </c>
      <c r="AI67" s="484"/>
      <c r="AJ67" s="202"/>
      <c r="AK67" s="192"/>
      <c r="AL67" s="203"/>
      <c r="AM67" s="121"/>
      <c r="AN67" s="121"/>
      <c r="AO67" s="121"/>
      <c r="AP67" s="121"/>
      <c r="AQ67" s="121"/>
      <c r="AR67" s="121"/>
      <c r="AS67" s="121"/>
      <c r="AT67" s="121"/>
      <c r="AU67" s="121"/>
      <c r="AV67" s="121"/>
      <c r="AW67" s="121"/>
      <c r="AX67" s="121"/>
      <c r="AY67" s="121"/>
      <c r="AZ67" s="121"/>
      <c r="BA67" s="121"/>
      <c r="BB67" s="121"/>
      <c r="BC67" s="121"/>
      <c r="BD67" s="156"/>
      <c r="BE67" s="156"/>
      <c r="BF67" s="156" t="s">
        <v>5207</v>
      </c>
      <c r="BG67" s="156"/>
      <c r="BH67" s="156"/>
      <c r="BI67" s="156"/>
      <c r="BJ67" s="156"/>
      <c r="BK67" s="156"/>
      <c r="BL67" s="156"/>
      <c r="BM67" s="156"/>
      <c r="BN67" s="156"/>
      <c r="BO67" s="156"/>
      <c r="BP67" s="156"/>
      <c r="BQ67" s="157"/>
      <c r="BR67" s="134"/>
      <c r="BS67" s="134"/>
      <c r="BT67" s="134"/>
      <c r="BU67" s="134"/>
      <c r="BV67" s="134"/>
      <c r="BW67" s="259"/>
      <c r="BX67" s="138"/>
      <c r="BY67" s="134"/>
      <c r="BZ67" s="134"/>
      <c r="CA67" s="134"/>
      <c r="CB67" s="138"/>
      <c r="CC67" s="134"/>
      <c r="CD67" s="134"/>
      <c r="CE67" s="134"/>
      <c r="CF67" s="288"/>
      <c r="CG67" s="289"/>
      <c r="CH67" s="138"/>
      <c r="CI67" s="134"/>
      <c r="CJ67" s="134"/>
      <c r="CK67" s="134"/>
      <c r="CL67" s="138"/>
      <c r="CM67" s="134"/>
      <c r="CN67" s="134"/>
      <c r="CO67" s="134"/>
      <c r="CP67" s="288"/>
      <c r="CQ67" s="289"/>
      <c r="CR67" s="276"/>
      <c r="CS67" s="308"/>
      <c r="CT67" s="138"/>
      <c r="CU67" s="134"/>
      <c r="CV67" s="134"/>
      <c r="CW67" s="134"/>
      <c r="CX67" s="134"/>
      <c r="CY67" s="134"/>
      <c r="CZ67" s="134"/>
      <c r="DA67" s="134"/>
      <c r="DB67" s="300"/>
      <c r="DC67" s="301"/>
      <c r="DD67" s="134"/>
      <c r="DE67" s="134"/>
      <c r="DF67" s="134"/>
      <c r="DG67" s="134"/>
      <c r="DH67" s="134"/>
      <c r="DI67" s="134"/>
      <c r="DJ67" s="134"/>
      <c r="DK67" s="134"/>
      <c r="DL67" s="300"/>
      <c r="DM67" s="301"/>
      <c r="DN67" s="276"/>
      <c r="DO67" s="277"/>
      <c r="DP67" s="134"/>
      <c r="DQ67" s="134"/>
      <c r="DR67" s="134"/>
      <c r="DS67" s="134"/>
      <c r="DT67" s="138"/>
      <c r="DU67" s="134"/>
      <c r="DV67" s="134"/>
      <c r="DW67" s="134"/>
      <c r="DX67" s="301"/>
      <c r="DY67" s="301"/>
      <c r="DZ67" s="138"/>
      <c r="EA67" s="134"/>
      <c r="EB67" s="134"/>
      <c r="EC67" s="134"/>
      <c r="ED67" s="138"/>
      <c r="EE67" s="134"/>
      <c r="EF67" s="134"/>
      <c r="EG67" s="134"/>
      <c r="EH67" s="301"/>
      <c r="EI67" s="301"/>
      <c r="EJ67" s="277"/>
      <c r="EK67" s="134"/>
      <c r="EL67" s="134"/>
      <c r="EM67" s="134"/>
      <c r="EN67" s="134"/>
      <c r="EO67" s="134"/>
      <c r="EP67" s="134"/>
      <c r="EQ67" s="134"/>
      <c r="ER67" s="134"/>
      <c r="ES67" s="301"/>
      <c r="ET67" s="301"/>
      <c r="EU67" s="134"/>
      <c r="EV67" s="134"/>
      <c r="EW67" s="134"/>
      <c r="EX67" s="134"/>
      <c r="EY67" s="134"/>
      <c r="EZ67" s="134"/>
      <c r="FA67" s="134"/>
      <c r="FB67" s="134"/>
      <c r="FC67" s="135"/>
      <c r="FD67" s="135"/>
      <c r="FE67" s="134"/>
      <c r="FF67" s="134"/>
      <c r="FG67" s="134"/>
      <c r="FH67" s="134"/>
      <c r="FI67" s="134"/>
      <c r="FJ67" s="134"/>
      <c r="FK67" s="134"/>
      <c r="FL67" s="134"/>
      <c r="FM67" s="135"/>
      <c r="FN67" s="135"/>
      <c r="FO67" s="134"/>
      <c r="FP67" s="134"/>
      <c r="FQ67" s="134"/>
      <c r="FR67" s="134"/>
      <c r="FS67" s="134"/>
      <c r="FT67" s="134"/>
      <c r="FU67" s="134"/>
      <c r="FV67" s="134"/>
      <c r="FW67" s="135"/>
      <c r="FX67" s="135"/>
      <c r="FY67" s="134"/>
      <c r="FZ67" s="134"/>
      <c r="GA67" s="134"/>
      <c r="GB67" s="134"/>
      <c r="GC67" s="134"/>
      <c r="GD67" s="134"/>
      <c r="GE67" s="134"/>
      <c r="GF67" s="134"/>
      <c r="GG67" s="135"/>
      <c r="GH67" s="135"/>
      <c r="GI67" s="134"/>
      <c r="GJ67" s="134"/>
      <c r="GK67" s="134"/>
      <c r="GL67" s="134"/>
      <c r="GM67" s="134"/>
      <c r="GN67" s="134"/>
      <c r="GO67" s="134"/>
      <c r="GP67" s="134"/>
      <c r="GQ67" s="135"/>
      <c r="GR67" s="135"/>
      <c r="GS67" s="134"/>
      <c r="GT67" s="134"/>
      <c r="GU67" s="134"/>
      <c r="GV67" s="134"/>
      <c r="GW67" s="134"/>
      <c r="GX67" s="134"/>
      <c r="GY67" s="134"/>
      <c r="GZ67" s="134"/>
      <c r="HA67" s="135"/>
      <c r="HB67" s="135"/>
      <c r="HC67" s="134"/>
      <c r="HD67" s="134"/>
      <c r="HE67" s="134"/>
      <c r="HF67" s="134"/>
      <c r="HG67" s="134"/>
      <c r="HH67" s="134"/>
      <c r="HI67" s="134"/>
      <c r="HJ67" s="134"/>
      <c r="HK67" s="135"/>
      <c r="HL67" s="135"/>
      <c r="HM67" s="134"/>
      <c r="HN67" s="134"/>
      <c r="HO67" s="134"/>
      <c r="HP67" s="134"/>
      <c r="HQ67" s="134"/>
      <c r="HR67" s="134"/>
      <c r="HS67" s="134"/>
      <c r="HT67" s="134"/>
      <c r="HU67" s="135"/>
      <c r="HV67" s="135"/>
      <c r="HW67" s="134"/>
      <c r="HX67" s="134"/>
      <c r="HY67" s="134"/>
      <c r="HZ67" s="134"/>
      <c r="IA67" s="134"/>
      <c r="IB67" s="134"/>
      <c r="IC67" s="134"/>
      <c r="ID67" s="134"/>
      <c r="IE67" s="135"/>
      <c r="IF67" s="135"/>
      <c r="IG67" s="134"/>
      <c r="IH67" s="134"/>
      <c r="II67" s="134"/>
      <c r="IJ67" s="134"/>
      <c r="IK67" s="134"/>
      <c r="IL67" s="134"/>
      <c r="IM67" s="134"/>
      <c r="IN67" s="134"/>
      <c r="IO67" s="135"/>
      <c r="IP67" s="135"/>
      <c r="IQ67" s="134"/>
      <c r="IR67" s="134"/>
      <c r="IS67" s="134"/>
      <c r="IT67" s="134"/>
      <c r="IU67" s="134"/>
      <c r="IV67" s="134"/>
      <c r="IW67" s="134"/>
      <c r="IX67" s="134"/>
      <c r="IY67" s="135"/>
      <c r="IZ67" s="135"/>
    </row>
    <row r="68" spans="1:260" s="338" customFormat="1" ht="17" customHeight="1">
      <c r="A68" s="79" t="s">
        <v>253</v>
      </c>
      <c r="B68" s="418">
        <v>182</v>
      </c>
      <c r="C68" s="117"/>
      <c r="D68" s="117">
        <v>67</v>
      </c>
      <c r="E68" s="123" t="s">
        <v>2000</v>
      </c>
      <c r="F68" s="124" t="s">
        <v>2231</v>
      </c>
      <c r="G68" s="125">
        <v>2014</v>
      </c>
      <c r="H68" s="79">
        <v>25093599</v>
      </c>
      <c r="I68" s="79">
        <v>1</v>
      </c>
      <c r="J68" s="126"/>
      <c r="K68" s="127"/>
      <c r="L68" s="79">
        <v>1</v>
      </c>
      <c r="M68" s="79"/>
      <c r="N68" s="79">
        <v>1</v>
      </c>
      <c r="O68" s="128">
        <v>1</v>
      </c>
      <c r="P68" s="79" t="s">
        <v>685</v>
      </c>
      <c r="Q68" s="79" t="s">
        <v>1166</v>
      </c>
      <c r="R68" s="79" t="s">
        <v>686</v>
      </c>
      <c r="S68" s="79">
        <v>1</v>
      </c>
      <c r="T68" s="79"/>
      <c r="U68" s="79"/>
      <c r="V68" s="79"/>
      <c r="W68" s="79" t="s">
        <v>687</v>
      </c>
      <c r="X68" s="79" t="s">
        <v>39</v>
      </c>
      <c r="Y68" s="79"/>
      <c r="Z68" s="79"/>
      <c r="AA68" s="79"/>
      <c r="AB68" s="79"/>
      <c r="AC68" s="506" t="s">
        <v>6255</v>
      </c>
      <c r="AD68" s="573">
        <v>1</v>
      </c>
      <c r="AE68" s="573">
        <v>0</v>
      </c>
      <c r="AF68" s="154"/>
      <c r="AG68" s="155"/>
      <c r="AH68" s="121"/>
      <c r="AI68" s="484"/>
      <c r="AJ68" s="202"/>
      <c r="AK68" s="192"/>
      <c r="AL68" s="203"/>
      <c r="AM68" s="121"/>
      <c r="AN68" s="121"/>
      <c r="AO68" s="121"/>
      <c r="AP68" s="121"/>
      <c r="AQ68" s="121"/>
      <c r="AR68" s="121"/>
      <c r="AS68" s="121"/>
      <c r="AT68" s="121"/>
      <c r="AU68" s="121"/>
      <c r="AV68" s="121"/>
      <c r="AW68" s="121"/>
      <c r="AX68" s="121"/>
      <c r="AY68" s="121"/>
      <c r="AZ68" s="121"/>
      <c r="BA68" s="121"/>
      <c r="BB68" s="121"/>
      <c r="BC68" s="121"/>
      <c r="BD68" s="156"/>
      <c r="BE68" s="156"/>
      <c r="BF68" s="156" t="s">
        <v>5207</v>
      </c>
      <c r="BG68" s="156"/>
      <c r="BH68" s="156"/>
      <c r="BI68" s="156" t="s">
        <v>5207</v>
      </c>
      <c r="BJ68" s="156"/>
      <c r="BK68" s="156"/>
      <c r="BL68" s="156"/>
      <c r="BM68" s="156"/>
      <c r="BN68" s="156"/>
      <c r="BO68" s="156"/>
      <c r="BP68" s="156"/>
      <c r="BQ68" s="157"/>
      <c r="BR68" s="134"/>
      <c r="BS68" s="134"/>
      <c r="BT68" s="134"/>
      <c r="BU68" s="134"/>
      <c r="BV68" s="134"/>
      <c r="BW68" s="259"/>
      <c r="BX68" s="138"/>
      <c r="BY68" s="134"/>
      <c r="BZ68" s="134"/>
      <c r="CA68" s="134"/>
      <c r="CB68" s="138"/>
      <c r="CC68" s="134"/>
      <c r="CD68" s="134"/>
      <c r="CE68" s="134"/>
      <c r="CF68" s="288"/>
      <c r="CG68" s="289"/>
      <c r="CH68" s="138"/>
      <c r="CI68" s="134"/>
      <c r="CJ68" s="134"/>
      <c r="CK68" s="134"/>
      <c r="CL68" s="138"/>
      <c r="CM68" s="134"/>
      <c r="CN68" s="134"/>
      <c r="CO68" s="134"/>
      <c r="CP68" s="288"/>
      <c r="CQ68" s="289"/>
      <c r="CR68" s="276"/>
      <c r="CS68" s="308"/>
      <c r="CT68" s="138"/>
      <c r="CU68" s="134"/>
      <c r="CV68" s="134"/>
      <c r="CW68" s="134"/>
      <c r="CX68" s="134"/>
      <c r="CY68" s="134"/>
      <c r="CZ68" s="134"/>
      <c r="DA68" s="134"/>
      <c r="DB68" s="300"/>
      <c r="DC68" s="301"/>
      <c r="DD68" s="134"/>
      <c r="DE68" s="134"/>
      <c r="DF68" s="134"/>
      <c r="DG68" s="134"/>
      <c r="DH68" s="134"/>
      <c r="DI68" s="134"/>
      <c r="DJ68" s="134"/>
      <c r="DK68" s="134"/>
      <c r="DL68" s="300"/>
      <c r="DM68" s="301"/>
      <c r="DN68" s="276"/>
      <c r="DO68" s="277"/>
      <c r="DP68" s="134"/>
      <c r="DQ68" s="134"/>
      <c r="DR68" s="134"/>
      <c r="DS68" s="134"/>
      <c r="DT68" s="138"/>
      <c r="DU68" s="134"/>
      <c r="DV68" s="134"/>
      <c r="DW68" s="134"/>
      <c r="DX68" s="301"/>
      <c r="DY68" s="301"/>
      <c r="DZ68" s="138"/>
      <c r="EA68" s="134"/>
      <c r="EB68" s="134"/>
      <c r="EC68" s="134"/>
      <c r="ED68" s="138"/>
      <c r="EE68" s="134"/>
      <c r="EF68" s="134"/>
      <c r="EG68" s="134"/>
      <c r="EH68" s="301"/>
      <c r="EI68" s="301"/>
      <c r="EJ68" s="277"/>
      <c r="EK68" s="134"/>
      <c r="EL68" s="134"/>
      <c r="EM68" s="134"/>
      <c r="EN68" s="134"/>
      <c r="EO68" s="134"/>
      <c r="EP68" s="134"/>
      <c r="EQ68" s="134"/>
      <c r="ER68" s="134"/>
      <c r="ES68" s="301"/>
      <c r="ET68" s="301"/>
      <c r="EU68" s="134"/>
      <c r="EV68" s="134"/>
      <c r="EW68" s="134"/>
      <c r="EX68" s="134"/>
      <c r="EY68" s="134"/>
      <c r="EZ68" s="134"/>
      <c r="FA68" s="134"/>
      <c r="FB68" s="134"/>
      <c r="FC68" s="135"/>
      <c r="FD68" s="135"/>
      <c r="FE68" s="134"/>
      <c r="FF68" s="134"/>
      <c r="FG68" s="134"/>
      <c r="FH68" s="134"/>
      <c r="FI68" s="134"/>
      <c r="FJ68" s="134"/>
      <c r="FK68" s="134"/>
      <c r="FL68" s="134"/>
      <c r="FM68" s="135"/>
      <c r="FN68" s="135"/>
      <c r="FO68" s="134"/>
      <c r="FP68" s="134"/>
      <c r="FQ68" s="134"/>
      <c r="FR68" s="134"/>
      <c r="FS68" s="134"/>
      <c r="FT68" s="134"/>
      <c r="FU68" s="134"/>
      <c r="FV68" s="134"/>
      <c r="FW68" s="135"/>
      <c r="FX68" s="135"/>
      <c r="FY68" s="134"/>
      <c r="FZ68" s="134"/>
      <c r="GA68" s="134"/>
      <c r="GB68" s="134"/>
      <c r="GC68" s="134"/>
      <c r="GD68" s="134"/>
      <c r="GE68" s="134"/>
      <c r="GF68" s="134"/>
      <c r="GG68" s="135"/>
      <c r="GH68" s="135"/>
      <c r="GI68" s="134"/>
      <c r="GJ68" s="134"/>
      <c r="GK68" s="134"/>
      <c r="GL68" s="134"/>
      <c r="GM68" s="134"/>
      <c r="GN68" s="134"/>
      <c r="GO68" s="134"/>
      <c r="GP68" s="134"/>
      <c r="GQ68" s="135"/>
      <c r="GR68" s="135"/>
      <c r="GS68" s="134"/>
      <c r="GT68" s="134"/>
      <c r="GU68" s="134"/>
      <c r="GV68" s="134"/>
      <c r="GW68" s="134"/>
      <c r="GX68" s="134"/>
      <c r="GY68" s="134"/>
      <c r="GZ68" s="134"/>
      <c r="HA68" s="135"/>
      <c r="HB68" s="135"/>
      <c r="HC68" s="134"/>
      <c r="HD68" s="134"/>
      <c r="HE68" s="134"/>
      <c r="HF68" s="134"/>
      <c r="HG68" s="134"/>
      <c r="HH68" s="134"/>
      <c r="HI68" s="134"/>
      <c r="HJ68" s="134"/>
      <c r="HK68" s="135"/>
      <c r="HL68" s="135"/>
      <c r="HM68" s="134"/>
      <c r="HN68" s="134"/>
      <c r="HO68" s="134"/>
      <c r="HP68" s="134"/>
      <c r="HQ68" s="134"/>
      <c r="HR68" s="134"/>
      <c r="HS68" s="134"/>
      <c r="HT68" s="134"/>
      <c r="HU68" s="135"/>
      <c r="HV68" s="135"/>
      <c r="HW68" s="134"/>
      <c r="HX68" s="134"/>
      <c r="HY68" s="134"/>
      <c r="HZ68" s="134"/>
      <c r="IA68" s="134"/>
      <c r="IB68" s="134"/>
      <c r="IC68" s="134"/>
      <c r="ID68" s="134"/>
      <c r="IE68" s="135"/>
      <c r="IF68" s="135"/>
      <c r="IG68" s="134"/>
      <c r="IH68" s="134"/>
      <c r="II68" s="134"/>
      <c r="IJ68" s="134"/>
      <c r="IK68" s="134"/>
      <c r="IL68" s="134"/>
      <c r="IM68" s="134"/>
      <c r="IN68" s="134"/>
      <c r="IO68" s="135"/>
      <c r="IP68" s="135"/>
      <c r="IQ68" s="134"/>
      <c r="IR68" s="134"/>
      <c r="IS68" s="134"/>
      <c r="IT68" s="134"/>
      <c r="IU68" s="134"/>
      <c r="IV68" s="134"/>
      <c r="IW68" s="134"/>
      <c r="IX68" s="134"/>
      <c r="IY68" s="135"/>
      <c r="IZ68" s="135"/>
    </row>
    <row r="69" spans="1:260" s="338" customFormat="1" ht="17" customHeight="1">
      <c r="A69" s="79" t="s">
        <v>1007</v>
      </c>
      <c r="B69" s="418">
        <v>183</v>
      </c>
      <c r="C69" s="117"/>
      <c r="D69" s="117">
        <v>68</v>
      </c>
      <c r="E69" s="123" t="s">
        <v>2100</v>
      </c>
      <c r="F69" s="124" t="s">
        <v>2355</v>
      </c>
      <c r="G69" s="125">
        <v>1996</v>
      </c>
      <c r="H69" s="79">
        <v>8731522</v>
      </c>
      <c r="I69" s="79">
        <v>1</v>
      </c>
      <c r="J69" s="126">
        <v>1</v>
      </c>
      <c r="K69" s="127"/>
      <c r="L69" s="79">
        <v>1</v>
      </c>
      <c r="M69" s="79"/>
      <c r="N69" s="79">
        <v>1</v>
      </c>
      <c r="O69" s="128">
        <v>2</v>
      </c>
      <c r="P69" s="79"/>
      <c r="Q69" s="79"/>
      <c r="R69" s="79" t="s">
        <v>1234</v>
      </c>
      <c r="S69" s="79"/>
      <c r="T69" s="79" t="s">
        <v>1446</v>
      </c>
      <c r="U69" s="79" t="s">
        <v>803</v>
      </c>
      <c r="V69" s="79"/>
      <c r="W69" s="79" t="s">
        <v>1447</v>
      </c>
      <c r="X69" s="79"/>
      <c r="Y69" s="79"/>
      <c r="Z69" s="79"/>
      <c r="AA69" s="79"/>
      <c r="AB69" s="79" t="s">
        <v>1448</v>
      </c>
      <c r="AC69" s="506" t="s">
        <v>6256</v>
      </c>
      <c r="AD69" s="573">
        <v>1</v>
      </c>
      <c r="AE69" s="573">
        <v>1</v>
      </c>
      <c r="AF69" s="154"/>
      <c r="AG69" s="155"/>
      <c r="AH69" s="121">
        <v>4</v>
      </c>
      <c r="AI69" s="484"/>
      <c r="AJ69" s="202"/>
      <c r="AK69" s="192"/>
      <c r="AL69" s="203"/>
      <c r="AM69" s="121"/>
      <c r="AN69" s="121"/>
      <c r="AO69" s="121"/>
      <c r="AP69" s="121"/>
      <c r="AQ69" s="121"/>
      <c r="AR69" s="121"/>
      <c r="AS69" s="121"/>
      <c r="AT69" s="121"/>
      <c r="AU69" s="121"/>
      <c r="AV69" s="121"/>
      <c r="AW69" s="121"/>
      <c r="AX69" s="121"/>
      <c r="AY69" s="121"/>
      <c r="AZ69" s="121"/>
      <c r="BA69" s="121"/>
      <c r="BB69" s="121"/>
      <c r="BC69" s="121"/>
      <c r="BD69" s="156" t="s">
        <v>4727</v>
      </c>
      <c r="BE69" s="156" t="s">
        <v>6205</v>
      </c>
      <c r="BF69" s="156"/>
      <c r="BG69" s="156"/>
      <c r="BH69" s="156"/>
      <c r="BI69" s="156"/>
      <c r="BJ69" s="156"/>
      <c r="BK69" s="156"/>
      <c r="BL69" s="156"/>
      <c r="BM69" s="156"/>
      <c r="BN69" s="156"/>
      <c r="BO69" s="156"/>
      <c r="BP69" s="156"/>
      <c r="BQ69" s="157"/>
      <c r="BR69" s="134"/>
      <c r="BS69" s="134"/>
      <c r="BT69" s="134"/>
      <c r="BU69" s="134"/>
      <c r="BV69" s="134"/>
      <c r="BW69" s="259"/>
      <c r="BX69" s="138"/>
      <c r="BY69" s="134"/>
      <c r="BZ69" s="134"/>
      <c r="CA69" s="134"/>
      <c r="CB69" s="138"/>
      <c r="CC69" s="134"/>
      <c r="CD69" s="134"/>
      <c r="CE69" s="134"/>
      <c r="CF69" s="288"/>
      <c r="CG69" s="289"/>
      <c r="CH69" s="138"/>
      <c r="CI69" s="134"/>
      <c r="CJ69" s="134"/>
      <c r="CK69" s="134"/>
      <c r="CL69" s="138"/>
      <c r="CM69" s="134"/>
      <c r="CN69" s="134"/>
      <c r="CO69" s="134"/>
      <c r="CP69" s="288"/>
      <c r="CQ69" s="289"/>
      <c r="CR69" s="276"/>
      <c r="CS69" s="308"/>
      <c r="CT69" s="138"/>
      <c r="CU69" s="134"/>
      <c r="CV69" s="134"/>
      <c r="CW69" s="134"/>
      <c r="CX69" s="134"/>
      <c r="CY69" s="134"/>
      <c r="CZ69" s="134"/>
      <c r="DA69" s="134"/>
      <c r="DB69" s="300"/>
      <c r="DC69" s="301"/>
      <c r="DD69" s="134"/>
      <c r="DE69" s="134"/>
      <c r="DF69" s="134"/>
      <c r="DG69" s="134"/>
      <c r="DH69" s="134"/>
      <c r="DI69" s="134"/>
      <c r="DJ69" s="134"/>
      <c r="DK69" s="134"/>
      <c r="DL69" s="300"/>
      <c r="DM69" s="301"/>
      <c r="DN69" s="276"/>
      <c r="DO69" s="277"/>
      <c r="DP69" s="134"/>
      <c r="DQ69" s="134"/>
      <c r="DR69" s="134"/>
      <c r="DS69" s="134"/>
      <c r="DT69" s="138"/>
      <c r="DU69" s="134"/>
      <c r="DV69" s="134"/>
      <c r="DW69" s="134"/>
      <c r="DX69" s="301"/>
      <c r="DY69" s="301"/>
      <c r="DZ69" s="138"/>
      <c r="EA69" s="134"/>
      <c r="EB69" s="134"/>
      <c r="EC69" s="134"/>
      <c r="ED69" s="138"/>
      <c r="EE69" s="134"/>
      <c r="EF69" s="134"/>
      <c r="EG69" s="134"/>
      <c r="EH69" s="301"/>
      <c r="EI69" s="301"/>
      <c r="EJ69" s="277"/>
      <c r="EK69" s="134"/>
      <c r="EL69" s="134"/>
      <c r="EM69" s="134"/>
      <c r="EN69" s="134"/>
      <c r="EO69" s="134"/>
      <c r="EP69" s="134"/>
      <c r="EQ69" s="134"/>
      <c r="ER69" s="134"/>
      <c r="ES69" s="301"/>
      <c r="ET69" s="301"/>
      <c r="EU69" s="134"/>
      <c r="EV69" s="134"/>
      <c r="EW69" s="134"/>
      <c r="EX69" s="134"/>
      <c r="EY69" s="134"/>
      <c r="EZ69" s="134"/>
      <c r="FA69" s="134"/>
      <c r="FB69" s="134"/>
      <c r="FC69" s="135"/>
      <c r="FD69" s="135"/>
      <c r="FE69" s="134"/>
      <c r="FF69" s="134"/>
      <c r="FG69" s="134"/>
      <c r="FH69" s="134"/>
      <c r="FI69" s="134"/>
      <c r="FJ69" s="134"/>
      <c r="FK69" s="134"/>
      <c r="FL69" s="134"/>
      <c r="FM69" s="135"/>
      <c r="FN69" s="135"/>
      <c r="FO69" s="134"/>
      <c r="FP69" s="134"/>
      <c r="FQ69" s="134"/>
      <c r="FR69" s="134"/>
      <c r="FS69" s="134"/>
      <c r="FT69" s="134"/>
      <c r="FU69" s="134"/>
      <c r="FV69" s="134"/>
      <c r="FW69" s="135"/>
      <c r="FX69" s="135"/>
      <c r="FY69" s="134"/>
      <c r="FZ69" s="134"/>
      <c r="GA69" s="134"/>
      <c r="GB69" s="134"/>
      <c r="GC69" s="134"/>
      <c r="GD69" s="134"/>
      <c r="GE69" s="134"/>
      <c r="GF69" s="134"/>
      <c r="GG69" s="135"/>
      <c r="GH69" s="135"/>
      <c r="GI69" s="134"/>
      <c r="GJ69" s="134"/>
      <c r="GK69" s="134"/>
      <c r="GL69" s="134"/>
      <c r="GM69" s="134"/>
      <c r="GN69" s="134"/>
      <c r="GO69" s="134"/>
      <c r="GP69" s="134"/>
      <c r="GQ69" s="135"/>
      <c r="GR69" s="135"/>
      <c r="GS69" s="134"/>
      <c r="GT69" s="134"/>
      <c r="GU69" s="134"/>
      <c r="GV69" s="134"/>
      <c r="GW69" s="134"/>
      <c r="GX69" s="134"/>
      <c r="GY69" s="134"/>
      <c r="GZ69" s="134"/>
      <c r="HA69" s="135"/>
      <c r="HB69" s="135"/>
      <c r="HC69" s="134"/>
      <c r="HD69" s="134"/>
      <c r="HE69" s="134"/>
      <c r="HF69" s="134"/>
      <c r="HG69" s="134"/>
      <c r="HH69" s="134"/>
      <c r="HI69" s="134"/>
      <c r="HJ69" s="134"/>
      <c r="HK69" s="135"/>
      <c r="HL69" s="135"/>
      <c r="HM69" s="134"/>
      <c r="HN69" s="134"/>
      <c r="HO69" s="134"/>
      <c r="HP69" s="134"/>
      <c r="HQ69" s="134"/>
      <c r="HR69" s="134"/>
      <c r="HS69" s="134"/>
      <c r="HT69" s="134"/>
      <c r="HU69" s="135"/>
      <c r="HV69" s="135"/>
      <c r="HW69" s="134"/>
      <c r="HX69" s="134"/>
      <c r="HY69" s="134"/>
      <c r="HZ69" s="134"/>
      <c r="IA69" s="134"/>
      <c r="IB69" s="134"/>
      <c r="IC69" s="134"/>
      <c r="ID69" s="134"/>
      <c r="IE69" s="135"/>
      <c r="IF69" s="135"/>
      <c r="IG69" s="134"/>
      <c r="IH69" s="134"/>
      <c r="II69" s="134"/>
      <c r="IJ69" s="134"/>
      <c r="IK69" s="134"/>
      <c r="IL69" s="134"/>
      <c r="IM69" s="134"/>
      <c r="IN69" s="134"/>
      <c r="IO69" s="135"/>
      <c r="IP69" s="135"/>
      <c r="IQ69" s="134"/>
      <c r="IR69" s="134"/>
      <c r="IS69" s="134"/>
      <c r="IT69" s="134"/>
      <c r="IU69" s="134"/>
      <c r="IV69" s="134"/>
      <c r="IW69" s="134"/>
      <c r="IX69" s="134"/>
      <c r="IY69" s="135"/>
      <c r="IZ69" s="135"/>
    </row>
    <row r="70" spans="1:260" s="338" customFormat="1" ht="17" customHeight="1">
      <c r="A70" s="79" t="s">
        <v>998</v>
      </c>
      <c r="B70" s="418">
        <v>188</v>
      </c>
      <c r="C70" s="117"/>
      <c r="D70" s="117">
        <v>69</v>
      </c>
      <c r="E70" s="123" t="s">
        <v>2104</v>
      </c>
      <c r="F70" s="124" t="s">
        <v>2362</v>
      </c>
      <c r="G70" s="125">
        <v>2016</v>
      </c>
      <c r="H70" s="79">
        <v>27616342</v>
      </c>
      <c r="I70" s="79">
        <v>1</v>
      </c>
      <c r="J70" s="126"/>
      <c r="K70" s="127"/>
      <c r="L70" s="79">
        <v>1</v>
      </c>
      <c r="M70" s="79"/>
      <c r="N70" s="79">
        <v>1</v>
      </c>
      <c r="O70" s="128">
        <v>2</v>
      </c>
      <c r="P70" s="79" t="s">
        <v>1472</v>
      </c>
      <c r="Q70" s="79" t="s">
        <v>1166</v>
      </c>
      <c r="R70" s="79" t="s">
        <v>1127</v>
      </c>
      <c r="S70" s="79"/>
      <c r="T70" s="79" t="s">
        <v>1487</v>
      </c>
      <c r="U70" s="79" t="s">
        <v>23</v>
      </c>
      <c r="V70" s="79"/>
      <c r="W70" s="79" t="s">
        <v>1473</v>
      </c>
      <c r="X70" s="79" t="s">
        <v>1474</v>
      </c>
      <c r="Y70" s="79"/>
      <c r="Z70" s="79"/>
      <c r="AA70" s="79"/>
      <c r="AB70" s="79"/>
      <c r="AC70" s="506" t="s">
        <v>6257</v>
      </c>
      <c r="AD70" s="573">
        <v>1</v>
      </c>
      <c r="AE70" s="573" t="s">
        <v>6258</v>
      </c>
      <c r="AF70" s="154"/>
      <c r="AG70" s="155"/>
      <c r="AH70" s="121">
        <v>4</v>
      </c>
      <c r="AI70" s="484"/>
      <c r="AJ70" s="202"/>
      <c r="AK70" s="192"/>
      <c r="AL70" s="203"/>
      <c r="AM70" s="121"/>
      <c r="AN70" s="121"/>
      <c r="AO70" s="121"/>
      <c r="AP70" s="121"/>
      <c r="AQ70" s="121"/>
      <c r="AR70" s="121"/>
      <c r="AS70" s="121"/>
      <c r="AT70" s="121"/>
      <c r="AU70" s="121"/>
      <c r="AV70" s="121"/>
      <c r="AW70" s="121"/>
      <c r="AX70" s="121"/>
      <c r="AY70" s="121"/>
      <c r="AZ70" s="121"/>
      <c r="BA70" s="121"/>
      <c r="BB70" s="121"/>
      <c r="BC70" s="121"/>
      <c r="BD70" s="156"/>
      <c r="BE70" s="156"/>
      <c r="BF70" s="156" t="s">
        <v>6209</v>
      </c>
      <c r="BG70" s="156" t="s">
        <v>1917</v>
      </c>
      <c r="BH70" s="156"/>
      <c r="BI70" s="156" t="s">
        <v>4727</v>
      </c>
      <c r="BJ70" s="156"/>
      <c r="BK70" s="156"/>
      <c r="BL70" s="156"/>
      <c r="BM70" s="156"/>
      <c r="BN70" s="156"/>
      <c r="BO70" s="156"/>
      <c r="BP70" s="156"/>
      <c r="BQ70" s="157"/>
      <c r="BR70" s="134"/>
      <c r="BS70" s="134"/>
      <c r="BT70" s="134"/>
      <c r="BU70" s="134"/>
      <c r="BV70" s="134"/>
      <c r="BW70" s="259"/>
      <c r="BX70" s="138"/>
      <c r="BY70" s="134"/>
      <c r="BZ70" s="134"/>
      <c r="CA70" s="134"/>
      <c r="CB70" s="138"/>
      <c r="CC70" s="134"/>
      <c r="CD70" s="134"/>
      <c r="CE70" s="134"/>
      <c r="CF70" s="288"/>
      <c r="CG70" s="289"/>
      <c r="CH70" s="138"/>
      <c r="CI70" s="134"/>
      <c r="CJ70" s="134"/>
      <c r="CK70" s="134"/>
      <c r="CL70" s="138"/>
      <c r="CM70" s="134"/>
      <c r="CN70" s="134"/>
      <c r="CO70" s="134"/>
      <c r="CP70" s="288"/>
      <c r="CQ70" s="289"/>
      <c r="CR70" s="276"/>
      <c r="CS70" s="308"/>
      <c r="CT70" s="138"/>
      <c r="CU70" s="134"/>
      <c r="CV70" s="134"/>
      <c r="CW70" s="134"/>
      <c r="CX70" s="134"/>
      <c r="CY70" s="134"/>
      <c r="CZ70" s="134"/>
      <c r="DA70" s="134"/>
      <c r="DB70" s="300"/>
      <c r="DC70" s="301"/>
      <c r="DD70" s="134"/>
      <c r="DE70" s="134"/>
      <c r="DF70" s="134"/>
      <c r="DG70" s="134"/>
      <c r="DH70" s="134"/>
      <c r="DI70" s="134"/>
      <c r="DJ70" s="134"/>
      <c r="DK70" s="134"/>
      <c r="DL70" s="300"/>
      <c r="DM70" s="301"/>
      <c r="DN70" s="276"/>
      <c r="DO70" s="277"/>
      <c r="DP70" s="134"/>
      <c r="DQ70" s="134"/>
      <c r="DR70" s="134"/>
      <c r="DS70" s="134"/>
      <c r="DT70" s="138"/>
      <c r="DU70" s="134"/>
      <c r="DV70" s="134"/>
      <c r="DW70" s="134"/>
      <c r="DX70" s="301"/>
      <c r="DY70" s="301"/>
      <c r="DZ70" s="138"/>
      <c r="EA70" s="134"/>
      <c r="EB70" s="134"/>
      <c r="EC70" s="134"/>
      <c r="ED70" s="138"/>
      <c r="EE70" s="134"/>
      <c r="EF70" s="134"/>
      <c r="EG70" s="134"/>
      <c r="EH70" s="301"/>
      <c r="EI70" s="301"/>
      <c r="EJ70" s="277"/>
      <c r="EK70" s="134"/>
      <c r="EL70" s="134"/>
      <c r="EM70" s="134"/>
      <c r="EN70" s="134"/>
      <c r="EO70" s="134"/>
      <c r="EP70" s="134"/>
      <c r="EQ70" s="134"/>
      <c r="ER70" s="134"/>
      <c r="ES70" s="301"/>
      <c r="ET70" s="301"/>
      <c r="EU70" s="134"/>
      <c r="EV70" s="134"/>
      <c r="EW70" s="134"/>
      <c r="EX70" s="134"/>
      <c r="EY70" s="134"/>
      <c r="EZ70" s="134"/>
      <c r="FA70" s="134"/>
      <c r="FB70" s="134"/>
      <c r="FC70" s="135"/>
      <c r="FD70" s="135"/>
      <c r="FE70" s="134"/>
      <c r="FF70" s="134"/>
      <c r="FG70" s="134"/>
      <c r="FH70" s="134"/>
      <c r="FI70" s="134"/>
      <c r="FJ70" s="134"/>
      <c r="FK70" s="134"/>
      <c r="FL70" s="134"/>
      <c r="FM70" s="135"/>
      <c r="FN70" s="135"/>
      <c r="FO70" s="134"/>
      <c r="FP70" s="134"/>
      <c r="FQ70" s="134"/>
      <c r="FR70" s="134"/>
      <c r="FS70" s="134"/>
      <c r="FT70" s="134"/>
      <c r="FU70" s="134"/>
      <c r="FV70" s="134"/>
      <c r="FW70" s="135"/>
      <c r="FX70" s="135"/>
      <c r="FY70" s="134"/>
      <c r="FZ70" s="134"/>
      <c r="GA70" s="134"/>
      <c r="GB70" s="134"/>
      <c r="GC70" s="134"/>
      <c r="GD70" s="134"/>
      <c r="GE70" s="134"/>
      <c r="GF70" s="134"/>
      <c r="GG70" s="135"/>
      <c r="GH70" s="135"/>
      <c r="GI70" s="134"/>
      <c r="GJ70" s="134"/>
      <c r="GK70" s="134"/>
      <c r="GL70" s="134"/>
      <c r="GM70" s="134"/>
      <c r="GN70" s="134"/>
      <c r="GO70" s="134"/>
      <c r="GP70" s="134"/>
      <c r="GQ70" s="135"/>
      <c r="GR70" s="135"/>
      <c r="GS70" s="134"/>
      <c r="GT70" s="134"/>
      <c r="GU70" s="134"/>
      <c r="GV70" s="134"/>
      <c r="GW70" s="134"/>
      <c r="GX70" s="134"/>
      <c r="GY70" s="134"/>
      <c r="GZ70" s="134"/>
      <c r="HA70" s="135"/>
      <c r="HB70" s="135"/>
      <c r="HC70" s="134"/>
      <c r="HD70" s="134"/>
      <c r="HE70" s="134"/>
      <c r="HF70" s="134"/>
      <c r="HG70" s="134"/>
      <c r="HH70" s="134"/>
      <c r="HI70" s="134"/>
      <c r="HJ70" s="134"/>
      <c r="HK70" s="135"/>
      <c r="HL70" s="135"/>
      <c r="HM70" s="134"/>
      <c r="HN70" s="134"/>
      <c r="HO70" s="134"/>
      <c r="HP70" s="134"/>
      <c r="HQ70" s="134"/>
      <c r="HR70" s="134"/>
      <c r="HS70" s="134"/>
      <c r="HT70" s="134"/>
      <c r="HU70" s="135"/>
      <c r="HV70" s="135"/>
      <c r="HW70" s="134"/>
      <c r="HX70" s="134"/>
      <c r="HY70" s="134"/>
      <c r="HZ70" s="134"/>
      <c r="IA70" s="134"/>
      <c r="IB70" s="134"/>
      <c r="IC70" s="134"/>
      <c r="ID70" s="134"/>
      <c r="IE70" s="135"/>
      <c r="IF70" s="135"/>
      <c r="IG70" s="134"/>
      <c r="IH70" s="134"/>
      <c r="II70" s="134"/>
      <c r="IJ70" s="134"/>
      <c r="IK70" s="134"/>
      <c r="IL70" s="134"/>
      <c r="IM70" s="134"/>
      <c r="IN70" s="134"/>
      <c r="IO70" s="135"/>
      <c r="IP70" s="135"/>
      <c r="IQ70" s="134"/>
      <c r="IR70" s="134"/>
      <c r="IS70" s="134"/>
      <c r="IT70" s="134"/>
      <c r="IU70" s="134"/>
      <c r="IV70" s="134"/>
      <c r="IW70" s="134"/>
      <c r="IX70" s="134"/>
      <c r="IY70" s="135"/>
      <c r="IZ70" s="135"/>
    </row>
    <row r="71" spans="1:260" s="338" customFormat="1" ht="17" customHeight="1">
      <c r="A71" s="79" t="s">
        <v>258</v>
      </c>
      <c r="B71" s="418">
        <v>189</v>
      </c>
      <c r="C71" s="117"/>
      <c r="D71" s="117">
        <v>70</v>
      </c>
      <c r="E71" s="123" t="s">
        <v>2001</v>
      </c>
      <c r="F71" s="124" t="s">
        <v>2232</v>
      </c>
      <c r="G71" s="125">
        <v>2010</v>
      </c>
      <c r="H71" s="79">
        <v>21093682</v>
      </c>
      <c r="I71" s="175" t="s">
        <v>6259</v>
      </c>
      <c r="J71" s="126" t="s">
        <v>1745</v>
      </c>
      <c r="K71" s="127" t="s">
        <v>1745</v>
      </c>
      <c r="L71" s="164">
        <v>1</v>
      </c>
      <c r="M71" s="79" t="s">
        <v>1748</v>
      </c>
      <c r="N71" s="79">
        <v>0</v>
      </c>
      <c r="O71" s="128">
        <v>1</v>
      </c>
      <c r="P71" s="79"/>
      <c r="Q71" s="79"/>
      <c r="R71" s="79" t="s">
        <v>693</v>
      </c>
      <c r="S71" s="79"/>
      <c r="T71" s="79"/>
      <c r="U71" s="79"/>
      <c r="V71" s="79"/>
      <c r="W71" s="79"/>
      <c r="X71" s="79"/>
      <c r="Y71" s="79"/>
      <c r="Z71" s="79"/>
      <c r="AA71" s="79"/>
      <c r="AB71" s="79" t="s">
        <v>516</v>
      </c>
      <c r="AC71" s="506" t="s">
        <v>6261</v>
      </c>
      <c r="AD71" s="573">
        <v>1</v>
      </c>
      <c r="AE71" s="573">
        <v>0</v>
      </c>
      <c r="AF71" s="165">
        <v>0</v>
      </c>
      <c r="AG71" s="166" t="s">
        <v>6260</v>
      </c>
      <c r="AH71" s="121"/>
      <c r="AI71" s="484"/>
      <c r="AJ71" s="535"/>
      <c r="AK71" s="192"/>
      <c r="AL71" s="203"/>
      <c r="AM71" s="121"/>
      <c r="AN71" s="121"/>
      <c r="AO71" s="121"/>
      <c r="AP71" s="121"/>
      <c r="AQ71" s="121"/>
      <c r="AR71" s="121"/>
      <c r="AS71" s="121"/>
      <c r="AT71" s="121"/>
      <c r="AU71" s="121"/>
      <c r="AV71" s="121"/>
      <c r="AW71" s="121"/>
      <c r="AX71" s="121"/>
      <c r="AY71" s="121"/>
      <c r="AZ71" s="121"/>
      <c r="BA71" s="121"/>
      <c r="BB71" s="121"/>
      <c r="BC71" s="121"/>
      <c r="BD71" s="156"/>
      <c r="BE71" s="156"/>
      <c r="BF71" s="156"/>
      <c r="BG71" s="156"/>
      <c r="BH71" s="156"/>
      <c r="BI71" s="156" t="s">
        <v>5207</v>
      </c>
      <c r="BJ71" s="156"/>
      <c r="BK71" s="156"/>
      <c r="BL71" s="156"/>
      <c r="BM71" s="156"/>
      <c r="BN71" s="156"/>
      <c r="BO71" s="156"/>
      <c r="BP71" s="156"/>
      <c r="BQ71" s="157"/>
      <c r="BR71" s="134"/>
      <c r="BS71" s="134"/>
      <c r="BT71" s="134"/>
      <c r="BU71" s="134"/>
      <c r="BV71" s="134"/>
      <c r="BW71" s="259"/>
      <c r="BX71" s="138"/>
      <c r="BY71" s="134"/>
      <c r="BZ71" s="134"/>
      <c r="CA71" s="134"/>
      <c r="CB71" s="138"/>
      <c r="CC71" s="134"/>
      <c r="CD71" s="134"/>
      <c r="CE71" s="134"/>
      <c r="CF71" s="288"/>
      <c r="CG71" s="289"/>
      <c r="CH71" s="138"/>
      <c r="CI71" s="134"/>
      <c r="CJ71" s="134"/>
      <c r="CK71" s="134"/>
      <c r="CL71" s="138"/>
      <c r="CM71" s="134"/>
      <c r="CN71" s="134"/>
      <c r="CO71" s="134"/>
      <c r="CP71" s="288"/>
      <c r="CQ71" s="289"/>
      <c r="CR71" s="276"/>
      <c r="CS71" s="308"/>
      <c r="CT71" s="138"/>
      <c r="CU71" s="134"/>
      <c r="CV71" s="134"/>
      <c r="CW71" s="134"/>
      <c r="CX71" s="134"/>
      <c r="CY71" s="134"/>
      <c r="CZ71" s="134"/>
      <c r="DA71" s="134"/>
      <c r="DB71" s="300"/>
      <c r="DC71" s="301"/>
      <c r="DD71" s="134"/>
      <c r="DE71" s="134"/>
      <c r="DF71" s="134"/>
      <c r="DG71" s="134"/>
      <c r="DH71" s="134"/>
      <c r="DI71" s="134"/>
      <c r="DJ71" s="134"/>
      <c r="DK71" s="134"/>
      <c r="DL71" s="300"/>
      <c r="DM71" s="301"/>
      <c r="DN71" s="276"/>
      <c r="DO71" s="277"/>
      <c r="DP71" s="134"/>
      <c r="DQ71" s="134"/>
      <c r="DR71" s="134"/>
      <c r="DS71" s="134"/>
      <c r="DT71" s="138"/>
      <c r="DU71" s="134"/>
      <c r="DV71" s="134"/>
      <c r="DW71" s="134"/>
      <c r="DX71" s="301"/>
      <c r="DY71" s="301"/>
      <c r="DZ71" s="138"/>
      <c r="EA71" s="134"/>
      <c r="EB71" s="134"/>
      <c r="EC71" s="134"/>
      <c r="ED71" s="138"/>
      <c r="EE71" s="134"/>
      <c r="EF71" s="134"/>
      <c r="EG71" s="134"/>
      <c r="EH71" s="301"/>
      <c r="EI71" s="301"/>
      <c r="EJ71" s="277"/>
      <c r="EK71" s="134"/>
      <c r="EL71" s="134"/>
      <c r="EM71" s="134"/>
      <c r="EN71" s="134"/>
      <c r="EO71" s="134"/>
      <c r="EP71" s="134"/>
      <c r="EQ71" s="134"/>
      <c r="ER71" s="134"/>
      <c r="ES71" s="301"/>
      <c r="ET71" s="301"/>
      <c r="EU71" s="134"/>
      <c r="EV71" s="134"/>
      <c r="EW71" s="134"/>
      <c r="EX71" s="134"/>
      <c r="EY71" s="134"/>
      <c r="EZ71" s="134"/>
      <c r="FA71" s="134"/>
      <c r="FB71" s="134"/>
      <c r="FC71" s="135"/>
      <c r="FD71" s="135"/>
      <c r="FE71" s="134"/>
      <c r="FF71" s="134"/>
      <c r="FG71" s="134"/>
      <c r="FH71" s="134"/>
      <c r="FI71" s="134"/>
      <c r="FJ71" s="134"/>
      <c r="FK71" s="134"/>
      <c r="FL71" s="134"/>
      <c r="FM71" s="135"/>
      <c r="FN71" s="135"/>
      <c r="FO71" s="134"/>
      <c r="FP71" s="134"/>
      <c r="FQ71" s="134"/>
      <c r="FR71" s="134"/>
      <c r="FS71" s="134"/>
      <c r="FT71" s="134"/>
      <c r="FU71" s="134"/>
      <c r="FV71" s="134"/>
      <c r="FW71" s="135"/>
      <c r="FX71" s="135"/>
      <c r="FY71" s="134"/>
      <c r="FZ71" s="134"/>
      <c r="GA71" s="134"/>
      <c r="GB71" s="134"/>
      <c r="GC71" s="134"/>
      <c r="GD71" s="134"/>
      <c r="GE71" s="134"/>
      <c r="GF71" s="134"/>
      <c r="GG71" s="135"/>
      <c r="GH71" s="135"/>
      <c r="GI71" s="134"/>
      <c r="GJ71" s="134"/>
      <c r="GK71" s="134"/>
      <c r="GL71" s="134"/>
      <c r="GM71" s="134"/>
      <c r="GN71" s="134"/>
      <c r="GO71" s="134"/>
      <c r="GP71" s="134"/>
      <c r="GQ71" s="135"/>
      <c r="GR71" s="135"/>
      <c r="GS71" s="134"/>
      <c r="GT71" s="134"/>
      <c r="GU71" s="134"/>
      <c r="GV71" s="134"/>
      <c r="GW71" s="134"/>
      <c r="GX71" s="134"/>
      <c r="GY71" s="134"/>
      <c r="GZ71" s="134"/>
      <c r="HA71" s="135"/>
      <c r="HB71" s="135"/>
      <c r="HC71" s="134"/>
      <c r="HD71" s="134"/>
      <c r="HE71" s="134"/>
      <c r="HF71" s="134"/>
      <c r="HG71" s="134"/>
      <c r="HH71" s="134"/>
      <c r="HI71" s="134"/>
      <c r="HJ71" s="134"/>
      <c r="HK71" s="135"/>
      <c r="HL71" s="135"/>
      <c r="HM71" s="134"/>
      <c r="HN71" s="134"/>
      <c r="HO71" s="134"/>
      <c r="HP71" s="134"/>
      <c r="HQ71" s="134"/>
      <c r="HR71" s="134"/>
      <c r="HS71" s="134"/>
      <c r="HT71" s="134"/>
      <c r="HU71" s="135"/>
      <c r="HV71" s="135"/>
      <c r="HW71" s="134"/>
      <c r="HX71" s="134"/>
      <c r="HY71" s="134"/>
      <c r="HZ71" s="134"/>
      <c r="IA71" s="134"/>
      <c r="IB71" s="134"/>
      <c r="IC71" s="134"/>
      <c r="ID71" s="134"/>
      <c r="IE71" s="135"/>
      <c r="IF71" s="135"/>
      <c r="IG71" s="134"/>
      <c r="IH71" s="134"/>
      <c r="II71" s="134"/>
      <c r="IJ71" s="134"/>
      <c r="IK71" s="134"/>
      <c r="IL71" s="134"/>
      <c r="IM71" s="134"/>
      <c r="IN71" s="134"/>
      <c r="IO71" s="135"/>
      <c r="IP71" s="135"/>
      <c r="IQ71" s="134"/>
      <c r="IR71" s="134"/>
      <c r="IS71" s="134"/>
      <c r="IT71" s="134"/>
      <c r="IU71" s="134"/>
      <c r="IV71" s="134"/>
      <c r="IW71" s="134"/>
      <c r="IX71" s="134"/>
      <c r="IY71" s="135"/>
      <c r="IZ71" s="135"/>
    </row>
    <row r="72" spans="1:260" s="338" customFormat="1" ht="17" customHeight="1">
      <c r="A72" s="79" t="s">
        <v>991</v>
      </c>
      <c r="B72" s="418">
        <v>191</v>
      </c>
      <c r="C72" s="117"/>
      <c r="D72" s="117">
        <v>71</v>
      </c>
      <c r="E72" s="123" t="s">
        <v>2109</v>
      </c>
      <c r="F72" s="124" t="s">
        <v>2368</v>
      </c>
      <c r="G72" s="125">
        <v>2013</v>
      </c>
      <c r="H72" s="79">
        <v>23624119</v>
      </c>
      <c r="I72" s="79">
        <v>1</v>
      </c>
      <c r="J72" s="126">
        <v>1</v>
      </c>
      <c r="K72" s="127"/>
      <c r="L72" s="79">
        <v>1</v>
      </c>
      <c r="M72" s="79"/>
      <c r="N72" s="79">
        <v>1</v>
      </c>
      <c r="O72" s="128">
        <v>2</v>
      </c>
      <c r="P72" s="79" t="s">
        <v>24</v>
      </c>
      <c r="Q72" s="79"/>
      <c r="R72" s="79" t="s">
        <v>1138</v>
      </c>
      <c r="S72" s="79"/>
      <c r="T72" s="79" t="s">
        <v>1498</v>
      </c>
      <c r="U72" s="79"/>
      <c r="V72" s="79"/>
      <c r="W72" s="79" t="s">
        <v>1521</v>
      </c>
      <c r="X72" s="79"/>
      <c r="Y72" s="79" t="s">
        <v>1132</v>
      </c>
      <c r="Z72" s="79"/>
      <c r="AA72" s="79"/>
      <c r="AB72" s="79" t="s">
        <v>1279</v>
      </c>
      <c r="AC72" s="506" t="s">
        <v>6262</v>
      </c>
      <c r="AD72" s="573">
        <v>1</v>
      </c>
      <c r="AE72" s="573" t="s">
        <v>6264</v>
      </c>
      <c r="AF72" s="154"/>
      <c r="AG72" s="155"/>
      <c r="AH72" s="121">
        <v>5</v>
      </c>
      <c r="AI72" s="484"/>
      <c r="AJ72" s="202"/>
      <c r="AK72" s="192"/>
      <c r="AL72" s="203"/>
      <c r="AM72" s="121"/>
      <c r="AN72" s="121"/>
      <c r="AO72" s="121"/>
      <c r="AP72" s="448"/>
      <c r="AQ72" s="448"/>
      <c r="AR72" s="448"/>
      <c r="AS72" s="121"/>
      <c r="AT72" s="448"/>
      <c r="AU72" s="121"/>
      <c r="AV72" s="121"/>
      <c r="AW72" s="121"/>
      <c r="AX72" s="121"/>
      <c r="AY72" s="121"/>
      <c r="AZ72" s="121"/>
      <c r="BA72" s="121"/>
      <c r="BB72" s="121"/>
      <c r="BC72" s="121"/>
      <c r="BD72" s="156" t="s">
        <v>6263</v>
      </c>
      <c r="BE72" s="156"/>
      <c r="BF72" s="156"/>
      <c r="BG72" s="156"/>
      <c r="BH72" s="156"/>
      <c r="BI72" s="156"/>
      <c r="BJ72" s="156"/>
      <c r="BK72" s="156"/>
      <c r="BL72" s="156"/>
      <c r="BM72" s="156"/>
      <c r="BN72" s="156"/>
      <c r="BO72" s="156"/>
      <c r="BP72" s="156"/>
      <c r="BQ72" s="157"/>
      <c r="BR72" s="134"/>
      <c r="BS72" s="134"/>
      <c r="BT72" s="134"/>
      <c r="BU72" s="134"/>
      <c r="BV72" s="134"/>
      <c r="BW72" s="454"/>
      <c r="BX72" s="138"/>
      <c r="BY72" s="190"/>
      <c r="BZ72" s="134"/>
      <c r="CA72" s="190"/>
      <c r="CB72" s="138"/>
      <c r="CC72" s="134"/>
      <c r="CD72" s="134"/>
      <c r="CE72" s="134"/>
      <c r="CF72" s="288"/>
      <c r="CG72" s="289"/>
      <c r="CH72" s="138"/>
      <c r="CI72" s="134"/>
      <c r="CJ72" s="134"/>
      <c r="CK72" s="134"/>
      <c r="CL72" s="138"/>
      <c r="CM72" s="134"/>
      <c r="CN72" s="134"/>
      <c r="CO72" s="134"/>
      <c r="CP72" s="288"/>
      <c r="CQ72" s="289"/>
      <c r="CR72" s="276"/>
      <c r="CS72" s="308"/>
      <c r="CT72" s="138"/>
      <c r="CU72" s="134"/>
      <c r="CV72" s="134"/>
      <c r="CW72" s="134"/>
      <c r="CX72" s="134"/>
      <c r="CY72" s="134"/>
      <c r="CZ72" s="134"/>
      <c r="DA72" s="134"/>
      <c r="DB72" s="300"/>
      <c r="DC72" s="301"/>
      <c r="DD72" s="134"/>
      <c r="DE72" s="134"/>
      <c r="DF72" s="134"/>
      <c r="DG72" s="134"/>
      <c r="DH72" s="134"/>
      <c r="DI72" s="134"/>
      <c r="DJ72" s="134"/>
      <c r="DK72" s="134"/>
      <c r="DL72" s="300"/>
      <c r="DM72" s="301"/>
      <c r="DN72" s="276"/>
      <c r="DO72" s="277"/>
      <c r="DP72" s="134"/>
      <c r="DQ72" s="134"/>
      <c r="DR72" s="134"/>
      <c r="DS72" s="134"/>
      <c r="DT72" s="138"/>
      <c r="DU72" s="134"/>
      <c r="DV72" s="134"/>
      <c r="DW72" s="134"/>
      <c r="DX72" s="301"/>
      <c r="DY72" s="301"/>
      <c r="DZ72" s="138"/>
      <c r="EA72" s="134"/>
      <c r="EB72" s="134"/>
      <c r="EC72" s="134"/>
      <c r="ED72" s="138"/>
      <c r="EE72" s="134"/>
      <c r="EF72" s="134"/>
      <c r="EG72" s="134"/>
      <c r="EH72" s="301"/>
      <c r="EI72" s="301"/>
      <c r="EJ72" s="277"/>
      <c r="EK72" s="134"/>
      <c r="EL72" s="134"/>
      <c r="EM72" s="134"/>
      <c r="EN72" s="134"/>
      <c r="EO72" s="134"/>
      <c r="EP72" s="134"/>
      <c r="EQ72" s="134"/>
      <c r="ER72" s="134"/>
      <c r="ES72" s="301"/>
      <c r="ET72" s="301"/>
      <c r="EU72" s="134"/>
      <c r="EV72" s="134"/>
      <c r="EW72" s="134"/>
      <c r="EX72" s="134"/>
      <c r="EY72" s="134"/>
      <c r="EZ72" s="134"/>
      <c r="FA72" s="134"/>
      <c r="FB72" s="134"/>
      <c r="FC72" s="135"/>
      <c r="FD72" s="135"/>
      <c r="FE72" s="134"/>
      <c r="FF72" s="134"/>
      <c r="FG72" s="134"/>
      <c r="FH72" s="134"/>
      <c r="FI72" s="134"/>
      <c r="FJ72" s="134"/>
      <c r="FK72" s="134"/>
      <c r="FL72" s="134"/>
      <c r="FM72" s="135"/>
      <c r="FN72" s="135"/>
      <c r="FO72" s="134"/>
      <c r="FP72" s="134"/>
      <c r="FQ72" s="134"/>
      <c r="FR72" s="134"/>
      <c r="FS72" s="134"/>
      <c r="FT72" s="134"/>
      <c r="FU72" s="134"/>
      <c r="FV72" s="134"/>
      <c r="FW72" s="135"/>
      <c r="FX72" s="135"/>
      <c r="FY72" s="134"/>
      <c r="FZ72" s="134"/>
      <c r="GA72" s="134"/>
      <c r="GB72" s="134"/>
      <c r="GC72" s="134"/>
      <c r="GD72" s="134"/>
      <c r="GE72" s="134"/>
      <c r="GF72" s="134"/>
      <c r="GG72" s="135"/>
      <c r="GH72" s="135"/>
      <c r="GI72" s="134"/>
      <c r="GJ72" s="134"/>
      <c r="GK72" s="134"/>
      <c r="GL72" s="134"/>
      <c r="GM72" s="134"/>
      <c r="GN72" s="134"/>
      <c r="GO72" s="134"/>
      <c r="GP72" s="134"/>
      <c r="GQ72" s="135"/>
      <c r="GR72" s="135"/>
      <c r="GS72" s="134"/>
      <c r="GT72" s="134"/>
      <c r="GU72" s="134"/>
      <c r="GV72" s="134"/>
      <c r="GW72" s="134"/>
      <c r="GX72" s="134"/>
      <c r="GY72" s="134"/>
      <c r="GZ72" s="134"/>
      <c r="HA72" s="135"/>
      <c r="HB72" s="135"/>
      <c r="HC72" s="134"/>
      <c r="HD72" s="134"/>
      <c r="HE72" s="134"/>
      <c r="HF72" s="134"/>
      <c r="HG72" s="134"/>
      <c r="HH72" s="134"/>
      <c r="HI72" s="134"/>
      <c r="HJ72" s="134"/>
      <c r="HK72" s="135"/>
      <c r="HL72" s="135"/>
      <c r="HM72" s="134"/>
      <c r="HN72" s="134"/>
      <c r="HO72" s="134"/>
      <c r="HP72" s="134"/>
      <c r="HQ72" s="134"/>
      <c r="HR72" s="134"/>
      <c r="HS72" s="134"/>
      <c r="HT72" s="134"/>
      <c r="HU72" s="135"/>
      <c r="HV72" s="135"/>
      <c r="HW72" s="134"/>
      <c r="HX72" s="134"/>
      <c r="HY72" s="134"/>
      <c r="HZ72" s="134"/>
      <c r="IA72" s="134"/>
      <c r="IB72" s="134"/>
      <c r="IC72" s="134"/>
      <c r="ID72" s="134"/>
      <c r="IE72" s="135"/>
      <c r="IF72" s="135"/>
      <c r="IG72" s="134"/>
      <c r="IH72" s="134"/>
      <c r="II72" s="134"/>
      <c r="IJ72" s="134"/>
      <c r="IK72" s="134"/>
      <c r="IL72" s="134"/>
      <c r="IM72" s="134"/>
      <c r="IN72" s="134"/>
      <c r="IO72" s="135"/>
      <c r="IP72" s="135"/>
      <c r="IQ72" s="134"/>
      <c r="IR72" s="134"/>
      <c r="IS72" s="134"/>
      <c r="IT72" s="134"/>
      <c r="IU72" s="134"/>
      <c r="IV72" s="134"/>
      <c r="IW72" s="134"/>
      <c r="IX72" s="134"/>
      <c r="IY72" s="135"/>
      <c r="IZ72" s="135"/>
    </row>
    <row r="73" spans="1:260" s="188" customFormat="1" ht="17" customHeight="1">
      <c r="A73" s="79" t="s">
        <v>263</v>
      </c>
      <c r="B73" s="418">
        <v>192</v>
      </c>
      <c r="C73" s="117"/>
      <c r="D73" s="117">
        <v>72</v>
      </c>
      <c r="E73" s="123" t="s">
        <v>2003</v>
      </c>
      <c r="F73" s="124" t="s">
        <v>2234</v>
      </c>
      <c r="G73" s="125">
        <v>2013</v>
      </c>
      <c r="H73" s="79">
        <v>23684979</v>
      </c>
      <c r="I73" s="79">
        <v>1</v>
      </c>
      <c r="J73" s="126" t="s">
        <v>1780</v>
      </c>
      <c r="K73" s="127" t="s">
        <v>1762</v>
      </c>
      <c r="L73" s="79">
        <v>1</v>
      </c>
      <c r="M73" s="79" t="s">
        <v>1749</v>
      </c>
      <c r="N73" s="79">
        <v>1</v>
      </c>
      <c r="O73" s="128">
        <v>1</v>
      </c>
      <c r="P73" s="79" t="s">
        <v>703</v>
      </c>
      <c r="Q73" s="79" t="s">
        <v>1163</v>
      </c>
      <c r="R73" s="79" t="s">
        <v>25</v>
      </c>
      <c r="S73" s="79">
        <v>1</v>
      </c>
      <c r="T73" s="79"/>
      <c r="U73" s="79"/>
      <c r="V73" s="79"/>
      <c r="W73" s="79" t="s">
        <v>701</v>
      </c>
      <c r="X73" s="79" t="s">
        <v>702</v>
      </c>
      <c r="Y73" s="79"/>
      <c r="Z73" s="79"/>
      <c r="AA73" s="79"/>
      <c r="AB73" s="79"/>
      <c r="AC73" s="506" t="s">
        <v>6265</v>
      </c>
      <c r="AD73" s="573">
        <v>1</v>
      </c>
      <c r="AE73" s="573">
        <v>0</v>
      </c>
      <c r="AF73" s="154"/>
      <c r="AG73" s="155"/>
      <c r="AH73" s="121">
        <v>2</v>
      </c>
      <c r="AI73" s="484"/>
      <c r="AJ73" s="202"/>
      <c r="AK73" s="192"/>
      <c r="AL73" s="203"/>
      <c r="AM73" s="121"/>
      <c r="AN73" s="121"/>
      <c r="AO73" s="121"/>
      <c r="AP73" s="121"/>
      <c r="AQ73" s="121"/>
      <c r="AR73" s="121"/>
      <c r="AS73" s="121"/>
      <c r="AT73" s="121"/>
      <c r="AU73" s="121"/>
      <c r="AV73" s="121"/>
      <c r="AW73" s="121"/>
      <c r="AX73" s="121"/>
      <c r="AY73" s="121"/>
      <c r="AZ73" s="121"/>
      <c r="BA73" s="121"/>
      <c r="BB73" s="121" t="s">
        <v>1917</v>
      </c>
      <c r="BC73" s="121"/>
      <c r="BD73" s="156"/>
      <c r="BE73" s="156"/>
      <c r="BF73" s="156" t="s">
        <v>5207</v>
      </c>
      <c r="BG73" s="156" t="s">
        <v>6175</v>
      </c>
      <c r="BH73" s="156"/>
      <c r="BI73" s="156" t="s">
        <v>5207</v>
      </c>
      <c r="BJ73" s="156"/>
      <c r="BK73" s="156" t="s">
        <v>6266</v>
      </c>
      <c r="BL73" s="156"/>
      <c r="BM73" s="156"/>
      <c r="BN73" s="156"/>
      <c r="BO73" s="156"/>
      <c r="BP73" s="156"/>
      <c r="BQ73" s="157"/>
      <c r="BR73" s="134"/>
      <c r="BS73" s="134"/>
      <c r="BT73" s="134"/>
      <c r="BU73" s="134"/>
      <c r="BV73" s="134"/>
      <c r="BW73" s="259"/>
      <c r="BX73" s="138"/>
      <c r="BY73" s="134"/>
      <c r="BZ73" s="134"/>
      <c r="CA73" s="134"/>
      <c r="CB73" s="138"/>
      <c r="CC73" s="134"/>
      <c r="CD73" s="134"/>
      <c r="CE73" s="134"/>
      <c r="CF73" s="288"/>
      <c r="CG73" s="437"/>
      <c r="CH73" s="138"/>
      <c r="CI73" s="134"/>
      <c r="CJ73" s="134"/>
      <c r="CK73" s="134"/>
      <c r="CL73" s="138"/>
      <c r="CM73" s="134"/>
      <c r="CN73" s="134"/>
      <c r="CO73" s="134"/>
      <c r="CP73" s="288"/>
      <c r="CQ73" s="289"/>
      <c r="CR73" s="276"/>
      <c r="CS73" s="308"/>
      <c r="CT73" s="138"/>
      <c r="CU73" s="134"/>
      <c r="CV73" s="134"/>
      <c r="CW73" s="134"/>
      <c r="CX73" s="134"/>
      <c r="CY73" s="134"/>
      <c r="CZ73" s="134"/>
      <c r="DA73" s="134"/>
      <c r="DB73" s="300"/>
      <c r="DC73" s="301"/>
      <c r="DD73" s="134"/>
      <c r="DE73" s="134"/>
      <c r="DF73" s="134"/>
      <c r="DG73" s="134"/>
      <c r="DH73" s="134"/>
      <c r="DI73" s="134"/>
      <c r="DJ73" s="134"/>
      <c r="DK73" s="134"/>
      <c r="DL73" s="300"/>
      <c r="DM73" s="301"/>
      <c r="DN73" s="276"/>
      <c r="DO73" s="277"/>
      <c r="DP73" s="134"/>
      <c r="DQ73" s="134"/>
      <c r="DR73" s="134"/>
      <c r="DS73" s="134"/>
      <c r="DT73" s="138"/>
      <c r="DU73" s="134"/>
      <c r="DV73" s="134"/>
      <c r="DW73" s="134"/>
      <c r="DX73" s="301"/>
      <c r="DY73" s="301"/>
      <c r="DZ73" s="138"/>
      <c r="EA73" s="134"/>
      <c r="EB73" s="134"/>
      <c r="EC73" s="134"/>
      <c r="ED73" s="138"/>
      <c r="EE73" s="134"/>
      <c r="EF73" s="134"/>
      <c r="EG73" s="134"/>
      <c r="EH73" s="301"/>
      <c r="EI73" s="301"/>
      <c r="EJ73" s="277"/>
      <c r="EK73" s="134"/>
      <c r="EL73" s="134"/>
      <c r="EM73" s="134"/>
      <c r="EN73" s="134"/>
      <c r="EO73" s="134"/>
      <c r="EP73" s="134"/>
      <c r="EQ73" s="134"/>
      <c r="ER73" s="134"/>
      <c r="ES73" s="301"/>
      <c r="ET73" s="301"/>
      <c r="EU73" s="134"/>
      <c r="EV73" s="134"/>
      <c r="EW73" s="134"/>
      <c r="EX73" s="134"/>
      <c r="EY73" s="134"/>
      <c r="EZ73" s="134"/>
      <c r="FA73" s="134"/>
      <c r="FB73" s="134"/>
      <c r="FC73" s="135"/>
      <c r="FD73" s="135"/>
      <c r="FE73" s="134"/>
      <c r="FF73" s="134"/>
      <c r="FG73" s="134"/>
      <c r="FH73" s="134"/>
      <c r="FI73" s="134"/>
      <c r="FJ73" s="134"/>
      <c r="FK73" s="134"/>
      <c r="FL73" s="134"/>
      <c r="FM73" s="135"/>
      <c r="FN73" s="135"/>
      <c r="FO73" s="134"/>
      <c r="FP73" s="134"/>
      <c r="FQ73" s="134"/>
      <c r="FR73" s="134"/>
      <c r="FS73" s="134"/>
      <c r="FT73" s="134"/>
      <c r="FU73" s="134"/>
      <c r="FV73" s="134"/>
      <c r="FW73" s="135"/>
      <c r="FX73" s="135"/>
      <c r="FY73" s="134"/>
      <c r="FZ73" s="134"/>
      <c r="GA73" s="134"/>
      <c r="GB73" s="134"/>
      <c r="GC73" s="134"/>
      <c r="GD73" s="134"/>
      <c r="GE73" s="134"/>
      <c r="GF73" s="134"/>
      <c r="GG73" s="135"/>
      <c r="GH73" s="135"/>
      <c r="GI73" s="134"/>
      <c r="GJ73" s="134"/>
      <c r="GK73" s="134"/>
      <c r="GL73" s="134"/>
      <c r="GM73" s="134"/>
      <c r="GN73" s="134"/>
      <c r="GO73" s="134"/>
      <c r="GP73" s="134"/>
      <c r="GQ73" s="135"/>
      <c r="GR73" s="135"/>
      <c r="GS73" s="134"/>
      <c r="GT73" s="134"/>
      <c r="GU73" s="134"/>
      <c r="GV73" s="134"/>
      <c r="GW73" s="134"/>
      <c r="GX73" s="134"/>
      <c r="GY73" s="134"/>
      <c r="GZ73" s="134"/>
      <c r="HA73" s="135"/>
      <c r="HB73" s="135"/>
      <c r="HC73" s="134"/>
      <c r="HD73" s="134"/>
      <c r="HE73" s="134"/>
      <c r="HF73" s="134"/>
      <c r="HG73" s="134"/>
      <c r="HH73" s="134"/>
      <c r="HI73" s="134"/>
      <c r="HJ73" s="134"/>
      <c r="HK73" s="135"/>
      <c r="HL73" s="135"/>
      <c r="HM73" s="134"/>
      <c r="HN73" s="134"/>
      <c r="HO73" s="134"/>
      <c r="HP73" s="134"/>
      <c r="HQ73" s="134"/>
      <c r="HR73" s="134"/>
      <c r="HS73" s="134"/>
      <c r="HT73" s="134"/>
      <c r="HU73" s="135"/>
      <c r="HV73" s="135"/>
      <c r="HW73" s="134"/>
      <c r="HX73" s="134"/>
      <c r="HY73" s="134"/>
      <c r="HZ73" s="134"/>
      <c r="IA73" s="134"/>
      <c r="IB73" s="134"/>
      <c r="IC73" s="134"/>
      <c r="ID73" s="134"/>
      <c r="IE73" s="135"/>
      <c r="IF73" s="135"/>
      <c r="IG73" s="134"/>
      <c r="IH73" s="134"/>
      <c r="II73" s="134"/>
      <c r="IJ73" s="134"/>
      <c r="IK73" s="134"/>
      <c r="IL73" s="134"/>
      <c r="IM73" s="134"/>
      <c r="IN73" s="134"/>
      <c r="IO73" s="135"/>
      <c r="IP73" s="135"/>
      <c r="IQ73" s="134"/>
      <c r="IR73" s="134"/>
      <c r="IS73" s="134"/>
      <c r="IT73" s="134"/>
      <c r="IU73" s="134"/>
      <c r="IV73" s="134"/>
      <c r="IW73" s="134"/>
      <c r="IX73" s="134"/>
      <c r="IY73" s="135"/>
      <c r="IZ73" s="135"/>
    </row>
    <row r="74" spans="1:260" s="119" customFormat="1" ht="17" customHeight="1">
      <c r="A74" s="79" t="s">
        <v>989</v>
      </c>
      <c r="B74" s="418">
        <v>193</v>
      </c>
      <c r="C74" s="117"/>
      <c r="D74" s="117">
        <v>73</v>
      </c>
      <c r="E74" s="123" t="s">
        <v>2110</v>
      </c>
      <c r="F74" s="124" t="s">
        <v>2369</v>
      </c>
      <c r="G74" s="125">
        <v>2015</v>
      </c>
      <c r="H74" s="79">
        <v>25575638</v>
      </c>
      <c r="I74" s="175">
        <v>1</v>
      </c>
      <c r="J74" s="126" t="s">
        <v>1823</v>
      </c>
      <c r="K74" s="127"/>
      <c r="L74" s="79">
        <v>0</v>
      </c>
      <c r="M74" s="79"/>
      <c r="N74" s="153">
        <v>0</v>
      </c>
      <c r="O74" s="128">
        <v>2</v>
      </c>
      <c r="P74" s="79" t="s">
        <v>24</v>
      </c>
      <c r="Q74" s="79"/>
      <c r="R74" s="79" t="s">
        <v>1523</v>
      </c>
      <c r="S74" s="79"/>
      <c r="T74" s="79" t="s">
        <v>1488</v>
      </c>
      <c r="U74" s="79" t="s">
        <v>803</v>
      </c>
      <c r="V74" s="79" t="s">
        <v>23</v>
      </c>
      <c r="W74" s="79" t="s">
        <v>1524</v>
      </c>
      <c r="X74" s="79"/>
      <c r="Y74" s="79"/>
      <c r="Z74" s="79"/>
      <c r="AA74" s="79"/>
      <c r="AB74" s="79" t="s">
        <v>1279</v>
      </c>
      <c r="AC74" s="506" t="s">
        <v>6267</v>
      </c>
      <c r="AD74" s="573">
        <v>1</v>
      </c>
      <c r="AE74" s="573">
        <v>1</v>
      </c>
      <c r="AF74" s="154"/>
      <c r="AG74" s="155" t="s">
        <v>6268</v>
      </c>
      <c r="AH74" s="121">
        <v>4</v>
      </c>
      <c r="AI74" s="484"/>
      <c r="AJ74" s="202"/>
      <c r="AK74" s="192"/>
      <c r="AL74" s="203"/>
      <c r="AM74" s="121"/>
      <c r="AN74" s="121"/>
      <c r="AO74" s="121"/>
      <c r="AP74" s="121"/>
      <c r="AQ74" s="121"/>
      <c r="AR74" s="121"/>
      <c r="AS74" s="121"/>
      <c r="AT74" s="121"/>
      <c r="AU74" s="121"/>
      <c r="AV74" s="121"/>
      <c r="AW74" s="121"/>
      <c r="AX74" s="121"/>
      <c r="AY74" s="121"/>
      <c r="AZ74" s="121"/>
      <c r="BA74" s="121"/>
      <c r="BB74" s="121" t="s">
        <v>1917</v>
      </c>
      <c r="BC74" s="121"/>
      <c r="BD74" s="156" t="s">
        <v>5207</v>
      </c>
      <c r="BE74" s="156"/>
      <c r="BF74" s="156"/>
      <c r="BG74" s="156"/>
      <c r="BH74" s="156"/>
      <c r="BI74" s="156"/>
      <c r="BJ74" s="156" t="s">
        <v>5545</v>
      </c>
      <c r="BK74" s="156"/>
      <c r="BL74" s="156"/>
      <c r="BM74" s="156"/>
      <c r="BN74" s="156"/>
      <c r="BO74" s="156"/>
      <c r="BP74" s="156"/>
      <c r="BQ74" s="157"/>
      <c r="BR74" s="134"/>
      <c r="BS74" s="134"/>
      <c r="BT74" s="134"/>
      <c r="BU74" s="134"/>
      <c r="BV74" s="134"/>
      <c r="BW74" s="259"/>
      <c r="BX74" s="138"/>
      <c r="BY74" s="134"/>
      <c r="BZ74" s="134"/>
      <c r="CA74" s="134"/>
      <c r="CB74" s="138"/>
      <c r="CC74" s="134"/>
      <c r="CD74" s="134"/>
      <c r="CE74" s="134"/>
      <c r="CF74" s="288"/>
      <c r="CG74" s="289"/>
      <c r="CH74" s="138"/>
      <c r="CI74" s="134"/>
      <c r="CJ74" s="134"/>
      <c r="CK74" s="134"/>
      <c r="CL74" s="138"/>
      <c r="CM74" s="134"/>
      <c r="CN74" s="134"/>
      <c r="CO74" s="134"/>
      <c r="CP74" s="288"/>
      <c r="CQ74" s="289"/>
      <c r="CR74" s="276"/>
      <c r="CS74" s="308"/>
      <c r="CT74" s="138"/>
      <c r="CU74" s="134"/>
      <c r="CV74" s="134"/>
      <c r="CW74" s="134"/>
      <c r="CX74" s="134"/>
      <c r="CY74" s="134"/>
      <c r="CZ74" s="134"/>
      <c r="DA74" s="134"/>
      <c r="DB74" s="300"/>
      <c r="DC74" s="301"/>
      <c r="DD74" s="134"/>
      <c r="DE74" s="134"/>
      <c r="DF74" s="134"/>
      <c r="DG74" s="134"/>
      <c r="DH74" s="134"/>
      <c r="DI74" s="134"/>
      <c r="DJ74" s="134"/>
      <c r="DK74" s="134"/>
      <c r="DL74" s="300"/>
      <c r="DM74" s="301"/>
      <c r="DN74" s="276"/>
      <c r="DO74" s="277"/>
      <c r="DP74" s="134"/>
      <c r="DQ74" s="134"/>
      <c r="DR74" s="134"/>
      <c r="DS74" s="134"/>
      <c r="DT74" s="138"/>
      <c r="DU74" s="134"/>
      <c r="DV74" s="134"/>
      <c r="DW74" s="134"/>
      <c r="DX74" s="301"/>
      <c r="DY74" s="301"/>
      <c r="DZ74" s="138"/>
      <c r="EA74" s="134"/>
      <c r="EB74" s="134"/>
      <c r="EC74" s="134"/>
      <c r="ED74" s="138"/>
      <c r="EE74" s="190"/>
      <c r="EF74" s="134"/>
      <c r="EG74" s="134"/>
      <c r="EH74" s="301"/>
      <c r="EI74" s="301"/>
      <c r="EJ74" s="277"/>
      <c r="EK74" s="134"/>
      <c r="EL74" s="134"/>
      <c r="EM74" s="134"/>
      <c r="EN74" s="134"/>
      <c r="EO74" s="134"/>
      <c r="EP74" s="134"/>
      <c r="EQ74" s="134"/>
      <c r="ER74" s="134"/>
      <c r="ES74" s="301"/>
      <c r="ET74" s="301"/>
      <c r="EU74" s="134"/>
      <c r="EV74" s="134"/>
      <c r="EW74" s="134"/>
      <c r="EX74" s="134"/>
      <c r="EY74" s="134"/>
      <c r="EZ74" s="134"/>
      <c r="FA74" s="134"/>
      <c r="FB74" s="134"/>
      <c r="FC74" s="135"/>
      <c r="FD74" s="135"/>
      <c r="FE74" s="134"/>
      <c r="FF74" s="134"/>
      <c r="FG74" s="134"/>
      <c r="FH74" s="134"/>
      <c r="FI74" s="134"/>
      <c r="FJ74" s="134"/>
      <c r="FK74" s="134"/>
      <c r="FL74" s="134"/>
      <c r="FM74" s="135"/>
      <c r="FN74" s="135"/>
      <c r="FO74" s="134"/>
      <c r="FP74" s="134"/>
      <c r="FQ74" s="134"/>
      <c r="FR74" s="134"/>
      <c r="FS74" s="134"/>
      <c r="FT74" s="134"/>
      <c r="FU74" s="134"/>
      <c r="FV74" s="134"/>
      <c r="FW74" s="135"/>
      <c r="FX74" s="135"/>
      <c r="FY74" s="134"/>
      <c r="FZ74" s="134"/>
      <c r="GA74" s="134"/>
      <c r="GB74" s="134"/>
      <c r="GC74" s="134"/>
      <c r="GD74" s="134"/>
      <c r="GE74" s="134"/>
      <c r="GF74" s="134"/>
      <c r="GG74" s="135"/>
      <c r="GH74" s="135"/>
      <c r="GI74" s="134"/>
      <c r="GJ74" s="134"/>
      <c r="GK74" s="134"/>
      <c r="GL74" s="134"/>
      <c r="GM74" s="134"/>
      <c r="GN74" s="134"/>
      <c r="GO74" s="134"/>
      <c r="GP74" s="134"/>
      <c r="GQ74" s="135"/>
      <c r="GR74" s="135"/>
      <c r="GS74" s="134"/>
      <c r="GT74" s="134"/>
      <c r="GU74" s="134"/>
      <c r="GV74" s="134"/>
      <c r="GW74" s="134"/>
      <c r="GX74" s="134"/>
      <c r="GY74" s="134"/>
      <c r="GZ74" s="134"/>
      <c r="HA74" s="135"/>
      <c r="HB74" s="135"/>
      <c r="HC74" s="134"/>
      <c r="HD74" s="134"/>
      <c r="HE74" s="134"/>
      <c r="HF74" s="134"/>
      <c r="HG74" s="134"/>
      <c r="HH74" s="134"/>
      <c r="HI74" s="134"/>
      <c r="HJ74" s="134"/>
      <c r="HK74" s="135"/>
      <c r="HL74" s="135"/>
      <c r="HM74" s="134"/>
      <c r="HN74" s="134"/>
      <c r="HO74" s="134"/>
      <c r="HP74" s="134"/>
      <c r="HQ74" s="134"/>
      <c r="HR74" s="134"/>
      <c r="HS74" s="134"/>
      <c r="HT74" s="134"/>
      <c r="HU74" s="135"/>
      <c r="HV74" s="135"/>
      <c r="HW74" s="134"/>
      <c r="HX74" s="134"/>
      <c r="HY74" s="134"/>
      <c r="HZ74" s="134"/>
      <c r="IA74" s="134"/>
      <c r="IB74" s="134"/>
      <c r="IC74" s="134"/>
      <c r="ID74" s="134"/>
      <c r="IE74" s="135"/>
      <c r="IF74" s="135"/>
      <c r="IG74" s="134"/>
      <c r="IH74" s="134"/>
      <c r="II74" s="134"/>
      <c r="IJ74" s="134"/>
      <c r="IK74" s="134"/>
      <c r="IL74" s="134"/>
      <c r="IM74" s="134"/>
      <c r="IN74" s="134"/>
      <c r="IO74" s="135"/>
      <c r="IP74" s="135"/>
      <c r="IQ74" s="134"/>
      <c r="IR74" s="134"/>
      <c r="IS74" s="134"/>
      <c r="IT74" s="134"/>
      <c r="IU74" s="134"/>
      <c r="IV74" s="134"/>
      <c r="IW74" s="134"/>
      <c r="IX74" s="134"/>
      <c r="IY74" s="135"/>
      <c r="IZ74" s="135"/>
    </row>
    <row r="75" spans="1:260" s="119" customFormat="1" ht="17" customHeight="1">
      <c r="A75" s="79" t="s">
        <v>271</v>
      </c>
      <c r="B75" s="418">
        <v>194</v>
      </c>
      <c r="C75" s="117"/>
      <c r="D75" s="117">
        <v>74</v>
      </c>
      <c r="E75" s="123" t="s">
        <v>2004</v>
      </c>
      <c r="F75" s="124" t="s">
        <v>2235</v>
      </c>
      <c r="G75" s="125">
        <v>2014</v>
      </c>
      <c r="H75" s="79">
        <v>24786361</v>
      </c>
      <c r="I75" s="79">
        <v>1</v>
      </c>
      <c r="J75" s="126" t="s">
        <v>1781</v>
      </c>
      <c r="K75" s="127" t="s">
        <v>1763</v>
      </c>
      <c r="L75" s="164">
        <v>1</v>
      </c>
      <c r="M75" s="79" t="s">
        <v>1750</v>
      </c>
      <c r="N75" s="164">
        <v>0</v>
      </c>
      <c r="O75" s="128">
        <v>1</v>
      </c>
      <c r="P75" s="79" t="s">
        <v>719</v>
      </c>
      <c r="Q75" s="79"/>
      <c r="R75" s="79" t="s">
        <v>25</v>
      </c>
      <c r="S75" s="79">
        <v>1</v>
      </c>
      <c r="T75" s="79"/>
      <c r="U75" s="79"/>
      <c r="V75" s="79"/>
      <c r="W75" s="79"/>
      <c r="X75" s="79"/>
      <c r="Y75" s="79" t="s">
        <v>717</v>
      </c>
      <c r="Z75" s="79"/>
      <c r="AA75" s="79"/>
      <c r="AB75" s="79" t="s">
        <v>718</v>
      </c>
      <c r="AC75" s="506" t="s">
        <v>6269</v>
      </c>
      <c r="AD75" s="573">
        <v>1</v>
      </c>
      <c r="AE75" s="573">
        <v>0</v>
      </c>
      <c r="AF75" s="165" t="s">
        <v>3003</v>
      </c>
      <c r="AG75" s="166" t="s">
        <v>6271</v>
      </c>
      <c r="AH75" s="121">
        <v>2</v>
      </c>
      <c r="AI75" s="484"/>
      <c r="AJ75" s="202"/>
      <c r="AK75" s="192"/>
      <c r="AL75" s="203"/>
      <c r="AM75" s="121"/>
      <c r="AN75" s="121"/>
      <c r="AO75" s="121"/>
      <c r="AP75" s="121"/>
      <c r="AQ75" s="121"/>
      <c r="AR75" s="121"/>
      <c r="AS75" s="121"/>
      <c r="AT75" s="121"/>
      <c r="AU75" s="121"/>
      <c r="AV75" s="121"/>
      <c r="AW75" s="121"/>
      <c r="AX75" s="121"/>
      <c r="AY75" s="121"/>
      <c r="AZ75" s="121"/>
      <c r="BA75" s="121"/>
      <c r="BB75" s="121" t="s">
        <v>1917</v>
      </c>
      <c r="BC75" s="121"/>
      <c r="BD75" s="156"/>
      <c r="BE75" s="156"/>
      <c r="BF75" s="156"/>
      <c r="BG75" s="156"/>
      <c r="BH75" s="156"/>
      <c r="BI75" s="156"/>
      <c r="BJ75" s="156"/>
      <c r="BK75" s="156"/>
      <c r="BL75" s="156"/>
      <c r="BM75" s="156"/>
      <c r="BN75" s="156"/>
      <c r="BO75" s="156"/>
      <c r="BP75" s="156" t="s">
        <v>6270</v>
      </c>
      <c r="BQ75" s="157"/>
      <c r="BR75" s="134"/>
      <c r="BS75" s="134"/>
      <c r="BT75" s="134"/>
      <c r="BU75" s="134"/>
      <c r="BV75" s="134"/>
      <c r="BW75" s="259"/>
      <c r="BX75" s="138"/>
      <c r="BY75" s="134"/>
      <c r="BZ75" s="134"/>
      <c r="CA75" s="134"/>
      <c r="CB75" s="138"/>
      <c r="CC75" s="134"/>
      <c r="CD75" s="134"/>
      <c r="CE75" s="134"/>
      <c r="CF75" s="288"/>
      <c r="CG75" s="289"/>
      <c r="CH75" s="138"/>
      <c r="CI75" s="134"/>
      <c r="CJ75" s="134"/>
      <c r="CK75" s="134"/>
      <c r="CL75" s="138"/>
      <c r="CM75" s="134"/>
      <c r="CN75" s="134"/>
      <c r="CO75" s="134"/>
      <c r="CP75" s="288"/>
      <c r="CQ75" s="289"/>
      <c r="CR75" s="276"/>
      <c r="CS75" s="308"/>
      <c r="CT75" s="138"/>
      <c r="CU75" s="134"/>
      <c r="CV75" s="134"/>
      <c r="CW75" s="134"/>
      <c r="CX75" s="134"/>
      <c r="CY75" s="134"/>
      <c r="CZ75" s="134"/>
      <c r="DA75" s="134"/>
      <c r="DB75" s="300"/>
      <c r="DC75" s="301"/>
      <c r="DD75" s="134"/>
      <c r="DE75" s="134"/>
      <c r="DF75" s="134"/>
      <c r="DG75" s="134"/>
      <c r="DH75" s="134"/>
      <c r="DI75" s="134"/>
      <c r="DJ75" s="134"/>
      <c r="DK75" s="134"/>
      <c r="DL75" s="300"/>
      <c r="DM75" s="301"/>
      <c r="DN75" s="276"/>
      <c r="DO75" s="277"/>
      <c r="DP75" s="134"/>
      <c r="DQ75" s="134"/>
      <c r="DR75" s="134"/>
      <c r="DS75" s="134"/>
      <c r="DT75" s="138"/>
      <c r="DU75" s="134"/>
      <c r="DV75" s="134"/>
      <c r="DW75" s="134"/>
      <c r="DX75" s="301"/>
      <c r="DY75" s="301"/>
      <c r="DZ75" s="138"/>
      <c r="EA75" s="134"/>
      <c r="EB75" s="134"/>
      <c r="EC75" s="134"/>
      <c r="ED75" s="138"/>
      <c r="EE75" s="134"/>
      <c r="EF75" s="134"/>
      <c r="EG75" s="134"/>
      <c r="EH75" s="301"/>
      <c r="EI75" s="301"/>
      <c r="EJ75" s="277"/>
      <c r="EK75" s="134"/>
      <c r="EL75" s="134"/>
      <c r="EM75" s="134"/>
      <c r="EN75" s="134"/>
      <c r="EO75" s="134"/>
      <c r="EP75" s="134"/>
      <c r="EQ75" s="134"/>
      <c r="ER75" s="134"/>
      <c r="ES75" s="301"/>
      <c r="ET75" s="301"/>
      <c r="EU75" s="134"/>
      <c r="EV75" s="134"/>
      <c r="EW75" s="134"/>
      <c r="EX75" s="134"/>
      <c r="EY75" s="134"/>
      <c r="EZ75" s="134"/>
      <c r="FA75" s="134"/>
      <c r="FB75" s="134"/>
      <c r="FC75" s="135"/>
      <c r="FD75" s="135"/>
      <c r="FE75" s="134"/>
      <c r="FF75" s="134"/>
      <c r="FG75" s="134"/>
      <c r="FH75" s="134"/>
      <c r="FI75" s="134"/>
      <c r="FJ75" s="134"/>
      <c r="FK75" s="134"/>
      <c r="FL75" s="134"/>
      <c r="FM75" s="135"/>
      <c r="FN75" s="135"/>
      <c r="FO75" s="134"/>
      <c r="FP75" s="134"/>
      <c r="FQ75" s="134"/>
      <c r="FR75" s="134"/>
      <c r="FS75" s="134"/>
      <c r="FT75" s="134"/>
      <c r="FU75" s="134"/>
      <c r="FV75" s="134"/>
      <c r="FW75" s="135"/>
      <c r="FX75" s="135"/>
      <c r="FY75" s="134"/>
      <c r="FZ75" s="134"/>
      <c r="GA75" s="134"/>
      <c r="GB75" s="134"/>
      <c r="GC75" s="134"/>
      <c r="GD75" s="134"/>
      <c r="GE75" s="134"/>
      <c r="GF75" s="134"/>
      <c r="GG75" s="135"/>
      <c r="GH75" s="135"/>
      <c r="GI75" s="134"/>
      <c r="GJ75" s="134"/>
      <c r="GK75" s="134"/>
      <c r="GL75" s="134"/>
      <c r="GM75" s="134"/>
      <c r="GN75" s="134"/>
      <c r="GO75" s="134"/>
      <c r="GP75" s="134"/>
      <c r="GQ75" s="135"/>
      <c r="GR75" s="135"/>
      <c r="GS75" s="134"/>
      <c r="GT75" s="134"/>
      <c r="GU75" s="134"/>
      <c r="GV75" s="134"/>
      <c r="GW75" s="134"/>
      <c r="GX75" s="134"/>
      <c r="GY75" s="134"/>
      <c r="GZ75" s="134"/>
      <c r="HA75" s="135"/>
      <c r="HB75" s="135"/>
      <c r="HC75" s="134"/>
      <c r="HD75" s="134"/>
      <c r="HE75" s="134"/>
      <c r="HF75" s="134"/>
      <c r="HG75" s="134"/>
      <c r="HH75" s="134"/>
      <c r="HI75" s="134"/>
      <c r="HJ75" s="134"/>
      <c r="HK75" s="135"/>
      <c r="HL75" s="135"/>
      <c r="HM75" s="134"/>
      <c r="HN75" s="134"/>
      <c r="HO75" s="134"/>
      <c r="HP75" s="134"/>
      <c r="HQ75" s="134"/>
      <c r="HR75" s="134"/>
      <c r="HS75" s="134"/>
      <c r="HT75" s="134"/>
      <c r="HU75" s="135"/>
      <c r="HV75" s="135"/>
      <c r="HW75" s="134"/>
      <c r="HX75" s="134"/>
      <c r="HY75" s="134"/>
      <c r="HZ75" s="134"/>
      <c r="IA75" s="134"/>
      <c r="IB75" s="134"/>
      <c r="IC75" s="134"/>
      <c r="ID75" s="134"/>
      <c r="IE75" s="135"/>
      <c r="IF75" s="135"/>
      <c r="IG75" s="134"/>
      <c r="IH75" s="134"/>
      <c r="II75" s="134"/>
      <c r="IJ75" s="134"/>
      <c r="IK75" s="134"/>
      <c r="IL75" s="134"/>
      <c r="IM75" s="134"/>
      <c r="IN75" s="134"/>
      <c r="IO75" s="135"/>
      <c r="IP75" s="135"/>
      <c r="IQ75" s="134"/>
      <c r="IR75" s="134"/>
      <c r="IS75" s="134"/>
      <c r="IT75" s="134"/>
      <c r="IU75" s="134"/>
      <c r="IV75" s="134"/>
      <c r="IW75" s="134"/>
      <c r="IX75" s="134"/>
      <c r="IY75" s="135"/>
      <c r="IZ75" s="135"/>
    </row>
    <row r="76" spans="1:260" s="119" customFormat="1" ht="17" customHeight="1">
      <c r="A76" s="79" t="s">
        <v>986</v>
      </c>
      <c r="B76" s="418">
        <v>196</v>
      </c>
      <c r="C76" s="117"/>
      <c r="D76" s="117">
        <v>75</v>
      </c>
      <c r="E76" s="123" t="s">
        <v>2112</v>
      </c>
      <c r="F76" s="124" t="s">
        <v>2371</v>
      </c>
      <c r="G76" s="125">
        <v>2012</v>
      </c>
      <c r="H76" s="79">
        <v>22842072</v>
      </c>
      <c r="I76" s="79">
        <v>1</v>
      </c>
      <c r="J76" s="126">
        <v>1</v>
      </c>
      <c r="K76" s="127"/>
      <c r="L76" s="79">
        <v>1</v>
      </c>
      <c r="M76" s="79"/>
      <c r="N76" s="79">
        <v>1</v>
      </c>
      <c r="O76" s="128">
        <v>2</v>
      </c>
      <c r="P76" s="79" t="s">
        <v>1529</v>
      </c>
      <c r="Q76" s="79" t="s">
        <v>1417</v>
      </c>
      <c r="R76" s="79" t="s">
        <v>1130</v>
      </c>
      <c r="S76" s="79"/>
      <c r="T76" s="79" t="s">
        <v>1530</v>
      </c>
      <c r="U76" s="79" t="s">
        <v>803</v>
      </c>
      <c r="V76" s="79"/>
      <c r="W76" s="79" t="s">
        <v>1531</v>
      </c>
      <c r="X76" s="79"/>
      <c r="Y76" s="79" t="s">
        <v>1532</v>
      </c>
      <c r="Z76" s="79"/>
      <c r="AA76" s="79"/>
      <c r="AB76" s="79"/>
      <c r="AC76" s="506" t="s">
        <v>6272</v>
      </c>
      <c r="AD76" s="573">
        <v>1</v>
      </c>
      <c r="AE76" s="573">
        <v>0</v>
      </c>
      <c r="AF76" s="165">
        <v>0</v>
      </c>
      <c r="AG76" s="166" t="s">
        <v>6273</v>
      </c>
      <c r="AH76" s="121">
        <v>4</v>
      </c>
      <c r="AI76" s="484"/>
      <c r="AJ76" s="202"/>
      <c r="AK76" s="192"/>
      <c r="AL76" s="203"/>
      <c r="AM76" s="121"/>
      <c r="AN76" s="121"/>
      <c r="AO76" s="121"/>
      <c r="AP76" s="121"/>
      <c r="AQ76" s="121"/>
      <c r="AR76" s="121"/>
      <c r="AS76" s="121"/>
      <c r="AT76" s="121"/>
      <c r="AU76" s="121"/>
      <c r="AV76" s="121"/>
      <c r="AW76" s="121"/>
      <c r="AX76" s="121"/>
      <c r="AY76" s="121"/>
      <c r="AZ76" s="121"/>
      <c r="BA76" s="121"/>
      <c r="BB76" s="121">
        <v>1</v>
      </c>
      <c r="BC76" s="121"/>
      <c r="BD76" s="156"/>
      <c r="BE76" s="156"/>
      <c r="BF76" s="156"/>
      <c r="BG76" s="156"/>
      <c r="BH76" s="156"/>
      <c r="BI76" s="156"/>
      <c r="BJ76" s="156"/>
      <c r="BK76" s="156"/>
      <c r="BL76" s="156"/>
      <c r="BM76" s="156"/>
      <c r="BN76" s="156"/>
      <c r="BO76" s="156"/>
      <c r="BP76" s="156"/>
      <c r="BQ76" s="157"/>
      <c r="BR76" s="134"/>
      <c r="BS76" s="134"/>
      <c r="BT76" s="134"/>
      <c r="BU76" s="134"/>
      <c r="BV76" s="134"/>
      <c r="BW76" s="259"/>
      <c r="BX76" s="138"/>
      <c r="BY76" s="134"/>
      <c r="BZ76" s="134"/>
      <c r="CA76" s="134"/>
      <c r="CB76" s="138"/>
      <c r="CC76" s="134"/>
      <c r="CD76" s="134"/>
      <c r="CE76" s="134"/>
      <c r="CF76" s="288"/>
      <c r="CG76" s="289"/>
      <c r="CH76" s="138"/>
      <c r="CI76" s="190"/>
      <c r="CJ76" s="134"/>
      <c r="CK76" s="190"/>
      <c r="CL76" s="138"/>
      <c r="CM76" s="134"/>
      <c r="CN76" s="134"/>
      <c r="CO76" s="134"/>
      <c r="CP76" s="288"/>
      <c r="CQ76" s="289"/>
      <c r="CR76" s="276"/>
      <c r="CS76" s="308"/>
      <c r="CT76" s="138"/>
      <c r="CU76" s="190"/>
      <c r="CV76" s="134"/>
      <c r="CW76" s="190"/>
      <c r="CX76" s="134"/>
      <c r="CY76" s="134"/>
      <c r="CZ76" s="134"/>
      <c r="DA76" s="134"/>
      <c r="DB76" s="300"/>
      <c r="DC76" s="301"/>
      <c r="DD76" s="134"/>
      <c r="DE76" s="190"/>
      <c r="DF76" s="134"/>
      <c r="DG76" s="190"/>
      <c r="DH76" s="134"/>
      <c r="DI76" s="134"/>
      <c r="DJ76" s="134"/>
      <c r="DK76" s="134"/>
      <c r="DL76" s="300"/>
      <c r="DM76" s="301"/>
      <c r="DN76" s="276"/>
      <c r="DO76" s="277"/>
      <c r="DP76" s="134"/>
      <c r="DQ76" s="190"/>
      <c r="DR76" s="134"/>
      <c r="DS76" s="190"/>
      <c r="DT76" s="138"/>
      <c r="DU76" s="134"/>
      <c r="DV76" s="134"/>
      <c r="DW76" s="134"/>
      <c r="DX76" s="301"/>
      <c r="DY76" s="301"/>
      <c r="DZ76" s="138"/>
      <c r="EA76" s="134"/>
      <c r="EB76" s="134"/>
      <c r="EC76" s="134"/>
      <c r="ED76" s="138"/>
      <c r="EE76" s="134"/>
      <c r="EF76" s="134"/>
      <c r="EG76" s="134"/>
      <c r="EH76" s="301"/>
      <c r="EI76" s="301"/>
      <c r="EJ76" s="277"/>
      <c r="EK76" s="134"/>
      <c r="EL76" s="134"/>
      <c r="EM76" s="134"/>
      <c r="EN76" s="134"/>
      <c r="EO76" s="134"/>
      <c r="EP76" s="134"/>
      <c r="EQ76" s="134"/>
      <c r="ER76" s="134"/>
      <c r="ES76" s="301"/>
      <c r="ET76" s="301"/>
      <c r="EU76" s="134"/>
      <c r="EV76" s="134"/>
      <c r="EW76" s="134"/>
      <c r="EX76" s="134"/>
      <c r="EY76" s="134"/>
      <c r="EZ76" s="134"/>
      <c r="FA76" s="134"/>
      <c r="FB76" s="134"/>
      <c r="FC76" s="135"/>
      <c r="FD76" s="135"/>
      <c r="FE76" s="134"/>
      <c r="FF76" s="134"/>
      <c r="FG76" s="134"/>
      <c r="FH76" s="134"/>
      <c r="FI76" s="134"/>
      <c r="FJ76" s="134"/>
      <c r="FK76" s="134"/>
      <c r="FL76" s="134"/>
      <c r="FM76" s="135"/>
      <c r="FN76" s="135"/>
      <c r="FO76" s="134"/>
      <c r="FP76" s="134"/>
      <c r="FQ76" s="134"/>
      <c r="FR76" s="134"/>
      <c r="FS76" s="134"/>
      <c r="FT76" s="134"/>
      <c r="FU76" s="134"/>
      <c r="FV76" s="134"/>
      <c r="FW76" s="135"/>
      <c r="FX76" s="135"/>
      <c r="FY76" s="134"/>
      <c r="FZ76" s="134"/>
      <c r="GA76" s="134"/>
      <c r="GB76" s="134"/>
      <c r="GC76" s="134"/>
      <c r="GD76" s="134"/>
      <c r="GE76" s="134"/>
      <c r="GF76" s="134"/>
      <c r="GG76" s="135"/>
      <c r="GH76" s="135"/>
      <c r="GI76" s="134"/>
      <c r="GJ76" s="134"/>
      <c r="GK76" s="134"/>
      <c r="GL76" s="134"/>
      <c r="GM76" s="134"/>
      <c r="GN76" s="134"/>
      <c r="GO76" s="134"/>
      <c r="GP76" s="134"/>
      <c r="GQ76" s="135"/>
      <c r="GR76" s="135"/>
      <c r="GS76" s="134"/>
      <c r="GT76" s="134"/>
      <c r="GU76" s="134"/>
      <c r="GV76" s="134"/>
      <c r="GW76" s="134"/>
      <c r="GX76" s="134"/>
      <c r="GY76" s="134"/>
      <c r="GZ76" s="134"/>
      <c r="HA76" s="135"/>
      <c r="HB76" s="135"/>
      <c r="HC76" s="134"/>
      <c r="HD76" s="134"/>
      <c r="HE76" s="134"/>
      <c r="HF76" s="134"/>
      <c r="HG76" s="134"/>
      <c r="HH76" s="134"/>
      <c r="HI76" s="134"/>
      <c r="HJ76" s="134"/>
      <c r="HK76" s="135"/>
      <c r="HL76" s="135"/>
      <c r="HM76" s="134"/>
      <c r="HN76" s="134"/>
      <c r="HO76" s="134"/>
      <c r="HP76" s="134"/>
      <c r="HQ76" s="134"/>
      <c r="HR76" s="134"/>
      <c r="HS76" s="134"/>
      <c r="HT76" s="134"/>
      <c r="HU76" s="135"/>
      <c r="HV76" s="135"/>
      <c r="HW76" s="134"/>
      <c r="HX76" s="134"/>
      <c r="HY76" s="134"/>
      <c r="HZ76" s="134"/>
      <c r="IA76" s="134"/>
      <c r="IB76" s="134"/>
      <c r="IC76" s="134"/>
      <c r="ID76" s="134"/>
      <c r="IE76" s="135"/>
      <c r="IF76" s="135"/>
      <c r="IG76" s="134"/>
      <c r="IH76" s="134"/>
      <c r="II76" s="134"/>
      <c r="IJ76" s="134"/>
      <c r="IK76" s="134"/>
      <c r="IL76" s="134"/>
      <c r="IM76" s="134"/>
      <c r="IN76" s="134"/>
      <c r="IO76" s="135"/>
      <c r="IP76" s="135"/>
      <c r="IQ76" s="134"/>
      <c r="IR76" s="134"/>
      <c r="IS76" s="134"/>
      <c r="IT76" s="134"/>
      <c r="IU76" s="134"/>
      <c r="IV76" s="134"/>
      <c r="IW76" s="134"/>
      <c r="IX76" s="134"/>
      <c r="IY76" s="135"/>
      <c r="IZ76" s="135"/>
    </row>
    <row r="77" spans="1:260" s="119" customFormat="1" ht="17" customHeight="1">
      <c r="A77" s="79" t="s">
        <v>275</v>
      </c>
      <c r="B77" s="418">
        <v>197</v>
      </c>
      <c r="C77" s="117"/>
      <c r="D77" s="117">
        <v>76</v>
      </c>
      <c r="E77" s="123" t="s">
        <v>2007</v>
      </c>
      <c r="F77" s="124" t="s">
        <v>2238</v>
      </c>
      <c r="G77" s="125">
        <v>2016</v>
      </c>
      <c r="H77" s="79">
        <v>27000639</v>
      </c>
      <c r="I77" s="79">
        <v>1</v>
      </c>
      <c r="J77" s="126"/>
      <c r="K77" s="127"/>
      <c r="L77" s="79">
        <v>1</v>
      </c>
      <c r="M77" s="79"/>
      <c r="N77" s="79">
        <v>1</v>
      </c>
      <c r="O77" s="128">
        <v>1</v>
      </c>
      <c r="P77" s="79" t="s">
        <v>726</v>
      </c>
      <c r="Q77" s="79"/>
      <c r="R77" s="79" t="s">
        <v>25</v>
      </c>
      <c r="S77" s="79">
        <v>1</v>
      </c>
      <c r="T77" s="79"/>
      <c r="U77" s="79"/>
      <c r="V77" s="79"/>
      <c r="W77" s="79" t="s">
        <v>725</v>
      </c>
      <c r="X77" s="79"/>
      <c r="Y77" s="79"/>
      <c r="Z77" s="79"/>
      <c r="AA77" s="79"/>
      <c r="AB77" s="79"/>
      <c r="AC77" s="506" t="s">
        <v>6274</v>
      </c>
      <c r="AD77" s="573">
        <v>1</v>
      </c>
      <c r="AE77" s="573">
        <v>0</v>
      </c>
      <c r="AF77" s="154"/>
      <c r="AG77" s="155"/>
      <c r="AH77" s="121">
        <v>2</v>
      </c>
      <c r="AI77" s="484"/>
      <c r="AJ77" s="202"/>
      <c r="AK77" s="192"/>
      <c r="AL77" s="203"/>
      <c r="AM77" s="121"/>
      <c r="AN77" s="121"/>
      <c r="AO77" s="121"/>
      <c r="AP77" s="121"/>
      <c r="AQ77" s="121"/>
      <c r="AR77" s="121"/>
      <c r="AS77" s="121"/>
      <c r="AT77" s="121"/>
      <c r="AU77" s="121"/>
      <c r="AV77" s="121"/>
      <c r="AW77" s="121"/>
      <c r="AX77" s="121"/>
      <c r="AY77" s="121"/>
      <c r="AZ77" s="121"/>
      <c r="BA77" s="121"/>
      <c r="BB77" s="121"/>
      <c r="BC77" s="121"/>
      <c r="BD77" s="156"/>
      <c r="BE77" s="156"/>
      <c r="BF77" s="156"/>
      <c r="BG77" s="156"/>
      <c r="BH77" s="156" t="s">
        <v>6228</v>
      </c>
      <c r="BI77" s="156" t="s">
        <v>6228</v>
      </c>
      <c r="BJ77" s="156"/>
      <c r="BK77" s="156"/>
      <c r="BL77" s="156"/>
      <c r="BM77" s="156" t="s">
        <v>6205</v>
      </c>
      <c r="BN77" s="156"/>
      <c r="BO77" s="156"/>
      <c r="BP77" s="156"/>
      <c r="BQ77" s="157"/>
      <c r="BR77" s="134"/>
      <c r="BS77" s="134"/>
      <c r="BT77" s="134"/>
      <c r="BU77" s="134"/>
      <c r="BV77" s="134"/>
      <c r="BW77" s="259"/>
      <c r="BX77" s="138"/>
      <c r="BY77" s="190"/>
      <c r="BZ77" s="134"/>
      <c r="CA77" s="190"/>
      <c r="CB77" s="138"/>
      <c r="CC77" s="134"/>
      <c r="CD77" s="134"/>
      <c r="CE77" s="134"/>
      <c r="CF77" s="288"/>
      <c r="CG77" s="289"/>
      <c r="CH77" s="138"/>
      <c r="CI77" s="134"/>
      <c r="CJ77" s="134"/>
      <c r="CK77" s="134"/>
      <c r="CL77" s="138"/>
      <c r="CM77" s="134"/>
      <c r="CN77" s="134"/>
      <c r="CO77" s="134"/>
      <c r="CP77" s="288"/>
      <c r="CQ77" s="289"/>
      <c r="CR77" s="276"/>
      <c r="CS77" s="308"/>
      <c r="CT77" s="138"/>
      <c r="CU77" s="134"/>
      <c r="CV77" s="134"/>
      <c r="CW77" s="134"/>
      <c r="CX77" s="134"/>
      <c r="CY77" s="134"/>
      <c r="CZ77" s="134"/>
      <c r="DA77" s="134"/>
      <c r="DB77" s="300"/>
      <c r="DC77" s="301"/>
      <c r="DD77" s="134"/>
      <c r="DE77" s="134"/>
      <c r="DF77" s="134"/>
      <c r="DG77" s="134"/>
      <c r="DH77" s="134"/>
      <c r="DI77" s="134"/>
      <c r="DJ77" s="134"/>
      <c r="DK77" s="134"/>
      <c r="DL77" s="300"/>
      <c r="DM77" s="301"/>
      <c r="DN77" s="276"/>
      <c r="DO77" s="277"/>
      <c r="DP77" s="134"/>
      <c r="DQ77" s="134"/>
      <c r="DR77" s="134"/>
      <c r="DS77" s="134"/>
      <c r="DT77" s="138"/>
      <c r="DU77" s="134"/>
      <c r="DV77" s="134"/>
      <c r="DW77" s="134"/>
      <c r="DX77" s="301"/>
      <c r="DY77" s="301"/>
      <c r="DZ77" s="138"/>
      <c r="EA77" s="134"/>
      <c r="EB77" s="134"/>
      <c r="EC77" s="134"/>
      <c r="ED77" s="138"/>
      <c r="EE77" s="134"/>
      <c r="EF77" s="134"/>
      <c r="EG77" s="134"/>
      <c r="EH77" s="301"/>
      <c r="EI77" s="301"/>
      <c r="EJ77" s="277"/>
      <c r="EK77" s="134"/>
      <c r="EL77" s="134"/>
      <c r="EM77" s="134"/>
      <c r="EN77" s="134"/>
      <c r="EO77" s="134"/>
      <c r="EP77" s="134"/>
      <c r="EQ77" s="134"/>
      <c r="ER77" s="134"/>
      <c r="ES77" s="301"/>
      <c r="ET77" s="301"/>
      <c r="EU77" s="134"/>
      <c r="EV77" s="134"/>
      <c r="EW77" s="134"/>
      <c r="EX77" s="134"/>
      <c r="EY77" s="134"/>
      <c r="EZ77" s="134"/>
      <c r="FA77" s="134"/>
      <c r="FB77" s="134"/>
      <c r="FC77" s="135"/>
      <c r="FD77" s="135"/>
      <c r="FE77" s="134"/>
      <c r="FF77" s="134"/>
      <c r="FG77" s="134"/>
      <c r="FH77" s="134"/>
      <c r="FI77" s="134"/>
      <c r="FJ77" s="134"/>
      <c r="FK77" s="134"/>
      <c r="FL77" s="134"/>
      <c r="FM77" s="135"/>
      <c r="FN77" s="135"/>
      <c r="FO77" s="134"/>
      <c r="FP77" s="134"/>
      <c r="FQ77" s="134"/>
      <c r="FR77" s="134"/>
      <c r="FS77" s="134"/>
      <c r="FT77" s="134"/>
      <c r="FU77" s="134"/>
      <c r="FV77" s="134"/>
      <c r="FW77" s="135"/>
      <c r="FX77" s="135"/>
      <c r="FY77" s="134"/>
      <c r="FZ77" s="134"/>
      <c r="GA77" s="134"/>
      <c r="GB77" s="134"/>
      <c r="GC77" s="134"/>
      <c r="GD77" s="134"/>
      <c r="GE77" s="134"/>
      <c r="GF77" s="134"/>
      <c r="GG77" s="135"/>
      <c r="GH77" s="135"/>
      <c r="GI77" s="134"/>
      <c r="GJ77" s="134"/>
      <c r="GK77" s="134"/>
      <c r="GL77" s="134"/>
      <c r="GM77" s="134"/>
      <c r="GN77" s="134"/>
      <c r="GO77" s="134"/>
      <c r="GP77" s="134"/>
      <c r="GQ77" s="135"/>
      <c r="GR77" s="135"/>
      <c r="GS77" s="134"/>
      <c r="GT77" s="134"/>
      <c r="GU77" s="134"/>
      <c r="GV77" s="134"/>
      <c r="GW77" s="134"/>
      <c r="GX77" s="134"/>
      <c r="GY77" s="134"/>
      <c r="GZ77" s="134"/>
      <c r="HA77" s="135"/>
      <c r="HB77" s="135"/>
      <c r="HC77" s="134"/>
      <c r="HD77" s="134"/>
      <c r="HE77" s="134"/>
      <c r="HF77" s="134"/>
      <c r="HG77" s="134"/>
      <c r="HH77" s="134"/>
      <c r="HI77" s="134"/>
      <c r="HJ77" s="134"/>
      <c r="HK77" s="135"/>
      <c r="HL77" s="135"/>
      <c r="HM77" s="134"/>
      <c r="HN77" s="134"/>
      <c r="HO77" s="134"/>
      <c r="HP77" s="134"/>
      <c r="HQ77" s="134"/>
      <c r="HR77" s="134"/>
      <c r="HS77" s="134"/>
      <c r="HT77" s="134"/>
      <c r="HU77" s="135"/>
      <c r="HV77" s="135"/>
      <c r="HW77" s="134"/>
      <c r="HX77" s="134"/>
      <c r="HY77" s="134"/>
      <c r="HZ77" s="134"/>
      <c r="IA77" s="134"/>
      <c r="IB77" s="134"/>
      <c r="IC77" s="134"/>
      <c r="ID77" s="134"/>
      <c r="IE77" s="135"/>
      <c r="IF77" s="135"/>
      <c r="IG77" s="134"/>
      <c r="IH77" s="134"/>
      <c r="II77" s="134"/>
      <c r="IJ77" s="134"/>
      <c r="IK77" s="134"/>
      <c r="IL77" s="134"/>
      <c r="IM77" s="134"/>
      <c r="IN77" s="134"/>
      <c r="IO77" s="135"/>
      <c r="IP77" s="135"/>
      <c r="IQ77" s="134"/>
      <c r="IR77" s="134"/>
      <c r="IS77" s="134"/>
      <c r="IT77" s="134"/>
      <c r="IU77" s="134"/>
      <c r="IV77" s="134"/>
      <c r="IW77" s="134"/>
      <c r="IX77" s="134"/>
      <c r="IY77" s="135"/>
      <c r="IZ77" s="135"/>
    </row>
    <row r="78" spans="1:260" s="119" customFormat="1" ht="17" customHeight="1">
      <c r="A78" s="79" t="s">
        <v>278</v>
      </c>
      <c r="B78" s="418">
        <v>198</v>
      </c>
      <c r="C78" s="117"/>
      <c r="D78" s="117">
        <v>77</v>
      </c>
      <c r="E78" s="123" t="s">
        <v>2008</v>
      </c>
      <c r="F78" s="124" t="s">
        <v>2239</v>
      </c>
      <c r="G78" s="125">
        <v>2015</v>
      </c>
      <c r="H78" s="79">
        <v>25959594</v>
      </c>
      <c r="I78" s="79">
        <v>1</v>
      </c>
      <c r="J78" s="126"/>
      <c r="K78" s="127"/>
      <c r="L78" s="79">
        <v>1</v>
      </c>
      <c r="M78" s="79"/>
      <c r="N78" s="79">
        <v>1</v>
      </c>
      <c r="O78" s="128">
        <v>1</v>
      </c>
      <c r="P78" s="79" t="s">
        <v>730</v>
      </c>
      <c r="Q78" s="79" t="s">
        <v>1192</v>
      </c>
      <c r="R78" s="79" t="s">
        <v>25</v>
      </c>
      <c r="S78" s="79">
        <v>1</v>
      </c>
      <c r="T78" s="79"/>
      <c r="U78" s="79"/>
      <c r="V78" s="79"/>
      <c r="W78" s="79" t="s">
        <v>729</v>
      </c>
      <c r="X78" s="79" t="s">
        <v>731</v>
      </c>
      <c r="Y78" s="79"/>
      <c r="Z78" s="79"/>
      <c r="AA78" s="79"/>
      <c r="AB78" s="79"/>
      <c r="AC78" s="506" t="s">
        <v>6275</v>
      </c>
      <c r="AD78" s="573">
        <v>1</v>
      </c>
      <c r="AE78" s="573">
        <v>0</v>
      </c>
      <c r="AF78" s="154"/>
      <c r="AG78" s="155"/>
      <c r="AH78" s="121">
        <v>2</v>
      </c>
      <c r="AI78" s="484"/>
      <c r="AJ78" s="202"/>
      <c r="AK78" s="192"/>
      <c r="AL78" s="203"/>
      <c r="AM78" s="121"/>
      <c r="AN78" s="121"/>
      <c r="AO78" s="121"/>
      <c r="AP78" s="121"/>
      <c r="AQ78" s="121"/>
      <c r="AR78" s="121"/>
      <c r="AS78" s="121"/>
      <c r="AT78" s="121"/>
      <c r="AU78" s="121"/>
      <c r="AV78" s="121"/>
      <c r="AW78" s="121"/>
      <c r="AX78" s="121"/>
      <c r="AY78" s="121"/>
      <c r="AZ78" s="121"/>
      <c r="BA78" s="121"/>
      <c r="BB78" s="121"/>
      <c r="BC78" s="121"/>
      <c r="BD78" s="156"/>
      <c r="BE78" s="156"/>
      <c r="BF78" s="156"/>
      <c r="BG78" s="156" t="s">
        <v>6237</v>
      </c>
      <c r="BH78" s="156"/>
      <c r="BI78" s="156" t="s">
        <v>5207</v>
      </c>
      <c r="BJ78" s="156"/>
      <c r="BK78" s="156"/>
      <c r="BL78" s="156"/>
      <c r="BM78" s="156"/>
      <c r="BN78" s="156" t="s">
        <v>5207</v>
      </c>
      <c r="BO78" s="156"/>
      <c r="BP78" s="156"/>
      <c r="BQ78" s="157"/>
      <c r="BR78" s="134"/>
      <c r="BS78" s="134"/>
      <c r="BT78" s="134"/>
      <c r="BU78" s="134"/>
      <c r="BV78" s="134"/>
      <c r="BW78" s="259"/>
      <c r="BX78" s="138"/>
      <c r="BY78" s="134"/>
      <c r="BZ78" s="134"/>
      <c r="CA78" s="134"/>
      <c r="CB78" s="138"/>
      <c r="CC78" s="134"/>
      <c r="CD78" s="134"/>
      <c r="CE78" s="134"/>
      <c r="CF78" s="288"/>
      <c r="CG78" s="289"/>
      <c r="CH78" s="138"/>
      <c r="CI78" s="134"/>
      <c r="CJ78" s="134"/>
      <c r="CK78" s="134"/>
      <c r="CL78" s="138"/>
      <c r="CM78" s="134"/>
      <c r="CN78" s="134"/>
      <c r="CO78" s="134"/>
      <c r="CP78" s="288"/>
      <c r="CQ78" s="289"/>
      <c r="CR78" s="276"/>
      <c r="CS78" s="308"/>
      <c r="CT78" s="138"/>
      <c r="CU78" s="134"/>
      <c r="CV78" s="134"/>
      <c r="CW78" s="134"/>
      <c r="CX78" s="134"/>
      <c r="CY78" s="134"/>
      <c r="CZ78" s="134"/>
      <c r="DA78" s="134"/>
      <c r="DB78" s="300"/>
      <c r="DC78" s="301"/>
      <c r="DD78" s="134"/>
      <c r="DE78" s="134"/>
      <c r="DF78" s="134"/>
      <c r="DG78" s="134"/>
      <c r="DH78" s="134"/>
      <c r="DI78" s="134"/>
      <c r="DJ78" s="134"/>
      <c r="DK78" s="134"/>
      <c r="DL78" s="300"/>
      <c r="DM78" s="301"/>
      <c r="DN78" s="276"/>
      <c r="DO78" s="277"/>
      <c r="DP78" s="134"/>
      <c r="DQ78" s="134"/>
      <c r="DR78" s="134"/>
      <c r="DS78" s="134"/>
      <c r="DT78" s="138"/>
      <c r="DU78" s="134"/>
      <c r="DV78" s="134"/>
      <c r="DW78" s="134"/>
      <c r="DX78" s="301"/>
      <c r="DY78" s="301"/>
      <c r="DZ78" s="138"/>
      <c r="EA78" s="134"/>
      <c r="EB78" s="134"/>
      <c r="EC78" s="134"/>
      <c r="ED78" s="138"/>
      <c r="EE78" s="134"/>
      <c r="EF78" s="134"/>
      <c r="EG78" s="134"/>
      <c r="EH78" s="301"/>
      <c r="EI78" s="301"/>
      <c r="EJ78" s="277"/>
      <c r="EK78" s="134"/>
      <c r="EL78" s="134"/>
      <c r="EM78" s="134"/>
      <c r="EN78" s="134"/>
      <c r="EO78" s="134"/>
      <c r="EP78" s="134"/>
      <c r="EQ78" s="134"/>
      <c r="ER78" s="134"/>
      <c r="ES78" s="301"/>
      <c r="ET78" s="301"/>
      <c r="EU78" s="134"/>
      <c r="EV78" s="134"/>
      <c r="EW78" s="134"/>
      <c r="EX78" s="134"/>
      <c r="EY78" s="134"/>
      <c r="EZ78" s="134"/>
      <c r="FA78" s="134"/>
      <c r="FB78" s="134"/>
      <c r="FC78" s="135"/>
      <c r="FD78" s="135"/>
      <c r="FE78" s="134"/>
      <c r="FF78" s="134"/>
      <c r="FG78" s="134"/>
      <c r="FH78" s="134"/>
      <c r="FI78" s="134"/>
      <c r="FJ78" s="134"/>
      <c r="FK78" s="134"/>
      <c r="FL78" s="134"/>
      <c r="FM78" s="135"/>
      <c r="FN78" s="135"/>
      <c r="FO78" s="134"/>
      <c r="FP78" s="134"/>
      <c r="FQ78" s="134"/>
      <c r="FR78" s="134"/>
      <c r="FS78" s="134"/>
      <c r="FT78" s="134"/>
      <c r="FU78" s="134"/>
      <c r="FV78" s="134"/>
      <c r="FW78" s="135"/>
      <c r="FX78" s="135"/>
      <c r="FY78" s="134"/>
      <c r="FZ78" s="134"/>
      <c r="GA78" s="134"/>
      <c r="GB78" s="134"/>
      <c r="GC78" s="134"/>
      <c r="GD78" s="134"/>
      <c r="GE78" s="134"/>
      <c r="GF78" s="134"/>
      <c r="GG78" s="135"/>
      <c r="GH78" s="135"/>
      <c r="GI78" s="134"/>
      <c r="GJ78" s="134"/>
      <c r="GK78" s="134"/>
      <c r="GL78" s="134"/>
      <c r="GM78" s="134"/>
      <c r="GN78" s="134"/>
      <c r="GO78" s="134"/>
      <c r="GP78" s="134"/>
      <c r="GQ78" s="135"/>
      <c r="GR78" s="135"/>
      <c r="GS78" s="134"/>
      <c r="GT78" s="134"/>
      <c r="GU78" s="134"/>
      <c r="GV78" s="134"/>
      <c r="GW78" s="134"/>
      <c r="GX78" s="134"/>
      <c r="GY78" s="134"/>
      <c r="GZ78" s="134"/>
      <c r="HA78" s="135"/>
      <c r="HB78" s="135"/>
      <c r="HC78" s="134"/>
      <c r="HD78" s="134"/>
      <c r="HE78" s="134"/>
      <c r="HF78" s="134"/>
      <c r="HG78" s="134"/>
      <c r="HH78" s="134"/>
      <c r="HI78" s="134"/>
      <c r="HJ78" s="134"/>
      <c r="HK78" s="135"/>
      <c r="HL78" s="135"/>
      <c r="HM78" s="134"/>
      <c r="HN78" s="134"/>
      <c r="HO78" s="134"/>
      <c r="HP78" s="134"/>
      <c r="HQ78" s="134"/>
      <c r="HR78" s="134"/>
      <c r="HS78" s="134"/>
      <c r="HT78" s="134"/>
      <c r="HU78" s="135"/>
      <c r="HV78" s="135"/>
      <c r="HW78" s="134"/>
      <c r="HX78" s="134"/>
      <c r="HY78" s="134"/>
      <c r="HZ78" s="134"/>
      <c r="IA78" s="134"/>
      <c r="IB78" s="134"/>
      <c r="IC78" s="134"/>
      <c r="ID78" s="134"/>
      <c r="IE78" s="135"/>
      <c r="IF78" s="135"/>
      <c r="IG78" s="134"/>
      <c r="IH78" s="134"/>
      <c r="II78" s="134"/>
      <c r="IJ78" s="134"/>
      <c r="IK78" s="134"/>
      <c r="IL78" s="134"/>
      <c r="IM78" s="134"/>
      <c r="IN78" s="134"/>
      <c r="IO78" s="135"/>
      <c r="IP78" s="135"/>
      <c r="IQ78" s="134"/>
      <c r="IR78" s="134"/>
      <c r="IS78" s="134"/>
      <c r="IT78" s="134"/>
      <c r="IU78" s="134"/>
      <c r="IV78" s="134"/>
      <c r="IW78" s="134"/>
      <c r="IX78" s="134"/>
      <c r="IY78" s="135"/>
      <c r="IZ78" s="135"/>
    </row>
    <row r="79" spans="1:260" s="119" customFormat="1" ht="17" customHeight="1">
      <c r="A79" s="79" t="s">
        <v>982</v>
      </c>
      <c r="B79" s="418">
        <v>202</v>
      </c>
      <c r="C79" s="117"/>
      <c r="D79" s="117">
        <v>78</v>
      </c>
      <c r="E79" s="123" t="s">
        <v>2114</v>
      </c>
      <c r="F79" s="124" t="s">
        <v>2373</v>
      </c>
      <c r="G79" s="125">
        <v>2015</v>
      </c>
      <c r="H79" s="79">
        <v>26225843</v>
      </c>
      <c r="I79" s="79">
        <v>1</v>
      </c>
      <c r="J79" s="126">
        <v>1</v>
      </c>
      <c r="K79" s="127"/>
      <c r="L79" s="79">
        <v>1</v>
      </c>
      <c r="M79" s="79"/>
      <c r="N79" s="79">
        <v>1</v>
      </c>
      <c r="O79" s="128">
        <v>2</v>
      </c>
      <c r="P79" s="79" t="s">
        <v>1206</v>
      </c>
      <c r="Q79" s="79" t="s">
        <v>1552</v>
      </c>
      <c r="R79" s="79" t="s">
        <v>1127</v>
      </c>
      <c r="S79" s="79"/>
      <c r="T79" s="79" t="s">
        <v>1495</v>
      </c>
      <c r="U79" s="79" t="s">
        <v>803</v>
      </c>
      <c r="V79" s="79"/>
      <c r="W79" s="79" t="s">
        <v>1550</v>
      </c>
      <c r="X79" s="79" t="s">
        <v>1551</v>
      </c>
      <c r="Y79" s="79"/>
      <c r="Z79" s="79"/>
      <c r="AA79" s="79" t="s">
        <v>1549</v>
      </c>
      <c r="AB79" s="79" t="s">
        <v>1548</v>
      </c>
      <c r="AC79" s="506" t="s">
        <v>6277</v>
      </c>
      <c r="AD79" s="573">
        <v>1</v>
      </c>
      <c r="AE79" s="573">
        <v>1</v>
      </c>
      <c r="AF79" s="154"/>
      <c r="AG79" s="155"/>
      <c r="AH79" s="121">
        <v>4</v>
      </c>
      <c r="AI79" s="484"/>
      <c r="AJ79" s="202"/>
      <c r="AK79" s="192"/>
      <c r="AL79" s="203"/>
      <c r="AM79" s="121"/>
      <c r="AN79" s="121"/>
      <c r="AO79" s="121"/>
      <c r="AP79" s="121"/>
      <c r="AQ79" s="121"/>
      <c r="AR79" s="121"/>
      <c r="AS79" s="121"/>
      <c r="AT79" s="121"/>
      <c r="AU79" s="121"/>
      <c r="AV79" s="121"/>
      <c r="AW79" s="121"/>
      <c r="AX79" s="121"/>
      <c r="AY79" s="121"/>
      <c r="AZ79" s="121"/>
      <c r="BA79" s="121"/>
      <c r="BB79" s="121"/>
      <c r="BC79" s="121"/>
      <c r="BD79" s="156" t="s">
        <v>5207</v>
      </c>
      <c r="BE79" s="156" t="s">
        <v>6205</v>
      </c>
      <c r="BF79" s="156"/>
      <c r="BG79" s="156"/>
      <c r="BH79" s="156"/>
      <c r="BI79" s="156"/>
      <c r="BJ79" s="156" t="s">
        <v>5545</v>
      </c>
      <c r="BK79" s="156"/>
      <c r="BL79" s="156"/>
      <c r="BM79" s="156"/>
      <c r="BN79" s="156"/>
      <c r="BO79" s="156"/>
      <c r="BP79" s="156" t="s">
        <v>6276</v>
      </c>
      <c r="BQ79" s="157"/>
      <c r="BR79" s="134"/>
      <c r="BS79" s="134"/>
      <c r="BT79" s="134"/>
      <c r="BU79" s="134"/>
      <c r="BV79" s="134"/>
      <c r="BW79" s="259"/>
      <c r="BX79" s="138"/>
      <c r="BY79" s="134"/>
      <c r="BZ79" s="134"/>
      <c r="CA79" s="134"/>
      <c r="CB79" s="138"/>
      <c r="CC79" s="134"/>
      <c r="CD79" s="134"/>
      <c r="CE79" s="134"/>
      <c r="CF79" s="288"/>
      <c r="CG79" s="289"/>
      <c r="CH79" s="138"/>
      <c r="CI79" s="190"/>
      <c r="CJ79" s="134"/>
      <c r="CK79" s="190"/>
      <c r="CL79" s="138"/>
      <c r="CM79" s="134"/>
      <c r="CN79" s="134"/>
      <c r="CO79" s="134"/>
      <c r="CP79" s="288"/>
      <c r="CQ79" s="289"/>
      <c r="CR79" s="276"/>
      <c r="CS79" s="308"/>
      <c r="CT79" s="138"/>
      <c r="CU79" s="190"/>
      <c r="CV79" s="134"/>
      <c r="CW79" s="190"/>
      <c r="CX79" s="134"/>
      <c r="CY79" s="134"/>
      <c r="CZ79" s="134"/>
      <c r="DA79" s="134"/>
      <c r="DB79" s="300"/>
      <c r="DC79" s="301"/>
      <c r="DD79" s="134"/>
      <c r="DE79" s="190"/>
      <c r="DF79" s="134"/>
      <c r="DG79" s="190"/>
      <c r="DH79" s="134"/>
      <c r="DI79" s="134"/>
      <c r="DJ79" s="134"/>
      <c r="DK79" s="134"/>
      <c r="DL79" s="300"/>
      <c r="DM79" s="301"/>
      <c r="DN79" s="276"/>
      <c r="DO79" s="277"/>
      <c r="DP79" s="190"/>
      <c r="DQ79" s="190"/>
      <c r="DR79" s="190"/>
      <c r="DS79" s="190"/>
      <c r="DT79" s="138"/>
      <c r="DU79" s="134"/>
      <c r="DV79" s="134"/>
      <c r="DW79" s="134"/>
      <c r="DX79" s="301"/>
      <c r="DY79" s="301"/>
      <c r="DZ79" s="138"/>
      <c r="EA79" s="134"/>
      <c r="EB79" s="134"/>
      <c r="EC79" s="134"/>
      <c r="ED79" s="138"/>
      <c r="EE79" s="134"/>
      <c r="EF79" s="134"/>
      <c r="EG79" s="134"/>
      <c r="EH79" s="301"/>
      <c r="EI79" s="301"/>
      <c r="EJ79" s="277"/>
      <c r="EK79" s="190"/>
      <c r="EL79" s="190"/>
      <c r="EM79" s="190"/>
      <c r="EN79" s="190"/>
      <c r="EO79" s="134"/>
      <c r="EP79" s="134"/>
      <c r="EQ79" s="134"/>
      <c r="ER79" s="134"/>
      <c r="ES79" s="301"/>
      <c r="ET79" s="301"/>
      <c r="EU79" s="134"/>
      <c r="EV79" s="134"/>
      <c r="EW79" s="134"/>
      <c r="EX79" s="134"/>
      <c r="EY79" s="134"/>
      <c r="EZ79" s="134"/>
      <c r="FA79" s="134"/>
      <c r="FB79" s="134"/>
      <c r="FC79" s="135"/>
      <c r="FD79" s="135"/>
      <c r="FE79" s="134"/>
      <c r="FF79" s="134"/>
      <c r="FG79" s="134"/>
      <c r="FH79" s="134"/>
      <c r="FI79" s="134"/>
      <c r="FJ79" s="134"/>
      <c r="FK79" s="134"/>
      <c r="FL79" s="134"/>
      <c r="FM79" s="135"/>
      <c r="FN79" s="135"/>
      <c r="FO79" s="134"/>
      <c r="FP79" s="134"/>
      <c r="FQ79" s="134"/>
      <c r="FR79" s="134"/>
      <c r="FS79" s="134"/>
      <c r="FT79" s="134"/>
      <c r="FU79" s="134"/>
      <c r="FV79" s="134"/>
      <c r="FW79" s="135"/>
      <c r="FX79" s="135"/>
      <c r="FY79" s="134"/>
      <c r="FZ79" s="134"/>
      <c r="GA79" s="134"/>
      <c r="GB79" s="134"/>
      <c r="GC79" s="134"/>
      <c r="GD79" s="134"/>
      <c r="GE79" s="134"/>
      <c r="GF79" s="134"/>
      <c r="GG79" s="135"/>
      <c r="GH79" s="135"/>
      <c r="GI79" s="134"/>
      <c r="GJ79" s="134"/>
      <c r="GK79" s="134"/>
      <c r="GL79" s="134"/>
      <c r="GM79" s="134"/>
      <c r="GN79" s="134"/>
      <c r="GO79" s="134"/>
      <c r="GP79" s="134"/>
      <c r="GQ79" s="135"/>
      <c r="GR79" s="135"/>
      <c r="GS79" s="134"/>
      <c r="GT79" s="134"/>
      <c r="GU79" s="134"/>
      <c r="GV79" s="134"/>
      <c r="GW79" s="134"/>
      <c r="GX79" s="134"/>
      <c r="GY79" s="134"/>
      <c r="GZ79" s="134"/>
      <c r="HA79" s="135"/>
      <c r="HB79" s="135"/>
      <c r="HC79" s="134"/>
      <c r="HD79" s="134"/>
      <c r="HE79" s="134"/>
      <c r="HF79" s="134"/>
      <c r="HG79" s="134"/>
      <c r="HH79" s="134"/>
      <c r="HI79" s="134"/>
      <c r="HJ79" s="134"/>
      <c r="HK79" s="135"/>
      <c r="HL79" s="135"/>
      <c r="HM79" s="134"/>
      <c r="HN79" s="134"/>
      <c r="HO79" s="134"/>
      <c r="HP79" s="134"/>
      <c r="HQ79" s="134"/>
      <c r="HR79" s="134"/>
      <c r="HS79" s="134"/>
      <c r="HT79" s="134"/>
      <c r="HU79" s="135"/>
      <c r="HV79" s="135"/>
      <c r="HW79" s="134"/>
      <c r="HX79" s="134"/>
      <c r="HY79" s="134"/>
      <c r="HZ79" s="134"/>
      <c r="IA79" s="134"/>
      <c r="IB79" s="134"/>
      <c r="IC79" s="134"/>
      <c r="ID79" s="134"/>
      <c r="IE79" s="135"/>
      <c r="IF79" s="135"/>
      <c r="IG79" s="134"/>
      <c r="IH79" s="134"/>
      <c r="II79" s="134"/>
      <c r="IJ79" s="134"/>
      <c r="IK79" s="134"/>
      <c r="IL79" s="134"/>
      <c r="IM79" s="134"/>
      <c r="IN79" s="134"/>
      <c r="IO79" s="135"/>
      <c r="IP79" s="135"/>
      <c r="IQ79" s="134"/>
      <c r="IR79" s="134"/>
      <c r="IS79" s="134"/>
      <c r="IT79" s="134"/>
      <c r="IU79" s="134"/>
      <c r="IV79" s="134"/>
      <c r="IW79" s="134"/>
      <c r="IX79" s="134"/>
      <c r="IY79" s="135"/>
      <c r="IZ79" s="135"/>
    </row>
    <row r="80" spans="1:260" s="119" customFormat="1" ht="17" customHeight="1">
      <c r="A80" s="79" t="s">
        <v>282</v>
      </c>
      <c r="B80" s="418">
        <v>203</v>
      </c>
      <c r="C80" s="117"/>
      <c r="D80" s="117">
        <v>79</v>
      </c>
      <c r="E80" s="123" t="s">
        <v>2011</v>
      </c>
      <c r="F80" s="124" t="s">
        <v>2243</v>
      </c>
      <c r="G80" s="125">
        <v>2015</v>
      </c>
      <c r="H80" s="79">
        <v>26237266</v>
      </c>
      <c r="I80" s="79">
        <v>1</v>
      </c>
      <c r="J80" s="170" t="s">
        <v>1782</v>
      </c>
      <c r="K80" s="127" t="s">
        <v>1765</v>
      </c>
      <c r="L80" s="164">
        <v>0</v>
      </c>
      <c r="M80" s="79"/>
      <c r="N80" s="79">
        <v>1</v>
      </c>
      <c r="O80" s="128">
        <v>1</v>
      </c>
      <c r="P80" s="79" t="s">
        <v>741</v>
      </c>
      <c r="Q80" s="79" t="s">
        <v>1161</v>
      </c>
      <c r="R80" s="79" t="s">
        <v>740</v>
      </c>
      <c r="S80" s="79">
        <v>1</v>
      </c>
      <c r="T80" s="79"/>
      <c r="U80" s="79"/>
      <c r="V80" s="79"/>
      <c r="W80" s="79"/>
      <c r="X80" s="79"/>
      <c r="Y80" s="79"/>
      <c r="Z80" s="79"/>
      <c r="AA80" s="79"/>
      <c r="AB80" s="79"/>
      <c r="AC80" s="506" t="s">
        <v>6279</v>
      </c>
      <c r="AD80" s="573">
        <v>1</v>
      </c>
      <c r="AE80" s="573">
        <v>0</v>
      </c>
      <c r="AF80" s="154"/>
      <c r="AG80" s="155"/>
      <c r="AH80" s="121">
        <v>2</v>
      </c>
      <c r="AI80" s="484"/>
      <c r="AJ80" s="202"/>
      <c r="AK80" s="192"/>
      <c r="AL80" s="203"/>
      <c r="AM80" s="121"/>
      <c r="AN80" s="121"/>
      <c r="AO80" s="121"/>
      <c r="AP80" s="121"/>
      <c r="AQ80" s="121"/>
      <c r="AR80" s="121"/>
      <c r="AS80" s="121"/>
      <c r="AT80" s="121"/>
      <c r="AU80" s="121"/>
      <c r="AV80" s="121"/>
      <c r="AW80" s="121"/>
      <c r="AX80" s="121"/>
      <c r="AY80" s="121"/>
      <c r="AZ80" s="121"/>
      <c r="BA80" s="121"/>
      <c r="BB80" s="121"/>
      <c r="BC80" s="121"/>
      <c r="BD80" s="156"/>
      <c r="BE80" s="156"/>
      <c r="BF80" s="156" t="s">
        <v>5207</v>
      </c>
      <c r="BG80" s="156"/>
      <c r="BH80" s="156"/>
      <c r="BI80" s="156"/>
      <c r="BJ80" s="156"/>
      <c r="BK80" s="156" t="s">
        <v>6278</v>
      </c>
      <c r="BL80" s="156" t="s">
        <v>5207</v>
      </c>
      <c r="BM80" s="156"/>
      <c r="BN80" s="156" t="s">
        <v>5207</v>
      </c>
      <c r="BO80" s="156"/>
      <c r="BP80" s="156">
        <v>1</v>
      </c>
      <c r="BQ80" s="157"/>
      <c r="BR80" s="134"/>
      <c r="BS80" s="134"/>
      <c r="BT80" s="134"/>
      <c r="BU80" s="134"/>
      <c r="BV80" s="134"/>
      <c r="BW80" s="259"/>
      <c r="BX80" s="138"/>
      <c r="BY80" s="134"/>
      <c r="BZ80" s="134"/>
      <c r="CA80" s="134"/>
      <c r="CB80" s="138"/>
      <c r="CC80" s="134"/>
      <c r="CD80" s="134"/>
      <c r="CE80" s="134"/>
      <c r="CF80" s="288"/>
      <c r="CG80" s="289"/>
      <c r="CH80" s="138"/>
      <c r="CI80" s="134"/>
      <c r="CJ80" s="134"/>
      <c r="CK80" s="134"/>
      <c r="CL80" s="138"/>
      <c r="CM80" s="134"/>
      <c r="CN80" s="134"/>
      <c r="CO80" s="134"/>
      <c r="CP80" s="288"/>
      <c r="CQ80" s="289"/>
      <c r="CR80" s="276"/>
      <c r="CS80" s="308"/>
      <c r="CT80" s="138"/>
      <c r="CU80" s="134"/>
      <c r="CV80" s="134"/>
      <c r="CW80" s="134"/>
      <c r="CX80" s="134"/>
      <c r="CY80" s="134"/>
      <c r="CZ80" s="134"/>
      <c r="DA80" s="134"/>
      <c r="DB80" s="300"/>
      <c r="DC80" s="301"/>
      <c r="DD80" s="134"/>
      <c r="DE80" s="134"/>
      <c r="DF80" s="134"/>
      <c r="DG80" s="134"/>
      <c r="DH80" s="134"/>
      <c r="DI80" s="134"/>
      <c r="DJ80" s="134"/>
      <c r="DK80" s="134"/>
      <c r="DL80" s="300"/>
      <c r="DM80" s="301"/>
      <c r="DN80" s="276"/>
      <c r="DO80" s="277"/>
      <c r="DP80" s="190"/>
      <c r="DQ80" s="190"/>
      <c r="DR80" s="190"/>
      <c r="DS80" s="190"/>
      <c r="DT80" s="556"/>
      <c r="DU80" s="134"/>
      <c r="DV80" s="134"/>
      <c r="DW80" s="134"/>
      <c r="DX80" s="301"/>
      <c r="DY80" s="301"/>
      <c r="DZ80" s="138"/>
      <c r="EA80" s="134"/>
      <c r="EB80" s="134"/>
      <c r="EC80" s="134"/>
      <c r="ED80" s="138"/>
      <c r="EE80" s="134"/>
      <c r="EF80" s="134"/>
      <c r="EG80" s="134"/>
      <c r="EH80" s="301"/>
      <c r="EI80" s="301"/>
      <c r="EJ80" s="277"/>
      <c r="EK80" s="190"/>
      <c r="EL80" s="190"/>
      <c r="EM80" s="190"/>
      <c r="EN80" s="190"/>
      <c r="EO80" s="134"/>
      <c r="EP80" s="134"/>
      <c r="EQ80" s="134"/>
      <c r="ER80" s="134"/>
      <c r="ES80" s="301"/>
      <c r="ET80" s="301"/>
      <c r="EU80" s="134"/>
      <c r="EV80" s="190"/>
      <c r="EW80" s="190"/>
      <c r="EX80" s="190"/>
      <c r="EY80" s="190"/>
      <c r="EZ80" s="134"/>
      <c r="FA80" s="134"/>
      <c r="FB80" s="134"/>
      <c r="FC80" s="135"/>
      <c r="FD80" s="135"/>
      <c r="FE80" s="134"/>
      <c r="FF80" s="134"/>
      <c r="FG80" s="134"/>
      <c r="FH80" s="134"/>
      <c r="FI80" s="134"/>
      <c r="FJ80" s="134"/>
      <c r="FK80" s="134"/>
      <c r="FL80" s="134"/>
      <c r="FM80" s="135"/>
      <c r="FN80" s="135"/>
      <c r="FO80" s="134"/>
      <c r="FP80" s="134"/>
      <c r="FQ80" s="134"/>
      <c r="FR80" s="134"/>
      <c r="FS80" s="134"/>
      <c r="FT80" s="134"/>
      <c r="FU80" s="134"/>
      <c r="FV80" s="134"/>
      <c r="FW80" s="135"/>
      <c r="FX80" s="135"/>
      <c r="FY80" s="134"/>
      <c r="FZ80" s="134"/>
      <c r="GA80" s="134"/>
      <c r="GB80" s="134"/>
      <c r="GC80" s="134"/>
      <c r="GD80" s="134"/>
      <c r="GE80" s="134"/>
      <c r="GF80" s="134"/>
      <c r="GG80" s="135"/>
      <c r="GH80" s="135"/>
      <c r="GI80" s="134"/>
      <c r="GJ80" s="134"/>
      <c r="GK80" s="134"/>
      <c r="GL80" s="134"/>
      <c r="GM80" s="134"/>
      <c r="GN80" s="134"/>
      <c r="GO80" s="134"/>
      <c r="GP80" s="134"/>
      <c r="GQ80" s="135"/>
      <c r="GR80" s="135"/>
      <c r="GS80" s="134"/>
      <c r="GT80" s="134"/>
      <c r="GU80" s="134"/>
      <c r="GV80" s="134"/>
      <c r="GW80" s="134"/>
      <c r="GX80" s="134"/>
      <c r="GY80" s="134"/>
      <c r="GZ80" s="134"/>
      <c r="HA80" s="135"/>
      <c r="HB80" s="135"/>
      <c r="HC80" s="134"/>
      <c r="HD80" s="134"/>
      <c r="HE80" s="134"/>
      <c r="HF80" s="134"/>
      <c r="HG80" s="134"/>
      <c r="HH80" s="134"/>
      <c r="HI80" s="134"/>
      <c r="HJ80" s="134"/>
      <c r="HK80" s="135"/>
      <c r="HL80" s="135"/>
      <c r="HM80" s="134"/>
      <c r="HN80" s="134"/>
      <c r="HO80" s="134"/>
      <c r="HP80" s="134"/>
      <c r="HQ80" s="134"/>
      <c r="HR80" s="134"/>
      <c r="HS80" s="134"/>
      <c r="HT80" s="134"/>
      <c r="HU80" s="135"/>
      <c r="HV80" s="135"/>
      <c r="HW80" s="134"/>
      <c r="HX80" s="134"/>
      <c r="HY80" s="134"/>
      <c r="HZ80" s="134"/>
      <c r="IA80" s="134"/>
      <c r="IB80" s="134"/>
      <c r="IC80" s="134"/>
      <c r="ID80" s="134"/>
      <c r="IE80" s="135"/>
      <c r="IF80" s="135"/>
      <c r="IG80" s="134"/>
      <c r="IH80" s="134"/>
      <c r="II80" s="134"/>
      <c r="IJ80" s="134"/>
      <c r="IK80" s="134"/>
      <c r="IL80" s="134"/>
      <c r="IM80" s="134"/>
      <c r="IN80" s="134"/>
      <c r="IO80" s="135"/>
      <c r="IP80" s="135"/>
      <c r="IQ80" s="134"/>
      <c r="IR80" s="134"/>
      <c r="IS80" s="134"/>
      <c r="IT80" s="134"/>
      <c r="IU80" s="134"/>
      <c r="IV80" s="134"/>
      <c r="IW80" s="134"/>
      <c r="IX80" s="134"/>
      <c r="IY80" s="135"/>
      <c r="IZ80" s="135"/>
    </row>
    <row r="81" spans="1:260" s="119" customFormat="1" ht="17" customHeight="1">
      <c r="A81" s="79" t="s">
        <v>981</v>
      </c>
      <c r="B81" s="418">
        <v>204</v>
      </c>
      <c r="C81" s="117"/>
      <c r="D81" s="117">
        <v>80</v>
      </c>
      <c r="E81" s="123" t="s">
        <v>2115</v>
      </c>
      <c r="F81" s="124" t="s">
        <v>2374</v>
      </c>
      <c r="G81" s="125">
        <v>2004</v>
      </c>
      <c r="H81" s="79">
        <v>15036608</v>
      </c>
      <c r="I81" s="79">
        <v>1</v>
      </c>
      <c r="J81" s="126">
        <v>1</v>
      </c>
      <c r="K81" s="127"/>
      <c r="L81" s="79">
        <v>1</v>
      </c>
      <c r="M81" s="79"/>
      <c r="N81" s="79">
        <v>1</v>
      </c>
      <c r="O81" s="128">
        <v>2</v>
      </c>
      <c r="P81" s="79" t="s">
        <v>1553</v>
      </c>
      <c r="Q81" s="79" t="s">
        <v>1552</v>
      </c>
      <c r="R81" s="79" t="s">
        <v>1229</v>
      </c>
      <c r="S81" s="79"/>
      <c r="T81" s="79" t="s">
        <v>1498</v>
      </c>
      <c r="U81" s="79" t="s">
        <v>803</v>
      </c>
      <c r="V81" s="79"/>
      <c r="W81" s="79" t="s">
        <v>1682</v>
      </c>
      <c r="X81" s="79"/>
      <c r="Y81" s="79"/>
      <c r="Z81" s="79"/>
      <c r="AA81" s="79"/>
      <c r="AB81" s="79"/>
      <c r="AC81" s="506" t="s">
        <v>6280</v>
      </c>
      <c r="AD81" s="573">
        <v>1</v>
      </c>
      <c r="AE81" s="573">
        <v>1</v>
      </c>
      <c r="AF81" s="154"/>
      <c r="AG81" s="155"/>
      <c r="AH81" s="121">
        <v>4</v>
      </c>
      <c r="AI81" s="484"/>
      <c r="AJ81" s="202"/>
      <c r="AK81" s="192"/>
      <c r="AL81" s="203"/>
      <c r="AM81" s="121"/>
      <c r="AN81" s="121"/>
      <c r="AO81" s="121"/>
      <c r="AP81" s="121"/>
      <c r="AQ81" s="121"/>
      <c r="AR81" s="121"/>
      <c r="AS81" s="121"/>
      <c r="AT81" s="121"/>
      <c r="AU81" s="121"/>
      <c r="AV81" s="121"/>
      <c r="AW81" s="121"/>
      <c r="AX81" s="121"/>
      <c r="AY81" s="121"/>
      <c r="AZ81" s="121"/>
      <c r="BA81" s="121"/>
      <c r="BB81" s="121"/>
      <c r="BC81" s="121"/>
      <c r="BD81" s="156" t="s">
        <v>4727</v>
      </c>
      <c r="BE81" s="156" t="s">
        <v>6205</v>
      </c>
      <c r="BF81" s="156"/>
      <c r="BG81" s="156"/>
      <c r="BH81" s="156"/>
      <c r="BI81" s="156"/>
      <c r="BJ81" s="156" t="s">
        <v>5545</v>
      </c>
      <c r="BK81" s="156"/>
      <c r="BL81" s="156"/>
      <c r="BM81" s="156"/>
      <c r="BN81" s="156"/>
      <c r="BO81" s="156"/>
      <c r="BP81" s="156"/>
      <c r="BQ81" s="157"/>
      <c r="BR81" s="134"/>
      <c r="BS81" s="134"/>
      <c r="BT81" s="134"/>
      <c r="BU81" s="134"/>
      <c r="BV81" s="134"/>
      <c r="BW81" s="259"/>
      <c r="BX81" s="138"/>
      <c r="BY81" s="134"/>
      <c r="BZ81" s="134"/>
      <c r="CA81" s="134"/>
      <c r="CB81" s="138"/>
      <c r="CC81" s="134"/>
      <c r="CD81" s="134"/>
      <c r="CE81" s="134"/>
      <c r="CF81" s="567"/>
      <c r="CG81" s="568"/>
      <c r="CH81" s="138"/>
      <c r="CI81" s="134"/>
      <c r="CJ81" s="134"/>
      <c r="CK81" s="134"/>
      <c r="CL81" s="138"/>
      <c r="CM81" s="134"/>
      <c r="CN81" s="134"/>
      <c r="CO81" s="134"/>
      <c r="CP81" s="567"/>
      <c r="CQ81" s="568"/>
      <c r="CR81" s="276"/>
      <c r="CS81" s="308"/>
      <c r="CT81" s="138"/>
      <c r="CU81" s="134"/>
      <c r="CV81" s="134"/>
      <c r="CW81" s="134"/>
      <c r="CX81" s="134"/>
      <c r="CY81" s="134"/>
      <c r="CZ81" s="134"/>
      <c r="DA81" s="134"/>
      <c r="DB81" s="570"/>
      <c r="DC81" s="571"/>
      <c r="DD81" s="134"/>
      <c r="DE81" s="134"/>
      <c r="DF81" s="134"/>
      <c r="DG81" s="134"/>
      <c r="DH81" s="134"/>
      <c r="DI81" s="134"/>
      <c r="DJ81" s="134"/>
      <c r="DK81" s="134"/>
      <c r="DL81" s="300"/>
      <c r="DM81" s="301"/>
      <c r="DN81" s="276"/>
      <c r="DO81" s="277"/>
      <c r="DP81" s="134"/>
      <c r="DQ81" s="134"/>
      <c r="DR81" s="134"/>
      <c r="DS81" s="134"/>
      <c r="DT81" s="138"/>
      <c r="DU81" s="134"/>
      <c r="DV81" s="134"/>
      <c r="DW81" s="134"/>
      <c r="DX81" s="301"/>
      <c r="DY81" s="301"/>
      <c r="DZ81" s="138"/>
      <c r="EA81" s="134"/>
      <c r="EB81" s="134"/>
      <c r="EC81" s="134"/>
      <c r="ED81" s="138"/>
      <c r="EE81" s="134"/>
      <c r="EF81" s="134"/>
      <c r="EG81" s="134"/>
      <c r="EH81" s="301"/>
      <c r="EI81" s="301"/>
      <c r="EJ81" s="277"/>
      <c r="EK81" s="190"/>
      <c r="EL81" s="190"/>
      <c r="EM81" s="190"/>
      <c r="EN81" s="190"/>
      <c r="EO81" s="134"/>
      <c r="EP81" s="134"/>
      <c r="EQ81" s="134"/>
      <c r="ER81" s="134"/>
      <c r="ES81" s="301"/>
      <c r="ET81" s="301"/>
      <c r="EU81" s="134"/>
      <c r="EV81" s="190"/>
      <c r="EW81" s="190"/>
      <c r="EX81" s="190"/>
      <c r="EY81" s="190"/>
      <c r="EZ81" s="134"/>
      <c r="FA81" s="134"/>
      <c r="FB81" s="134"/>
      <c r="FC81" s="135"/>
      <c r="FD81" s="135"/>
      <c r="FE81" s="134"/>
      <c r="FF81" s="134"/>
      <c r="FG81" s="134"/>
      <c r="FH81" s="134"/>
      <c r="FI81" s="134"/>
      <c r="FJ81" s="134"/>
      <c r="FK81" s="134"/>
      <c r="FL81" s="134"/>
      <c r="FM81" s="135"/>
      <c r="FN81" s="135"/>
      <c r="FO81" s="134"/>
      <c r="FP81" s="134"/>
      <c r="FQ81" s="134"/>
      <c r="FR81" s="134"/>
      <c r="FS81" s="134"/>
      <c r="FT81" s="134"/>
      <c r="FU81" s="134"/>
      <c r="FV81" s="134"/>
      <c r="FW81" s="135"/>
      <c r="FX81" s="135"/>
      <c r="FY81" s="134"/>
      <c r="FZ81" s="134"/>
      <c r="GA81" s="134"/>
      <c r="GB81" s="134"/>
      <c r="GC81" s="134"/>
      <c r="GD81" s="134"/>
      <c r="GE81" s="134"/>
      <c r="GF81" s="134"/>
      <c r="GG81" s="135"/>
      <c r="GH81" s="135"/>
      <c r="GI81" s="134"/>
      <c r="GJ81" s="134"/>
      <c r="GK81" s="134"/>
      <c r="GL81" s="134"/>
      <c r="GM81" s="134"/>
      <c r="GN81" s="134"/>
      <c r="GO81" s="134"/>
      <c r="GP81" s="134"/>
      <c r="GQ81" s="135"/>
      <c r="GR81" s="135"/>
      <c r="GS81" s="134"/>
      <c r="GT81" s="134"/>
      <c r="GU81" s="134"/>
      <c r="GV81" s="134"/>
      <c r="GW81" s="134"/>
      <c r="GX81" s="134"/>
      <c r="GY81" s="134"/>
      <c r="GZ81" s="134"/>
      <c r="HA81" s="135"/>
      <c r="HB81" s="135"/>
      <c r="HC81" s="134"/>
      <c r="HD81" s="134"/>
      <c r="HE81" s="134"/>
      <c r="HF81" s="134"/>
      <c r="HG81" s="134"/>
      <c r="HH81" s="134"/>
      <c r="HI81" s="134"/>
      <c r="HJ81" s="134"/>
      <c r="HK81" s="135"/>
      <c r="HL81" s="135"/>
      <c r="HM81" s="134"/>
      <c r="HN81" s="134"/>
      <c r="HO81" s="134"/>
      <c r="HP81" s="134"/>
      <c r="HQ81" s="134"/>
      <c r="HR81" s="134"/>
      <c r="HS81" s="134"/>
      <c r="HT81" s="134"/>
      <c r="HU81" s="135"/>
      <c r="HV81" s="135"/>
      <c r="HW81" s="134"/>
      <c r="HX81" s="134"/>
      <c r="HY81" s="134"/>
      <c r="HZ81" s="134"/>
      <c r="IA81" s="134"/>
      <c r="IB81" s="134"/>
      <c r="IC81" s="134"/>
      <c r="ID81" s="134"/>
      <c r="IE81" s="135"/>
      <c r="IF81" s="135"/>
      <c r="IG81" s="134"/>
      <c r="IH81" s="134"/>
      <c r="II81" s="134"/>
      <c r="IJ81" s="134"/>
      <c r="IK81" s="134"/>
      <c r="IL81" s="134"/>
      <c r="IM81" s="134"/>
      <c r="IN81" s="134"/>
      <c r="IO81" s="135"/>
      <c r="IP81" s="135"/>
      <c r="IQ81" s="134"/>
      <c r="IR81" s="134"/>
      <c r="IS81" s="134"/>
      <c r="IT81" s="134"/>
      <c r="IU81" s="134"/>
      <c r="IV81" s="134"/>
      <c r="IW81" s="134"/>
      <c r="IX81" s="134"/>
      <c r="IY81" s="135"/>
      <c r="IZ81" s="135"/>
    </row>
    <row r="82" spans="1:260" customFormat="1" ht="17" customHeight="1">
      <c r="A82" s="79" t="s">
        <v>288</v>
      </c>
      <c r="B82" s="418">
        <v>206</v>
      </c>
      <c r="C82" s="117"/>
      <c r="D82" s="117">
        <v>81</v>
      </c>
      <c r="E82" s="123" t="s">
        <v>2014</v>
      </c>
      <c r="F82" s="124" t="s">
        <v>2246</v>
      </c>
      <c r="G82" s="125">
        <v>2005</v>
      </c>
      <c r="H82" s="79">
        <v>16055312</v>
      </c>
      <c r="I82" s="79">
        <v>1</v>
      </c>
      <c r="J82" s="126"/>
      <c r="K82" s="127"/>
      <c r="L82" s="79">
        <v>1</v>
      </c>
      <c r="M82" s="79"/>
      <c r="N82" s="79">
        <v>1</v>
      </c>
      <c r="O82" s="128">
        <v>1</v>
      </c>
      <c r="P82" s="79" t="s">
        <v>851</v>
      </c>
      <c r="Q82" s="79" t="s">
        <v>780</v>
      </c>
      <c r="R82" s="79" t="s">
        <v>752</v>
      </c>
      <c r="S82" s="79">
        <v>0</v>
      </c>
      <c r="T82" s="79"/>
      <c r="U82" s="79"/>
      <c r="V82" s="79"/>
      <c r="W82" s="79" t="s">
        <v>751</v>
      </c>
      <c r="X82" s="79" t="s">
        <v>753</v>
      </c>
      <c r="Y82" s="79"/>
      <c r="Z82" s="79" t="s">
        <v>754</v>
      </c>
      <c r="AA82" s="79"/>
      <c r="AB82" s="79"/>
      <c r="AC82" s="506" t="s">
        <v>6281</v>
      </c>
      <c r="AD82" s="573">
        <v>1</v>
      </c>
      <c r="AE82" s="573">
        <v>0</v>
      </c>
      <c r="AF82" s="154"/>
      <c r="AG82" s="155"/>
      <c r="AH82" s="121"/>
      <c r="AI82" s="484"/>
      <c r="AJ82" s="202"/>
      <c r="AK82" s="192"/>
      <c r="AL82" s="203"/>
      <c r="AM82" s="121"/>
      <c r="AN82" s="121"/>
      <c r="AO82" s="121"/>
      <c r="AP82" s="121"/>
      <c r="AQ82" s="121"/>
      <c r="AR82" s="121"/>
      <c r="AS82" s="121"/>
      <c r="AT82" s="121"/>
      <c r="AU82" s="121"/>
      <c r="AV82" s="121"/>
      <c r="AW82" s="121"/>
      <c r="AX82" s="121"/>
      <c r="AY82" s="121"/>
      <c r="AZ82" s="121"/>
      <c r="BA82" s="121"/>
      <c r="BB82" s="121"/>
      <c r="BC82" s="121"/>
      <c r="BD82" s="156"/>
      <c r="BE82" s="156"/>
      <c r="BF82" s="156" t="s">
        <v>5207</v>
      </c>
      <c r="BG82" s="156"/>
      <c r="BH82" s="156"/>
      <c r="BI82" s="156" t="s">
        <v>6282</v>
      </c>
      <c r="BJ82" s="156"/>
      <c r="BK82" s="156"/>
      <c r="BL82" s="156"/>
      <c r="BM82" s="156"/>
      <c r="BN82" s="156"/>
      <c r="BO82" s="156"/>
      <c r="BP82" s="156"/>
      <c r="BQ82" s="157"/>
      <c r="BR82" s="134"/>
      <c r="BS82" s="134"/>
      <c r="BT82" s="134"/>
      <c r="BU82" s="134"/>
      <c r="BV82" s="134"/>
      <c r="BW82" s="259"/>
      <c r="BX82" s="138"/>
      <c r="BY82" s="134"/>
      <c r="BZ82" s="134"/>
      <c r="CA82" s="134"/>
      <c r="CB82" s="138"/>
      <c r="CC82" s="134"/>
      <c r="CD82" s="134"/>
      <c r="CE82" s="134"/>
      <c r="CF82" s="288"/>
      <c r="CG82" s="289"/>
      <c r="CH82" s="430"/>
      <c r="CI82" s="134"/>
      <c r="CJ82" s="134"/>
      <c r="CK82" s="134"/>
      <c r="CL82" s="430"/>
      <c r="CM82" s="134"/>
      <c r="CN82" s="134"/>
      <c r="CO82" s="134"/>
      <c r="CP82" s="288"/>
      <c r="CQ82" s="289"/>
      <c r="CR82" s="276"/>
      <c r="CS82" s="308"/>
      <c r="CT82" s="138"/>
      <c r="CU82" s="190"/>
      <c r="CV82" s="134"/>
      <c r="CW82" s="190"/>
      <c r="CX82" s="134"/>
      <c r="CY82" s="134"/>
      <c r="CZ82" s="134"/>
      <c r="DA82" s="134"/>
      <c r="DB82" s="300"/>
      <c r="DC82" s="301"/>
      <c r="DD82" s="134"/>
      <c r="DE82" s="134"/>
      <c r="DF82" s="134"/>
      <c r="DG82" s="134"/>
      <c r="DH82" s="426"/>
      <c r="DI82" s="134"/>
      <c r="DJ82" s="134"/>
      <c r="DK82" s="134"/>
      <c r="DL82" s="300"/>
      <c r="DM82" s="301"/>
      <c r="DN82" s="276"/>
      <c r="DO82" s="277"/>
      <c r="DP82" s="426"/>
      <c r="DQ82" s="190"/>
      <c r="DR82" s="190"/>
      <c r="DS82" s="190"/>
      <c r="DT82" s="138"/>
      <c r="DU82" s="134"/>
      <c r="DV82" s="134"/>
      <c r="DW82" s="134"/>
      <c r="DX82" s="301"/>
      <c r="DY82" s="301"/>
      <c r="DZ82" s="138"/>
      <c r="EA82" s="134"/>
      <c r="EB82" s="134"/>
      <c r="EC82" s="134"/>
      <c r="ED82" s="138"/>
      <c r="EE82" s="134"/>
      <c r="EF82" s="134"/>
      <c r="EG82" s="134"/>
      <c r="EH82" s="301"/>
      <c r="EI82" s="301"/>
      <c r="EJ82" s="277"/>
      <c r="EK82" s="426"/>
      <c r="EL82" s="134"/>
      <c r="EM82" s="134"/>
      <c r="EN82" s="134"/>
      <c r="EO82" s="426"/>
      <c r="EP82" s="134"/>
      <c r="EQ82" s="134"/>
      <c r="ER82" s="134"/>
      <c r="ES82" s="301"/>
      <c r="ET82" s="301"/>
      <c r="EU82" s="134"/>
      <c r="EV82" s="134"/>
      <c r="EW82" s="134"/>
      <c r="EX82" s="134"/>
      <c r="EY82" s="134"/>
      <c r="EZ82" s="134"/>
      <c r="FA82" s="134"/>
      <c r="FB82" s="134"/>
      <c r="FC82" s="135"/>
      <c r="FD82" s="135"/>
      <c r="FE82" s="134"/>
      <c r="FF82" s="134"/>
      <c r="FG82" s="134"/>
      <c r="FH82" s="134"/>
      <c r="FI82" s="426"/>
      <c r="FJ82" s="134"/>
      <c r="FK82" s="134"/>
      <c r="FL82" s="134"/>
      <c r="FM82" s="135"/>
      <c r="FN82" s="135"/>
      <c r="FO82" s="426"/>
      <c r="FP82" s="190"/>
      <c r="FQ82" s="190"/>
      <c r="FR82" s="190"/>
      <c r="FS82" s="134"/>
      <c r="FT82" s="134"/>
      <c r="FU82" s="134"/>
      <c r="FV82" s="134"/>
      <c r="FW82" s="135"/>
      <c r="FX82" s="135"/>
      <c r="FY82" s="134"/>
      <c r="FZ82" s="134"/>
      <c r="GA82" s="134"/>
      <c r="GB82" s="190"/>
      <c r="GC82" s="190"/>
      <c r="GD82" s="134"/>
      <c r="GE82" s="134"/>
      <c r="GF82" s="134"/>
      <c r="GG82" s="135"/>
      <c r="GH82" s="135"/>
      <c r="GI82" s="134"/>
      <c r="GJ82" s="134"/>
      <c r="GK82" s="134"/>
      <c r="GL82" s="134"/>
      <c r="GM82" s="134"/>
      <c r="GN82" s="134"/>
      <c r="GO82" s="134"/>
      <c r="GP82" s="134"/>
      <c r="GQ82" s="135"/>
      <c r="GR82" s="135"/>
      <c r="GS82" s="134"/>
      <c r="GT82" s="134"/>
      <c r="GU82" s="134"/>
      <c r="GV82" s="134"/>
      <c r="GW82" s="134"/>
      <c r="GX82" s="134"/>
      <c r="GY82" s="134"/>
      <c r="GZ82" s="134"/>
      <c r="HA82" s="135"/>
      <c r="HB82" s="135"/>
      <c r="HC82" s="134"/>
      <c r="HD82" s="134"/>
      <c r="HE82" s="134"/>
      <c r="HF82" s="134"/>
      <c r="HG82" s="134"/>
      <c r="HH82" s="134"/>
      <c r="HI82" s="134"/>
      <c r="HJ82" s="134"/>
      <c r="HK82" s="135"/>
      <c r="HL82" s="135"/>
      <c r="HM82" s="134"/>
      <c r="HN82" s="134"/>
      <c r="HO82" s="134"/>
      <c r="HP82" s="134"/>
      <c r="HQ82" s="134"/>
      <c r="HR82" s="134"/>
      <c r="HS82" s="134"/>
      <c r="HT82" s="134"/>
      <c r="HU82" s="135"/>
      <c r="HV82" s="135"/>
      <c r="HW82" s="134"/>
      <c r="HX82" s="134"/>
      <c r="HY82" s="134"/>
      <c r="HZ82" s="134"/>
      <c r="IA82" s="134"/>
      <c r="IB82" s="134"/>
      <c r="IC82" s="134"/>
      <c r="ID82" s="134"/>
      <c r="IE82" s="135"/>
      <c r="IF82" s="135"/>
      <c r="IG82" s="134"/>
      <c r="IH82" s="134"/>
      <c r="II82" s="134"/>
      <c r="IJ82" s="134"/>
      <c r="IK82" s="134"/>
      <c r="IL82" s="134"/>
      <c r="IM82" s="134"/>
      <c r="IN82" s="134"/>
      <c r="IO82" s="135"/>
      <c r="IP82" s="135"/>
      <c r="IQ82" s="134"/>
      <c r="IR82" s="134"/>
      <c r="IS82" s="134"/>
      <c r="IT82" s="134"/>
      <c r="IU82" s="134"/>
      <c r="IV82" s="134"/>
      <c r="IW82" s="134"/>
      <c r="IX82" s="134"/>
      <c r="IY82" s="135"/>
      <c r="IZ82" s="135"/>
    </row>
    <row r="83" spans="1:260" s="119" customFormat="1" ht="17" customHeight="1">
      <c r="A83" s="79" t="s">
        <v>290</v>
      </c>
      <c r="B83" s="418">
        <v>208</v>
      </c>
      <c r="C83" s="117"/>
      <c r="D83" s="117">
        <v>82</v>
      </c>
      <c r="E83" s="123" t="s">
        <v>2016</v>
      </c>
      <c r="F83" s="124" t="s">
        <v>2248</v>
      </c>
      <c r="G83" s="125">
        <v>1992</v>
      </c>
      <c r="H83" s="79">
        <v>1355475</v>
      </c>
      <c r="I83" s="79">
        <v>1</v>
      </c>
      <c r="J83" s="126" t="s">
        <v>66</v>
      </c>
      <c r="K83" s="127"/>
      <c r="L83" s="164">
        <v>1</v>
      </c>
      <c r="M83" s="79"/>
      <c r="N83" s="164">
        <v>1</v>
      </c>
      <c r="O83" s="128">
        <v>1</v>
      </c>
      <c r="P83" s="79" t="s">
        <v>66</v>
      </c>
      <c r="Q83" s="79" t="s">
        <v>1142</v>
      </c>
      <c r="R83" s="79" t="s">
        <v>759</v>
      </c>
      <c r="S83" s="79">
        <v>1</v>
      </c>
      <c r="T83" s="79"/>
      <c r="U83" s="79"/>
      <c r="V83" s="79"/>
      <c r="W83" s="79" t="s">
        <v>760</v>
      </c>
      <c r="X83" s="79"/>
      <c r="Y83" s="79" t="s">
        <v>758</v>
      </c>
      <c r="Z83" s="79"/>
      <c r="AA83" s="79"/>
      <c r="AB83" s="79" t="s">
        <v>761</v>
      </c>
      <c r="AC83" s="506" t="s">
        <v>6284</v>
      </c>
      <c r="AD83" s="573">
        <v>1</v>
      </c>
      <c r="AE83" s="573">
        <v>0</v>
      </c>
      <c r="AF83" s="154" t="s">
        <v>3003</v>
      </c>
      <c r="AG83" s="579" t="s">
        <v>6283</v>
      </c>
      <c r="AH83" s="121">
        <v>2</v>
      </c>
      <c r="AI83" s="484"/>
      <c r="AJ83" s="202"/>
      <c r="AK83" s="192"/>
      <c r="AL83" s="203"/>
      <c r="AM83" s="121"/>
      <c r="AN83" s="121"/>
      <c r="AO83" s="121"/>
      <c r="AP83" s="121"/>
      <c r="AQ83" s="121"/>
      <c r="AR83" s="121"/>
      <c r="AS83" s="121"/>
      <c r="AT83" s="121"/>
      <c r="AU83" s="121"/>
      <c r="AV83" s="121"/>
      <c r="AW83" s="121"/>
      <c r="AX83" s="121"/>
      <c r="AY83" s="121"/>
      <c r="AZ83" s="121"/>
      <c r="BA83" s="121"/>
      <c r="BB83" s="121"/>
      <c r="BC83" s="121"/>
      <c r="BD83" s="156"/>
      <c r="BE83" s="156"/>
      <c r="BF83" s="156"/>
      <c r="BG83" s="156"/>
      <c r="BH83" s="156"/>
      <c r="BI83" s="156"/>
      <c r="BJ83" s="156"/>
      <c r="BK83" s="156"/>
      <c r="BL83" s="156"/>
      <c r="BM83" s="156"/>
      <c r="BN83" s="156"/>
      <c r="BO83" s="156"/>
      <c r="BP83" s="156"/>
      <c r="BQ83" s="157"/>
      <c r="BR83" s="134"/>
      <c r="BS83" s="134"/>
      <c r="BT83" s="134"/>
      <c r="BU83" s="134"/>
      <c r="BV83" s="134"/>
      <c r="BW83" s="259"/>
      <c r="BX83" s="138"/>
      <c r="BY83" s="134"/>
      <c r="BZ83" s="134"/>
      <c r="CA83" s="134"/>
      <c r="CB83" s="138"/>
      <c r="CC83" s="134"/>
      <c r="CD83" s="134"/>
      <c r="CE83" s="134"/>
      <c r="CF83" s="288"/>
      <c r="CG83" s="289"/>
      <c r="CH83" s="138"/>
      <c r="CI83" s="134"/>
      <c r="CJ83" s="134"/>
      <c r="CK83" s="134"/>
      <c r="CL83" s="138"/>
      <c r="CM83" s="134"/>
      <c r="CN83" s="134"/>
      <c r="CO83" s="134"/>
      <c r="CP83" s="288"/>
      <c r="CQ83" s="289"/>
      <c r="CR83" s="276"/>
      <c r="CS83" s="308"/>
      <c r="CT83" s="138"/>
      <c r="CU83" s="190"/>
      <c r="CV83" s="134"/>
      <c r="CW83" s="190"/>
      <c r="CX83" s="134"/>
      <c r="CY83" s="134"/>
      <c r="CZ83" s="134"/>
      <c r="DA83" s="134"/>
      <c r="DB83" s="300"/>
      <c r="DC83" s="301"/>
      <c r="DD83" s="134"/>
      <c r="DE83" s="134"/>
      <c r="DF83" s="134"/>
      <c r="DG83" s="134"/>
      <c r="DH83" s="134"/>
      <c r="DI83" s="134"/>
      <c r="DJ83" s="134"/>
      <c r="DK83" s="134"/>
      <c r="DL83" s="300"/>
      <c r="DM83" s="301"/>
      <c r="DN83" s="276"/>
      <c r="DO83" s="277"/>
      <c r="DP83" s="190"/>
      <c r="DQ83" s="190"/>
      <c r="DR83" s="190"/>
      <c r="DS83" s="190"/>
      <c r="DT83" s="556"/>
      <c r="DU83" s="134"/>
      <c r="DV83" s="134"/>
      <c r="DW83" s="134"/>
      <c r="DX83" s="301"/>
      <c r="DY83" s="301"/>
      <c r="DZ83" s="138"/>
      <c r="EA83" s="134"/>
      <c r="EB83" s="134"/>
      <c r="EC83" s="134"/>
      <c r="ED83" s="138"/>
      <c r="EE83" s="134"/>
      <c r="EF83" s="134"/>
      <c r="EG83" s="134"/>
      <c r="EH83" s="301"/>
      <c r="EI83" s="301"/>
      <c r="EJ83" s="277"/>
      <c r="EK83" s="134"/>
      <c r="EL83" s="134"/>
      <c r="EM83" s="134"/>
      <c r="EN83" s="134"/>
      <c r="EO83" s="134"/>
      <c r="EP83" s="134"/>
      <c r="EQ83" s="134"/>
      <c r="ER83" s="134"/>
      <c r="ES83" s="301"/>
      <c r="ET83" s="301"/>
      <c r="EU83" s="134"/>
      <c r="EV83" s="134"/>
      <c r="EW83" s="134"/>
      <c r="EX83" s="134"/>
      <c r="EY83" s="134"/>
      <c r="EZ83" s="134"/>
      <c r="FA83" s="134"/>
      <c r="FB83" s="134"/>
      <c r="FC83" s="135"/>
      <c r="FD83" s="135"/>
      <c r="FE83" s="134"/>
      <c r="FF83" s="134"/>
      <c r="FG83" s="134"/>
      <c r="FH83" s="134"/>
      <c r="FI83" s="134"/>
      <c r="FJ83" s="134"/>
      <c r="FK83" s="134"/>
      <c r="FL83" s="134"/>
      <c r="FM83" s="135"/>
      <c r="FN83" s="135"/>
      <c r="FO83" s="134"/>
      <c r="FP83" s="190"/>
      <c r="FQ83" s="190"/>
      <c r="FR83" s="190"/>
      <c r="FS83" s="190"/>
      <c r="FT83" s="134"/>
      <c r="FU83" s="134"/>
      <c r="FV83" s="134"/>
      <c r="FW83" s="135"/>
      <c r="FX83" s="135"/>
      <c r="FY83" s="134"/>
      <c r="FZ83" s="134"/>
      <c r="GA83" s="134"/>
      <c r="GB83" s="190"/>
      <c r="GC83" s="190"/>
      <c r="GD83" s="134"/>
      <c r="GE83" s="134"/>
      <c r="GF83" s="134"/>
      <c r="GG83" s="135"/>
      <c r="GH83" s="135"/>
      <c r="GI83" s="134"/>
      <c r="GJ83" s="134"/>
      <c r="GK83" s="134"/>
      <c r="GL83" s="134"/>
      <c r="GM83" s="134"/>
      <c r="GN83" s="134"/>
      <c r="GO83" s="134"/>
      <c r="GP83" s="134"/>
      <c r="GQ83" s="135"/>
      <c r="GR83" s="135"/>
      <c r="GS83" s="134"/>
      <c r="GT83" s="134"/>
      <c r="GU83" s="134"/>
      <c r="GV83" s="134"/>
      <c r="GW83" s="134"/>
      <c r="GX83" s="134"/>
      <c r="GY83" s="134"/>
      <c r="GZ83" s="134"/>
      <c r="HA83" s="135"/>
      <c r="HB83" s="135"/>
      <c r="HC83" s="134"/>
      <c r="HD83" s="134"/>
      <c r="HE83" s="134"/>
      <c r="HF83" s="134"/>
      <c r="HG83" s="134"/>
      <c r="HH83" s="134"/>
      <c r="HI83" s="134"/>
      <c r="HJ83" s="134"/>
      <c r="HK83" s="135"/>
      <c r="HL83" s="135"/>
      <c r="HM83" s="134"/>
      <c r="HN83" s="134"/>
      <c r="HO83" s="134"/>
      <c r="HP83" s="134"/>
      <c r="HQ83" s="134"/>
      <c r="HR83" s="134"/>
      <c r="HS83" s="134"/>
      <c r="HT83" s="134"/>
      <c r="HU83" s="135"/>
      <c r="HV83" s="135"/>
      <c r="HW83" s="134"/>
      <c r="HX83" s="134"/>
      <c r="HY83" s="134"/>
      <c r="HZ83" s="134"/>
      <c r="IA83" s="134"/>
      <c r="IB83" s="134"/>
      <c r="IC83" s="134"/>
      <c r="ID83" s="134"/>
      <c r="IE83" s="135"/>
      <c r="IF83" s="135"/>
      <c r="IG83" s="134"/>
      <c r="IH83" s="134"/>
      <c r="II83" s="134"/>
      <c r="IJ83" s="134"/>
      <c r="IK83" s="134"/>
      <c r="IL83" s="134"/>
      <c r="IM83" s="134"/>
      <c r="IN83" s="134"/>
      <c r="IO83" s="135"/>
      <c r="IP83" s="135"/>
      <c r="IQ83" s="134"/>
      <c r="IR83" s="134"/>
      <c r="IS83" s="134"/>
      <c r="IT83" s="134"/>
      <c r="IU83" s="134"/>
      <c r="IV83" s="134"/>
      <c r="IW83" s="134"/>
      <c r="IX83" s="134"/>
      <c r="IY83" s="135"/>
      <c r="IZ83" s="135"/>
    </row>
    <row r="84" spans="1:260" s="119" customFormat="1" ht="17" customHeight="1">
      <c r="A84" s="79" t="s">
        <v>292</v>
      </c>
      <c r="B84" s="418">
        <v>210</v>
      </c>
      <c r="C84" s="117"/>
      <c r="D84" s="117">
        <v>83</v>
      </c>
      <c r="E84" s="123" t="s">
        <v>2018</v>
      </c>
      <c r="F84" s="124" t="s">
        <v>2250</v>
      </c>
      <c r="G84" s="125">
        <v>2002</v>
      </c>
      <c r="H84" s="79">
        <v>11848709</v>
      </c>
      <c r="I84" s="79">
        <v>1</v>
      </c>
      <c r="J84" s="126"/>
      <c r="K84" s="127"/>
      <c r="L84" s="79">
        <v>1</v>
      </c>
      <c r="M84" s="79"/>
      <c r="N84" s="79">
        <v>1</v>
      </c>
      <c r="O84" s="128">
        <v>1</v>
      </c>
      <c r="P84" s="79" t="s">
        <v>609</v>
      </c>
      <c r="Q84" s="79" t="s">
        <v>1158</v>
      </c>
      <c r="R84" s="79" t="s">
        <v>471</v>
      </c>
      <c r="S84" s="79">
        <v>0</v>
      </c>
      <c r="T84" s="79"/>
      <c r="U84" s="79"/>
      <c r="V84" s="79"/>
      <c r="W84" s="79" t="s">
        <v>610</v>
      </c>
      <c r="X84" s="79" t="s">
        <v>56</v>
      </c>
      <c r="Y84" s="79"/>
      <c r="Z84" s="79"/>
      <c r="AA84" s="79"/>
      <c r="AB84" s="79"/>
      <c r="AC84" s="506" t="s">
        <v>6285</v>
      </c>
      <c r="AD84" s="573">
        <v>1</v>
      </c>
      <c r="AE84" s="573">
        <v>0</v>
      </c>
      <c r="AF84" s="154"/>
      <c r="AG84" s="155"/>
      <c r="AH84" s="121"/>
      <c r="AI84" s="484"/>
      <c r="AJ84" s="202"/>
      <c r="AK84" s="192"/>
      <c r="AL84" s="203"/>
      <c r="AM84" s="121"/>
      <c r="AN84" s="121"/>
      <c r="AO84" s="121"/>
      <c r="AP84" s="121"/>
      <c r="AQ84" s="121"/>
      <c r="AR84" s="121"/>
      <c r="AS84" s="121"/>
      <c r="AT84" s="121"/>
      <c r="AU84" s="121"/>
      <c r="AV84" s="121"/>
      <c r="AW84" s="121"/>
      <c r="AX84" s="121"/>
      <c r="AY84" s="121"/>
      <c r="AZ84" s="121"/>
      <c r="BA84" s="121"/>
      <c r="BB84" s="121"/>
      <c r="BC84" s="121"/>
      <c r="BD84" s="156"/>
      <c r="BE84" s="156"/>
      <c r="BF84" s="156"/>
      <c r="BG84" s="156"/>
      <c r="BH84" s="156"/>
      <c r="BI84" s="156"/>
      <c r="BJ84" s="156"/>
      <c r="BK84" s="156"/>
      <c r="BL84" s="156" t="s">
        <v>5207</v>
      </c>
      <c r="BM84" s="156"/>
      <c r="BN84" s="156"/>
      <c r="BO84" s="156"/>
      <c r="BP84" s="156"/>
      <c r="BQ84" s="157"/>
      <c r="BR84" s="134"/>
      <c r="BS84" s="134"/>
      <c r="BT84" s="134"/>
      <c r="BU84" s="134"/>
      <c r="BV84" s="134"/>
      <c r="BW84" s="259"/>
      <c r="BX84" s="138"/>
      <c r="BY84" s="134"/>
      <c r="BZ84" s="134"/>
      <c r="CA84" s="134"/>
      <c r="CB84" s="138"/>
      <c r="CC84" s="134"/>
      <c r="CD84" s="134"/>
      <c r="CE84" s="134"/>
      <c r="CF84" s="288"/>
      <c r="CG84" s="289"/>
      <c r="CH84" s="138"/>
      <c r="CI84" s="134"/>
      <c r="CJ84" s="134"/>
      <c r="CK84" s="134"/>
      <c r="CL84" s="138"/>
      <c r="CM84" s="134"/>
      <c r="CN84" s="134"/>
      <c r="CO84" s="134"/>
      <c r="CP84" s="288"/>
      <c r="CQ84" s="289"/>
      <c r="CR84" s="276"/>
      <c r="CS84" s="308"/>
      <c r="CT84" s="138"/>
      <c r="CU84" s="190"/>
      <c r="CV84" s="134"/>
      <c r="CW84" s="190"/>
      <c r="CX84" s="134"/>
      <c r="CY84" s="134"/>
      <c r="CZ84" s="134"/>
      <c r="DA84" s="134"/>
      <c r="DB84" s="300"/>
      <c r="DC84" s="301"/>
      <c r="DD84" s="134"/>
      <c r="DE84" s="134"/>
      <c r="DF84" s="134"/>
      <c r="DG84" s="134"/>
      <c r="DH84" s="134"/>
      <c r="DI84" s="134"/>
      <c r="DJ84" s="134"/>
      <c r="DK84" s="134"/>
      <c r="DL84" s="300"/>
      <c r="DM84" s="301"/>
      <c r="DN84" s="276"/>
      <c r="DO84" s="277"/>
      <c r="DP84" s="134"/>
      <c r="DQ84" s="134"/>
      <c r="DR84" s="190"/>
      <c r="DS84" s="190"/>
      <c r="DT84" s="556"/>
      <c r="DU84" s="190"/>
      <c r="DV84" s="134"/>
      <c r="DW84" s="134"/>
      <c r="DX84" s="301"/>
      <c r="DY84" s="301"/>
      <c r="DZ84" s="556"/>
      <c r="EA84" s="190"/>
      <c r="EB84" s="190"/>
      <c r="EC84" s="190"/>
      <c r="ED84" s="556"/>
      <c r="EE84" s="190"/>
      <c r="EF84" s="134"/>
      <c r="EG84" s="134"/>
      <c r="EH84" s="301"/>
      <c r="EI84" s="301"/>
      <c r="EJ84" s="277"/>
      <c r="EK84" s="190"/>
      <c r="EL84" s="190"/>
      <c r="EM84" s="190"/>
      <c r="EN84" s="190"/>
      <c r="EO84" s="190"/>
      <c r="EP84" s="134"/>
      <c r="EQ84" s="134"/>
      <c r="ER84" s="134"/>
      <c r="ES84" s="301"/>
      <c r="ET84" s="301"/>
      <c r="EU84" s="134"/>
      <c r="EV84" s="190"/>
      <c r="EW84" s="190"/>
      <c r="EX84" s="190"/>
      <c r="EY84" s="190"/>
      <c r="EZ84" s="190"/>
      <c r="FA84" s="134"/>
      <c r="FB84" s="134"/>
      <c r="FC84" s="135"/>
      <c r="FD84" s="135"/>
      <c r="FE84" s="134"/>
      <c r="FF84" s="134"/>
      <c r="FG84" s="134"/>
      <c r="FH84" s="134"/>
      <c r="FI84" s="134"/>
      <c r="FJ84" s="134"/>
      <c r="FK84" s="134"/>
      <c r="FL84" s="134"/>
      <c r="FM84" s="135"/>
      <c r="FN84" s="135"/>
      <c r="FO84" s="134"/>
      <c r="FP84" s="134"/>
      <c r="FQ84" s="134"/>
      <c r="FR84" s="134"/>
      <c r="FS84" s="134"/>
      <c r="FT84" s="134"/>
      <c r="FU84" s="134"/>
      <c r="FV84" s="134"/>
      <c r="FW84" s="135"/>
      <c r="FX84" s="135"/>
      <c r="FY84" s="134"/>
      <c r="FZ84" s="134"/>
      <c r="GA84" s="134"/>
      <c r="GB84" s="134"/>
      <c r="GC84" s="134"/>
      <c r="GD84" s="134"/>
      <c r="GE84" s="134"/>
      <c r="GF84" s="134"/>
      <c r="GG84" s="135"/>
      <c r="GH84" s="135"/>
      <c r="GI84" s="134"/>
      <c r="GJ84" s="134"/>
      <c r="GK84" s="134"/>
      <c r="GL84" s="134"/>
      <c r="GM84" s="134"/>
      <c r="GN84" s="134"/>
      <c r="GO84" s="134"/>
      <c r="GP84" s="134"/>
      <c r="GQ84" s="135"/>
      <c r="GR84" s="135"/>
      <c r="GS84" s="134"/>
      <c r="GT84" s="134"/>
      <c r="GU84" s="134"/>
      <c r="GV84" s="134"/>
      <c r="GW84" s="134"/>
      <c r="GX84" s="134"/>
      <c r="GY84" s="134"/>
      <c r="GZ84" s="134"/>
      <c r="HA84" s="135"/>
      <c r="HB84" s="135"/>
      <c r="HC84" s="134"/>
      <c r="HD84" s="134"/>
      <c r="HE84" s="134"/>
      <c r="HF84" s="134"/>
      <c r="HG84" s="134"/>
      <c r="HH84" s="134"/>
      <c r="HI84" s="134"/>
      <c r="HJ84" s="134"/>
      <c r="HK84" s="135"/>
      <c r="HL84" s="135"/>
      <c r="HM84" s="134"/>
      <c r="HN84" s="134"/>
      <c r="HO84" s="134"/>
      <c r="HP84" s="134"/>
      <c r="HQ84" s="134"/>
      <c r="HR84" s="134"/>
      <c r="HS84" s="134"/>
      <c r="HT84" s="134"/>
      <c r="HU84" s="135"/>
      <c r="HV84" s="135"/>
      <c r="HW84" s="134"/>
      <c r="HX84" s="134"/>
      <c r="HY84" s="134"/>
      <c r="HZ84" s="134"/>
      <c r="IA84" s="134"/>
      <c r="IB84" s="134"/>
      <c r="IC84" s="134"/>
      <c r="ID84" s="134"/>
      <c r="IE84" s="135"/>
      <c r="IF84" s="135"/>
      <c r="IG84" s="134"/>
      <c r="IH84" s="134"/>
      <c r="II84" s="134"/>
      <c r="IJ84" s="134"/>
      <c r="IK84" s="134"/>
      <c r="IL84" s="134"/>
      <c r="IM84" s="134"/>
      <c r="IN84" s="134"/>
      <c r="IO84" s="135"/>
      <c r="IP84" s="135"/>
      <c r="IQ84" s="134"/>
      <c r="IR84" s="134"/>
      <c r="IS84" s="134"/>
      <c r="IT84" s="134"/>
      <c r="IU84" s="134"/>
      <c r="IV84" s="134"/>
      <c r="IW84" s="134"/>
      <c r="IX84" s="134"/>
      <c r="IY84" s="135"/>
      <c r="IZ84" s="135"/>
    </row>
    <row r="85" spans="1:260" ht="17" customHeight="1">
      <c r="A85" s="79" t="s">
        <v>294</v>
      </c>
      <c r="B85" s="418">
        <v>211</v>
      </c>
      <c r="C85" s="117"/>
      <c r="D85" s="117">
        <v>84</v>
      </c>
      <c r="E85" s="123" t="s">
        <v>2019</v>
      </c>
      <c r="F85" s="124" t="s">
        <v>2251</v>
      </c>
      <c r="G85" s="125">
        <v>2011</v>
      </c>
      <c r="H85" s="79">
        <v>21724666</v>
      </c>
      <c r="I85" s="79">
        <v>1</v>
      </c>
      <c r="J85" s="126"/>
      <c r="K85" s="127"/>
      <c r="L85" s="79">
        <v>1</v>
      </c>
      <c r="M85" s="79"/>
      <c r="N85" s="79">
        <v>1</v>
      </c>
      <c r="O85" s="128">
        <v>1</v>
      </c>
      <c r="P85" s="79" t="s">
        <v>771</v>
      </c>
      <c r="Q85" s="79" t="s">
        <v>1146</v>
      </c>
      <c r="R85" s="79" t="s">
        <v>768</v>
      </c>
      <c r="S85" s="79">
        <v>0</v>
      </c>
      <c r="T85" s="79"/>
      <c r="U85" s="79"/>
      <c r="V85" s="79"/>
      <c r="W85" s="79" t="s">
        <v>769</v>
      </c>
      <c r="X85" s="79" t="s">
        <v>56</v>
      </c>
      <c r="Y85" s="79" t="s">
        <v>24</v>
      </c>
      <c r="Z85" s="79" t="s">
        <v>770</v>
      </c>
      <c r="AA85" s="79"/>
      <c r="AB85" s="79"/>
      <c r="AC85" s="506" t="s">
        <v>6286</v>
      </c>
      <c r="AD85" s="573">
        <v>1</v>
      </c>
      <c r="AE85" s="573">
        <v>0</v>
      </c>
      <c r="AF85" s="154"/>
      <c r="AG85" s="155"/>
      <c r="AH85" s="121"/>
      <c r="AI85" s="484"/>
      <c r="AJ85" s="202"/>
      <c r="AK85" s="192"/>
      <c r="AL85" s="203"/>
      <c r="AM85" s="121"/>
      <c r="AN85" s="417"/>
      <c r="AO85" s="121"/>
      <c r="AP85" s="121"/>
      <c r="AQ85" s="121"/>
      <c r="AR85" s="121"/>
      <c r="AS85" s="121"/>
      <c r="AT85" s="121"/>
      <c r="AU85" s="121"/>
      <c r="AV85" s="121"/>
      <c r="AW85" s="121"/>
      <c r="AX85" s="121"/>
      <c r="AY85" s="121"/>
      <c r="AZ85" s="121"/>
      <c r="BA85" s="121"/>
      <c r="BB85" s="121"/>
      <c r="BC85" s="121"/>
      <c r="BD85" s="156"/>
      <c r="BE85" s="156"/>
      <c r="BF85" s="156"/>
      <c r="BG85" s="156" t="s">
        <v>6175</v>
      </c>
      <c r="BH85" s="156"/>
      <c r="BI85" s="156" t="s">
        <v>4727</v>
      </c>
      <c r="BJ85" s="156"/>
      <c r="BK85" s="156" t="s">
        <v>6278</v>
      </c>
      <c r="BL85" s="156"/>
      <c r="BM85" s="156"/>
      <c r="BN85" s="156"/>
      <c r="BO85" s="156"/>
      <c r="BP85" s="156"/>
      <c r="BQ85" s="157"/>
      <c r="BR85" s="134"/>
      <c r="BS85" s="134"/>
      <c r="BT85" s="134"/>
      <c r="BU85" s="134"/>
      <c r="BV85" s="134"/>
      <c r="BW85" s="259"/>
      <c r="BX85" s="138"/>
      <c r="BY85" s="190"/>
      <c r="BZ85" s="134"/>
      <c r="CA85" s="190"/>
      <c r="CB85" s="463"/>
      <c r="CC85" s="134"/>
      <c r="CD85" s="134"/>
      <c r="CE85" s="134"/>
      <c r="CF85" s="288"/>
      <c r="CG85" s="289"/>
      <c r="CH85" s="439"/>
      <c r="CI85" s="190"/>
      <c r="CJ85" s="134"/>
      <c r="CK85" s="190"/>
      <c r="CL85" s="463"/>
      <c r="CM85" s="134"/>
      <c r="CN85" s="134"/>
      <c r="CO85" s="134"/>
      <c r="CP85" s="288"/>
      <c r="CQ85" s="289"/>
      <c r="CR85" s="276"/>
      <c r="CS85" s="308"/>
      <c r="CT85" s="138"/>
      <c r="CU85" s="190"/>
      <c r="CV85" s="134"/>
      <c r="CW85" s="190"/>
      <c r="CX85" s="134"/>
      <c r="CY85" s="134"/>
      <c r="CZ85" s="134"/>
      <c r="DA85" s="134"/>
      <c r="DB85" s="300"/>
      <c r="DC85" s="301"/>
      <c r="DD85" s="134"/>
      <c r="DE85" s="134"/>
      <c r="DF85" s="134"/>
      <c r="DG85" s="134"/>
      <c r="DH85" s="134"/>
      <c r="DI85" s="134"/>
      <c r="DJ85" s="134"/>
      <c r="DK85" s="134"/>
      <c r="DL85" s="300"/>
      <c r="DM85" s="301"/>
      <c r="DN85" s="276"/>
      <c r="DO85" s="277"/>
      <c r="DP85" s="134"/>
      <c r="DQ85" s="190"/>
      <c r="DR85" s="190"/>
      <c r="DS85" s="190"/>
      <c r="DT85" s="556"/>
      <c r="DU85" s="190"/>
      <c r="DV85" s="134"/>
      <c r="DW85" s="134"/>
      <c r="DX85" s="301"/>
      <c r="DY85" s="301"/>
      <c r="DZ85" s="556"/>
      <c r="EA85" s="190"/>
      <c r="EB85" s="190"/>
      <c r="EC85" s="190"/>
      <c r="ED85" s="556"/>
      <c r="EE85" s="190"/>
      <c r="EF85" s="134"/>
      <c r="EG85" s="134"/>
      <c r="EH85" s="301"/>
      <c r="EI85" s="301"/>
      <c r="EJ85" s="277"/>
      <c r="EK85" s="190"/>
      <c r="EL85" s="190"/>
      <c r="EM85" s="190"/>
      <c r="EN85" s="190"/>
      <c r="EO85" s="190"/>
      <c r="EP85" s="134"/>
      <c r="EQ85" s="134"/>
      <c r="ER85" s="134"/>
      <c r="ES85" s="301"/>
      <c r="ET85" s="301"/>
      <c r="EU85" s="134"/>
      <c r="EV85" s="190"/>
      <c r="EW85" s="190"/>
      <c r="EX85" s="190"/>
      <c r="EY85" s="190"/>
      <c r="EZ85" s="190"/>
      <c r="FA85" s="190"/>
      <c r="FB85" s="134"/>
      <c r="FC85" s="135"/>
      <c r="FD85" s="135"/>
      <c r="FE85" s="134"/>
      <c r="FF85" s="134"/>
      <c r="FG85" s="134"/>
      <c r="FH85" s="134"/>
      <c r="FI85" s="134"/>
      <c r="FJ85" s="134"/>
      <c r="FK85" s="134"/>
      <c r="FL85" s="134"/>
      <c r="FM85" s="135"/>
      <c r="FN85" s="135"/>
      <c r="FO85" s="134"/>
      <c r="FP85" s="190"/>
      <c r="FQ85" s="190"/>
      <c r="FR85" s="190"/>
      <c r="FS85" s="134"/>
      <c r="FT85" s="134"/>
      <c r="FU85" s="134"/>
      <c r="FV85" s="134"/>
      <c r="FW85" s="135"/>
      <c r="FX85" s="135"/>
      <c r="FY85" s="134"/>
      <c r="FZ85" s="134"/>
      <c r="GA85" s="134"/>
      <c r="GB85" s="134"/>
      <c r="GC85" s="134"/>
      <c r="GD85" s="134"/>
      <c r="GE85" s="134"/>
      <c r="GF85" s="134"/>
      <c r="GG85" s="135"/>
      <c r="GH85" s="135"/>
      <c r="GI85" s="134"/>
      <c r="GJ85" s="134"/>
      <c r="GK85" s="134"/>
      <c r="GL85" s="134"/>
      <c r="GM85" s="134"/>
      <c r="GN85" s="134"/>
      <c r="GO85" s="134"/>
      <c r="GP85" s="134"/>
      <c r="GQ85" s="135"/>
      <c r="GR85" s="135"/>
      <c r="GS85" s="134"/>
      <c r="GT85" s="134"/>
      <c r="GU85" s="134"/>
      <c r="GV85" s="134"/>
      <c r="GW85" s="134"/>
      <c r="GX85" s="134"/>
      <c r="GY85" s="134"/>
      <c r="GZ85" s="134"/>
      <c r="HA85" s="135"/>
      <c r="HB85" s="135"/>
      <c r="HC85" s="134"/>
      <c r="HD85" s="134"/>
      <c r="HE85" s="134"/>
      <c r="HF85" s="134"/>
      <c r="HG85" s="134"/>
      <c r="HH85" s="134"/>
      <c r="HI85" s="134"/>
      <c r="HJ85" s="134"/>
      <c r="HK85" s="135"/>
      <c r="HL85" s="135"/>
      <c r="HM85" s="134"/>
      <c r="HN85" s="134"/>
      <c r="HO85" s="134"/>
      <c r="HP85" s="134"/>
      <c r="HQ85" s="134"/>
      <c r="HR85" s="134"/>
      <c r="HS85" s="134"/>
      <c r="HT85" s="134"/>
      <c r="HU85" s="135"/>
      <c r="HV85" s="135"/>
      <c r="HW85" s="134"/>
      <c r="HX85" s="134"/>
      <c r="HY85" s="134"/>
      <c r="HZ85" s="134"/>
      <c r="IA85" s="134"/>
      <c r="IB85" s="134"/>
      <c r="IC85" s="134"/>
      <c r="ID85" s="134"/>
      <c r="IE85" s="135"/>
      <c r="IF85" s="135"/>
      <c r="IG85" s="134"/>
      <c r="IH85" s="134"/>
      <c r="II85" s="134"/>
      <c r="IJ85" s="134"/>
      <c r="IK85" s="134"/>
      <c r="IL85" s="134"/>
      <c r="IM85" s="134"/>
      <c r="IN85" s="134"/>
      <c r="IO85" s="135"/>
      <c r="IP85" s="135"/>
      <c r="IQ85" s="134"/>
      <c r="IR85" s="134"/>
      <c r="IS85" s="134"/>
      <c r="IT85" s="134"/>
      <c r="IU85" s="134"/>
      <c r="IV85" s="134"/>
      <c r="IW85" s="134"/>
      <c r="IX85" s="134"/>
      <c r="IY85" s="135"/>
      <c r="IZ85" s="135"/>
    </row>
    <row r="86" spans="1:260" customFormat="1" ht="17" customHeight="1">
      <c r="A86" s="79" t="s">
        <v>295</v>
      </c>
      <c r="B86" s="418">
        <v>212</v>
      </c>
      <c r="C86" s="117"/>
      <c r="D86" s="117">
        <v>85</v>
      </c>
      <c r="E86" s="123" t="s">
        <v>2020</v>
      </c>
      <c r="F86" s="124" t="s">
        <v>2252</v>
      </c>
      <c r="G86" s="125">
        <v>2014</v>
      </c>
      <c r="H86" s="79">
        <v>25150386</v>
      </c>
      <c r="I86" s="79">
        <v>1</v>
      </c>
      <c r="J86" s="126"/>
      <c r="K86" s="127"/>
      <c r="L86" s="79">
        <v>1</v>
      </c>
      <c r="M86" s="79"/>
      <c r="N86" s="79">
        <v>1</v>
      </c>
      <c r="O86" s="128">
        <v>1</v>
      </c>
      <c r="P86" s="79" t="s">
        <v>773</v>
      </c>
      <c r="Q86" s="79" t="s">
        <v>1192</v>
      </c>
      <c r="R86" s="79" t="s">
        <v>762</v>
      </c>
      <c r="S86" s="79">
        <v>1</v>
      </c>
      <c r="T86" s="79"/>
      <c r="U86" s="79"/>
      <c r="V86" s="79"/>
      <c r="W86" s="79" t="s">
        <v>772</v>
      </c>
      <c r="X86" s="79" t="s">
        <v>33</v>
      </c>
      <c r="Y86" s="79"/>
      <c r="Z86" s="79"/>
      <c r="AA86" s="79"/>
      <c r="AB86" s="79"/>
      <c r="AC86" s="506" t="s">
        <v>6287</v>
      </c>
      <c r="AD86" s="573">
        <v>1</v>
      </c>
      <c r="AE86" s="573">
        <v>0</v>
      </c>
      <c r="AF86" s="154"/>
      <c r="AG86" s="155"/>
      <c r="AH86" s="121">
        <v>2</v>
      </c>
      <c r="AI86" s="484"/>
      <c r="AJ86" s="202"/>
      <c r="AK86" s="192"/>
      <c r="AL86" s="203"/>
      <c r="AM86" s="121"/>
      <c r="AN86" s="417"/>
      <c r="AO86" s="121"/>
      <c r="AP86" s="121"/>
      <c r="AQ86" s="121"/>
      <c r="AR86" s="121"/>
      <c r="AS86" s="121"/>
      <c r="AT86" s="121"/>
      <c r="AU86" s="121"/>
      <c r="AV86" s="121"/>
      <c r="AW86" s="121"/>
      <c r="AX86" s="121"/>
      <c r="AY86" s="121"/>
      <c r="AZ86" s="121"/>
      <c r="BA86" s="121"/>
      <c r="BB86" s="121"/>
      <c r="BC86" s="121"/>
      <c r="BD86" s="156"/>
      <c r="BE86" s="156"/>
      <c r="BF86" s="156"/>
      <c r="BG86" s="156" t="s">
        <v>6237</v>
      </c>
      <c r="BH86" s="156"/>
      <c r="BI86" s="156" t="s">
        <v>4727</v>
      </c>
      <c r="BJ86" s="156"/>
      <c r="BK86" s="156" t="s">
        <v>6243</v>
      </c>
      <c r="BL86" s="156"/>
      <c r="BM86" s="156"/>
      <c r="BN86" s="156"/>
      <c r="BO86" s="156"/>
      <c r="BP86" s="156"/>
      <c r="BQ86" s="157"/>
      <c r="BR86" s="134"/>
      <c r="BS86" s="134"/>
      <c r="BT86" s="134"/>
      <c r="BU86" s="134"/>
      <c r="BV86" s="134"/>
      <c r="BW86" s="259"/>
      <c r="BX86" s="138"/>
      <c r="BY86" s="190"/>
      <c r="BZ86" s="134"/>
      <c r="CA86" s="190"/>
      <c r="CB86" s="463"/>
      <c r="CC86" s="134"/>
      <c r="CD86" s="134"/>
      <c r="CE86" s="134"/>
      <c r="CF86" s="288"/>
      <c r="CG86" s="289"/>
      <c r="CH86" s="439"/>
      <c r="CI86" s="190"/>
      <c r="CJ86" s="134"/>
      <c r="CK86" s="190"/>
      <c r="CL86" s="463"/>
      <c r="CM86" s="134"/>
      <c r="CN86" s="134"/>
      <c r="CO86" s="134"/>
      <c r="CP86" s="288"/>
      <c r="CQ86" s="289"/>
      <c r="CR86" s="276"/>
      <c r="CS86" s="308"/>
      <c r="CT86" s="138"/>
      <c r="CU86" s="190"/>
      <c r="CV86" s="134"/>
      <c r="CW86" s="190"/>
      <c r="CX86" s="134"/>
      <c r="CY86" s="134"/>
      <c r="CZ86" s="134"/>
      <c r="DA86" s="134"/>
      <c r="DB86" s="300"/>
      <c r="DC86" s="301"/>
      <c r="DD86" s="134"/>
      <c r="DE86" s="134"/>
      <c r="DF86" s="134"/>
      <c r="DG86" s="134"/>
      <c r="DH86" s="134"/>
      <c r="DI86" s="134"/>
      <c r="DJ86" s="134"/>
      <c r="DK86" s="134"/>
      <c r="DL86" s="300"/>
      <c r="DM86" s="301"/>
      <c r="DN86" s="276"/>
      <c r="DO86" s="277"/>
      <c r="DP86" s="134"/>
      <c r="DQ86" s="190"/>
      <c r="DR86" s="190"/>
      <c r="DS86" s="190"/>
      <c r="DT86" s="556"/>
      <c r="DU86" s="190"/>
      <c r="DV86" s="134"/>
      <c r="DW86" s="134"/>
      <c r="DX86" s="301"/>
      <c r="DY86" s="301"/>
      <c r="DZ86" s="138"/>
      <c r="EA86" s="134"/>
      <c r="EB86" s="134"/>
      <c r="EC86" s="134"/>
      <c r="ED86" s="138"/>
      <c r="EE86" s="134"/>
      <c r="EF86" s="134"/>
      <c r="EG86" s="134"/>
      <c r="EH86" s="301"/>
      <c r="EI86" s="301"/>
      <c r="EJ86" s="277"/>
      <c r="EK86" s="134"/>
      <c r="EL86" s="134"/>
      <c r="EM86" s="134"/>
      <c r="EN86" s="134"/>
      <c r="EO86" s="134"/>
      <c r="EP86" s="134"/>
      <c r="EQ86" s="134"/>
      <c r="ER86" s="134"/>
      <c r="ES86" s="301"/>
      <c r="ET86" s="301"/>
      <c r="EU86" s="134"/>
      <c r="EV86" s="134"/>
      <c r="EW86" s="134"/>
      <c r="EX86" s="134"/>
      <c r="EY86" s="134"/>
      <c r="EZ86" s="134"/>
      <c r="FA86" s="134"/>
      <c r="FB86" s="134"/>
      <c r="FC86" s="135"/>
      <c r="FD86" s="135"/>
      <c r="FE86" s="134"/>
      <c r="FF86" s="134"/>
      <c r="FG86" s="134"/>
      <c r="FH86" s="134"/>
      <c r="FI86" s="134"/>
      <c r="FJ86" s="134"/>
      <c r="FK86" s="134"/>
      <c r="FL86" s="134"/>
      <c r="FM86" s="135"/>
      <c r="FN86" s="135"/>
      <c r="FO86" s="134"/>
      <c r="FP86" s="134"/>
      <c r="FQ86" s="134"/>
      <c r="FR86" s="134"/>
      <c r="FS86" s="134"/>
      <c r="FT86" s="134"/>
      <c r="FU86" s="134"/>
      <c r="FV86" s="134"/>
      <c r="FW86" s="135"/>
      <c r="FX86" s="135"/>
      <c r="FY86" s="134"/>
      <c r="FZ86" s="134"/>
      <c r="GA86" s="134"/>
      <c r="GB86" s="134"/>
      <c r="GC86" s="134"/>
      <c r="GD86" s="134"/>
      <c r="GE86" s="134"/>
      <c r="GF86" s="134"/>
      <c r="GG86" s="135"/>
      <c r="GH86" s="135"/>
      <c r="GI86" s="134"/>
      <c r="GJ86" s="134"/>
      <c r="GK86" s="134"/>
      <c r="GL86" s="134"/>
      <c r="GM86" s="134"/>
      <c r="GN86" s="134"/>
      <c r="GO86" s="134"/>
      <c r="GP86" s="134"/>
      <c r="GQ86" s="135"/>
      <c r="GR86" s="135"/>
      <c r="GS86" s="134"/>
      <c r="GT86" s="134"/>
      <c r="GU86" s="134"/>
      <c r="GV86" s="134"/>
      <c r="GW86" s="134"/>
      <c r="GX86" s="134"/>
      <c r="GY86" s="134"/>
      <c r="GZ86" s="134"/>
      <c r="HA86" s="135"/>
      <c r="HB86" s="135"/>
      <c r="HC86" s="134"/>
      <c r="HD86" s="134"/>
      <c r="HE86" s="134"/>
      <c r="HF86" s="134"/>
      <c r="HG86" s="134"/>
      <c r="HH86" s="134"/>
      <c r="HI86" s="134"/>
      <c r="HJ86" s="134"/>
      <c r="HK86" s="135"/>
      <c r="HL86" s="135"/>
      <c r="HM86" s="134"/>
      <c r="HN86" s="134"/>
      <c r="HO86" s="134"/>
      <c r="HP86" s="134"/>
      <c r="HQ86" s="134"/>
      <c r="HR86" s="134"/>
      <c r="HS86" s="134"/>
      <c r="HT86" s="134"/>
      <c r="HU86" s="135"/>
      <c r="HV86" s="135"/>
      <c r="HW86" s="134"/>
      <c r="HX86" s="134"/>
      <c r="HY86" s="134"/>
      <c r="HZ86" s="134"/>
      <c r="IA86" s="134"/>
      <c r="IB86" s="134"/>
      <c r="IC86" s="134"/>
      <c r="ID86" s="134"/>
      <c r="IE86" s="135"/>
      <c r="IF86" s="135"/>
      <c r="IG86" s="134"/>
      <c r="IH86" s="134"/>
      <c r="II86" s="134"/>
      <c r="IJ86" s="134"/>
      <c r="IK86" s="134"/>
      <c r="IL86" s="134"/>
      <c r="IM86" s="134"/>
      <c r="IN86" s="134"/>
      <c r="IO86" s="135"/>
      <c r="IP86" s="135"/>
      <c r="IQ86" s="134"/>
      <c r="IR86" s="134"/>
      <c r="IS86" s="134"/>
      <c r="IT86" s="134"/>
      <c r="IU86" s="134"/>
      <c r="IV86" s="134"/>
      <c r="IW86" s="134"/>
      <c r="IX86" s="134"/>
      <c r="IY86" s="135"/>
      <c r="IZ86" s="135"/>
    </row>
    <row r="87" spans="1:260" s="119" customFormat="1" ht="17" customHeight="1">
      <c r="A87" s="79" t="s">
        <v>296</v>
      </c>
      <c r="B87" s="418">
        <v>213</v>
      </c>
      <c r="C87" s="117"/>
      <c r="D87" s="117">
        <v>86</v>
      </c>
      <c r="E87" s="123" t="s">
        <v>2020</v>
      </c>
      <c r="F87" s="124" t="s">
        <v>2253</v>
      </c>
      <c r="G87" s="125">
        <v>2014</v>
      </c>
      <c r="H87" s="79">
        <v>24342149</v>
      </c>
      <c r="I87" s="79">
        <v>1</v>
      </c>
      <c r="J87" s="126"/>
      <c r="K87" s="127"/>
      <c r="L87" s="79">
        <v>1</v>
      </c>
      <c r="M87" s="79"/>
      <c r="N87" s="164">
        <v>1</v>
      </c>
      <c r="O87" s="128">
        <v>1</v>
      </c>
      <c r="P87" s="79" t="s">
        <v>775</v>
      </c>
      <c r="Q87" s="79" t="s">
        <v>1164</v>
      </c>
      <c r="R87" s="79" t="s">
        <v>762</v>
      </c>
      <c r="S87" s="79">
        <v>1</v>
      </c>
      <c r="T87" s="79"/>
      <c r="U87" s="79"/>
      <c r="V87" s="79"/>
      <c r="W87" s="79" t="s">
        <v>774</v>
      </c>
      <c r="X87" s="79" t="s">
        <v>33</v>
      </c>
      <c r="Y87" s="79"/>
      <c r="Z87" s="79"/>
      <c r="AA87" s="79"/>
      <c r="AB87" s="79" t="s">
        <v>776</v>
      </c>
      <c r="AC87" s="506" t="s">
        <v>6288</v>
      </c>
      <c r="AD87" s="573">
        <v>1</v>
      </c>
      <c r="AE87" s="573">
        <v>0</v>
      </c>
      <c r="AF87" s="154"/>
      <c r="AG87" s="155"/>
      <c r="AH87" s="121">
        <v>2</v>
      </c>
      <c r="AI87" s="484"/>
      <c r="AJ87" s="202"/>
      <c r="AK87" s="192"/>
      <c r="AL87" s="203"/>
      <c r="AM87" s="121"/>
      <c r="AN87" s="121"/>
      <c r="AO87" s="121"/>
      <c r="AP87" s="121"/>
      <c r="AQ87" s="121"/>
      <c r="AR87" s="121"/>
      <c r="AS87" s="121"/>
      <c r="AT87" s="121"/>
      <c r="AU87" s="121"/>
      <c r="AV87" s="121"/>
      <c r="AW87" s="121"/>
      <c r="AX87" s="121"/>
      <c r="AY87" s="121"/>
      <c r="AZ87" s="121"/>
      <c r="BA87" s="121"/>
      <c r="BB87" s="121"/>
      <c r="BC87" s="121"/>
      <c r="BD87" s="156"/>
      <c r="BE87" s="156"/>
      <c r="BF87" s="156"/>
      <c r="BG87" s="156"/>
      <c r="BH87" s="156"/>
      <c r="BI87" s="156"/>
      <c r="BJ87" s="156"/>
      <c r="BK87" s="156"/>
      <c r="BL87" s="156"/>
      <c r="BM87" s="156"/>
      <c r="BN87" s="156"/>
      <c r="BO87" s="156"/>
      <c r="BP87" s="156" t="s">
        <v>5545</v>
      </c>
      <c r="BQ87" s="157"/>
      <c r="BR87" s="134"/>
      <c r="BS87" s="134"/>
      <c r="BT87" s="134"/>
      <c r="BU87" s="134"/>
      <c r="BV87" s="134"/>
      <c r="BW87" s="259"/>
      <c r="BX87" s="138"/>
      <c r="BY87" s="190"/>
      <c r="BZ87" s="134"/>
      <c r="CA87" s="190"/>
      <c r="CB87" s="463"/>
      <c r="CC87" s="134"/>
      <c r="CD87" s="134"/>
      <c r="CE87" s="134"/>
      <c r="CF87" s="288"/>
      <c r="CG87" s="289"/>
      <c r="CH87" s="439"/>
      <c r="CI87" s="190"/>
      <c r="CJ87" s="134"/>
      <c r="CK87" s="190"/>
      <c r="CL87" s="463"/>
      <c r="CM87" s="134"/>
      <c r="CN87" s="134"/>
      <c r="CO87" s="134"/>
      <c r="CP87" s="288"/>
      <c r="CQ87" s="289"/>
      <c r="CR87" s="276"/>
      <c r="CS87" s="308"/>
      <c r="CT87" s="138"/>
      <c r="CU87" s="190"/>
      <c r="CV87" s="134"/>
      <c r="CW87" s="190"/>
      <c r="CX87" s="134"/>
      <c r="CY87" s="134"/>
      <c r="CZ87" s="134"/>
      <c r="DA87" s="134"/>
      <c r="DB87" s="300"/>
      <c r="DC87" s="301"/>
      <c r="DD87" s="134"/>
      <c r="DE87" s="134"/>
      <c r="DF87" s="134"/>
      <c r="DG87" s="134"/>
      <c r="DH87" s="134"/>
      <c r="DI87" s="134"/>
      <c r="DJ87" s="134"/>
      <c r="DK87" s="134"/>
      <c r="DL87" s="300"/>
      <c r="DM87" s="301"/>
      <c r="DN87" s="276"/>
      <c r="DO87" s="277"/>
      <c r="DP87" s="134"/>
      <c r="DQ87" s="134"/>
      <c r="DR87" s="134"/>
      <c r="DS87" s="134"/>
      <c r="DT87" s="138"/>
      <c r="DU87" s="134"/>
      <c r="DV87" s="134"/>
      <c r="DW87" s="134"/>
      <c r="DX87" s="301"/>
      <c r="DY87" s="301"/>
      <c r="DZ87" s="138"/>
      <c r="EA87" s="134"/>
      <c r="EB87" s="134"/>
      <c r="EC87" s="134"/>
      <c r="ED87" s="138"/>
      <c r="EE87" s="134"/>
      <c r="EF87" s="134"/>
      <c r="EG87" s="134"/>
      <c r="EH87" s="301"/>
      <c r="EI87" s="301"/>
      <c r="EJ87" s="277"/>
      <c r="EK87" s="134"/>
      <c r="EL87" s="134"/>
      <c r="EM87" s="134"/>
      <c r="EN87" s="134"/>
      <c r="EO87" s="134"/>
      <c r="EP87" s="134"/>
      <c r="EQ87" s="134"/>
      <c r="ER87" s="134"/>
      <c r="ES87" s="301"/>
      <c r="ET87" s="301"/>
      <c r="EU87" s="134"/>
      <c r="EV87" s="134"/>
      <c r="EW87" s="134"/>
      <c r="EX87" s="134"/>
      <c r="EY87" s="134"/>
      <c r="EZ87" s="134"/>
      <c r="FA87" s="134"/>
      <c r="FB87" s="134"/>
      <c r="FC87" s="135"/>
      <c r="FD87" s="135"/>
      <c r="FE87" s="134"/>
      <c r="FF87" s="134"/>
      <c r="FG87" s="134"/>
      <c r="FH87" s="134"/>
      <c r="FI87" s="134"/>
      <c r="FJ87" s="134"/>
      <c r="FK87" s="134"/>
      <c r="FL87" s="134"/>
      <c r="FM87" s="135"/>
      <c r="FN87" s="135"/>
      <c r="FO87" s="134"/>
      <c r="FP87" s="134"/>
      <c r="FQ87" s="134"/>
      <c r="FR87" s="134"/>
      <c r="FS87" s="134"/>
      <c r="FT87" s="134"/>
      <c r="FU87" s="134"/>
      <c r="FV87" s="134"/>
      <c r="FW87" s="135"/>
      <c r="FX87" s="135"/>
      <c r="FY87" s="134"/>
      <c r="FZ87" s="134"/>
      <c r="GA87" s="134"/>
      <c r="GB87" s="134"/>
      <c r="GC87" s="134"/>
      <c r="GD87" s="134"/>
      <c r="GE87" s="134"/>
      <c r="GF87" s="134"/>
      <c r="GG87" s="135"/>
      <c r="GH87" s="135"/>
      <c r="GI87" s="134"/>
      <c r="GJ87" s="134"/>
      <c r="GK87" s="134"/>
      <c r="GL87" s="134"/>
      <c r="GM87" s="134"/>
      <c r="GN87" s="134"/>
      <c r="GO87" s="134"/>
      <c r="GP87" s="134"/>
      <c r="GQ87" s="135"/>
      <c r="GR87" s="135"/>
      <c r="GS87" s="134"/>
      <c r="GT87" s="134"/>
      <c r="GU87" s="134"/>
      <c r="GV87" s="134"/>
      <c r="GW87" s="134"/>
      <c r="GX87" s="134"/>
      <c r="GY87" s="134"/>
      <c r="GZ87" s="134"/>
      <c r="HA87" s="135"/>
      <c r="HB87" s="135"/>
      <c r="HC87" s="134"/>
      <c r="HD87" s="134"/>
      <c r="HE87" s="134"/>
      <c r="HF87" s="134"/>
      <c r="HG87" s="134"/>
      <c r="HH87" s="134"/>
      <c r="HI87" s="134"/>
      <c r="HJ87" s="134"/>
      <c r="HK87" s="135"/>
      <c r="HL87" s="135"/>
      <c r="HM87" s="134"/>
      <c r="HN87" s="134"/>
      <c r="HO87" s="134"/>
      <c r="HP87" s="134"/>
      <c r="HQ87" s="134"/>
      <c r="HR87" s="134"/>
      <c r="HS87" s="134"/>
      <c r="HT87" s="134"/>
      <c r="HU87" s="135"/>
      <c r="HV87" s="135"/>
      <c r="HW87" s="134"/>
      <c r="HX87" s="134"/>
      <c r="HY87" s="134"/>
      <c r="HZ87" s="134"/>
      <c r="IA87" s="134"/>
      <c r="IB87" s="134"/>
      <c r="IC87" s="134"/>
      <c r="ID87" s="134"/>
      <c r="IE87" s="135"/>
      <c r="IF87" s="135"/>
      <c r="IG87" s="134"/>
      <c r="IH87" s="134"/>
      <c r="II87" s="134"/>
      <c r="IJ87" s="134"/>
      <c r="IK87" s="134"/>
      <c r="IL87" s="134"/>
      <c r="IM87" s="134"/>
      <c r="IN87" s="134"/>
      <c r="IO87" s="135"/>
      <c r="IP87" s="135"/>
      <c r="IQ87" s="134"/>
      <c r="IR87" s="134"/>
      <c r="IS87" s="134"/>
      <c r="IT87" s="134"/>
      <c r="IU87" s="134"/>
      <c r="IV87" s="134"/>
      <c r="IW87" s="134"/>
      <c r="IX87" s="134"/>
      <c r="IY87" s="135"/>
      <c r="IZ87" s="135"/>
    </row>
    <row r="88" spans="1:260" customFormat="1" ht="17" customHeight="1">
      <c r="A88" s="79" t="s">
        <v>297</v>
      </c>
      <c r="B88" s="418">
        <v>214</v>
      </c>
      <c r="C88" s="117"/>
      <c r="D88" s="117">
        <v>87</v>
      </c>
      <c r="E88" s="123" t="s">
        <v>2021</v>
      </c>
      <c r="F88" s="124" t="s">
        <v>2254</v>
      </c>
      <c r="G88" s="125">
        <v>2008</v>
      </c>
      <c r="H88" s="79">
        <v>18590795</v>
      </c>
      <c r="I88" s="79">
        <v>1</v>
      </c>
      <c r="J88" s="126"/>
      <c r="K88" s="127"/>
      <c r="L88" s="79">
        <v>1</v>
      </c>
      <c r="M88" s="79"/>
      <c r="N88" s="79">
        <v>1</v>
      </c>
      <c r="O88" s="128">
        <v>1</v>
      </c>
      <c r="P88" s="79" t="s">
        <v>779</v>
      </c>
      <c r="Q88" s="79" t="s">
        <v>1192</v>
      </c>
      <c r="R88" s="79" t="s">
        <v>25</v>
      </c>
      <c r="S88" s="79">
        <v>1</v>
      </c>
      <c r="T88" s="79"/>
      <c r="U88" s="79"/>
      <c r="V88" s="79"/>
      <c r="W88" s="79" t="s">
        <v>778</v>
      </c>
      <c r="X88" s="79" t="s">
        <v>777</v>
      </c>
      <c r="Y88" s="79"/>
      <c r="Z88" s="79"/>
      <c r="AA88" s="79"/>
      <c r="AB88" s="79"/>
      <c r="AC88" s="506" t="s">
        <v>6290</v>
      </c>
      <c r="AD88" s="573">
        <v>1</v>
      </c>
      <c r="AE88" s="573">
        <v>0</v>
      </c>
      <c r="AF88" s="154"/>
      <c r="AG88" s="155"/>
      <c r="AH88" s="121">
        <v>2</v>
      </c>
      <c r="AI88" s="484"/>
      <c r="AJ88" s="202"/>
      <c r="AK88" s="192"/>
      <c r="AL88" s="203"/>
      <c r="AM88" s="121"/>
      <c r="AN88" s="121"/>
      <c r="AO88" s="121"/>
      <c r="AP88" s="121"/>
      <c r="AQ88" s="121"/>
      <c r="AR88" s="121"/>
      <c r="AS88" s="121"/>
      <c r="AT88" s="121"/>
      <c r="AU88" s="121"/>
      <c r="AV88" s="121"/>
      <c r="AW88" s="121"/>
      <c r="AX88" s="121"/>
      <c r="AY88" s="121"/>
      <c r="AZ88" s="121"/>
      <c r="BA88" s="121"/>
      <c r="BB88" s="121"/>
      <c r="BC88" s="121"/>
      <c r="BD88" s="156"/>
      <c r="BE88" s="156"/>
      <c r="BF88" s="156" t="s">
        <v>5207</v>
      </c>
      <c r="BG88" s="156" t="s">
        <v>6175</v>
      </c>
      <c r="BH88" s="156"/>
      <c r="BI88" s="156" t="s">
        <v>5207</v>
      </c>
      <c r="BJ88" s="156"/>
      <c r="BK88" s="156"/>
      <c r="BL88" s="156"/>
      <c r="BM88" s="156"/>
      <c r="BN88" s="156" t="s">
        <v>5207</v>
      </c>
      <c r="BO88" s="156"/>
      <c r="BP88" s="156" t="s">
        <v>6289</v>
      </c>
      <c r="BQ88" s="157"/>
      <c r="BR88" s="134"/>
      <c r="BS88" s="134"/>
      <c r="BT88" s="134"/>
      <c r="BU88" s="134"/>
      <c r="BV88" s="134"/>
      <c r="BW88" s="259"/>
      <c r="BX88" s="138"/>
      <c r="BY88" s="190"/>
      <c r="BZ88" s="134"/>
      <c r="CA88" s="190"/>
      <c r="CB88" s="138"/>
      <c r="CC88" s="134"/>
      <c r="CD88" s="134"/>
      <c r="CE88" s="134"/>
      <c r="CF88" s="288"/>
      <c r="CG88" s="289"/>
      <c r="CH88" s="138"/>
      <c r="CI88" s="190"/>
      <c r="CJ88" s="134"/>
      <c r="CK88" s="190"/>
      <c r="CL88" s="138"/>
      <c r="CM88" s="134"/>
      <c r="CN88" s="134"/>
      <c r="CO88" s="134"/>
      <c r="CP88" s="288"/>
      <c r="CQ88" s="289"/>
      <c r="CR88" s="276"/>
      <c r="CS88" s="308"/>
      <c r="CT88" s="138"/>
      <c r="CU88" s="190"/>
      <c r="CV88" s="134"/>
      <c r="CW88" s="190"/>
      <c r="CX88" s="134"/>
      <c r="CY88" s="134"/>
      <c r="CZ88" s="134"/>
      <c r="DA88" s="134"/>
      <c r="DB88" s="300"/>
      <c r="DC88" s="301"/>
      <c r="DD88" s="134"/>
      <c r="DE88" s="134"/>
      <c r="DF88" s="134"/>
      <c r="DG88" s="134"/>
      <c r="DH88" s="134"/>
      <c r="DI88" s="134"/>
      <c r="DJ88" s="134"/>
      <c r="DK88" s="134"/>
      <c r="DL88" s="300"/>
      <c r="DM88" s="301"/>
      <c r="DN88" s="276"/>
      <c r="DO88" s="277"/>
      <c r="DP88" s="134"/>
      <c r="DQ88" s="134"/>
      <c r="DR88" s="134"/>
      <c r="DS88" s="134"/>
      <c r="DT88" s="138"/>
      <c r="DU88" s="134"/>
      <c r="DV88" s="134"/>
      <c r="DW88" s="134"/>
      <c r="DX88" s="469"/>
      <c r="DY88" s="469"/>
      <c r="DZ88" s="556"/>
      <c r="EA88" s="190"/>
      <c r="EB88" s="190"/>
      <c r="EC88" s="190"/>
      <c r="ED88" s="556"/>
      <c r="EE88" s="134"/>
      <c r="EF88" s="134"/>
      <c r="EG88" s="134"/>
      <c r="EH88" s="301"/>
      <c r="EI88" s="301"/>
      <c r="EJ88" s="277"/>
      <c r="EK88" s="190"/>
      <c r="EL88" s="190"/>
      <c r="EM88" s="190"/>
      <c r="EN88" s="190"/>
      <c r="EO88" s="190"/>
      <c r="EP88" s="134"/>
      <c r="EQ88" s="134"/>
      <c r="ER88" s="134"/>
      <c r="ES88" s="301"/>
      <c r="ET88" s="301"/>
      <c r="EU88" s="134"/>
      <c r="EV88" s="134"/>
      <c r="EW88" s="134"/>
      <c r="EX88" s="134"/>
      <c r="EY88" s="134"/>
      <c r="EZ88" s="134"/>
      <c r="FA88" s="134"/>
      <c r="FB88" s="134"/>
      <c r="FC88" s="135"/>
      <c r="FD88" s="135"/>
      <c r="FE88" s="134"/>
      <c r="FF88" s="134"/>
      <c r="FG88" s="134"/>
      <c r="FH88" s="134"/>
      <c r="FI88" s="134"/>
      <c r="FJ88" s="134"/>
      <c r="FK88" s="134"/>
      <c r="FL88" s="134"/>
      <c r="FM88" s="135"/>
      <c r="FN88" s="135"/>
      <c r="FO88" s="134"/>
      <c r="FP88" s="134"/>
      <c r="FQ88" s="134"/>
      <c r="FR88" s="134"/>
      <c r="FS88" s="134"/>
      <c r="FT88" s="134"/>
      <c r="FU88" s="134"/>
      <c r="FV88" s="134"/>
      <c r="FW88" s="135"/>
      <c r="FX88" s="135"/>
      <c r="FY88" s="134"/>
      <c r="FZ88" s="134"/>
      <c r="GA88" s="134"/>
      <c r="GB88" s="134"/>
      <c r="GC88" s="134"/>
      <c r="GD88" s="134"/>
      <c r="GE88" s="134"/>
      <c r="GF88" s="134"/>
      <c r="GG88" s="135"/>
      <c r="GH88" s="135"/>
      <c r="GI88" s="134"/>
      <c r="GJ88" s="134"/>
      <c r="GK88" s="134"/>
      <c r="GL88" s="134"/>
      <c r="GM88" s="134"/>
      <c r="GN88" s="134"/>
      <c r="GO88" s="134"/>
      <c r="GP88" s="134"/>
      <c r="GQ88" s="135"/>
      <c r="GR88" s="135"/>
      <c r="GS88" s="134"/>
      <c r="GT88" s="134"/>
      <c r="GU88" s="134"/>
      <c r="GV88" s="134"/>
      <c r="GW88" s="134"/>
      <c r="GX88" s="134"/>
      <c r="GY88" s="134"/>
      <c r="GZ88" s="134"/>
      <c r="HA88" s="135"/>
      <c r="HB88" s="135"/>
      <c r="HC88" s="134"/>
      <c r="HD88" s="134"/>
      <c r="HE88" s="134"/>
      <c r="HF88" s="134"/>
      <c r="HG88" s="134"/>
      <c r="HH88" s="134"/>
      <c r="HI88" s="134"/>
      <c r="HJ88" s="134"/>
      <c r="HK88" s="135"/>
      <c r="HL88" s="135"/>
      <c r="HM88" s="134"/>
      <c r="HN88" s="134"/>
      <c r="HO88" s="134"/>
      <c r="HP88" s="134"/>
      <c r="HQ88" s="134"/>
      <c r="HR88" s="134"/>
      <c r="HS88" s="134"/>
      <c r="HT88" s="134"/>
      <c r="HU88" s="135"/>
      <c r="HV88" s="135"/>
      <c r="HW88" s="134"/>
      <c r="HX88" s="134"/>
      <c r="HY88" s="134"/>
      <c r="HZ88" s="134"/>
      <c r="IA88" s="134"/>
      <c r="IB88" s="134"/>
      <c r="IC88" s="134"/>
      <c r="ID88" s="134"/>
      <c r="IE88" s="135"/>
      <c r="IF88" s="135"/>
      <c r="IG88" s="134"/>
      <c r="IH88" s="134"/>
      <c r="II88" s="134"/>
      <c r="IJ88" s="134"/>
      <c r="IK88" s="134"/>
      <c r="IL88" s="134"/>
      <c r="IM88" s="134"/>
      <c r="IN88" s="134"/>
      <c r="IO88" s="135"/>
      <c r="IP88" s="135"/>
      <c r="IQ88" s="134"/>
      <c r="IR88" s="134"/>
      <c r="IS88" s="134"/>
      <c r="IT88" s="134"/>
      <c r="IU88" s="134"/>
      <c r="IV88" s="134"/>
      <c r="IW88" s="134"/>
      <c r="IX88" s="134"/>
      <c r="IY88" s="135"/>
      <c r="IZ88" s="135"/>
    </row>
    <row r="89" spans="1:260" ht="17" customHeight="1">
      <c r="A89" s="79" t="s">
        <v>302</v>
      </c>
      <c r="B89" s="418">
        <v>217</v>
      </c>
      <c r="C89" s="117"/>
      <c r="D89" s="117">
        <v>88</v>
      </c>
      <c r="E89" s="123" t="s">
        <v>2023</v>
      </c>
      <c r="F89" s="124" t="s">
        <v>2256</v>
      </c>
      <c r="G89" s="125">
        <v>2013</v>
      </c>
      <c r="H89" s="79">
        <v>23672579</v>
      </c>
      <c r="I89" s="79">
        <v>1</v>
      </c>
      <c r="J89" s="126"/>
      <c r="K89" s="127"/>
      <c r="L89" s="79">
        <v>1</v>
      </c>
      <c r="M89" s="79"/>
      <c r="N89" s="79">
        <v>1</v>
      </c>
      <c r="O89" s="128">
        <v>1</v>
      </c>
      <c r="P89" s="79" t="s">
        <v>792</v>
      </c>
      <c r="Q89" s="79" t="s">
        <v>23</v>
      </c>
      <c r="R89" s="79" t="s">
        <v>762</v>
      </c>
      <c r="S89" s="79">
        <v>1</v>
      </c>
      <c r="T89" s="79"/>
      <c r="U89" s="79"/>
      <c r="V89" s="79"/>
      <c r="W89" s="79" t="s">
        <v>492</v>
      </c>
      <c r="X89" s="79" t="s">
        <v>24</v>
      </c>
      <c r="Y89" s="79" t="s">
        <v>24</v>
      </c>
      <c r="Z89" s="79" t="s">
        <v>793</v>
      </c>
      <c r="AA89" s="79"/>
      <c r="AB89" s="79"/>
      <c r="AC89" s="506" t="s">
        <v>6291</v>
      </c>
      <c r="AD89" s="573">
        <v>1</v>
      </c>
      <c r="AE89" s="573">
        <v>1</v>
      </c>
      <c r="AF89" s="580"/>
      <c r="AG89" s="580"/>
      <c r="AH89" s="121">
        <v>2</v>
      </c>
      <c r="AI89" s="484"/>
      <c r="AJ89" s="202"/>
      <c r="AK89" s="192"/>
      <c r="AL89" s="203"/>
      <c r="AM89" s="121"/>
      <c r="AN89" s="121"/>
      <c r="AO89" s="121"/>
      <c r="AP89" s="121"/>
      <c r="AQ89" s="121"/>
      <c r="AR89" s="121"/>
      <c r="AS89" s="121"/>
      <c r="AT89" s="121"/>
      <c r="AU89" s="121"/>
      <c r="AV89" s="121"/>
      <c r="AW89" s="121"/>
      <c r="AX89" s="121"/>
      <c r="AY89" s="121"/>
      <c r="AZ89" s="121"/>
      <c r="BA89" s="121"/>
      <c r="BB89" s="121"/>
      <c r="BC89" s="121"/>
      <c r="BD89" s="156"/>
      <c r="BE89" s="156"/>
      <c r="BF89" s="156" t="s">
        <v>5207</v>
      </c>
      <c r="BG89" s="156"/>
      <c r="BH89" s="156"/>
      <c r="BI89" s="156" t="s">
        <v>5207</v>
      </c>
      <c r="BJ89" s="156" t="s">
        <v>5207</v>
      </c>
      <c r="BK89" s="156"/>
      <c r="BL89" s="156"/>
      <c r="BM89" s="156"/>
      <c r="BN89" s="156" t="s">
        <v>5207</v>
      </c>
      <c r="BO89" s="156" t="s">
        <v>5207</v>
      </c>
      <c r="BP89" s="156"/>
      <c r="BQ89" s="157"/>
      <c r="BR89" s="134"/>
      <c r="BS89" s="134"/>
      <c r="BT89" s="134"/>
      <c r="BU89" s="134"/>
      <c r="BV89" s="134"/>
      <c r="BW89" s="540"/>
      <c r="BX89" s="138"/>
      <c r="BY89" s="134"/>
      <c r="BZ89" s="134"/>
      <c r="CA89" s="134"/>
      <c r="CB89" s="138"/>
      <c r="CC89" s="134"/>
      <c r="CD89" s="134"/>
      <c r="CE89" s="134"/>
      <c r="CF89" s="288"/>
      <c r="CG89" s="289"/>
      <c r="CH89" s="138"/>
      <c r="CI89" s="134"/>
      <c r="CJ89" s="134"/>
      <c r="CK89" s="134"/>
      <c r="CL89" s="138"/>
      <c r="CM89" s="134"/>
      <c r="CN89" s="134"/>
      <c r="CO89" s="134"/>
      <c r="CP89" s="288"/>
      <c r="CQ89" s="289"/>
      <c r="CR89" s="276"/>
      <c r="CS89" s="308"/>
      <c r="CT89" s="138"/>
      <c r="CU89" s="134"/>
      <c r="CV89" s="134"/>
      <c r="CW89" s="134"/>
      <c r="CX89" s="134"/>
      <c r="CY89" s="134"/>
      <c r="CZ89" s="134"/>
      <c r="DA89" s="134"/>
      <c r="DB89" s="300"/>
      <c r="DC89" s="301"/>
      <c r="DD89" s="134"/>
      <c r="DE89" s="134"/>
      <c r="DF89" s="134"/>
      <c r="DG89" s="134"/>
      <c r="DH89" s="134"/>
      <c r="DI89" s="134"/>
      <c r="DJ89" s="134"/>
      <c r="DK89" s="134"/>
      <c r="DL89" s="300"/>
      <c r="DM89" s="301"/>
      <c r="DN89" s="276"/>
      <c r="DO89" s="277"/>
      <c r="DP89" s="134"/>
      <c r="DQ89" s="134"/>
      <c r="DR89" s="134"/>
      <c r="DS89" s="134"/>
      <c r="DT89" s="138"/>
      <c r="DU89" s="134"/>
      <c r="DV89" s="134"/>
      <c r="DW89" s="134"/>
      <c r="DX89" s="301"/>
      <c r="DY89" s="301"/>
      <c r="DZ89" s="138"/>
      <c r="EA89" s="134"/>
      <c r="EB89" s="134"/>
      <c r="EC89" s="134"/>
      <c r="ED89" s="138"/>
      <c r="EE89" s="134"/>
      <c r="EF89" s="134"/>
      <c r="EG89" s="134"/>
      <c r="EH89" s="301"/>
      <c r="EI89" s="301"/>
      <c r="EJ89" s="277"/>
      <c r="EK89" s="134"/>
      <c r="EL89" s="134"/>
      <c r="EM89" s="134"/>
      <c r="EN89" s="134"/>
      <c r="EO89" s="134"/>
      <c r="EP89" s="134"/>
      <c r="EQ89" s="134"/>
      <c r="ER89" s="134"/>
      <c r="ES89" s="301"/>
      <c r="ET89" s="301"/>
      <c r="EU89" s="134"/>
      <c r="EV89" s="134"/>
      <c r="EW89" s="134"/>
      <c r="EX89" s="134"/>
      <c r="EY89" s="134"/>
      <c r="EZ89" s="134"/>
      <c r="FA89" s="134"/>
      <c r="FB89" s="134"/>
      <c r="FC89" s="135"/>
      <c r="FD89" s="135"/>
      <c r="FE89" s="134"/>
      <c r="FF89" s="134"/>
      <c r="FG89" s="134"/>
      <c r="FH89" s="134"/>
      <c r="FI89" s="134"/>
      <c r="FJ89" s="134"/>
      <c r="FK89" s="134"/>
      <c r="FL89" s="134"/>
      <c r="FM89" s="135"/>
      <c r="FN89" s="135"/>
      <c r="FO89" s="134"/>
      <c r="FP89" s="134"/>
      <c r="FQ89" s="134"/>
      <c r="FR89" s="134"/>
      <c r="FS89" s="134"/>
      <c r="FT89" s="134"/>
      <c r="FU89" s="134"/>
      <c r="FV89" s="134"/>
      <c r="FW89" s="135"/>
      <c r="FX89" s="135"/>
      <c r="FY89" s="134"/>
      <c r="FZ89" s="134"/>
      <c r="GA89" s="134"/>
      <c r="GB89" s="134"/>
      <c r="GC89" s="134"/>
      <c r="GD89" s="134"/>
      <c r="GE89" s="134"/>
      <c r="GF89" s="134"/>
      <c r="GG89" s="135"/>
      <c r="GH89" s="135"/>
      <c r="GI89" s="134"/>
      <c r="GJ89" s="134"/>
      <c r="GK89" s="134"/>
      <c r="GL89" s="134"/>
      <c r="GM89" s="134"/>
      <c r="GN89" s="134"/>
      <c r="GO89" s="134"/>
      <c r="GP89" s="134"/>
      <c r="GQ89" s="135"/>
      <c r="GR89" s="135"/>
      <c r="GS89" s="134"/>
      <c r="GT89" s="134"/>
      <c r="GU89" s="134"/>
      <c r="GV89" s="134"/>
      <c r="GW89" s="134"/>
      <c r="GX89" s="134"/>
      <c r="GY89" s="134"/>
      <c r="GZ89" s="134"/>
      <c r="HA89" s="135"/>
      <c r="HB89" s="135"/>
      <c r="HC89" s="134"/>
      <c r="HD89" s="134"/>
      <c r="HE89" s="134"/>
      <c r="HF89" s="134"/>
      <c r="HG89" s="134"/>
      <c r="HH89" s="134"/>
      <c r="HI89" s="134"/>
      <c r="HJ89" s="134"/>
      <c r="HK89" s="135"/>
      <c r="HL89" s="135"/>
      <c r="HM89" s="134"/>
      <c r="HN89" s="134"/>
      <c r="HO89" s="134"/>
      <c r="HP89" s="134"/>
      <c r="HQ89" s="134"/>
      <c r="HR89" s="134"/>
      <c r="HS89" s="134"/>
      <c r="HT89" s="134"/>
      <c r="HU89" s="135"/>
      <c r="HV89" s="135"/>
      <c r="HW89" s="134"/>
      <c r="HX89" s="134"/>
      <c r="HY89" s="134"/>
      <c r="HZ89" s="134"/>
      <c r="IA89" s="134"/>
      <c r="IB89" s="134"/>
      <c r="IC89" s="134"/>
      <c r="ID89" s="134"/>
      <c r="IE89" s="135"/>
      <c r="IF89" s="135"/>
      <c r="IG89" s="134"/>
      <c r="IH89" s="134"/>
      <c r="II89" s="134"/>
      <c r="IJ89" s="134"/>
      <c r="IK89" s="134"/>
      <c r="IL89" s="134"/>
      <c r="IM89" s="134"/>
      <c r="IN89" s="134"/>
      <c r="IO89" s="135"/>
      <c r="IP89" s="135"/>
      <c r="IQ89" s="134"/>
      <c r="IR89" s="134"/>
      <c r="IS89" s="134"/>
      <c r="IT89" s="134"/>
      <c r="IU89" s="134"/>
      <c r="IV89" s="134"/>
      <c r="IW89" s="134"/>
      <c r="IX89" s="134"/>
      <c r="IY89" s="135"/>
      <c r="IZ89" s="135"/>
    </row>
    <row r="90" spans="1:260" s="229" customFormat="1" ht="17" customHeight="1">
      <c r="A90" s="79" t="s">
        <v>312</v>
      </c>
      <c r="B90" s="418">
        <v>221</v>
      </c>
      <c r="C90" s="117"/>
      <c r="D90" s="117">
        <v>89</v>
      </c>
      <c r="E90" s="123" t="s">
        <v>2026</v>
      </c>
      <c r="F90" s="124" t="s">
        <v>2259</v>
      </c>
      <c r="G90" s="125">
        <v>2015</v>
      </c>
      <c r="H90" s="79">
        <v>26029852</v>
      </c>
      <c r="I90" s="79">
        <v>1</v>
      </c>
      <c r="J90" s="126"/>
      <c r="K90" s="127"/>
      <c r="L90" s="79">
        <v>1</v>
      </c>
      <c r="M90" s="79"/>
      <c r="N90" s="79">
        <v>1</v>
      </c>
      <c r="O90" s="128">
        <v>1</v>
      </c>
      <c r="P90" s="79" t="s">
        <v>812</v>
      </c>
      <c r="Q90" s="79" t="s">
        <v>1154</v>
      </c>
      <c r="R90" s="79" t="s">
        <v>1194</v>
      </c>
      <c r="S90" s="79">
        <v>1</v>
      </c>
      <c r="T90" s="79"/>
      <c r="U90" s="79"/>
      <c r="V90" s="79"/>
      <c r="W90" s="79" t="s">
        <v>492</v>
      </c>
      <c r="X90" s="79" t="s">
        <v>24</v>
      </c>
      <c r="Y90" s="79" t="s">
        <v>24</v>
      </c>
      <c r="Z90" s="79" t="s">
        <v>24</v>
      </c>
      <c r="AA90" s="79"/>
      <c r="AB90" s="79"/>
      <c r="AC90" s="506" t="s">
        <v>6292</v>
      </c>
      <c r="AD90" s="573">
        <v>1</v>
      </c>
      <c r="AE90" s="573">
        <v>1</v>
      </c>
      <c r="AF90" s="580"/>
      <c r="AG90" s="580"/>
      <c r="AH90" s="121">
        <v>2</v>
      </c>
      <c r="AI90" s="484"/>
      <c r="AJ90" s="202"/>
      <c r="AK90" s="192"/>
      <c r="AL90" s="203"/>
      <c r="AM90" s="121"/>
      <c r="AN90" s="121"/>
      <c r="AO90" s="121"/>
      <c r="AP90" s="121"/>
      <c r="AQ90" s="121"/>
      <c r="AR90" s="121"/>
      <c r="AS90" s="121"/>
      <c r="AT90" s="121"/>
      <c r="AU90" s="121"/>
      <c r="AV90" s="121"/>
      <c r="AW90" s="121"/>
      <c r="AX90" s="121"/>
      <c r="AY90" s="121"/>
      <c r="AZ90" s="121"/>
      <c r="BA90" s="121"/>
      <c r="BB90" s="121"/>
      <c r="BC90" s="121"/>
      <c r="BD90" s="156"/>
      <c r="BE90" s="156"/>
      <c r="BF90" s="156" t="s">
        <v>5207</v>
      </c>
      <c r="BG90" s="156"/>
      <c r="BH90" s="156"/>
      <c r="BI90" s="156" t="s">
        <v>5207</v>
      </c>
      <c r="BJ90" s="156" t="s">
        <v>6174</v>
      </c>
      <c r="BK90" s="156"/>
      <c r="BL90" s="156"/>
      <c r="BM90" s="156"/>
      <c r="BN90" s="156" t="s">
        <v>5207</v>
      </c>
      <c r="BO90" s="156"/>
      <c r="BP90" s="156" t="s">
        <v>6293</v>
      </c>
      <c r="BQ90" s="157"/>
      <c r="BR90" s="134"/>
      <c r="BS90" s="134"/>
      <c r="BT90" s="134"/>
      <c r="BU90" s="134"/>
      <c r="BV90" s="134"/>
      <c r="BW90" s="259"/>
      <c r="BX90" s="138"/>
      <c r="BY90" s="134"/>
      <c r="BZ90" s="134"/>
      <c r="CA90" s="134"/>
      <c r="CB90" s="138"/>
      <c r="CC90" s="134"/>
      <c r="CD90" s="134"/>
      <c r="CE90" s="134"/>
      <c r="CF90" s="288"/>
      <c r="CG90" s="289"/>
      <c r="CH90" s="138"/>
      <c r="CI90" s="134"/>
      <c r="CJ90" s="134"/>
      <c r="CK90" s="134"/>
      <c r="CL90" s="138"/>
      <c r="CM90" s="134"/>
      <c r="CN90" s="134"/>
      <c r="CO90" s="134"/>
      <c r="CP90" s="288"/>
      <c r="CQ90" s="289"/>
      <c r="CR90" s="276"/>
      <c r="CS90" s="308"/>
      <c r="CT90" s="138"/>
      <c r="CU90" s="134"/>
      <c r="CV90" s="134"/>
      <c r="CW90" s="134"/>
      <c r="CX90" s="134"/>
      <c r="CY90" s="134"/>
      <c r="CZ90" s="134"/>
      <c r="DA90" s="134"/>
      <c r="DB90" s="300"/>
      <c r="DC90" s="301"/>
      <c r="DD90" s="134"/>
      <c r="DE90" s="134"/>
      <c r="DF90" s="134"/>
      <c r="DG90" s="134"/>
      <c r="DH90" s="134"/>
      <c r="DI90" s="134"/>
      <c r="DJ90" s="134"/>
      <c r="DK90" s="134"/>
      <c r="DL90" s="300"/>
      <c r="DM90" s="301"/>
      <c r="DN90" s="276"/>
      <c r="DO90" s="277"/>
      <c r="DP90" s="134"/>
      <c r="DQ90" s="134"/>
      <c r="DR90" s="134"/>
      <c r="DS90" s="134"/>
      <c r="DT90" s="138"/>
      <c r="DU90" s="134"/>
      <c r="DV90" s="134"/>
      <c r="DW90" s="134"/>
      <c r="DX90" s="301"/>
      <c r="DY90" s="301"/>
      <c r="DZ90" s="138"/>
      <c r="EA90" s="134"/>
      <c r="EB90" s="134"/>
      <c r="EC90" s="134"/>
      <c r="ED90" s="138"/>
      <c r="EE90" s="134"/>
      <c r="EF90" s="134"/>
      <c r="EG90" s="134"/>
      <c r="EH90" s="301"/>
      <c r="EI90" s="301"/>
      <c r="EJ90" s="277"/>
      <c r="EK90" s="134"/>
      <c r="EL90" s="134"/>
      <c r="EM90" s="134"/>
      <c r="EN90" s="134"/>
      <c r="EO90" s="134"/>
      <c r="EP90" s="134"/>
      <c r="EQ90" s="134"/>
      <c r="ER90" s="134"/>
      <c r="ES90" s="301"/>
      <c r="ET90" s="301"/>
      <c r="EU90" s="134"/>
      <c r="EV90" s="134"/>
      <c r="EW90" s="134"/>
      <c r="EX90" s="134"/>
      <c r="EY90" s="134"/>
      <c r="EZ90" s="134"/>
      <c r="FA90" s="134"/>
      <c r="FB90" s="134"/>
      <c r="FC90" s="135"/>
      <c r="FD90" s="135"/>
      <c r="FE90" s="134"/>
      <c r="FF90" s="134"/>
      <c r="FG90" s="134"/>
      <c r="FH90" s="134"/>
      <c r="FI90" s="134"/>
      <c r="FJ90" s="134"/>
      <c r="FK90" s="134"/>
      <c r="FL90" s="134"/>
      <c r="FM90" s="135"/>
      <c r="FN90" s="135"/>
      <c r="FO90" s="134"/>
      <c r="FP90" s="134"/>
      <c r="FQ90" s="134"/>
      <c r="FR90" s="134"/>
      <c r="FS90" s="134"/>
      <c r="FT90" s="134"/>
      <c r="FU90" s="134"/>
      <c r="FV90" s="134"/>
      <c r="FW90" s="135"/>
      <c r="FX90" s="135"/>
      <c r="FY90" s="134"/>
      <c r="FZ90" s="134"/>
      <c r="GA90" s="134"/>
      <c r="GB90" s="134"/>
      <c r="GC90" s="134"/>
      <c r="GD90" s="134"/>
      <c r="GE90" s="134"/>
      <c r="GF90" s="134"/>
      <c r="GG90" s="135"/>
      <c r="GH90" s="135"/>
      <c r="GI90" s="134"/>
      <c r="GJ90" s="134"/>
      <c r="GK90" s="134"/>
      <c r="GL90" s="134"/>
      <c r="GM90" s="134"/>
      <c r="GN90" s="134"/>
      <c r="GO90" s="134"/>
      <c r="GP90" s="134"/>
      <c r="GQ90" s="135"/>
      <c r="GR90" s="135"/>
      <c r="GS90" s="134"/>
      <c r="GT90" s="134"/>
      <c r="GU90" s="134"/>
      <c r="GV90" s="134"/>
      <c r="GW90" s="134"/>
      <c r="GX90" s="134"/>
      <c r="GY90" s="134"/>
      <c r="GZ90" s="134"/>
      <c r="HA90" s="135"/>
      <c r="HB90" s="135"/>
      <c r="HC90" s="134"/>
      <c r="HD90" s="134"/>
      <c r="HE90" s="134"/>
      <c r="HF90" s="134"/>
      <c r="HG90" s="134"/>
      <c r="HH90" s="134"/>
      <c r="HI90" s="134"/>
      <c r="HJ90" s="134"/>
      <c r="HK90" s="135"/>
      <c r="HL90" s="135"/>
      <c r="HM90" s="134"/>
      <c r="HN90" s="134"/>
      <c r="HO90" s="134"/>
      <c r="HP90" s="134"/>
      <c r="HQ90" s="134"/>
      <c r="HR90" s="134"/>
      <c r="HS90" s="134"/>
      <c r="HT90" s="134"/>
      <c r="HU90" s="135"/>
      <c r="HV90" s="135"/>
      <c r="HW90" s="134"/>
      <c r="HX90" s="134"/>
      <c r="HY90" s="134"/>
      <c r="HZ90" s="134"/>
      <c r="IA90" s="134"/>
      <c r="IB90" s="134"/>
      <c r="IC90" s="134"/>
      <c r="ID90" s="134"/>
      <c r="IE90" s="135"/>
      <c r="IF90" s="135"/>
      <c r="IG90" s="134"/>
      <c r="IH90" s="134"/>
      <c r="II90" s="134"/>
      <c r="IJ90" s="134"/>
      <c r="IK90" s="134"/>
      <c r="IL90" s="134"/>
      <c r="IM90" s="134"/>
      <c r="IN90" s="134"/>
      <c r="IO90" s="135"/>
      <c r="IP90" s="135"/>
      <c r="IQ90" s="134"/>
      <c r="IR90" s="134"/>
      <c r="IS90" s="134"/>
      <c r="IT90" s="134"/>
      <c r="IU90" s="134"/>
      <c r="IV90" s="134"/>
      <c r="IW90" s="134"/>
      <c r="IX90" s="134"/>
      <c r="IY90" s="135"/>
      <c r="IZ90" s="135"/>
    </row>
    <row r="91" spans="1:260" customFormat="1" ht="17" customHeight="1">
      <c r="A91" s="79" t="s">
        <v>314</v>
      </c>
      <c r="B91" s="418">
        <v>223</v>
      </c>
      <c r="C91" s="117"/>
      <c r="D91" s="117">
        <v>90</v>
      </c>
      <c r="E91" s="123" t="s">
        <v>2028</v>
      </c>
      <c r="F91" s="124" t="s">
        <v>2261</v>
      </c>
      <c r="G91" s="125">
        <v>2014</v>
      </c>
      <c r="H91" s="79">
        <v>24686914</v>
      </c>
      <c r="I91" s="79">
        <v>1</v>
      </c>
      <c r="J91" s="126"/>
      <c r="K91" s="127"/>
      <c r="L91" s="79">
        <v>1</v>
      </c>
      <c r="M91" s="79"/>
      <c r="N91" s="79">
        <v>1</v>
      </c>
      <c r="O91" s="128">
        <v>1</v>
      </c>
      <c r="P91" s="79" t="s">
        <v>816</v>
      </c>
      <c r="Q91" s="79" t="s">
        <v>1189</v>
      </c>
      <c r="R91" s="79" t="s">
        <v>25</v>
      </c>
      <c r="S91" s="79">
        <v>1</v>
      </c>
      <c r="T91" s="79"/>
      <c r="U91" s="79"/>
      <c r="V91" s="79"/>
      <c r="W91" s="79" t="s">
        <v>817</v>
      </c>
      <c r="X91" s="79"/>
      <c r="Y91" s="79"/>
      <c r="Z91" s="79"/>
      <c r="AA91" s="79"/>
      <c r="AB91" s="79"/>
      <c r="AC91" s="506" t="s">
        <v>6296</v>
      </c>
      <c r="AD91" s="573">
        <v>1</v>
      </c>
      <c r="AE91" s="573">
        <v>1</v>
      </c>
      <c r="AF91" s="154"/>
      <c r="AG91" s="155"/>
      <c r="AH91" s="121">
        <v>2</v>
      </c>
      <c r="AI91" s="484"/>
      <c r="AJ91" s="202"/>
      <c r="AK91" s="192"/>
      <c r="AL91" s="203"/>
      <c r="AM91" s="121"/>
      <c r="AN91" s="121"/>
      <c r="AO91" s="121"/>
      <c r="AP91" s="121"/>
      <c r="AQ91" s="121"/>
      <c r="AR91" s="121"/>
      <c r="AS91" s="121"/>
      <c r="AT91" s="121"/>
      <c r="AU91" s="121"/>
      <c r="AV91" s="121"/>
      <c r="AW91" s="121"/>
      <c r="AX91" s="121"/>
      <c r="AY91" s="121"/>
      <c r="AZ91" s="121"/>
      <c r="BA91" s="121"/>
      <c r="BB91" s="121"/>
      <c r="BC91" s="121"/>
      <c r="BD91" s="156"/>
      <c r="BE91" s="156"/>
      <c r="BF91" s="156" t="s">
        <v>5207</v>
      </c>
      <c r="BG91" s="156"/>
      <c r="BH91" s="156"/>
      <c r="BI91" s="156" t="s">
        <v>6294</v>
      </c>
      <c r="BJ91" s="156" t="s">
        <v>6174</v>
      </c>
      <c r="BK91" s="156"/>
      <c r="BL91" s="156"/>
      <c r="BM91" s="156"/>
      <c r="BN91" s="156" t="s">
        <v>5207</v>
      </c>
      <c r="BO91" s="156" t="s">
        <v>6295</v>
      </c>
      <c r="BP91" s="156">
        <v>1</v>
      </c>
      <c r="BQ91" s="157"/>
      <c r="BR91" s="134"/>
      <c r="BS91" s="134"/>
      <c r="BT91" s="134"/>
      <c r="BU91" s="134"/>
      <c r="BV91" s="134"/>
      <c r="BW91" s="259"/>
      <c r="BX91" s="138"/>
      <c r="BY91" s="134"/>
      <c r="BZ91" s="134"/>
      <c r="CA91" s="134"/>
      <c r="CB91" s="138"/>
      <c r="CC91" s="134"/>
      <c r="CD91" s="134"/>
      <c r="CE91" s="134"/>
      <c r="CF91" s="288"/>
      <c r="CG91" s="289"/>
      <c r="CH91" s="138"/>
      <c r="CI91" s="134"/>
      <c r="CJ91" s="134"/>
      <c r="CK91" s="134"/>
      <c r="CL91" s="138"/>
      <c r="CM91" s="134"/>
      <c r="CN91" s="134"/>
      <c r="CO91" s="134"/>
      <c r="CP91" s="288"/>
      <c r="CQ91" s="289"/>
      <c r="CR91" s="276"/>
      <c r="CS91" s="308"/>
      <c r="CT91" s="138"/>
      <c r="CU91" s="134"/>
      <c r="CV91" s="134"/>
      <c r="CW91" s="134"/>
      <c r="CX91" s="134"/>
      <c r="CY91" s="134"/>
      <c r="CZ91" s="134"/>
      <c r="DA91" s="134"/>
      <c r="DB91" s="300"/>
      <c r="DC91" s="301"/>
      <c r="DD91" s="134"/>
      <c r="DE91" s="134"/>
      <c r="DF91" s="134"/>
      <c r="DG91" s="134"/>
      <c r="DH91" s="134"/>
      <c r="DI91" s="134"/>
      <c r="DJ91" s="134"/>
      <c r="DK91" s="134"/>
      <c r="DL91" s="300"/>
      <c r="DM91" s="301"/>
      <c r="DN91" s="276"/>
      <c r="DO91" s="277"/>
      <c r="DP91" s="134"/>
      <c r="DQ91" s="134"/>
      <c r="DR91" s="134"/>
      <c r="DS91" s="134"/>
      <c r="DT91" s="138"/>
      <c r="DU91" s="134"/>
      <c r="DV91" s="134"/>
      <c r="DW91" s="134"/>
      <c r="DX91" s="301"/>
      <c r="DY91" s="301"/>
      <c r="DZ91" s="138"/>
      <c r="EA91" s="134"/>
      <c r="EB91" s="134"/>
      <c r="EC91" s="134"/>
      <c r="ED91" s="138"/>
      <c r="EE91" s="134"/>
      <c r="EF91" s="134"/>
      <c r="EG91" s="134"/>
      <c r="EH91" s="301"/>
      <c r="EI91" s="301"/>
      <c r="EJ91" s="277"/>
      <c r="EK91" s="134"/>
      <c r="EL91" s="134"/>
      <c r="EM91" s="134"/>
      <c r="EN91" s="134"/>
      <c r="EO91" s="134"/>
      <c r="EP91" s="134"/>
      <c r="EQ91" s="134"/>
      <c r="ER91" s="134"/>
      <c r="ES91" s="301"/>
      <c r="ET91" s="301"/>
      <c r="EU91" s="134"/>
      <c r="EV91" s="134"/>
      <c r="EW91" s="134"/>
      <c r="EX91" s="134"/>
      <c r="EY91" s="134"/>
      <c r="EZ91" s="134"/>
      <c r="FA91" s="134"/>
      <c r="FB91" s="134"/>
      <c r="FC91" s="135"/>
      <c r="FD91" s="135"/>
      <c r="FE91" s="134"/>
      <c r="FF91" s="134"/>
      <c r="FG91" s="134"/>
      <c r="FH91" s="134"/>
      <c r="FI91" s="134"/>
      <c r="FJ91" s="134"/>
      <c r="FK91" s="134"/>
      <c r="FL91" s="134"/>
      <c r="FM91" s="135"/>
      <c r="FN91" s="135"/>
      <c r="FO91" s="134"/>
      <c r="FP91" s="134"/>
      <c r="FQ91" s="134"/>
      <c r="FR91" s="134"/>
      <c r="FS91" s="134"/>
      <c r="FT91" s="134"/>
      <c r="FU91" s="134"/>
      <c r="FV91" s="134"/>
      <c r="FW91" s="135"/>
      <c r="FX91" s="135"/>
      <c r="FY91" s="134"/>
      <c r="FZ91" s="134"/>
      <c r="GA91" s="134"/>
      <c r="GB91" s="134"/>
      <c r="GC91" s="134"/>
      <c r="GD91" s="134"/>
      <c r="GE91" s="134"/>
      <c r="GF91" s="134"/>
      <c r="GG91" s="135"/>
      <c r="GH91" s="135"/>
      <c r="GI91" s="134"/>
      <c r="GJ91" s="134"/>
      <c r="GK91" s="134"/>
      <c r="GL91" s="134"/>
      <c r="GM91" s="134"/>
      <c r="GN91" s="134"/>
      <c r="GO91" s="134"/>
      <c r="GP91" s="134"/>
      <c r="GQ91" s="135"/>
      <c r="GR91" s="135"/>
      <c r="GS91" s="134"/>
      <c r="GT91" s="134"/>
      <c r="GU91" s="134"/>
      <c r="GV91" s="134"/>
      <c r="GW91" s="134"/>
      <c r="GX91" s="134"/>
      <c r="GY91" s="134"/>
      <c r="GZ91" s="134"/>
      <c r="HA91" s="135"/>
      <c r="HB91" s="135"/>
      <c r="HC91" s="134"/>
      <c r="HD91" s="134"/>
      <c r="HE91" s="134"/>
      <c r="HF91" s="134"/>
      <c r="HG91" s="134"/>
      <c r="HH91" s="134"/>
      <c r="HI91" s="134"/>
      <c r="HJ91" s="134"/>
      <c r="HK91" s="135"/>
      <c r="HL91" s="135"/>
      <c r="HM91" s="134"/>
      <c r="HN91" s="134"/>
      <c r="HO91" s="134"/>
      <c r="HP91" s="134"/>
      <c r="HQ91" s="134"/>
      <c r="HR91" s="134"/>
      <c r="HS91" s="134"/>
      <c r="HT91" s="134"/>
      <c r="HU91" s="135"/>
      <c r="HV91" s="135"/>
      <c r="HW91" s="134"/>
      <c r="HX91" s="134"/>
      <c r="HY91" s="134"/>
      <c r="HZ91" s="134"/>
      <c r="IA91" s="134"/>
      <c r="IB91" s="134"/>
      <c r="IC91" s="134"/>
      <c r="ID91" s="134"/>
      <c r="IE91" s="135"/>
      <c r="IF91" s="135"/>
      <c r="IG91" s="134"/>
      <c r="IH91" s="134"/>
      <c r="II91" s="134"/>
      <c r="IJ91" s="134"/>
      <c r="IK91" s="134"/>
      <c r="IL91" s="134"/>
      <c r="IM91" s="134"/>
      <c r="IN91" s="134"/>
      <c r="IO91" s="135"/>
      <c r="IP91" s="135"/>
      <c r="IQ91" s="134"/>
      <c r="IR91" s="134"/>
      <c r="IS91" s="134"/>
      <c r="IT91" s="134"/>
      <c r="IU91" s="134"/>
      <c r="IV91" s="134"/>
      <c r="IW91" s="134"/>
      <c r="IX91" s="134"/>
      <c r="IY91" s="135"/>
      <c r="IZ91" s="135"/>
    </row>
    <row r="92" spans="1:260" s="119" customFormat="1" ht="17" customHeight="1">
      <c r="A92" s="79" t="s">
        <v>322</v>
      </c>
      <c r="B92" s="418">
        <v>228</v>
      </c>
      <c r="C92" s="117"/>
      <c r="D92" s="117">
        <v>91</v>
      </c>
      <c r="E92" s="123" t="s">
        <v>2031</v>
      </c>
      <c r="F92" s="124" t="s">
        <v>2265</v>
      </c>
      <c r="G92" s="125">
        <v>2015</v>
      </c>
      <c r="H92" s="79">
        <v>26481979</v>
      </c>
      <c r="I92" s="79">
        <v>1</v>
      </c>
      <c r="J92" s="126"/>
      <c r="K92" s="127"/>
      <c r="L92" s="79">
        <v>1</v>
      </c>
      <c r="M92" s="79"/>
      <c r="N92" s="79">
        <v>1</v>
      </c>
      <c r="O92" s="128">
        <v>1</v>
      </c>
      <c r="P92" s="79" t="s">
        <v>21</v>
      </c>
      <c r="Q92" s="79" t="s">
        <v>1163</v>
      </c>
      <c r="R92" s="79" t="s">
        <v>819</v>
      </c>
      <c r="S92" s="79">
        <v>1</v>
      </c>
      <c r="T92" s="79"/>
      <c r="U92" s="79"/>
      <c r="V92" s="79"/>
      <c r="W92" s="79" t="s">
        <v>837</v>
      </c>
      <c r="X92" s="79" t="s">
        <v>836</v>
      </c>
      <c r="Y92" s="79"/>
      <c r="Z92" s="79"/>
      <c r="AA92" s="79"/>
      <c r="AB92" s="79"/>
      <c r="AC92" s="506" t="s">
        <v>6297</v>
      </c>
      <c r="AD92" s="573">
        <v>1</v>
      </c>
      <c r="AE92" s="573">
        <v>0</v>
      </c>
      <c r="AF92" s="154"/>
      <c r="AG92" s="155"/>
      <c r="AH92" s="121">
        <v>2</v>
      </c>
      <c r="AI92" s="484"/>
      <c r="AJ92" s="202"/>
      <c r="AK92" s="192"/>
      <c r="AL92" s="203"/>
      <c r="AM92" s="121"/>
      <c r="AN92" s="121"/>
      <c r="AO92" s="121"/>
      <c r="AP92" s="121"/>
      <c r="AQ92" s="121"/>
      <c r="AR92" s="121"/>
      <c r="AS92" s="121"/>
      <c r="AT92" s="121"/>
      <c r="AU92" s="121"/>
      <c r="AV92" s="121"/>
      <c r="AW92" s="121"/>
      <c r="AX92" s="121"/>
      <c r="AY92" s="121"/>
      <c r="AZ92" s="121"/>
      <c r="BA92" s="121"/>
      <c r="BB92" s="121"/>
      <c r="BC92" s="121"/>
      <c r="BD92" s="156"/>
      <c r="BE92" s="156"/>
      <c r="BF92" s="156" t="s">
        <v>5207</v>
      </c>
      <c r="BG92" s="156" t="s">
        <v>6175</v>
      </c>
      <c r="BH92" s="156"/>
      <c r="BI92" s="156" t="s">
        <v>5207</v>
      </c>
      <c r="BJ92" s="156"/>
      <c r="BK92" s="156" t="s">
        <v>6240</v>
      </c>
      <c r="BL92" s="156"/>
      <c r="BM92" s="156"/>
      <c r="BN92" s="156"/>
      <c r="BO92" s="156"/>
      <c r="BP92" s="156"/>
      <c r="BQ92" s="157"/>
      <c r="BR92" s="134"/>
      <c r="BS92" s="134"/>
      <c r="BT92" s="134"/>
      <c r="BU92" s="134"/>
      <c r="BV92" s="134"/>
      <c r="BW92" s="259"/>
      <c r="BX92" s="138"/>
      <c r="BY92" s="134"/>
      <c r="BZ92" s="134"/>
      <c r="CA92" s="134"/>
      <c r="CB92" s="138"/>
      <c r="CC92" s="134"/>
      <c r="CD92" s="134"/>
      <c r="CE92" s="134"/>
      <c r="CF92" s="288"/>
      <c r="CG92" s="289"/>
      <c r="CH92" s="138"/>
      <c r="CI92" s="134"/>
      <c r="CJ92" s="134"/>
      <c r="CK92" s="134"/>
      <c r="CL92" s="138"/>
      <c r="CM92" s="134"/>
      <c r="CN92" s="134"/>
      <c r="CO92" s="134"/>
      <c r="CP92" s="288"/>
      <c r="CQ92" s="289"/>
      <c r="CR92" s="276"/>
      <c r="CS92" s="308"/>
      <c r="CT92" s="138"/>
      <c r="CU92" s="134"/>
      <c r="CV92" s="134"/>
      <c r="CW92" s="134"/>
      <c r="CX92" s="134"/>
      <c r="CY92" s="134"/>
      <c r="CZ92" s="134"/>
      <c r="DA92" s="134"/>
      <c r="DB92" s="300"/>
      <c r="DC92" s="301"/>
      <c r="DD92" s="134"/>
      <c r="DE92" s="134"/>
      <c r="DF92" s="134"/>
      <c r="DG92" s="134"/>
      <c r="DH92" s="134"/>
      <c r="DI92" s="134"/>
      <c r="DJ92" s="134"/>
      <c r="DK92" s="134"/>
      <c r="DL92" s="300"/>
      <c r="DM92" s="301"/>
      <c r="DN92" s="276"/>
      <c r="DO92" s="277"/>
      <c r="DP92" s="134"/>
      <c r="DQ92" s="134"/>
      <c r="DR92" s="134"/>
      <c r="DS92" s="134"/>
      <c r="DT92" s="138"/>
      <c r="DU92" s="134"/>
      <c r="DV92" s="134"/>
      <c r="DW92" s="134"/>
      <c r="DX92" s="301"/>
      <c r="DY92" s="301"/>
      <c r="DZ92" s="138"/>
      <c r="EA92" s="134"/>
      <c r="EB92" s="134"/>
      <c r="EC92" s="134"/>
      <c r="ED92" s="138"/>
      <c r="EE92" s="134"/>
      <c r="EF92" s="134"/>
      <c r="EG92" s="134"/>
      <c r="EH92" s="301"/>
      <c r="EI92" s="301"/>
      <c r="EJ92" s="277"/>
      <c r="EK92" s="134"/>
      <c r="EL92" s="134"/>
      <c r="EM92" s="134"/>
      <c r="EN92" s="134"/>
      <c r="EO92" s="134"/>
      <c r="EP92" s="134"/>
      <c r="EQ92" s="134"/>
      <c r="ER92" s="134"/>
      <c r="ES92" s="301"/>
      <c r="ET92" s="301"/>
      <c r="EU92" s="134"/>
      <c r="EV92" s="134"/>
      <c r="EW92" s="134"/>
      <c r="EX92" s="134"/>
      <c r="EY92" s="134"/>
      <c r="EZ92" s="134"/>
      <c r="FA92" s="134"/>
      <c r="FB92" s="134"/>
      <c r="FC92" s="135"/>
      <c r="FD92" s="135"/>
      <c r="FE92" s="134"/>
      <c r="FF92" s="134"/>
      <c r="FG92" s="134"/>
      <c r="FH92" s="134"/>
      <c r="FI92" s="134"/>
      <c r="FJ92" s="134"/>
      <c r="FK92" s="134"/>
      <c r="FL92" s="134"/>
      <c r="FM92" s="135"/>
      <c r="FN92" s="135"/>
      <c r="FO92" s="134"/>
      <c r="FP92" s="134"/>
      <c r="FQ92" s="134"/>
      <c r="FR92" s="134"/>
      <c r="FS92" s="134"/>
      <c r="FT92" s="134"/>
      <c r="FU92" s="134"/>
      <c r="FV92" s="134"/>
      <c r="FW92" s="135"/>
      <c r="FX92" s="135"/>
      <c r="FY92" s="134"/>
      <c r="FZ92" s="134"/>
      <c r="GA92" s="134"/>
      <c r="GB92" s="134"/>
      <c r="GC92" s="134"/>
      <c r="GD92" s="134"/>
      <c r="GE92" s="134"/>
      <c r="GF92" s="134"/>
      <c r="GG92" s="135"/>
      <c r="GH92" s="135"/>
      <c r="GI92" s="134"/>
      <c r="GJ92" s="134"/>
      <c r="GK92" s="134"/>
      <c r="GL92" s="134"/>
      <c r="GM92" s="134"/>
      <c r="GN92" s="134"/>
      <c r="GO92" s="134"/>
      <c r="GP92" s="134"/>
      <c r="GQ92" s="135"/>
      <c r="GR92" s="135"/>
      <c r="GS92" s="134"/>
      <c r="GT92" s="134"/>
      <c r="GU92" s="134"/>
      <c r="GV92" s="134"/>
      <c r="GW92" s="134"/>
      <c r="GX92" s="134"/>
      <c r="GY92" s="134"/>
      <c r="GZ92" s="134"/>
      <c r="HA92" s="135"/>
      <c r="HB92" s="135"/>
      <c r="HC92" s="134"/>
      <c r="HD92" s="134"/>
      <c r="HE92" s="134"/>
      <c r="HF92" s="134"/>
      <c r="HG92" s="134"/>
      <c r="HH92" s="134"/>
      <c r="HI92" s="134"/>
      <c r="HJ92" s="134"/>
      <c r="HK92" s="135"/>
      <c r="HL92" s="135"/>
      <c r="HM92" s="134"/>
      <c r="HN92" s="134"/>
      <c r="HO92" s="134"/>
      <c r="HP92" s="134"/>
      <c r="HQ92" s="134"/>
      <c r="HR92" s="134"/>
      <c r="HS92" s="134"/>
      <c r="HT92" s="134"/>
      <c r="HU92" s="135"/>
      <c r="HV92" s="135"/>
      <c r="HW92" s="134"/>
      <c r="HX92" s="134"/>
      <c r="HY92" s="134"/>
      <c r="HZ92" s="134"/>
      <c r="IA92" s="134"/>
      <c r="IB92" s="134"/>
      <c r="IC92" s="134"/>
      <c r="ID92" s="134"/>
      <c r="IE92" s="135"/>
      <c r="IF92" s="135"/>
      <c r="IG92" s="134"/>
      <c r="IH92" s="134"/>
      <c r="II92" s="134"/>
      <c r="IJ92" s="134"/>
      <c r="IK92" s="134"/>
      <c r="IL92" s="134"/>
      <c r="IM92" s="134"/>
      <c r="IN92" s="134"/>
      <c r="IO92" s="135"/>
      <c r="IP92" s="135"/>
      <c r="IQ92" s="134"/>
      <c r="IR92" s="134"/>
      <c r="IS92" s="134"/>
      <c r="IT92" s="134"/>
      <c r="IU92" s="134"/>
      <c r="IV92" s="134"/>
      <c r="IW92" s="134"/>
      <c r="IX92" s="134"/>
      <c r="IY92" s="135"/>
      <c r="IZ92" s="135"/>
    </row>
    <row r="93" spans="1:260" s="119" customFormat="1" ht="17" customHeight="1">
      <c r="A93" s="79" t="s">
        <v>320</v>
      </c>
      <c r="B93" s="418">
        <v>229</v>
      </c>
      <c r="C93" s="117"/>
      <c r="D93" s="117">
        <v>92</v>
      </c>
      <c r="E93" s="123" t="s">
        <v>2031</v>
      </c>
      <c r="F93" s="124" t="s">
        <v>2266</v>
      </c>
      <c r="G93" s="125">
        <v>2013</v>
      </c>
      <c r="H93" s="79">
        <v>24157540</v>
      </c>
      <c r="I93" s="79">
        <v>1</v>
      </c>
      <c r="J93" s="126"/>
      <c r="K93" s="127"/>
      <c r="L93" s="79">
        <v>1</v>
      </c>
      <c r="M93" s="79"/>
      <c r="N93" s="79">
        <v>1</v>
      </c>
      <c r="O93" s="128">
        <v>1</v>
      </c>
      <c r="P93" s="79" t="s">
        <v>832</v>
      </c>
      <c r="Q93" s="79" t="s">
        <v>1192</v>
      </c>
      <c r="R93" s="79" t="s">
        <v>25</v>
      </c>
      <c r="S93" s="79">
        <v>1</v>
      </c>
      <c r="T93" s="79"/>
      <c r="U93" s="79"/>
      <c r="V93" s="79"/>
      <c r="W93" s="79" t="s">
        <v>778</v>
      </c>
      <c r="X93" s="79" t="s">
        <v>24</v>
      </c>
      <c r="Y93" s="79" t="s">
        <v>24</v>
      </c>
      <c r="Z93" s="79" t="s">
        <v>833</v>
      </c>
      <c r="AA93" s="79"/>
      <c r="AB93" s="79"/>
      <c r="AC93" s="506" t="s">
        <v>6298</v>
      </c>
      <c r="AD93" s="573">
        <v>1</v>
      </c>
      <c r="AE93" s="573">
        <v>0</v>
      </c>
      <c r="AF93" s="154"/>
      <c r="AG93" s="155"/>
      <c r="AH93" s="121">
        <v>2</v>
      </c>
      <c r="AI93" s="484"/>
      <c r="AJ93" s="202"/>
      <c r="AK93" s="192"/>
      <c r="AL93" s="203"/>
      <c r="AM93" s="121"/>
      <c r="AN93" s="121"/>
      <c r="AO93" s="121"/>
      <c r="AP93" s="121"/>
      <c r="AQ93" s="121"/>
      <c r="AR93" s="121"/>
      <c r="AS93" s="121"/>
      <c r="AT93" s="121"/>
      <c r="AU93" s="121"/>
      <c r="AV93" s="121"/>
      <c r="AW93" s="121"/>
      <c r="AX93" s="121"/>
      <c r="AY93" s="121"/>
      <c r="AZ93" s="121"/>
      <c r="BA93" s="121"/>
      <c r="BB93" s="121"/>
      <c r="BC93" s="121"/>
      <c r="BD93" s="156"/>
      <c r="BE93" s="156"/>
      <c r="BF93" s="156"/>
      <c r="BG93" s="156" t="s">
        <v>6175</v>
      </c>
      <c r="BH93" s="156"/>
      <c r="BI93" s="156" t="s">
        <v>5207</v>
      </c>
      <c r="BJ93" s="156"/>
      <c r="BK93" s="156" t="s">
        <v>6243</v>
      </c>
      <c r="BL93" s="156"/>
      <c r="BM93" s="156"/>
      <c r="BN93" s="156"/>
      <c r="BO93" s="156"/>
      <c r="BP93" s="156"/>
      <c r="BQ93" s="157"/>
      <c r="BR93" s="134"/>
      <c r="BS93" s="134"/>
      <c r="BT93" s="134"/>
      <c r="BU93" s="134"/>
      <c r="BV93" s="134"/>
      <c r="BW93" s="259"/>
      <c r="BX93" s="138"/>
      <c r="BY93" s="134"/>
      <c r="BZ93" s="134"/>
      <c r="CA93" s="134"/>
      <c r="CB93" s="138"/>
      <c r="CC93" s="134"/>
      <c r="CD93" s="134"/>
      <c r="CE93" s="134"/>
      <c r="CF93" s="288"/>
      <c r="CG93" s="289"/>
      <c r="CH93" s="138"/>
      <c r="CI93" s="134"/>
      <c r="CJ93" s="134"/>
      <c r="CK93" s="134"/>
      <c r="CL93" s="138"/>
      <c r="CM93" s="134"/>
      <c r="CN93" s="134"/>
      <c r="CO93" s="134"/>
      <c r="CP93" s="288"/>
      <c r="CQ93" s="289"/>
      <c r="CR93" s="276"/>
      <c r="CS93" s="308"/>
      <c r="CT93" s="138"/>
      <c r="CU93" s="134"/>
      <c r="CV93" s="134"/>
      <c r="CW93" s="134"/>
      <c r="CX93" s="134"/>
      <c r="CY93" s="134"/>
      <c r="CZ93" s="134"/>
      <c r="DA93" s="134"/>
      <c r="DB93" s="300"/>
      <c r="DC93" s="301"/>
      <c r="DD93" s="134"/>
      <c r="DE93" s="134"/>
      <c r="DF93" s="134"/>
      <c r="DG93" s="134"/>
      <c r="DH93" s="134"/>
      <c r="DI93" s="134"/>
      <c r="DJ93" s="134"/>
      <c r="DK93" s="134"/>
      <c r="DL93" s="300"/>
      <c r="DM93" s="301"/>
      <c r="DN93" s="276"/>
      <c r="DO93" s="277"/>
      <c r="DP93" s="134"/>
      <c r="DQ93" s="134"/>
      <c r="DR93" s="134"/>
      <c r="DS93" s="134"/>
      <c r="DT93" s="138"/>
      <c r="DU93" s="134"/>
      <c r="DV93" s="134"/>
      <c r="DW93" s="134"/>
      <c r="DX93" s="301"/>
      <c r="DY93" s="301"/>
      <c r="DZ93" s="138"/>
      <c r="EA93" s="134"/>
      <c r="EB93" s="134"/>
      <c r="EC93" s="134"/>
      <c r="ED93" s="138"/>
      <c r="EE93" s="134"/>
      <c r="EF93" s="134"/>
      <c r="EG93" s="134"/>
      <c r="EH93" s="301"/>
      <c r="EI93" s="301"/>
      <c r="EJ93" s="277"/>
      <c r="EK93" s="134"/>
      <c r="EL93" s="134"/>
      <c r="EM93" s="134"/>
      <c r="EN93" s="134"/>
      <c r="EO93" s="134"/>
      <c r="EP93" s="134"/>
      <c r="EQ93" s="134"/>
      <c r="ER93" s="134"/>
      <c r="ES93" s="301"/>
      <c r="ET93" s="301"/>
      <c r="EU93" s="134"/>
      <c r="EV93" s="134"/>
      <c r="EW93" s="134"/>
      <c r="EX93" s="134"/>
      <c r="EY93" s="134"/>
      <c r="EZ93" s="134"/>
      <c r="FA93" s="134"/>
      <c r="FB93" s="134"/>
      <c r="FC93" s="135"/>
      <c r="FD93" s="135"/>
      <c r="FE93" s="134"/>
      <c r="FF93" s="134"/>
      <c r="FG93" s="134"/>
      <c r="FH93" s="134"/>
      <c r="FI93" s="134"/>
      <c r="FJ93" s="134"/>
      <c r="FK93" s="134"/>
      <c r="FL93" s="134"/>
      <c r="FM93" s="135"/>
      <c r="FN93" s="135"/>
      <c r="FO93" s="134"/>
      <c r="FP93" s="134"/>
      <c r="FQ93" s="134"/>
      <c r="FR93" s="134"/>
      <c r="FS93" s="134"/>
      <c r="FT93" s="134"/>
      <c r="FU93" s="134"/>
      <c r="FV93" s="134"/>
      <c r="FW93" s="135"/>
      <c r="FX93" s="135"/>
      <c r="FY93" s="134"/>
      <c r="FZ93" s="134"/>
      <c r="GA93" s="134"/>
      <c r="GB93" s="134"/>
      <c r="GC93" s="134"/>
      <c r="GD93" s="134"/>
      <c r="GE93" s="134"/>
      <c r="GF93" s="134"/>
      <c r="GG93" s="135"/>
      <c r="GH93" s="135"/>
      <c r="GI93" s="134"/>
      <c r="GJ93" s="134"/>
      <c r="GK93" s="134"/>
      <c r="GL93" s="134"/>
      <c r="GM93" s="134"/>
      <c r="GN93" s="134"/>
      <c r="GO93" s="134"/>
      <c r="GP93" s="134"/>
      <c r="GQ93" s="135"/>
      <c r="GR93" s="135"/>
      <c r="GS93" s="134"/>
      <c r="GT93" s="134"/>
      <c r="GU93" s="134"/>
      <c r="GV93" s="134"/>
      <c r="GW93" s="134"/>
      <c r="GX93" s="134"/>
      <c r="GY93" s="134"/>
      <c r="GZ93" s="134"/>
      <c r="HA93" s="135"/>
      <c r="HB93" s="135"/>
      <c r="HC93" s="134"/>
      <c r="HD93" s="134"/>
      <c r="HE93" s="134"/>
      <c r="HF93" s="134"/>
      <c r="HG93" s="134"/>
      <c r="HH93" s="134"/>
      <c r="HI93" s="134"/>
      <c r="HJ93" s="134"/>
      <c r="HK93" s="135"/>
      <c r="HL93" s="135"/>
      <c r="HM93" s="134"/>
      <c r="HN93" s="134"/>
      <c r="HO93" s="134"/>
      <c r="HP93" s="134"/>
      <c r="HQ93" s="134"/>
      <c r="HR93" s="134"/>
      <c r="HS93" s="134"/>
      <c r="HT93" s="134"/>
      <c r="HU93" s="135"/>
      <c r="HV93" s="135"/>
      <c r="HW93" s="134"/>
      <c r="HX93" s="134"/>
      <c r="HY93" s="134"/>
      <c r="HZ93" s="134"/>
      <c r="IA93" s="134"/>
      <c r="IB93" s="134"/>
      <c r="IC93" s="134"/>
      <c r="ID93" s="134"/>
      <c r="IE93" s="135"/>
      <c r="IF93" s="135"/>
      <c r="IG93" s="134"/>
      <c r="IH93" s="134"/>
      <c r="II93" s="134"/>
      <c r="IJ93" s="134"/>
      <c r="IK93" s="134"/>
      <c r="IL93" s="134"/>
      <c r="IM93" s="134"/>
      <c r="IN93" s="134"/>
      <c r="IO93" s="135"/>
      <c r="IP93" s="135"/>
      <c r="IQ93" s="134"/>
      <c r="IR93" s="134"/>
      <c r="IS93" s="134"/>
      <c r="IT93" s="134"/>
      <c r="IU93" s="134"/>
      <c r="IV93" s="134"/>
      <c r="IW93" s="134"/>
      <c r="IX93" s="134"/>
      <c r="IY93" s="135"/>
      <c r="IZ93" s="135"/>
    </row>
    <row r="94" spans="1:260" s="119" customFormat="1" ht="17" customHeight="1">
      <c r="A94" s="79" t="s">
        <v>321</v>
      </c>
      <c r="B94" s="117">
        <v>230</v>
      </c>
      <c r="C94" s="117"/>
      <c r="D94" s="117">
        <v>93</v>
      </c>
      <c r="E94" s="123" t="s">
        <v>2031</v>
      </c>
      <c r="F94" s="124" t="s">
        <v>2267</v>
      </c>
      <c r="G94" s="125">
        <v>2012</v>
      </c>
      <c r="H94" s="79">
        <v>22595028</v>
      </c>
      <c r="I94" s="79">
        <v>1</v>
      </c>
      <c r="J94" s="126"/>
      <c r="K94" s="127"/>
      <c r="L94" s="79">
        <v>1</v>
      </c>
      <c r="M94" s="79"/>
      <c r="N94" s="79">
        <v>1</v>
      </c>
      <c r="O94" s="128">
        <v>1</v>
      </c>
      <c r="P94" s="79" t="s">
        <v>834</v>
      </c>
      <c r="Q94" s="79" t="s">
        <v>1192</v>
      </c>
      <c r="R94" s="79" t="s">
        <v>835</v>
      </c>
      <c r="S94" s="79">
        <v>1</v>
      </c>
      <c r="T94" s="79"/>
      <c r="U94" s="79"/>
      <c r="V94" s="79"/>
      <c r="W94" s="79" t="s">
        <v>778</v>
      </c>
      <c r="X94" s="79"/>
      <c r="Y94" s="79"/>
      <c r="Z94" s="79"/>
      <c r="AA94" s="79"/>
      <c r="AB94" s="79"/>
      <c r="AC94" s="506" t="s">
        <v>6296</v>
      </c>
      <c r="AD94" s="573">
        <v>1</v>
      </c>
      <c r="AE94" s="573">
        <v>0</v>
      </c>
      <c r="AF94" s="154"/>
      <c r="AG94" s="155"/>
      <c r="AH94" s="121">
        <v>2</v>
      </c>
      <c r="AI94" s="484"/>
      <c r="AJ94" s="202"/>
      <c r="AK94" s="192"/>
      <c r="AL94" s="203"/>
      <c r="AM94" s="121"/>
      <c r="AN94" s="121"/>
      <c r="AO94" s="121"/>
      <c r="AP94" s="121"/>
      <c r="AQ94" s="121"/>
      <c r="AR94" s="121"/>
      <c r="AS94" s="121"/>
      <c r="AT94" s="121"/>
      <c r="AU94" s="121"/>
      <c r="AV94" s="121"/>
      <c r="AW94" s="121"/>
      <c r="AX94" s="121"/>
      <c r="AY94" s="121"/>
      <c r="AZ94" s="121"/>
      <c r="BA94" s="121"/>
      <c r="BB94" s="121"/>
      <c r="BC94" s="121"/>
      <c r="BD94" s="156"/>
      <c r="BE94" s="156"/>
      <c r="BF94" s="156"/>
      <c r="BG94" s="156" t="s">
        <v>6175</v>
      </c>
      <c r="BH94" s="156"/>
      <c r="BI94" s="156" t="s">
        <v>5207</v>
      </c>
      <c r="BJ94" s="156"/>
      <c r="BK94" s="156" t="s">
        <v>6243</v>
      </c>
      <c r="BL94" s="156"/>
      <c r="BM94" s="156"/>
      <c r="BN94" s="156" t="s">
        <v>5207</v>
      </c>
      <c r="BO94" s="156"/>
      <c r="BP94" s="156"/>
      <c r="BQ94" s="157"/>
      <c r="BR94" s="134"/>
      <c r="BS94" s="134"/>
      <c r="BT94" s="134"/>
      <c r="BU94" s="134"/>
      <c r="BV94" s="134"/>
      <c r="BW94" s="259"/>
      <c r="BX94" s="138"/>
      <c r="BY94" s="134"/>
      <c r="BZ94" s="134"/>
      <c r="CA94" s="134"/>
      <c r="CB94" s="138"/>
      <c r="CC94" s="134"/>
      <c r="CD94" s="134"/>
      <c r="CE94" s="134"/>
      <c r="CF94" s="288"/>
      <c r="CG94" s="289"/>
      <c r="CH94" s="138"/>
      <c r="CI94" s="134"/>
      <c r="CJ94" s="134"/>
      <c r="CK94" s="134"/>
      <c r="CL94" s="138"/>
      <c r="CM94" s="134"/>
      <c r="CN94" s="134"/>
      <c r="CO94" s="134"/>
      <c r="CP94" s="288"/>
      <c r="CQ94" s="289"/>
      <c r="CR94" s="276"/>
      <c r="CS94" s="308"/>
      <c r="CT94" s="138"/>
      <c r="CU94" s="134"/>
      <c r="CV94" s="134"/>
      <c r="CW94" s="134"/>
      <c r="CX94" s="134"/>
      <c r="CY94" s="134"/>
      <c r="CZ94" s="134"/>
      <c r="DA94" s="134"/>
      <c r="DB94" s="300"/>
      <c r="DC94" s="301"/>
      <c r="DD94" s="134"/>
      <c r="DE94" s="134"/>
      <c r="DF94" s="134"/>
      <c r="DG94" s="134"/>
      <c r="DH94" s="134"/>
      <c r="DI94" s="134"/>
      <c r="DJ94" s="134"/>
      <c r="DK94" s="134"/>
      <c r="DL94" s="300"/>
      <c r="DM94" s="301"/>
      <c r="DN94" s="276"/>
      <c r="DO94" s="277"/>
      <c r="DP94" s="134"/>
      <c r="DQ94" s="134"/>
      <c r="DR94" s="134"/>
      <c r="DS94" s="134"/>
      <c r="DT94" s="138"/>
      <c r="DU94" s="134"/>
      <c r="DV94" s="134"/>
      <c r="DW94" s="134"/>
      <c r="DX94" s="301"/>
      <c r="DY94" s="301"/>
      <c r="DZ94" s="138"/>
      <c r="EA94" s="134"/>
      <c r="EB94" s="134"/>
      <c r="EC94" s="134"/>
      <c r="ED94" s="138"/>
      <c r="EE94" s="134"/>
      <c r="EF94" s="134"/>
      <c r="EG94" s="134"/>
      <c r="EH94" s="301"/>
      <c r="EI94" s="301"/>
      <c r="EJ94" s="277"/>
      <c r="EK94" s="134"/>
      <c r="EL94" s="134"/>
      <c r="EM94" s="134"/>
      <c r="EN94" s="134"/>
      <c r="EO94" s="134"/>
      <c r="EP94" s="134"/>
      <c r="EQ94" s="134"/>
      <c r="ER94" s="134"/>
      <c r="ES94" s="301"/>
      <c r="ET94" s="301"/>
      <c r="EU94" s="134"/>
      <c r="EV94" s="134"/>
      <c r="EW94" s="134"/>
      <c r="EX94" s="134"/>
      <c r="EY94" s="134"/>
      <c r="EZ94" s="134"/>
      <c r="FA94" s="134"/>
      <c r="FB94" s="134"/>
      <c r="FC94" s="135"/>
      <c r="FD94" s="135"/>
      <c r="FE94" s="134"/>
      <c r="FF94" s="134"/>
      <c r="FG94" s="134"/>
      <c r="FH94" s="134"/>
      <c r="FI94" s="134"/>
      <c r="FJ94" s="134"/>
      <c r="FK94" s="134"/>
      <c r="FL94" s="134"/>
      <c r="FM94" s="135"/>
      <c r="FN94" s="135"/>
      <c r="FO94" s="134"/>
      <c r="FP94" s="134"/>
      <c r="FQ94" s="134"/>
      <c r="FR94" s="134"/>
      <c r="FS94" s="134"/>
      <c r="FT94" s="134"/>
      <c r="FU94" s="134"/>
      <c r="FV94" s="134"/>
      <c r="FW94" s="135"/>
      <c r="FX94" s="135"/>
      <c r="FY94" s="134"/>
      <c r="FZ94" s="134"/>
      <c r="GA94" s="134"/>
      <c r="GB94" s="134"/>
      <c r="GC94" s="134"/>
      <c r="GD94" s="134"/>
      <c r="GE94" s="134"/>
      <c r="GF94" s="134"/>
      <c r="GG94" s="135"/>
      <c r="GH94" s="135"/>
      <c r="GI94" s="134"/>
      <c r="GJ94" s="134"/>
      <c r="GK94" s="134"/>
      <c r="GL94" s="134"/>
      <c r="GM94" s="134"/>
      <c r="GN94" s="134"/>
      <c r="GO94" s="134"/>
      <c r="GP94" s="134"/>
      <c r="GQ94" s="135"/>
      <c r="GR94" s="135"/>
      <c r="GS94" s="134"/>
      <c r="GT94" s="134"/>
      <c r="GU94" s="134"/>
      <c r="GV94" s="134"/>
      <c r="GW94" s="134"/>
      <c r="GX94" s="134"/>
      <c r="GY94" s="134"/>
      <c r="GZ94" s="134"/>
      <c r="HA94" s="135"/>
      <c r="HB94" s="135"/>
      <c r="HC94" s="134"/>
      <c r="HD94" s="134"/>
      <c r="HE94" s="134"/>
      <c r="HF94" s="134"/>
      <c r="HG94" s="134"/>
      <c r="HH94" s="134"/>
      <c r="HI94" s="134"/>
      <c r="HJ94" s="134"/>
      <c r="HK94" s="135"/>
      <c r="HL94" s="135"/>
      <c r="HM94" s="134"/>
      <c r="HN94" s="134"/>
      <c r="HO94" s="134"/>
      <c r="HP94" s="134"/>
      <c r="HQ94" s="134"/>
      <c r="HR94" s="134"/>
      <c r="HS94" s="134"/>
      <c r="HT94" s="134"/>
      <c r="HU94" s="135"/>
      <c r="HV94" s="135"/>
      <c r="HW94" s="134"/>
      <c r="HX94" s="134"/>
      <c r="HY94" s="134"/>
      <c r="HZ94" s="134"/>
      <c r="IA94" s="134"/>
      <c r="IB94" s="134"/>
      <c r="IC94" s="134"/>
      <c r="ID94" s="134"/>
      <c r="IE94" s="135"/>
      <c r="IF94" s="135"/>
      <c r="IG94" s="134"/>
      <c r="IH94" s="134"/>
      <c r="II94" s="134"/>
      <c r="IJ94" s="134"/>
      <c r="IK94" s="134"/>
      <c r="IL94" s="134"/>
      <c r="IM94" s="134"/>
      <c r="IN94" s="134"/>
      <c r="IO94" s="135"/>
      <c r="IP94" s="135"/>
      <c r="IQ94" s="134"/>
      <c r="IR94" s="134"/>
      <c r="IS94" s="134"/>
      <c r="IT94" s="134"/>
      <c r="IU94" s="134"/>
      <c r="IV94" s="134"/>
      <c r="IW94" s="134"/>
      <c r="IX94" s="134"/>
      <c r="IY94" s="135"/>
      <c r="IZ94" s="135"/>
    </row>
    <row r="95" spans="1:260" customFormat="1" ht="17" customHeight="1">
      <c r="A95" s="79" t="s">
        <v>967</v>
      </c>
      <c r="B95" s="117">
        <v>231</v>
      </c>
      <c r="C95" s="117"/>
      <c r="D95" s="117">
        <v>94</v>
      </c>
      <c r="E95" s="123" t="s">
        <v>2119</v>
      </c>
      <c r="F95" s="124" t="s">
        <v>2380</v>
      </c>
      <c r="G95" s="125">
        <v>2014</v>
      </c>
      <c r="H95" s="79">
        <v>25451096</v>
      </c>
      <c r="I95" s="79">
        <v>1</v>
      </c>
      <c r="J95" s="126" t="s">
        <v>1787</v>
      </c>
      <c r="K95" s="127" t="s">
        <v>1771</v>
      </c>
      <c r="L95" s="164">
        <v>0</v>
      </c>
      <c r="M95" s="79"/>
      <c r="N95" s="164">
        <v>1</v>
      </c>
      <c r="O95" s="128">
        <v>2</v>
      </c>
      <c r="P95" s="79" t="s">
        <v>1593</v>
      </c>
      <c r="Q95" s="79" t="s">
        <v>1377</v>
      </c>
      <c r="R95" s="79" t="s">
        <v>1127</v>
      </c>
      <c r="S95" s="79"/>
      <c r="T95" s="79" t="s">
        <v>1594</v>
      </c>
      <c r="U95" s="79" t="s">
        <v>803</v>
      </c>
      <c r="V95" s="79"/>
      <c r="W95" s="79" t="s">
        <v>1592</v>
      </c>
      <c r="X95" s="79" t="s">
        <v>1591</v>
      </c>
      <c r="Y95" s="79"/>
      <c r="Z95" s="79"/>
      <c r="AA95" s="79" t="s">
        <v>1581</v>
      </c>
      <c r="AB95" s="79"/>
      <c r="AC95" s="506" t="s">
        <v>6299</v>
      </c>
      <c r="AD95" s="573">
        <v>1</v>
      </c>
      <c r="AE95" s="573">
        <v>1</v>
      </c>
      <c r="AF95" s="154"/>
      <c r="AG95" s="155"/>
      <c r="AH95" s="121">
        <v>4</v>
      </c>
      <c r="AI95" s="484"/>
      <c r="AJ95" s="202"/>
      <c r="AK95" s="192"/>
      <c r="AL95" s="203"/>
      <c r="AM95" s="417"/>
      <c r="AN95" s="121"/>
      <c r="AO95" s="121"/>
      <c r="AP95" s="121"/>
      <c r="AQ95" s="121"/>
      <c r="AR95" s="121"/>
      <c r="AS95" s="121"/>
      <c r="AT95" s="121"/>
      <c r="AU95" s="121"/>
      <c r="AV95" s="121"/>
      <c r="AW95" s="121"/>
      <c r="AX95" s="121"/>
      <c r="AY95" s="121"/>
      <c r="AZ95" s="121"/>
      <c r="BA95" s="121"/>
      <c r="BB95" s="121"/>
      <c r="BC95" s="121"/>
      <c r="BD95" s="156" t="s">
        <v>4727</v>
      </c>
      <c r="BE95" s="156" t="s">
        <v>6205</v>
      </c>
      <c r="BF95" s="156"/>
      <c r="BG95" s="156"/>
      <c r="BH95" s="156"/>
      <c r="BI95" s="156"/>
      <c r="BJ95" s="156" t="s">
        <v>5545</v>
      </c>
      <c r="BK95" s="156"/>
      <c r="BL95" s="156"/>
      <c r="BM95" s="156"/>
      <c r="BN95" s="156"/>
      <c r="BO95" s="156"/>
      <c r="BP95" s="156"/>
      <c r="BQ95" s="157"/>
      <c r="BR95" s="134"/>
      <c r="BS95" s="134"/>
      <c r="BT95" s="134"/>
      <c r="BU95" s="134"/>
      <c r="BV95" s="134"/>
      <c r="BW95" s="259"/>
      <c r="BX95" s="138"/>
      <c r="BY95" s="134"/>
      <c r="BZ95" s="134"/>
      <c r="CA95" s="134"/>
      <c r="CB95" s="430"/>
      <c r="CC95" s="134"/>
      <c r="CD95" s="134"/>
      <c r="CE95" s="134"/>
      <c r="CF95" s="288"/>
      <c r="CG95" s="289"/>
      <c r="CH95" s="430"/>
      <c r="CI95" s="134"/>
      <c r="CJ95" s="134"/>
      <c r="CK95" s="134"/>
      <c r="CL95" s="138"/>
      <c r="CM95" s="134"/>
      <c r="CN95" s="134"/>
      <c r="CO95" s="134"/>
      <c r="CP95" s="288"/>
      <c r="CQ95" s="289"/>
      <c r="CR95" s="276"/>
      <c r="CS95" s="308"/>
      <c r="CT95" s="138"/>
      <c r="CU95" s="134"/>
      <c r="CV95" s="134"/>
      <c r="CW95" s="134"/>
      <c r="CX95" s="134"/>
      <c r="CY95" s="134"/>
      <c r="CZ95" s="134"/>
      <c r="DA95" s="134"/>
      <c r="DB95" s="300"/>
      <c r="DC95" s="301"/>
      <c r="DD95" s="134"/>
      <c r="DE95" s="134"/>
      <c r="DF95" s="134"/>
      <c r="DG95" s="134"/>
      <c r="DH95" s="134"/>
      <c r="DI95" s="134"/>
      <c r="DJ95" s="134"/>
      <c r="DK95" s="134"/>
      <c r="DL95" s="300"/>
      <c r="DM95" s="301"/>
      <c r="DN95" s="276"/>
      <c r="DO95" s="277"/>
      <c r="DP95" s="134"/>
      <c r="DQ95" s="134"/>
      <c r="DR95" s="134"/>
      <c r="DS95" s="134"/>
      <c r="DT95" s="138"/>
      <c r="DU95" s="134"/>
      <c r="DV95" s="134"/>
      <c r="DW95" s="134"/>
      <c r="DX95" s="301"/>
      <c r="DY95" s="301"/>
      <c r="DZ95" s="138"/>
      <c r="EA95" s="134"/>
      <c r="EB95" s="134"/>
      <c r="EC95" s="134"/>
      <c r="ED95" s="138"/>
      <c r="EE95" s="134"/>
      <c r="EF95" s="134"/>
      <c r="EG95" s="134"/>
      <c r="EH95" s="301"/>
      <c r="EI95" s="301"/>
      <c r="EJ95" s="277"/>
      <c r="EK95" s="134"/>
      <c r="EL95" s="134"/>
      <c r="EM95" s="134"/>
      <c r="EN95" s="134"/>
      <c r="EO95" s="134"/>
      <c r="EP95" s="134"/>
      <c r="EQ95" s="134"/>
      <c r="ER95" s="134"/>
      <c r="ES95" s="301"/>
      <c r="ET95" s="301"/>
      <c r="EU95" s="134"/>
      <c r="EV95" s="134"/>
      <c r="EW95" s="134"/>
      <c r="EX95" s="134"/>
      <c r="EY95" s="134"/>
      <c r="EZ95" s="134"/>
      <c r="FA95" s="134"/>
      <c r="FB95" s="134"/>
      <c r="FC95" s="135"/>
      <c r="FD95" s="135"/>
      <c r="FE95" s="134"/>
      <c r="FF95" s="134"/>
      <c r="FG95" s="134"/>
      <c r="FH95" s="134"/>
      <c r="FI95" s="134"/>
      <c r="FJ95" s="134"/>
      <c r="FK95" s="134"/>
      <c r="FL95" s="134"/>
      <c r="FM95" s="135"/>
      <c r="FN95" s="135"/>
      <c r="FO95" s="134"/>
      <c r="FP95" s="134"/>
      <c r="FQ95" s="134"/>
      <c r="FR95" s="134"/>
      <c r="FS95" s="134"/>
      <c r="FT95" s="134"/>
      <c r="FU95" s="134"/>
      <c r="FV95" s="134"/>
      <c r="FW95" s="135"/>
      <c r="FX95" s="135"/>
      <c r="FY95" s="134"/>
      <c r="FZ95" s="134"/>
      <c r="GA95" s="134"/>
      <c r="GB95" s="134"/>
      <c r="GC95" s="134"/>
      <c r="GD95" s="134"/>
      <c r="GE95" s="134"/>
      <c r="GF95" s="134"/>
      <c r="GG95" s="135"/>
      <c r="GH95" s="135"/>
      <c r="GI95" s="134"/>
      <c r="GJ95" s="134"/>
      <c r="GK95" s="134"/>
      <c r="GL95" s="134"/>
      <c r="GM95" s="134"/>
      <c r="GN95" s="134"/>
      <c r="GO95" s="134"/>
      <c r="GP95" s="134"/>
      <c r="GQ95" s="135"/>
      <c r="GR95" s="135"/>
      <c r="GS95" s="134"/>
      <c r="GT95" s="134"/>
      <c r="GU95" s="134"/>
      <c r="GV95" s="134"/>
      <c r="GW95" s="134"/>
      <c r="GX95" s="134"/>
      <c r="GY95" s="134"/>
      <c r="GZ95" s="134"/>
      <c r="HA95" s="135"/>
      <c r="HB95" s="135"/>
      <c r="HC95" s="134"/>
      <c r="HD95" s="134"/>
      <c r="HE95" s="134"/>
      <c r="HF95" s="134"/>
      <c r="HG95" s="134"/>
      <c r="HH95" s="134"/>
      <c r="HI95" s="134"/>
      <c r="HJ95" s="134"/>
      <c r="HK95" s="135"/>
      <c r="HL95" s="135"/>
      <c r="HM95" s="134"/>
      <c r="HN95" s="134"/>
      <c r="HO95" s="134"/>
      <c r="HP95" s="134"/>
      <c r="HQ95" s="134"/>
      <c r="HR95" s="134"/>
      <c r="HS95" s="134"/>
      <c r="HT95" s="134"/>
      <c r="HU95" s="135"/>
      <c r="HV95" s="135"/>
      <c r="HW95" s="134"/>
      <c r="HX95" s="134"/>
      <c r="HY95" s="134"/>
      <c r="HZ95" s="134"/>
      <c r="IA95" s="134"/>
      <c r="IB95" s="134"/>
      <c r="IC95" s="134"/>
      <c r="ID95" s="134"/>
      <c r="IE95" s="135"/>
      <c r="IF95" s="135"/>
      <c r="IG95" s="134"/>
      <c r="IH95" s="134"/>
      <c r="II95" s="134"/>
      <c r="IJ95" s="134"/>
      <c r="IK95" s="134"/>
      <c r="IL95" s="134"/>
      <c r="IM95" s="134"/>
      <c r="IN95" s="134"/>
      <c r="IO95" s="135"/>
      <c r="IP95" s="135"/>
      <c r="IQ95" s="134"/>
      <c r="IR95" s="134"/>
      <c r="IS95" s="134"/>
      <c r="IT95" s="134"/>
      <c r="IU95" s="134"/>
      <c r="IV95" s="134"/>
      <c r="IW95" s="134"/>
      <c r="IX95" s="134"/>
      <c r="IY95" s="135"/>
      <c r="IZ95" s="135"/>
    </row>
    <row r="96" spans="1:260" s="119" customFormat="1" ht="17" customHeight="1">
      <c r="A96" s="79" t="s">
        <v>325</v>
      </c>
      <c r="B96" s="117">
        <v>232</v>
      </c>
      <c r="C96" s="117"/>
      <c r="D96" s="117">
        <v>95</v>
      </c>
      <c r="E96" s="123" t="s">
        <v>2032</v>
      </c>
      <c r="F96" s="124" t="s">
        <v>2268</v>
      </c>
      <c r="G96" s="125">
        <v>2014</v>
      </c>
      <c r="H96" s="79">
        <v>24936431</v>
      </c>
      <c r="I96" s="79">
        <v>1</v>
      </c>
      <c r="J96" s="126"/>
      <c r="K96" s="127"/>
      <c r="L96" s="79">
        <v>1</v>
      </c>
      <c r="M96" s="79"/>
      <c r="N96" s="79">
        <v>1</v>
      </c>
      <c r="O96" s="128">
        <v>1</v>
      </c>
      <c r="P96" s="79" t="s">
        <v>609</v>
      </c>
      <c r="Q96" s="79" t="s">
        <v>1158</v>
      </c>
      <c r="R96" s="79" t="s">
        <v>591</v>
      </c>
      <c r="S96" s="79">
        <v>1</v>
      </c>
      <c r="T96" s="79"/>
      <c r="U96" s="79"/>
      <c r="V96" s="79"/>
      <c r="W96" s="79" t="s">
        <v>845</v>
      </c>
      <c r="X96" s="79" t="s">
        <v>846</v>
      </c>
      <c r="Y96" s="79"/>
      <c r="Z96" s="79"/>
      <c r="AA96" s="79"/>
      <c r="AB96" s="79"/>
      <c r="AC96" s="506" t="s">
        <v>6300</v>
      </c>
      <c r="AD96" s="573">
        <v>1</v>
      </c>
      <c r="AE96" s="573">
        <v>0</v>
      </c>
      <c r="AF96" s="154"/>
      <c r="AG96" s="155"/>
      <c r="AH96" s="121">
        <v>2</v>
      </c>
      <c r="AI96" s="484"/>
      <c r="AJ96" s="202"/>
      <c r="AK96" s="192"/>
      <c r="AL96" s="203"/>
      <c r="AM96" s="417"/>
      <c r="AN96" s="121"/>
      <c r="AO96" s="121"/>
      <c r="AP96" s="121"/>
      <c r="AQ96" s="121"/>
      <c r="AR96" s="121"/>
      <c r="AS96" s="121"/>
      <c r="AT96" s="121"/>
      <c r="AU96" s="121"/>
      <c r="AV96" s="121"/>
      <c r="AW96" s="121"/>
      <c r="AX96" s="121"/>
      <c r="AY96" s="121"/>
      <c r="AZ96" s="121"/>
      <c r="BA96" s="121"/>
      <c r="BB96" s="121"/>
      <c r="BC96" s="121"/>
      <c r="BD96" s="156"/>
      <c r="BE96" s="156"/>
      <c r="BF96" s="156"/>
      <c r="BG96" s="156"/>
      <c r="BH96" s="156"/>
      <c r="BI96" s="156"/>
      <c r="BJ96" s="156"/>
      <c r="BK96" s="156"/>
      <c r="BL96" s="156" t="s">
        <v>5207</v>
      </c>
      <c r="BM96" s="156"/>
      <c r="BN96" s="156"/>
      <c r="BO96" s="156"/>
      <c r="BP96" s="156"/>
      <c r="BQ96" s="157"/>
      <c r="BR96" s="134"/>
      <c r="BS96" s="134"/>
      <c r="BT96" s="134"/>
      <c r="BU96" s="134"/>
      <c r="BV96" s="134"/>
      <c r="BW96" s="259"/>
      <c r="BX96" s="138"/>
      <c r="BY96" s="134"/>
      <c r="BZ96" s="134"/>
      <c r="CA96" s="134"/>
      <c r="CB96" s="138"/>
      <c r="CC96" s="134"/>
      <c r="CD96" s="134"/>
      <c r="CE96" s="134"/>
      <c r="CF96" s="288"/>
      <c r="CG96" s="289"/>
      <c r="CH96" s="138"/>
      <c r="CI96" s="134"/>
      <c r="CJ96" s="134"/>
      <c r="CK96" s="134"/>
      <c r="CL96" s="138"/>
      <c r="CM96" s="134"/>
      <c r="CN96" s="134"/>
      <c r="CO96" s="134"/>
      <c r="CP96" s="288"/>
      <c r="CQ96" s="289"/>
      <c r="CR96" s="276"/>
      <c r="CS96" s="308"/>
      <c r="CT96" s="138"/>
      <c r="CU96" s="134"/>
      <c r="CV96" s="134"/>
      <c r="CW96" s="134"/>
      <c r="CX96" s="134"/>
      <c r="CY96" s="134"/>
      <c r="CZ96" s="134"/>
      <c r="DA96" s="134"/>
      <c r="DB96" s="434"/>
      <c r="DC96" s="436"/>
      <c r="DD96" s="134"/>
      <c r="DE96" s="134"/>
      <c r="DF96" s="134"/>
      <c r="DG96" s="134"/>
      <c r="DH96" s="134"/>
      <c r="DI96" s="134"/>
      <c r="DJ96" s="134"/>
      <c r="DK96" s="134"/>
      <c r="DL96" s="434"/>
      <c r="DM96" s="436"/>
      <c r="DN96" s="276"/>
      <c r="DO96" s="277"/>
      <c r="DP96" s="134"/>
      <c r="DQ96" s="134"/>
      <c r="DR96" s="134"/>
      <c r="DS96" s="134"/>
      <c r="DT96" s="138"/>
      <c r="DU96" s="134"/>
      <c r="DV96" s="134"/>
      <c r="DW96" s="134"/>
      <c r="DX96" s="301"/>
      <c r="DY96" s="301"/>
      <c r="DZ96" s="138"/>
      <c r="EA96" s="134"/>
      <c r="EB96" s="134"/>
      <c r="EC96" s="134"/>
      <c r="ED96" s="138"/>
      <c r="EE96" s="134"/>
      <c r="EF96" s="134"/>
      <c r="EG96" s="134"/>
      <c r="EH96" s="301"/>
      <c r="EI96" s="301"/>
      <c r="EJ96" s="277"/>
      <c r="EK96" s="134"/>
      <c r="EL96" s="134"/>
      <c r="EM96" s="134"/>
      <c r="EN96" s="134"/>
      <c r="EO96" s="134"/>
      <c r="EP96" s="134"/>
      <c r="EQ96" s="134"/>
      <c r="ER96" s="134"/>
      <c r="ES96" s="301"/>
      <c r="ET96" s="301"/>
      <c r="EU96" s="134"/>
      <c r="EV96" s="134"/>
      <c r="EW96" s="134"/>
      <c r="EX96" s="134"/>
      <c r="EY96" s="134"/>
      <c r="EZ96" s="134"/>
      <c r="FA96" s="134"/>
      <c r="FB96" s="134"/>
      <c r="FC96" s="135"/>
      <c r="FD96" s="135"/>
      <c r="FE96" s="134"/>
      <c r="FF96" s="134"/>
      <c r="FG96" s="134"/>
      <c r="FH96" s="134"/>
      <c r="FI96" s="134"/>
      <c r="FJ96" s="134"/>
      <c r="FK96" s="134"/>
      <c r="FL96" s="134"/>
      <c r="FM96" s="135"/>
      <c r="FN96" s="135"/>
      <c r="FO96" s="134"/>
      <c r="FP96" s="134"/>
      <c r="FQ96" s="134"/>
      <c r="FR96" s="134"/>
      <c r="FS96" s="134"/>
      <c r="FT96" s="134"/>
      <c r="FU96" s="134"/>
      <c r="FV96" s="134"/>
      <c r="FW96" s="135"/>
      <c r="FX96" s="135"/>
      <c r="FY96" s="134"/>
      <c r="FZ96" s="134"/>
      <c r="GA96" s="134"/>
      <c r="GB96" s="134"/>
      <c r="GC96" s="134"/>
      <c r="GD96" s="134"/>
      <c r="GE96" s="134"/>
      <c r="GF96" s="134"/>
      <c r="GG96" s="135"/>
      <c r="GH96" s="135"/>
      <c r="GI96" s="134"/>
      <c r="GJ96" s="134"/>
      <c r="GK96" s="134"/>
      <c r="GL96" s="134"/>
      <c r="GM96" s="134"/>
      <c r="GN96" s="134"/>
      <c r="GO96" s="134"/>
      <c r="GP96" s="134"/>
      <c r="GQ96" s="135"/>
      <c r="GR96" s="135"/>
      <c r="GS96" s="134"/>
      <c r="GT96" s="134"/>
      <c r="GU96" s="134"/>
      <c r="GV96" s="134"/>
      <c r="GW96" s="134"/>
      <c r="GX96" s="134"/>
      <c r="GY96" s="134"/>
      <c r="GZ96" s="134"/>
      <c r="HA96" s="135"/>
      <c r="HB96" s="135"/>
      <c r="HC96" s="134"/>
      <c r="HD96" s="134"/>
      <c r="HE96" s="134"/>
      <c r="HF96" s="134"/>
      <c r="HG96" s="134"/>
      <c r="HH96" s="134"/>
      <c r="HI96" s="134"/>
      <c r="HJ96" s="134"/>
      <c r="HK96" s="135"/>
      <c r="HL96" s="135"/>
      <c r="HM96" s="134"/>
      <c r="HN96" s="134"/>
      <c r="HO96" s="134"/>
      <c r="HP96" s="134"/>
      <c r="HQ96" s="134"/>
      <c r="HR96" s="134"/>
      <c r="HS96" s="134"/>
      <c r="HT96" s="134"/>
      <c r="HU96" s="135"/>
      <c r="HV96" s="135"/>
      <c r="HW96" s="134"/>
      <c r="HX96" s="134"/>
      <c r="HY96" s="134"/>
      <c r="HZ96" s="134"/>
      <c r="IA96" s="134"/>
      <c r="IB96" s="134"/>
      <c r="IC96" s="134"/>
      <c r="ID96" s="134"/>
      <c r="IE96" s="135"/>
      <c r="IF96" s="135"/>
      <c r="IG96" s="134"/>
      <c r="IH96" s="134"/>
      <c r="II96" s="134"/>
      <c r="IJ96" s="134"/>
      <c r="IK96" s="134"/>
      <c r="IL96" s="134"/>
      <c r="IM96" s="134"/>
      <c r="IN96" s="134"/>
      <c r="IO96" s="135"/>
      <c r="IP96" s="135"/>
      <c r="IQ96" s="134"/>
      <c r="IR96" s="134"/>
      <c r="IS96" s="134"/>
      <c r="IT96" s="134"/>
      <c r="IU96" s="134"/>
      <c r="IV96" s="134"/>
      <c r="IW96" s="134"/>
      <c r="IX96" s="134"/>
      <c r="IY96" s="135"/>
      <c r="IZ96" s="135"/>
    </row>
    <row r="97" spans="1:260" s="119" customFormat="1" ht="17" customHeight="1">
      <c r="A97" s="79" t="s">
        <v>964</v>
      </c>
      <c r="B97" s="117">
        <v>235</v>
      </c>
      <c r="C97" s="117"/>
      <c r="D97" s="117">
        <v>96</v>
      </c>
      <c r="E97" s="123" t="s">
        <v>2121</v>
      </c>
      <c r="F97" s="124" t="s">
        <v>2382</v>
      </c>
      <c r="G97" s="125">
        <v>2016</v>
      </c>
      <c r="H97" s="79">
        <v>26538448</v>
      </c>
      <c r="I97" s="79">
        <v>1</v>
      </c>
      <c r="J97" s="126" t="s">
        <v>1788</v>
      </c>
      <c r="K97" s="127" t="s">
        <v>23</v>
      </c>
      <c r="L97" s="79">
        <v>1</v>
      </c>
      <c r="M97" s="79"/>
      <c r="N97" s="79">
        <v>1</v>
      </c>
      <c r="O97" s="128">
        <v>2</v>
      </c>
      <c r="P97" s="79" t="s">
        <v>1601</v>
      </c>
      <c r="Q97" s="79"/>
      <c r="R97" s="79" t="s">
        <v>1600</v>
      </c>
      <c r="S97" s="79"/>
      <c r="T97" s="79" t="s">
        <v>1495</v>
      </c>
      <c r="U97" s="79" t="s">
        <v>1539</v>
      </c>
      <c r="V97" s="79"/>
      <c r="W97" s="79" t="s">
        <v>1720</v>
      </c>
      <c r="X97" s="79"/>
      <c r="Y97" s="79"/>
      <c r="Z97" s="79"/>
      <c r="AA97" s="79"/>
      <c r="AB97" s="79"/>
      <c r="AC97" s="506" t="s">
        <v>6301</v>
      </c>
      <c r="AD97" s="573">
        <v>1</v>
      </c>
      <c r="AE97" s="573">
        <v>1</v>
      </c>
      <c r="AF97" s="154"/>
      <c r="AG97" s="155"/>
      <c r="AH97" s="121">
        <v>5</v>
      </c>
      <c r="AI97" s="484"/>
      <c r="AJ97" s="202"/>
      <c r="AK97" s="192"/>
      <c r="AL97" s="203"/>
      <c r="AM97" s="417"/>
      <c r="AN97" s="121"/>
      <c r="AO97" s="121"/>
      <c r="AP97" s="121"/>
      <c r="AQ97" s="121"/>
      <c r="AR97" s="121"/>
      <c r="AS97" s="121"/>
      <c r="AT97" s="121"/>
      <c r="AU97" s="121"/>
      <c r="AV97" s="121"/>
      <c r="AW97" s="121"/>
      <c r="AX97" s="121"/>
      <c r="AY97" s="121"/>
      <c r="AZ97" s="121"/>
      <c r="BA97" s="121"/>
      <c r="BB97" s="121">
        <v>1</v>
      </c>
      <c r="BC97" s="121"/>
      <c r="BD97" s="156" t="s">
        <v>6302</v>
      </c>
      <c r="BE97" s="156" t="s">
        <v>6205</v>
      </c>
      <c r="BF97" s="156"/>
      <c r="BG97" s="156"/>
      <c r="BH97" s="156"/>
      <c r="BI97" s="156"/>
      <c r="BJ97" s="156"/>
      <c r="BK97" s="156"/>
      <c r="BL97" s="156"/>
      <c r="BM97" s="156"/>
      <c r="BN97" s="156"/>
      <c r="BO97" s="156"/>
      <c r="BP97" s="156"/>
      <c r="BQ97" s="157"/>
      <c r="BR97" s="134"/>
      <c r="BS97" s="134"/>
      <c r="BT97" s="134"/>
      <c r="BU97" s="134"/>
      <c r="BV97" s="134"/>
      <c r="BW97" s="259"/>
      <c r="BX97" s="138"/>
      <c r="BY97" s="134"/>
      <c r="BZ97" s="134"/>
      <c r="CA97" s="134"/>
      <c r="CB97" s="138"/>
      <c r="CC97" s="134"/>
      <c r="CD97" s="134"/>
      <c r="CE97" s="134"/>
      <c r="CF97" s="288"/>
      <c r="CG97" s="289"/>
      <c r="CH97" s="138"/>
      <c r="CI97" s="134"/>
      <c r="CJ97" s="134"/>
      <c r="CK97" s="134"/>
      <c r="CL97" s="138"/>
      <c r="CM97" s="134"/>
      <c r="CN97" s="134"/>
      <c r="CO97" s="134"/>
      <c r="CP97" s="288"/>
      <c r="CQ97" s="289"/>
      <c r="CR97" s="276"/>
      <c r="CS97" s="308"/>
      <c r="CT97" s="138"/>
      <c r="CU97" s="134"/>
      <c r="CV97" s="134"/>
      <c r="CW97" s="134"/>
      <c r="CX97" s="134"/>
      <c r="CY97" s="134"/>
      <c r="CZ97" s="134"/>
      <c r="DA97" s="134"/>
      <c r="DB97" s="434"/>
      <c r="DC97" s="436"/>
      <c r="DD97" s="134"/>
      <c r="DE97" s="134"/>
      <c r="DF97" s="134"/>
      <c r="DG97" s="134"/>
      <c r="DH97" s="134"/>
      <c r="DI97" s="134"/>
      <c r="DJ97" s="134"/>
      <c r="DK97" s="134"/>
      <c r="DL97" s="300"/>
      <c r="DM97" s="301"/>
      <c r="DN97" s="276"/>
      <c r="DO97" s="277"/>
      <c r="DP97" s="134"/>
      <c r="DQ97" s="134"/>
      <c r="DR97" s="134"/>
      <c r="DS97" s="134"/>
      <c r="DT97" s="138"/>
      <c r="DU97" s="134"/>
      <c r="DV97" s="134"/>
      <c r="DW97" s="134"/>
      <c r="DX97" s="301"/>
      <c r="DY97" s="301"/>
      <c r="DZ97" s="138"/>
      <c r="EA97" s="134"/>
      <c r="EB97" s="134"/>
      <c r="EC97" s="134"/>
      <c r="ED97" s="138"/>
      <c r="EE97" s="134"/>
      <c r="EF97" s="134"/>
      <c r="EG97" s="134"/>
      <c r="EH97" s="301"/>
      <c r="EI97" s="301"/>
      <c r="EJ97" s="277"/>
      <c r="EK97" s="134"/>
      <c r="EL97" s="134"/>
      <c r="EM97" s="134"/>
      <c r="EN97" s="134"/>
      <c r="EO97" s="134"/>
      <c r="EP97" s="134"/>
      <c r="EQ97" s="134"/>
      <c r="ER97" s="134"/>
      <c r="ES97" s="301"/>
      <c r="ET97" s="301"/>
      <c r="EU97" s="134"/>
      <c r="EV97" s="134"/>
      <c r="EW97" s="134"/>
      <c r="EX97" s="134"/>
      <c r="EY97" s="134"/>
      <c r="EZ97" s="134"/>
      <c r="FA97" s="134"/>
      <c r="FB97" s="134"/>
      <c r="FC97" s="135"/>
      <c r="FD97" s="135"/>
      <c r="FE97" s="134"/>
      <c r="FF97" s="134"/>
      <c r="FG97" s="134"/>
      <c r="FH97" s="134"/>
      <c r="FI97" s="134"/>
      <c r="FJ97" s="134"/>
      <c r="FK97" s="134"/>
      <c r="FL97" s="134"/>
      <c r="FM97" s="135"/>
      <c r="FN97" s="135"/>
      <c r="FO97" s="134"/>
      <c r="FP97" s="134"/>
      <c r="FQ97" s="134"/>
      <c r="FR97" s="134"/>
      <c r="FS97" s="134"/>
      <c r="FT97" s="134"/>
      <c r="FU97" s="134"/>
      <c r="FV97" s="134"/>
      <c r="FW97" s="135"/>
      <c r="FX97" s="135"/>
      <c r="FY97" s="134"/>
      <c r="FZ97" s="134"/>
      <c r="GA97" s="134"/>
      <c r="GB97" s="134"/>
      <c r="GC97" s="134"/>
      <c r="GD97" s="134"/>
      <c r="GE97" s="134"/>
      <c r="GF97" s="134"/>
      <c r="GG97" s="135"/>
      <c r="GH97" s="135"/>
      <c r="GI97" s="134"/>
      <c r="GJ97" s="134"/>
      <c r="GK97" s="134"/>
      <c r="GL97" s="134"/>
      <c r="GM97" s="134"/>
      <c r="GN97" s="134"/>
      <c r="GO97" s="134"/>
      <c r="GP97" s="134"/>
      <c r="GQ97" s="135"/>
      <c r="GR97" s="135"/>
      <c r="GS97" s="134"/>
      <c r="GT97" s="134"/>
      <c r="GU97" s="134"/>
      <c r="GV97" s="134"/>
      <c r="GW97" s="134"/>
      <c r="GX97" s="134"/>
      <c r="GY97" s="134"/>
      <c r="GZ97" s="134"/>
      <c r="HA97" s="135"/>
      <c r="HB97" s="135"/>
      <c r="HC97" s="134"/>
      <c r="HD97" s="134"/>
      <c r="HE97" s="134"/>
      <c r="HF97" s="134"/>
      <c r="HG97" s="134"/>
      <c r="HH97" s="134"/>
      <c r="HI97" s="134"/>
      <c r="HJ97" s="134"/>
      <c r="HK97" s="135"/>
      <c r="HL97" s="135"/>
      <c r="HM97" s="134"/>
      <c r="HN97" s="134"/>
      <c r="HO97" s="134"/>
      <c r="HP97" s="134"/>
      <c r="HQ97" s="134"/>
      <c r="HR97" s="134"/>
      <c r="HS97" s="134"/>
      <c r="HT97" s="134"/>
      <c r="HU97" s="135"/>
      <c r="HV97" s="135"/>
      <c r="HW97" s="134"/>
      <c r="HX97" s="134"/>
      <c r="HY97" s="134"/>
      <c r="HZ97" s="134"/>
      <c r="IA97" s="134"/>
      <c r="IB97" s="134"/>
      <c r="IC97" s="134"/>
      <c r="ID97" s="134"/>
      <c r="IE97" s="135"/>
      <c r="IF97" s="135"/>
      <c r="IG97" s="134"/>
      <c r="IH97" s="134"/>
      <c r="II97" s="134"/>
      <c r="IJ97" s="134"/>
      <c r="IK97" s="134"/>
      <c r="IL97" s="134"/>
      <c r="IM97" s="134"/>
      <c r="IN97" s="134"/>
      <c r="IO97" s="135"/>
      <c r="IP97" s="135"/>
      <c r="IQ97" s="134"/>
      <c r="IR97" s="134"/>
      <c r="IS97" s="134"/>
      <c r="IT97" s="134"/>
      <c r="IU97" s="134"/>
      <c r="IV97" s="134"/>
      <c r="IW97" s="134"/>
      <c r="IX97" s="134"/>
      <c r="IY97" s="135"/>
      <c r="IZ97" s="135"/>
    </row>
    <row r="98" spans="1:260" s="119" customFormat="1" ht="17" customHeight="1">
      <c r="A98" s="79" t="s">
        <v>332</v>
      </c>
      <c r="B98" s="117">
        <v>237</v>
      </c>
      <c r="C98" s="117"/>
      <c r="D98" s="117">
        <v>97</v>
      </c>
      <c r="E98" s="123" t="s">
        <v>2035</v>
      </c>
      <c r="F98" s="124" t="s">
        <v>2271</v>
      </c>
      <c r="G98" s="125">
        <v>1984</v>
      </c>
      <c r="H98" s="79">
        <v>6691477</v>
      </c>
      <c r="I98" s="79">
        <v>1</v>
      </c>
      <c r="J98" s="126" t="s">
        <v>1785</v>
      </c>
      <c r="K98" s="127"/>
      <c r="L98" s="79">
        <v>0</v>
      </c>
      <c r="M98" s="79"/>
      <c r="N98" s="164">
        <v>1</v>
      </c>
      <c r="O98" s="128">
        <v>1</v>
      </c>
      <c r="P98" s="79" t="s">
        <v>863</v>
      </c>
      <c r="Q98" s="79"/>
      <c r="R98" s="79" t="s">
        <v>819</v>
      </c>
      <c r="S98" s="79">
        <v>1</v>
      </c>
      <c r="T98" s="79"/>
      <c r="U98" s="79"/>
      <c r="V98" s="79"/>
      <c r="W98" s="79" t="s">
        <v>455</v>
      </c>
      <c r="X98" s="79"/>
      <c r="Y98" s="79"/>
      <c r="Z98" s="79"/>
      <c r="AA98" s="79"/>
      <c r="AB98" s="79" t="s">
        <v>864</v>
      </c>
      <c r="AC98" s="506" t="s">
        <v>6303</v>
      </c>
      <c r="AD98" s="573">
        <v>1</v>
      </c>
      <c r="AE98" s="573">
        <v>0</v>
      </c>
      <c r="AF98" s="154">
        <v>0</v>
      </c>
      <c r="AG98" s="155" t="s">
        <v>6304</v>
      </c>
      <c r="AH98" s="121">
        <v>2</v>
      </c>
      <c r="AI98" s="484"/>
      <c r="AJ98" s="202"/>
      <c r="AK98" s="192"/>
      <c r="AL98" s="203"/>
      <c r="AM98" s="417"/>
      <c r="AN98" s="121"/>
      <c r="AO98" s="121"/>
      <c r="AP98" s="121"/>
      <c r="AQ98" s="121"/>
      <c r="AR98" s="121"/>
      <c r="AS98" s="121"/>
      <c r="AT98" s="121"/>
      <c r="AU98" s="121"/>
      <c r="AV98" s="121"/>
      <c r="AW98" s="121"/>
      <c r="AX98" s="121"/>
      <c r="AY98" s="121"/>
      <c r="AZ98" s="121"/>
      <c r="BA98" s="121"/>
      <c r="BB98" s="121"/>
      <c r="BC98" s="121"/>
      <c r="BD98" s="156"/>
      <c r="BE98" s="156"/>
      <c r="BF98" s="156"/>
      <c r="BG98" s="156"/>
      <c r="BH98" s="156"/>
      <c r="BI98" s="156"/>
      <c r="BJ98" s="156"/>
      <c r="BK98" s="156"/>
      <c r="BL98" s="156"/>
      <c r="BM98" s="156"/>
      <c r="BN98" s="156"/>
      <c r="BO98" s="156"/>
      <c r="BP98" s="156"/>
      <c r="BQ98" s="157"/>
      <c r="BR98" s="134"/>
      <c r="BS98" s="134"/>
      <c r="BT98" s="134"/>
      <c r="BU98" s="134"/>
      <c r="BV98" s="134"/>
      <c r="BW98" s="259"/>
      <c r="BX98" s="138"/>
      <c r="BY98" s="134"/>
      <c r="BZ98" s="134"/>
      <c r="CA98" s="134"/>
      <c r="CB98" s="138"/>
      <c r="CC98" s="134"/>
      <c r="CD98" s="134"/>
      <c r="CE98" s="134"/>
      <c r="CF98" s="288"/>
      <c r="CG98" s="289"/>
      <c r="CH98" s="138"/>
      <c r="CI98" s="134"/>
      <c r="CJ98" s="134"/>
      <c r="CK98" s="134"/>
      <c r="CL98" s="138"/>
      <c r="CM98" s="134"/>
      <c r="CN98" s="134"/>
      <c r="CO98" s="134"/>
      <c r="CP98" s="288"/>
      <c r="CQ98" s="289"/>
      <c r="CR98" s="276"/>
      <c r="CS98" s="308"/>
      <c r="CT98" s="138"/>
      <c r="CU98" s="134"/>
      <c r="CV98" s="134"/>
      <c r="CW98" s="134"/>
      <c r="CX98" s="134"/>
      <c r="CY98" s="134"/>
      <c r="CZ98" s="134"/>
      <c r="DA98" s="134"/>
      <c r="DB98" s="434"/>
      <c r="DC98" s="436"/>
      <c r="DD98" s="134"/>
      <c r="DE98" s="134"/>
      <c r="DF98" s="134"/>
      <c r="DG98" s="134"/>
      <c r="DH98" s="134"/>
      <c r="DI98" s="134"/>
      <c r="DJ98" s="134"/>
      <c r="DK98" s="134"/>
      <c r="DL98" s="434"/>
      <c r="DM98" s="436"/>
      <c r="DN98" s="276"/>
      <c r="DO98" s="277"/>
      <c r="DP98" s="134"/>
      <c r="DQ98" s="134"/>
      <c r="DR98" s="134"/>
      <c r="DS98" s="134"/>
      <c r="DT98" s="138"/>
      <c r="DU98" s="134"/>
      <c r="DV98" s="134"/>
      <c r="DW98" s="134"/>
      <c r="DX98" s="301"/>
      <c r="DY98" s="301"/>
      <c r="DZ98" s="138"/>
      <c r="EA98" s="134"/>
      <c r="EB98" s="134"/>
      <c r="EC98" s="134"/>
      <c r="ED98" s="138"/>
      <c r="EE98" s="134"/>
      <c r="EF98" s="134"/>
      <c r="EG98" s="134"/>
      <c r="EH98" s="301"/>
      <c r="EI98" s="301"/>
      <c r="EJ98" s="277"/>
      <c r="EK98" s="134"/>
      <c r="EL98" s="134"/>
      <c r="EM98" s="134"/>
      <c r="EN98" s="134"/>
      <c r="EO98" s="134"/>
      <c r="EP98" s="134"/>
      <c r="EQ98" s="134"/>
      <c r="ER98" s="134"/>
      <c r="ES98" s="301"/>
      <c r="ET98" s="301"/>
      <c r="EU98" s="134"/>
      <c r="EV98" s="134"/>
      <c r="EW98" s="134"/>
      <c r="EX98" s="134"/>
      <c r="EY98" s="134"/>
      <c r="EZ98" s="134"/>
      <c r="FA98" s="134"/>
      <c r="FB98" s="134"/>
      <c r="FC98" s="135"/>
      <c r="FD98" s="135"/>
      <c r="FE98" s="134"/>
      <c r="FF98" s="134"/>
      <c r="FG98" s="134"/>
      <c r="FH98" s="134"/>
      <c r="FI98" s="134"/>
      <c r="FJ98" s="134"/>
      <c r="FK98" s="134"/>
      <c r="FL98" s="134"/>
      <c r="FM98" s="135"/>
      <c r="FN98" s="135"/>
      <c r="FO98" s="134"/>
      <c r="FP98" s="134"/>
      <c r="FQ98" s="134"/>
      <c r="FR98" s="134"/>
      <c r="FS98" s="134"/>
      <c r="FT98" s="134"/>
      <c r="FU98" s="134"/>
      <c r="FV98" s="134"/>
      <c r="FW98" s="135"/>
      <c r="FX98" s="135"/>
      <c r="FY98" s="134"/>
      <c r="FZ98" s="134"/>
      <c r="GA98" s="134"/>
      <c r="GB98" s="134"/>
      <c r="GC98" s="134"/>
      <c r="GD98" s="134"/>
      <c r="GE98" s="134"/>
      <c r="GF98" s="134"/>
      <c r="GG98" s="135"/>
      <c r="GH98" s="135"/>
      <c r="GI98" s="134"/>
      <c r="GJ98" s="134"/>
      <c r="GK98" s="134"/>
      <c r="GL98" s="134"/>
      <c r="GM98" s="134"/>
      <c r="GN98" s="134"/>
      <c r="GO98" s="134"/>
      <c r="GP98" s="134"/>
      <c r="GQ98" s="135"/>
      <c r="GR98" s="135"/>
      <c r="GS98" s="134"/>
      <c r="GT98" s="134"/>
      <c r="GU98" s="134"/>
      <c r="GV98" s="134"/>
      <c r="GW98" s="134"/>
      <c r="GX98" s="134"/>
      <c r="GY98" s="134"/>
      <c r="GZ98" s="134"/>
      <c r="HA98" s="135"/>
      <c r="HB98" s="135"/>
      <c r="HC98" s="134"/>
      <c r="HD98" s="134"/>
      <c r="HE98" s="134"/>
      <c r="HF98" s="134"/>
      <c r="HG98" s="134"/>
      <c r="HH98" s="134"/>
      <c r="HI98" s="134"/>
      <c r="HJ98" s="134"/>
      <c r="HK98" s="135"/>
      <c r="HL98" s="135"/>
      <c r="HM98" s="134"/>
      <c r="HN98" s="134"/>
      <c r="HO98" s="134"/>
      <c r="HP98" s="134"/>
      <c r="HQ98" s="134"/>
      <c r="HR98" s="134"/>
      <c r="HS98" s="134"/>
      <c r="HT98" s="134"/>
      <c r="HU98" s="135"/>
      <c r="HV98" s="135"/>
      <c r="HW98" s="134"/>
      <c r="HX98" s="134"/>
      <c r="HY98" s="134"/>
      <c r="HZ98" s="134"/>
      <c r="IA98" s="134"/>
      <c r="IB98" s="134"/>
      <c r="IC98" s="134"/>
      <c r="ID98" s="134"/>
      <c r="IE98" s="135"/>
      <c r="IF98" s="135"/>
      <c r="IG98" s="134"/>
      <c r="IH98" s="134"/>
      <c r="II98" s="134"/>
      <c r="IJ98" s="134"/>
      <c r="IK98" s="134"/>
      <c r="IL98" s="134"/>
      <c r="IM98" s="134"/>
      <c r="IN98" s="134"/>
      <c r="IO98" s="135"/>
      <c r="IP98" s="135"/>
      <c r="IQ98" s="134"/>
      <c r="IR98" s="134"/>
      <c r="IS98" s="134"/>
      <c r="IT98" s="134"/>
      <c r="IU98" s="134"/>
      <c r="IV98" s="134"/>
      <c r="IW98" s="134"/>
      <c r="IX98" s="134"/>
      <c r="IY98" s="135"/>
      <c r="IZ98" s="135"/>
    </row>
    <row r="99" spans="1:260" s="119" customFormat="1" ht="17" customHeight="1">
      <c r="A99" s="79" t="s">
        <v>334</v>
      </c>
      <c r="B99" s="117">
        <v>239</v>
      </c>
      <c r="C99" s="117"/>
      <c r="D99" s="117">
        <v>98</v>
      </c>
      <c r="E99" s="123" t="s">
        <v>2035</v>
      </c>
      <c r="F99" s="124" t="s">
        <v>2272</v>
      </c>
      <c r="G99" s="125">
        <v>2015</v>
      </c>
      <c r="H99" s="79">
        <v>25154707</v>
      </c>
      <c r="I99" s="79">
        <v>1</v>
      </c>
      <c r="J99" s="126"/>
      <c r="K99" s="127"/>
      <c r="L99" s="79">
        <v>1</v>
      </c>
      <c r="M99" s="79"/>
      <c r="N99" s="79">
        <v>1</v>
      </c>
      <c r="O99" s="128">
        <v>1</v>
      </c>
      <c r="P99" s="79" t="s">
        <v>870</v>
      </c>
      <c r="Q99" s="79" t="s">
        <v>1192</v>
      </c>
      <c r="R99" s="79" t="s">
        <v>25</v>
      </c>
      <c r="S99" s="79">
        <v>1</v>
      </c>
      <c r="T99" s="79"/>
      <c r="U99" s="79"/>
      <c r="V99" s="79"/>
      <c r="W99" s="79" t="s">
        <v>869</v>
      </c>
      <c r="X99" s="79" t="s">
        <v>56</v>
      </c>
      <c r="Y99" s="79"/>
      <c r="Z99" s="79"/>
      <c r="AA99" s="79"/>
      <c r="AB99" s="79" t="s">
        <v>871</v>
      </c>
      <c r="AC99" s="506" t="s">
        <v>6305</v>
      </c>
      <c r="AD99" s="573">
        <v>1</v>
      </c>
      <c r="AE99" s="573">
        <v>0</v>
      </c>
      <c r="AF99" s="154"/>
      <c r="AG99" s="155"/>
      <c r="AH99" s="121">
        <v>2</v>
      </c>
      <c r="AI99" s="484"/>
      <c r="AJ99" s="202"/>
      <c r="AK99" s="192"/>
      <c r="AL99" s="203"/>
      <c r="AM99" s="417"/>
      <c r="AN99" s="121"/>
      <c r="AO99" s="121"/>
      <c r="AP99" s="121"/>
      <c r="AQ99" s="121"/>
      <c r="AR99" s="121"/>
      <c r="AS99" s="121"/>
      <c r="AT99" s="121"/>
      <c r="AU99" s="121"/>
      <c r="AV99" s="121"/>
      <c r="AW99" s="121"/>
      <c r="AX99" s="121"/>
      <c r="AY99" s="121"/>
      <c r="AZ99" s="121"/>
      <c r="BA99" s="121"/>
      <c r="BB99" s="121"/>
      <c r="BC99" s="121"/>
      <c r="BD99" s="156"/>
      <c r="BE99" s="156"/>
      <c r="BF99" s="156"/>
      <c r="BG99" s="156" t="s">
        <v>6175</v>
      </c>
      <c r="BH99" s="156"/>
      <c r="BI99" s="156" t="s">
        <v>5207</v>
      </c>
      <c r="BJ99" s="156"/>
      <c r="BK99" s="156"/>
      <c r="BL99" s="156"/>
      <c r="BM99" s="156"/>
      <c r="BN99" s="156"/>
      <c r="BO99" s="156"/>
      <c r="BP99" s="156" t="s">
        <v>6306</v>
      </c>
      <c r="BQ99" s="157"/>
      <c r="BR99" s="134"/>
      <c r="BS99" s="134"/>
      <c r="BT99" s="134"/>
      <c r="BU99" s="134"/>
      <c r="BV99" s="134"/>
      <c r="BW99" s="259"/>
      <c r="BX99" s="138"/>
      <c r="BY99" s="134"/>
      <c r="BZ99" s="134"/>
      <c r="CA99" s="134"/>
      <c r="CB99" s="134"/>
      <c r="CC99" s="134"/>
      <c r="CD99" s="134"/>
      <c r="CE99" s="134"/>
      <c r="CF99" s="288"/>
      <c r="CG99" s="289"/>
      <c r="CH99" s="138"/>
      <c r="CI99" s="134"/>
      <c r="CJ99" s="134"/>
      <c r="CK99" s="134"/>
      <c r="CL99" s="138"/>
      <c r="CM99" s="134"/>
      <c r="CN99" s="134"/>
      <c r="CO99" s="134"/>
      <c r="CP99" s="288"/>
      <c r="CQ99" s="289"/>
      <c r="CR99" s="276"/>
      <c r="CS99" s="308"/>
      <c r="CT99" s="138"/>
      <c r="CU99" s="134"/>
      <c r="CV99" s="134"/>
      <c r="CW99" s="134"/>
      <c r="CX99" s="134"/>
      <c r="CY99" s="134"/>
      <c r="CZ99" s="134"/>
      <c r="DA99" s="134"/>
      <c r="DB99" s="300"/>
      <c r="DC99" s="301"/>
      <c r="DD99" s="134"/>
      <c r="DE99" s="134"/>
      <c r="DF99" s="134"/>
      <c r="DG99" s="134"/>
      <c r="DH99" s="134"/>
      <c r="DI99" s="134"/>
      <c r="DJ99" s="134"/>
      <c r="DK99" s="134"/>
      <c r="DL99" s="300"/>
      <c r="DM99" s="301"/>
      <c r="DN99" s="276"/>
      <c r="DO99" s="277"/>
      <c r="DP99" s="134"/>
      <c r="DQ99" s="134"/>
      <c r="DR99" s="134"/>
      <c r="DS99" s="134"/>
      <c r="DT99" s="138"/>
      <c r="DU99" s="134"/>
      <c r="DV99" s="134"/>
      <c r="DW99" s="134"/>
      <c r="DX99" s="301"/>
      <c r="DY99" s="301"/>
      <c r="DZ99" s="138"/>
      <c r="EA99" s="134"/>
      <c r="EB99" s="134"/>
      <c r="EC99" s="134"/>
      <c r="ED99" s="138"/>
      <c r="EE99" s="134"/>
      <c r="EF99" s="134"/>
      <c r="EG99" s="134"/>
      <c r="EH99" s="301"/>
      <c r="EI99" s="301"/>
      <c r="EJ99" s="277"/>
      <c r="EK99" s="134"/>
      <c r="EL99" s="134"/>
      <c r="EM99" s="134"/>
      <c r="EN99" s="134"/>
      <c r="EO99" s="134"/>
      <c r="EP99" s="134"/>
      <c r="EQ99" s="134"/>
      <c r="ER99" s="134"/>
      <c r="ES99" s="301"/>
      <c r="ET99" s="301"/>
      <c r="EU99" s="134"/>
      <c r="EV99" s="134"/>
      <c r="EW99" s="134"/>
      <c r="EX99" s="134"/>
      <c r="EY99" s="134"/>
      <c r="EZ99" s="134"/>
      <c r="FA99" s="134"/>
      <c r="FB99" s="134"/>
      <c r="FC99" s="135"/>
      <c r="FD99" s="135"/>
      <c r="FE99" s="134"/>
      <c r="FF99" s="134"/>
      <c r="FG99" s="134"/>
      <c r="FH99" s="134"/>
      <c r="FI99" s="134"/>
      <c r="FJ99" s="134"/>
      <c r="FK99" s="134"/>
      <c r="FL99" s="134"/>
      <c r="FM99" s="135"/>
      <c r="FN99" s="135"/>
      <c r="FO99" s="134"/>
      <c r="FP99" s="134"/>
      <c r="FQ99" s="134"/>
      <c r="FR99" s="134"/>
      <c r="FS99" s="134"/>
      <c r="FT99" s="134"/>
      <c r="FU99" s="134"/>
      <c r="FV99" s="134"/>
      <c r="FW99" s="135"/>
      <c r="FX99" s="135"/>
      <c r="FY99" s="134"/>
      <c r="FZ99" s="134"/>
      <c r="GA99" s="134"/>
      <c r="GB99" s="134"/>
      <c r="GC99" s="134"/>
      <c r="GD99" s="134"/>
      <c r="GE99" s="134"/>
      <c r="GF99" s="134"/>
      <c r="GG99" s="135"/>
      <c r="GH99" s="135"/>
      <c r="GI99" s="134"/>
      <c r="GJ99" s="134"/>
      <c r="GK99" s="134"/>
      <c r="GL99" s="134"/>
      <c r="GM99" s="134"/>
      <c r="GN99" s="134"/>
      <c r="GO99" s="134"/>
      <c r="GP99" s="134"/>
      <c r="GQ99" s="135"/>
      <c r="GR99" s="135"/>
      <c r="GS99" s="134"/>
      <c r="GT99" s="134"/>
      <c r="GU99" s="134"/>
      <c r="GV99" s="134"/>
      <c r="GW99" s="134"/>
      <c r="GX99" s="134"/>
      <c r="GY99" s="134"/>
      <c r="GZ99" s="134"/>
      <c r="HA99" s="135"/>
      <c r="HB99" s="135"/>
      <c r="HC99" s="134"/>
      <c r="HD99" s="134"/>
      <c r="HE99" s="134"/>
      <c r="HF99" s="134"/>
      <c r="HG99" s="134"/>
      <c r="HH99" s="134"/>
      <c r="HI99" s="134"/>
      <c r="HJ99" s="134"/>
      <c r="HK99" s="135"/>
      <c r="HL99" s="135"/>
      <c r="HM99" s="134"/>
      <c r="HN99" s="134"/>
      <c r="HO99" s="134"/>
      <c r="HP99" s="134"/>
      <c r="HQ99" s="134"/>
      <c r="HR99" s="134"/>
      <c r="HS99" s="134"/>
      <c r="HT99" s="134"/>
      <c r="HU99" s="135"/>
      <c r="HV99" s="135"/>
      <c r="HW99" s="134"/>
      <c r="HX99" s="134"/>
      <c r="HY99" s="134"/>
      <c r="HZ99" s="134"/>
      <c r="IA99" s="134"/>
      <c r="IB99" s="134"/>
      <c r="IC99" s="134"/>
      <c r="ID99" s="134"/>
      <c r="IE99" s="135"/>
      <c r="IF99" s="135"/>
      <c r="IG99" s="134"/>
      <c r="IH99" s="134"/>
      <c r="II99" s="134"/>
      <c r="IJ99" s="134"/>
      <c r="IK99" s="134"/>
      <c r="IL99" s="134"/>
      <c r="IM99" s="134"/>
      <c r="IN99" s="134"/>
      <c r="IO99" s="135"/>
      <c r="IP99" s="135"/>
      <c r="IQ99" s="134"/>
      <c r="IR99" s="134"/>
      <c r="IS99" s="134"/>
      <c r="IT99" s="134"/>
      <c r="IU99" s="134"/>
      <c r="IV99" s="134"/>
      <c r="IW99" s="134"/>
      <c r="IX99" s="134"/>
      <c r="IY99" s="135"/>
      <c r="IZ99" s="135"/>
    </row>
    <row r="100" spans="1:260" s="119" customFormat="1" ht="17" customHeight="1">
      <c r="A100" s="79" t="s">
        <v>335</v>
      </c>
      <c r="B100" s="117">
        <v>240</v>
      </c>
      <c r="C100" s="117"/>
      <c r="D100" s="117">
        <v>99</v>
      </c>
      <c r="E100" s="123" t="s">
        <v>2035</v>
      </c>
      <c r="F100" s="124" t="s">
        <v>2273</v>
      </c>
      <c r="G100" s="125">
        <v>2014</v>
      </c>
      <c r="H100" s="79">
        <v>24886789</v>
      </c>
      <c r="I100" s="79">
        <v>1</v>
      </c>
      <c r="J100" s="126"/>
      <c r="K100" s="127"/>
      <c r="L100" s="79">
        <v>1</v>
      </c>
      <c r="M100" s="79"/>
      <c r="N100" s="79">
        <v>1</v>
      </c>
      <c r="O100" s="128">
        <v>1</v>
      </c>
      <c r="P100" s="79" t="s">
        <v>870</v>
      </c>
      <c r="Q100" s="79" t="s">
        <v>1192</v>
      </c>
      <c r="R100" s="79" t="s">
        <v>25</v>
      </c>
      <c r="S100" s="79">
        <v>1</v>
      </c>
      <c r="T100" s="79"/>
      <c r="U100" s="79"/>
      <c r="V100" s="79"/>
      <c r="W100" s="79" t="s">
        <v>872</v>
      </c>
      <c r="X100" s="79" t="s">
        <v>56</v>
      </c>
      <c r="Y100" s="79"/>
      <c r="Z100" s="79"/>
      <c r="AA100" s="79"/>
      <c r="AB100" s="79"/>
      <c r="AC100" s="506" t="s">
        <v>6307</v>
      </c>
      <c r="AD100" s="573">
        <v>1</v>
      </c>
      <c r="AE100" s="573">
        <v>0</v>
      </c>
      <c r="AF100" s="154"/>
      <c r="AG100" s="155"/>
      <c r="AH100" s="121">
        <v>2</v>
      </c>
      <c r="AI100" s="484"/>
      <c r="AJ100" s="202"/>
      <c r="AK100" s="192"/>
      <c r="AL100" s="203"/>
      <c r="AM100" s="417"/>
      <c r="AN100" s="121"/>
      <c r="AO100" s="121"/>
      <c r="AP100" s="121"/>
      <c r="AQ100" s="121"/>
      <c r="AR100" s="121"/>
      <c r="AS100" s="121"/>
      <c r="AT100" s="121"/>
      <c r="AU100" s="121"/>
      <c r="AV100" s="121"/>
      <c r="AW100" s="121"/>
      <c r="AX100" s="121"/>
      <c r="AY100" s="121"/>
      <c r="AZ100" s="121"/>
      <c r="BA100" s="121"/>
      <c r="BB100" s="121"/>
      <c r="BC100" s="121"/>
      <c r="BD100" s="156"/>
      <c r="BE100" s="156"/>
      <c r="BF100" s="156"/>
      <c r="BG100" s="156" t="s">
        <v>6175</v>
      </c>
      <c r="BH100" s="156"/>
      <c r="BI100" s="156" t="s">
        <v>5207</v>
      </c>
      <c r="BJ100" s="156"/>
      <c r="BK100" s="156"/>
      <c r="BL100" s="156"/>
      <c r="BM100" s="156"/>
      <c r="BN100" s="156"/>
      <c r="BO100" s="156"/>
      <c r="BP100" s="156" t="s">
        <v>6306</v>
      </c>
      <c r="BQ100" s="157"/>
      <c r="BR100" s="134"/>
      <c r="BS100" s="134"/>
      <c r="BT100" s="134"/>
      <c r="BU100" s="134"/>
      <c r="BV100" s="134"/>
      <c r="BW100" s="259"/>
      <c r="BX100" s="138"/>
      <c r="BY100" s="134"/>
      <c r="BZ100" s="134"/>
      <c r="CA100" s="134"/>
      <c r="CB100" s="430"/>
      <c r="CC100" s="134"/>
      <c r="CD100" s="134"/>
      <c r="CE100" s="134"/>
      <c r="CF100" s="288"/>
      <c r="CG100" s="289"/>
      <c r="CH100" s="430"/>
      <c r="CI100" s="134"/>
      <c r="CJ100" s="134"/>
      <c r="CK100" s="134"/>
      <c r="CL100" s="138"/>
      <c r="CM100" s="134"/>
      <c r="CN100" s="134"/>
      <c r="CO100" s="134"/>
      <c r="CP100" s="288"/>
      <c r="CQ100" s="289"/>
      <c r="CR100" s="276"/>
      <c r="CS100" s="308"/>
      <c r="CT100" s="138"/>
      <c r="CU100" s="134"/>
      <c r="CV100" s="134"/>
      <c r="CW100" s="134"/>
      <c r="CX100" s="134"/>
      <c r="CY100" s="134"/>
      <c r="CZ100" s="134"/>
      <c r="DA100" s="134"/>
      <c r="DB100" s="300"/>
      <c r="DC100" s="301"/>
      <c r="DD100" s="134"/>
      <c r="DE100" s="134"/>
      <c r="DF100" s="134"/>
      <c r="DG100" s="134"/>
      <c r="DH100" s="134"/>
      <c r="DI100" s="134"/>
      <c r="DJ100" s="134"/>
      <c r="DK100" s="134"/>
      <c r="DL100" s="300"/>
      <c r="DM100" s="301"/>
      <c r="DN100" s="276"/>
      <c r="DO100" s="277"/>
      <c r="DP100" s="134"/>
      <c r="DQ100" s="134"/>
      <c r="DR100" s="134"/>
      <c r="DS100" s="134"/>
      <c r="DT100" s="138"/>
      <c r="DU100" s="134"/>
      <c r="DV100" s="134"/>
      <c r="DW100" s="134"/>
      <c r="DX100" s="301"/>
      <c r="DY100" s="301"/>
      <c r="DZ100" s="138"/>
      <c r="EA100" s="134"/>
      <c r="EB100" s="134"/>
      <c r="EC100" s="134"/>
      <c r="ED100" s="138"/>
      <c r="EE100" s="134"/>
      <c r="EF100" s="134"/>
      <c r="EG100" s="134"/>
      <c r="EH100" s="301"/>
      <c r="EI100" s="301"/>
      <c r="EJ100" s="277"/>
      <c r="EK100" s="134"/>
      <c r="EL100" s="134"/>
      <c r="EM100" s="134"/>
      <c r="EN100" s="134"/>
      <c r="EO100" s="134"/>
      <c r="EP100" s="134"/>
      <c r="EQ100" s="134"/>
      <c r="ER100" s="134"/>
      <c r="ES100" s="301"/>
      <c r="ET100" s="301"/>
      <c r="EU100" s="134"/>
      <c r="EV100" s="134"/>
      <c r="EW100" s="134"/>
      <c r="EX100" s="134"/>
      <c r="EY100" s="134"/>
      <c r="EZ100" s="134"/>
      <c r="FA100" s="134"/>
      <c r="FB100" s="134"/>
      <c r="FC100" s="135"/>
      <c r="FD100" s="135"/>
      <c r="FE100" s="134"/>
      <c r="FF100" s="134"/>
      <c r="FG100" s="134"/>
      <c r="FH100" s="134"/>
      <c r="FI100" s="134"/>
      <c r="FJ100" s="134"/>
      <c r="FK100" s="134"/>
      <c r="FL100" s="134"/>
      <c r="FM100" s="135"/>
      <c r="FN100" s="135"/>
      <c r="FO100" s="134"/>
      <c r="FP100" s="134"/>
      <c r="FQ100" s="134"/>
      <c r="FR100" s="134"/>
      <c r="FS100" s="134"/>
      <c r="FT100" s="134"/>
      <c r="FU100" s="134"/>
      <c r="FV100" s="134"/>
      <c r="FW100" s="135"/>
      <c r="FX100" s="135"/>
      <c r="FY100" s="134"/>
      <c r="FZ100" s="134"/>
      <c r="GA100" s="134"/>
      <c r="GB100" s="134"/>
      <c r="GC100" s="134"/>
      <c r="GD100" s="134"/>
      <c r="GE100" s="134"/>
      <c r="GF100" s="134"/>
      <c r="GG100" s="135"/>
      <c r="GH100" s="135"/>
      <c r="GI100" s="134"/>
      <c r="GJ100" s="134"/>
      <c r="GK100" s="134"/>
      <c r="GL100" s="134"/>
      <c r="GM100" s="134"/>
      <c r="GN100" s="134"/>
      <c r="GO100" s="134"/>
      <c r="GP100" s="134"/>
      <c r="GQ100" s="135"/>
      <c r="GR100" s="135"/>
      <c r="GS100" s="134"/>
      <c r="GT100" s="134"/>
      <c r="GU100" s="134"/>
      <c r="GV100" s="134"/>
      <c r="GW100" s="134"/>
      <c r="GX100" s="134"/>
      <c r="GY100" s="134"/>
      <c r="GZ100" s="134"/>
      <c r="HA100" s="135"/>
      <c r="HB100" s="135"/>
      <c r="HC100" s="134"/>
      <c r="HD100" s="134"/>
      <c r="HE100" s="134"/>
      <c r="HF100" s="134"/>
      <c r="HG100" s="134"/>
      <c r="HH100" s="134"/>
      <c r="HI100" s="134"/>
      <c r="HJ100" s="134"/>
      <c r="HK100" s="135"/>
      <c r="HL100" s="135"/>
      <c r="HM100" s="134"/>
      <c r="HN100" s="134"/>
      <c r="HO100" s="134"/>
      <c r="HP100" s="134"/>
      <c r="HQ100" s="134"/>
      <c r="HR100" s="134"/>
      <c r="HS100" s="134"/>
      <c r="HT100" s="134"/>
      <c r="HU100" s="135"/>
      <c r="HV100" s="135"/>
      <c r="HW100" s="134"/>
      <c r="HX100" s="134"/>
      <c r="HY100" s="134"/>
      <c r="HZ100" s="134"/>
      <c r="IA100" s="134"/>
      <c r="IB100" s="134"/>
      <c r="IC100" s="134"/>
      <c r="ID100" s="134"/>
      <c r="IE100" s="135"/>
      <c r="IF100" s="135"/>
      <c r="IG100" s="134"/>
      <c r="IH100" s="134"/>
      <c r="II100" s="134"/>
      <c r="IJ100" s="134"/>
      <c r="IK100" s="134"/>
      <c r="IL100" s="134"/>
      <c r="IM100" s="134"/>
      <c r="IN100" s="134"/>
      <c r="IO100" s="135"/>
      <c r="IP100" s="135"/>
      <c r="IQ100" s="134"/>
      <c r="IR100" s="134"/>
      <c r="IS100" s="134"/>
      <c r="IT100" s="134"/>
      <c r="IU100" s="134"/>
      <c r="IV100" s="134"/>
      <c r="IW100" s="134"/>
      <c r="IX100" s="134"/>
      <c r="IY100" s="135"/>
      <c r="IZ100" s="135"/>
    </row>
    <row r="101" spans="1:260" s="119" customFormat="1" ht="17" customHeight="1">
      <c r="A101" s="79" t="s">
        <v>961</v>
      </c>
      <c r="B101" s="117">
        <v>244</v>
      </c>
      <c r="C101" s="117"/>
      <c r="D101" s="117">
        <v>100</v>
      </c>
      <c r="E101" s="123" t="s">
        <v>2124</v>
      </c>
      <c r="F101" s="124" t="s">
        <v>2385</v>
      </c>
      <c r="G101" s="125">
        <v>2012</v>
      </c>
      <c r="H101" s="79">
        <v>22776621</v>
      </c>
      <c r="I101" s="79">
        <v>1</v>
      </c>
      <c r="J101" s="126">
        <v>1</v>
      </c>
      <c r="K101" s="127"/>
      <c r="L101" s="79">
        <v>1</v>
      </c>
      <c r="M101" s="79"/>
      <c r="N101" s="79">
        <v>1</v>
      </c>
      <c r="O101" s="128">
        <v>2</v>
      </c>
      <c r="P101" s="79" t="s">
        <v>1607</v>
      </c>
      <c r="Q101" s="79" t="s">
        <v>1216</v>
      </c>
      <c r="R101" s="79" t="s">
        <v>1130</v>
      </c>
      <c r="S101" s="79"/>
      <c r="T101" s="79" t="s">
        <v>1541</v>
      </c>
      <c r="U101" s="79" t="s">
        <v>1539</v>
      </c>
      <c r="V101" s="79"/>
      <c r="W101" s="79" t="s">
        <v>1689</v>
      </c>
      <c r="X101" s="79"/>
      <c r="Y101" s="79" t="s">
        <v>1606</v>
      </c>
      <c r="Z101" s="79"/>
      <c r="AA101" s="79"/>
      <c r="AB101" s="79"/>
      <c r="AC101" s="506" t="s">
        <v>6308</v>
      </c>
      <c r="AD101" s="573">
        <v>1</v>
      </c>
      <c r="AE101" s="573">
        <v>1</v>
      </c>
      <c r="AF101" s="154"/>
      <c r="AG101" s="155"/>
      <c r="AH101" s="121">
        <v>4</v>
      </c>
      <c r="AI101" s="484"/>
      <c r="AJ101" s="202"/>
      <c r="AK101" s="192"/>
      <c r="AL101" s="203"/>
      <c r="AM101" s="417"/>
      <c r="AN101" s="121"/>
      <c r="AO101" s="121"/>
      <c r="AP101" s="121"/>
      <c r="AQ101" s="121"/>
      <c r="AR101" s="121"/>
      <c r="AS101" s="121"/>
      <c r="AT101" s="121"/>
      <c r="AU101" s="121"/>
      <c r="AV101" s="121"/>
      <c r="AW101" s="121"/>
      <c r="AX101" s="121"/>
      <c r="AY101" s="121"/>
      <c r="AZ101" s="121"/>
      <c r="BA101" s="121"/>
      <c r="BB101" s="121">
        <v>1</v>
      </c>
      <c r="BC101" s="121"/>
      <c r="BD101" s="156" t="s">
        <v>4727</v>
      </c>
      <c r="BE101" s="156" t="s">
        <v>6205</v>
      </c>
      <c r="BF101" s="156"/>
      <c r="BG101" s="156"/>
      <c r="BH101" s="156"/>
      <c r="BI101" s="156"/>
      <c r="BJ101" s="156" t="s">
        <v>5545</v>
      </c>
      <c r="BK101" s="156"/>
      <c r="BL101" s="156"/>
      <c r="BM101" s="156"/>
      <c r="BN101" s="156"/>
      <c r="BO101" s="156"/>
      <c r="BP101" s="156"/>
      <c r="BQ101" s="157"/>
      <c r="BR101" s="134"/>
      <c r="BS101" s="134"/>
      <c r="BT101" s="134"/>
      <c r="BU101" s="134"/>
      <c r="BV101" s="134"/>
      <c r="BW101" s="259"/>
      <c r="BX101" s="516"/>
      <c r="BY101" s="134"/>
      <c r="BZ101" s="168"/>
      <c r="CA101" s="134"/>
      <c r="CB101" s="134"/>
      <c r="CC101" s="134"/>
      <c r="CD101" s="134"/>
      <c r="CE101" s="134"/>
      <c r="CF101" s="288"/>
      <c r="CG101" s="289"/>
      <c r="CH101" s="134"/>
      <c r="CI101" s="134"/>
      <c r="CJ101" s="168"/>
      <c r="CK101" s="134"/>
      <c r="CL101" s="134"/>
      <c r="CM101" s="134"/>
      <c r="CN101" s="134"/>
      <c r="CO101" s="134"/>
      <c r="CP101" s="288"/>
      <c r="CQ101" s="289"/>
      <c r="CR101" s="276"/>
      <c r="CS101" s="308"/>
      <c r="CT101" s="137"/>
      <c r="CU101" s="134"/>
      <c r="CV101" s="168"/>
      <c r="CW101" s="134"/>
      <c r="CX101" s="168"/>
      <c r="CY101" s="134"/>
      <c r="CZ101" s="134"/>
      <c r="DA101" s="134"/>
      <c r="DB101" s="300"/>
      <c r="DC101" s="301"/>
      <c r="DD101" s="168"/>
      <c r="DE101" s="134"/>
      <c r="DF101" s="168"/>
      <c r="DG101" s="134"/>
      <c r="DH101" s="168"/>
      <c r="DI101" s="134"/>
      <c r="DJ101" s="134"/>
      <c r="DK101" s="134"/>
      <c r="DL101" s="300"/>
      <c r="DM101" s="301"/>
      <c r="DN101" s="276"/>
      <c r="DO101" s="277"/>
      <c r="DP101" s="134"/>
      <c r="DQ101" s="134"/>
      <c r="DR101" s="134"/>
      <c r="DS101" s="480"/>
      <c r="DT101" s="134"/>
      <c r="DU101" s="134"/>
      <c r="DV101" s="134"/>
      <c r="DW101" s="134"/>
      <c r="DX101" s="301"/>
      <c r="DY101" s="301"/>
      <c r="DZ101" s="138"/>
      <c r="EA101" s="134"/>
      <c r="EB101" s="134"/>
      <c r="EC101" s="134"/>
      <c r="ED101" s="138"/>
      <c r="EE101" s="134"/>
      <c r="EF101" s="134"/>
      <c r="EG101" s="134"/>
      <c r="EH101" s="301"/>
      <c r="EI101" s="301"/>
      <c r="EJ101" s="277"/>
      <c r="EK101" s="134"/>
      <c r="EL101" s="134"/>
      <c r="EM101" s="134"/>
      <c r="EN101" s="134"/>
      <c r="EO101" s="134"/>
      <c r="EP101" s="134"/>
      <c r="EQ101" s="134"/>
      <c r="ER101" s="134"/>
      <c r="ES101" s="301"/>
      <c r="ET101" s="301"/>
      <c r="EU101" s="134"/>
      <c r="EV101" s="134"/>
      <c r="EW101" s="134"/>
      <c r="EX101" s="134"/>
      <c r="EY101" s="134"/>
      <c r="EZ101" s="134"/>
      <c r="FA101" s="134"/>
      <c r="FB101" s="134"/>
      <c r="FC101" s="135"/>
      <c r="FD101" s="135"/>
      <c r="FE101" s="134"/>
      <c r="FF101" s="134"/>
      <c r="FG101" s="134"/>
      <c r="FH101" s="134"/>
      <c r="FI101" s="134"/>
      <c r="FJ101" s="134"/>
      <c r="FK101" s="134"/>
      <c r="FL101" s="134"/>
      <c r="FM101" s="135"/>
      <c r="FN101" s="135"/>
      <c r="FO101" s="134"/>
      <c r="FP101" s="134"/>
      <c r="FQ101" s="134"/>
      <c r="FR101" s="134"/>
      <c r="FS101" s="134"/>
      <c r="FT101" s="134"/>
      <c r="FU101" s="134"/>
      <c r="FV101" s="134"/>
      <c r="FW101" s="135"/>
      <c r="FX101" s="135"/>
      <c r="FY101" s="134"/>
      <c r="FZ101" s="134"/>
      <c r="GA101" s="134"/>
      <c r="GB101" s="134"/>
      <c r="GC101" s="134"/>
      <c r="GD101" s="134"/>
      <c r="GE101" s="134"/>
      <c r="GF101" s="134"/>
      <c r="GG101" s="135"/>
      <c r="GH101" s="135"/>
      <c r="GI101" s="134"/>
      <c r="GJ101" s="134"/>
      <c r="GK101" s="134"/>
      <c r="GL101" s="134"/>
      <c r="GM101" s="134"/>
      <c r="GN101" s="134"/>
      <c r="GO101" s="134"/>
      <c r="GP101" s="134"/>
      <c r="GQ101" s="135"/>
      <c r="GR101" s="135"/>
      <c r="GS101" s="134"/>
      <c r="GT101" s="134"/>
      <c r="GU101" s="134"/>
      <c r="GV101" s="134"/>
      <c r="GW101" s="134"/>
      <c r="GX101" s="134"/>
      <c r="GY101" s="134"/>
      <c r="GZ101" s="134"/>
      <c r="HA101" s="135"/>
      <c r="HB101" s="135"/>
      <c r="HC101" s="134"/>
      <c r="HD101" s="134"/>
      <c r="HE101" s="134"/>
      <c r="HF101" s="134"/>
      <c r="HG101" s="134"/>
      <c r="HH101" s="134"/>
      <c r="HI101" s="134"/>
      <c r="HJ101" s="134"/>
      <c r="HK101" s="135"/>
      <c r="HL101" s="135"/>
      <c r="HM101" s="134"/>
      <c r="HN101" s="134"/>
      <c r="HO101" s="134"/>
      <c r="HP101" s="134"/>
      <c r="HQ101" s="134"/>
      <c r="HR101" s="134"/>
      <c r="HS101" s="134"/>
      <c r="HT101" s="134"/>
      <c r="HU101" s="135"/>
      <c r="HV101" s="135"/>
      <c r="HW101" s="134"/>
      <c r="HX101" s="134"/>
      <c r="HY101" s="134"/>
      <c r="HZ101" s="134"/>
      <c r="IA101" s="134"/>
      <c r="IB101" s="134"/>
      <c r="IC101" s="134"/>
      <c r="ID101" s="134"/>
      <c r="IE101" s="135"/>
      <c r="IF101" s="135"/>
      <c r="IG101" s="134"/>
      <c r="IH101" s="134"/>
      <c r="II101" s="134"/>
      <c r="IJ101" s="134"/>
      <c r="IK101" s="134"/>
      <c r="IL101" s="134"/>
      <c r="IM101" s="134"/>
      <c r="IN101" s="134"/>
      <c r="IO101" s="135"/>
      <c r="IP101" s="135"/>
      <c r="IQ101" s="134"/>
      <c r="IR101" s="134"/>
      <c r="IS101" s="134"/>
      <c r="IT101" s="134"/>
      <c r="IU101" s="134"/>
      <c r="IV101" s="134"/>
      <c r="IW101" s="134"/>
      <c r="IX101" s="134"/>
      <c r="IY101" s="135"/>
      <c r="IZ101" s="135"/>
    </row>
    <row r="102" spans="1:260" customFormat="1" ht="17" customHeight="1">
      <c r="A102" s="79" t="s">
        <v>960</v>
      </c>
      <c r="B102" s="117">
        <v>245</v>
      </c>
      <c r="C102" s="117"/>
      <c r="D102" s="117">
        <v>101</v>
      </c>
      <c r="E102" s="123" t="s">
        <v>2125</v>
      </c>
      <c r="F102" s="124" t="s">
        <v>2386</v>
      </c>
      <c r="G102" s="125">
        <v>2007</v>
      </c>
      <c r="H102" s="79">
        <v>17254618</v>
      </c>
      <c r="I102" s="79">
        <v>1</v>
      </c>
      <c r="J102" s="126">
        <v>1</v>
      </c>
      <c r="K102" s="127"/>
      <c r="L102" s="79">
        <v>1</v>
      </c>
      <c r="M102" s="79"/>
      <c r="N102" s="79">
        <v>1</v>
      </c>
      <c r="O102" s="128">
        <v>2</v>
      </c>
      <c r="P102" s="79" t="s">
        <v>1609</v>
      </c>
      <c r="Q102" s="79" t="s">
        <v>1216</v>
      </c>
      <c r="R102" s="79" t="s">
        <v>1608</v>
      </c>
      <c r="S102" s="79"/>
      <c r="T102" s="79" t="s">
        <v>1498</v>
      </c>
      <c r="U102" s="79" t="s">
        <v>803</v>
      </c>
      <c r="V102" s="79"/>
      <c r="W102" s="79" t="s">
        <v>1682</v>
      </c>
      <c r="X102" s="79"/>
      <c r="Y102" s="79"/>
      <c r="Z102" s="79"/>
      <c r="AA102" s="79"/>
      <c r="AB102" s="79"/>
      <c r="AC102" s="506" t="s">
        <v>6309</v>
      </c>
      <c r="AD102" s="573">
        <v>1</v>
      </c>
      <c r="AE102" s="573">
        <v>1</v>
      </c>
      <c r="AF102" s="154"/>
      <c r="AG102" s="155"/>
      <c r="AH102" s="121">
        <v>4</v>
      </c>
      <c r="AI102" s="484"/>
      <c r="AJ102" s="202"/>
      <c r="AK102" s="192"/>
      <c r="AL102" s="203"/>
      <c r="AM102" s="417"/>
      <c r="AN102" s="121"/>
      <c r="AO102" s="121"/>
      <c r="AP102" s="121"/>
      <c r="AQ102" s="121"/>
      <c r="AR102" s="121"/>
      <c r="AS102" s="121"/>
      <c r="AT102" s="448"/>
      <c r="AU102" s="121"/>
      <c r="AV102" s="121"/>
      <c r="AW102" s="121"/>
      <c r="AX102" s="121"/>
      <c r="AY102" s="121"/>
      <c r="AZ102" s="121"/>
      <c r="BA102" s="121"/>
      <c r="BB102" s="121"/>
      <c r="BC102" s="121"/>
      <c r="BD102" s="156" t="s">
        <v>4727</v>
      </c>
      <c r="BE102" s="156" t="s">
        <v>6205</v>
      </c>
      <c r="BF102" s="156"/>
      <c r="BG102" s="156"/>
      <c r="BH102" s="156"/>
      <c r="BI102" s="156"/>
      <c r="BJ102" s="156" t="s">
        <v>5545</v>
      </c>
      <c r="BK102" s="156"/>
      <c r="BL102" s="156"/>
      <c r="BM102" s="156"/>
      <c r="BN102" s="156"/>
      <c r="BO102" s="156"/>
      <c r="BP102" s="156"/>
      <c r="BQ102" s="157"/>
      <c r="BR102" s="134"/>
      <c r="BS102" s="134"/>
      <c r="BT102" s="134"/>
      <c r="BU102" s="134"/>
      <c r="BV102" s="134"/>
      <c r="BW102" s="259"/>
      <c r="BX102" s="517"/>
      <c r="BY102" s="134"/>
      <c r="BZ102" s="168"/>
      <c r="CA102" s="134"/>
      <c r="CB102" s="134"/>
      <c r="CC102" s="134"/>
      <c r="CD102" s="134"/>
      <c r="CE102" s="134"/>
      <c r="CF102" s="288"/>
      <c r="CG102" s="289"/>
      <c r="CH102" s="430"/>
      <c r="CI102" s="134"/>
      <c r="CJ102" s="134"/>
      <c r="CK102" s="134"/>
      <c r="CL102" s="430"/>
      <c r="CM102" s="134"/>
      <c r="CN102" s="134"/>
      <c r="CO102" s="134"/>
      <c r="CP102" s="288"/>
      <c r="CQ102" s="289"/>
      <c r="CR102" s="479"/>
      <c r="CS102" s="308"/>
      <c r="CT102" s="137"/>
      <c r="CU102" s="134"/>
      <c r="CV102" s="168"/>
      <c r="CW102" s="134"/>
      <c r="CX102" s="168"/>
      <c r="CY102" s="134"/>
      <c r="CZ102" s="134"/>
      <c r="DA102" s="134"/>
      <c r="DB102" s="300"/>
      <c r="DC102" s="301"/>
      <c r="DD102" s="134"/>
      <c r="DE102" s="134"/>
      <c r="DF102" s="134"/>
      <c r="DG102" s="134"/>
      <c r="DH102" s="134"/>
      <c r="DI102" s="134"/>
      <c r="DJ102" s="134"/>
      <c r="DK102" s="134"/>
      <c r="DL102" s="300"/>
      <c r="DM102" s="301"/>
      <c r="DN102" s="276"/>
      <c r="DO102" s="277"/>
      <c r="DP102" s="134"/>
      <c r="DQ102" s="134"/>
      <c r="DR102" s="134"/>
      <c r="DS102" s="134"/>
      <c r="DT102" s="138"/>
      <c r="DU102" s="134"/>
      <c r="DV102" s="134"/>
      <c r="DW102" s="134"/>
      <c r="DX102" s="301"/>
      <c r="DY102" s="301"/>
      <c r="DZ102" s="138"/>
      <c r="EA102" s="134"/>
      <c r="EB102" s="134"/>
      <c r="EC102" s="134"/>
      <c r="ED102" s="138"/>
      <c r="EE102" s="134"/>
      <c r="EF102" s="134"/>
      <c r="EG102" s="134"/>
      <c r="EH102" s="301"/>
      <c r="EI102" s="301"/>
      <c r="EJ102" s="277"/>
      <c r="EK102" s="134"/>
      <c r="EL102" s="134"/>
      <c r="EM102" s="134"/>
      <c r="EN102" s="134"/>
      <c r="EO102" s="134"/>
      <c r="EP102" s="134"/>
      <c r="EQ102" s="134"/>
      <c r="ER102" s="134"/>
      <c r="ES102" s="301"/>
      <c r="ET102" s="301"/>
      <c r="EU102" s="134"/>
      <c r="EV102" s="134"/>
      <c r="EW102" s="134"/>
      <c r="EX102" s="134"/>
      <c r="EY102" s="134"/>
      <c r="EZ102" s="134"/>
      <c r="FA102" s="134"/>
      <c r="FB102" s="134"/>
      <c r="FC102" s="135"/>
      <c r="FD102" s="135"/>
      <c r="FE102" s="134"/>
      <c r="FF102" s="134"/>
      <c r="FG102" s="134"/>
      <c r="FH102" s="134"/>
      <c r="FI102" s="134"/>
      <c r="FJ102" s="134"/>
      <c r="FK102" s="134"/>
      <c r="FL102" s="134"/>
      <c r="FM102" s="135"/>
      <c r="FN102" s="135"/>
      <c r="FO102" s="134"/>
      <c r="FP102" s="134"/>
      <c r="FQ102" s="134"/>
      <c r="FR102" s="134"/>
      <c r="FS102" s="134"/>
      <c r="FT102" s="134"/>
      <c r="FU102" s="134"/>
      <c r="FV102" s="134"/>
      <c r="FW102" s="135"/>
      <c r="FX102" s="135"/>
      <c r="FY102" s="134"/>
      <c r="FZ102" s="134"/>
      <c r="GA102" s="134"/>
      <c r="GB102" s="134"/>
      <c r="GC102" s="134"/>
      <c r="GD102" s="134"/>
      <c r="GE102" s="134"/>
      <c r="GF102" s="134"/>
      <c r="GG102" s="135"/>
      <c r="GH102" s="135"/>
      <c r="GI102" s="134"/>
      <c r="GJ102" s="134"/>
      <c r="GK102" s="134"/>
      <c r="GL102" s="134"/>
      <c r="GM102" s="134"/>
      <c r="GN102" s="134"/>
      <c r="GO102" s="134"/>
      <c r="GP102" s="134"/>
      <c r="GQ102" s="135"/>
      <c r="GR102" s="135"/>
      <c r="GS102" s="134"/>
      <c r="GT102" s="134"/>
      <c r="GU102" s="134"/>
      <c r="GV102" s="134"/>
      <c r="GW102" s="134"/>
      <c r="GX102" s="134"/>
      <c r="GY102" s="134"/>
      <c r="GZ102" s="134"/>
      <c r="HA102" s="135"/>
      <c r="HB102" s="135"/>
      <c r="HC102" s="134"/>
      <c r="HD102" s="134"/>
      <c r="HE102" s="134"/>
      <c r="HF102" s="134"/>
      <c r="HG102" s="134"/>
      <c r="HH102" s="134"/>
      <c r="HI102" s="134"/>
      <c r="HJ102" s="134"/>
      <c r="HK102" s="135"/>
      <c r="HL102" s="135"/>
      <c r="HM102" s="134"/>
      <c r="HN102" s="134"/>
      <c r="HO102" s="134"/>
      <c r="HP102" s="134"/>
      <c r="HQ102" s="134"/>
      <c r="HR102" s="134"/>
      <c r="HS102" s="134"/>
      <c r="HT102" s="134"/>
      <c r="HU102" s="135"/>
      <c r="HV102" s="135"/>
      <c r="HW102" s="134"/>
      <c r="HX102" s="134"/>
      <c r="HY102" s="134"/>
      <c r="HZ102" s="134"/>
      <c r="IA102" s="134"/>
      <c r="IB102" s="134"/>
      <c r="IC102" s="134"/>
      <c r="ID102" s="134"/>
      <c r="IE102" s="135"/>
      <c r="IF102" s="135"/>
      <c r="IG102" s="134"/>
      <c r="IH102" s="134"/>
      <c r="II102" s="134"/>
      <c r="IJ102" s="134"/>
      <c r="IK102" s="134"/>
      <c r="IL102" s="134"/>
      <c r="IM102" s="134"/>
      <c r="IN102" s="134"/>
      <c r="IO102" s="135"/>
      <c r="IP102" s="135"/>
      <c r="IQ102" s="134"/>
      <c r="IR102" s="134"/>
      <c r="IS102" s="134"/>
      <c r="IT102" s="134"/>
      <c r="IU102" s="134"/>
      <c r="IV102" s="134"/>
      <c r="IW102" s="134"/>
      <c r="IX102" s="134"/>
      <c r="IY102" s="135"/>
      <c r="IZ102" s="135"/>
    </row>
    <row r="103" spans="1:260" s="119" customFormat="1" ht="17" customHeight="1">
      <c r="A103" s="79" t="s">
        <v>958</v>
      </c>
      <c r="B103" s="117">
        <v>246</v>
      </c>
      <c r="C103" s="117"/>
      <c r="D103" s="117">
        <v>102</v>
      </c>
      <c r="E103" s="123" t="s">
        <v>2126</v>
      </c>
      <c r="F103" s="124" t="s">
        <v>2387</v>
      </c>
      <c r="G103" s="125">
        <v>2015</v>
      </c>
      <c r="H103" s="79">
        <v>25659132</v>
      </c>
      <c r="I103" s="79">
        <v>1</v>
      </c>
      <c r="J103" s="126" t="s">
        <v>1865</v>
      </c>
      <c r="K103" s="127"/>
      <c r="L103" s="79">
        <v>0</v>
      </c>
      <c r="M103" s="79"/>
      <c r="N103" s="79">
        <v>0</v>
      </c>
      <c r="O103" s="128">
        <v>2</v>
      </c>
      <c r="P103" s="79" t="s">
        <v>1615</v>
      </c>
      <c r="Q103" s="79"/>
      <c r="R103" s="79" t="s">
        <v>1130</v>
      </c>
      <c r="S103" s="79"/>
      <c r="T103" s="79" t="s">
        <v>1612</v>
      </c>
      <c r="U103" s="79" t="s">
        <v>803</v>
      </c>
      <c r="V103" s="79"/>
      <c r="W103" s="79" t="s">
        <v>1613</v>
      </c>
      <c r="X103" s="79"/>
      <c r="Y103" s="79" t="s">
        <v>1381</v>
      </c>
      <c r="Z103" s="79"/>
      <c r="AA103" s="79" t="s">
        <v>440</v>
      </c>
      <c r="AB103" s="79" t="s">
        <v>424</v>
      </c>
      <c r="AC103" s="506" t="s">
        <v>6310</v>
      </c>
      <c r="AD103" s="536">
        <v>1</v>
      </c>
      <c r="AE103" s="536">
        <v>0</v>
      </c>
      <c r="AF103" s="165" t="s">
        <v>3003</v>
      </c>
      <c r="AG103" s="166" t="s">
        <v>6311</v>
      </c>
      <c r="AH103" s="121">
        <v>4</v>
      </c>
      <c r="AI103" s="484"/>
      <c r="AJ103" s="202"/>
      <c r="AK103" s="192"/>
      <c r="AL103" s="203"/>
      <c r="AM103" s="417"/>
      <c r="AN103" s="121"/>
      <c r="AO103" s="121"/>
      <c r="AP103" s="121"/>
      <c r="AQ103" s="121"/>
      <c r="AR103" s="121"/>
      <c r="AS103" s="121"/>
      <c r="AT103" s="448"/>
      <c r="AU103" s="121"/>
      <c r="AV103" s="121"/>
      <c r="AW103" s="121"/>
      <c r="AX103" s="121"/>
      <c r="AY103" s="121"/>
      <c r="AZ103" s="121"/>
      <c r="BA103" s="121"/>
      <c r="BB103" s="121">
        <v>1</v>
      </c>
      <c r="BC103" s="156" t="s">
        <v>6312</v>
      </c>
      <c r="BD103" s="156"/>
      <c r="BE103" s="156"/>
      <c r="BF103" s="156"/>
      <c r="BG103" s="156"/>
      <c r="BH103" s="156"/>
      <c r="BI103" s="156"/>
      <c r="BJ103" s="156"/>
      <c r="BK103" s="156"/>
      <c r="BL103" s="156"/>
      <c r="BM103" s="156"/>
      <c r="BN103" s="156"/>
      <c r="BO103" s="156"/>
      <c r="BP103" s="156" t="s">
        <v>6312</v>
      </c>
      <c r="BQ103" s="157"/>
      <c r="BR103" s="134"/>
      <c r="BS103" s="134"/>
      <c r="BT103" s="134"/>
      <c r="BU103" s="134"/>
      <c r="BV103" s="134"/>
      <c r="BW103" s="259"/>
      <c r="BX103" s="516"/>
      <c r="BY103" s="134"/>
      <c r="BZ103" s="134"/>
      <c r="CA103" s="134"/>
      <c r="CB103" s="138"/>
      <c r="CC103" s="134"/>
      <c r="CD103" s="134"/>
      <c r="CE103" s="134"/>
      <c r="CF103" s="288"/>
      <c r="CG103" s="289"/>
      <c r="CH103" s="430"/>
      <c r="CI103" s="134"/>
      <c r="CJ103" s="134"/>
      <c r="CK103" s="134"/>
      <c r="CL103" s="430"/>
      <c r="CM103" s="134"/>
      <c r="CN103" s="134"/>
      <c r="CO103" s="134"/>
      <c r="CP103" s="288"/>
      <c r="CQ103" s="289"/>
      <c r="CR103" s="479"/>
      <c r="CS103" s="308"/>
      <c r="CT103" s="138"/>
      <c r="CU103" s="134"/>
      <c r="CV103" s="134"/>
      <c r="CW103" s="134"/>
      <c r="CX103" s="134"/>
      <c r="CY103" s="134"/>
      <c r="CZ103" s="134"/>
      <c r="DA103" s="134"/>
      <c r="DB103" s="300"/>
      <c r="DC103" s="301"/>
      <c r="DD103" s="134"/>
      <c r="DE103" s="134"/>
      <c r="DF103" s="134"/>
      <c r="DG103" s="134"/>
      <c r="DH103" s="134"/>
      <c r="DI103" s="134"/>
      <c r="DJ103" s="134"/>
      <c r="DK103" s="134"/>
      <c r="DL103" s="300"/>
      <c r="DM103" s="301"/>
      <c r="DN103" s="276"/>
      <c r="DO103" s="277"/>
      <c r="DP103" s="134"/>
      <c r="DQ103" s="134"/>
      <c r="DR103" s="134"/>
      <c r="DS103" s="134"/>
      <c r="DT103" s="138"/>
      <c r="DU103" s="134"/>
      <c r="DV103" s="134"/>
      <c r="DW103" s="134"/>
      <c r="DX103" s="301"/>
      <c r="DY103" s="301"/>
      <c r="DZ103" s="138"/>
      <c r="EA103" s="134"/>
      <c r="EB103" s="134"/>
      <c r="EC103" s="134"/>
      <c r="ED103" s="138"/>
      <c r="EE103" s="134"/>
      <c r="EF103" s="134"/>
      <c r="EG103" s="134"/>
      <c r="EH103" s="301"/>
      <c r="EI103" s="301"/>
      <c r="EJ103" s="277"/>
      <c r="EK103" s="134"/>
      <c r="EL103" s="134"/>
      <c r="EM103" s="134"/>
      <c r="EN103" s="134"/>
      <c r="EO103" s="134"/>
      <c r="EP103" s="134"/>
      <c r="EQ103" s="134"/>
      <c r="ER103" s="134"/>
      <c r="ES103" s="301"/>
      <c r="ET103" s="301"/>
      <c r="EU103" s="134"/>
      <c r="EV103" s="134"/>
      <c r="EW103" s="134"/>
      <c r="EX103" s="134"/>
      <c r="EY103" s="134"/>
      <c r="EZ103" s="134"/>
      <c r="FA103" s="134"/>
      <c r="FB103" s="134"/>
      <c r="FC103" s="135"/>
      <c r="FD103" s="135"/>
      <c r="FE103" s="134"/>
      <c r="FF103" s="134"/>
      <c r="FG103" s="134"/>
      <c r="FH103" s="134"/>
      <c r="FI103" s="134"/>
      <c r="FJ103" s="134"/>
      <c r="FK103" s="134"/>
      <c r="FL103" s="134"/>
      <c r="FM103" s="135"/>
      <c r="FN103" s="135"/>
      <c r="FO103" s="134"/>
      <c r="FP103" s="134"/>
      <c r="FQ103" s="134"/>
      <c r="FR103" s="134"/>
      <c r="FS103" s="134"/>
      <c r="FT103" s="134"/>
      <c r="FU103" s="134"/>
      <c r="FV103" s="134"/>
      <c r="FW103" s="135"/>
      <c r="FX103" s="135"/>
      <c r="FY103" s="134"/>
      <c r="FZ103" s="134"/>
      <c r="GA103" s="134"/>
      <c r="GB103" s="134"/>
      <c r="GC103" s="134"/>
      <c r="GD103" s="134"/>
      <c r="GE103" s="134"/>
      <c r="GF103" s="134"/>
      <c r="GG103" s="135"/>
      <c r="GH103" s="135"/>
      <c r="GI103" s="134"/>
      <c r="GJ103" s="134"/>
      <c r="GK103" s="134"/>
      <c r="GL103" s="134"/>
      <c r="GM103" s="134"/>
      <c r="GN103" s="134"/>
      <c r="GO103" s="134"/>
      <c r="GP103" s="134"/>
      <c r="GQ103" s="135"/>
      <c r="GR103" s="135"/>
      <c r="GS103" s="134"/>
      <c r="GT103" s="134"/>
      <c r="GU103" s="134"/>
      <c r="GV103" s="134"/>
      <c r="GW103" s="134"/>
      <c r="GX103" s="134"/>
      <c r="GY103" s="134"/>
      <c r="GZ103" s="134"/>
      <c r="HA103" s="135"/>
      <c r="HB103" s="135"/>
      <c r="HC103" s="134"/>
      <c r="HD103" s="134"/>
      <c r="HE103" s="134"/>
      <c r="HF103" s="134"/>
      <c r="HG103" s="134"/>
      <c r="HH103" s="134"/>
      <c r="HI103" s="134"/>
      <c r="HJ103" s="134"/>
      <c r="HK103" s="135"/>
      <c r="HL103" s="135"/>
      <c r="HM103" s="134"/>
      <c r="HN103" s="134"/>
      <c r="HO103" s="134"/>
      <c r="HP103" s="134"/>
      <c r="HQ103" s="134"/>
      <c r="HR103" s="134"/>
      <c r="HS103" s="134"/>
      <c r="HT103" s="134"/>
      <c r="HU103" s="135"/>
      <c r="HV103" s="135"/>
      <c r="HW103" s="134"/>
      <c r="HX103" s="134"/>
      <c r="HY103" s="134"/>
      <c r="HZ103" s="134"/>
      <c r="IA103" s="134"/>
      <c r="IB103" s="134"/>
      <c r="IC103" s="134"/>
      <c r="ID103" s="134"/>
      <c r="IE103" s="135"/>
      <c r="IF103" s="135"/>
      <c r="IG103" s="134"/>
      <c r="IH103" s="134"/>
      <c r="II103" s="134"/>
      <c r="IJ103" s="134"/>
      <c r="IK103" s="134"/>
      <c r="IL103" s="134"/>
      <c r="IM103" s="134"/>
      <c r="IN103" s="134"/>
      <c r="IO103" s="135"/>
      <c r="IP103" s="135"/>
      <c r="IQ103" s="134"/>
      <c r="IR103" s="134"/>
      <c r="IS103" s="134"/>
      <c r="IT103" s="134"/>
      <c r="IU103" s="134"/>
      <c r="IV103" s="134"/>
      <c r="IW103" s="134"/>
      <c r="IX103" s="134"/>
      <c r="IY103" s="135"/>
      <c r="IZ103" s="135"/>
    </row>
    <row r="104" spans="1:260" s="119" customFormat="1" ht="17" customHeight="1">
      <c r="A104" s="79" t="s">
        <v>954</v>
      </c>
      <c r="B104" s="117">
        <v>248</v>
      </c>
      <c r="C104" s="117"/>
      <c r="D104" s="117">
        <v>103</v>
      </c>
      <c r="E104" s="123" t="s">
        <v>2126</v>
      </c>
      <c r="F104" s="124" t="s">
        <v>2390</v>
      </c>
      <c r="G104" s="125">
        <v>2015</v>
      </c>
      <c r="H104" s="79">
        <v>26277823</v>
      </c>
      <c r="I104" s="175">
        <v>1</v>
      </c>
      <c r="J104" s="126" t="s">
        <v>1863</v>
      </c>
      <c r="K104" s="127"/>
      <c r="L104" s="79">
        <v>0</v>
      </c>
      <c r="M104" s="79"/>
      <c r="N104" s="79">
        <v>0</v>
      </c>
      <c r="O104" s="128">
        <v>2</v>
      </c>
      <c r="P104" s="79" t="s">
        <v>1421</v>
      </c>
      <c r="Q104" s="79"/>
      <c r="R104" s="79" t="s">
        <v>1621</v>
      </c>
      <c r="S104" s="79"/>
      <c r="T104" s="79" t="s">
        <v>1545</v>
      </c>
      <c r="U104" s="79" t="s">
        <v>803</v>
      </c>
      <c r="V104" s="79" t="s">
        <v>23</v>
      </c>
      <c r="W104" s="79" t="s">
        <v>1670</v>
      </c>
      <c r="X104" s="79"/>
      <c r="Y104" s="79" t="s">
        <v>1622</v>
      </c>
      <c r="Z104" s="79"/>
      <c r="AA104" s="79" t="s">
        <v>1623</v>
      </c>
      <c r="AB104" s="79" t="s">
        <v>1279</v>
      </c>
      <c r="AC104" s="506" t="s">
        <v>6313</v>
      </c>
      <c r="AD104" s="536">
        <v>1</v>
      </c>
      <c r="AE104" s="536">
        <v>0</v>
      </c>
      <c r="AF104" s="165" t="s">
        <v>3003</v>
      </c>
      <c r="AG104" s="378" t="s">
        <v>6314</v>
      </c>
      <c r="AH104" s="121">
        <v>5</v>
      </c>
      <c r="AI104" s="484"/>
      <c r="AJ104" s="535"/>
      <c r="AK104" s="192"/>
      <c r="AL104" s="203"/>
      <c r="AM104" s="417"/>
      <c r="AN104" s="121"/>
      <c r="AO104" s="121"/>
      <c r="AP104" s="121"/>
      <c r="AQ104" s="121"/>
      <c r="AR104" s="121"/>
      <c r="AS104" s="121"/>
      <c r="AT104" s="121"/>
      <c r="AU104" s="121"/>
      <c r="AV104" s="121"/>
      <c r="AW104" s="121"/>
      <c r="AX104" s="121"/>
      <c r="AY104" s="121"/>
      <c r="AZ104" s="121"/>
      <c r="BA104" s="121"/>
      <c r="BB104" s="121">
        <v>1</v>
      </c>
      <c r="BC104" s="121"/>
      <c r="BD104" s="156"/>
      <c r="BE104" s="156"/>
      <c r="BF104" s="156"/>
      <c r="BG104" s="156"/>
      <c r="BH104" s="156"/>
      <c r="BI104" s="156"/>
      <c r="BJ104" s="156"/>
      <c r="BK104" s="156"/>
      <c r="BL104" s="156"/>
      <c r="BM104" s="156"/>
      <c r="BN104" s="156"/>
      <c r="BO104" s="156"/>
      <c r="BP104" s="156"/>
      <c r="BQ104" s="157"/>
      <c r="BR104" s="134"/>
      <c r="BS104" s="134"/>
      <c r="BT104" s="134"/>
      <c r="BU104" s="134"/>
      <c r="BV104" s="134"/>
      <c r="BW104" s="259"/>
      <c r="BX104" s="516"/>
      <c r="BY104" s="138"/>
      <c r="BZ104" s="134"/>
      <c r="CA104" s="134"/>
      <c r="CB104" s="138"/>
      <c r="CC104" s="134"/>
      <c r="CD104" s="134"/>
      <c r="CE104" s="134"/>
      <c r="CF104" s="288"/>
      <c r="CG104" s="289"/>
      <c r="CH104" s="138"/>
      <c r="CI104" s="134"/>
      <c r="CJ104" s="134"/>
      <c r="CK104" s="134"/>
      <c r="CL104" s="138"/>
      <c r="CM104" s="134"/>
      <c r="CN104" s="134"/>
      <c r="CO104" s="134"/>
      <c r="CP104" s="288"/>
      <c r="CQ104" s="289"/>
      <c r="CR104" s="276"/>
      <c r="CS104" s="308"/>
      <c r="CT104" s="138"/>
      <c r="CU104" s="134"/>
      <c r="CV104" s="134"/>
      <c r="CW104" s="134"/>
      <c r="CX104" s="134"/>
      <c r="CY104" s="134"/>
      <c r="CZ104" s="134"/>
      <c r="DA104" s="134"/>
      <c r="DB104" s="300"/>
      <c r="DC104" s="301"/>
      <c r="DD104" s="134"/>
      <c r="DE104" s="134"/>
      <c r="DF104" s="134"/>
      <c r="DG104" s="134"/>
      <c r="DH104" s="134"/>
      <c r="DI104" s="190"/>
      <c r="DJ104" s="134"/>
      <c r="DK104" s="190"/>
      <c r="DL104" s="300"/>
      <c r="DM104" s="301"/>
      <c r="DN104" s="276"/>
      <c r="DO104" s="277"/>
      <c r="DP104" s="134"/>
      <c r="DQ104" s="134"/>
      <c r="DR104" s="134"/>
      <c r="DS104" s="134"/>
      <c r="DT104" s="138"/>
      <c r="DU104" s="134"/>
      <c r="DV104" s="134"/>
      <c r="DW104" s="134"/>
      <c r="DX104" s="301"/>
      <c r="DY104" s="301"/>
      <c r="DZ104" s="138"/>
      <c r="EA104" s="134"/>
      <c r="EB104" s="134"/>
      <c r="EC104" s="134"/>
      <c r="ED104" s="138"/>
      <c r="EE104" s="134"/>
      <c r="EF104" s="134"/>
      <c r="EG104" s="134"/>
      <c r="EH104" s="301"/>
      <c r="EI104" s="301"/>
      <c r="EJ104" s="277"/>
      <c r="EK104" s="134"/>
      <c r="EL104" s="134"/>
      <c r="EM104" s="134"/>
      <c r="EN104" s="134"/>
      <c r="EO104" s="134"/>
      <c r="EP104" s="134"/>
      <c r="EQ104" s="134"/>
      <c r="ER104" s="134"/>
      <c r="ES104" s="301"/>
      <c r="ET104" s="301"/>
      <c r="EU104" s="134"/>
      <c r="EV104" s="134"/>
      <c r="EW104" s="134"/>
      <c r="EX104" s="134"/>
      <c r="EY104" s="134"/>
      <c r="EZ104" s="134"/>
      <c r="FA104" s="134"/>
      <c r="FB104" s="134"/>
      <c r="FC104" s="135"/>
      <c r="FD104" s="135"/>
      <c r="FE104" s="134"/>
      <c r="FF104" s="134"/>
      <c r="FG104" s="134"/>
      <c r="FH104" s="134"/>
      <c r="FI104" s="134"/>
      <c r="FJ104" s="134"/>
      <c r="FK104" s="134"/>
      <c r="FL104" s="134"/>
      <c r="FM104" s="135"/>
      <c r="FN104" s="135"/>
      <c r="FO104" s="134"/>
      <c r="FP104" s="134"/>
      <c r="FQ104" s="134"/>
      <c r="FR104" s="134"/>
      <c r="FS104" s="134"/>
      <c r="FT104" s="134"/>
      <c r="FU104" s="134"/>
      <c r="FV104" s="134"/>
      <c r="FW104" s="135"/>
      <c r="FX104" s="135"/>
      <c r="FY104" s="134"/>
      <c r="FZ104" s="134"/>
      <c r="GA104" s="134"/>
      <c r="GB104" s="134"/>
      <c r="GC104" s="134"/>
      <c r="GD104" s="134"/>
      <c r="GE104" s="134"/>
      <c r="GF104" s="134"/>
      <c r="GG104" s="135"/>
      <c r="GH104" s="135"/>
      <c r="GI104" s="134"/>
      <c r="GJ104" s="134"/>
      <c r="GK104" s="134"/>
      <c r="GL104" s="134"/>
      <c r="GM104" s="134"/>
      <c r="GN104" s="134"/>
      <c r="GO104" s="134"/>
      <c r="GP104" s="134"/>
      <c r="GQ104" s="135"/>
      <c r="GR104" s="135"/>
      <c r="GS104" s="134"/>
      <c r="GT104" s="134"/>
      <c r="GU104" s="134"/>
      <c r="GV104" s="134"/>
      <c r="GW104" s="134"/>
      <c r="GX104" s="134"/>
      <c r="GY104" s="134"/>
      <c r="GZ104" s="134"/>
      <c r="HA104" s="135"/>
      <c r="HB104" s="135"/>
      <c r="HC104" s="134"/>
      <c r="HD104" s="134"/>
      <c r="HE104" s="134"/>
      <c r="HF104" s="134"/>
      <c r="HG104" s="134"/>
      <c r="HH104" s="134"/>
      <c r="HI104" s="134"/>
      <c r="HJ104" s="134"/>
      <c r="HK104" s="135"/>
      <c r="HL104" s="135"/>
      <c r="HM104" s="134"/>
      <c r="HN104" s="134"/>
      <c r="HO104" s="134"/>
      <c r="HP104" s="134"/>
      <c r="HQ104" s="134"/>
      <c r="HR104" s="134"/>
      <c r="HS104" s="134"/>
      <c r="HT104" s="134"/>
      <c r="HU104" s="135"/>
      <c r="HV104" s="135"/>
      <c r="HW104" s="134"/>
      <c r="HX104" s="134"/>
      <c r="HY104" s="134"/>
      <c r="HZ104" s="134"/>
      <c r="IA104" s="134"/>
      <c r="IB104" s="134"/>
      <c r="IC104" s="134"/>
      <c r="ID104" s="134"/>
      <c r="IE104" s="135"/>
      <c r="IF104" s="135"/>
      <c r="IG104" s="134"/>
      <c r="IH104" s="134"/>
      <c r="II104" s="134"/>
      <c r="IJ104" s="134"/>
      <c r="IK104" s="134"/>
      <c r="IL104" s="134"/>
      <c r="IM104" s="134"/>
      <c r="IN104" s="134"/>
      <c r="IO104" s="135"/>
      <c r="IP104" s="135"/>
      <c r="IQ104" s="134"/>
      <c r="IR104" s="134"/>
      <c r="IS104" s="134"/>
      <c r="IT104" s="134"/>
      <c r="IU104" s="134"/>
      <c r="IV104" s="134"/>
      <c r="IW104" s="134"/>
      <c r="IX104" s="134"/>
      <c r="IY104" s="135"/>
      <c r="IZ104" s="135"/>
    </row>
    <row r="105" spans="1:260" customFormat="1" ht="17" customHeight="1">
      <c r="A105" s="79" t="s">
        <v>345</v>
      </c>
      <c r="B105" s="117">
        <v>249</v>
      </c>
      <c r="C105" s="117"/>
      <c r="D105" s="117">
        <v>104</v>
      </c>
      <c r="E105" s="123" t="s">
        <v>2038</v>
      </c>
      <c r="F105" s="124" t="s">
        <v>2277</v>
      </c>
      <c r="G105" s="125">
        <v>2015</v>
      </c>
      <c r="H105" s="79">
        <v>26522237</v>
      </c>
      <c r="I105" s="79">
        <v>1</v>
      </c>
      <c r="J105" s="126"/>
      <c r="K105" s="127"/>
      <c r="L105" s="79">
        <v>1</v>
      </c>
      <c r="M105" s="79"/>
      <c r="N105" s="164">
        <v>1</v>
      </c>
      <c r="O105" s="128">
        <v>1</v>
      </c>
      <c r="P105" s="79" t="s">
        <v>1179</v>
      </c>
      <c r="Q105" s="79" t="s">
        <v>1142</v>
      </c>
      <c r="R105" s="79" t="s">
        <v>591</v>
      </c>
      <c r="S105" s="79">
        <v>1</v>
      </c>
      <c r="T105" s="79"/>
      <c r="U105" s="79"/>
      <c r="V105" s="79"/>
      <c r="W105" s="79" t="s">
        <v>897</v>
      </c>
      <c r="X105" s="79" t="s">
        <v>24</v>
      </c>
      <c r="Y105" s="79" t="s">
        <v>898</v>
      </c>
      <c r="Z105" s="79"/>
      <c r="AA105" s="79"/>
      <c r="AB105" s="79" t="s">
        <v>899</v>
      </c>
      <c r="AC105" s="506" t="s">
        <v>6315</v>
      </c>
      <c r="AD105" s="536">
        <v>1</v>
      </c>
      <c r="AE105" s="536">
        <v>0</v>
      </c>
      <c r="AF105" s="165" t="s">
        <v>3003</v>
      </c>
      <c r="AG105" s="166" t="s">
        <v>6316</v>
      </c>
      <c r="AH105" s="121">
        <v>2</v>
      </c>
      <c r="AI105" s="484"/>
      <c r="AJ105" s="202"/>
      <c r="AK105" s="192"/>
      <c r="AL105" s="203"/>
      <c r="AM105" s="121"/>
      <c r="AN105" s="121"/>
      <c r="AO105" s="121"/>
      <c r="AP105" s="121"/>
      <c r="AQ105" s="121"/>
      <c r="AR105" s="121"/>
      <c r="AS105" s="121"/>
      <c r="AT105" s="448"/>
      <c r="AU105" s="121"/>
      <c r="AV105" s="121"/>
      <c r="AW105" s="121"/>
      <c r="AX105" s="121"/>
      <c r="AY105" s="121"/>
      <c r="AZ105" s="121"/>
      <c r="BA105" s="121"/>
      <c r="BB105" s="121"/>
      <c r="BC105" s="121" t="s">
        <v>6317</v>
      </c>
      <c r="BD105" s="156"/>
      <c r="BE105" s="156"/>
      <c r="BF105" s="156"/>
      <c r="BG105" s="156"/>
      <c r="BH105" s="156"/>
      <c r="BI105" s="156"/>
      <c r="BJ105" s="156"/>
      <c r="BK105" s="156"/>
      <c r="BL105" s="156"/>
      <c r="BM105" s="156"/>
      <c r="BN105" s="156"/>
      <c r="BO105" s="156"/>
      <c r="BP105" s="121" t="s">
        <v>6317</v>
      </c>
      <c r="BQ105" s="157"/>
      <c r="BR105" s="134"/>
      <c r="BS105" s="134"/>
      <c r="BT105" s="134"/>
      <c r="BU105" s="134"/>
      <c r="BV105" s="134"/>
      <c r="BW105" s="259"/>
      <c r="BX105" s="516"/>
      <c r="BY105" s="134"/>
      <c r="BZ105" s="134"/>
      <c r="CA105" s="134"/>
      <c r="CB105" s="138"/>
      <c r="CC105" s="134"/>
      <c r="CD105" s="134"/>
      <c r="CE105" s="134"/>
      <c r="CF105" s="288"/>
      <c r="CG105" s="289"/>
      <c r="CH105" s="138"/>
      <c r="CI105" s="134"/>
      <c r="CJ105" s="134"/>
      <c r="CK105" s="134"/>
      <c r="CL105" s="138"/>
      <c r="CM105" s="134"/>
      <c r="CN105" s="134"/>
      <c r="CO105" s="134"/>
      <c r="CP105" s="288"/>
      <c r="CQ105" s="289"/>
      <c r="CR105" s="276"/>
      <c r="CS105" s="308"/>
      <c r="CT105" s="138"/>
      <c r="CU105" s="134"/>
      <c r="CV105" s="134"/>
      <c r="CW105" s="134"/>
      <c r="CX105" s="134"/>
      <c r="CY105" s="134"/>
      <c r="CZ105" s="134"/>
      <c r="DA105" s="134"/>
      <c r="DB105" s="300"/>
      <c r="DC105" s="301"/>
      <c r="DD105" s="134"/>
      <c r="DE105" s="134"/>
      <c r="DF105" s="134"/>
      <c r="DG105" s="134"/>
      <c r="DH105" s="134"/>
      <c r="DI105" s="134"/>
      <c r="DJ105" s="134"/>
      <c r="DK105" s="134"/>
      <c r="DL105" s="300"/>
      <c r="DM105" s="301"/>
      <c r="DN105" s="276"/>
      <c r="DO105" s="277"/>
      <c r="DP105" s="190"/>
      <c r="DQ105" s="190"/>
      <c r="DR105" s="190"/>
      <c r="DS105" s="190"/>
      <c r="DT105" s="556"/>
      <c r="DU105" s="190"/>
      <c r="DV105" s="190"/>
      <c r="DW105" s="190"/>
      <c r="DX105" s="469"/>
      <c r="DY105" s="469"/>
      <c r="DZ105" s="138"/>
      <c r="EA105" s="134"/>
      <c r="EB105" s="134"/>
      <c r="EC105" s="134"/>
      <c r="ED105" s="138"/>
      <c r="EE105" s="134"/>
      <c r="EF105" s="134"/>
      <c r="EG105" s="134"/>
      <c r="EH105" s="301"/>
      <c r="EI105" s="301"/>
      <c r="EJ105" s="277"/>
      <c r="EK105" s="134"/>
      <c r="EL105" s="134"/>
      <c r="EM105" s="134"/>
      <c r="EN105" s="134"/>
      <c r="EO105" s="134"/>
      <c r="EP105" s="134"/>
      <c r="EQ105" s="134"/>
      <c r="ER105" s="134"/>
      <c r="ES105" s="301"/>
      <c r="ET105" s="301"/>
      <c r="EU105" s="134"/>
      <c r="EV105" s="134"/>
      <c r="EW105" s="134"/>
      <c r="EX105" s="134"/>
      <c r="EY105" s="134"/>
      <c r="EZ105" s="134"/>
      <c r="FA105" s="134"/>
      <c r="FB105" s="134"/>
      <c r="FC105" s="135"/>
      <c r="FD105" s="135"/>
      <c r="FE105" s="134"/>
      <c r="FF105" s="134"/>
      <c r="FG105" s="134"/>
      <c r="FH105" s="134"/>
      <c r="FI105" s="134"/>
      <c r="FJ105" s="134"/>
      <c r="FK105" s="134"/>
      <c r="FL105" s="134"/>
      <c r="FM105" s="135"/>
      <c r="FN105" s="135"/>
      <c r="FO105" s="134"/>
      <c r="FP105" s="134"/>
      <c r="FQ105" s="134"/>
      <c r="FR105" s="134"/>
      <c r="FS105" s="134"/>
      <c r="FT105" s="134"/>
      <c r="FU105" s="134"/>
      <c r="FV105" s="134"/>
      <c r="FW105" s="135"/>
      <c r="FX105" s="135"/>
      <c r="FY105" s="134"/>
      <c r="FZ105" s="134"/>
      <c r="GA105" s="134"/>
      <c r="GB105" s="134"/>
      <c r="GC105" s="134"/>
      <c r="GD105" s="134"/>
      <c r="GE105" s="134"/>
      <c r="GF105" s="134"/>
      <c r="GG105" s="135"/>
      <c r="GH105" s="135"/>
      <c r="GI105" s="134"/>
      <c r="GJ105" s="134"/>
      <c r="GK105" s="134"/>
      <c r="GL105" s="134"/>
      <c r="GM105" s="134"/>
      <c r="GN105" s="134"/>
      <c r="GO105" s="134"/>
      <c r="GP105" s="134"/>
      <c r="GQ105" s="135"/>
      <c r="GR105" s="135"/>
      <c r="GS105" s="134"/>
      <c r="GT105" s="134"/>
      <c r="GU105" s="134"/>
      <c r="GV105" s="134"/>
      <c r="GW105" s="134"/>
      <c r="GX105" s="134"/>
      <c r="GY105" s="134"/>
      <c r="GZ105" s="134"/>
      <c r="HA105" s="135"/>
      <c r="HB105" s="135"/>
      <c r="HC105" s="134"/>
      <c r="HD105" s="134"/>
      <c r="HE105" s="134"/>
      <c r="HF105" s="134"/>
      <c r="HG105" s="134"/>
      <c r="HH105" s="134"/>
      <c r="HI105" s="134"/>
      <c r="HJ105" s="134"/>
      <c r="HK105" s="135"/>
      <c r="HL105" s="135"/>
      <c r="HM105" s="134"/>
      <c r="HN105" s="134"/>
      <c r="HO105" s="134"/>
      <c r="HP105" s="134"/>
      <c r="HQ105" s="134"/>
      <c r="HR105" s="134"/>
      <c r="HS105" s="134"/>
      <c r="HT105" s="134"/>
      <c r="HU105" s="135"/>
      <c r="HV105" s="135"/>
      <c r="HW105" s="134"/>
      <c r="HX105" s="134"/>
      <c r="HY105" s="134"/>
      <c r="HZ105" s="134"/>
      <c r="IA105" s="134"/>
      <c r="IB105" s="134"/>
      <c r="IC105" s="134"/>
      <c r="ID105" s="134"/>
      <c r="IE105" s="135"/>
      <c r="IF105" s="135"/>
      <c r="IG105" s="134"/>
      <c r="IH105" s="134"/>
      <c r="II105" s="134"/>
      <c r="IJ105" s="134"/>
      <c r="IK105" s="134"/>
      <c r="IL105" s="134"/>
      <c r="IM105" s="134"/>
      <c r="IN105" s="134"/>
      <c r="IO105" s="135"/>
      <c r="IP105" s="135"/>
      <c r="IQ105" s="134"/>
      <c r="IR105" s="134"/>
      <c r="IS105" s="134"/>
      <c r="IT105" s="134"/>
      <c r="IU105" s="134"/>
      <c r="IV105" s="134"/>
      <c r="IW105" s="134"/>
      <c r="IX105" s="134"/>
      <c r="IY105" s="135"/>
      <c r="IZ105" s="135"/>
    </row>
    <row r="106" spans="1:260" customFormat="1" ht="17" customHeight="1">
      <c r="A106" s="79" t="s">
        <v>350</v>
      </c>
      <c r="B106" s="117">
        <v>250</v>
      </c>
      <c r="C106" s="117"/>
      <c r="D106" s="117">
        <v>105</v>
      </c>
      <c r="E106" s="123" t="s">
        <v>2039</v>
      </c>
      <c r="F106" s="124" t="s">
        <v>2278</v>
      </c>
      <c r="G106" s="125">
        <v>2013</v>
      </c>
      <c r="H106" s="79">
        <v>23517445</v>
      </c>
      <c r="I106" s="79">
        <v>1</v>
      </c>
      <c r="J106" s="126"/>
      <c r="K106" s="127"/>
      <c r="L106" s="79">
        <v>1</v>
      </c>
      <c r="M106" s="79"/>
      <c r="N106" s="79">
        <v>1</v>
      </c>
      <c r="O106" s="128">
        <v>1</v>
      </c>
      <c r="P106" s="79" t="s">
        <v>909</v>
      </c>
      <c r="Q106" s="79" t="s">
        <v>1157</v>
      </c>
      <c r="R106" s="79" t="s">
        <v>25</v>
      </c>
      <c r="S106" s="79">
        <v>1</v>
      </c>
      <c r="T106" s="79"/>
      <c r="U106" s="79"/>
      <c r="V106" s="79"/>
      <c r="W106" s="79" t="s">
        <v>908</v>
      </c>
      <c r="X106" s="79"/>
      <c r="Y106" s="79"/>
      <c r="Z106" s="79"/>
      <c r="AA106" s="79"/>
      <c r="AB106" s="79"/>
      <c r="AC106" s="506" t="s">
        <v>6319</v>
      </c>
      <c r="AD106" s="573">
        <v>1</v>
      </c>
      <c r="AE106" s="573">
        <v>0</v>
      </c>
      <c r="AF106" s="154"/>
      <c r="AG106" s="155"/>
      <c r="AH106" s="121">
        <v>2</v>
      </c>
      <c r="AI106" s="484"/>
      <c r="AJ106" s="202"/>
      <c r="AK106" s="192"/>
      <c r="AL106" s="203"/>
      <c r="AM106" s="121"/>
      <c r="AN106" s="121"/>
      <c r="AO106" s="121"/>
      <c r="AP106" s="121"/>
      <c r="AQ106" s="121"/>
      <c r="AR106" s="121"/>
      <c r="AS106" s="121"/>
      <c r="AT106" s="448"/>
      <c r="AU106" s="121"/>
      <c r="AV106" s="121"/>
      <c r="AW106" s="121"/>
      <c r="AX106" s="121"/>
      <c r="AY106" s="121"/>
      <c r="AZ106" s="121"/>
      <c r="BA106" s="121"/>
      <c r="BB106" s="121"/>
      <c r="BC106" s="121"/>
      <c r="BD106" s="156"/>
      <c r="BE106" s="156"/>
      <c r="BF106" s="156" t="s">
        <v>5207</v>
      </c>
      <c r="BG106" s="156"/>
      <c r="BH106" s="156"/>
      <c r="BI106" s="156" t="s">
        <v>6320</v>
      </c>
      <c r="BJ106" s="156"/>
      <c r="BK106" s="156" t="s">
        <v>6318</v>
      </c>
      <c r="BL106" s="156"/>
      <c r="BM106" s="156"/>
      <c r="BN106" s="156"/>
      <c r="BO106" s="156"/>
      <c r="BP106" s="156"/>
      <c r="BQ106" s="157"/>
      <c r="BR106" s="134"/>
      <c r="BS106" s="134"/>
      <c r="BT106" s="134"/>
      <c r="BU106" s="134"/>
      <c r="BV106" s="134"/>
      <c r="BW106" s="259"/>
      <c r="BX106" s="517"/>
      <c r="BY106" s="134"/>
      <c r="BZ106" s="134"/>
      <c r="CA106" s="134"/>
      <c r="CB106" s="138"/>
      <c r="CC106" s="190"/>
      <c r="CD106" s="134"/>
      <c r="CE106" s="190"/>
      <c r="CF106" s="288"/>
      <c r="CG106" s="289"/>
      <c r="CH106" s="430"/>
      <c r="CI106" s="426"/>
      <c r="CJ106" s="426"/>
      <c r="CK106" s="426"/>
      <c r="CL106" s="430"/>
      <c r="CM106" s="426"/>
      <c r="CN106" s="426"/>
      <c r="CO106" s="426"/>
      <c r="CP106" s="288"/>
      <c r="CQ106" s="289"/>
      <c r="CR106" s="276"/>
      <c r="CS106" s="308"/>
      <c r="CT106" s="138"/>
      <c r="CU106" s="134"/>
      <c r="CV106" s="134"/>
      <c r="CW106" s="134"/>
      <c r="CX106" s="134"/>
      <c r="CY106" s="134"/>
      <c r="CZ106" s="134"/>
      <c r="DA106" s="134"/>
      <c r="DB106" s="300"/>
      <c r="DC106" s="301"/>
      <c r="DD106" s="134"/>
      <c r="DE106" s="134"/>
      <c r="DF106" s="134"/>
      <c r="DG106" s="134"/>
      <c r="DH106" s="134"/>
      <c r="DI106" s="134"/>
      <c r="DJ106" s="134"/>
      <c r="DK106" s="134"/>
      <c r="DL106" s="300"/>
      <c r="DM106" s="301"/>
      <c r="DN106" s="276"/>
      <c r="DO106" s="277"/>
      <c r="DP106" s="134"/>
      <c r="DQ106" s="134"/>
      <c r="DR106" s="134"/>
      <c r="DS106" s="134"/>
      <c r="DT106" s="138"/>
      <c r="DU106" s="134"/>
      <c r="DV106" s="134"/>
      <c r="DW106" s="134"/>
      <c r="DX106" s="301"/>
      <c r="DY106" s="301"/>
      <c r="DZ106" s="138"/>
      <c r="EA106" s="134"/>
      <c r="EB106" s="134"/>
      <c r="EC106" s="134"/>
      <c r="ED106" s="138"/>
      <c r="EE106" s="134"/>
      <c r="EF106" s="134"/>
      <c r="EG106" s="134"/>
      <c r="EH106" s="301"/>
      <c r="EI106" s="301"/>
      <c r="EJ106" s="277"/>
      <c r="EK106" s="134"/>
      <c r="EL106" s="134"/>
      <c r="EM106" s="134"/>
      <c r="EN106" s="134"/>
      <c r="EO106" s="134"/>
      <c r="EP106" s="134"/>
      <c r="EQ106" s="134"/>
      <c r="ER106" s="134"/>
      <c r="ES106" s="301"/>
      <c r="ET106" s="301"/>
      <c r="EU106" s="134"/>
      <c r="EV106" s="134"/>
      <c r="EW106" s="134"/>
      <c r="EX106" s="134"/>
      <c r="EY106" s="134"/>
      <c r="EZ106" s="134"/>
      <c r="FA106" s="134"/>
      <c r="FB106" s="134"/>
      <c r="FC106" s="135"/>
      <c r="FD106" s="135"/>
      <c r="FE106" s="134"/>
      <c r="FF106" s="134"/>
      <c r="FG106" s="134"/>
      <c r="FH106" s="134"/>
      <c r="FI106" s="134"/>
      <c r="FJ106" s="134"/>
      <c r="FK106" s="134"/>
      <c r="FL106" s="134"/>
      <c r="FM106" s="135"/>
      <c r="FN106" s="135"/>
      <c r="FO106" s="134"/>
      <c r="FP106" s="134"/>
      <c r="FQ106" s="134"/>
      <c r="FR106" s="134"/>
      <c r="FS106" s="134"/>
      <c r="FT106" s="134"/>
      <c r="FU106" s="134"/>
      <c r="FV106" s="134"/>
      <c r="FW106" s="135"/>
      <c r="FX106" s="135"/>
      <c r="FY106" s="134"/>
      <c r="FZ106" s="134"/>
      <c r="GA106" s="134"/>
      <c r="GB106" s="134"/>
      <c r="GC106" s="134"/>
      <c r="GD106" s="134"/>
      <c r="GE106" s="134"/>
      <c r="GF106" s="134"/>
      <c r="GG106" s="135"/>
      <c r="GH106" s="135"/>
      <c r="GI106" s="134"/>
      <c r="GJ106" s="134"/>
      <c r="GK106" s="134"/>
      <c r="GL106" s="134"/>
      <c r="GM106" s="134"/>
      <c r="GN106" s="134"/>
      <c r="GO106" s="134"/>
      <c r="GP106" s="134"/>
      <c r="GQ106" s="135"/>
      <c r="GR106" s="135"/>
      <c r="GS106" s="134"/>
      <c r="GT106" s="134"/>
      <c r="GU106" s="134"/>
      <c r="GV106" s="134"/>
      <c r="GW106" s="134"/>
      <c r="GX106" s="134"/>
      <c r="GY106" s="134"/>
      <c r="GZ106" s="134"/>
      <c r="HA106" s="135"/>
      <c r="HB106" s="135"/>
      <c r="HC106" s="134"/>
      <c r="HD106" s="134"/>
      <c r="HE106" s="134"/>
      <c r="HF106" s="134"/>
      <c r="HG106" s="134"/>
      <c r="HH106" s="134"/>
      <c r="HI106" s="134"/>
      <c r="HJ106" s="134"/>
      <c r="HK106" s="135"/>
      <c r="HL106" s="135"/>
      <c r="HM106" s="134"/>
      <c r="HN106" s="134"/>
      <c r="HO106" s="134"/>
      <c r="HP106" s="134"/>
      <c r="HQ106" s="134"/>
      <c r="HR106" s="134"/>
      <c r="HS106" s="134"/>
      <c r="HT106" s="134"/>
      <c r="HU106" s="135"/>
      <c r="HV106" s="135"/>
      <c r="HW106" s="134"/>
      <c r="HX106" s="134"/>
      <c r="HY106" s="134"/>
      <c r="HZ106" s="134"/>
      <c r="IA106" s="134"/>
      <c r="IB106" s="134"/>
      <c r="IC106" s="134"/>
      <c r="ID106" s="134"/>
      <c r="IE106" s="135"/>
      <c r="IF106" s="135"/>
      <c r="IG106" s="134"/>
      <c r="IH106" s="134"/>
      <c r="II106" s="134"/>
      <c r="IJ106" s="134"/>
      <c r="IK106" s="134"/>
      <c r="IL106" s="134"/>
      <c r="IM106" s="134"/>
      <c r="IN106" s="134"/>
      <c r="IO106" s="135"/>
      <c r="IP106" s="135"/>
      <c r="IQ106" s="134"/>
      <c r="IR106" s="134"/>
      <c r="IS106" s="134"/>
      <c r="IT106" s="134"/>
      <c r="IU106" s="134"/>
      <c r="IV106" s="134"/>
      <c r="IW106" s="134"/>
      <c r="IX106" s="134"/>
      <c r="IY106" s="135"/>
      <c r="IZ106" s="135"/>
    </row>
    <row r="107" spans="1:260" customFormat="1" ht="17" customHeight="1">
      <c r="A107" s="79" t="s">
        <v>351</v>
      </c>
      <c r="B107" s="117">
        <v>251</v>
      </c>
      <c r="C107" s="117"/>
      <c r="D107" s="117">
        <v>106</v>
      </c>
      <c r="E107" s="123" t="s">
        <v>2040</v>
      </c>
      <c r="F107" s="124" t="s">
        <v>2279</v>
      </c>
      <c r="G107" s="125">
        <v>2014</v>
      </c>
      <c r="H107" s="79">
        <v>24354897</v>
      </c>
      <c r="I107" s="79">
        <v>1</v>
      </c>
      <c r="J107" s="126"/>
      <c r="K107" s="127"/>
      <c r="L107" s="79">
        <v>1</v>
      </c>
      <c r="M107" s="79"/>
      <c r="N107" s="79">
        <v>1</v>
      </c>
      <c r="O107" s="128">
        <v>1</v>
      </c>
      <c r="P107" s="79" t="s">
        <v>609</v>
      </c>
      <c r="Q107" s="79" t="s">
        <v>1158</v>
      </c>
      <c r="R107" s="79" t="s">
        <v>910</v>
      </c>
      <c r="S107" s="79">
        <v>1</v>
      </c>
      <c r="T107" s="79"/>
      <c r="U107" s="79"/>
      <c r="V107" s="79"/>
      <c r="W107" s="79" t="s">
        <v>610</v>
      </c>
      <c r="X107" s="79"/>
      <c r="Y107" s="79"/>
      <c r="Z107" s="79" t="s">
        <v>911</v>
      </c>
      <c r="AA107" s="79"/>
      <c r="AB107" s="79"/>
      <c r="AC107" s="506" t="s">
        <v>6321</v>
      </c>
      <c r="AD107" s="573">
        <v>1</v>
      </c>
      <c r="AE107" s="573">
        <v>1</v>
      </c>
      <c r="AF107" s="154"/>
      <c r="AG107" s="155"/>
      <c r="AH107" s="121">
        <v>2</v>
      </c>
      <c r="AI107" s="484"/>
      <c r="AJ107" s="202"/>
      <c r="AK107" s="192"/>
      <c r="AL107" s="203"/>
      <c r="AM107" s="121"/>
      <c r="AN107" s="121"/>
      <c r="AO107" s="121"/>
      <c r="AP107" s="121"/>
      <c r="AQ107" s="121"/>
      <c r="AR107" s="121"/>
      <c r="AS107" s="121"/>
      <c r="AT107" s="121"/>
      <c r="AU107" s="121"/>
      <c r="AV107" s="121"/>
      <c r="AW107" s="121"/>
      <c r="AX107" s="121"/>
      <c r="AY107" s="121"/>
      <c r="AZ107" s="121"/>
      <c r="BA107" s="121"/>
      <c r="BB107" s="121"/>
      <c r="BC107" s="121"/>
      <c r="BD107" s="156"/>
      <c r="BE107" s="156"/>
      <c r="BF107" s="156" t="s">
        <v>5207</v>
      </c>
      <c r="BG107" s="156"/>
      <c r="BH107" s="156"/>
      <c r="BI107" s="156" t="s">
        <v>5207</v>
      </c>
      <c r="BJ107" s="156" t="s">
        <v>6174</v>
      </c>
      <c r="BK107" s="156"/>
      <c r="BL107" s="156">
        <v>1</v>
      </c>
      <c r="BM107" s="156"/>
      <c r="BN107" s="156" t="s">
        <v>5207</v>
      </c>
      <c r="BO107" s="156" t="s">
        <v>5207</v>
      </c>
      <c r="BP107" s="156"/>
      <c r="BQ107" s="157"/>
      <c r="BR107" s="134"/>
      <c r="BS107" s="134"/>
      <c r="BT107" s="134"/>
      <c r="BU107" s="134"/>
      <c r="BV107" s="134"/>
      <c r="BW107" s="259"/>
      <c r="BX107" s="517"/>
      <c r="BY107" s="134"/>
      <c r="BZ107" s="134"/>
      <c r="CA107" s="134"/>
      <c r="CB107" s="138"/>
      <c r="CC107" s="134"/>
      <c r="CD107" s="134"/>
      <c r="CE107" s="134"/>
      <c r="CF107" s="288"/>
      <c r="CG107" s="289"/>
      <c r="CH107" s="430"/>
      <c r="CI107" s="426"/>
      <c r="CJ107" s="426"/>
      <c r="CK107" s="426"/>
      <c r="CL107" s="430"/>
      <c r="CM107" s="426"/>
      <c r="CN107" s="426"/>
      <c r="CO107" s="426"/>
      <c r="CP107" s="288"/>
      <c r="CQ107" s="289"/>
      <c r="CR107" s="276"/>
      <c r="CS107" s="308"/>
      <c r="CT107" s="138"/>
      <c r="CU107" s="134"/>
      <c r="CV107" s="134"/>
      <c r="CW107" s="134"/>
      <c r="CX107" s="134"/>
      <c r="CY107" s="134"/>
      <c r="CZ107" s="134"/>
      <c r="DA107" s="134"/>
      <c r="DB107" s="300"/>
      <c r="DC107" s="301"/>
      <c r="DD107" s="134"/>
      <c r="DE107" s="134"/>
      <c r="DF107" s="134"/>
      <c r="DG107" s="134"/>
      <c r="DH107" s="134"/>
      <c r="DI107" s="134"/>
      <c r="DJ107" s="134"/>
      <c r="DK107" s="134"/>
      <c r="DL107" s="300"/>
      <c r="DM107" s="301"/>
      <c r="DN107" s="276"/>
      <c r="DO107" s="277"/>
      <c r="DP107" s="134"/>
      <c r="DQ107" s="134"/>
      <c r="DR107" s="134"/>
      <c r="DS107" s="134"/>
      <c r="DT107" s="138"/>
      <c r="DU107" s="134"/>
      <c r="DV107" s="134"/>
      <c r="DW107" s="134"/>
      <c r="DX107" s="301"/>
      <c r="DY107" s="301"/>
      <c r="DZ107" s="138"/>
      <c r="EA107" s="134"/>
      <c r="EB107" s="134"/>
      <c r="EC107" s="134"/>
      <c r="ED107" s="138"/>
      <c r="EE107" s="134"/>
      <c r="EF107" s="134"/>
      <c r="EG107" s="134"/>
      <c r="EH107" s="301"/>
      <c r="EI107" s="301"/>
      <c r="EJ107" s="277"/>
      <c r="EK107" s="134"/>
      <c r="EL107" s="134"/>
      <c r="EM107" s="134"/>
      <c r="EN107" s="134"/>
      <c r="EO107" s="134"/>
      <c r="EP107" s="134"/>
      <c r="EQ107" s="134"/>
      <c r="ER107" s="134"/>
      <c r="ES107" s="301"/>
      <c r="ET107" s="301"/>
      <c r="EU107" s="134"/>
      <c r="EV107" s="134"/>
      <c r="EW107" s="134"/>
      <c r="EX107" s="134"/>
      <c r="EY107" s="134"/>
      <c r="EZ107" s="134"/>
      <c r="FA107" s="134"/>
      <c r="FB107" s="134"/>
      <c r="FC107" s="135"/>
      <c r="FD107" s="135"/>
      <c r="FE107" s="134"/>
      <c r="FF107" s="134"/>
      <c r="FG107" s="134"/>
      <c r="FH107" s="134"/>
      <c r="FI107" s="134"/>
      <c r="FJ107" s="134"/>
      <c r="FK107" s="134"/>
      <c r="FL107" s="134"/>
      <c r="FM107" s="135"/>
      <c r="FN107" s="135"/>
      <c r="FO107" s="134"/>
      <c r="FP107" s="134"/>
      <c r="FQ107" s="134"/>
      <c r="FR107" s="134"/>
      <c r="FS107" s="134"/>
      <c r="FT107" s="134"/>
      <c r="FU107" s="134"/>
      <c r="FV107" s="134"/>
      <c r="FW107" s="135"/>
      <c r="FX107" s="135"/>
      <c r="FY107" s="134"/>
      <c r="FZ107" s="134"/>
      <c r="GA107" s="134"/>
      <c r="GB107" s="134"/>
      <c r="GC107" s="134"/>
      <c r="GD107" s="134"/>
      <c r="GE107" s="134"/>
      <c r="GF107" s="134"/>
      <c r="GG107" s="135"/>
      <c r="GH107" s="135"/>
      <c r="GI107" s="134"/>
      <c r="GJ107" s="134"/>
      <c r="GK107" s="134"/>
      <c r="GL107" s="134"/>
      <c r="GM107" s="134"/>
      <c r="GN107" s="134"/>
      <c r="GO107" s="134"/>
      <c r="GP107" s="134"/>
      <c r="GQ107" s="135"/>
      <c r="GR107" s="135"/>
      <c r="GS107" s="134"/>
      <c r="GT107" s="134"/>
      <c r="GU107" s="134"/>
      <c r="GV107" s="134"/>
      <c r="GW107" s="134"/>
      <c r="GX107" s="134"/>
      <c r="GY107" s="134"/>
      <c r="GZ107" s="134"/>
      <c r="HA107" s="135"/>
      <c r="HB107" s="135"/>
      <c r="HC107" s="134"/>
      <c r="HD107" s="134"/>
      <c r="HE107" s="134"/>
      <c r="HF107" s="134"/>
      <c r="HG107" s="134"/>
      <c r="HH107" s="134"/>
      <c r="HI107" s="134"/>
      <c r="HJ107" s="134"/>
      <c r="HK107" s="135"/>
      <c r="HL107" s="135"/>
      <c r="HM107" s="134"/>
      <c r="HN107" s="134"/>
      <c r="HO107" s="134"/>
      <c r="HP107" s="134"/>
      <c r="HQ107" s="134"/>
      <c r="HR107" s="134"/>
      <c r="HS107" s="134"/>
      <c r="HT107" s="134"/>
      <c r="HU107" s="135"/>
      <c r="HV107" s="135"/>
      <c r="HW107" s="134"/>
      <c r="HX107" s="134"/>
      <c r="HY107" s="134"/>
      <c r="HZ107" s="134"/>
      <c r="IA107" s="134"/>
      <c r="IB107" s="134"/>
      <c r="IC107" s="134"/>
      <c r="ID107" s="134"/>
      <c r="IE107" s="135"/>
      <c r="IF107" s="135"/>
      <c r="IG107" s="134"/>
      <c r="IH107" s="134"/>
      <c r="II107" s="134"/>
      <c r="IJ107" s="134"/>
      <c r="IK107" s="134"/>
      <c r="IL107" s="134"/>
      <c r="IM107" s="134"/>
      <c r="IN107" s="134"/>
      <c r="IO107" s="135"/>
      <c r="IP107" s="135"/>
      <c r="IQ107" s="134"/>
      <c r="IR107" s="134"/>
      <c r="IS107" s="134"/>
      <c r="IT107" s="134"/>
      <c r="IU107" s="134"/>
      <c r="IV107" s="134"/>
      <c r="IW107" s="134"/>
      <c r="IX107" s="134"/>
      <c r="IY107" s="135"/>
      <c r="IZ107" s="135"/>
    </row>
    <row r="108" spans="1:260" s="36" customFormat="1" ht="17" customHeight="1">
      <c r="A108" s="79" t="s">
        <v>352</v>
      </c>
      <c r="B108" s="117">
        <v>252</v>
      </c>
      <c r="C108" s="117"/>
      <c r="D108" s="117">
        <v>107</v>
      </c>
      <c r="E108" s="123" t="s">
        <v>2041</v>
      </c>
      <c r="F108" s="124" t="s">
        <v>2280</v>
      </c>
      <c r="G108" s="125">
        <v>2015</v>
      </c>
      <c r="H108" s="79">
        <v>25244677</v>
      </c>
      <c r="I108" s="79">
        <v>1</v>
      </c>
      <c r="J108" s="126"/>
      <c r="K108" s="127"/>
      <c r="L108" s="79">
        <v>1</v>
      </c>
      <c r="M108" s="79"/>
      <c r="N108" s="79">
        <v>1</v>
      </c>
      <c r="O108" s="128">
        <v>1</v>
      </c>
      <c r="P108" s="79" t="s">
        <v>913</v>
      </c>
      <c r="Q108" s="79" t="s">
        <v>1164</v>
      </c>
      <c r="R108" s="79" t="s">
        <v>865</v>
      </c>
      <c r="S108" s="79">
        <v>0</v>
      </c>
      <c r="T108" s="79"/>
      <c r="U108" s="79"/>
      <c r="V108" s="79"/>
      <c r="W108" s="79" t="s">
        <v>30</v>
      </c>
      <c r="X108" s="79"/>
      <c r="Y108" s="79"/>
      <c r="Z108" s="79" t="s">
        <v>912</v>
      </c>
      <c r="AA108" s="79"/>
      <c r="AB108" s="79"/>
      <c r="AC108" s="506" t="s">
        <v>6322</v>
      </c>
      <c r="AD108" s="573">
        <v>1</v>
      </c>
      <c r="AE108" s="573">
        <v>0</v>
      </c>
      <c r="AF108" s="154"/>
      <c r="AG108" s="155"/>
      <c r="AH108" s="121"/>
      <c r="AI108" s="484"/>
      <c r="AJ108" s="202"/>
      <c r="AK108" s="192"/>
      <c r="AL108" s="203"/>
      <c r="AM108" s="121"/>
      <c r="AN108" s="121"/>
      <c r="AO108" s="121"/>
      <c r="AP108" s="121"/>
      <c r="AQ108" s="121"/>
      <c r="AR108" s="121"/>
      <c r="AS108" s="121"/>
      <c r="AT108" s="121"/>
      <c r="AU108" s="121"/>
      <c r="AV108" s="121"/>
      <c r="AW108" s="121"/>
      <c r="AX108" s="121"/>
      <c r="AY108" s="121"/>
      <c r="AZ108" s="121"/>
      <c r="BA108" s="121"/>
      <c r="BB108" s="121"/>
      <c r="BC108" s="121"/>
      <c r="BD108" s="156"/>
      <c r="BE108" s="156"/>
      <c r="BF108" s="156" t="s">
        <v>5207</v>
      </c>
      <c r="BG108" s="156"/>
      <c r="BH108" s="156"/>
      <c r="BI108" s="156"/>
      <c r="BJ108" s="156"/>
      <c r="BK108" s="156"/>
      <c r="BL108" s="156"/>
      <c r="BM108" s="156"/>
      <c r="BN108" s="156"/>
      <c r="BO108" s="156"/>
      <c r="BP108" s="156"/>
      <c r="BQ108" s="157"/>
      <c r="BR108" s="134"/>
      <c r="BS108" s="134"/>
      <c r="BT108" s="134"/>
      <c r="BU108" s="134"/>
      <c r="BV108" s="134"/>
      <c r="BW108" s="259"/>
      <c r="BX108" s="517"/>
      <c r="BY108" s="134"/>
      <c r="BZ108" s="134"/>
      <c r="CA108" s="134"/>
      <c r="CB108" s="138"/>
      <c r="CC108" s="134"/>
      <c r="CD108" s="134"/>
      <c r="CE108" s="134"/>
      <c r="CF108" s="288"/>
      <c r="CG108" s="289"/>
      <c r="CH108" s="138"/>
      <c r="CI108" s="134"/>
      <c r="CJ108" s="134"/>
      <c r="CK108" s="134"/>
      <c r="CL108" s="138"/>
      <c r="CM108" s="134"/>
      <c r="CN108" s="134"/>
      <c r="CO108" s="134"/>
      <c r="CP108" s="288"/>
      <c r="CQ108" s="289"/>
      <c r="CR108" s="276"/>
      <c r="CS108" s="308"/>
      <c r="CT108" s="138"/>
      <c r="CU108" s="134"/>
      <c r="CV108" s="134"/>
      <c r="CW108" s="134"/>
      <c r="CX108" s="134"/>
      <c r="CY108" s="134"/>
      <c r="CZ108" s="134"/>
      <c r="DA108" s="134"/>
      <c r="DB108" s="300"/>
      <c r="DC108" s="301"/>
      <c r="DD108" s="134"/>
      <c r="DE108" s="134"/>
      <c r="DF108" s="134"/>
      <c r="DG108" s="134"/>
      <c r="DH108" s="134"/>
      <c r="DI108" s="134"/>
      <c r="DJ108" s="134"/>
      <c r="DK108" s="134"/>
      <c r="DL108" s="300"/>
      <c r="DM108" s="301"/>
      <c r="DN108" s="276"/>
      <c r="DO108" s="277"/>
      <c r="DP108" s="134"/>
      <c r="DQ108" s="134"/>
      <c r="DR108" s="134"/>
      <c r="DS108" s="134"/>
      <c r="DT108" s="138"/>
      <c r="DU108" s="134"/>
      <c r="DV108" s="134"/>
      <c r="DW108" s="134"/>
      <c r="DX108" s="301"/>
      <c r="DY108" s="301"/>
      <c r="DZ108" s="138"/>
      <c r="EA108" s="134"/>
      <c r="EB108" s="134"/>
      <c r="EC108" s="134"/>
      <c r="ED108" s="138"/>
      <c r="EE108" s="134"/>
      <c r="EF108" s="134"/>
      <c r="EG108" s="134"/>
      <c r="EH108" s="301"/>
      <c r="EI108" s="301"/>
      <c r="EJ108" s="277"/>
      <c r="EK108" s="134"/>
      <c r="EL108" s="134"/>
      <c r="EM108" s="134"/>
      <c r="EN108" s="134"/>
      <c r="EO108" s="134"/>
      <c r="EP108" s="134"/>
      <c r="EQ108" s="134"/>
      <c r="ER108" s="134"/>
      <c r="ES108" s="301"/>
      <c r="ET108" s="301"/>
      <c r="EU108" s="134"/>
      <c r="EV108" s="134"/>
      <c r="EW108" s="134"/>
      <c r="EX108" s="134"/>
      <c r="EY108" s="134"/>
      <c r="EZ108" s="134"/>
      <c r="FA108" s="134"/>
      <c r="FB108" s="134"/>
      <c r="FC108" s="135"/>
      <c r="FD108" s="135"/>
      <c r="FE108" s="134"/>
      <c r="FF108" s="134"/>
      <c r="FG108" s="134"/>
      <c r="FH108" s="134"/>
      <c r="FI108" s="134"/>
      <c r="FJ108" s="134"/>
      <c r="FK108" s="134"/>
      <c r="FL108" s="134"/>
      <c r="FM108" s="135"/>
      <c r="FN108" s="135"/>
      <c r="FO108" s="134"/>
      <c r="FP108" s="134"/>
      <c r="FQ108" s="134"/>
      <c r="FR108" s="134"/>
      <c r="FS108" s="134"/>
      <c r="FT108" s="134"/>
      <c r="FU108" s="134"/>
      <c r="FV108" s="134"/>
      <c r="FW108" s="135"/>
      <c r="FX108" s="135"/>
      <c r="FY108" s="134"/>
      <c r="FZ108" s="134"/>
      <c r="GA108" s="134"/>
      <c r="GB108" s="134"/>
      <c r="GC108" s="134"/>
      <c r="GD108" s="134"/>
      <c r="GE108" s="134"/>
      <c r="GF108" s="134"/>
      <c r="GG108" s="135"/>
      <c r="GH108" s="135"/>
      <c r="GI108" s="134"/>
      <c r="GJ108" s="134"/>
      <c r="GK108" s="134"/>
      <c r="GL108" s="134"/>
      <c r="GM108" s="134"/>
      <c r="GN108" s="134"/>
      <c r="GO108" s="134"/>
      <c r="GP108" s="134"/>
      <c r="GQ108" s="135"/>
      <c r="GR108" s="135"/>
      <c r="GS108" s="134"/>
      <c r="GT108" s="134"/>
      <c r="GU108" s="134"/>
      <c r="GV108" s="134"/>
      <c r="GW108" s="134"/>
      <c r="GX108" s="134"/>
      <c r="GY108" s="134"/>
      <c r="GZ108" s="134"/>
      <c r="HA108" s="135"/>
      <c r="HB108" s="135"/>
      <c r="HC108" s="134"/>
      <c r="HD108" s="134"/>
      <c r="HE108" s="134"/>
      <c r="HF108" s="134"/>
      <c r="HG108" s="134"/>
      <c r="HH108" s="134"/>
      <c r="HI108" s="134"/>
      <c r="HJ108" s="134"/>
      <c r="HK108" s="135"/>
      <c r="HL108" s="135"/>
      <c r="HM108" s="134"/>
      <c r="HN108" s="134"/>
      <c r="HO108" s="134"/>
      <c r="HP108" s="134"/>
      <c r="HQ108" s="134"/>
      <c r="HR108" s="134"/>
      <c r="HS108" s="134"/>
      <c r="HT108" s="134"/>
      <c r="HU108" s="135"/>
      <c r="HV108" s="135"/>
      <c r="HW108" s="134"/>
      <c r="HX108" s="134"/>
      <c r="HY108" s="134"/>
      <c r="HZ108" s="134"/>
      <c r="IA108" s="134"/>
      <c r="IB108" s="134"/>
      <c r="IC108" s="134"/>
      <c r="ID108" s="134"/>
      <c r="IE108" s="135"/>
      <c r="IF108" s="135"/>
      <c r="IG108" s="134"/>
      <c r="IH108" s="134"/>
      <c r="II108" s="134"/>
      <c r="IJ108" s="134"/>
      <c r="IK108" s="134"/>
      <c r="IL108" s="134"/>
      <c r="IM108" s="134"/>
      <c r="IN108" s="134"/>
      <c r="IO108" s="135"/>
      <c r="IP108" s="135"/>
      <c r="IQ108" s="134"/>
      <c r="IR108" s="134"/>
      <c r="IS108" s="134"/>
      <c r="IT108" s="134"/>
      <c r="IU108" s="134"/>
      <c r="IV108" s="134"/>
      <c r="IW108" s="134"/>
      <c r="IX108" s="134"/>
      <c r="IY108" s="135"/>
      <c r="IZ108" s="135"/>
    </row>
    <row r="109" spans="1:260" s="119" customFormat="1" ht="17" customHeight="1">
      <c r="A109" s="79" t="s">
        <v>353</v>
      </c>
      <c r="B109" s="117">
        <v>253</v>
      </c>
      <c r="C109" s="117"/>
      <c r="D109" s="117">
        <v>108</v>
      </c>
      <c r="E109" s="123" t="s">
        <v>2042</v>
      </c>
      <c r="F109" s="124" t="s">
        <v>2281</v>
      </c>
      <c r="G109" s="125">
        <v>2016</v>
      </c>
      <c r="H109" s="79">
        <v>26447678</v>
      </c>
      <c r="I109" s="79">
        <v>1</v>
      </c>
      <c r="J109" s="126"/>
      <c r="K109" s="127"/>
      <c r="L109" s="79">
        <v>1</v>
      </c>
      <c r="M109" s="79"/>
      <c r="N109" s="79">
        <v>1</v>
      </c>
      <c r="O109" s="128">
        <v>1</v>
      </c>
      <c r="P109" s="79" t="s">
        <v>609</v>
      </c>
      <c r="Q109" s="79" t="s">
        <v>1158</v>
      </c>
      <c r="R109" s="79" t="s">
        <v>25</v>
      </c>
      <c r="S109" s="79">
        <v>1</v>
      </c>
      <c r="T109" s="79"/>
      <c r="U109" s="79"/>
      <c r="V109" s="79"/>
      <c r="W109" s="79" t="s">
        <v>610</v>
      </c>
      <c r="X109" s="79" t="s">
        <v>915</v>
      </c>
      <c r="Y109" s="79" t="s">
        <v>914</v>
      </c>
      <c r="Z109" s="79"/>
      <c r="AA109" s="79"/>
      <c r="AB109" s="79"/>
      <c r="AC109" s="506" t="s">
        <v>6323</v>
      </c>
      <c r="AD109" s="573">
        <v>1</v>
      </c>
      <c r="AE109" s="573">
        <v>0</v>
      </c>
      <c r="AF109" s="154"/>
      <c r="AG109" s="155"/>
      <c r="AH109" s="121">
        <v>2</v>
      </c>
      <c r="AI109" s="484"/>
      <c r="AJ109" s="202"/>
      <c r="AK109" s="192"/>
      <c r="AL109" s="203"/>
      <c r="AM109" s="121"/>
      <c r="AN109" s="121"/>
      <c r="AO109" s="121"/>
      <c r="AP109" s="121"/>
      <c r="AQ109" s="121"/>
      <c r="AR109" s="121"/>
      <c r="AS109" s="121"/>
      <c r="AT109" s="121"/>
      <c r="AU109" s="121"/>
      <c r="AV109" s="121"/>
      <c r="AW109" s="121"/>
      <c r="AX109" s="121"/>
      <c r="AY109" s="121"/>
      <c r="AZ109" s="121"/>
      <c r="BA109" s="121"/>
      <c r="BB109" s="121"/>
      <c r="BC109" s="121"/>
      <c r="BD109" s="156"/>
      <c r="BE109" s="156"/>
      <c r="BF109" s="156"/>
      <c r="BG109" s="156"/>
      <c r="BH109" s="156"/>
      <c r="BI109" s="156"/>
      <c r="BJ109" s="156"/>
      <c r="BK109" s="156"/>
      <c r="BL109" s="156" t="s">
        <v>5207</v>
      </c>
      <c r="BM109" s="156"/>
      <c r="BN109" s="156"/>
      <c r="BO109" s="156"/>
      <c r="BP109" s="156"/>
      <c r="BQ109" s="157"/>
      <c r="BR109" s="134"/>
      <c r="BS109" s="134"/>
      <c r="BT109" s="134"/>
      <c r="BU109" s="134"/>
      <c r="BV109" s="134"/>
      <c r="BW109" s="259"/>
      <c r="BX109" s="517"/>
      <c r="BY109" s="134"/>
      <c r="BZ109" s="134"/>
      <c r="CA109" s="134"/>
      <c r="CB109" s="138"/>
      <c r="CC109" s="134"/>
      <c r="CD109" s="134"/>
      <c r="CE109" s="134"/>
      <c r="CF109" s="288"/>
      <c r="CG109" s="289"/>
      <c r="CH109" s="138"/>
      <c r="CI109" s="134"/>
      <c r="CJ109" s="134"/>
      <c r="CK109" s="134"/>
      <c r="CL109" s="138"/>
      <c r="CM109" s="134"/>
      <c r="CN109" s="134"/>
      <c r="CO109" s="134"/>
      <c r="CP109" s="288"/>
      <c r="CQ109" s="289"/>
      <c r="CR109" s="276"/>
      <c r="CS109" s="308"/>
      <c r="CT109" s="430"/>
      <c r="CU109" s="426"/>
      <c r="CV109" s="426"/>
      <c r="CW109" s="426"/>
      <c r="CX109" s="426"/>
      <c r="CY109" s="134"/>
      <c r="CZ109" s="134"/>
      <c r="DA109" s="134"/>
      <c r="DB109" s="300"/>
      <c r="DC109" s="301"/>
      <c r="DD109" s="426"/>
      <c r="DE109" s="426"/>
      <c r="DF109" s="426"/>
      <c r="DG109" s="426"/>
      <c r="DH109" s="426"/>
      <c r="DI109" s="134"/>
      <c r="DJ109" s="134"/>
      <c r="DK109" s="134"/>
      <c r="DL109" s="300"/>
      <c r="DM109" s="301"/>
      <c r="DN109" s="276"/>
      <c r="DO109" s="277"/>
      <c r="DP109" s="134"/>
      <c r="DQ109" s="134"/>
      <c r="DR109" s="134"/>
      <c r="DS109" s="134"/>
      <c r="DT109" s="138"/>
      <c r="DU109" s="134"/>
      <c r="DV109" s="134"/>
      <c r="DW109" s="134"/>
      <c r="DX109" s="301"/>
      <c r="DY109" s="301"/>
      <c r="DZ109" s="138"/>
      <c r="EA109" s="134"/>
      <c r="EB109" s="134"/>
      <c r="EC109" s="134"/>
      <c r="ED109" s="138"/>
      <c r="EE109" s="134"/>
      <c r="EF109" s="134"/>
      <c r="EG109" s="134"/>
      <c r="EH109" s="301"/>
      <c r="EI109" s="301"/>
      <c r="EJ109" s="277"/>
      <c r="EK109" s="134"/>
      <c r="EL109" s="134"/>
      <c r="EM109" s="134"/>
      <c r="EN109" s="134"/>
      <c r="EO109" s="134"/>
      <c r="EP109" s="134"/>
      <c r="EQ109" s="134"/>
      <c r="ER109" s="134"/>
      <c r="ES109" s="301"/>
      <c r="ET109" s="301"/>
      <c r="EU109" s="134"/>
      <c r="EV109" s="134"/>
      <c r="EW109" s="134"/>
      <c r="EX109" s="134"/>
      <c r="EY109" s="134"/>
      <c r="EZ109" s="134"/>
      <c r="FA109" s="134"/>
      <c r="FB109" s="134"/>
      <c r="FC109" s="135"/>
      <c r="FD109" s="135"/>
      <c r="FE109" s="134"/>
      <c r="FF109" s="134"/>
      <c r="FG109" s="134"/>
      <c r="FH109" s="134"/>
      <c r="FI109" s="134"/>
      <c r="FJ109" s="134"/>
      <c r="FK109" s="134"/>
      <c r="FL109" s="134"/>
      <c r="FM109" s="135"/>
      <c r="FN109" s="135"/>
      <c r="FO109" s="134"/>
      <c r="FP109" s="134"/>
      <c r="FQ109" s="134"/>
      <c r="FR109" s="134"/>
      <c r="FS109" s="134"/>
      <c r="FT109" s="134"/>
      <c r="FU109" s="134"/>
      <c r="FV109" s="134"/>
      <c r="FW109" s="135"/>
      <c r="FX109" s="135"/>
      <c r="FY109" s="134"/>
      <c r="FZ109" s="134"/>
      <c r="GA109" s="134"/>
      <c r="GB109" s="134"/>
      <c r="GC109" s="134"/>
      <c r="GD109" s="134"/>
      <c r="GE109" s="134"/>
      <c r="GF109" s="134"/>
      <c r="GG109" s="135"/>
      <c r="GH109" s="135"/>
      <c r="GI109" s="134"/>
      <c r="GJ109" s="134"/>
      <c r="GK109" s="134"/>
      <c r="GL109" s="134"/>
      <c r="GM109" s="134"/>
      <c r="GN109" s="134"/>
      <c r="GO109" s="134"/>
      <c r="GP109" s="134"/>
      <c r="GQ109" s="135"/>
      <c r="GR109" s="135"/>
      <c r="GS109" s="134"/>
      <c r="GT109" s="134"/>
      <c r="GU109" s="134"/>
      <c r="GV109" s="134"/>
      <c r="GW109" s="134"/>
      <c r="GX109" s="134"/>
      <c r="GY109" s="134"/>
      <c r="GZ109" s="134"/>
      <c r="HA109" s="135"/>
      <c r="HB109" s="135"/>
      <c r="HC109" s="134"/>
      <c r="HD109" s="134"/>
      <c r="HE109" s="134"/>
      <c r="HF109" s="134"/>
      <c r="HG109" s="134"/>
      <c r="HH109" s="134"/>
      <c r="HI109" s="134"/>
      <c r="HJ109" s="134"/>
      <c r="HK109" s="135"/>
      <c r="HL109" s="135"/>
      <c r="HM109" s="134"/>
      <c r="HN109" s="134"/>
      <c r="HO109" s="134"/>
      <c r="HP109" s="134"/>
      <c r="HQ109" s="134"/>
      <c r="HR109" s="134"/>
      <c r="HS109" s="134"/>
      <c r="HT109" s="134"/>
      <c r="HU109" s="135"/>
      <c r="HV109" s="135"/>
      <c r="HW109" s="134"/>
      <c r="HX109" s="134"/>
      <c r="HY109" s="134"/>
      <c r="HZ109" s="134"/>
      <c r="IA109" s="134"/>
      <c r="IB109" s="134"/>
      <c r="IC109" s="134"/>
      <c r="ID109" s="134"/>
      <c r="IE109" s="135"/>
      <c r="IF109" s="135"/>
      <c r="IG109" s="134"/>
      <c r="IH109" s="134"/>
      <c r="II109" s="134"/>
      <c r="IJ109" s="134"/>
      <c r="IK109" s="134"/>
      <c r="IL109" s="134"/>
      <c r="IM109" s="134"/>
      <c r="IN109" s="134"/>
      <c r="IO109" s="135"/>
      <c r="IP109" s="135"/>
      <c r="IQ109" s="134"/>
      <c r="IR109" s="134"/>
      <c r="IS109" s="134"/>
      <c r="IT109" s="134"/>
      <c r="IU109" s="134"/>
      <c r="IV109" s="134"/>
      <c r="IW109" s="134"/>
      <c r="IX109" s="134"/>
      <c r="IY109" s="135"/>
      <c r="IZ109" s="135"/>
    </row>
    <row r="110" spans="1:260" s="188" customFormat="1" ht="17" customHeight="1">
      <c r="A110" s="79" t="s">
        <v>354</v>
      </c>
      <c r="B110" s="117">
        <v>254</v>
      </c>
      <c r="C110" s="117"/>
      <c r="D110" s="117">
        <v>109</v>
      </c>
      <c r="E110" s="123" t="s">
        <v>2043</v>
      </c>
      <c r="F110" s="124" t="s">
        <v>2282</v>
      </c>
      <c r="G110" s="125">
        <v>2015</v>
      </c>
      <c r="H110" s="79">
        <v>26042021</v>
      </c>
      <c r="I110" s="79">
        <v>1</v>
      </c>
      <c r="J110" s="126" t="s">
        <v>1745</v>
      </c>
      <c r="K110" s="127" t="s">
        <v>1769</v>
      </c>
      <c r="L110" s="164">
        <v>1</v>
      </c>
      <c r="M110" s="79" t="s">
        <v>1753</v>
      </c>
      <c r="N110" s="79">
        <v>0</v>
      </c>
      <c r="O110" s="128">
        <v>1</v>
      </c>
      <c r="P110" s="79"/>
      <c r="Q110" s="79"/>
      <c r="R110" s="79" t="s">
        <v>693</v>
      </c>
      <c r="S110" s="79"/>
      <c r="T110" s="79"/>
      <c r="U110" s="79"/>
      <c r="V110" s="79"/>
      <c r="W110" s="79"/>
      <c r="X110" s="79"/>
      <c r="Y110" s="79"/>
      <c r="Z110" s="79"/>
      <c r="AA110" s="79"/>
      <c r="AB110" s="79" t="s">
        <v>916</v>
      </c>
      <c r="AC110" s="506" t="s">
        <v>28</v>
      </c>
      <c r="AD110" s="573">
        <v>1</v>
      </c>
      <c r="AE110" s="573">
        <v>0</v>
      </c>
      <c r="AF110" s="165" t="s">
        <v>3003</v>
      </c>
      <c r="AG110" s="166" t="s">
        <v>6324</v>
      </c>
      <c r="AH110" s="121"/>
      <c r="AI110" s="484"/>
      <c r="AJ110" s="202"/>
      <c r="AK110" s="192"/>
      <c r="AL110" s="203"/>
      <c r="AM110" s="121"/>
      <c r="AN110" s="121"/>
      <c r="AO110" s="121"/>
      <c r="AP110" s="121"/>
      <c r="AQ110" s="121"/>
      <c r="AR110" s="121"/>
      <c r="AS110" s="121"/>
      <c r="AT110" s="121"/>
      <c r="AU110" s="121"/>
      <c r="AV110" s="121"/>
      <c r="AW110" s="121"/>
      <c r="AX110" s="121"/>
      <c r="AY110" s="121"/>
      <c r="AZ110" s="121"/>
      <c r="BA110" s="121"/>
      <c r="BB110" s="121"/>
      <c r="BC110" s="121"/>
      <c r="BD110" s="156"/>
      <c r="BE110" s="156"/>
      <c r="BF110" s="156"/>
      <c r="BG110" s="156"/>
      <c r="BH110" s="156"/>
      <c r="BI110" s="156" t="s">
        <v>5207</v>
      </c>
      <c r="BJ110" s="156"/>
      <c r="BK110" s="156"/>
      <c r="BL110" s="156"/>
      <c r="BM110" s="156"/>
      <c r="BN110" s="156"/>
      <c r="BO110" s="156"/>
      <c r="BP110" s="156"/>
      <c r="BQ110" s="157"/>
      <c r="BR110" s="134"/>
      <c r="BS110" s="134"/>
      <c r="BT110" s="134"/>
      <c r="BU110" s="134"/>
      <c r="BV110" s="134"/>
      <c r="BW110" s="259"/>
      <c r="BX110" s="517"/>
      <c r="BY110" s="134"/>
      <c r="BZ110" s="134"/>
      <c r="CA110" s="134"/>
      <c r="CB110" s="138"/>
      <c r="CC110" s="134"/>
      <c r="CD110" s="134"/>
      <c r="CE110" s="134"/>
      <c r="CF110" s="288"/>
      <c r="CG110" s="289"/>
      <c r="CH110" s="138"/>
      <c r="CI110" s="134"/>
      <c r="CJ110" s="134"/>
      <c r="CK110" s="134"/>
      <c r="CL110" s="138"/>
      <c r="CM110" s="134"/>
      <c r="CN110" s="134"/>
      <c r="CO110" s="134"/>
      <c r="CP110" s="288"/>
      <c r="CQ110" s="289"/>
      <c r="CR110" s="276"/>
      <c r="CS110" s="308"/>
      <c r="CT110" s="138"/>
      <c r="CU110" s="134"/>
      <c r="CV110" s="134"/>
      <c r="CW110" s="134"/>
      <c r="CX110" s="134"/>
      <c r="CY110" s="134"/>
      <c r="CZ110" s="134"/>
      <c r="DA110" s="134"/>
      <c r="DB110" s="300"/>
      <c r="DC110" s="301"/>
      <c r="DD110" s="134"/>
      <c r="DE110" s="134"/>
      <c r="DF110" s="134"/>
      <c r="DG110" s="134"/>
      <c r="DH110" s="134"/>
      <c r="DI110" s="134"/>
      <c r="DJ110" s="134"/>
      <c r="DK110" s="134"/>
      <c r="DL110" s="300"/>
      <c r="DM110" s="301"/>
      <c r="DN110" s="276"/>
      <c r="DO110" s="277"/>
      <c r="DP110" s="134"/>
      <c r="DQ110" s="134"/>
      <c r="DR110" s="134"/>
      <c r="DS110" s="134"/>
      <c r="DT110" s="138"/>
      <c r="DU110" s="134"/>
      <c r="DV110" s="134"/>
      <c r="DW110" s="134"/>
      <c r="DX110" s="301"/>
      <c r="DY110" s="301"/>
      <c r="DZ110" s="138"/>
      <c r="EA110" s="134"/>
      <c r="EB110" s="134"/>
      <c r="EC110" s="134"/>
      <c r="ED110" s="138"/>
      <c r="EE110" s="134"/>
      <c r="EF110" s="134"/>
      <c r="EG110" s="134"/>
      <c r="EH110" s="301"/>
      <c r="EI110" s="301"/>
      <c r="EJ110" s="277"/>
      <c r="EK110" s="134"/>
      <c r="EL110" s="134"/>
      <c r="EM110" s="134"/>
      <c r="EN110" s="134"/>
      <c r="EO110" s="134"/>
      <c r="EP110" s="134"/>
      <c r="EQ110" s="134"/>
      <c r="ER110" s="134"/>
      <c r="ES110" s="301"/>
      <c r="ET110" s="301"/>
      <c r="EU110" s="134"/>
      <c r="EV110" s="134"/>
      <c r="EW110" s="134"/>
      <c r="EX110" s="134"/>
      <c r="EY110" s="134"/>
      <c r="EZ110" s="134"/>
      <c r="FA110" s="134"/>
      <c r="FB110" s="134"/>
      <c r="FC110" s="135"/>
      <c r="FD110" s="135"/>
      <c r="FE110" s="134"/>
      <c r="FF110" s="134"/>
      <c r="FG110" s="134"/>
      <c r="FH110" s="134"/>
      <c r="FI110" s="134"/>
      <c r="FJ110" s="134"/>
      <c r="FK110" s="134"/>
      <c r="FL110" s="134"/>
      <c r="FM110" s="135"/>
      <c r="FN110" s="135"/>
      <c r="FO110" s="134"/>
      <c r="FP110" s="134"/>
      <c r="FQ110" s="134"/>
      <c r="FR110" s="134"/>
      <c r="FS110" s="134"/>
      <c r="FT110" s="134"/>
      <c r="FU110" s="134"/>
      <c r="FV110" s="134"/>
      <c r="FW110" s="135"/>
      <c r="FX110" s="135"/>
      <c r="FY110" s="134"/>
      <c r="FZ110" s="134"/>
      <c r="GA110" s="134"/>
      <c r="GB110" s="134"/>
      <c r="GC110" s="134"/>
      <c r="GD110" s="134"/>
      <c r="GE110" s="134"/>
      <c r="GF110" s="134"/>
      <c r="GG110" s="135"/>
      <c r="GH110" s="135"/>
      <c r="GI110" s="134"/>
      <c r="GJ110" s="134"/>
      <c r="GK110" s="134"/>
      <c r="GL110" s="134"/>
      <c r="GM110" s="134"/>
      <c r="GN110" s="134"/>
      <c r="GO110" s="134"/>
      <c r="GP110" s="134"/>
      <c r="GQ110" s="135"/>
      <c r="GR110" s="135"/>
      <c r="GS110" s="134"/>
      <c r="GT110" s="134"/>
      <c r="GU110" s="134"/>
      <c r="GV110" s="134"/>
      <c r="GW110" s="134"/>
      <c r="GX110" s="134"/>
      <c r="GY110" s="134"/>
      <c r="GZ110" s="134"/>
      <c r="HA110" s="135"/>
      <c r="HB110" s="135"/>
      <c r="HC110" s="134"/>
      <c r="HD110" s="134"/>
      <c r="HE110" s="134"/>
      <c r="HF110" s="134"/>
      <c r="HG110" s="134"/>
      <c r="HH110" s="134"/>
      <c r="HI110" s="134"/>
      <c r="HJ110" s="134"/>
      <c r="HK110" s="135"/>
      <c r="HL110" s="135"/>
      <c r="HM110" s="134"/>
      <c r="HN110" s="134"/>
      <c r="HO110" s="134"/>
      <c r="HP110" s="134"/>
      <c r="HQ110" s="134"/>
      <c r="HR110" s="134"/>
      <c r="HS110" s="134"/>
      <c r="HT110" s="134"/>
      <c r="HU110" s="135"/>
      <c r="HV110" s="135"/>
      <c r="HW110" s="134"/>
      <c r="HX110" s="134"/>
      <c r="HY110" s="134"/>
      <c r="HZ110" s="134"/>
      <c r="IA110" s="134"/>
      <c r="IB110" s="134"/>
      <c r="IC110" s="134"/>
      <c r="ID110" s="134"/>
      <c r="IE110" s="135"/>
      <c r="IF110" s="135"/>
      <c r="IG110" s="134"/>
      <c r="IH110" s="134"/>
      <c r="II110" s="134"/>
      <c r="IJ110" s="134"/>
      <c r="IK110" s="134"/>
      <c r="IL110" s="134"/>
      <c r="IM110" s="134"/>
      <c r="IN110" s="134"/>
      <c r="IO110" s="135"/>
      <c r="IP110" s="135"/>
      <c r="IQ110" s="134"/>
      <c r="IR110" s="134"/>
      <c r="IS110" s="134"/>
      <c r="IT110" s="134"/>
      <c r="IU110" s="134"/>
      <c r="IV110" s="134"/>
      <c r="IW110" s="134"/>
      <c r="IX110" s="134"/>
      <c r="IY110" s="135"/>
      <c r="IZ110" s="135"/>
    </row>
    <row r="111" spans="1:260" s="119" customFormat="1" ht="17" customHeight="1">
      <c r="A111" s="79" t="s">
        <v>356</v>
      </c>
      <c r="B111" s="117">
        <v>256</v>
      </c>
      <c r="C111" s="117"/>
      <c r="D111" s="117">
        <v>110</v>
      </c>
      <c r="E111" s="123" t="s">
        <v>2044</v>
      </c>
      <c r="F111" s="124" t="s">
        <v>2284</v>
      </c>
      <c r="G111" s="125">
        <v>2015</v>
      </c>
      <c r="H111" s="79">
        <v>25516381</v>
      </c>
      <c r="I111" s="79">
        <v>1</v>
      </c>
      <c r="J111" s="126"/>
      <c r="K111" s="127"/>
      <c r="L111" s="79">
        <v>1</v>
      </c>
      <c r="M111" s="79"/>
      <c r="N111" s="79">
        <v>1</v>
      </c>
      <c r="O111" s="128">
        <v>1</v>
      </c>
      <c r="P111" s="79" t="s">
        <v>919</v>
      </c>
      <c r="Q111" s="79" t="s">
        <v>1192</v>
      </c>
      <c r="R111" s="79" t="s">
        <v>819</v>
      </c>
      <c r="S111" s="79">
        <v>1</v>
      </c>
      <c r="T111" s="79"/>
      <c r="U111" s="79"/>
      <c r="V111" s="79"/>
      <c r="W111" s="79" t="s">
        <v>918</v>
      </c>
      <c r="X111" s="79" t="s">
        <v>24</v>
      </c>
      <c r="Y111" s="79" t="s">
        <v>921</v>
      </c>
      <c r="Z111" s="79"/>
      <c r="AA111" s="79"/>
      <c r="AB111" s="79"/>
      <c r="AC111" s="506" t="s">
        <v>6326</v>
      </c>
      <c r="AD111" s="573">
        <v>1</v>
      </c>
      <c r="AE111" s="573">
        <v>0</v>
      </c>
      <c r="AF111" s="154" t="s">
        <v>3003</v>
      </c>
      <c r="AG111" s="155" t="s">
        <v>6327</v>
      </c>
      <c r="AH111" s="121">
        <v>2</v>
      </c>
      <c r="AI111" s="484"/>
      <c r="AJ111" s="202"/>
      <c r="AK111" s="192"/>
      <c r="AL111" s="203"/>
      <c r="AM111" s="121"/>
      <c r="AN111" s="121"/>
      <c r="AO111" s="121"/>
      <c r="AP111" s="121"/>
      <c r="AQ111" s="121"/>
      <c r="AR111" s="121"/>
      <c r="AS111" s="121"/>
      <c r="AT111" s="121"/>
      <c r="AU111" s="121"/>
      <c r="AV111" s="121"/>
      <c r="AW111" s="121"/>
      <c r="AX111" s="121"/>
      <c r="AY111" s="121"/>
      <c r="AZ111" s="121"/>
      <c r="BA111" s="121"/>
      <c r="BB111" s="121"/>
      <c r="BC111" s="121" t="s">
        <v>6325</v>
      </c>
      <c r="BD111" s="156"/>
      <c r="BE111" s="156"/>
      <c r="BF111" s="156"/>
      <c r="BG111" s="156" t="s">
        <v>6328</v>
      </c>
      <c r="BH111" s="156"/>
      <c r="BI111" s="156"/>
      <c r="BJ111" s="156"/>
      <c r="BK111" s="156" t="s">
        <v>6328</v>
      </c>
      <c r="BL111" s="156"/>
      <c r="BM111" s="156"/>
      <c r="BN111" s="156"/>
      <c r="BO111" s="156"/>
      <c r="BP111" s="156" t="s">
        <v>6328</v>
      </c>
      <c r="BQ111" s="157"/>
      <c r="BR111" s="134"/>
      <c r="BS111" s="134"/>
      <c r="BT111" s="134"/>
      <c r="BU111" s="134"/>
      <c r="BV111" s="134"/>
      <c r="BW111" s="259"/>
      <c r="BX111" s="138"/>
      <c r="BY111" s="134"/>
      <c r="BZ111" s="134"/>
      <c r="CA111" s="134"/>
      <c r="CB111" s="138"/>
      <c r="CC111" s="134"/>
      <c r="CD111" s="134"/>
      <c r="CE111" s="134"/>
      <c r="CF111" s="288"/>
      <c r="CG111" s="289"/>
      <c r="CH111" s="138"/>
      <c r="CI111" s="134"/>
      <c r="CJ111" s="134"/>
      <c r="CK111" s="134"/>
      <c r="CL111" s="138"/>
      <c r="CM111" s="134"/>
      <c r="CN111" s="134"/>
      <c r="CO111" s="134"/>
      <c r="CP111" s="288"/>
      <c r="CQ111" s="289"/>
      <c r="CR111" s="276"/>
      <c r="CS111" s="308"/>
      <c r="CT111" s="138"/>
      <c r="CU111" s="134"/>
      <c r="CV111" s="134"/>
      <c r="CW111" s="134"/>
      <c r="CX111" s="134"/>
      <c r="CY111" s="134"/>
      <c r="CZ111" s="134"/>
      <c r="DA111" s="134"/>
      <c r="DB111" s="300"/>
      <c r="DC111" s="301"/>
      <c r="DD111" s="134"/>
      <c r="DE111" s="134"/>
      <c r="DF111" s="134"/>
      <c r="DG111" s="134"/>
      <c r="DH111" s="134"/>
      <c r="DI111" s="134"/>
      <c r="DJ111" s="134"/>
      <c r="DK111" s="134"/>
      <c r="DL111" s="300"/>
      <c r="DM111" s="301"/>
      <c r="DN111" s="276"/>
      <c r="DO111" s="277"/>
      <c r="DP111" s="134"/>
      <c r="DQ111" s="134"/>
      <c r="DR111" s="134"/>
      <c r="DS111" s="134"/>
      <c r="DT111" s="138"/>
      <c r="DU111" s="134"/>
      <c r="DV111" s="134"/>
      <c r="DW111" s="134"/>
      <c r="DX111" s="301"/>
      <c r="DY111" s="301"/>
      <c r="DZ111" s="138"/>
      <c r="EA111" s="134"/>
      <c r="EB111" s="134"/>
      <c r="EC111" s="134"/>
      <c r="ED111" s="138"/>
      <c r="EE111" s="134"/>
      <c r="EF111" s="134"/>
      <c r="EG111" s="134"/>
      <c r="EH111" s="301"/>
      <c r="EI111" s="301"/>
      <c r="EJ111" s="277"/>
      <c r="EK111" s="134"/>
      <c r="EL111" s="134"/>
      <c r="EM111" s="134"/>
      <c r="EN111" s="134"/>
      <c r="EO111" s="134"/>
      <c r="EP111" s="134"/>
      <c r="EQ111" s="134"/>
      <c r="ER111" s="134"/>
      <c r="ES111" s="301"/>
      <c r="ET111" s="301"/>
      <c r="EU111" s="134"/>
      <c r="EV111" s="134"/>
      <c r="EW111" s="134"/>
      <c r="EX111" s="134"/>
      <c r="EY111" s="134"/>
      <c r="EZ111" s="134"/>
      <c r="FA111" s="134"/>
      <c r="FB111" s="134"/>
      <c r="FC111" s="135"/>
      <c r="FD111" s="135"/>
      <c r="FE111" s="134"/>
      <c r="FF111" s="134"/>
      <c r="FG111" s="134"/>
      <c r="FH111" s="134"/>
      <c r="FI111" s="134"/>
      <c r="FJ111" s="134"/>
      <c r="FK111" s="134"/>
      <c r="FL111" s="134"/>
      <c r="FM111" s="135"/>
      <c r="FN111" s="135"/>
      <c r="FO111" s="134"/>
      <c r="FP111" s="134"/>
      <c r="FQ111" s="134"/>
      <c r="FR111" s="134"/>
      <c r="FS111" s="134"/>
      <c r="FT111" s="134"/>
      <c r="FU111" s="134"/>
      <c r="FV111" s="134"/>
      <c r="FW111" s="135"/>
      <c r="FX111" s="135"/>
      <c r="FY111" s="134"/>
      <c r="FZ111" s="134"/>
      <c r="GA111" s="134"/>
      <c r="GB111" s="134"/>
      <c r="GC111" s="134"/>
      <c r="GD111" s="134"/>
      <c r="GE111" s="134"/>
      <c r="GF111" s="134"/>
      <c r="GG111" s="135"/>
      <c r="GH111" s="135"/>
      <c r="GI111" s="134"/>
      <c r="GJ111" s="134"/>
      <c r="GK111" s="134"/>
      <c r="GL111" s="134"/>
      <c r="GM111" s="134"/>
      <c r="GN111" s="134"/>
      <c r="GO111" s="134"/>
      <c r="GP111" s="134"/>
      <c r="GQ111" s="135"/>
      <c r="GR111" s="135"/>
      <c r="GS111" s="134"/>
      <c r="GT111" s="134"/>
      <c r="GU111" s="134"/>
      <c r="GV111" s="134"/>
      <c r="GW111" s="134"/>
      <c r="GX111" s="134"/>
      <c r="GY111" s="134"/>
      <c r="GZ111" s="134"/>
      <c r="HA111" s="135"/>
      <c r="HB111" s="135"/>
      <c r="HC111" s="134"/>
      <c r="HD111" s="134"/>
      <c r="HE111" s="134"/>
      <c r="HF111" s="134"/>
      <c r="HG111" s="134"/>
      <c r="HH111" s="134"/>
      <c r="HI111" s="134"/>
      <c r="HJ111" s="134"/>
      <c r="HK111" s="135"/>
      <c r="HL111" s="135"/>
      <c r="HM111" s="134"/>
      <c r="HN111" s="134"/>
      <c r="HO111" s="134"/>
      <c r="HP111" s="134"/>
      <c r="HQ111" s="134"/>
      <c r="HR111" s="134"/>
      <c r="HS111" s="134"/>
      <c r="HT111" s="134"/>
      <c r="HU111" s="135"/>
      <c r="HV111" s="135"/>
      <c r="HW111" s="134"/>
      <c r="HX111" s="134"/>
      <c r="HY111" s="134"/>
      <c r="HZ111" s="134"/>
      <c r="IA111" s="134"/>
      <c r="IB111" s="134"/>
      <c r="IC111" s="134"/>
      <c r="ID111" s="134"/>
      <c r="IE111" s="135"/>
      <c r="IF111" s="135"/>
      <c r="IG111" s="134"/>
      <c r="IH111" s="134"/>
      <c r="II111" s="134"/>
      <c r="IJ111" s="134"/>
      <c r="IK111" s="134"/>
      <c r="IL111" s="134"/>
      <c r="IM111" s="134"/>
      <c r="IN111" s="134"/>
      <c r="IO111" s="135"/>
      <c r="IP111" s="135"/>
      <c r="IQ111" s="134"/>
      <c r="IR111" s="134"/>
      <c r="IS111" s="134"/>
      <c r="IT111" s="134"/>
      <c r="IU111" s="134"/>
      <c r="IV111" s="134"/>
      <c r="IW111" s="134"/>
      <c r="IX111" s="134"/>
      <c r="IY111" s="135"/>
      <c r="IZ111" s="135"/>
    </row>
    <row r="112" spans="1:260" customFormat="1" ht="17" customHeight="1">
      <c r="A112" s="79" t="s">
        <v>357</v>
      </c>
      <c r="B112" s="117">
        <v>257</v>
      </c>
      <c r="C112" s="117"/>
      <c r="D112" s="117">
        <v>111</v>
      </c>
      <c r="E112" s="123" t="s">
        <v>2045</v>
      </c>
      <c r="F112" s="124" t="s">
        <v>2285</v>
      </c>
      <c r="G112" s="125">
        <v>2010</v>
      </c>
      <c r="H112" s="79">
        <v>21174249</v>
      </c>
      <c r="I112" s="79">
        <v>1</v>
      </c>
      <c r="J112" s="126"/>
      <c r="K112" s="127"/>
      <c r="L112" s="164">
        <v>1</v>
      </c>
      <c r="M112" s="79"/>
      <c r="N112" s="79">
        <v>1</v>
      </c>
      <c r="O112" s="128">
        <v>1</v>
      </c>
      <c r="P112" s="79" t="s">
        <v>28</v>
      </c>
      <c r="Q112" s="79" t="s">
        <v>28</v>
      </c>
      <c r="R112" s="79" t="s">
        <v>878</v>
      </c>
      <c r="S112" s="79">
        <v>1</v>
      </c>
      <c r="T112" s="79"/>
      <c r="U112" s="79"/>
      <c r="V112" s="79"/>
      <c r="W112" s="79" t="s">
        <v>922</v>
      </c>
      <c r="X112" s="79"/>
      <c r="Y112" s="79"/>
      <c r="Z112" s="79"/>
      <c r="AA112" s="79"/>
      <c r="AB112" s="79"/>
      <c r="AC112" s="506" t="s">
        <v>6330</v>
      </c>
      <c r="AD112" s="573">
        <v>1</v>
      </c>
      <c r="AE112" s="573">
        <v>1</v>
      </c>
      <c r="AF112" s="154"/>
      <c r="AG112" s="155"/>
      <c r="AH112" s="121">
        <v>2</v>
      </c>
      <c r="AI112" s="484"/>
      <c r="AJ112" s="202"/>
      <c r="AK112" s="192"/>
      <c r="AL112" s="203"/>
      <c r="AM112" s="121"/>
      <c r="AN112" s="121"/>
      <c r="AO112" s="121"/>
      <c r="AP112" s="121"/>
      <c r="AQ112" s="121"/>
      <c r="AR112" s="121"/>
      <c r="AS112" s="121"/>
      <c r="AT112" s="121"/>
      <c r="AU112" s="121"/>
      <c r="AV112" s="121"/>
      <c r="AW112" s="121"/>
      <c r="AX112" s="121"/>
      <c r="AY112" s="121"/>
      <c r="AZ112" s="121"/>
      <c r="BA112" s="121"/>
      <c r="BB112" s="121"/>
      <c r="BC112" s="121"/>
      <c r="BD112" s="156"/>
      <c r="BE112" s="156"/>
      <c r="BF112" s="156"/>
      <c r="BG112" s="156"/>
      <c r="BH112" s="156"/>
      <c r="BI112" s="156" t="s">
        <v>5207</v>
      </c>
      <c r="BJ112" s="156" t="s">
        <v>6174</v>
      </c>
      <c r="BK112" s="156"/>
      <c r="BL112" s="156"/>
      <c r="BM112" s="156"/>
      <c r="BN112" s="156"/>
      <c r="BO112" s="156"/>
      <c r="BP112" s="156"/>
      <c r="BQ112" s="157"/>
      <c r="BR112" s="134"/>
      <c r="BS112" s="134"/>
      <c r="BT112" s="134"/>
      <c r="BU112" s="134"/>
      <c r="BV112" s="134"/>
      <c r="BW112" s="259"/>
      <c r="BX112" s="138"/>
      <c r="BY112" s="134"/>
      <c r="BZ112" s="134"/>
      <c r="CA112" s="134"/>
      <c r="CB112" s="138"/>
      <c r="CC112" s="134"/>
      <c r="CD112" s="134"/>
      <c r="CE112" s="134"/>
      <c r="CF112" s="288"/>
      <c r="CG112" s="289"/>
      <c r="CH112" s="138"/>
      <c r="CI112" s="134"/>
      <c r="CJ112" s="134"/>
      <c r="CK112" s="134"/>
      <c r="CL112" s="138"/>
      <c r="CM112" s="134"/>
      <c r="CN112" s="134"/>
      <c r="CO112" s="134"/>
      <c r="CP112" s="288"/>
      <c r="CQ112" s="289"/>
      <c r="CR112" s="276"/>
      <c r="CS112" s="308"/>
      <c r="CT112" s="138"/>
      <c r="CU112" s="134"/>
      <c r="CV112" s="134"/>
      <c r="CW112" s="134"/>
      <c r="CX112" s="134"/>
      <c r="CY112" s="134"/>
      <c r="CZ112" s="134"/>
      <c r="DA112" s="134"/>
      <c r="DB112" s="300"/>
      <c r="DC112" s="301"/>
      <c r="DD112" s="134"/>
      <c r="DE112" s="134"/>
      <c r="DF112" s="134"/>
      <c r="DG112" s="134"/>
      <c r="DH112" s="134"/>
      <c r="DI112" s="134"/>
      <c r="DJ112" s="134"/>
      <c r="DK112" s="134"/>
      <c r="DL112" s="300"/>
      <c r="DM112" s="301"/>
      <c r="DN112" s="276"/>
      <c r="DO112" s="277"/>
      <c r="DP112" s="134"/>
      <c r="DQ112" s="134"/>
      <c r="DR112" s="134"/>
      <c r="DS112" s="134"/>
      <c r="DT112" s="138"/>
      <c r="DU112" s="134"/>
      <c r="DV112" s="134"/>
      <c r="DW112" s="134"/>
      <c r="DX112" s="301"/>
      <c r="DY112" s="301"/>
      <c r="DZ112" s="138"/>
      <c r="EA112" s="134"/>
      <c r="EB112" s="134"/>
      <c r="EC112" s="134"/>
      <c r="ED112" s="138"/>
      <c r="EE112" s="134"/>
      <c r="EF112" s="134"/>
      <c r="EG112" s="134"/>
      <c r="EH112" s="301"/>
      <c r="EI112" s="301"/>
      <c r="EJ112" s="277"/>
      <c r="EK112" s="134"/>
      <c r="EL112" s="134"/>
      <c r="EM112" s="134"/>
      <c r="EN112" s="134"/>
      <c r="EO112" s="134"/>
      <c r="EP112" s="134"/>
      <c r="EQ112" s="134"/>
      <c r="ER112" s="134"/>
      <c r="ES112" s="301"/>
      <c r="ET112" s="301"/>
      <c r="EU112" s="134"/>
      <c r="EV112" s="134"/>
      <c r="EW112" s="134"/>
      <c r="EX112" s="134"/>
      <c r="EY112" s="134"/>
      <c r="EZ112" s="134"/>
      <c r="FA112" s="134"/>
      <c r="FB112" s="134"/>
      <c r="FC112" s="135"/>
      <c r="FD112" s="135"/>
      <c r="FE112" s="134"/>
      <c r="FF112" s="134"/>
      <c r="FG112" s="134"/>
      <c r="FH112" s="134"/>
      <c r="FI112" s="134"/>
      <c r="FJ112" s="134"/>
      <c r="FK112" s="134"/>
      <c r="FL112" s="134"/>
      <c r="FM112" s="135"/>
      <c r="FN112" s="135"/>
      <c r="FO112" s="134"/>
      <c r="FP112" s="134"/>
      <c r="FQ112" s="134"/>
      <c r="FR112" s="134"/>
      <c r="FS112" s="134"/>
      <c r="FT112" s="134"/>
      <c r="FU112" s="134"/>
      <c r="FV112" s="134"/>
      <c r="FW112" s="135"/>
      <c r="FX112" s="135"/>
      <c r="FY112" s="134"/>
      <c r="FZ112" s="134"/>
      <c r="GA112" s="134"/>
      <c r="GB112" s="134"/>
      <c r="GC112" s="134"/>
      <c r="GD112" s="134"/>
      <c r="GE112" s="134"/>
      <c r="GF112" s="134"/>
      <c r="GG112" s="135"/>
      <c r="GH112" s="135"/>
      <c r="GI112" s="134"/>
      <c r="GJ112" s="134"/>
      <c r="GK112" s="134"/>
      <c r="GL112" s="134"/>
      <c r="GM112" s="134"/>
      <c r="GN112" s="134"/>
      <c r="GO112" s="134"/>
      <c r="GP112" s="134"/>
      <c r="GQ112" s="135"/>
      <c r="GR112" s="135"/>
      <c r="GS112" s="134"/>
      <c r="GT112" s="134"/>
      <c r="GU112" s="134"/>
      <c r="GV112" s="134"/>
      <c r="GW112" s="134"/>
      <c r="GX112" s="134"/>
      <c r="GY112" s="134"/>
      <c r="GZ112" s="134"/>
      <c r="HA112" s="135"/>
      <c r="HB112" s="135"/>
      <c r="HC112" s="134"/>
      <c r="HD112" s="134"/>
      <c r="HE112" s="134"/>
      <c r="HF112" s="134"/>
      <c r="HG112" s="134"/>
      <c r="HH112" s="134"/>
      <c r="HI112" s="134"/>
      <c r="HJ112" s="134"/>
      <c r="HK112" s="135"/>
      <c r="HL112" s="135"/>
      <c r="HM112" s="134"/>
      <c r="HN112" s="134"/>
      <c r="HO112" s="134"/>
      <c r="HP112" s="134"/>
      <c r="HQ112" s="134"/>
      <c r="HR112" s="134"/>
      <c r="HS112" s="134"/>
      <c r="HT112" s="134"/>
      <c r="HU112" s="135"/>
      <c r="HV112" s="135"/>
      <c r="HW112" s="134"/>
      <c r="HX112" s="134"/>
      <c r="HY112" s="134"/>
      <c r="HZ112" s="134"/>
      <c r="IA112" s="134"/>
      <c r="IB112" s="134"/>
      <c r="IC112" s="134"/>
      <c r="ID112" s="134"/>
      <c r="IE112" s="135"/>
      <c r="IF112" s="135"/>
      <c r="IG112" s="134"/>
      <c r="IH112" s="134"/>
      <c r="II112" s="134"/>
      <c r="IJ112" s="134"/>
      <c r="IK112" s="134"/>
      <c r="IL112" s="134"/>
      <c r="IM112" s="134"/>
      <c r="IN112" s="134"/>
      <c r="IO112" s="135"/>
      <c r="IP112" s="135"/>
      <c r="IQ112" s="134"/>
      <c r="IR112" s="134"/>
      <c r="IS112" s="134"/>
      <c r="IT112" s="134"/>
      <c r="IU112" s="134"/>
      <c r="IV112" s="134"/>
      <c r="IW112" s="134"/>
      <c r="IX112" s="134"/>
      <c r="IY112" s="135"/>
      <c r="IZ112" s="135"/>
    </row>
    <row r="113" spans="1:260" customFormat="1" ht="17" customHeight="1">
      <c r="A113" s="79" t="s">
        <v>358</v>
      </c>
      <c r="B113" s="117">
        <v>258</v>
      </c>
      <c r="C113" s="117"/>
      <c r="D113" s="117">
        <v>112</v>
      </c>
      <c r="E113" s="123" t="s">
        <v>2046</v>
      </c>
      <c r="F113" s="124" t="s">
        <v>2286</v>
      </c>
      <c r="G113" s="125">
        <v>2016</v>
      </c>
      <c r="H113" s="79">
        <v>26892753</v>
      </c>
      <c r="I113" s="79">
        <v>1</v>
      </c>
      <c r="J113" s="126"/>
      <c r="K113" s="127"/>
      <c r="L113" s="79">
        <v>1</v>
      </c>
      <c r="M113" s="79"/>
      <c r="N113" s="79">
        <v>1</v>
      </c>
      <c r="O113" s="128">
        <v>1</v>
      </c>
      <c r="P113" s="79" t="s">
        <v>924</v>
      </c>
      <c r="Q113" s="79" t="s">
        <v>1196</v>
      </c>
      <c r="R113" s="79" t="s">
        <v>819</v>
      </c>
      <c r="S113" s="79">
        <v>1</v>
      </c>
      <c r="T113" s="79"/>
      <c r="U113" s="79"/>
      <c r="V113" s="79"/>
      <c r="W113" s="79" t="s">
        <v>923</v>
      </c>
      <c r="X113" s="79" t="s">
        <v>24</v>
      </c>
      <c r="Y113" s="79" t="s">
        <v>24</v>
      </c>
      <c r="Z113" s="79" t="s">
        <v>925</v>
      </c>
      <c r="AA113" s="79"/>
      <c r="AB113" s="79"/>
      <c r="AC113" s="506" t="s">
        <v>6331</v>
      </c>
      <c r="AD113" s="573">
        <v>1</v>
      </c>
      <c r="AE113" s="573">
        <v>1</v>
      </c>
      <c r="AF113" s="154"/>
      <c r="AG113" s="155"/>
      <c r="AH113" s="121">
        <v>2</v>
      </c>
      <c r="AI113" s="484"/>
      <c r="AJ113" s="202"/>
      <c r="AK113" s="192"/>
      <c r="AL113" s="203"/>
      <c r="AM113" s="121"/>
      <c r="AN113" s="121"/>
      <c r="AO113" s="121"/>
      <c r="AP113" s="121"/>
      <c r="AQ113" s="121"/>
      <c r="AR113" s="121"/>
      <c r="AS113" s="121"/>
      <c r="AT113" s="121"/>
      <c r="AU113" s="121"/>
      <c r="AV113" s="121"/>
      <c r="AW113" s="121"/>
      <c r="AX113" s="121"/>
      <c r="AY113" s="121"/>
      <c r="AZ113" s="121"/>
      <c r="BA113" s="121"/>
      <c r="BB113" s="121"/>
      <c r="BC113" s="121" t="s">
        <v>6332</v>
      </c>
      <c r="BD113" s="156"/>
      <c r="BE113" s="156"/>
      <c r="BF113" s="156" t="s">
        <v>5207</v>
      </c>
      <c r="BG113" s="156"/>
      <c r="BH113" s="156"/>
      <c r="BI113" s="156" t="s">
        <v>5207</v>
      </c>
      <c r="BJ113" s="156" t="s">
        <v>6174</v>
      </c>
      <c r="BK113" s="156"/>
      <c r="BL113" s="156" t="s">
        <v>5207</v>
      </c>
      <c r="BM113" s="156"/>
      <c r="BN113" s="156" t="s">
        <v>4727</v>
      </c>
      <c r="BO113" s="156" t="s">
        <v>5207</v>
      </c>
      <c r="BP113" s="156" t="s">
        <v>6293</v>
      </c>
      <c r="BQ113" s="157"/>
      <c r="BR113" s="134"/>
      <c r="BS113" s="134"/>
      <c r="BT113" s="134"/>
      <c r="BU113" s="134"/>
      <c r="BV113" s="134"/>
      <c r="BW113" s="259"/>
      <c r="BX113" s="138"/>
      <c r="BY113" s="134"/>
      <c r="BZ113" s="134"/>
      <c r="CA113" s="134"/>
      <c r="CB113" s="138"/>
      <c r="CC113" s="134"/>
      <c r="CD113" s="134"/>
      <c r="CE113" s="134"/>
      <c r="CF113" s="288"/>
      <c r="CG113" s="289"/>
      <c r="CH113" s="138"/>
      <c r="CI113" s="134"/>
      <c r="CJ113" s="134"/>
      <c r="CK113" s="134"/>
      <c r="CL113" s="138"/>
      <c r="CM113" s="134"/>
      <c r="CN113" s="134"/>
      <c r="CO113" s="134"/>
      <c r="CP113" s="288"/>
      <c r="CQ113" s="289"/>
      <c r="CR113" s="276"/>
      <c r="CS113" s="308"/>
      <c r="CT113" s="138"/>
      <c r="CU113" s="134"/>
      <c r="CV113" s="134"/>
      <c r="CW113" s="134"/>
      <c r="CX113" s="134"/>
      <c r="CY113" s="134"/>
      <c r="CZ113" s="134"/>
      <c r="DA113" s="134"/>
      <c r="DB113" s="300"/>
      <c r="DC113" s="301"/>
      <c r="DD113" s="134"/>
      <c r="DE113" s="190"/>
      <c r="DF113" s="134"/>
      <c r="DG113" s="134"/>
      <c r="DH113" s="134"/>
      <c r="DI113" s="134"/>
      <c r="DJ113" s="134"/>
      <c r="DK113" s="134"/>
      <c r="DL113" s="300"/>
      <c r="DM113" s="301"/>
      <c r="DN113" s="276"/>
      <c r="DO113" s="277"/>
      <c r="DP113" s="554"/>
      <c r="DQ113" s="190"/>
      <c r="DR113" s="134"/>
      <c r="DS113" s="134"/>
      <c r="DT113" s="557"/>
      <c r="DU113" s="134"/>
      <c r="DV113" s="134"/>
      <c r="DW113" s="134"/>
      <c r="DX113" s="301"/>
      <c r="DY113" s="301"/>
      <c r="DZ113" s="557"/>
      <c r="EA113" s="190"/>
      <c r="EB113" s="134"/>
      <c r="EC113" s="134"/>
      <c r="ED113" s="557"/>
      <c r="EE113" s="134"/>
      <c r="EF113" s="134"/>
      <c r="EG113" s="190"/>
      <c r="EH113" s="301"/>
      <c r="EI113" s="301"/>
      <c r="EJ113" s="277"/>
      <c r="EK113" s="554"/>
      <c r="EL113" s="190"/>
      <c r="EM113" s="134"/>
      <c r="EN113" s="134"/>
      <c r="EO113" s="554"/>
      <c r="EP113" s="134"/>
      <c r="EQ113" s="134"/>
      <c r="ER113" s="134"/>
      <c r="ES113" s="301"/>
      <c r="ET113" s="301"/>
      <c r="EU113" s="134"/>
      <c r="EV113" s="134"/>
      <c r="EW113" s="134"/>
      <c r="EX113" s="134"/>
      <c r="EY113" s="134"/>
      <c r="EZ113" s="134"/>
      <c r="FA113" s="134"/>
      <c r="FB113" s="134"/>
      <c r="FC113" s="135"/>
      <c r="FD113" s="135"/>
      <c r="FE113" s="134"/>
      <c r="FF113" s="134"/>
      <c r="FG113" s="134"/>
      <c r="FH113" s="134"/>
      <c r="FI113" s="134"/>
      <c r="FJ113" s="134"/>
      <c r="FK113" s="134"/>
      <c r="FL113" s="134"/>
      <c r="FM113" s="135"/>
      <c r="FN113" s="135"/>
      <c r="FO113" s="134"/>
      <c r="FP113" s="134"/>
      <c r="FQ113" s="134"/>
      <c r="FR113" s="134"/>
      <c r="FS113" s="134"/>
      <c r="FT113" s="134"/>
      <c r="FU113" s="134"/>
      <c r="FV113" s="134"/>
      <c r="FW113" s="135"/>
      <c r="FX113" s="135"/>
      <c r="FY113" s="134"/>
      <c r="FZ113" s="134"/>
      <c r="GA113" s="134"/>
      <c r="GB113" s="134"/>
      <c r="GC113" s="134"/>
      <c r="GD113" s="134"/>
      <c r="GE113" s="134"/>
      <c r="GF113" s="134"/>
      <c r="GG113" s="135"/>
      <c r="GH113" s="135"/>
      <c r="GI113" s="134"/>
      <c r="GJ113" s="134"/>
      <c r="GK113" s="134"/>
      <c r="GL113" s="134"/>
      <c r="GM113" s="134"/>
      <c r="GN113" s="134"/>
      <c r="GO113" s="134"/>
      <c r="GP113" s="134"/>
      <c r="GQ113" s="135"/>
      <c r="GR113" s="135"/>
      <c r="GS113" s="134"/>
      <c r="GT113" s="134"/>
      <c r="GU113" s="134"/>
      <c r="GV113" s="134"/>
      <c r="GW113" s="134"/>
      <c r="GX113" s="134"/>
      <c r="GY113" s="134"/>
      <c r="GZ113" s="134"/>
      <c r="HA113" s="135"/>
      <c r="HB113" s="135"/>
      <c r="HC113" s="134"/>
      <c r="HD113" s="134"/>
      <c r="HE113" s="134"/>
      <c r="HF113" s="134"/>
      <c r="HG113" s="134"/>
      <c r="HH113" s="134"/>
      <c r="HI113" s="134"/>
      <c r="HJ113" s="134"/>
      <c r="HK113" s="135"/>
      <c r="HL113" s="135"/>
      <c r="HM113" s="134"/>
      <c r="HN113" s="134"/>
      <c r="HO113" s="134"/>
      <c r="HP113" s="134"/>
      <c r="HQ113" s="134"/>
      <c r="HR113" s="134"/>
      <c r="HS113" s="134"/>
      <c r="HT113" s="134"/>
      <c r="HU113" s="135"/>
      <c r="HV113" s="135"/>
      <c r="HW113" s="134"/>
      <c r="HX113" s="134"/>
      <c r="HY113" s="134"/>
      <c r="HZ113" s="134"/>
      <c r="IA113" s="134"/>
      <c r="IB113" s="134"/>
      <c r="IC113" s="134"/>
      <c r="ID113" s="134"/>
      <c r="IE113" s="135"/>
      <c r="IF113" s="135"/>
      <c r="IG113" s="134"/>
      <c r="IH113" s="134"/>
      <c r="II113" s="134"/>
      <c r="IJ113" s="134"/>
      <c r="IK113" s="134"/>
      <c r="IL113" s="134"/>
      <c r="IM113" s="134"/>
      <c r="IN113" s="134"/>
      <c r="IO113" s="135"/>
      <c r="IP113" s="135"/>
      <c r="IQ113" s="134"/>
      <c r="IR113" s="134"/>
      <c r="IS113" s="134"/>
      <c r="IT113" s="134"/>
      <c r="IU113" s="134"/>
      <c r="IV113" s="134"/>
      <c r="IW113" s="134"/>
      <c r="IX113" s="134"/>
      <c r="IY113" s="135"/>
      <c r="IZ113" s="135"/>
    </row>
    <row r="114" spans="1:260" s="119" customFormat="1" ht="17" customHeight="1">
      <c r="A114" s="79" t="s">
        <v>943</v>
      </c>
      <c r="B114" s="117">
        <v>264</v>
      </c>
      <c r="C114" s="117"/>
      <c r="D114" s="117">
        <v>113</v>
      </c>
      <c r="E114" s="123" t="s">
        <v>2132</v>
      </c>
      <c r="F114" s="124" t="s">
        <v>2396</v>
      </c>
      <c r="G114" s="125">
        <v>2008</v>
      </c>
      <c r="H114" s="79">
        <v>18534828</v>
      </c>
      <c r="I114" s="79">
        <v>1</v>
      </c>
      <c r="J114" s="126" t="s">
        <v>1803</v>
      </c>
      <c r="K114" s="127"/>
      <c r="L114" s="79">
        <v>0</v>
      </c>
      <c r="M114" s="79"/>
      <c r="N114" s="79">
        <v>0</v>
      </c>
      <c r="O114" s="128">
        <v>2</v>
      </c>
      <c r="P114" s="79" t="s">
        <v>1421</v>
      </c>
      <c r="Q114" s="79"/>
      <c r="R114" s="79" t="s">
        <v>1130</v>
      </c>
      <c r="S114" s="79"/>
      <c r="T114" s="79" t="s">
        <v>1495</v>
      </c>
      <c r="U114" s="79"/>
      <c r="V114" s="79"/>
      <c r="W114" s="79" t="s">
        <v>1646</v>
      </c>
      <c r="X114" s="79"/>
      <c r="Y114" s="79"/>
      <c r="Z114" s="79"/>
      <c r="AA114" s="79" t="s">
        <v>1645</v>
      </c>
      <c r="AB114" s="79" t="s">
        <v>1260</v>
      </c>
      <c r="AC114" s="506" t="s">
        <v>6333</v>
      </c>
      <c r="AD114" s="573">
        <v>1</v>
      </c>
      <c r="AE114" s="573">
        <v>1</v>
      </c>
      <c r="AF114" s="154"/>
      <c r="AG114" s="155"/>
      <c r="AH114" s="121">
        <v>4</v>
      </c>
      <c r="AI114" s="484"/>
      <c r="AJ114" s="202"/>
      <c r="AK114" s="192"/>
      <c r="AL114" s="203"/>
      <c r="AM114" s="121"/>
      <c r="AN114" s="121"/>
      <c r="AO114" s="121"/>
      <c r="AP114" s="121"/>
      <c r="AQ114" s="121"/>
      <c r="AR114" s="121"/>
      <c r="AS114" s="121"/>
      <c r="AT114" s="121"/>
      <c r="AU114" s="121"/>
      <c r="AV114" s="121"/>
      <c r="AW114" s="121"/>
      <c r="AX114" s="121"/>
      <c r="AY114" s="121"/>
      <c r="AZ114" s="121"/>
      <c r="BA114" s="121"/>
      <c r="BB114" s="121">
        <v>1</v>
      </c>
      <c r="BC114" s="121"/>
      <c r="BD114" s="156" t="s">
        <v>5207</v>
      </c>
      <c r="BE114" s="156"/>
      <c r="BF114" s="156"/>
      <c r="BG114" s="156"/>
      <c r="BH114" s="156"/>
      <c r="BI114" s="156"/>
      <c r="BJ114" s="156" t="s">
        <v>5207</v>
      </c>
      <c r="BK114" s="156"/>
      <c r="BL114" s="156"/>
      <c r="BM114" s="156"/>
      <c r="BN114" s="156"/>
      <c r="BO114" s="156"/>
      <c r="BP114" s="156"/>
      <c r="BQ114" s="157"/>
      <c r="BR114" s="134"/>
      <c r="BS114" s="134"/>
      <c r="BT114" s="134"/>
      <c r="BU114" s="134"/>
      <c r="BV114" s="134"/>
      <c r="BW114" s="259"/>
      <c r="BX114" s="138"/>
      <c r="BY114" s="134"/>
      <c r="BZ114" s="134"/>
      <c r="CA114" s="134"/>
      <c r="CB114" s="138"/>
      <c r="CC114" s="134"/>
      <c r="CD114" s="134"/>
      <c r="CE114" s="134"/>
      <c r="CF114" s="435"/>
      <c r="CG114" s="437"/>
      <c r="CH114" s="138"/>
      <c r="CI114" s="134"/>
      <c r="CJ114" s="134"/>
      <c r="CK114" s="134"/>
      <c r="CL114" s="138"/>
      <c r="CM114" s="134"/>
      <c r="CN114" s="134"/>
      <c r="CO114" s="134"/>
      <c r="CP114" s="288"/>
      <c r="CQ114" s="289"/>
      <c r="CR114" s="276"/>
      <c r="CS114" s="308"/>
      <c r="CT114" s="138"/>
      <c r="CU114" s="134"/>
      <c r="CV114" s="134"/>
      <c r="CW114" s="134"/>
      <c r="CX114" s="134"/>
      <c r="CY114" s="134"/>
      <c r="CZ114" s="134"/>
      <c r="DA114" s="134"/>
      <c r="DB114" s="300"/>
      <c r="DC114" s="301"/>
      <c r="DD114" s="134"/>
      <c r="DE114" s="134"/>
      <c r="DF114" s="134"/>
      <c r="DG114" s="134"/>
      <c r="DH114" s="134"/>
      <c r="DI114" s="134"/>
      <c r="DJ114" s="134"/>
      <c r="DK114" s="134"/>
      <c r="DL114" s="300"/>
      <c r="DM114" s="301"/>
      <c r="DN114" s="276"/>
      <c r="DO114" s="277"/>
      <c r="DP114" s="134"/>
      <c r="DQ114" s="134"/>
      <c r="DR114" s="134"/>
      <c r="DS114" s="134"/>
      <c r="DT114" s="138"/>
      <c r="DU114" s="134"/>
      <c r="DV114" s="134"/>
      <c r="DW114" s="134"/>
      <c r="DX114" s="301"/>
      <c r="DY114" s="301"/>
      <c r="DZ114" s="138"/>
      <c r="EA114" s="134"/>
      <c r="EB114" s="134"/>
      <c r="EC114" s="134"/>
      <c r="ED114" s="138"/>
      <c r="EE114" s="134"/>
      <c r="EF114" s="134"/>
      <c r="EG114" s="134"/>
      <c r="EH114" s="301"/>
      <c r="EI114" s="301"/>
      <c r="EJ114" s="277"/>
      <c r="EK114" s="134"/>
      <c r="EL114" s="134"/>
      <c r="EM114" s="134"/>
      <c r="EN114" s="134"/>
      <c r="EO114" s="134"/>
      <c r="EP114" s="134"/>
      <c r="EQ114" s="134"/>
      <c r="ER114" s="134"/>
      <c r="ES114" s="301"/>
      <c r="ET114" s="301"/>
      <c r="EU114" s="134"/>
      <c r="EV114" s="134"/>
      <c r="EW114" s="134"/>
      <c r="EX114" s="134"/>
      <c r="EY114" s="134"/>
      <c r="EZ114" s="134"/>
      <c r="FA114" s="134"/>
      <c r="FB114" s="134"/>
      <c r="FC114" s="135"/>
      <c r="FD114" s="135"/>
      <c r="FE114" s="134"/>
      <c r="FF114" s="134"/>
      <c r="FG114" s="134"/>
      <c r="FH114" s="134"/>
      <c r="FI114" s="134"/>
      <c r="FJ114" s="134"/>
      <c r="FK114" s="134"/>
      <c r="FL114" s="134"/>
      <c r="FM114" s="135"/>
      <c r="FN114" s="135"/>
      <c r="FO114" s="134"/>
      <c r="FP114" s="134"/>
      <c r="FQ114" s="134"/>
      <c r="FR114" s="134"/>
      <c r="FS114" s="134"/>
      <c r="FT114" s="134"/>
      <c r="FU114" s="134"/>
      <c r="FV114" s="134"/>
      <c r="FW114" s="135"/>
      <c r="FX114" s="135"/>
      <c r="FY114" s="134"/>
      <c r="FZ114" s="134"/>
      <c r="GA114" s="134"/>
      <c r="GB114" s="134"/>
      <c r="GC114" s="134"/>
      <c r="GD114" s="134"/>
      <c r="GE114" s="134"/>
      <c r="GF114" s="134"/>
      <c r="GG114" s="135"/>
      <c r="GH114" s="135"/>
      <c r="GI114" s="134"/>
      <c r="GJ114" s="134"/>
      <c r="GK114" s="134"/>
      <c r="GL114" s="134"/>
      <c r="GM114" s="134"/>
      <c r="GN114" s="134"/>
      <c r="GO114" s="134"/>
      <c r="GP114" s="134"/>
      <c r="GQ114" s="135"/>
      <c r="GR114" s="135"/>
      <c r="GS114" s="134"/>
      <c r="GT114" s="134"/>
      <c r="GU114" s="134"/>
      <c r="GV114" s="134"/>
      <c r="GW114" s="134"/>
      <c r="GX114" s="134"/>
      <c r="GY114" s="134"/>
      <c r="GZ114" s="134"/>
      <c r="HA114" s="135"/>
      <c r="HB114" s="135"/>
      <c r="HC114" s="134"/>
      <c r="HD114" s="134"/>
      <c r="HE114" s="134"/>
      <c r="HF114" s="134"/>
      <c r="HG114" s="134"/>
      <c r="HH114" s="134"/>
      <c r="HI114" s="134"/>
      <c r="HJ114" s="134"/>
      <c r="HK114" s="135"/>
      <c r="HL114" s="135"/>
      <c r="HM114" s="134"/>
      <c r="HN114" s="134"/>
      <c r="HO114" s="134"/>
      <c r="HP114" s="134"/>
      <c r="HQ114" s="134"/>
      <c r="HR114" s="134"/>
      <c r="HS114" s="134"/>
      <c r="HT114" s="134"/>
      <c r="HU114" s="135"/>
      <c r="HV114" s="135"/>
      <c r="HW114" s="134"/>
      <c r="HX114" s="134"/>
      <c r="HY114" s="134"/>
      <c r="HZ114" s="134"/>
      <c r="IA114" s="134"/>
      <c r="IB114" s="134"/>
      <c r="IC114" s="134"/>
      <c r="ID114" s="134"/>
      <c r="IE114" s="135"/>
      <c r="IF114" s="135"/>
      <c r="IG114" s="134"/>
      <c r="IH114" s="134"/>
      <c r="II114" s="134"/>
      <c r="IJ114" s="134"/>
      <c r="IK114" s="134"/>
      <c r="IL114" s="134"/>
      <c r="IM114" s="134"/>
      <c r="IN114" s="134"/>
      <c r="IO114" s="135"/>
      <c r="IP114" s="135"/>
      <c r="IQ114" s="134"/>
      <c r="IR114" s="134"/>
      <c r="IS114" s="134"/>
      <c r="IT114" s="134"/>
      <c r="IU114" s="134"/>
      <c r="IV114" s="134"/>
      <c r="IW114" s="134"/>
      <c r="IX114" s="134"/>
      <c r="IY114" s="135"/>
      <c r="IZ114" s="135"/>
    </row>
    <row r="115" spans="1:260" customFormat="1" ht="17" customHeight="1">
      <c r="A115" s="79" t="s">
        <v>75</v>
      </c>
      <c r="B115" s="363">
        <v>2</v>
      </c>
      <c r="C115" s="363"/>
      <c r="D115" s="363"/>
      <c r="E115" s="123" t="s">
        <v>1919</v>
      </c>
      <c r="F115" s="124" t="s">
        <v>2136</v>
      </c>
      <c r="G115" s="125">
        <v>2015</v>
      </c>
      <c r="H115" s="79">
        <v>25444643</v>
      </c>
      <c r="I115" s="79">
        <v>1</v>
      </c>
      <c r="J115" s="126"/>
      <c r="K115" s="127"/>
      <c r="L115" s="79">
        <v>1</v>
      </c>
      <c r="M115" s="79"/>
      <c r="N115" s="79">
        <v>1</v>
      </c>
      <c r="O115" s="128">
        <v>1</v>
      </c>
      <c r="P115" s="79" t="s">
        <v>11</v>
      </c>
      <c r="Q115" s="79" t="s">
        <v>1142</v>
      </c>
      <c r="R115" s="79" t="s">
        <v>10</v>
      </c>
      <c r="S115" s="79">
        <v>1</v>
      </c>
      <c r="T115" s="79"/>
      <c r="U115" s="79"/>
      <c r="V115" s="79"/>
      <c r="W115" s="79" t="s">
        <v>11</v>
      </c>
      <c r="X115" s="79" t="s">
        <v>12</v>
      </c>
      <c r="Y115" s="79" t="s">
        <v>13</v>
      </c>
      <c r="Z115" s="79"/>
      <c r="AA115" s="79"/>
      <c r="AB115" s="79"/>
      <c r="AC115" s="506"/>
      <c r="AD115" s="573">
        <v>1</v>
      </c>
      <c r="AE115" s="573">
        <v>2</v>
      </c>
      <c r="AF115" s="129">
        <v>1</v>
      </c>
      <c r="AG115" s="130" t="s">
        <v>24</v>
      </c>
      <c r="AH115" s="136">
        <v>1</v>
      </c>
      <c r="AI115" s="489"/>
      <c r="AJ115" s="564"/>
      <c r="AK115" s="191">
        <v>1</v>
      </c>
      <c r="AL115" s="199"/>
      <c r="AM115" s="16">
        <v>1014</v>
      </c>
      <c r="AN115" s="16">
        <v>42</v>
      </c>
      <c r="AO115" s="16">
        <v>923</v>
      </c>
      <c r="AP115" s="16" t="s">
        <v>803</v>
      </c>
      <c r="AQ115" s="16" t="s">
        <v>803</v>
      </c>
      <c r="AR115" s="16">
        <v>22.63</v>
      </c>
      <c r="AS115" s="136">
        <v>4.08</v>
      </c>
      <c r="AT115" s="16">
        <v>22.23</v>
      </c>
      <c r="AU115" s="16">
        <v>2.81</v>
      </c>
      <c r="AV115" s="16" t="s">
        <v>1874</v>
      </c>
      <c r="AW115" s="16" t="s">
        <v>24</v>
      </c>
      <c r="AX115" s="16" t="s">
        <v>24</v>
      </c>
      <c r="AY115" s="16" t="s">
        <v>2423</v>
      </c>
      <c r="AZ115" s="16" t="s">
        <v>2605</v>
      </c>
      <c r="BA115" s="16" t="s">
        <v>1875</v>
      </c>
      <c r="BB115" s="16"/>
      <c r="BC115" s="16"/>
      <c r="BD115" s="132">
        <v>1</v>
      </c>
      <c r="BE115" s="132"/>
      <c r="BF115" s="132"/>
      <c r="BG115" s="132"/>
      <c r="BH115" s="132"/>
      <c r="BI115" s="132"/>
      <c r="BJ115" s="132"/>
      <c r="BK115" s="132"/>
      <c r="BL115" s="132"/>
      <c r="BM115" s="132"/>
      <c r="BN115" s="132"/>
      <c r="BO115" s="132"/>
      <c r="BP115" s="132"/>
      <c r="BQ115" s="133" t="s">
        <v>2528</v>
      </c>
      <c r="BR115" s="26" t="s">
        <v>1876</v>
      </c>
      <c r="BS115" s="26">
        <v>4</v>
      </c>
      <c r="BT115" s="26" t="s">
        <v>1488</v>
      </c>
      <c r="BU115" s="26" t="s">
        <v>2470</v>
      </c>
      <c r="BV115" s="26" t="s">
        <v>2400</v>
      </c>
      <c r="BW115" s="255" t="s">
        <v>2526</v>
      </c>
      <c r="BX115" s="519" t="s">
        <v>2418</v>
      </c>
      <c r="BY115" s="134">
        <v>217.09</v>
      </c>
      <c r="BZ115" s="134">
        <v>29</v>
      </c>
      <c r="CA115" s="134" t="s">
        <v>24</v>
      </c>
      <c r="CB115" s="264" t="s">
        <v>2420</v>
      </c>
      <c r="CC115" s="134">
        <v>175.19</v>
      </c>
      <c r="CD115" s="134">
        <v>25.13</v>
      </c>
      <c r="CE115" s="134" t="s">
        <v>24</v>
      </c>
      <c r="CF115" s="288" t="s">
        <v>2412</v>
      </c>
      <c r="CG115" s="289" t="s">
        <v>2550</v>
      </c>
      <c r="CH115" s="264" t="s">
        <v>2425</v>
      </c>
      <c r="CI115" s="134">
        <v>214.41</v>
      </c>
      <c r="CJ115" s="134">
        <v>7.57</v>
      </c>
      <c r="CK115" s="134" t="s">
        <v>24</v>
      </c>
      <c r="CL115" s="264" t="s">
        <v>2424</v>
      </c>
      <c r="CM115" s="134">
        <v>104.54</v>
      </c>
      <c r="CN115" s="134">
        <v>6.54</v>
      </c>
      <c r="CO115" s="134" t="s">
        <v>24</v>
      </c>
      <c r="CP115" s="288" t="s">
        <v>2411</v>
      </c>
      <c r="CQ115" s="289" t="s">
        <v>2410</v>
      </c>
      <c r="CR115" s="276" t="s">
        <v>2413</v>
      </c>
      <c r="CS115" s="308" t="s">
        <v>2414</v>
      </c>
      <c r="CT115" s="137" t="s">
        <v>24</v>
      </c>
      <c r="CU115" s="134"/>
      <c r="CV115" s="168"/>
      <c r="CW115" s="134"/>
      <c r="CX115" s="168"/>
      <c r="CY115" s="134"/>
      <c r="CZ115" s="168"/>
      <c r="DA115" s="134"/>
      <c r="DB115" s="300"/>
      <c r="DC115" s="301"/>
      <c r="DD115" s="168"/>
      <c r="DE115" s="134"/>
      <c r="DF115" s="134"/>
      <c r="DG115" s="190"/>
      <c r="DH115" s="168"/>
      <c r="DI115" s="190"/>
      <c r="DJ115" s="168"/>
      <c r="DK115" s="190"/>
      <c r="DL115" s="300"/>
      <c r="DM115" s="301"/>
      <c r="DN115" s="276"/>
      <c r="DO115" s="277"/>
      <c r="DP115" s="134"/>
      <c r="DQ115" s="134"/>
      <c r="DR115" s="134"/>
      <c r="DS115" s="134"/>
      <c r="DT115" s="138"/>
      <c r="DU115" s="134"/>
      <c r="DV115" s="134"/>
      <c r="DW115" s="134"/>
      <c r="DX115" s="301"/>
      <c r="DY115" s="301"/>
      <c r="DZ115" s="138"/>
      <c r="EA115" s="134"/>
      <c r="EB115" s="134"/>
      <c r="EC115" s="134"/>
      <c r="ED115" s="138"/>
      <c r="EE115" s="134"/>
      <c r="EF115" s="134"/>
      <c r="EG115" s="134"/>
      <c r="EH115" s="301"/>
      <c r="EI115" s="301"/>
      <c r="EJ115" s="277"/>
      <c r="EK115" s="134"/>
      <c r="EL115" s="134"/>
      <c r="EM115" s="134"/>
      <c r="EN115" s="134"/>
      <c r="EO115" s="134"/>
      <c r="EP115" s="134"/>
      <c r="EQ115" s="134"/>
      <c r="ER115" s="134"/>
      <c r="ES115" s="301"/>
      <c r="ET115" s="301"/>
      <c r="EU115" s="134"/>
      <c r="EV115" s="134"/>
      <c r="EW115" s="134"/>
      <c r="EX115" s="134"/>
      <c r="EY115" s="134"/>
      <c r="EZ115" s="134"/>
      <c r="FA115" s="134"/>
      <c r="FB115" s="134"/>
      <c r="FC115" s="135"/>
      <c r="FD115" s="135"/>
      <c r="FE115" s="134"/>
      <c r="FF115" s="134"/>
      <c r="FG115" s="134"/>
      <c r="FH115" s="134"/>
      <c r="FI115" s="134"/>
      <c r="FJ115" s="134"/>
      <c r="FK115" s="134"/>
      <c r="FL115" s="134"/>
      <c r="FM115" s="135"/>
      <c r="FN115" s="135"/>
      <c r="FO115" s="134"/>
      <c r="FP115" s="134"/>
      <c r="FQ115" s="134"/>
      <c r="FR115" s="134"/>
      <c r="FS115" s="134"/>
      <c r="FT115" s="134"/>
      <c r="FU115" s="134"/>
      <c r="FV115" s="134"/>
      <c r="FW115" s="135"/>
      <c r="FX115" s="135"/>
      <c r="FY115" s="134"/>
      <c r="FZ115" s="134"/>
      <c r="GA115" s="134"/>
      <c r="GB115" s="134"/>
      <c r="GC115" s="134"/>
      <c r="GD115" s="134"/>
      <c r="GE115" s="134"/>
      <c r="GF115" s="134"/>
      <c r="GG115" s="135"/>
      <c r="GH115" s="135"/>
      <c r="GI115" s="134"/>
      <c r="GJ115" s="134"/>
      <c r="GK115" s="134"/>
      <c r="GL115" s="134"/>
      <c r="GM115" s="134"/>
      <c r="GN115" s="134"/>
      <c r="GO115" s="134"/>
      <c r="GP115" s="134"/>
      <c r="GQ115" s="135"/>
      <c r="GR115" s="135"/>
      <c r="GS115" s="134"/>
      <c r="GT115" s="134"/>
      <c r="GU115" s="134"/>
      <c r="GV115" s="134"/>
      <c r="GW115" s="134"/>
      <c r="GX115" s="134"/>
      <c r="GY115" s="134"/>
      <c r="GZ115" s="134"/>
      <c r="HA115" s="135"/>
      <c r="HB115" s="135"/>
      <c r="HC115" s="134"/>
      <c r="HD115" s="134"/>
      <c r="HE115" s="134"/>
      <c r="HF115" s="134"/>
      <c r="HG115" s="134"/>
      <c r="HH115" s="134"/>
      <c r="HI115" s="134"/>
      <c r="HJ115" s="134"/>
      <c r="HK115" s="135"/>
      <c r="HL115" s="135"/>
      <c r="HM115" s="134"/>
      <c r="HN115" s="134"/>
      <c r="HO115" s="134"/>
      <c r="HP115" s="134"/>
      <c r="HQ115" s="134"/>
      <c r="HR115" s="134"/>
      <c r="HS115" s="134"/>
      <c r="HT115" s="134"/>
      <c r="HU115" s="135"/>
      <c r="HV115" s="135"/>
      <c r="HW115" s="134"/>
      <c r="HX115" s="134"/>
      <c r="HY115" s="134"/>
      <c r="HZ115" s="134"/>
      <c r="IA115" s="134"/>
      <c r="IB115" s="134"/>
      <c r="IC115" s="134"/>
      <c r="ID115" s="134"/>
      <c r="IE115" s="135"/>
      <c r="IF115" s="135"/>
      <c r="IG115" s="134"/>
      <c r="IH115" s="134"/>
      <c r="II115" s="134"/>
      <c r="IJ115" s="134"/>
      <c r="IK115" s="134"/>
      <c r="IL115" s="134"/>
      <c r="IM115" s="134"/>
      <c r="IN115" s="134"/>
      <c r="IO115" s="135"/>
      <c r="IP115" s="135"/>
      <c r="IQ115" s="134"/>
      <c r="IR115" s="134"/>
      <c r="IS115" s="134"/>
      <c r="IT115" s="134"/>
      <c r="IU115" s="134"/>
      <c r="IV115" s="134"/>
      <c r="IW115" s="134"/>
      <c r="IX115" s="134"/>
      <c r="IY115" s="135"/>
      <c r="IZ115" s="135"/>
    </row>
    <row r="116" spans="1:260" customFormat="1" ht="17" customHeight="1">
      <c r="A116" s="118" t="s">
        <v>75</v>
      </c>
      <c r="B116" s="363">
        <v>2</v>
      </c>
      <c r="C116" s="363"/>
      <c r="D116" s="363"/>
      <c r="E116" s="139" t="s">
        <v>1919</v>
      </c>
      <c r="F116" s="140" t="s">
        <v>2136</v>
      </c>
      <c r="G116" s="141">
        <v>2015</v>
      </c>
      <c r="H116" s="118">
        <v>25444643</v>
      </c>
      <c r="I116" s="118">
        <v>1</v>
      </c>
      <c r="J116" s="118"/>
      <c r="K116" s="118"/>
      <c r="L116" s="118">
        <v>1</v>
      </c>
      <c r="M116" s="118"/>
      <c r="N116" s="118">
        <v>1</v>
      </c>
      <c r="O116" s="142">
        <v>1</v>
      </c>
      <c r="P116" s="118" t="s">
        <v>11</v>
      </c>
      <c r="Q116" s="118" t="s">
        <v>1142</v>
      </c>
      <c r="R116" s="118" t="s">
        <v>10</v>
      </c>
      <c r="S116" s="118">
        <v>1</v>
      </c>
      <c r="T116" s="118"/>
      <c r="U116" s="118"/>
      <c r="V116" s="118"/>
      <c r="W116" s="118" t="s">
        <v>11</v>
      </c>
      <c r="X116" s="118" t="s">
        <v>12</v>
      </c>
      <c r="Y116" s="118" t="s">
        <v>13</v>
      </c>
      <c r="Z116" s="118"/>
      <c r="AA116" s="118"/>
      <c r="AB116" s="118"/>
      <c r="AC116" s="145"/>
      <c r="AD116" s="573">
        <v>1</v>
      </c>
      <c r="AE116" s="573">
        <v>2</v>
      </c>
      <c r="AF116" s="143">
        <v>1</v>
      </c>
      <c r="AG116" s="144" t="s">
        <v>24</v>
      </c>
      <c r="AH116" s="145">
        <v>1</v>
      </c>
      <c r="AI116" s="488"/>
      <c r="AJ116" s="200"/>
      <c r="AK116" s="191">
        <v>1</v>
      </c>
      <c r="AL116" s="201"/>
      <c r="AM116" s="146">
        <v>1014</v>
      </c>
      <c r="AN116" s="146">
        <v>42</v>
      </c>
      <c r="AO116" s="146">
        <v>923</v>
      </c>
      <c r="AP116" s="146" t="s">
        <v>803</v>
      </c>
      <c r="AQ116" s="146" t="s">
        <v>803</v>
      </c>
      <c r="AR116" s="146">
        <v>22.63</v>
      </c>
      <c r="AS116" s="146">
        <v>4.08</v>
      </c>
      <c r="AT116" s="146">
        <v>22.23</v>
      </c>
      <c r="AU116" s="146">
        <v>2.81</v>
      </c>
      <c r="AV116" s="146" t="s">
        <v>1874</v>
      </c>
      <c r="AW116" s="146" t="s">
        <v>24</v>
      </c>
      <c r="AX116" s="146" t="s">
        <v>24</v>
      </c>
      <c r="AY116" s="146" t="s">
        <v>2423</v>
      </c>
      <c r="AZ116" s="146" t="s">
        <v>2605</v>
      </c>
      <c r="BA116" s="146" t="s">
        <v>1875</v>
      </c>
      <c r="BB116" s="146"/>
      <c r="BC116" s="146"/>
      <c r="BD116" s="147">
        <v>1</v>
      </c>
      <c r="BE116" s="147"/>
      <c r="BF116" s="147"/>
      <c r="BG116" s="147"/>
      <c r="BH116" s="147"/>
      <c r="BI116" s="147"/>
      <c r="BJ116" s="147"/>
      <c r="BK116" s="147"/>
      <c r="BL116" s="147"/>
      <c r="BM116" s="147"/>
      <c r="BN116" s="147"/>
      <c r="BO116" s="147"/>
      <c r="BP116" s="147"/>
      <c r="BQ116" s="148" t="s">
        <v>2529</v>
      </c>
      <c r="BR116" s="253" t="s">
        <v>1876</v>
      </c>
      <c r="BS116" s="253">
        <v>4</v>
      </c>
      <c r="BT116" s="465" t="s">
        <v>1488</v>
      </c>
      <c r="BU116" s="253" t="s">
        <v>2470</v>
      </c>
      <c r="BV116" s="253" t="s">
        <v>2400</v>
      </c>
      <c r="BW116" s="256" t="s">
        <v>2527</v>
      </c>
      <c r="BX116" s="269" t="s">
        <v>2434</v>
      </c>
      <c r="BY116" s="450">
        <v>52.29</v>
      </c>
      <c r="BZ116" s="150">
        <v>1.66</v>
      </c>
      <c r="CA116" s="150" t="s">
        <v>24</v>
      </c>
      <c r="CB116" s="269" t="s">
        <v>2436</v>
      </c>
      <c r="CC116" s="150">
        <v>57.61</v>
      </c>
      <c r="CD116" s="150">
        <v>8.6300000000000008</v>
      </c>
      <c r="CE116" s="150" t="s">
        <v>24</v>
      </c>
      <c r="CF116" s="290" t="s">
        <v>24</v>
      </c>
      <c r="CG116" s="291" t="s">
        <v>24</v>
      </c>
      <c r="CH116" s="431" t="s">
        <v>2438</v>
      </c>
      <c r="CI116" s="150">
        <v>30.46</v>
      </c>
      <c r="CJ116" s="150">
        <v>1.47</v>
      </c>
      <c r="CK116" s="150" t="s">
        <v>24</v>
      </c>
      <c r="CL116" s="149" t="s">
        <v>2440</v>
      </c>
      <c r="CM116" s="150">
        <v>42.75</v>
      </c>
      <c r="CN116" s="150">
        <v>7.16</v>
      </c>
      <c r="CO116" s="150" t="s">
        <v>24</v>
      </c>
      <c r="CP116" s="290" t="s">
        <v>24</v>
      </c>
      <c r="CQ116" s="291" t="s">
        <v>24</v>
      </c>
      <c r="CR116" s="278" t="s">
        <v>24</v>
      </c>
      <c r="CS116" s="285" t="s">
        <v>24</v>
      </c>
      <c r="CT116" s="149" t="s">
        <v>2441</v>
      </c>
      <c r="CU116" s="150">
        <v>19.63</v>
      </c>
      <c r="CV116" s="150">
        <v>1.47</v>
      </c>
      <c r="CW116" s="150" t="s">
        <v>24</v>
      </c>
      <c r="CX116" s="149" t="s">
        <v>2442</v>
      </c>
      <c r="CY116" s="150">
        <v>43.3</v>
      </c>
      <c r="CZ116" s="150">
        <v>6.79</v>
      </c>
      <c r="DA116" s="150" t="s">
        <v>24</v>
      </c>
      <c r="DB116" s="302" t="s">
        <v>2541</v>
      </c>
      <c r="DC116" s="303" t="s">
        <v>2415</v>
      </c>
      <c r="DD116" s="149" t="s">
        <v>2443</v>
      </c>
      <c r="DE116" s="150">
        <v>13.95</v>
      </c>
      <c r="DF116" s="150">
        <v>1.28</v>
      </c>
      <c r="DG116" s="150" t="s">
        <v>24</v>
      </c>
      <c r="DH116" s="149" t="s">
        <v>2444</v>
      </c>
      <c r="DI116" s="150">
        <v>29.36</v>
      </c>
      <c r="DJ116" s="150">
        <v>6.6</v>
      </c>
      <c r="DK116" s="150" t="s">
        <v>24</v>
      </c>
      <c r="DL116" s="302" t="s">
        <v>2542</v>
      </c>
      <c r="DM116" s="303" t="s">
        <v>2415</v>
      </c>
      <c r="DN116" s="278" t="s">
        <v>2416</v>
      </c>
      <c r="DO116" s="279" t="s">
        <v>1877</v>
      </c>
      <c r="DP116" s="150"/>
      <c r="DQ116" s="150"/>
      <c r="DR116" s="150"/>
      <c r="DS116" s="150"/>
      <c r="DT116" s="151"/>
      <c r="DU116" s="150"/>
      <c r="DV116" s="150"/>
      <c r="DW116" s="150"/>
      <c r="DX116" s="303"/>
      <c r="DY116" s="303"/>
      <c r="DZ116" s="151"/>
      <c r="EA116" s="150"/>
      <c r="EB116" s="150"/>
      <c r="EC116" s="150"/>
      <c r="ED116" s="151"/>
      <c r="EE116" s="150"/>
      <c r="EF116" s="150"/>
      <c r="EG116" s="150"/>
      <c r="EH116" s="303"/>
      <c r="EI116" s="303"/>
      <c r="EJ116" s="279"/>
      <c r="EK116" s="150"/>
      <c r="EL116" s="150"/>
      <c r="EM116" s="150"/>
      <c r="EN116" s="150"/>
      <c r="EO116" s="150"/>
      <c r="EP116" s="150"/>
      <c r="EQ116" s="150"/>
      <c r="ER116" s="150"/>
      <c r="ES116" s="303"/>
      <c r="ET116" s="303"/>
      <c r="EU116" s="150"/>
      <c r="EV116" s="150"/>
      <c r="EW116" s="150"/>
      <c r="EX116" s="150"/>
      <c r="EY116" s="134"/>
      <c r="EZ116" s="134"/>
      <c r="FA116" s="134"/>
      <c r="FB116" s="134"/>
      <c r="FC116" s="135"/>
      <c r="FD116" s="135"/>
      <c r="FE116" s="134"/>
      <c r="FF116" s="134"/>
      <c r="FG116" s="134"/>
      <c r="FH116" s="134"/>
      <c r="FI116" s="134"/>
      <c r="FJ116" s="134"/>
      <c r="FK116" s="134"/>
      <c r="FL116" s="134"/>
      <c r="FM116" s="135"/>
      <c r="FN116" s="135"/>
      <c r="FO116" s="134"/>
      <c r="FP116" s="134"/>
      <c r="FQ116" s="134"/>
      <c r="FR116" s="134"/>
      <c r="FS116" s="134"/>
      <c r="FT116" s="134"/>
      <c r="FU116" s="134"/>
      <c r="FV116" s="134"/>
      <c r="FW116" s="135"/>
      <c r="FX116" s="135"/>
      <c r="FY116" s="134"/>
      <c r="FZ116" s="134"/>
      <c r="GA116" s="134"/>
      <c r="GB116" s="134"/>
      <c r="GC116" s="134"/>
      <c r="GD116" s="134"/>
      <c r="GE116" s="134"/>
      <c r="GF116" s="134"/>
      <c r="GG116" s="135"/>
      <c r="GH116" s="135"/>
      <c r="GI116" s="134"/>
      <c r="GJ116" s="134"/>
      <c r="GK116" s="134"/>
      <c r="GL116" s="134"/>
      <c r="GM116" s="134"/>
      <c r="GN116" s="134"/>
      <c r="GO116" s="134"/>
      <c r="GP116" s="134"/>
      <c r="GQ116" s="135"/>
      <c r="GR116" s="135"/>
      <c r="GS116" s="134"/>
      <c r="GT116" s="134"/>
      <c r="GU116" s="134"/>
      <c r="GV116" s="134"/>
      <c r="GW116" s="134"/>
      <c r="GX116" s="134"/>
      <c r="GY116" s="134"/>
      <c r="GZ116" s="134"/>
      <c r="HA116" s="135"/>
      <c r="HB116" s="135"/>
      <c r="HC116" s="134"/>
      <c r="HD116" s="134"/>
      <c r="HE116" s="134"/>
      <c r="HF116" s="134"/>
      <c r="HG116" s="134"/>
      <c r="HH116" s="134"/>
      <c r="HI116" s="134"/>
      <c r="HJ116" s="134"/>
      <c r="HK116" s="135"/>
      <c r="HL116" s="135"/>
      <c r="HM116" s="134"/>
      <c r="HN116" s="134"/>
      <c r="HO116" s="134"/>
      <c r="HP116" s="134"/>
      <c r="HQ116" s="134"/>
      <c r="HR116" s="134"/>
      <c r="HS116" s="134"/>
      <c r="HT116" s="134"/>
      <c r="HU116" s="135"/>
      <c r="HV116" s="135"/>
      <c r="HW116" s="134"/>
      <c r="HX116" s="134"/>
      <c r="HY116" s="134"/>
      <c r="HZ116" s="134"/>
      <c r="IA116" s="134"/>
      <c r="IB116" s="134"/>
      <c r="IC116" s="134"/>
      <c r="ID116" s="134"/>
      <c r="IE116" s="135"/>
      <c r="IF116" s="135"/>
      <c r="IG116" s="134"/>
      <c r="IH116" s="134"/>
      <c r="II116" s="134"/>
      <c r="IJ116" s="134"/>
      <c r="IK116" s="134"/>
      <c r="IL116" s="134"/>
      <c r="IM116" s="134"/>
      <c r="IN116" s="134"/>
      <c r="IO116" s="135"/>
      <c r="IP116" s="135"/>
      <c r="IQ116" s="134"/>
      <c r="IR116" s="134"/>
      <c r="IS116" s="134"/>
      <c r="IT116" s="134"/>
      <c r="IU116" s="134"/>
      <c r="IV116" s="134"/>
      <c r="IW116" s="134"/>
      <c r="IX116" s="134"/>
      <c r="IY116" s="135"/>
      <c r="IZ116" s="135"/>
    </row>
    <row r="117" spans="1:260" s="119" customFormat="1" ht="17" customHeight="1">
      <c r="A117" s="79" t="s">
        <v>1112</v>
      </c>
      <c r="B117" s="117">
        <v>68</v>
      </c>
      <c r="C117" s="117">
        <v>5</v>
      </c>
      <c r="D117" s="117"/>
      <c r="E117" s="123" t="s">
        <v>2051</v>
      </c>
      <c r="F117" s="124" t="s">
        <v>2294</v>
      </c>
      <c r="G117" s="125">
        <v>2011</v>
      </c>
      <c r="H117" s="79">
        <v>20849863</v>
      </c>
      <c r="I117" s="79">
        <v>1</v>
      </c>
      <c r="J117" s="126">
        <v>1</v>
      </c>
      <c r="K117" s="127"/>
      <c r="L117" s="79">
        <v>0</v>
      </c>
      <c r="M117" s="79"/>
      <c r="N117" s="79">
        <v>0</v>
      </c>
      <c r="O117" s="128">
        <v>2</v>
      </c>
      <c r="P117" s="79" t="s">
        <v>1834</v>
      </c>
      <c r="Q117" s="79" t="s">
        <v>24</v>
      </c>
      <c r="R117" s="79" t="s">
        <v>1127</v>
      </c>
      <c r="S117" s="79"/>
      <c r="T117" s="79" t="s">
        <v>1541</v>
      </c>
      <c r="U117" s="79" t="s">
        <v>23</v>
      </c>
      <c r="V117" s="79" t="s">
        <v>23</v>
      </c>
      <c r="W117" s="79" t="s">
        <v>1813</v>
      </c>
      <c r="X117" s="79" t="s">
        <v>23</v>
      </c>
      <c r="Y117" s="79" t="s">
        <v>1137</v>
      </c>
      <c r="Z117" s="79"/>
      <c r="AA117" s="79"/>
      <c r="AB117" s="79" t="s">
        <v>424</v>
      </c>
      <c r="AC117" s="506"/>
      <c r="AD117" s="573">
        <v>1</v>
      </c>
      <c r="AE117" s="573">
        <v>2</v>
      </c>
      <c r="AF117" s="154">
        <v>1</v>
      </c>
      <c r="AG117" s="155"/>
      <c r="AH117" s="121">
        <v>4</v>
      </c>
      <c r="AI117" s="484"/>
      <c r="AJ117" s="396" t="s">
        <v>3831</v>
      </c>
      <c r="AK117" s="192">
        <v>0</v>
      </c>
      <c r="AL117" s="203">
        <v>0</v>
      </c>
      <c r="AM117" s="121">
        <v>20</v>
      </c>
      <c r="AN117" s="121">
        <v>10</v>
      </c>
      <c r="AO117" s="121">
        <v>10</v>
      </c>
      <c r="AP117" s="121" t="s">
        <v>803</v>
      </c>
      <c r="AQ117" s="121" t="s">
        <v>803</v>
      </c>
      <c r="AR117" s="121" t="s">
        <v>2468</v>
      </c>
      <c r="AS117" s="121" t="s">
        <v>24</v>
      </c>
      <c r="AT117" s="121" t="s">
        <v>2468</v>
      </c>
      <c r="AU117" s="121" t="s">
        <v>24</v>
      </c>
      <c r="AV117" s="121" t="s">
        <v>3819</v>
      </c>
      <c r="AW117" s="121">
        <v>1</v>
      </c>
      <c r="AX117" s="121" t="s">
        <v>3820</v>
      </c>
      <c r="AY117" s="121" t="s">
        <v>3821</v>
      </c>
      <c r="AZ117" s="121" t="s">
        <v>2912</v>
      </c>
      <c r="BA117" s="121" t="s">
        <v>3279</v>
      </c>
      <c r="BB117" s="121"/>
      <c r="BC117" s="121"/>
      <c r="BD117" s="156">
        <v>1</v>
      </c>
      <c r="BE117" s="156"/>
      <c r="BF117" s="156"/>
      <c r="BG117" s="156"/>
      <c r="BH117" s="156"/>
      <c r="BI117" s="156"/>
      <c r="BJ117" s="156"/>
      <c r="BK117" s="156"/>
      <c r="BL117" s="156"/>
      <c r="BM117" s="156"/>
      <c r="BN117" s="156"/>
      <c r="BO117" s="156"/>
      <c r="BP117" s="156"/>
      <c r="BQ117" s="157" t="s">
        <v>3680</v>
      </c>
      <c r="BR117" s="134" t="s">
        <v>1876</v>
      </c>
      <c r="BS117" s="134">
        <v>2</v>
      </c>
      <c r="BT117" s="134" t="s">
        <v>3823</v>
      </c>
      <c r="BU117" s="134" t="s">
        <v>3822</v>
      </c>
      <c r="BV117" s="134" t="s">
        <v>3224</v>
      </c>
      <c r="BW117" s="539" t="s">
        <v>3830</v>
      </c>
      <c r="BX117" s="430" t="s">
        <v>3824</v>
      </c>
      <c r="BY117" s="134">
        <v>15.779500000000001</v>
      </c>
      <c r="BZ117" s="134" t="s">
        <v>24</v>
      </c>
      <c r="CA117" s="134">
        <f>21.673-Table665[[#This Row],[Outcome1_M]]</f>
        <v>5.8934999999999977</v>
      </c>
      <c r="CB117" s="430" t="s">
        <v>3825</v>
      </c>
      <c r="CC117" s="134">
        <v>58.174900000000001</v>
      </c>
      <c r="CD117" s="134" t="s">
        <v>24</v>
      </c>
      <c r="CE117" s="134">
        <f>67.8707-Table665[[#This Row],[Outcome2_M]]</f>
        <v>9.6957999999999984</v>
      </c>
      <c r="CF117" s="288" t="s">
        <v>24</v>
      </c>
      <c r="CG117" s="289" t="s">
        <v>24</v>
      </c>
      <c r="CH117" s="340" t="s">
        <v>3826</v>
      </c>
      <c r="CI117" s="134">
        <v>69.581699999999998</v>
      </c>
      <c r="CJ117" s="134" t="s">
        <v>24</v>
      </c>
      <c r="CK117" s="134">
        <f>76.8061-Table665[[#This Row],[Outcome3_M]]</f>
        <v>7.2244000000000028</v>
      </c>
      <c r="CL117" s="340" t="s">
        <v>3827</v>
      </c>
      <c r="CM117" s="134">
        <v>70.532300000000006</v>
      </c>
      <c r="CN117" s="134" t="s">
        <v>24</v>
      </c>
      <c r="CO117" s="134">
        <f>82.3194-Table665[[#This Row],[Outcome4_M]]</f>
        <v>11.787099999999995</v>
      </c>
      <c r="CP117" s="288" t="s">
        <v>24</v>
      </c>
      <c r="CQ117" s="289" t="s">
        <v>24</v>
      </c>
      <c r="CR117" s="276" t="s">
        <v>24</v>
      </c>
      <c r="CS117" s="308" t="s">
        <v>24</v>
      </c>
      <c r="CT117" s="340" t="s">
        <v>3828</v>
      </c>
      <c r="CU117" s="134">
        <v>65.779499999999999</v>
      </c>
      <c r="CV117" s="134" t="s">
        <v>24</v>
      </c>
      <c r="CW117" s="134">
        <f>77.9468-Table665[[#This Row],[Outcome5_M]]</f>
        <v>12.167299999999997</v>
      </c>
      <c r="CX117" s="426" t="s">
        <v>24</v>
      </c>
      <c r="CY117" s="134" t="s">
        <v>24</v>
      </c>
      <c r="CZ117" s="134" t="s">
        <v>24</v>
      </c>
      <c r="DA117" s="134" t="s">
        <v>24</v>
      </c>
      <c r="DB117" s="300" t="s">
        <v>3829</v>
      </c>
      <c r="DC117" s="301"/>
      <c r="DD117" s="134"/>
      <c r="DE117" s="134"/>
      <c r="DF117" s="134"/>
      <c r="DG117" s="134"/>
      <c r="DH117" s="134"/>
      <c r="DI117" s="134"/>
      <c r="DJ117" s="134"/>
      <c r="DK117" s="134"/>
      <c r="DL117" s="300"/>
      <c r="DM117" s="301"/>
      <c r="DN117" s="276"/>
      <c r="DO117" s="277"/>
      <c r="DP117" s="134"/>
      <c r="DQ117" s="134"/>
      <c r="DR117" s="134"/>
      <c r="DS117" s="134"/>
      <c r="DT117" s="138"/>
      <c r="DU117" s="134"/>
      <c r="DV117" s="134"/>
      <c r="DW117" s="134"/>
      <c r="DX117" s="301"/>
      <c r="DY117" s="301"/>
      <c r="DZ117" s="138"/>
      <c r="EA117" s="134"/>
      <c r="EB117" s="134"/>
      <c r="EC117" s="134"/>
      <c r="ED117" s="138"/>
      <c r="EE117" s="134"/>
      <c r="EF117" s="134"/>
      <c r="EG117" s="134"/>
      <c r="EH117" s="301"/>
      <c r="EI117" s="301"/>
      <c r="EJ117" s="277"/>
      <c r="EK117" s="134"/>
      <c r="EL117" s="134"/>
      <c r="EM117" s="134"/>
      <c r="EN117" s="134"/>
      <c r="EO117" s="134"/>
      <c r="EP117" s="134"/>
      <c r="EQ117" s="134"/>
      <c r="ER117" s="134"/>
      <c r="ES117" s="301"/>
      <c r="ET117" s="301"/>
      <c r="EU117" s="134"/>
      <c r="EV117" s="134"/>
      <c r="EW117" s="134"/>
      <c r="EX117" s="134"/>
      <c r="EY117" s="134"/>
      <c r="EZ117" s="134"/>
      <c r="FA117" s="134"/>
      <c r="FB117" s="134"/>
      <c r="FC117" s="135"/>
      <c r="FD117" s="135"/>
      <c r="FE117" s="134"/>
      <c r="FF117" s="134"/>
      <c r="FG117" s="134"/>
      <c r="FH117" s="134"/>
      <c r="FI117" s="134"/>
      <c r="FJ117" s="134"/>
      <c r="FK117" s="134"/>
      <c r="FL117" s="134"/>
      <c r="FM117" s="135"/>
      <c r="FN117" s="135"/>
      <c r="FO117" s="134"/>
      <c r="FP117" s="134"/>
      <c r="FQ117" s="134"/>
      <c r="FR117" s="134"/>
      <c r="FS117" s="134"/>
      <c r="FT117" s="134"/>
      <c r="FU117" s="134"/>
      <c r="FV117" s="134"/>
      <c r="FW117" s="135"/>
      <c r="FX117" s="135"/>
      <c r="FY117" s="134"/>
      <c r="FZ117" s="134"/>
      <c r="GA117" s="134"/>
      <c r="GB117" s="134"/>
      <c r="GC117" s="134"/>
      <c r="GD117" s="134"/>
      <c r="GE117" s="134"/>
      <c r="GF117" s="134"/>
      <c r="GG117" s="135"/>
      <c r="GH117" s="135"/>
      <c r="GI117" s="134"/>
      <c r="GJ117" s="134"/>
      <c r="GK117" s="134"/>
      <c r="GL117" s="134"/>
      <c r="GM117" s="134"/>
      <c r="GN117" s="134"/>
      <c r="GO117" s="134"/>
      <c r="GP117" s="134"/>
      <c r="GQ117" s="135"/>
      <c r="GR117" s="135"/>
      <c r="GS117" s="134"/>
      <c r="GT117" s="134"/>
      <c r="GU117" s="134"/>
      <c r="GV117" s="134"/>
      <c r="GW117" s="134"/>
      <c r="GX117" s="134"/>
      <c r="GY117" s="134"/>
      <c r="GZ117" s="134"/>
      <c r="HA117" s="135"/>
      <c r="HB117" s="135"/>
      <c r="HC117" s="134"/>
      <c r="HD117" s="134"/>
      <c r="HE117" s="134"/>
      <c r="HF117" s="134"/>
      <c r="HG117" s="134"/>
      <c r="HH117" s="134"/>
      <c r="HI117" s="134"/>
      <c r="HJ117" s="134"/>
      <c r="HK117" s="135"/>
      <c r="HL117" s="135"/>
      <c r="HM117" s="134"/>
      <c r="HN117" s="134"/>
      <c r="HO117" s="134"/>
      <c r="HP117" s="134"/>
      <c r="HQ117" s="134"/>
      <c r="HR117" s="134"/>
      <c r="HS117" s="134"/>
      <c r="HT117" s="134"/>
      <c r="HU117" s="135"/>
      <c r="HV117" s="135"/>
      <c r="HW117" s="134"/>
      <c r="HX117" s="134"/>
      <c r="HY117" s="134"/>
      <c r="HZ117" s="134"/>
      <c r="IA117" s="134"/>
      <c r="IB117" s="134"/>
      <c r="IC117" s="134"/>
      <c r="ID117" s="134"/>
      <c r="IE117" s="135"/>
      <c r="IF117" s="135"/>
      <c r="IG117" s="134"/>
      <c r="IH117" s="134"/>
      <c r="II117" s="134"/>
      <c r="IJ117" s="134"/>
      <c r="IK117" s="134"/>
      <c r="IL117" s="134"/>
      <c r="IM117" s="134"/>
      <c r="IN117" s="134"/>
      <c r="IO117" s="135"/>
      <c r="IP117" s="135"/>
      <c r="IQ117" s="134"/>
      <c r="IR117" s="134"/>
      <c r="IS117" s="134"/>
      <c r="IT117" s="134"/>
      <c r="IU117" s="134"/>
      <c r="IV117" s="134"/>
      <c r="IW117" s="134"/>
      <c r="IX117" s="134"/>
      <c r="IY117" s="135"/>
      <c r="IZ117" s="135"/>
    </row>
    <row r="118" spans="1:260" customFormat="1" ht="17" customHeight="1">
      <c r="A118" s="142" t="s">
        <v>1111</v>
      </c>
      <c r="B118" s="363">
        <v>4</v>
      </c>
      <c r="C118" s="363"/>
      <c r="D118" s="363"/>
      <c r="E118" s="223" t="s">
        <v>2052</v>
      </c>
      <c r="F118" s="224" t="s">
        <v>2295</v>
      </c>
      <c r="G118" s="225">
        <v>2015</v>
      </c>
      <c r="H118" s="142">
        <v>25585683</v>
      </c>
      <c r="I118" s="142">
        <v>1</v>
      </c>
      <c r="J118" s="142">
        <v>1</v>
      </c>
      <c r="K118" s="142"/>
      <c r="L118" s="142">
        <v>1</v>
      </c>
      <c r="M118" s="142"/>
      <c r="N118" s="142">
        <v>1</v>
      </c>
      <c r="O118" s="142">
        <v>2</v>
      </c>
      <c r="P118" s="142" t="s">
        <v>1220</v>
      </c>
      <c r="Q118" s="142" t="s">
        <v>1232</v>
      </c>
      <c r="R118" s="142" t="s">
        <v>1138</v>
      </c>
      <c r="S118" s="142"/>
      <c r="T118" s="142" t="s">
        <v>1541</v>
      </c>
      <c r="U118" s="142" t="s">
        <v>23</v>
      </c>
      <c r="V118" s="142" t="s">
        <v>23</v>
      </c>
      <c r="W118" s="142" t="s">
        <v>1139</v>
      </c>
      <c r="X118" s="142" t="s">
        <v>24</v>
      </c>
      <c r="Y118" s="142" t="s">
        <v>1132</v>
      </c>
      <c r="Z118" s="142"/>
      <c r="AA118" s="142"/>
      <c r="AB118" s="142"/>
      <c r="AC118" s="465"/>
      <c r="AD118" s="573">
        <v>1</v>
      </c>
      <c r="AE118" s="573">
        <v>2</v>
      </c>
      <c r="AF118" s="159">
        <v>1</v>
      </c>
      <c r="AG118" s="155" t="s">
        <v>3316</v>
      </c>
      <c r="AH118" s="150">
        <v>5</v>
      </c>
      <c r="AI118" s="485"/>
      <c r="AJ118" s="226" t="s">
        <v>2484</v>
      </c>
      <c r="AK118" s="192">
        <v>1</v>
      </c>
      <c r="AL118" s="227"/>
      <c r="AM118" s="150">
        <v>14</v>
      </c>
      <c r="AN118" s="150">
        <v>7</v>
      </c>
      <c r="AO118" s="150">
        <v>7</v>
      </c>
      <c r="AP118" s="150" t="s">
        <v>803</v>
      </c>
      <c r="AQ118" s="150" t="s">
        <v>803</v>
      </c>
      <c r="AR118" s="150" t="s">
        <v>2468</v>
      </c>
      <c r="AS118" s="150" t="s">
        <v>24</v>
      </c>
      <c r="AT118" s="150" t="s">
        <v>2468</v>
      </c>
      <c r="AU118" s="150" t="s">
        <v>24</v>
      </c>
      <c r="AV118" s="150" t="s">
        <v>2474</v>
      </c>
      <c r="AW118" s="150">
        <v>1</v>
      </c>
      <c r="AX118" s="134" t="s">
        <v>3317</v>
      </c>
      <c r="AY118" s="150" t="s">
        <v>2473</v>
      </c>
      <c r="AZ118" s="150" t="s">
        <v>2603</v>
      </c>
      <c r="BA118" s="150" t="s">
        <v>2554</v>
      </c>
      <c r="BB118" s="150"/>
      <c r="BC118" s="150"/>
      <c r="BD118" s="161">
        <v>1</v>
      </c>
      <c r="BE118" s="161"/>
      <c r="BF118" s="161"/>
      <c r="BG118" s="161"/>
      <c r="BH118" s="161"/>
      <c r="BI118" s="161"/>
      <c r="BJ118" s="161"/>
      <c r="BK118" s="161"/>
      <c r="BL118" s="161"/>
      <c r="BM118" s="161"/>
      <c r="BN118" s="161"/>
      <c r="BO118" s="161"/>
      <c r="BP118" s="161"/>
      <c r="BQ118" s="162" t="s">
        <v>2545</v>
      </c>
      <c r="BR118" s="150" t="s">
        <v>1876</v>
      </c>
      <c r="BS118" s="150">
        <v>2</v>
      </c>
      <c r="BT118" s="425" t="s">
        <v>2467</v>
      </c>
      <c r="BU118" s="150" t="s">
        <v>2471</v>
      </c>
      <c r="BV118" s="150" t="s">
        <v>2659</v>
      </c>
      <c r="BW118" s="258" t="s">
        <v>2491</v>
      </c>
      <c r="BX118" s="149" t="s">
        <v>2485</v>
      </c>
      <c r="BY118" s="150">
        <v>17.4329</v>
      </c>
      <c r="BZ118" s="150" t="s">
        <v>24</v>
      </c>
      <c r="CA118" s="150">
        <v>7.2742000000000004</v>
      </c>
      <c r="CB118" s="149" t="s">
        <v>2487</v>
      </c>
      <c r="CC118" s="150">
        <v>59.374499999999998</v>
      </c>
      <c r="CD118" s="150" t="s">
        <v>24</v>
      </c>
      <c r="CE118" s="150">
        <v>7.9824000000000002</v>
      </c>
      <c r="CF118" s="290" t="s">
        <v>2547</v>
      </c>
      <c r="CG118" s="291" t="s">
        <v>2549</v>
      </c>
      <c r="CH118" s="431" t="s">
        <v>2486</v>
      </c>
      <c r="CI118" s="150">
        <v>16.3689</v>
      </c>
      <c r="CJ118" s="150" t="s">
        <v>24</v>
      </c>
      <c r="CK118" s="150">
        <v>9.7568999999999999</v>
      </c>
      <c r="CL118" s="431" t="s">
        <v>2488</v>
      </c>
      <c r="CM118" s="150">
        <v>66.825100000000006</v>
      </c>
      <c r="CN118" s="150" t="s">
        <v>24</v>
      </c>
      <c r="CO118" s="150">
        <v>6.3859000000000004</v>
      </c>
      <c r="CP118" s="290" t="s">
        <v>2552</v>
      </c>
      <c r="CQ118" s="292" t="s">
        <v>2548</v>
      </c>
      <c r="CR118" s="278" t="s">
        <v>24</v>
      </c>
      <c r="CS118" s="279" t="s">
        <v>24</v>
      </c>
      <c r="CT118" s="149"/>
      <c r="CU118" s="150"/>
      <c r="CV118" s="150"/>
      <c r="CW118" s="150"/>
      <c r="CX118" s="149"/>
      <c r="CY118" s="150"/>
      <c r="CZ118" s="150"/>
      <c r="DA118" s="150"/>
      <c r="DB118" s="302"/>
      <c r="DC118" s="313"/>
      <c r="DD118" s="149"/>
      <c r="DE118" s="150"/>
      <c r="DF118" s="150"/>
      <c r="DG118" s="150"/>
      <c r="DH118" s="149"/>
      <c r="DI118" s="150"/>
      <c r="DJ118" s="150"/>
      <c r="DK118" s="150"/>
      <c r="DL118" s="302"/>
      <c r="DM118" s="303"/>
      <c r="DN118" s="278"/>
      <c r="DO118" s="279"/>
      <c r="DP118" s="150"/>
      <c r="DQ118" s="150"/>
      <c r="DR118" s="150"/>
      <c r="DS118" s="150"/>
      <c r="DT118" s="151"/>
      <c r="DU118" s="150"/>
      <c r="DV118" s="150"/>
      <c r="DW118" s="150"/>
      <c r="DX118" s="303"/>
      <c r="DY118" s="303"/>
      <c r="DZ118" s="151"/>
      <c r="EA118" s="150"/>
      <c r="EB118" s="150"/>
      <c r="EC118" s="150"/>
      <c r="ED118" s="151"/>
      <c r="EE118" s="150"/>
      <c r="EF118" s="150"/>
      <c r="EG118" s="150"/>
      <c r="EH118" s="303"/>
      <c r="EI118" s="303"/>
      <c r="EJ118" s="279"/>
      <c r="EK118" s="150"/>
      <c r="EL118" s="150"/>
      <c r="EM118" s="150"/>
      <c r="EN118" s="150"/>
      <c r="EO118" s="150"/>
      <c r="EP118" s="150"/>
      <c r="EQ118" s="150"/>
      <c r="ER118" s="150"/>
      <c r="ES118" s="303"/>
      <c r="ET118" s="303"/>
      <c r="EU118" s="150"/>
      <c r="EV118" s="150"/>
      <c r="EW118" s="150"/>
      <c r="EX118" s="150"/>
      <c r="EY118" s="134"/>
      <c r="EZ118" s="134"/>
      <c r="FA118" s="134"/>
      <c r="FB118" s="134"/>
      <c r="FC118" s="135"/>
      <c r="FD118" s="135"/>
      <c r="FE118" s="134"/>
      <c r="FF118" s="134"/>
      <c r="FG118" s="134"/>
      <c r="FH118" s="134"/>
      <c r="FI118" s="134"/>
      <c r="FJ118" s="134"/>
      <c r="FK118" s="134"/>
      <c r="FL118" s="134"/>
      <c r="FM118" s="135"/>
      <c r="FN118" s="135"/>
      <c r="FO118" s="134"/>
      <c r="FP118" s="134"/>
      <c r="FQ118" s="134"/>
      <c r="FR118" s="134"/>
      <c r="FS118" s="134"/>
      <c r="FT118" s="134"/>
      <c r="FU118" s="134"/>
      <c r="FV118" s="134"/>
      <c r="FW118" s="135"/>
      <c r="FX118" s="135"/>
      <c r="FY118" s="134"/>
      <c r="FZ118" s="134"/>
      <c r="GA118" s="134"/>
      <c r="GB118" s="134"/>
      <c r="GC118" s="134"/>
      <c r="GD118" s="134"/>
      <c r="GE118" s="134"/>
      <c r="GF118" s="134"/>
      <c r="GG118" s="135"/>
      <c r="GH118" s="135"/>
      <c r="GI118" s="134"/>
      <c r="GJ118" s="134"/>
      <c r="GK118" s="134"/>
      <c r="GL118" s="134"/>
      <c r="GM118" s="134"/>
      <c r="GN118" s="134"/>
      <c r="GO118" s="134"/>
      <c r="GP118" s="134"/>
      <c r="GQ118" s="135"/>
      <c r="GR118" s="135"/>
      <c r="GS118" s="134"/>
      <c r="GT118" s="134"/>
      <c r="GU118" s="134"/>
      <c r="GV118" s="134"/>
      <c r="GW118" s="134"/>
      <c r="GX118" s="134"/>
      <c r="GY118" s="134"/>
      <c r="GZ118" s="134"/>
      <c r="HA118" s="135"/>
      <c r="HB118" s="135"/>
      <c r="HC118" s="134"/>
      <c r="HD118" s="134"/>
      <c r="HE118" s="134"/>
      <c r="HF118" s="134"/>
      <c r="HG118" s="134"/>
      <c r="HH118" s="134"/>
      <c r="HI118" s="134"/>
      <c r="HJ118" s="134"/>
      <c r="HK118" s="135"/>
      <c r="HL118" s="135"/>
      <c r="HM118" s="134"/>
      <c r="HN118" s="134"/>
      <c r="HO118" s="134"/>
      <c r="HP118" s="134"/>
      <c r="HQ118" s="134"/>
      <c r="HR118" s="134"/>
      <c r="HS118" s="134"/>
      <c r="HT118" s="134"/>
      <c r="HU118" s="135"/>
      <c r="HV118" s="135"/>
      <c r="HW118" s="134"/>
      <c r="HX118" s="134"/>
      <c r="HY118" s="134"/>
      <c r="HZ118" s="134"/>
      <c r="IA118" s="134"/>
      <c r="IB118" s="134"/>
      <c r="IC118" s="134"/>
      <c r="ID118" s="134"/>
      <c r="IE118" s="135"/>
      <c r="IF118" s="135"/>
      <c r="IG118" s="134"/>
      <c r="IH118" s="134"/>
      <c r="II118" s="134"/>
      <c r="IJ118" s="134"/>
      <c r="IK118" s="134"/>
      <c r="IL118" s="134"/>
      <c r="IM118" s="134"/>
      <c r="IN118" s="134"/>
      <c r="IO118" s="135"/>
      <c r="IP118" s="135"/>
      <c r="IQ118" s="134"/>
      <c r="IR118" s="134"/>
      <c r="IS118" s="134"/>
      <c r="IT118" s="134"/>
      <c r="IU118" s="134"/>
      <c r="IV118" s="134"/>
      <c r="IW118" s="134"/>
      <c r="IX118" s="134"/>
      <c r="IY118" s="135"/>
      <c r="IZ118" s="135"/>
    </row>
    <row r="119" spans="1:260" s="188" customFormat="1" ht="17" customHeight="1">
      <c r="A119" s="128" t="s">
        <v>1111</v>
      </c>
      <c r="B119" s="363">
        <v>4</v>
      </c>
      <c r="C119" s="363"/>
      <c r="D119" s="363"/>
      <c r="E119" s="217" t="s">
        <v>2052</v>
      </c>
      <c r="F119" s="218" t="s">
        <v>2295</v>
      </c>
      <c r="G119" s="219">
        <v>2015</v>
      </c>
      <c r="H119" s="128">
        <v>25585683</v>
      </c>
      <c r="I119" s="128">
        <v>1</v>
      </c>
      <c r="J119" s="220">
        <v>1</v>
      </c>
      <c r="K119" s="221"/>
      <c r="L119" s="128">
        <v>1</v>
      </c>
      <c r="M119" s="128"/>
      <c r="N119" s="128">
        <v>1</v>
      </c>
      <c r="O119" s="128">
        <v>2</v>
      </c>
      <c r="P119" s="128" t="s">
        <v>1220</v>
      </c>
      <c r="Q119" s="128" t="s">
        <v>1232</v>
      </c>
      <c r="R119" s="128" t="s">
        <v>1138</v>
      </c>
      <c r="S119" s="128"/>
      <c r="T119" s="128" t="s">
        <v>1541</v>
      </c>
      <c r="U119" s="128" t="s">
        <v>23</v>
      </c>
      <c r="V119" s="128" t="s">
        <v>23</v>
      </c>
      <c r="W119" s="128" t="s">
        <v>1139</v>
      </c>
      <c r="X119" s="128" t="s">
        <v>24</v>
      </c>
      <c r="Y119" s="128" t="s">
        <v>1132</v>
      </c>
      <c r="Z119" s="128"/>
      <c r="AA119" s="128"/>
      <c r="AB119" s="128"/>
      <c r="AC119" s="466"/>
      <c r="AD119" s="573">
        <v>1</v>
      </c>
      <c r="AE119" s="573">
        <v>2</v>
      </c>
      <c r="AF119" s="154">
        <v>1</v>
      </c>
      <c r="AG119" s="155" t="s">
        <v>3316</v>
      </c>
      <c r="AH119" s="134">
        <v>5</v>
      </c>
      <c r="AI119" s="484"/>
      <c r="AJ119" s="213" t="s">
        <v>2484</v>
      </c>
      <c r="AK119" s="192">
        <v>1</v>
      </c>
      <c r="AL119" s="215"/>
      <c r="AM119" s="134">
        <v>14</v>
      </c>
      <c r="AN119" s="190">
        <v>7</v>
      </c>
      <c r="AO119" s="134">
        <v>7</v>
      </c>
      <c r="AP119" s="134" t="s">
        <v>803</v>
      </c>
      <c r="AQ119" s="134" t="s">
        <v>803</v>
      </c>
      <c r="AR119" s="134" t="s">
        <v>2468</v>
      </c>
      <c r="AS119" s="134" t="s">
        <v>24</v>
      </c>
      <c r="AT119" s="134" t="s">
        <v>2468</v>
      </c>
      <c r="AU119" s="134" t="s">
        <v>24</v>
      </c>
      <c r="AV119" s="134" t="s">
        <v>2474</v>
      </c>
      <c r="AW119" s="134">
        <v>1</v>
      </c>
      <c r="AX119" s="134" t="s">
        <v>3317</v>
      </c>
      <c r="AY119" s="134" t="s">
        <v>2473</v>
      </c>
      <c r="AZ119" s="134" t="s">
        <v>2603</v>
      </c>
      <c r="BA119" s="134" t="s">
        <v>2554</v>
      </c>
      <c r="BB119" s="134"/>
      <c r="BC119" s="134"/>
      <c r="BD119" s="156"/>
      <c r="BE119" s="156">
        <v>1</v>
      </c>
      <c r="BF119" s="156"/>
      <c r="BG119" s="156"/>
      <c r="BH119" s="156"/>
      <c r="BI119" s="156"/>
      <c r="BJ119" s="156"/>
      <c r="BK119" s="156"/>
      <c r="BL119" s="156"/>
      <c r="BM119" s="156"/>
      <c r="BN119" s="156"/>
      <c r="BO119" s="156"/>
      <c r="BP119" s="156"/>
      <c r="BQ119" s="232" t="s">
        <v>2544</v>
      </c>
      <c r="BR119" s="134" t="s">
        <v>1876</v>
      </c>
      <c r="BS119" s="134">
        <v>2</v>
      </c>
      <c r="BT119" s="426" t="s">
        <v>2467</v>
      </c>
      <c r="BU119" s="134" t="s">
        <v>2471</v>
      </c>
      <c r="BV119" s="134" t="s">
        <v>2660</v>
      </c>
      <c r="BW119" s="259" t="s">
        <v>2492</v>
      </c>
      <c r="BX119" s="430" t="s">
        <v>2475</v>
      </c>
      <c r="BY119" s="222">
        <v>325.84589999999997</v>
      </c>
      <c r="BZ119" s="222" t="s">
        <v>24</v>
      </c>
      <c r="CA119" s="134">
        <v>94.405100000000004</v>
      </c>
      <c r="CB119" s="430" t="s">
        <v>2476</v>
      </c>
      <c r="CC119" s="134">
        <v>97.234099999999998</v>
      </c>
      <c r="CD119" s="134" t="s">
        <v>24</v>
      </c>
      <c r="CE119" s="134">
        <v>26.803899999999999</v>
      </c>
      <c r="CF119" s="288" t="s">
        <v>2479</v>
      </c>
      <c r="CG119" s="289" t="s">
        <v>2480</v>
      </c>
      <c r="CH119" s="430" t="s">
        <v>2477</v>
      </c>
      <c r="CI119" s="134">
        <v>418.31099999999998</v>
      </c>
      <c r="CJ119" s="134" t="s">
        <v>24</v>
      </c>
      <c r="CK119" s="134">
        <v>65.265000000000001</v>
      </c>
      <c r="CL119" s="430" t="s">
        <v>2478</v>
      </c>
      <c r="CM119" s="134">
        <v>54.4985</v>
      </c>
      <c r="CN119" s="134" t="s">
        <v>24</v>
      </c>
      <c r="CO119" s="134">
        <v>10.4907</v>
      </c>
      <c r="CP119" s="288" t="s">
        <v>2553</v>
      </c>
      <c r="CQ119" s="289" t="s">
        <v>2481</v>
      </c>
      <c r="CR119" s="276" t="s">
        <v>2482</v>
      </c>
      <c r="CS119" s="308" t="s">
        <v>2483</v>
      </c>
      <c r="CT119" s="138"/>
      <c r="CU119" s="134"/>
      <c r="CV119" s="134"/>
      <c r="CW119" s="134"/>
      <c r="CX119" s="134"/>
      <c r="CY119" s="134"/>
      <c r="CZ119" s="168"/>
      <c r="DA119" s="134"/>
      <c r="DB119" s="304"/>
      <c r="DC119" s="312"/>
      <c r="DD119" s="134"/>
      <c r="DE119" s="134"/>
      <c r="DF119" s="134"/>
      <c r="DG119" s="134"/>
      <c r="DH119" s="134"/>
      <c r="DI119" s="134"/>
      <c r="DJ119" s="168"/>
      <c r="DK119" s="134"/>
      <c r="DL119" s="304"/>
      <c r="DM119" s="312"/>
      <c r="DN119" s="276"/>
      <c r="DO119" s="277"/>
      <c r="DP119" s="134"/>
      <c r="DQ119" s="134"/>
      <c r="DR119" s="134"/>
      <c r="DS119" s="134"/>
      <c r="DT119" s="138"/>
      <c r="DU119" s="134"/>
      <c r="DV119" s="134"/>
      <c r="DW119" s="134"/>
      <c r="DX119" s="301"/>
      <c r="DY119" s="301"/>
      <c r="DZ119" s="138"/>
      <c r="EA119" s="134"/>
      <c r="EB119" s="134"/>
      <c r="EC119" s="134"/>
      <c r="ED119" s="138"/>
      <c r="EE119" s="134"/>
      <c r="EF119" s="134"/>
      <c r="EG119" s="134"/>
      <c r="EH119" s="301"/>
      <c r="EI119" s="301"/>
      <c r="EJ119" s="277"/>
      <c r="EK119" s="134"/>
      <c r="EL119" s="134"/>
      <c r="EM119" s="134"/>
      <c r="EN119" s="134"/>
      <c r="EO119" s="134"/>
      <c r="EP119" s="134"/>
      <c r="EQ119" s="134"/>
      <c r="ER119" s="134"/>
      <c r="ES119" s="301"/>
      <c r="ET119" s="301"/>
      <c r="EU119" s="134"/>
      <c r="EV119" s="134"/>
      <c r="EW119" s="134"/>
      <c r="EX119" s="134"/>
      <c r="EY119" s="134"/>
      <c r="EZ119" s="134"/>
      <c r="FA119" s="134"/>
      <c r="FB119" s="134"/>
      <c r="FC119" s="135"/>
      <c r="FD119" s="135"/>
      <c r="FE119" s="134"/>
      <c r="FF119" s="134"/>
      <c r="FG119" s="134"/>
      <c r="FH119" s="134"/>
      <c r="FI119" s="134"/>
      <c r="FJ119" s="134"/>
      <c r="FK119" s="134"/>
      <c r="FL119" s="134"/>
      <c r="FM119" s="135"/>
      <c r="FN119" s="135"/>
      <c r="FO119" s="134"/>
      <c r="FP119" s="134"/>
      <c r="FQ119" s="134"/>
      <c r="FR119" s="134"/>
      <c r="FS119" s="134"/>
      <c r="FT119" s="134"/>
      <c r="FU119" s="134"/>
      <c r="FV119" s="134"/>
      <c r="FW119" s="135"/>
      <c r="FX119" s="135"/>
      <c r="FY119" s="134"/>
      <c r="FZ119" s="134"/>
      <c r="GA119" s="134"/>
      <c r="GB119" s="134"/>
      <c r="GC119" s="134"/>
      <c r="GD119" s="134"/>
      <c r="GE119" s="134"/>
      <c r="GF119" s="134"/>
      <c r="GG119" s="135"/>
      <c r="GH119" s="135"/>
      <c r="GI119" s="134"/>
      <c r="GJ119" s="134"/>
      <c r="GK119" s="134"/>
      <c r="GL119" s="134"/>
      <c r="GM119" s="134"/>
      <c r="GN119" s="134"/>
      <c r="GO119" s="134"/>
      <c r="GP119" s="134"/>
      <c r="GQ119" s="135"/>
      <c r="GR119" s="135"/>
      <c r="GS119" s="134"/>
      <c r="GT119" s="134"/>
      <c r="GU119" s="134"/>
      <c r="GV119" s="134"/>
      <c r="GW119" s="134"/>
      <c r="GX119" s="134"/>
      <c r="GY119" s="134"/>
      <c r="GZ119" s="134"/>
      <c r="HA119" s="135"/>
      <c r="HB119" s="135"/>
      <c r="HC119" s="134"/>
      <c r="HD119" s="134"/>
      <c r="HE119" s="134"/>
      <c r="HF119" s="134"/>
      <c r="HG119" s="134"/>
      <c r="HH119" s="134"/>
      <c r="HI119" s="134"/>
      <c r="HJ119" s="134"/>
      <c r="HK119" s="135"/>
      <c r="HL119" s="135"/>
      <c r="HM119" s="134"/>
      <c r="HN119" s="134"/>
      <c r="HO119" s="134"/>
      <c r="HP119" s="134"/>
      <c r="HQ119" s="134"/>
      <c r="HR119" s="134"/>
      <c r="HS119" s="134"/>
      <c r="HT119" s="134"/>
      <c r="HU119" s="135"/>
      <c r="HV119" s="135"/>
      <c r="HW119" s="134"/>
      <c r="HX119" s="134"/>
      <c r="HY119" s="134"/>
      <c r="HZ119" s="134"/>
      <c r="IA119" s="134"/>
      <c r="IB119" s="134"/>
      <c r="IC119" s="134"/>
      <c r="ID119" s="134"/>
      <c r="IE119" s="135"/>
      <c r="IF119" s="135"/>
      <c r="IG119" s="134"/>
      <c r="IH119" s="134"/>
      <c r="II119" s="134"/>
      <c r="IJ119" s="134"/>
      <c r="IK119" s="134"/>
      <c r="IL119" s="134"/>
      <c r="IM119" s="134"/>
      <c r="IN119" s="134"/>
      <c r="IO119" s="135"/>
      <c r="IP119" s="135"/>
      <c r="IQ119" s="134"/>
      <c r="IR119" s="134"/>
      <c r="IS119" s="134"/>
      <c r="IT119" s="134"/>
      <c r="IU119" s="134"/>
      <c r="IV119" s="134"/>
      <c r="IW119" s="134"/>
      <c r="IX119" s="134"/>
      <c r="IY119" s="135"/>
      <c r="IZ119" s="135"/>
    </row>
    <row r="120" spans="1:260" s="119" customFormat="1" ht="17" customHeight="1">
      <c r="A120" s="79" t="s">
        <v>1110</v>
      </c>
      <c r="B120" s="363">
        <v>5</v>
      </c>
      <c r="C120" s="363"/>
      <c r="D120" s="363"/>
      <c r="E120" s="123" t="s">
        <v>2053</v>
      </c>
      <c r="F120" s="124" t="s">
        <v>2296</v>
      </c>
      <c r="G120" s="125">
        <v>2014</v>
      </c>
      <c r="H120" s="79">
        <v>24808840</v>
      </c>
      <c r="I120" s="79">
        <v>1</v>
      </c>
      <c r="J120" s="126">
        <v>1</v>
      </c>
      <c r="K120" s="127"/>
      <c r="L120" s="79">
        <v>1</v>
      </c>
      <c r="M120" s="79"/>
      <c r="N120" s="153">
        <v>1</v>
      </c>
      <c r="O120" s="128">
        <v>2</v>
      </c>
      <c r="P120" s="79" t="s">
        <v>1220</v>
      </c>
      <c r="Q120" s="79" t="s">
        <v>1169</v>
      </c>
      <c r="R120" s="79" t="s">
        <v>1127</v>
      </c>
      <c r="S120" s="79"/>
      <c r="T120" s="79" t="s">
        <v>1544</v>
      </c>
      <c r="U120" s="79" t="s">
        <v>803</v>
      </c>
      <c r="V120" s="79"/>
      <c r="W120" s="79" t="s">
        <v>1140</v>
      </c>
      <c r="X120" s="79" t="s">
        <v>24</v>
      </c>
      <c r="Y120" s="79"/>
      <c r="Z120" s="79"/>
      <c r="AA120" s="79"/>
      <c r="AB120" s="79" t="s">
        <v>1141</v>
      </c>
      <c r="AC120" s="506"/>
      <c r="AD120" s="573">
        <v>1</v>
      </c>
      <c r="AE120" s="573">
        <v>2</v>
      </c>
      <c r="AF120" s="154">
        <v>1</v>
      </c>
      <c r="AG120" s="155" t="s">
        <v>24</v>
      </c>
      <c r="AH120" s="121">
        <v>4</v>
      </c>
      <c r="AI120" s="484"/>
      <c r="AJ120" s="202" t="s">
        <v>2564</v>
      </c>
      <c r="AK120" s="192">
        <v>2</v>
      </c>
      <c r="AL120" s="203"/>
      <c r="AM120" s="163">
        <f>8+7+9+9+9+8</f>
        <v>50</v>
      </c>
      <c r="AN120" s="417">
        <f>8+9+9</f>
        <v>26</v>
      </c>
      <c r="AO120" s="121">
        <f>7+9+8</f>
        <v>24</v>
      </c>
      <c r="AP120" s="121" t="s">
        <v>803</v>
      </c>
      <c r="AQ120" s="121" t="s">
        <v>803</v>
      </c>
      <c r="AR120" s="121" t="s">
        <v>2494</v>
      </c>
      <c r="AS120" s="121" t="s">
        <v>24</v>
      </c>
      <c r="AT120" s="121" t="s">
        <v>2494</v>
      </c>
      <c r="AU120" s="134" t="s">
        <v>24</v>
      </c>
      <c r="AV120" s="134" t="s">
        <v>2495</v>
      </c>
      <c r="AW120" s="134">
        <v>1</v>
      </c>
      <c r="AX120" s="134">
        <v>1</v>
      </c>
      <c r="AY120" s="134" t="s">
        <v>2496</v>
      </c>
      <c r="AZ120" s="121" t="s">
        <v>1130</v>
      </c>
      <c r="BA120" s="121" t="s">
        <v>2554</v>
      </c>
      <c r="BB120" s="121"/>
      <c r="BC120" s="121"/>
      <c r="BD120" s="156">
        <v>1</v>
      </c>
      <c r="BE120" s="156"/>
      <c r="BF120" s="156"/>
      <c r="BG120" s="156"/>
      <c r="BH120" s="156"/>
      <c r="BI120" s="156"/>
      <c r="BJ120" s="156"/>
      <c r="BK120" s="156"/>
      <c r="BL120" s="156"/>
      <c r="BM120" s="156"/>
      <c r="BN120" s="156"/>
      <c r="BO120" s="156"/>
      <c r="BP120" s="156"/>
      <c r="BQ120" s="157" t="s">
        <v>2493</v>
      </c>
      <c r="BR120" s="134" t="s">
        <v>1876</v>
      </c>
      <c r="BS120" s="134">
        <v>2</v>
      </c>
      <c r="BT120" s="425" t="s">
        <v>2607</v>
      </c>
      <c r="BU120" s="134" t="s">
        <v>2471</v>
      </c>
      <c r="BV120" s="134" t="s">
        <v>2659</v>
      </c>
      <c r="BW120" s="259" t="s">
        <v>2556</v>
      </c>
      <c r="BX120" s="430" t="s">
        <v>2498</v>
      </c>
      <c r="BY120" s="134">
        <v>19.633099999999999</v>
      </c>
      <c r="BZ120" s="168" t="s">
        <v>24</v>
      </c>
      <c r="CA120" s="134">
        <f>26.7074-Table665[[#This Row],[Outcome1_M]]</f>
        <v>7.0743000000000009</v>
      </c>
      <c r="CB120" s="430" t="s">
        <v>2497</v>
      </c>
      <c r="CC120" s="134">
        <v>1.22112</v>
      </c>
      <c r="CD120" s="134" t="s">
        <v>24</v>
      </c>
      <c r="CE120" s="134">
        <f>2.07855-CC120</f>
        <v>0.85742999999999991</v>
      </c>
      <c r="CF120" s="288" t="s">
        <v>2561</v>
      </c>
      <c r="CG120" s="289" t="s">
        <v>2555</v>
      </c>
      <c r="CH120" s="430" t="s">
        <v>2502</v>
      </c>
      <c r="CI120" s="134">
        <v>5.0383600000000001E-2</v>
      </c>
      <c r="CJ120" s="134" t="s">
        <v>24</v>
      </c>
      <c r="CK120" s="134">
        <f>0.371223-Table665[[#This Row],[Outcome3_M]]</f>
        <v>0.3208394</v>
      </c>
      <c r="CL120" s="430" t="s">
        <v>2503</v>
      </c>
      <c r="CM120" s="134" t="s">
        <v>2557</v>
      </c>
      <c r="CN120" s="134" t="s">
        <v>24</v>
      </c>
      <c r="CO120" s="134" t="s">
        <v>2558</v>
      </c>
      <c r="CP120" s="288" t="s">
        <v>2560</v>
      </c>
      <c r="CQ120" s="289" t="s">
        <v>2480</v>
      </c>
      <c r="CR120" s="276" t="s">
        <v>24</v>
      </c>
      <c r="CS120" s="308" t="s">
        <v>24</v>
      </c>
      <c r="CT120" s="138" t="s">
        <v>2505</v>
      </c>
      <c r="CU120" s="134">
        <v>5.7611400000000001</v>
      </c>
      <c r="CV120" s="134" t="s">
        <v>24</v>
      </c>
      <c r="CW120" s="134">
        <f>8.65499-Table665[[#This Row],[Outcome5_M]]</f>
        <v>2.8938499999999996</v>
      </c>
      <c r="CX120" s="138" t="s">
        <v>2508</v>
      </c>
      <c r="CY120" s="134">
        <v>0.74659299999999995</v>
      </c>
      <c r="CZ120" s="134" t="s">
        <v>24</v>
      </c>
      <c r="DA120" s="134">
        <f>1.17531-Table665[[#This Row],[Outcome6_M]]</f>
        <v>0.42871700000000013</v>
      </c>
      <c r="DB120" s="300" t="s">
        <v>2559</v>
      </c>
      <c r="DC120" s="301" t="s">
        <v>2480</v>
      </c>
      <c r="DD120" s="168"/>
      <c r="DE120" s="134"/>
      <c r="DF120" s="134"/>
      <c r="DG120" s="134"/>
      <c r="DH120" s="134"/>
      <c r="DI120" s="134"/>
      <c r="DJ120" s="134"/>
      <c r="DK120" s="134"/>
      <c r="DL120" s="300"/>
      <c r="DM120" s="301"/>
      <c r="DN120" s="276"/>
      <c r="DO120" s="277"/>
      <c r="DP120" s="134"/>
      <c r="DQ120" s="134"/>
      <c r="DR120" s="134"/>
      <c r="DS120" s="134"/>
      <c r="DT120" s="138"/>
      <c r="DU120" s="134"/>
      <c r="DV120" s="134"/>
      <c r="DW120" s="134"/>
      <c r="DX120" s="301"/>
      <c r="DY120" s="301"/>
      <c r="DZ120" s="138"/>
      <c r="EA120" s="134"/>
      <c r="EB120" s="134"/>
      <c r="EC120" s="134"/>
      <c r="ED120" s="138"/>
      <c r="EE120" s="134"/>
      <c r="EF120" s="134"/>
      <c r="EG120" s="134"/>
      <c r="EH120" s="301"/>
      <c r="EI120" s="301"/>
      <c r="EJ120" s="277"/>
      <c r="EK120" s="134"/>
      <c r="EL120" s="134"/>
      <c r="EM120" s="134"/>
      <c r="EN120" s="134"/>
      <c r="EO120" s="134"/>
      <c r="EP120" s="134"/>
      <c r="EQ120" s="134"/>
      <c r="ER120" s="134"/>
      <c r="ES120" s="301"/>
      <c r="ET120" s="301"/>
      <c r="EU120" s="134"/>
      <c r="EV120" s="134"/>
      <c r="EW120" s="134"/>
      <c r="EX120" s="134"/>
      <c r="EY120" s="134"/>
      <c r="EZ120" s="134"/>
      <c r="FA120" s="134"/>
      <c r="FB120" s="134"/>
      <c r="FC120" s="135"/>
      <c r="FD120" s="135"/>
      <c r="FE120" s="134"/>
      <c r="FF120" s="134"/>
      <c r="FG120" s="134"/>
      <c r="FH120" s="134"/>
      <c r="FI120" s="134"/>
      <c r="FJ120" s="134"/>
      <c r="FK120" s="134"/>
      <c r="FL120" s="134"/>
      <c r="FM120" s="135"/>
      <c r="FN120" s="135"/>
      <c r="FO120" s="134"/>
      <c r="FP120" s="134"/>
      <c r="FQ120" s="134"/>
      <c r="FR120" s="134"/>
      <c r="FS120" s="134"/>
      <c r="FT120" s="134"/>
      <c r="FU120" s="134"/>
      <c r="FV120" s="134"/>
      <c r="FW120" s="135"/>
      <c r="FX120" s="135"/>
      <c r="FY120" s="134"/>
      <c r="FZ120" s="134"/>
      <c r="GA120" s="134"/>
      <c r="GB120" s="134"/>
      <c r="GC120" s="134"/>
      <c r="GD120" s="134"/>
      <c r="GE120" s="134"/>
      <c r="GF120" s="134"/>
      <c r="GG120" s="135"/>
      <c r="GH120" s="135"/>
      <c r="GI120" s="134"/>
      <c r="GJ120" s="134"/>
      <c r="GK120" s="134"/>
      <c r="GL120" s="134"/>
      <c r="GM120" s="134"/>
      <c r="GN120" s="134"/>
      <c r="GO120" s="134"/>
      <c r="GP120" s="134"/>
      <c r="GQ120" s="135"/>
      <c r="GR120" s="135"/>
      <c r="GS120" s="134"/>
      <c r="GT120" s="134"/>
      <c r="GU120" s="134"/>
      <c r="GV120" s="134"/>
      <c r="GW120" s="134"/>
      <c r="GX120" s="134"/>
      <c r="GY120" s="134"/>
      <c r="GZ120" s="134"/>
      <c r="HA120" s="135"/>
      <c r="HB120" s="135"/>
      <c r="HC120" s="134"/>
      <c r="HD120" s="134"/>
      <c r="HE120" s="134"/>
      <c r="HF120" s="134"/>
      <c r="HG120" s="134"/>
      <c r="HH120" s="134"/>
      <c r="HI120" s="134"/>
      <c r="HJ120" s="134"/>
      <c r="HK120" s="135"/>
      <c r="HL120" s="135"/>
      <c r="HM120" s="134"/>
      <c r="HN120" s="134"/>
      <c r="HO120" s="134"/>
      <c r="HP120" s="134"/>
      <c r="HQ120" s="134"/>
      <c r="HR120" s="134"/>
      <c r="HS120" s="134"/>
      <c r="HT120" s="134"/>
      <c r="HU120" s="135"/>
      <c r="HV120" s="135"/>
      <c r="HW120" s="134"/>
      <c r="HX120" s="134"/>
      <c r="HY120" s="134"/>
      <c r="HZ120" s="134"/>
      <c r="IA120" s="134"/>
      <c r="IB120" s="134"/>
      <c r="IC120" s="134"/>
      <c r="ID120" s="134"/>
      <c r="IE120" s="135"/>
      <c r="IF120" s="135"/>
      <c r="IG120" s="134"/>
      <c r="IH120" s="134"/>
      <c r="II120" s="134"/>
      <c r="IJ120" s="134"/>
      <c r="IK120" s="134"/>
      <c r="IL120" s="134"/>
      <c r="IM120" s="134"/>
      <c r="IN120" s="134"/>
      <c r="IO120" s="135"/>
      <c r="IP120" s="135"/>
      <c r="IQ120" s="134"/>
      <c r="IR120" s="134"/>
      <c r="IS120" s="134"/>
      <c r="IT120" s="134"/>
      <c r="IU120" s="134"/>
      <c r="IV120" s="134"/>
      <c r="IW120" s="134"/>
      <c r="IX120" s="134"/>
      <c r="IY120" s="135"/>
      <c r="IZ120" s="135"/>
    </row>
    <row r="121" spans="1:260" s="119" customFormat="1" ht="17" customHeight="1">
      <c r="A121" s="118" t="s">
        <v>1110</v>
      </c>
      <c r="B121" s="363">
        <v>5</v>
      </c>
      <c r="C121" s="363"/>
      <c r="D121" s="363"/>
      <c r="E121" s="139" t="s">
        <v>2053</v>
      </c>
      <c r="F121" s="140" t="s">
        <v>2296</v>
      </c>
      <c r="G121" s="141">
        <v>2014</v>
      </c>
      <c r="H121" s="118">
        <v>24808840</v>
      </c>
      <c r="I121" s="118">
        <v>1</v>
      </c>
      <c r="J121" s="118">
        <v>1</v>
      </c>
      <c r="K121" s="118"/>
      <c r="L121" s="118">
        <v>1</v>
      </c>
      <c r="M121" s="118"/>
      <c r="N121" s="158">
        <v>1</v>
      </c>
      <c r="O121" s="142">
        <v>2</v>
      </c>
      <c r="P121" s="118" t="s">
        <v>1220</v>
      </c>
      <c r="Q121" s="118" t="s">
        <v>1169</v>
      </c>
      <c r="R121" s="118" t="s">
        <v>1127</v>
      </c>
      <c r="S121" s="118"/>
      <c r="T121" s="118" t="s">
        <v>1544</v>
      </c>
      <c r="U121" s="118" t="s">
        <v>803</v>
      </c>
      <c r="V121" s="118"/>
      <c r="W121" s="118" t="s">
        <v>1140</v>
      </c>
      <c r="X121" s="118" t="s">
        <v>24</v>
      </c>
      <c r="Y121" s="118"/>
      <c r="Z121" s="118"/>
      <c r="AA121" s="118"/>
      <c r="AB121" s="118" t="s">
        <v>1141</v>
      </c>
      <c r="AC121" s="145"/>
      <c r="AD121" s="573">
        <v>1</v>
      </c>
      <c r="AE121" s="573">
        <v>2</v>
      </c>
      <c r="AF121" s="159">
        <v>1</v>
      </c>
      <c r="AG121" s="160" t="s">
        <v>24</v>
      </c>
      <c r="AH121" s="122">
        <v>4</v>
      </c>
      <c r="AI121" s="485"/>
      <c r="AJ121" s="204" t="s">
        <v>2564</v>
      </c>
      <c r="AK121" s="192">
        <v>2</v>
      </c>
      <c r="AL121" s="205"/>
      <c r="AM121" s="122" t="s">
        <v>2563</v>
      </c>
      <c r="AN121" s="500" t="s">
        <v>2562</v>
      </c>
      <c r="AO121" s="122" t="s">
        <v>2562</v>
      </c>
      <c r="AP121" s="122" t="s">
        <v>803</v>
      </c>
      <c r="AQ121" s="122" t="s">
        <v>803</v>
      </c>
      <c r="AR121" s="122" t="s">
        <v>2494</v>
      </c>
      <c r="AS121" s="122" t="s">
        <v>24</v>
      </c>
      <c r="AT121" s="122" t="s">
        <v>2494</v>
      </c>
      <c r="AU121" s="150" t="s">
        <v>24</v>
      </c>
      <c r="AV121" s="150" t="s">
        <v>2566</v>
      </c>
      <c r="AW121" s="150">
        <v>1</v>
      </c>
      <c r="AX121" s="150">
        <v>1</v>
      </c>
      <c r="AY121" s="150" t="s">
        <v>2496</v>
      </c>
      <c r="AZ121" s="122" t="s">
        <v>1130</v>
      </c>
      <c r="BA121" s="122" t="s">
        <v>2554</v>
      </c>
      <c r="BB121" s="122"/>
      <c r="BC121" s="122"/>
      <c r="BD121" s="161">
        <v>1</v>
      </c>
      <c r="BE121" s="161"/>
      <c r="BF121" s="161"/>
      <c r="BG121" s="161"/>
      <c r="BH121" s="161"/>
      <c r="BI121" s="161"/>
      <c r="BJ121" s="161"/>
      <c r="BK121" s="161"/>
      <c r="BL121" s="161"/>
      <c r="BM121" s="161"/>
      <c r="BN121" s="161"/>
      <c r="BO121" s="161"/>
      <c r="BP121" s="161"/>
      <c r="BQ121" s="162" t="s">
        <v>2567</v>
      </c>
      <c r="BR121" s="150" t="s">
        <v>1876</v>
      </c>
      <c r="BS121" s="150">
        <v>2</v>
      </c>
      <c r="BT121" s="425" t="s">
        <v>2607</v>
      </c>
      <c r="BU121" s="150" t="s">
        <v>2471</v>
      </c>
      <c r="BV121" s="150" t="s">
        <v>2659</v>
      </c>
      <c r="BW121" s="258" t="s">
        <v>2597</v>
      </c>
      <c r="BX121" s="428" t="s">
        <v>2568</v>
      </c>
      <c r="BY121" s="150">
        <v>65.384600000000006</v>
      </c>
      <c r="BZ121" s="150" t="s">
        <v>24</v>
      </c>
      <c r="CA121" s="150">
        <f>76.0989-Table665[[#This Row],[Outcome1_M]]</f>
        <v>10.714299999999994</v>
      </c>
      <c r="CB121" s="428" t="s">
        <v>2569</v>
      </c>
      <c r="CC121" s="150">
        <v>4.9450599999999998</v>
      </c>
      <c r="CD121" s="150" t="s">
        <v>24</v>
      </c>
      <c r="CE121" s="150">
        <f>7.41759-Table665[[#This Row],[Outcome2_M]]</f>
        <v>2.4725299999999999</v>
      </c>
      <c r="CF121" s="290" t="s">
        <v>2589</v>
      </c>
      <c r="CG121" s="291" t="s">
        <v>2588</v>
      </c>
      <c r="CH121" s="428" t="s">
        <v>2570</v>
      </c>
      <c r="CI121" s="150">
        <v>51.648299999999999</v>
      </c>
      <c r="CJ121" s="150" t="s">
        <v>24</v>
      </c>
      <c r="CK121" s="150">
        <f>57.1429-Table665[[#This Row],[Outcome3_M]]</f>
        <v>5.4945999999999984</v>
      </c>
      <c r="CL121" s="428" t="s">
        <v>2571</v>
      </c>
      <c r="CM121" s="150">
        <v>2.7472500000000002</v>
      </c>
      <c r="CN121" s="150" t="s">
        <v>24</v>
      </c>
      <c r="CO121" s="150">
        <f>5.21978-Table665[[#This Row],[Outcome4_M]]</f>
        <v>2.4725299999999999</v>
      </c>
      <c r="CP121" s="290" t="s">
        <v>2552</v>
      </c>
      <c r="CQ121" s="291" t="s">
        <v>2588</v>
      </c>
      <c r="CR121" s="278" t="s">
        <v>24</v>
      </c>
      <c r="CS121" s="285" t="s">
        <v>24</v>
      </c>
      <c r="CT121" s="151" t="s">
        <v>2572</v>
      </c>
      <c r="CU121" s="150">
        <v>39.285699999999999</v>
      </c>
      <c r="CV121" s="150" t="s">
        <v>24</v>
      </c>
      <c r="CW121" s="150">
        <f>44.7802-Table665[[#This Row],[Outcome5_M]]</f>
        <v>5.4945000000000022</v>
      </c>
      <c r="CX121" s="151" t="s">
        <v>2573</v>
      </c>
      <c r="CY121" s="150">
        <v>1.9230799999999999</v>
      </c>
      <c r="CZ121" s="150" t="s">
        <v>24</v>
      </c>
      <c r="DA121" s="150">
        <f>3.02198-Table665[[#This Row],[Outcome6_M]]</f>
        <v>1.0989000000000002</v>
      </c>
      <c r="DB121" s="302" t="s">
        <v>2590</v>
      </c>
      <c r="DC121" s="303" t="s">
        <v>2591</v>
      </c>
      <c r="DD121" s="151" t="s">
        <v>2574</v>
      </c>
      <c r="DE121" s="150">
        <v>25</v>
      </c>
      <c r="DF121" s="150" t="s">
        <v>24</v>
      </c>
      <c r="DG121" s="150">
        <f>27.4725-Table665[[#This Row],[Outcome7_M]]</f>
        <v>2.4725000000000001</v>
      </c>
      <c r="DH121" s="151" t="s">
        <v>2575</v>
      </c>
      <c r="DI121" s="150">
        <v>6.5934100000000004</v>
      </c>
      <c r="DJ121" s="150" t="s">
        <v>24</v>
      </c>
      <c r="DK121" s="150">
        <f>10.4396-Table665[[#This Row],[Outcome8_M]]</f>
        <v>3.84619</v>
      </c>
      <c r="DL121" s="302" t="s">
        <v>2592</v>
      </c>
      <c r="DM121" s="303" t="s">
        <v>2593</v>
      </c>
      <c r="DN121" s="278" t="s">
        <v>24</v>
      </c>
      <c r="DO121" s="279" t="s">
        <v>24</v>
      </c>
      <c r="DP121" s="151" t="s">
        <v>2580</v>
      </c>
      <c r="DQ121" s="150">
        <v>25.549399999999999</v>
      </c>
      <c r="DR121" s="150" t="s">
        <v>24</v>
      </c>
      <c r="DS121" s="150">
        <f>30.4945-Table665[[#This Row],[Outcome9_M]]</f>
        <v>4.9451000000000001</v>
      </c>
      <c r="DT121" s="151" t="s">
        <v>2585</v>
      </c>
      <c r="DU121" s="150">
        <v>3.5714299999999999</v>
      </c>
      <c r="DV121" s="150" t="s">
        <v>24</v>
      </c>
      <c r="DW121" s="150">
        <f>4.3956-Table665[[#This Row],[Outcome10_M]]</f>
        <v>0.82417000000000007</v>
      </c>
      <c r="DX121" s="303" t="s">
        <v>2594</v>
      </c>
      <c r="DY121" s="303" t="s">
        <v>2588</v>
      </c>
      <c r="DZ121" s="151"/>
      <c r="EA121" s="150"/>
      <c r="EB121" s="150"/>
      <c r="EC121" s="150"/>
      <c r="ED121" s="151"/>
      <c r="EE121" s="150"/>
      <c r="EF121" s="150"/>
      <c r="EG121" s="150"/>
      <c r="EH121" s="303"/>
      <c r="EI121" s="303"/>
      <c r="EJ121" s="279"/>
      <c r="EK121" s="150"/>
      <c r="EL121" s="150"/>
      <c r="EM121" s="150"/>
      <c r="EN121" s="150"/>
      <c r="EO121" s="150"/>
      <c r="EP121" s="150"/>
      <c r="EQ121" s="150"/>
      <c r="ER121" s="150"/>
      <c r="ES121" s="303"/>
      <c r="ET121" s="303"/>
      <c r="EU121" s="150"/>
      <c r="EV121" s="150"/>
      <c r="EW121" s="150"/>
      <c r="EX121" s="150"/>
      <c r="EY121" s="134"/>
      <c r="EZ121" s="134"/>
      <c r="FA121" s="134"/>
      <c r="FB121" s="134"/>
      <c r="FC121" s="135"/>
      <c r="FD121" s="135"/>
      <c r="FE121" s="134"/>
      <c r="FF121" s="134"/>
      <c r="FG121" s="134"/>
      <c r="FH121" s="134"/>
      <c r="FI121" s="134"/>
      <c r="FJ121" s="134"/>
      <c r="FK121" s="134"/>
      <c r="FL121" s="134"/>
      <c r="FM121" s="135"/>
      <c r="FN121" s="135"/>
      <c r="FO121" s="134"/>
      <c r="FP121" s="134"/>
      <c r="FQ121" s="134"/>
      <c r="FR121" s="134"/>
      <c r="FS121" s="134"/>
      <c r="FT121" s="134"/>
      <c r="FU121" s="134"/>
      <c r="FV121" s="134"/>
      <c r="FW121" s="135"/>
      <c r="FX121" s="135"/>
      <c r="FY121" s="134"/>
      <c r="FZ121" s="134"/>
      <c r="GA121" s="134"/>
      <c r="GB121" s="134"/>
      <c r="GC121" s="134"/>
      <c r="GD121" s="134"/>
      <c r="GE121" s="134"/>
      <c r="GF121" s="134"/>
      <c r="GG121" s="135"/>
      <c r="GH121" s="135"/>
      <c r="GI121" s="134"/>
      <c r="GJ121" s="134"/>
      <c r="GK121" s="134"/>
      <c r="GL121" s="134"/>
      <c r="GM121" s="134"/>
      <c r="GN121" s="134"/>
      <c r="GO121" s="134"/>
      <c r="GP121" s="134"/>
      <c r="GQ121" s="135"/>
      <c r="GR121" s="135"/>
      <c r="GS121" s="134"/>
      <c r="GT121" s="134"/>
      <c r="GU121" s="134"/>
      <c r="GV121" s="134"/>
      <c r="GW121" s="134"/>
      <c r="GX121" s="134"/>
      <c r="GY121" s="134"/>
      <c r="GZ121" s="134"/>
      <c r="HA121" s="135"/>
      <c r="HB121" s="135"/>
      <c r="HC121" s="134"/>
      <c r="HD121" s="134"/>
      <c r="HE121" s="134"/>
      <c r="HF121" s="134"/>
      <c r="HG121" s="134"/>
      <c r="HH121" s="134"/>
      <c r="HI121" s="134"/>
      <c r="HJ121" s="134"/>
      <c r="HK121" s="135"/>
      <c r="HL121" s="135"/>
      <c r="HM121" s="134"/>
      <c r="HN121" s="134"/>
      <c r="HO121" s="134"/>
      <c r="HP121" s="134"/>
      <c r="HQ121" s="134"/>
      <c r="HR121" s="134"/>
      <c r="HS121" s="134"/>
      <c r="HT121" s="134"/>
      <c r="HU121" s="135"/>
      <c r="HV121" s="135"/>
      <c r="HW121" s="134"/>
      <c r="HX121" s="134"/>
      <c r="HY121" s="134"/>
      <c r="HZ121" s="134"/>
      <c r="IA121" s="134"/>
      <c r="IB121" s="134"/>
      <c r="IC121" s="134"/>
      <c r="ID121" s="134"/>
      <c r="IE121" s="135"/>
      <c r="IF121" s="135"/>
      <c r="IG121" s="134"/>
      <c r="IH121" s="134"/>
      <c r="II121" s="134"/>
      <c r="IJ121" s="134"/>
      <c r="IK121" s="134"/>
      <c r="IL121" s="134"/>
      <c r="IM121" s="134"/>
      <c r="IN121" s="134"/>
      <c r="IO121" s="135"/>
      <c r="IP121" s="135"/>
      <c r="IQ121" s="134"/>
      <c r="IR121" s="134"/>
      <c r="IS121" s="134"/>
      <c r="IT121" s="134"/>
      <c r="IU121" s="134"/>
      <c r="IV121" s="134"/>
      <c r="IW121" s="134"/>
      <c r="IX121" s="134"/>
      <c r="IY121" s="135"/>
      <c r="IZ121" s="135"/>
    </row>
    <row r="122" spans="1:260" s="119" customFormat="1" ht="17" customHeight="1">
      <c r="A122" s="118" t="s">
        <v>1110</v>
      </c>
      <c r="B122" s="363">
        <v>5</v>
      </c>
      <c r="C122" s="363"/>
      <c r="D122" s="363"/>
      <c r="E122" s="139" t="s">
        <v>2053</v>
      </c>
      <c r="F122" s="140" t="s">
        <v>2296</v>
      </c>
      <c r="G122" s="141">
        <v>2014</v>
      </c>
      <c r="H122" s="118">
        <v>24808840</v>
      </c>
      <c r="I122" s="118">
        <v>1</v>
      </c>
      <c r="J122" s="118">
        <v>1</v>
      </c>
      <c r="K122" s="118"/>
      <c r="L122" s="118">
        <v>1</v>
      </c>
      <c r="M122" s="118"/>
      <c r="N122" s="158">
        <v>1</v>
      </c>
      <c r="O122" s="142">
        <v>2</v>
      </c>
      <c r="P122" s="118" t="s">
        <v>1220</v>
      </c>
      <c r="Q122" s="118" t="s">
        <v>1169</v>
      </c>
      <c r="R122" s="118" t="s">
        <v>1127</v>
      </c>
      <c r="S122" s="118"/>
      <c r="T122" s="118" t="s">
        <v>1544</v>
      </c>
      <c r="U122" s="118" t="s">
        <v>803</v>
      </c>
      <c r="V122" s="118"/>
      <c r="W122" s="118" t="s">
        <v>1140</v>
      </c>
      <c r="X122" s="118" t="s">
        <v>24</v>
      </c>
      <c r="Y122" s="118"/>
      <c r="Z122" s="118"/>
      <c r="AA122" s="118"/>
      <c r="AB122" s="118" t="s">
        <v>1141</v>
      </c>
      <c r="AC122" s="145"/>
      <c r="AD122" s="573">
        <v>1</v>
      </c>
      <c r="AE122" s="573">
        <v>2</v>
      </c>
      <c r="AF122" s="159">
        <v>1</v>
      </c>
      <c r="AG122" s="160" t="s">
        <v>24</v>
      </c>
      <c r="AH122" s="122">
        <v>4</v>
      </c>
      <c r="AI122" s="485"/>
      <c r="AJ122" s="204" t="s">
        <v>2564</v>
      </c>
      <c r="AK122" s="192">
        <v>2</v>
      </c>
      <c r="AL122" s="205"/>
      <c r="AM122" s="122" t="s">
        <v>2563</v>
      </c>
      <c r="AN122" s="500" t="s">
        <v>2562</v>
      </c>
      <c r="AO122" s="122" t="s">
        <v>2562</v>
      </c>
      <c r="AP122" s="122" t="s">
        <v>803</v>
      </c>
      <c r="AQ122" s="122" t="s">
        <v>803</v>
      </c>
      <c r="AR122" s="122" t="s">
        <v>2494</v>
      </c>
      <c r="AS122" s="122" t="s">
        <v>24</v>
      </c>
      <c r="AT122" s="122" t="s">
        <v>2494</v>
      </c>
      <c r="AU122" s="150" t="s">
        <v>24</v>
      </c>
      <c r="AV122" s="150" t="s">
        <v>2565</v>
      </c>
      <c r="AW122" s="150">
        <v>1</v>
      </c>
      <c r="AX122" s="150">
        <v>1</v>
      </c>
      <c r="AY122" s="150" t="s">
        <v>2496</v>
      </c>
      <c r="AZ122" s="122" t="s">
        <v>1130</v>
      </c>
      <c r="BA122" s="122" t="s">
        <v>2554</v>
      </c>
      <c r="BB122" s="122"/>
      <c r="BC122" s="122"/>
      <c r="BD122" s="161">
        <v>1</v>
      </c>
      <c r="BE122" s="161"/>
      <c r="BF122" s="161"/>
      <c r="BG122" s="161"/>
      <c r="BH122" s="161"/>
      <c r="BI122" s="161"/>
      <c r="BJ122" s="161"/>
      <c r="BK122" s="161"/>
      <c r="BL122" s="161"/>
      <c r="BM122" s="161"/>
      <c r="BN122" s="161"/>
      <c r="BO122" s="161"/>
      <c r="BP122" s="161"/>
      <c r="BQ122" s="162" t="s">
        <v>2493</v>
      </c>
      <c r="BR122" s="150" t="s">
        <v>1876</v>
      </c>
      <c r="BS122" s="150">
        <v>2</v>
      </c>
      <c r="BT122" s="425" t="s">
        <v>2607</v>
      </c>
      <c r="BU122" s="150" t="s">
        <v>2471</v>
      </c>
      <c r="BV122" s="150" t="s">
        <v>2659</v>
      </c>
      <c r="BW122" s="258" t="s">
        <v>2598</v>
      </c>
      <c r="BX122" s="428" t="s">
        <v>2499</v>
      </c>
      <c r="BY122" s="150">
        <v>47.677100000000003</v>
      </c>
      <c r="BZ122" s="150" t="s">
        <v>24</v>
      </c>
      <c r="CA122" s="150">
        <f>53.688-Table665[[#This Row],[Outcome1_M]]</f>
        <v>6.0108999999999995</v>
      </c>
      <c r="CB122" s="428" t="s">
        <v>2500</v>
      </c>
      <c r="CC122" s="150">
        <v>3.9129200000000002</v>
      </c>
      <c r="CD122" s="150" t="s">
        <v>24</v>
      </c>
      <c r="CE122" s="150">
        <f>5.82549-Table665[[#This Row],[Outcome2_M]]</f>
        <v>1.9125700000000001</v>
      </c>
      <c r="CF122" s="290" t="s">
        <v>2561</v>
      </c>
      <c r="CG122" s="291" t="s">
        <v>2588</v>
      </c>
      <c r="CH122" s="428" t="s">
        <v>2501</v>
      </c>
      <c r="CI122" s="150">
        <v>27.619299999999999</v>
      </c>
      <c r="CJ122" s="150" t="s">
        <v>24</v>
      </c>
      <c r="CK122" s="150">
        <f>35.5448-Table665[[#This Row],[Outcome3_M]]</f>
        <v>7.9255000000000031</v>
      </c>
      <c r="CL122" s="428" t="s">
        <v>2504</v>
      </c>
      <c r="CM122" s="150">
        <v>5.9852800000000004</v>
      </c>
      <c r="CN122" s="150" t="s">
        <v>24</v>
      </c>
      <c r="CO122" s="150">
        <f>8.44529-Table665[[#This Row],[Outcome4_M]]</f>
        <v>2.4600099999999996</v>
      </c>
      <c r="CP122" s="290" t="s">
        <v>2595</v>
      </c>
      <c r="CQ122" s="291" t="s">
        <v>2555</v>
      </c>
      <c r="CR122" s="278" t="s">
        <v>24</v>
      </c>
      <c r="CS122" s="285" t="s">
        <v>24</v>
      </c>
      <c r="CT122" s="151" t="s">
        <v>2506</v>
      </c>
      <c r="CU122" s="150">
        <v>54.555999999999997</v>
      </c>
      <c r="CV122" s="150" t="s">
        <v>24</v>
      </c>
      <c r="CW122" s="150">
        <f>60.567-Table665[[#This Row],[Outcome5_M]]</f>
        <v>6.0110000000000028</v>
      </c>
      <c r="CX122" s="151" t="s">
        <v>2507</v>
      </c>
      <c r="CY122" s="150">
        <v>4.7819099999999999</v>
      </c>
      <c r="CZ122" s="150" t="s">
        <v>24</v>
      </c>
      <c r="DA122" s="150">
        <f>6.14803-Table665[[#This Row],[Outcome6_M]]</f>
        <v>1.3661200000000004</v>
      </c>
      <c r="DB122" s="302" t="s">
        <v>2596</v>
      </c>
      <c r="DC122" s="303" t="s">
        <v>2588</v>
      </c>
      <c r="DD122" s="228" t="s">
        <v>24</v>
      </c>
      <c r="DE122" s="150" t="s">
        <v>24</v>
      </c>
      <c r="DF122" s="150" t="s">
        <v>24</v>
      </c>
      <c r="DG122" s="150" t="s">
        <v>24</v>
      </c>
      <c r="DH122" s="150" t="s">
        <v>24</v>
      </c>
      <c r="DI122" s="150" t="s">
        <v>24</v>
      </c>
      <c r="DJ122" s="150" t="s">
        <v>24</v>
      </c>
      <c r="DK122" s="150" t="s">
        <v>24</v>
      </c>
      <c r="DL122" s="302" t="s">
        <v>24</v>
      </c>
      <c r="DM122" s="303" t="s">
        <v>24</v>
      </c>
      <c r="DN122" s="278" t="s">
        <v>24</v>
      </c>
      <c r="DO122" s="279" t="s">
        <v>24</v>
      </c>
      <c r="DP122" s="150" t="s">
        <v>24</v>
      </c>
      <c r="DQ122" s="150" t="s">
        <v>24</v>
      </c>
      <c r="DR122" s="150" t="s">
        <v>24</v>
      </c>
      <c r="DS122" s="150" t="s">
        <v>24</v>
      </c>
      <c r="DT122" s="151" t="s">
        <v>24</v>
      </c>
      <c r="DU122" s="150" t="s">
        <v>24</v>
      </c>
      <c r="DV122" s="150" t="s">
        <v>24</v>
      </c>
      <c r="DW122" s="150" t="s">
        <v>24</v>
      </c>
      <c r="DX122" s="303" t="s">
        <v>24</v>
      </c>
      <c r="DY122" s="303" t="s">
        <v>24</v>
      </c>
      <c r="DZ122" s="151"/>
      <c r="EA122" s="150"/>
      <c r="EB122" s="150"/>
      <c r="EC122" s="150"/>
      <c r="ED122" s="151"/>
      <c r="EE122" s="150"/>
      <c r="EF122" s="150"/>
      <c r="EG122" s="150"/>
      <c r="EH122" s="303"/>
      <c r="EI122" s="303"/>
      <c r="EJ122" s="279"/>
      <c r="EK122" s="150"/>
      <c r="EL122" s="150"/>
      <c r="EM122" s="150"/>
      <c r="EN122" s="150"/>
      <c r="EO122" s="150"/>
      <c r="EP122" s="150"/>
      <c r="EQ122" s="150"/>
      <c r="ER122" s="150"/>
      <c r="ES122" s="303"/>
      <c r="ET122" s="303"/>
      <c r="EU122" s="150"/>
      <c r="EV122" s="150"/>
      <c r="EW122" s="150"/>
      <c r="EX122" s="150"/>
      <c r="EY122" s="134"/>
      <c r="EZ122" s="134"/>
      <c r="FA122" s="134"/>
      <c r="FB122" s="134"/>
      <c r="FC122" s="135"/>
      <c r="FD122" s="135"/>
      <c r="FE122" s="134"/>
      <c r="FF122" s="134"/>
      <c r="FG122" s="134"/>
      <c r="FH122" s="134"/>
      <c r="FI122" s="134"/>
      <c r="FJ122" s="134"/>
      <c r="FK122" s="134"/>
      <c r="FL122" s="134"/>
      <c r="FM122" s="135"/>
      <c r="FN122" s="135"/>
      <c r="FO122" s="134"/>
      <c r="FP122" s="134"/>
      <c r="FQ122" s="134"/>
      <c r="FR122" s="134"/>
      <c r="FS122" s="134"/>
      <c r="FT122" s="134"/>
      <c r="FU122" s="134"/>
      <c r="FV122" s="134"/>
      <c r="FW122" s="135"/>
      <c r="FX122" s="135"/>
      <c r="FY122" s="134"/>
      <c r="FZ122" s="134"/>
      <c r="GA122" s="134"/>
      <c r="GB122" s="134"/>
      <c r="GC122" s="134"/>
      <c r="GD122" s="134"/>
      <c r="GE122" s="134"/>
      <c r="GF122" s="134"/>
      <c r="GG122" s="135"/>
      <c r="GH122" s="135"/>
      <c r="GI122" s="134"/>
      <c r="GJ122" s="134"/>
      <c r="GK122" s="134"/>
      <c r="GL122" s="134"/>
      <c r="GM122" s="134"/>
      <c r="GN122" s="134"/>
      <c r="GO122" s="134"/>
      <c r="GP122" s="134"/>
      <c r="GQ122" s="135"/>
      <c r="GR122" s="135"/>
      <c r="GS122" s="134"/>
      <c r="GT122" s="134"/>
      <c r="GU122" s="134"/>
      <c r="GV122" s="134"/>
      <c r="GW122" s="134"/>
      <c r="GX122" s="134"/>
      <c r="GY122" s="134"/>
      <c r="GZ122" s="134"/>
      <c r="HA122" s="135"/>
      <c r="HB122" s="135"/>
      <c r="HC122" s="134"/>
      <c r="HD122" s="134"/>
      <c r="HE122" s="134"/>
      <c r="HF122" s="134"/>
      <c r="HG122" s="134"/>
      <c r="HH122" s="134"/>
      <c r="HI122" s="134"/>
      <c r="HJ122" s="134"/>
      <c r="HK122" s="135"/>
      <c r="HL122" s="135"/>
      <c r="HM122" s="134"/>
      <c r="HN122" s="134"/>
      <c r="HO122" s="134"/>
      <c r="HP122" s="134"/>
      <c r="HQ122" s="134"/>
      <c r="HR122" s="134"/>
      <c r="HS122" s="134"/>
      <c r="HT122" s="134"/>
      <c r="HU122" s="135"/>
      <c r="HV122" s="135"/>
      <c r="HW122" s="134"/>
      <c r="HX122" s="134"/>
      <c r="HY122" s="134"/>
      <c r="HZ122" s="134"/>
      <c r="IA122" s="134"/>
      <c r="IB122" s="134"/>
      <c r="IC122" s="134"/>
      <c r="ID122" s="134"/>
      <c r="IE122" s="135"/>
      <c r="IF122" s="135"/>
      <c r="IG122" s="134"/>
      <c r="IH122" s="134"/>
      <c r="II122" s="134"/>
      <c r="IJ122" s="134"/>
      <c r="IK122" s="134"/>
      <c r="IL122" s="134"/>
      <c r="IM122" s="134"/>
      <c r="IN122" s="134"/>
      <c r="IO122" s="135"/>
      <c r="IP122" s="135"/>
      <c r="IQ122" s="134"/>
      <c r="IR122" s="134"/>
      <c r="IS122" s="134"/>
      <c r="IT122" s="134"/>
      <c r="IU122" s="134"/>
      <c r="IV122" s="134"/>
      <c r="IW122" s="134"/>
      <c r="IX122" s="134"/>
      <c r="IY122" s="135"/>
      <c r="IZ122" s="135"/>
    </row>
    <row r="123" spans="1:260" s="119" customFormat="1" ht="17" customHeight="1">
      <c r="A123" s="79" t="s">
        <v>97</v>
      </c>
      <c r="B123" s="117">
        <v>72</v>
      </c>
      <c r="C123" s="117">
        <v>6</v>
      </c>
      <c r="D123" s="117"/>
      <c r="E123" s="123" t="s">
        <v>1928</v>
      </c>
      <c r="F123" s="124" t="s">
        <v>2145</v>
      </c>
      <c r="G123" s="125">
        <v>2009</v>
      </c>
      <c r="H123" s="79">
        <v>19485102</v>
      </c>
      <c r="I123" s="79">
        <v>1</v>
      </c>
      <c r="J123" s="126"/>
      <c r="K123" s="127"/>
      <c r="L123" s="79">
        <v>1</v>
      </c>
      <c r="M123" s="79"/>
      <c r="N123" s="79">
        <v>1</v>
      </c>
      <c r="O123" s="128">
        <v>1</v>
      </c>
      <c r="P123" s="79" t="s">
        <v>64</v>
      </c>
      <c r="Q123" s="79" t="s">
        <v>1173</v>
      </c>
      <c r="R123" s="79" t="s">
        <v>62</v>
      </c>
      <c r="S123" s="79">
        <v>0</v>
      </c>
      <c r="T123" s="79"/>
      <c r="U123" s="79"/>
      <c r="V123" s="79"/>
      <c r="W123" s="79" t="s">
        <v>63</v>
      </c>
      <c r="X123" s="79" t="s">
        <v>56</v>
      </c>
      <c r="Y123" s="79"/>
      <c r="Z123" s="79"/>
      <c r="AA123" s="79"/>
      <c r="AB123" s="79" t="s">
        <v>65</v>
      </c>
      <c r="AC123" s="506"/>
      <c r="AD123" s="573">
        <v>1</v>
      </c>
      <c r="AE123" s="573">
        <v>2</v>
      </c>
      <c r="AF123" s="165">
        <v>0</v>
      </c>
      <c r="AG123" s="166" t="s">
        <v>3848</v>
      </c>
      <c r="AH123" s="509">
        <v>2</v>
      </c>
      <c r="AI123" s="509"/>
      <c r="AJ123" s="512" t="s">
        <v>3837</v>
      </c>
      <c r="AK123" s="513" t="s">
        <v>3838</v>
      </c>
      <c r="AL123" s="514" t="s">
        <v>24</v>
      </c>
      <c r="AM123" s="509" t="s">
        <v>3839</v>
      </c>
      <c r="AN123" s="509">
        <v>13</v>
      </c>
      <c r="AO123" s="509" t="s">
        <v>3832</v>
      </c>
      <c r="AP123" s="509" t="s">
        <v>3833</v>
      </c>
      <c r="AQ123" s="509" t="s">
        <v>24</v>
      </c>
      <c r="AR123" s="536">
        <v>55.2</v>
      </c>
      <c r="AS123" s="509">
        <v>5.3</v>
      </c>
      <c r="AT123" s="509" t="s">
        <v>24</v>
      </c>
      <c r="AU123" s="509" t="s">
        <v>24</v>
      </c>
      <c r="AV123" s="509" t="s">
        <v>3834</v>
      </c>
      <c r="AW123" s="509" t="s">
        <v>24</v>
      </c>
      <c r="AX123" s="509" t="s">
        <v>24</v>
      </c>
      <c r="AY123" s="509" t="s">
        <v>24</v>
      </c>
      <c r="AZ123" s="509" t="s">
        <v>3835</v>
      </c>
      <c r="BA123" s="509" t="s">
        <v>3836</v>
      </c>
      <c r="BB123" s="509"/>
      <c r="BC123" s="509"/>
      <c r="BD123" s="511"/>
      <c r="BE123" s="511"/>
      <c r="BF123" s="511" t="s">
        <v>3840</v>
      </c>
      <c r="BG123" s="511"/>
      <c r="BH123" s="511"/>
      <c r="BI123" s="511"/>
      <c r="BJ123" s="511">
        <v>1</v>
      </c>
      <c r="BK123" s="511"/>
      <c r="BL123" s="511"/>
      <c r="BM123" s="511"/>
      <c r="BN123" s="511"/>
      <c r="BO123" s="511"/>
      <c r="BP123" s="511" t="s">
        <v>3840</v>
      </c>
      <c r="BQ123" s="510" t="s">
        <v>3843</v>
      </c>
      <c r="BR123" s="509" t="s">
        <v>3849</v>
      </c>
      <c r="BS123" s="509" t="s">
        <v>3841</v>
      </c>
      <c r="BT123" s="538" t="s">
        <v>3842</v>
      </c>
      <c r="BU123" s="509" t="s">
        <v>24</v>
      </c>
      <c r="BV123" s="509" t="s">
        <v>3845</v>
      </c>
      <c r="BW123" s="515" t="s">
        <v>3847</v>
      </c>
      <c r="BX123" s="430" t="s">
        <v>3844</v>
      </c>
      <c r="BY123" s="134">
        <v>40.299999999999997</v>
      </c>
      <c r="BZ123" s="134" t="s">
        <v>3846</v>
      </c>
      <c r="CA123" s="134"/>
      <c r="CB123" s="430" t="s">
        <v>24</v>
      </c>
      <c r="CC123" s="134" t="s">
        <v>24</v>
      </c>
      <c r="CD123" s="134" t="s">
        <v>24</v>
      </c>
      <c r="CE123" s="134" t="s">
        <v>24</v>
      </c>
      <c r="CF123" s="288" t="s">
        <v>23</v>
      </c>
      <c r="CG123" s="289"/>
      <c r="CH123" s="430"/>
      <c r="CI123" s="134"/>
      <c r="CJ123" s="134"/>
      <c r="CK123" s="134"/>
      <c r="CL123" s="430"/>
      <c r="CM123" s="134"/>
      <c r="CN123" s="134"/>
      <c r="CO123" s="134"/>
      <c r="CP123" s="288"/>
      <c r="CQ123" s="289"/>
      <c r="CR123" s="276"/>
      <c r="CS123" s="308"/>
      <c r="CT123" s="430"/>
      <c r="CU123" s="134"/>
      <c r="CV123" s="134"/>
      <c r="CW123" s="134"/>
      <c r="CX123" s="426"/>
      <c r="CY123" s="134"/>
      <c r="CZ123" s="134"/>
      <c r="DA123" s="134"/>
      <c r="DB123" s="434"/>
      <c r="DC123" s="436"/>
      <c r="DD123" s="426"/>
      <c r="DE123" s="134"/>
      <c r="DF123" s="134"/>
      <c r="DG123" s="134"/>
      <c r="DH123" s="426"/>
      <c r="DI123" s="134"/>
      <c r="DJ123" s="134"/>
      <c r="DK123" s="134"/>
      <c r="DL123" s="434"/>
      <c r="DM123" s="436"/>
      <c r="DN123" s="276"/>
      <c r="DO123" s="277"/>
      <c r="DP123" s="134"/>
      <c r="DQ123" s="134"/>
      <c r="DR123" s="134"/>
      <c r="DS123" s="134"/>
      <c r="DT123" s="138"/>
      <c r="DU123" s="134"/>
      <c r="DV123" s="134"/>
      <c r="DW123" s="134"/>
      <c r="DX123" s="301"/>
      <c r="DY123" s="301"/>
      <c r="DZ123" s="138"/>
      <c r="EA123" s="134"/>
      <c r="EB123" s="134"/>
      <c r="EC123" s="134"/>
      <c r="ED123" s="138"/>
      <c r="EE123" s="134"/>
      <c r="EF123" s="134"/>
      <c r="EG123" s="134"/>
      <c r="EH123" s="301"/>
      <c r="EI123" s="301"/>
      <c r="EJ123" s="277"/>
      <c r="EK123" s="134"/>
      <c r="EL123" s="134"/>
      <c r="EM123" s="134"/>
      <c r="EN123" s="134"/>
      <c r="EO123" s="134"/>
      <c r="EP123" s="134"/>
      <c r="EQ123" s="134"/>
      <c r="ER123" s="134"/>
      <c r="ES123" s="301"/>
      <c r="ET123" s="301"/>
      <c r="EU123" s="134"/>
      <c r="EV123" s="134"/>
      <c r="EW123" s="134"/>
      <c r="EX123" s="134"/>
      <c r="EY123" s="134"/>
      <c r="EZ123" s="134"/>
      <c r="FA123" s="134"/>
      <c r="FB123" s="134"/>
      <c r="FC123" s="135"/>
      <c r="FD123" s="135"/>
      <c r="FE123" s="134"/>
      <c r="FF123" s="134"/>
      <c r="FG123" s="134"/>
      <c r="FH123" s="134"/>
      <c r="FI123" s="134"/>
      <c r="FJ123" s="134"/>
      <c r="FK123" s="134"/>
      <c r="FL123" s="134"/>
      <c r="FM123" s="135"/>
      <c r="FN123" s="135"/>
      <c r="FO123" s="134"/>
      <c r="FP123" s="134"/>
      <c r="FQ123" s="134"/>
      <c r="FR123" s="134"/>
      <c r="FS123" s="134"/>
      <c r="FT123" s="134"/>
      <c r="FU123" s="134"/>
      <c r="FV123" s="134"/>
      <c r="FW123" s="135"/>
      <c r="FX123" s="135"/>
      <c r="FY123" s="134"/>
      <c r="FZ123" s="134"/>
      <c r="GA123" s="134"/>
      <c r="GB123" s="134"/>
      <c r="GC123" s="134"/>
      <c r="GD123" s="134"/>
      <c r="GE123" s="134"/>
      <c r="GF123" s="134"/>
      <c r="GG123" s="135"/>
      <c r="GH123" s="135"/>
      <c r="GI123" s="134"/>
      <c r="GJ123" s="134"/>
      <c r="GK123" s="134"/>
      <c r="GL123" s="134"/>
      <c r="GM123" s="134"/>
      <c r="GN123" s="134"/>
      <c r="GO123" s="134"/>
      <c r="GP123" s="134"/>
      <c r="GQ123" s="135"/>
      <c r="GR123" s="135"/>
      <c r="GS123" s="134"/>
      <c r="GT123" s="134"/>
      <c r="GU123" s="134"/>
      <c r="GV123" s="134"/>
      <c r="GW123" s="134"/>
      <c r="GX123" s="134"/>
      <c r="GY123" s="134"/>
      <c r="GZ123" s="134"/>
      <c r="HA123" s="135"/>
      <c r="HB123" s="135"/>
      <c r="HC123" s="134"/>
      <c r="HD123" s="134"/>
      <c r="HE123" s="134"/>
      <c r="HF123" s="134"/>
      <c r="HG123" s="134"/>
      <c r="HH123" s="134"/>
      <c r="HI123" s="134"/>
      <c r="HJ123" s="134"/>
      <c r="HK123" s="135"/>
      <c r="HL123" s="135"/>
      <c r="HM123" s="134"/>
      <c r="HN123" s="134"/>
      <c r="HO123" s="134"/>
      <c r="HP123" s="134"/>
      <c r="HQ123" s="134"/>
      <c r="HR123" s="134"/>
      <c r="HS123" s="134"/>
      <c r="HT123" s="134"/>
      <c r="HU123" s="135"/>
      <c r="HV123" s="135"/>
      <c r="HW123" s="134"/>
      <c r="HX123" s="134"/>
      <c r="HY123" s="134"/>
      <c r="HZ123" s="134"/>
      <c r="IA123" s="134"/>
      <c r="IB123" s="134"/>
      <c r="IC123" s="134"/>
      <c r="ID123" s="134"/>
      <c r="IE123" s="135"/>
      <c r="IF123" s="135"/>
      <c r="IG123" s="134"/>
      <c r="IH123" s="134"/>
      <c r="II123" s="134"/>
      <c r="IJ123" s="134"/>
      <c r="IK123" s="134"/>
      <c r="IL123" s="134"/>
      <c r="IM123" s="134"/>
      <c r="IN123" s="134"/>
      <c r="IO123" s="135"/>
      <c r="IP123" s="135"/>
      <c r="IQ123" s="134"/>
      <c r="IR123" s="134"/>
      <c r="IS123" s="134"/>
      <c r="IT123" s="134"/>
      <c r="IU123" s="134"/>
      <c r="IV123" s="134"/>
      <c r="IW123" s="134"/>
      <c r="IX123" s="134"/>
      <c r="IY123" s="135"/>
      <c r="IZ123" s="135"/>
    </row>
    <row r="124" spans="1:260" s="119" customFormat="1" ht="17" customHeight="1">
      <c r="A124" s="79" t="s">
        <v>102</v>
      </c>
      <c r="B124" s="117">
        <v>75</v>
      </c>
      <c r="C124" s="117">
        <v>7</v>
      </c>
      <c r="D124" s="117"/>
      <c r="E124" s="123" t="s">
        <v>1931</v>
      </c>
      <c r="F124" s="124" t="s">
        <v>2148</v>
      </c>
      <c r="G124" s="125">
        <v>2016</v>
      </c>
      <c r="H124" s="79">
        <v>27236589</v>
      </c>
      <c r="I124" s="79">
        <v>1</v>
      </c>
      <c r="J124" s="126"/>
      <c r="K124" s="127"/>
      <c r="L124" s="79">
        <v>1</v>
      </c>
      <c r="M124" s="79"/>
      <c r="N124" s="79">
        <v>1</v>
      </c>
      <c r="O124" s="128">
        <v>1</v>
      </c>
      <c r="P124" s="79" t="s">
        <v>72</v>
      </c>
      <c r="Q124" s="79" t="s">
        <v>1148</v>
      </c>
      <c r="R124" s="79" t="s">
        <v>25</v>
      </c>
      <c r="S124" s="79">
        <v>1</v>
      </c>
      <c r="T124" s="79"/>
      <c r="U124" s="79"/>
      <c r="V124" s="79"/>
      <c r="W124" s="79" t="s">
        <v>71</v>
      </c>
      <c r="X124" s="79"/>
      <c r="Y124" s="79"/>
      <c r="Z124" s="79"/>
      <c r="AA124" s="79"/>
      <c r="AB124" s="79"/>
      <c r="AC124" s="506"/>
      <c r="AD124" s="573">
        <v>1</v>
      </c>
      <c r="AE124" s="573">
        <v>2</v>
      </c>
      <c r="AF124" s="233" t="s">
        <v>3003</v>
      </c>
      <c r="AG124" s="234" t="s">
        <v>3866</v>
      </c>
      <c r="AH124" s="121">
        <v>2</v>
      </c>
      <c r="AI124" s="484"/>
      <c r="AJ124" s="202" t="s">
        <v>3851</v>
      </c>
      <c r="AK124" s="192">
        <v>0</v>
      </c>
      <c r="AL124" s="203" t="s">
        <v>24</v>
      </c>
      <c r="AM124" s="121">
        <v>62</v>
      </c>
      <c r="AN124" s="121" t="s">
        <v>3855</v>
      </c>
      <c r="AO124" s="121" t="s">
        <v>3854</v>
      </c>
      <c r="AP124" s="121" t="s">
        <v>3853</v>
      </c>
      <c r="AQ124" s="121" t="s">
        <v>3852</v>
      </c>
      <c r="AR124" s="121">
        <v>35.92</v>
      </c>
      <c r="AS124" s="121">
        <v>6.95</v>
      </c>
      <c r="AT124" s="121">
        <v>34.5</v>
      </c>
      <c r="AU124" s="121">
        <v>8.68</v>
      </c>
      <c r="AV124" s="121" t="s">
        <v>3834</v>
      </c>
      <c r="AW124" s="121" t="s">
        <v>24</v>
      </c>
      <c r="AX124" s="121" t="s">
        <v>24</v>
      </c>
      <c r="AY124" s="121" t="s">
        <v>2423</v>
      </c>
      <c r="AZ124" s="121" t="s">
        <v>3835</v>
      </c>
      <c r="BA124" s="121" t="s">
        <v>3850</v>
      </c>
      <c r="BB124" s="121"/>
      <c r="BC124" s="121"/>
      <c r="BD124" s="156"/>
      <c r="BE124" s="156"/>
      <c r="BF124" s="156"/>
      <c r="BG124" s="156"/>
      <c r="BH124" s="452" t="s">
        <v>3840</v>
      </c>
      <c r="BI124" s="452"/>
      <c r="BJ124" s="156"/>
      <c r="BK124" s="156">
        <v>1</v>
      </c>
      <c r="BL124" s="156"/>
      <c r="BM124" s="156"/>
      <c r="BN124" s="156"/>
      <c r="BO124" s="156"/>
      <c r="BP124" s="156"/>
      <c r="BQ124" s="157" t="s">
        <v>3863</v>
      </c>
      <c r="BR124" s="134" t="s">
        <v>1876</v>
      </c>
      <c r="BS124" s="134" t="s">
        <v>3856</v>
      </c>
      <c r="BT124" s="426" t="s">
        <v>3857</v>
      </c>
      <c r="BU124" s="134" t="s">
        <v>24</v>
      </c>
      <c r="BV124" s="134" t="s">
        <v>3858</v>
      </c>
      <c r="BW124" s="259" t="s">
        <v>3861</v>
      </c>
      <c r="BX124" s="430" t="s">
        <v>3859</v>
      </c>
      <c r="BY124" s="134">
        <v>4.54915</v>
      </c>
      <c r="BZ124" s="134" t="s">
        <v>24</v>
      </c>
      <c r="CA124" s="134">
        <f>4.73612-Table665[[#This Row],[Outcome1_M]]</f>
        <v>0.18696999999999964</v>
      </c>
      <c r="CB124" s="430" t="s">
        <v>3860</v>
      </c>
      <c r="CC124" s="134">
        <v>4.9229599999999998</v>
      </c>
      <c r="CD124" s="134" t="s">
        <v>24</v>
      </c>
      <c r="CE124" s="134">
        <f>5.11843-Table665[[#This Row],[Outcome2_M]]</f>
        <v>0.19547000000000025</v>
      </c>
      <c r="CF124" s="288" t="s">
        <v>3861</v>
      </c>
      <c r="CG124" s="289" t="s">
        <v>3862</v>
      </c>
      <c r="CH124" s="430"/>
      <c r="CI124" s="134"/>
      <c r="CJ124" s="134"/>
      <c r="CK124" s="134"/>
      <c r="CL124" s="430"/>
      <c r="CM124" s="134"/>
      <c r="CN124" s="134"/>
      <c r="CO124" s="134"/>
      <c r="CP124" s="288"/>
      <c r="CQ124" s="289"/>
      <c r="CR124" s="276"/>
      <c r="CS124" s="308"/>
      <c r="CT124" s="430"/>
      <c r="CU124" s="134"/>
      <c r="CV124" s="134"/>
      <c r="CW124" s="134"/>
      <c r="CX124" s="426"/>
      <c r="CY124" s="134"/>
      <c r="CZ124" s="134"/>
      <c r="DA124" s="134"/>
      <c r="DB124" s="434"/>
      <c r="DC124" s="436"/>
      <c r="DD124" s="426"/>
      <c r="DE124" s="134"/>
      <c r="DF124" s="134"/>
      <c r="DG124" s="134"/>
      <c r="DH124" s="426"/>
      <c r="DI124" s="134"/>
      <c r="DJ124" s="134"/>
      <c r="DK124" s="134"/>
      <c r="DL124" s="434"/>
      <c r="DM124" s="436"/>
      <c r="DN124" s="276"/>
      <c r="DO124" s="277"/>
      <c r="DP124" s="134"/>
      <c r="DQ124" s="134"/>
      <c r="DR124" s="134"/>
      <c r="DS124" s="134"/>
      <c r="DT124" s="138"/>
      <c r="DU124" s="134"/>
      <c r="DV124" s="134"/>
      <c r="DW124" s="134"/>
      <c r="DX124" s="301"/>
      <c r="DY124" s="301"/>
      <c r="DZ124" s="138"/>
      <c r="EA124" s="134"/>
      <c r="EB124" s="134"/>
      <c r="EC124" s="134"/>
      <c r="ED124" s="138"/>
      <c r="EE124" s="134"/>
      <c r="EF124" s="134"/>
      <c r="EG124" s="134"/>
      <c r="EH124" s="301"/>
      <c r="EI124" s="301"/>
      <c r="EJ124" s="277"/>
      <c r="EK124" s="134"/>
      <c r="EL124" s="134"/>
      <c r="EM124" s="134"/>
      <c r="EN124" s="134"/>
      <c r="EO124" s="134"/>
      <c r="EP124" s="134"/>
      <c r="EQ124" s="134"/>
      <c r="ER124" s="134"/>
      <c r="ES124" s="301"/>
      <c r="ET124" s="301"/>
      <c r="EU124" s="134"/>
      <c r="EV124" s="134"/>
      <c r="EW124" s="134"/>
      <c r="EX124" s="134"/>
      <c r="EY124" s="134"/>
      <c r="EZ124" s="134"/>
      <c r="FA124" s="134"/>
      <c r="FB124" s="134"/>
      <c r="FC124" s="135"/>
      <c r="FD124" s="135"/>
      <c r="FE124" s="134"/>
      <c r="FF124" s="134"/>
      <c r="FG124" s="134"/>
      <c r="FH124" s="134"/>
      <c r="FI124" s="134"/>
      <c r="FJ124" s="134"/>
      <c r="FK124" s="134"/>
      <c r="FL124" s="134"/>
      <c r="FM124" s="135"/>
      <c r="FN124" s="135"/>
      <c r="FO124" s="134"/>
      <c r="FP124" s="134"/>
      <c r="FQ124" s="134"/>
      <c r="FR124" s="134"/>
      <c r="FS124" s="134"/>
      <c r="FT124" s="134"/>
      <c r="FU124" s="134"/>
      <c r="FV124" s="134"/>
      <c r="FW124" s="135"/>
      <c r="FX124" s="135"/>
      <c r="FY124" s="134"/>
      <c r="FZ124" s="134"/>
      <c r="GA124" s="134"/>
      <c r="GB124" s="134"/>
      <c r="GC124" s="134"/>
      <c r="GD124" s="134"/>
      <c r="GE124" s="134"/>
      <c r="GF124" s="134"/>
      <c r="GG124" s="135"/>
      <c r="GH124" s="135"/>
      <c r="GI124" s="134"/>
      <c r="GJ124" s="134"/>
      <c r="GK124" s="134"/>
      <c r="GL124" s="134"/>
      <c r="GM124" s="134"/>
      <c r="GN124" s="134"/>
      <c r="GO124" s="134"/>
      <c r="GP124" s="134"/>
      <c r="GQ124" s="135"/>
      <c r="GR124" s="135"/>
      <c r="GS124" s="134"/>
      <c r="GT124" s="134"/>
      <c r="GU124" s="134"/>
      <c r="GV124" s="134"/>
      <c r="GW124" s="134"/>
      <c r="GX124" s="134"/>
      <c r="GY124" s="134"/>
      <c r="GZ124" s="134"/>
      <c r="HA124" s="135"/>
      <c r="HB124" s="135"/>
      <c r="HC124" s="134"/>
      <c r="HD124" s="134"/>
      <c r="HE124" s="134"/>
      <c r="HF124" s="134"/>
      <c r="HG124" s="134"/>
      <c r="HH124" s="134"/>
      <c r="HI124" s="134"/>
      <c r="HJ124" s="134"/>
      <c r="HK124" s="135"/>
      <c r="HL124" s="135"/>
      <c r="HM124" s="134"/>
      <c r="HN124" s="134"/>
      <c r="HO124" s="134"/>
      <c r="HP124" s="134"/>
      <c r="HQ124" s="134"/>
      <c r="HR124" s="134"/>
      <c r="HS124" s="134"/>
      <c r="HT124" s="134"/>
      <c r="HU124" s="135"/>
      <c r="HV124" s="135"/>
      <c r="HW124" s="134"/>
      <c r="HX124" s="134"/>
      <c r="HY124" s="134"/>
      <c r="HZ124" s="134"/>
      <c r="IA124" s="134"/>
      <c r="IB124" s="134"/>
      <c r="IC124" s="134"/>
      <c r="ID124" s="134"/>
      <c r="IE124" s="135"/>
      <c r="IF124" s="135"/>
      <c r="IG124" s="134"/>
      <c r="IH124" s="134"/>
      <c r="II124" s="134"/>
      <c r="IJ124" s="134"/>
      <c r="IK124" s="134"/>
      <c r="IL124" s="134"/>
      <c r="IM124" s="134"/>
      <c r="IN124" s="134"/>
      <c r="IO124" s="135"/>
      <c r="IP124" s="135"/>
      <c r="IQ124" s="134"/>
      <c r="IR124" s="134"/>
      <c r="IS124" s="134"/>
      <c r="IT124" s="134"/>
      <c r="IU124" s="134"/>
      <c r="IV124" s="134"/>
      <c r="IW124" s="134"/>
      <c r="IX124" s="134"/>
      <c r="IY124" s="135"/>
      <c r="IZ124" s="135"/>
    </row>
    <row r="125" spans="1:260" customFormat="1" ht="17" customHeight="1">
      <c r="A125" s="79" t="s">
        <v>103</v>
      </c>
      <c r="B125" s="117">
        <v>76</v>
      </c>
      <c r="C125" s="117">
        <v>8</v>
      </c>
      <c r="D125" s="117"/>
      <c r="E125" s="123" t="s">
        <v>1931</v>
      </c>
      <c r="F125" s="124" t="s">
        <v>2149</v>
      </c>
      <c r="G125" s="125">
        <v>2013</v>
      </c>
      <c r="H125" s="79">
        <v>22200095</v>
      </c>
      <c r="I125" s="79">
        <v>1</v>
      </c>
      <c r="J125" s="126"/>
      <c r="K125" s="127"/>
      <c r="L125" s="79">
        <v>1</v>
      </c>
      <c r="M125" s="79"/>
      <c r="N125" s="79">
        <v>1</v>
      </c>
      <c r="O125" s="128">
        <v>1</v>
      </c>
      <c r="P125" s="79" t="s">
        <v>74</v>
      </c>
      <c r="Q125" s="79" t="s">
        <v>1147</v>
      </c>
      <c r="R125" s="79" t="s">
        <v>25</v>
      </c>
      <c r="S125" s="79"/>
      <c r="T125" s="79"/>
      <c r="U125" s="79"/>
      <c r="V125" s="79"/>
      <c r="W125" s="79"/>
      <c r="X125" s="79"/>
      <c r="Y125" s="79"/>
      <c r="Z125" s="79"/>
      <c r="AA125" s="79"/>
      <c r="AB125" s="79"/>
      <c r="AC125" s="506"/>
      <c r="AD125" s="573">
        <v>1</v>
      </c>
      <c r="AE125" s="573">
        <v>2</v>
      </c>
      <c r="AF125" s="154">
        <v>1</v>
      </c>
      <c r="AG125" s="155" t="s">
        <v>3892</v>
      </c>
      <c r="AH125" s="121">
        <v>2</v>
      </c>
      <c r="AI125" s="484"/>
      <c r="AJ125" s="202"/>
      <c r="AK125" s="192">
        <v>0</v>
      </c>
      <c r="AL125" s="203" t="s">
        <v>24</v>
      </c>
      <c r="AM125" s="121">
        <v>28</v>
      </c>
      <c r="AN125" s="121">
        <v>12</v>
      </c>
      <c r="AO125" s="121">
        <v>16</v>
      </c>
      <c r="AP125" s="121" t="s">
        <v>3867</v>
      </c>
      <c r="AQ125" s="121" t="s">
        <v>3867</v>
      </c>
      <c r="AR125" s="121">
        <v>30.25</v>
      </c>
      <c r="AS125" s="121">
        <v>6.03</v>
      </c>
      <c r="AT125" s="121">
        <v>31.38</v>
      </c>
      <c r="AU125" s="121">
        <v>8.69</v>
      </c>
      <c r="AV125" s="121" t="s">
        <v>1874</v>
      </c>
      <c r="AW125" s="121" t="s">
        <v>24</v>
      </c>
      <c r="AX125" s="121" t="s">
        <v>24</v>
      </c>
      <c r="AY125" s="121" t="s">
        <v>2423</v>
      </c>
      <c r="AZ125" s="121" t="s">
        <v>3835</v>
      </c>
      <c r="BA125" s="121" t="s">
        <v>1875</v>
      </c>
      <c r="BB125" s="121"/>
      <c r="BC125" s="121"/>
      <c r="BD125" s="156"/>
      <c r="BE125" s="156"/>
      <c r="BF125" s="156"/>
      <c r="BG125" s="156"/>
      <c r="BH125" s="156"/>
      <c r="BI125" s="156"/>
      <c r="BJ125" s="156">
        <v>1</v>
      </c>
      <c r="BK125" s="156"/>
      <c r="BL125" s="156"/>
      <c r="BM125" s="156"/>
      <c r="BN125" s="156"/>
      <c r="BO125" s="156"/>
      <c r="BP125" s="156"/>
      <c r="BQ125" s="157" t="s">
        <v>3891</v>
      </c>
      <c r="BR125" s="134" t="s">
        <v>1876</v>
      </c>
      <c r="BS125" s="134">
        <v>2</v>
      </c>
      <c r="BT125" s="426" t="s">
        <v>3869</v>
      </c>
      <c r="BU125" s="134" t="s">
        <v>24</v>
      </c>
      <c r="BV125" s="134" t="s">
        <v>3868</v>
      </c>
      <c r="BW125" s="259" t="s">
        <v>3890</v>
      </c>
      <c r="BX125" s="138" t="s">
        <v>3870</v>
      </c>
      <c r="BY125" s="453">
        <v>5.81</v>
      </c>
      <c r="BZ125" s="134">
        <v>3.17</v>
      </c>
      <c r="CA125" s="134" t="s">
        <v>24</v>
      </c>
      <c r="CB125" s="138" t="s">
        <v>3871</v>
      </c>
      <c r="CC125" s="134">
        <v>9.1300000000000008</v>
      </c>
      <c r="CD125" s="134">
        <v>0.95</v>
      </c>
      <c r="CE125" s="134" t="s">
        <v>24</v>
      </c>
      <c r="CF125" s="288" t="s">
        <v>3878</v>
      </c>
      <c r="CG125" s="289" t="s">
        <v>3879</v>
      </c>
      <c r="CH125" s="138" t="s">
        <v>3872</v>
      </c>
      <c r="CI125" s="134">
        <v>5.26</v>
      </c>
      <c r="CJ125" s="134">
        <v>3.17</v>
      </c>
      <c r="CK125" s="134" t="s">
        <v>24</v>
      </c>
      <c r="CL125" s="138" t="s">
        <v>3873</v>
      </c>
      <c r="CM125" s="134">
        <v>8.83</v>
      </c>
      <c r="CN125" s="134">
        <v>1.0900000000000001</v>
      </c>
      <c r="CO125" s="134" t="s">
        <v>24</v>
      </c>
      <c r="CP125" s="288" t="s">
        <v>3880</v>
      </c>
      <c r="CQ125" s="289" t="s">
        <v>3881</v>
      </c>
      <c r="CR125" s="276" t="s">
        <v>3883</v>
      </c>
      <c r="CS125" s="308" t="s">
        <v>3882</v>
      </c>
      <c r="CT125" s="138" t="s">
        <v>3874</v>
      </c>
      <c r="CU125" s="134">
        <v>4.34</v>
      </c>
      <c r="CV125" s="134">
        <v>2.93</v>
      </c>
      <c r="CW125" s="134" t="s">
        <v>24</v>
      </c>
      <c r="CX125" s="138" t="s">
        <v>3875</v>
      </c>
      <c r="CY125" s="134">
        <v>9</v>
      </c>
      <c r="CZ125" s="134">
        <v>1.03</v>
      </c>
      <c r="DA125" s="134" t="s">
        <v>24</v>
      </c>
      <c r="DB125" s="300" t="s">
        <v>3884</v>
      </c>
      <c r="DC125" s="301" t="s">
        <v>3885</v>
      </c>
      <c r="DD125" s="138" t="s">
        <v>3876</v>
      </c>
      <c r="DE125" s="134">
        <v>5.34</v>
      </c>
      <c r="DF125" s="134">
        <v>2.63</v>
      </c>
      <c r="DG125" s="134" t="s">
        <v>24</v>
      </c>
      <c r="DH125" s="138" t="s">
        <v>3877</v>
      </c>
      <c r="DI125" s="134">
        <v>9.25</v>
      </c>
      <c r="DJ125" s="134">
        <v>1.65</v>
      </c>
      <c r="DK125" s="134" t="s">
        <v>24</v>
      </c>
      <c r="DL125" s="300" t="s">
        <v>3886</v>
      </c>
      <c r="DM125" s="301" t="s">
        <v>3887</v>
      </c>
      <c r="DN125" s="276" t="s">
        <v>3889</v>
      </c>
      <c r="DO125" s="277" t="s">
        <v>3888</v>
      </c>
      <c r="DP125" s="134"/>
      <c r="DQ125" s="134"/>
      <c r="DR125" s="134"/>
      <c r="DS125" s="134"/>
      <c r="DT125" s="138"/>
      <c r="DU125" s="134"/>
      <c r="DV125" s="134"/>
      <c r="DW125" s="134"/>
      <c r="DX125" s="301"/>
      <c r="DY125" s="301"/>
      <c r="DZ125" s="138"/>
      <c r="EA125" s="134"/>
      <c r="EB125" s="134"/>
      <c r="EC125" s="134"/>
      <c r="ED125" s="138"/>
      <c r="EE125" s="134"/>
      <c r="EF125" s="134"/>
      <c r="EG125" s="134"/>
      <c r="EH125" s="301"/>
      <c r="EI125" s="301"/>
      <c r="EJ125" s="277"/>
      <c r="EK125" s="134"/>
      <c r="EL125" s="134"/>
      <c r="EM125" s="134"/>
      <c r="EN125" s="134"/>
      <c r="EO125" s="134"/>
      <c r="EP125" s="134"/>
      <c r="EQ125" s="134"/>
      <c r="ER125" s="134"/>
      <c r="ES125" s="301"/>
      <c r="ET125" s="301"/>
      <c r="EU125" s="134"/>
      <c r="EV125" s="134"/>
      <c r="EW125" s="134"/>
      <c r="EX125" s="134"/>
      <c r="EY125" s="134"/>
      <c r="EZ125" s="134"/>
      <c r="FA125" s="134"/>
      <c r="FB125" s="134"/>
      <c r="FC125" s="135"/>
      <c r="FD125" s="135"/>
      <c r="FE125" s="134"/>
      <c r="FF125" s="134"/>
      <c r="FG125" s="134"/>
      <c r="FH125" s="134"/>
      <c r="FI125" s="134"/>
      <c r="FJ125" s="134"/>
      <c r="FK125" s="134"/>
      <c r="FL125" s="134"/>
      <c r="FM125" s="135"/>
      <c r="FN125" s="135"/>
      <c r="FO125" s="134"/>
      <c r="FP125" s="134"/>
      <c r="FQ125" s="134"/>
      <c r="FR125" s="134"/>
      <c r="FS125" s="134"/>
      <c r="FT125" s="134"/>
      <c r="FU125" s="134"/>
      <c r="FV125" s="134"/>
      <c r="FW125" s="135"/>
      <c r="FX125" s="135"/>
      <c r="FY125" s="134"/>
      <c r="FZ125" s="134"/>
      <c r="GA125" s="134"/>
      <c r="GB125" s="134"/>
      <c r="GC125" s="134"/>
      <c r="GD125" s="134"/>
      <c r="GE125" s="134"/>
      <c r="GF125" s="134"/>
      <c r="GG125" s="135"/>
      <c r="GH125" s="135"/>
      <c r="GI125" s="134"/>
      <c r="GJ125" s="134"/>
      <c r="GK125" s="134"/>
      <c r="GL125" s="134"/>
      <c r="GM125" s="134"/>
      <c r="GN125" s="134"/>
      <c r="GO125" s="134"/>
      <c r="GP125" s="134"/>
      <c r="GQ125" s="135"/>
      <c r="GR125" s="135"/>
      <c r="GS125" s="134"/>
      <c r="GT125" s="134"/>
      <c r="GU125" s="134"/>
      <c r="GV125" s="134"/>
      <c r="GW125" s="134"/>
      <c r="GX125" s="134"/>
      <c r="GY125" s="134"/>
      <c r="GZ125" s="134"/>
      <c r="HA125" s="135"/>
      <c r="HB125" s="135"/>
      <c r="HC125" s="134"/>
      <c r="HD125" s="134"/>
      <c r="HE125" s="134"/>
      <c r="HF125" s="134"/>
      <c r="HG125" s="134"/>
      <c r="HH125" s="134"/>
      <c r="HI125" s="134"/>
      <c r="HJ125" s="134"/>
      <c r="HK125" s="135"/>
      <c r="HL125" s="135"/>
      <c r="HM125" s="134"/>
      <c r="HN125" s="134"/>
      <c r="HO125" s="134"/>
      <c r="HP125" s="134"/>
      <c r="HQ125" s="134"/>
      <c r="HR125" s="134"/>
      <c r="HS125" s="134"/>
      <c r="HT125" s="134"/>
      <c r="HU125" s="135"/>
      <c r="HV125" s="135"/>
      <c r="HW125" s="134"/>
      <c r="HX125" s="134"/>
      <c r="HY125" s="134"/>
      <c r="HZ125" s="134"/>
      <c r="IA125" s="134"/>
      <c r="IB125" s="134"/>
      <c r="IC125" s="134"/>
      <c r="ID125" s="134"/>
      <c r="IE125" s="135"/>
      <c r="IF125" s="135"/>
      <c r="IG125" s="134"/>
      <c r="IH125" s="134"/>
      <c r="II125" s="134"/>
      <c r="IJ125" s="134"/>
      <c r="IK125" s="134"/>
      <c r="IL125" s="134"/>
      <c r="IM125" s="134"/>
      <c r="IN125" s="134"/>
      <c r="IO125" s="135"/>
      <c r="IP125" s="135"/>
      <c r="IQ125" s="134"/>
      <c r="IR125" s="134"/>
      <c r="IS125" s="134"/>
      <c r="IT125" s="134"/>
      <c r="IU125" s="134"/>
      <c r="IV125" s="134"/>
      <c r="IW125" s="134"/>
      <c r="IX125" s="134"/>
      <c r="IY125" s="135"/>
      <c r="IZ125" s="135"/>
    </row>
    <row r="126" spans="1:260" customFormat="1" ht="17" customHeight="1">
      <c r="A126" s="79" t="s">
        <v>1102</v>
      </c>
      <c r="B126" s="504">
        <v>6</v>
      </c>
      <c r="C126" s="363">
        <v>1</v>
      </c>
      <c r="D126" s="363"/>
      <c r="E126" s="123" t="s">
        <v>2055</v>
      </c>
      <c r="F126" s="124" t="s">
        <v>2299</v>
      </c>
      <c r="G126" s="125">
        <v>2014</v>
      </c>
      <c r="H126" s="79">
        <v>24677338</v>
      </c>
      <c r="I126" s="79">
        <v>1</v>
      </c>
      <c r="J126" s="126" t="s">
        <v>1791</v>
      </c>
      <c r="K126" s="127" t="s">
        <v>1790</v>
      </c>
      <c r="L126" s="164">
        <v>1</v>
      </c>
      <c r="M126" s="79" t="s">
        <v>1747</v>
      </c>
      <c r="N126" s="153">
        <v>0</v>
      </c>
      <c r="O126" s="128">
        <v>2</v>
      </c>
      <c r="P126" s="79" t="s">
        <v>1215</v>
      </c>
      <c r="Q126" s="79" t="s">
        <v>1216</v>
      </c>
      <c r="R126" s="79" t="s">
        <v>1127</v>
      </c>
      <c r="S126" s="79"/>
      <c r="T126" s="79" t="s">
        <v>24</v>
      </c>
      <c r="U126" s="79" t="s">
        <v>1539</v>
      </c>
      <c r="V126" s="79" t="s">
        <v>23</v>
      </c>
      <c r="W126" s="79" t="s">
        <v>1694</v>
      </c>
      <c r="X126" s="79" t="s">
        <v>1213</v>
      </c>
      <c r="Y126" s="79" t="s">
        <v>24</v>
      </c>
      <c r="Z126" s="79"/>
      <c r="AA126" s="79"/>
      <c r="AB126" s="79" t="s">
        <v>1806</v>
      </c>
      <c r="AC126" s="506"/>
      <c r="AD126" s="573">
        <v>1</v>
      </c>
      <c r="AE126" s="573">
        <v>2</v>
      </c>
      <c r="AF126" s="165">
        <v>0</v>
      </c>
      <c r="AG126" s="166" t="s">
        <v>3318</v>
      </c>
      <c r="AH126" s="120">
        <v>4</v>
      </c>
      <c r="AI126" s="484"/>
      <c r="AJ126" s="206"/>
      <c r="AK126" s="192">
        <v>0</v>
      </c>
      <c r="AL126" s="207"/>
      <c r="AM126" s="120"/>
      <c r="AN126" s="120"/>
      <c r="AO126" s="120"/>
      <c r="AP126" s="120"/>
      <c r="AQ126" s="120"/>
      <c r="AR126" s="120"/>
      <c r="AS126" s="120"/>
      <c r="AT126" s="120"/>
      <c r="AU126" s="120"/>
      <c r="AV126" s="120" t="s">
        <v>3312</v>
      </c>
      <c r="AW126" s="120">
        <v>1</v>
      </c>
      <c r="AX126" s="120">
        <v>0</v>
      </c>
      <c r="AY126" s="120"/>
      <c r="AZ126" s="120"/>
      <c r="BA126" s="120"/>
      <c r="BB126" s="120"/>
      <c r="BC126" s="120"/>
      <c r="BD126" s="373"/>
      <c r="BE126" s="373"/>
      <c r="BF126" s="373"/>
      <c r="BG126" s="373"/>
      <c r="BH126" s="373"/>
      <c r="BI126" s="373"/>
      <c r="BJ126" s="373">
        <v>1</v>
      </c>
      <c r="BK126" s="373"/>
      <c r="BL126" s="373"/>
      <c r="BM126" s="373"/>
      <c r="BN126" s="373"/>
      <c r="BO126" s="373"/>
      <c r="BP126" s="373"/>
      <c r="BQ126" s="374"/>
      <c r="BR126" s="134"/>
      <c r="BS126" s="134"/>
      <c r="BT126" s="426"/>
      <c r="BU126" s="134"/>
      <c r="BV126" s="134"/>
      <c r="BW126" s="259" t="s">
        <v>24</v>
      </c>
      <c r="BX126" s="138"/>
      <c r="BY126" s="190"/>
      <c r="BZ126" s="134"/>
      <c r="CA126" s="190"/>
      <c r="CB126" s="138"/>
      <c r="CC126" s="134"/>
      <c r="CD126" s="134"/>
      <c r="CE126" s="134"/>
      <c r="CF126" s="288"/>
      <c r="CG126" s="289"/>
      <c r="CH126" s="138"/>
      <c r="CI126" s="190"/>
      <c r="CJ126" s="134"/>
      <c r="CK126" s="134"/>
      <c r="CL126" s="138"/>
      <c r="CM126" s="134"/>
      <c r="CN126" s="134"/>
      <c r="CO126" s="134"/>
      <c r="CP126" s="288"/>
      <c r="CQ126" s="289"/>
      <c r="CR126" s="276"/>
      <c r="CS126" s="308"/>
      <c r="CT126" s="138"/>
      <c r="CU126" s="134"/>
      <c r="CV126" s="134"/>
      <c r="CW126" s="134"/>
      <c r="CX126" s="134"/>
      <c r="CY126" s="134"/>
      <c r="CZ126" s="134"/>
      <c r="DA126" s="134"/>
      <c r="DB126" s="300"/>
      <c r="DC126" s="301"/>
      <c r="DD126" s="134"/>
      <c r="DE126" s="134"/>
      <c r="DF126" s="134"/>
      <c r="DG126" s="134"/>
      <c r="DH126" s="134"/>
      <c r="DI126" s="134"/>
      <c r="DJ126" s="134"/>
      <c r="DK126" s="134"/>
      <c r="DL126" s="304"/>
      <c r="DM126" s="312"/>
      <c r="DN126" s="276"/>
      <c r="DO126" s="277"/>
      <c r="DP126" s="134"/>
      <c r="DQ126" s="134"/>
      <c r="DR126" s="134"/>
      <c r="DS126" s="134"/>
      <c r="DT126" s="138"/>
      <c r="DU126" s="134"/>
      <c r="DV126" s="134"/>
      <c r="DW126" s="134"/>
      <c r="DX126" s="301"/>
      <c r="DY126" s="301"/>
      <c r="DZ126" s="138"/>
      <c r="EA126" s="134"/>
      <c r="EB126" s="134"/>
      <c r="EC126" s="134"/>
      <c r="ED126" s="138"/>
      <c r="EE126" s="134"/>
      <c r="EF126" s="134"/>
      <c r="EG126" s="134"/>
      <c r="EH126" s="301"/>
      <c r="EI126" s="301"/>
      <c r="EJ126" s="277"/>
      <c r="EK126" s="134"/>
      <c r="EL126" s="134"/>
      <c r="EM126" s="134"/>
      <c r="EN126" s="134"/>
      <c r="EO126" s="134"/>
      <c r="EP126" s="134"/>
      <c r="EQ126" s="134"/>
      <c r="ER126" s="134"/>
      <c r="ES126" s="301"/>
      <c r="ET126" s="301"/>
      <c r="EU126" s="134"/>
      <c r="EV126" s="134"/>
      <c r="EW126" s="134"/>
      <c r="EX126" s="134"/>
      <c r="EY126" s="134"/>
      <c r="EZ126" s="134"/>
      <c r="FA126" s="134"/>
      <c r="FB126" s="134"/>
      <c r="FC126" s="135"/>
      <c r="FD126" s="135"/>
      <c r="FE126" s="134"/>
      <c r="FF126" s="134"/>
      <c r="FG126" s="134"/>
      <c r="FH126" s="134"/>
      <c r="FI126" s="134"/>
      <c r="FJ126" s="134"/>
      <c r="FK126" s="134"/>
      <c r="FL126" s="134"/>
      <c r="FM126" s="135"/>
      <c r="FN126" s="135"/>
      <c r="FO126" s="134"/>
      <c r="FP126" s="134"/>
      <c r="FQ126" s="134"/>
      <c r="FR126" s="134"/>
      <c r="FS126" s="134"/>
      <c r="FT126" s="134"/>
      <c r="FU126" s="134"/>
      <c r="FV126" s="134"/>
      <c r="FW126" s="135"/>
      <c r="FX126" s="135"/>
      <c r="FY126" s="134"/>
      <c r="FZ126" s="134"/>
      <c r="GA126" s="134"/>
      <c r="GB126" s="134"/>
      <c r="GC126" s="134"/>
      <c r="GD126" s="134"/>
      <c r="GE126" s="134"/>
      <c r="GF126" s="134"/>
      <c r="GG126" s="135"/>
      <c r="GH126" s="135"/>
      <c r="GI126" s="134"/>
      <c r="GJ126" s="134"/>
      <c r="GK126" s="134"/>
      <c r="GL126" s="134"/>
      <c r="GM126" s="134"/>
      <c r="GN126" s="134"/>
      <c r="GO126" s="134"/>
      <c r="GP126" s="134"/>
      <c r="GQ126" s="135"/>
      <c r="GR126" s="135"/>
      <c r="GS126" s="134"/>
      <c r="GT126" s="134"/>
      <c r="GU126" s="134"/>
      <c r="GV126" s="134"/>
      <c r="GW126" s="134"/>
      <c r="GX126" s="134"/>
      <c r="GY126" s="134"/>
      <c r="GZ126" s="134"/>
      <c r="HA126" s="135"/>
      <c r="HB126" s="135"/>
      <c r="HC126" s="134"/>
      <c r="HD126" s="134"/>
      <c r="HE126" s="134"/>
      <c r="HF126" s="134"/>
      <c r="HG126" s="134"/>
      <c r="HH126" s="134"/>
      <c r="HI126" s="134"/>
      <c r="HJ126" s="134"/>
      <c r="HK126" s="135"/>
      <c r="HL126" s="135"/>
      <c r="HM126" s="134"/>
      <c r="HN126" s="134"/>
      <c r="HO126" s="134"/>
      <c r="HP126" s="134"/>
      <c r="HQ126" s="134"/>
      <c r="HR126" s="134"/>
      <c r="HS126" s="134"/>
      <c r="HT126" s="134"/>
      <c r="HU126" s="135"/>
      <c r="HV126" s="135"/>
      <c r="HW126" s="134"/>
      <c r="HX126" s="134"/>
      <c r="HY126" s="134"/>
      <c r="HZ126" s="134"/>
      <c r="IA126" s="134"/>
      <c r="IB126" s="134"/>
      <c r="IC126" s="134"/>
      <c r="ID126" s="134"/>
      <c r="IE126" s="135"/>
      <c r="IF126" s="135"/>
      <c r="IG126" s="134"/>
      <c r="IH126" s="134"/>
      <c r="II126" s="134"/>
      <c r="IJ126" s="134"/>
      <c r="IK126" s="134"/>
      <c r="IL126" s="134"/>
      <c r="IM126" s="134"/>
      <c r="IN126" s="134"/>
      <c r="IO126" s="135"/>
      <c r="IP126" s="135"/>
      <c r="IQ126" s="134"/>
      <c r="IR126" s="134"/>
      <c r="IS126" s="134"/>
      <c r="IT126" s="134"/>
      <c r="IU126" s="134"/>
      <c r="IV126" s="134"/>
      <c r="IW126" s="134"/>
      <c r="IX126" s="134"/>
      <c r="IY126" s="135"/>
      <c r="IZ126" s="135"/>
    </row>
    <row r="127" spans="1:260" customFormat="1" ht="17" customHeight="1">
      <c r="A127" s="79" t="s">
        <v>104</v>
      </c>
      <c r="B127" s="117">
        <v>77</v>
      </c>
      <c r="C127" s="117">
        <v>9</v>
      </c>
      <c r="D127" s="117"/>
      <c r="E127" s="123" t="s">
        <v>1932</v>
      </c>
      <c r="F127" s="124" t="s">
        <v>2150</v>
      </c>
      <c r="G127" s="125">
        <v>2015</v>
      </c>
      <c r="H127" s="79">
        <v>25915799</v>
      </c>
      <c r="I127" s="79">
        <v>1</v>
      </c>
      <c r="J127" s="126"/>
      <c r="K127" s="127"/>
      <c r="L127" s="79">
        <v>1</v>
      </c>
      <c r="M127" s="79"/>
      <c r="N127" s="79">
        <v>1</v>
      </c>
      <c r="O127" s="128">
        <v>1</v>
      </c>
      <c r="P127" s="79" t="s">
        <v>370</v>
      </c>
      <c r="Q127" s="79" t="s">
        <v>1147</v>
      </c>
      <c r="R127" s="79" t="s">
        <v>369</v>
      </c>
      <c r="S127" s="79"/>
      <c r="T127" s="79"/>
      <c r="U127" s="79"/>
      <c r="V127" s="79"/>
      <c r="W127" s="79"/>
      <c r="X127" s="79" t="s">
        <v>368</v>
      </c>
      <c r="Y127" s="79"/>
      <c r="Z127" s="79"/>
      <c r="AA127" s="79"/>
      <c r="AB127" s="79"/>
      <c r="AC127" s="506"/>
      <c r="AD127" s="573">
        <v>1</v>
      </c>
      <c r="AE127" s="573">
        <v>2</v>
      </c>
      <c r="AF127" s="165" t="s">
        <v>3003</v>
      </c>
      <c r="AG127" s="166" t="s">
        <v>3893</v>
      </c>
      <c r="AH127" s="120"/>
      <c r="AI127" s="484"/>
      <c r="AJ127" s="206" t="s">
        <v>3893</v>
      </c>
      <c r="AK127" s="372"/>
      <c r="AL127" s="207"/>
      <c r="AM127" s="120"/>
      <c r="AN127" s="120"/>
      <c r="AO127" s="120"/>
      <c r="AP127" s="120"/>
      <c r="AQ127" s="120"/>
      <c r="AR127" s="120"/>
      <c r="AS127" s="120"/>
      <c r="AT127" s="120"/>
      <c r="AU127" s="120"/>
      <c r="AV127" s="120"/>
      <c r="AW127" s="120"/>
      <c r="AX127" s="120"/>
      <c r="AY127" s="120"/>
      <c r="AZ127" s="120"/>
      <c r="BA127" s="120"/>
      <c r="BB127" s="120"/>
      <c r="BC127" s="120"/>
      <c r="BD127" s="373"/>
      <c r="BE127" s="373"/>
      <c r="BF127" s="373"/>
      <c r="BG127" s="373"/>
      <c r="BH127" s="373"/>
      <c r="BI127" s="373"/>
      <c r="BJ127" s="373">
        <v>1</v>
      </c>
      <c r="BK127" s="373"/>
      <c r="BL127" s="373"/>
      <c r="BM127" s="373"/>
      <c r="BN127" s="373"/>
      <c r="BO127" s="373"/>
      <c r="BP127" s="373"/>
      <c r="BQ127" s="374"/>
      <c r="BR127" s="120"/>
      <c r="BS127" s="120"/>
      <c r="BT127" s="120"/>
      <c r="BU127" s="120"/>
      <c r="BV127" s="120"/>
      <c r="BW127" s="375" t="s">
        <v>24</v>
      </c>
      <c r="BX127" s="138"/>
      <c r="BY127" s="134"/>
      <c r="BZ127" s="134"/>
      <c r="CA127" s="134"/>
      <c r="CB127" s="138"/>
      <c r="CC127" s="134"/>
      <c r="CD127" s="134"/>
      <c r="CE127" s="134"/>
      <c r="CF127" s="288"/>
      <c r="CG127" s="289"/>
      <c r="CH127" s="138"/>
      <c r="CI127" s="134"/>
      <c r="CJ127" s="134"/>
      <c r="CK127" s="134"/>
      <c r="CL127" s="138"/>
      <c r="CM127" s="134"/>
      <c r="CN127" s="134"/>
      <c r="CO127" s="134"/>
      <c r="CP127" s="288"/>
      <c r="CQ127" s="289"/>
      <c r="CR127" s="276"/>
      <c r="CS127" s="308"/>
      <c r="CT127" s="138"/>
      <c r="CU127" s="134"/>
      <c r="CV127" s="134"/>
      <c r="CW127" s="134"/>
      <c r="CX127" s="134"/>
      <c r="CY127" s="134"/>
      <c r="CZ127" s="134"/>
      <c r="DA127" s="134"/>
      <c r="DB127" s="300"/>
      <c r="DC127" s="301"/>
      <c r="DD127" s="134"/>
      <c r="DE127" s="134"/>
      <c r="DF127" s="134"/>
      <c r="DG127" s="134"/>
      <c r="DH127" s="134"/>
      <c r="DI127" s="134"/>
      <c r="DJ127" s="134"/>
      <c r="DK127" s="134"/>
      <c r="DL127" s="300"/>
      <c r="DM127" s="301"/>
      <c r="DN127" s="276"/>
      <c r="DO127" s="277"/>
      <c r="DP127" s="134"/>
      <c r="DQ127" s="134"/>
      <c r="DR127" s="134"/>
      <c r="DS127" s="134"/>
      <c r="DT127" s="138"/>
      <c r="DU127" s="134"/>
      <c r="DV127" s="134"/>
      <c r="DW127" s="134"/>
      <c r="DX127" s="301"/>
      <c r="DY127" s="301"/>
      <c r="DZ127" s="138"/>
      <c r="EA127" s="134"/>
      <c r="EB127" s="134"/>
      <c r="EC127" s="134"/>
      <c r="ED127" s="138"/>
      <c r="EE127" s="134"/>
      <c r="EF127" s="134"/>
      <c r="EG127" s="134"/>
      <c r="EH127" s="301"/>
      <c r="EI127" s="301"/>
      <c r="EJ127" s="277"/>
      <c r="EK127" s="134"/>
      <c r="EL127" s="134"/>
      <c r="EM127" s="134"/>
      <c r="EN127" s="134"/>
      <c r="EO127" s="134"/>
      <c r="EP127" s="134"/>
      <c r="EQ127" s="134"/>
      <c r="ER127" s="134"/>
      <c r="ES127" s="301"/>
      <c r="ET127" s="301"/>
      <c r="EU127" s="134"/>
      <c r="EV127" s="134"/>
      <c r="EW127" s="134"/>
      <c r="EX127" s="134"/>
      <c r="EY127" s="134"/>
      <c r="EZ127" s="134"/>
      <c r="FA127" s="134"/>
      <c r="FB127" s="134"/>
      <c r="FC127" s="135"/>
      <c r="FD127" s="135"/>
      <c r="FE127" s="134"/>
      <c r="FF127" s="134"/>
      <c r="FG127" s="134"/>
      <c r="FH127" s="134"/>
      <c r="FI127" s="134"/>
      <c r="FJ127" s="134"/>
      <c r="FK127" s="134"/>
      <c r="FL127" s="134"/>
      <c r="FM127" s="135"/>
      <c r="FN127" s="135"/>
      <c r="FO127" s="134"/>
      <c r="FP127" s="134"/>
      <c r="FQ127" s="134"/>
      <c r="FR127" s="134"/>
      <c r="FS127" s="134"/>
      <c r="FT127" s="134"/>
      <c r="FU127" s="134"/>
      <c r="FV127" s="134"/>
      <c r="FW127" s="135"/>
      <c r="FX127" s="135"/>
      <c r="FY127" s="134"/>
      <c r="FZ127" s="134"/>
      <c r="GA127" s="134"/>
      <c r="GB127" s="134"/>
      <c r="GC127" s="134"/>
      <c r="GD127" s="134"/>
      <c r="GE127" s="134"/>
      <c r="GF127" s="134"/>
      <c r="GG127" s="135"/>
      <c r="GH127" s="135"/>
      <c r="GI127" s="134"/>
      <c r="GJ127" s="134"/>
      <c r="GK127" s="134"/>
      <c r="GL127" s="134"/>
      <c r="GM127" s="134"/>
      <c r="GN127" s="134"/>
      <c r="GO127" s="134"/>
      <c r="GP127" s="134"/>
      <c r="GQ127" s="135"/>
      <c r="GR127" s="135"/>
      <c r="GS127" s="134"/>
      <c r="GT127" s="134"/>
      <c r="GU127" s="134"/>
      <c r="GV127" s="134"/>
      <c r="GW127" s="134"/>
      <c r="GX127" s="134"/>
      <c r="GY127" s="134"/>
      <c r="GZ127" s="134"/>
      <c r="HA127" s="135"/>
      <c r="HB127" s="135"/>
      <c r="HC127" s="134"/>
      <c r="HD127" s="134"/>
      <c r="HE127" s="134"/>
      <c r="HF127" s="134"/>
      <c r="HG127" s="134"/>
      <c r="HH127" s="134"/>
      <c r="HI127" s="134"/>
      <c r="HJ127" s="134"/>
      <c r="HK127" s="135"/>
      <c r="HL127" s="135"/>
      <c r="HM127" s="134"/>
      <c r="HN127" s="134"/>
      <c r="HO127" s="134"/>
      <c r="HP127" s="134"/>
      <c r="HQ127" s="134"/>
      <c r="HR127" s="134"/>
      <c r="HS127" s="134"/>
      <c r="HT127" s="134"/>
      <c r="HU127" s="135"/>
      <c r="HV127" s="135"/>
      <c r="HW127" s="134"/>
      <c r="HX127" s="134"/>
      <c r="HY127" s="134"/>
      <c r="HZ127" s="134"/>
      <c r="IA127" s="134"/>
      <c r="IB127" s="134"/>
      <c r="IC127" s="134"/>
      <c r="ID127" s="134"/>
      <c r="IE127" s="135"/>
      <c r="IF127" s="135"/>
      <c r="IG127" s="134"/>
      <c r="IH127" s="134"/>
      <c r="II127" s="134"/>
      <c r="IJ127" s="134"/>
      <c r="IK127" s="134"/>
      <c r="IL127" s="134"/>
      <c r="IM127" s="134"/>
      <c r="IN127" s="134"/>
      <c r="IO127" s="135"/>
      <c r="IP127" s="135"/>
      <c r="IQ127" s="134"/>
      <c r="IR127" s="134"/>
      <c r="IS127" s="134"/>
      <c r="IT127" s="134"/>
      <c r="IU127" s="134"/>
      <c r="IV127" s="134"/>
      <c r="IW127" s="134"/>
      <c r="IX127" s="134"/>
      <c r="IY127" s="135"/>
      <c r="IZ127" s="135"/>
    </row>
    <row r="128" spans="1:260" customFormat="1" ht="17" customHeight="1">
      <c r="A128" s="118" t="s">
        <v>1101</v>
      </c>
      <c r="B128" s="363">
        <v>7</v>
      </c>
      <c r="C128" s="363"/>
      <c r="D128" s="363"/>
      <c r="E128" s="139" t="s">
        <v>2056</v>
      </c>
      <c r="F128" s="140" t="s">
        <v>2300</v>
      </c>
      <c r="G128" s="141">
        <v>2015</v>
      </c>
      <c r="H128" s="118">
        <v>26210936</v>
      </c>
      <c r="I128" s="118">
        <v>1</v>
      </c>
      <c r="J128" s="118">
        <v>1</v>
      </c>
      <c r="K128" s="118"/>
      <c r="L128" s="118">
        <v>1</v>
      </c>
      <c r="M128" s="118"/>
      <c r="N128" s="158">
        <v>1</v>
      </c>
      <c r="O128" s="142">
        <v>2</v>
      </c>
      <c r="P128" s="118" t="s">
        <v>1220</v>
      </c>
      <c r="Q128" s="118" t="s">
        <v>1224</v>
      </c>
      <c r="R128" s="118" t="s">
        <v>1127</v>
      </c>
      <c r="S128" s="118"/>
      <c r="T128" s="118" t="s">
        <v>1217</v>
      </c>
      <c r="U128" s="118"/>
      <c r="V128" s="118"/>
      <c r="W128" s="118" t="s">
        <v>1218</v>
      </c>
      <c r="X128" s="118" t="s">
        <v>1219</v>
      </c>
      <c r="Y128" s="118"/>
      <c r="Z128" s="118"/>
      <c r="AA128" s="118" t="s">
        <v>1655</v>
      </c>
      <c r="AB128" s="118" t="s">
        <v>1654</v>
      </c>
      <c r="AC128" s="145"/>
      <c r="AD128" s="573">
        <v>1</v>
      </c>
      <c r="AE128" s="573">
        <v>2</v>
      </c>
      <c r="AF128" s="230" t="s">
        <v>1917</v>
      </c>
      <c r="AG128" s="231" t="s">
        <v>3319</v>
      </c>
      <c r="AH128" s="152">
        <v>4</v>
      </c>
      <c r="AI128" s="485"/>
      <c r="AJ128" s="242" t="s">
        <v>2602</v>
      </c>
      <c r="AK128" s="236">
        <v>1</v>
      </c>
      <c r="AL128" s="243">
        <v>1</v>
      </c>
      <c r="AM128" s="152" t="s">
        <v>2600</v>
      </c>
      <c r="AN128" s="152" t="s">
        <v>2601</v>
      </c>
      <c r="AO128" s="152" t="s">
        <v>2601</v>
      </c>
      <c r="AP128" s="152" t="s">
        <v>803</v>
      </c>
      <c r="AQ128" s="152" t="s">
        <v>803</v>
      </c>
      <c r="AR128" s="152" t="s">
        <v>2468</v>
      </c>
      <c r="AS128" s="152" t="s">
        <v>24</v>
      </c>
      <c r="AT128" s="152" t="s">
        <v>2468</v>
      </c>
      <c r="AU128" s="152" t="s">
        <v>24</v>
      </c>
      <c r="AV128" s="152" t="s">
        <v>2599</v>
      </c>
      <c r="AW128" s="152">
        <v>0</v>
      </c>
      <c r="AX128" s="135" t="s">
        <v>3343</v>
      </c>
      <c r="AY128" s="152"/>
      <c r="AZ128" s="152" t="s">
        <v>1130</v>
      </c>
      <c r="BA128" s="152" t="s">
        <v>2554</v>
      </c>
      <c r="BB128" s="152"/>
      <c r="BC128" s="152"/>
      <c r="BD128" s="244">
        <v>1</v>
      </c>
      <c r="BE128" s="161"/>
      <c r="BF128" s="161"/>
      <c r="BG128" s="161"/>
      <c r="BH128" s="161"/>
      <c r="BI128" s="161"/>
      <c r="BJ128" s="161"/>
      <c r="BK128" s="161"/>
      <c r="BL128" s="161"/>
      <c r="BM128" s="161"/>
      <c r="BN128" s="161"/>
      <c r="BO128" s="161"/>
      <c r="BP128" s="161"/>
      <c r="BQ128" s="162" t="s">
        <v>2609</v>
      </c>
      <c r="BR128" s="150" t="s">
        <v>1876</v>
      </c>
      <c r="BS128" s="150" t="s">
        <v>2608</v>
      </c>
      <c r="BT128" s="150" t="s">
        <v>1501</v>
      </c>
      <c r="BU128" s="150" t="s">
        <v>2606</v>
      </c>
      <c r="BV128" s="150" t="s">
        <v>2659</v>
      </c>
      <c r="BW128" s="260" t="s">
        <v>2653</v>
      </c>
      <c r="BX128" s="151" t="s">
        <v>2612</v>
      </c>
      <c r="BY128" s="150">
        <v>33.714100000000002</v>
      </c>
      <c r="BZ128" s="150" t="s">
        <v>24</v>
      </c>
      <c r="CA128" s="150">
        <f>37.6124-Table665[[#This Row],[Outcome1_M]]</f>
        <v>3.898299999999999</v>
      </c>
      <c r="CB128" s="151" t="s">
        <v>2615</v>
      </c>
      <c r="CC128" s="266">
        <v>18.7044</v>
      </c>
      <c r="CD128" s="150" t="s">
        <v>24</v>
      </c>
      <c r="CE128" s="150">
        <f>22.4081-Table665[[#This Row],[Outcome2_M]]</f>
        <v>3.7037000000000013</v>
      </c>
      <c r="CF128" s="290" t="s">
        <v>2646</v>
      </c>
      <c r="CG128" s="291" t="s">
        <v>2415</v>
      </c>
      <c r="CH128" s="151" t="s">
        <v>2617</v>
      </c>
      <c r="CI128" s="150">
        <v>9.8058499999999995</v>
      </c>
      <c r="CJ128" s="150" t="s">
        <v>24</v>
      </c>
      <c r="CK128" s="150">
        <f>13.5656-Table665[[#This Row],[Outcome3_M]]</f>
        <v>3.7597500000000004</v>
      </c>
      <c r="CL128" s="151" t="s">
        <v>2616</v>
      </c>
      <c r="CM128" s="150">
        <v>3.47533</v>
      </c>
      <c r="CN128" s="150" t="s">
        <v>24</v>
      </c>
      <c r="CO128" s="150">
        <f>7.08021-Table665[[#This Row],[Outcome4_M]]</f>
        <v>3.6048800000000001</v>
      </c>
      <c r="CP128" s="290" t="s">
        <v>2647</v>
      </c>
      <c r="CQ128" s="291" t="s">
        <v>2415</v>
      </c>
      <c r="CR128" s="278"/>
      <c r="CS128" s="285"/>
      <c r="CT128" s="151"/>
      <c r="CU128" s="150"/>
      <c r="CV128" s="150"/>
      <c r="CW128" s="150"/>
      <c r="CX128" s="150"/>
      <c r="CY128" s="150"/>
      <c r="CZ128" s="150"/>
      <c r="DA128" s="150"/>
      <c r="DB128" s="302"/>
      <c r="DC128" s="303"/>
      <c r="DD128" s="150"/>
      <c r="DE128" s="150"/>
      <c r="DF128" s="150"/>
      <c r="DG128" s="150"/>
      <c r="DH128" s="150"/>
      <c r="DI128" s="150"/>
      <c r="DJ128" s="150"/>
      <c r="DK128" s="150"/>
      <c r="DL128" s="302"/>
      <c r="DM128" s="303"/>
      <c r="DN128" s="278"/>
      <c r="DO128" s="279"/>
      <c r="DP128" s="150"/>
      <c r="DQ128" s="150"/>
      <c r="DR128" s="150"/>
      <c r="DS128" s="150"/>
      <c r="DT128" s="151"/>
      <c r="DU128" s="150"/>
      <c r="DV128" s="150"/>
      <c r="DW128" s="150"/>
      <c r="DX128" s="303"/>
      <c r="DY128" s="303"/>
      <c r="DZ128" s="151"/>
      <c r="EA128" s="150"/>
      <c r="EB128" s="150"/>
      <c r="EC128" s="150"/>
      <c r="ED128" s="151"/>
      <c r="EE128" s="150"/>
      <c r="EF128" s="150"/>
      <c r="EG128" s="150"/>
      <c r="EH128" s="303"/>
      <c r="EI128" s="303"/>
      <c r="EJ128" s="279" t="s">
        <v>2650</v>
      </c>
      <c r="EK128" s="150"/>
      <c r="EL128" s="150"/>
      <c r="EM128" s="150"/>
      <c r="EN128" s="150"/>
      <c r="EO128" s="150"/>
      <c r="EP128" s="150"/>
      <c r="EQ128" s="150"/>
      <c r="ER128" s="150"/>
      <c r="ES128" s="303"/>
      <c r="ET128" s="303"/>
      <c r="EU128" s="150"/>
      <c r="EV128" s="150"/>
      <c r="EW128" s="150"/>
      <c r="EX128" s="150"/>
      <c r="EY128" s="134"/>
      <c r="EZ128" s="134"/>
      <c r="FA128" s="134"/>
      <c r="FB128" s="134"/>
      <c r="FC128" s="135"/>
      <c r="FD128" s="135"/>
      <c r="FE128" s="134"/>
      <c r="FF128" s="134"/>
      <c r="FG128" s="134"/>
      <c r="FH128" s="134"/>
      <c r="FI128" s="134"/>
      <c r="FJ128" s="134"/>
      <c r="FK128" s="134"/>
      <c r="FL128" s="134"/>
      <c r="FM128" s="135"/>
      <c r="FN128" s="135"/>
      <c r="FO128" s="134"/>
      <c r="FP128" s="134"/>
      <c r="FQ128" s="134"/>
      <c r="FR128" s="134"/>
      <c r="FS128" s="134"/>
      <c r="FT128" s="134"/>
      <c r="FU128" s="134"/>
      <c r="FV128" s="134"/>
      <c r="FW128" s="135"/>
      <c r="FX128" s="135"/>
      <c r="FY128" s="134"/>
      <c r="FZ128" s="134"/>
      <c r="GA128" s="134"/>
      <c r="GB128" s="134"/>
      <c r="GC128" s="134"/>
      <c r="GD128" s="134"/>
      <c r="GE128" s="134"/>
      <c r="GF128" s="134"/>
      <c r="GG128" s="135"/>
      <c r="GH128" s="135"/>
      <c r="GI128" s="134"/>
      <c r="GJ128" s="134"/>
      <c r="GK128" s="134"/>
      <c r="GL128" s="134"/>
      <c r="GM128" s="134"/>
      <c r="GN128" s="134"/>
      <c r="GO128" s="134"/>
      <c r="GP128" s="134"/>
      <c r="GQ128" s="135"/>
      <c r="GR128" s="135"/>
      <c r="GS128" s="134"/>
      <c r="GT128" s="134"/>
      <c r="GU128" s="134"/>
      <c r="GV128" s="134"/>
      <c r="GW128" s="134"/>
      <c r="GX128" s="134"/>
      <c r="GY128" s="134"/>
      <c r="GZ128" s="134"/>
      <c r="HA128" s="135"/>
      <c r="HB128" s="135"/>
      <c r="HC128" s="134"/>
      <c r="HD128" s="134"/>
      <c r="HE128" s="134"/>
      <c r="HF128" s="134"/>
      <c r="HG128" s="134"/>
      <c r="HH128" s="134"/>
      <c r="HI128" s="134"/>
      <c r="HJ128" s="134"/>
      <c r="HK128" s="135"/>
      <c r="HL128" s="135"/>
      <c r="HM128" s="134"/>
      <c r="HN128" s="134"/>
      <c r="HO128" s="134"/>
      <c r="HP128" s="134"/>
      <c r="HQ128" s="134"/>
      <c r="HR128" s="134"/>
      <c r="HS128" s="134"/>
      <c r="HT128" s="134"/>
      <c r="HU128" s="135"/>
      <c r="HV128" s="135"/>
      <c r="HW128" s="134"/>
      <c r="HX128" s="134"/>
      <c r="HY128" s="134"/>
      <c r="HZ128" s="134"/>
      <c r="IA128" s="134"/>
      <c r="IB128" s="134"/>
      <c r="IC128" s="134"/>
      <c r="ID128" s="134"/>
      <c r="IE128" s="135"/>
      <c r="IF128" s="135"/>
      <c r="IG128" s="134"/>
      <c r="IH128" s="134"/>
      <c r="II128" s="134"/>
      <c r="IJ128" s="134"/>
      <c r="IK128" s="134"/>
      <c r="IL128" s="134"/>
      <c r="IM128" s="134"/>
      <c r="IN128" s="134"/>
      <c r="IO128" s="135"/>
      <c r="IP128" s="135"/>
      <c r="IQ128" s="134"/>
      <c r="IR128" s="134"/>
      <c r="IS128" s="134"/>
      <c r="IT128" s="134"/>
      <c r="IU128" s="134"/>
      <c r="IV128" s="134"/>
      <c r="IW128" s="134"/>
      <c r="IX128" s="134"/>
      <c r="IY128" s="135"/>
      <c r="IZ128" s="135"/>
    </row>
    <row r="129" spans="1:260" customFormat="1" ht="17" customHeight="1">
      <c r="A129" s="79" t="s">
        <v>1101</v>
      </c>
      <c r="B129" s="363">
        <v>7</v>
      </c>
      <c r="C129" s="363"/>
      <c r="D129" s="363"/>
      <c r="E129" s="123" t="s">
        <v>2056</v>
      </c>
      <c r="F129" s="124" t="s">
        <v>2300</v>
      </c>
      <c r="G129" s="125">
        <v>2015</v>
      </c>
      <c r="H129" s="79">
        <v>26210936</v>
      </c>
      <c r="I129" s="79">
        <v>1</v>
      </c>
      <c r="J129" s="126">
        <v>1</v>
      </c>
      <c r="K129" s="127"/>
      <c r="L129" s="79">
        <v>1</v>
      </c>
      <c r="M129" s="79"/>
      <c r="N129" s="153">
        <v>1</v>
      </c>
      <c r="O129" s="128">
        <v>2</v>
      </c>
      <c r="P129" s="79" t="s">
        <v>1220</v>
      </c>
      <c r="Q129" s="79" t="s">
        <v>1224</v>
      </c>
      <c r="R129" s="79" t="s">
        <v>1127</v>
      </c>
      <c r="S129" s="79"/>
      <c r="T129" s="79" t="s">
        <v>1217</v>
      </c>
      <c r="U129" s="79"/>
      <c r="V129" s="79"/>
      <c r="W129" s="79" t="s">
        <v>1218</v>
      </c>
      <c r="X129" s="79" t="s">
        <v>1219</v>
      </c>
      <c r="Y129" s="79"/>
      <c r="Z129" s="79"/>
      <c r="AA129" s="79" t="s">
        <v>1655</v>
      </c>
      <c r="AB129" s="79" t="s">
        <v>1654</v>
      </c>
      <c r="AC129" s="506"/>
      <c r="AD129" s="573">
        <v>1</v>
      </c>
      <c r="AE129" s="573">
        <v>2</v>
      </c>
      <c r="AF129" s="230" t="s">
        <v>1917</v>
      </c>
      <c r="AG129" s="231" t="s">
        <v>3319</v>
      </c>
      <c r="AH129" s="135">
        <v>4</v>
      </c>
      <c r="AI129" s="484"/>
      <c r="AJ129" s="135" t="s">
        <v>2602</v>
      </c>
      <c r="AK129" s="236">
        <v>1</v>
      </c>
      <c r="AL129" s="237">
        <v>1</v>
      </c>
      <c r="AM129" s="246" t="s">
        <v>2600</v>
      </c>
      <c r="AN129" s="135" t="s">
        <v>2601</v>
      </c>
      <c r="AO129" s="135" t="s">
        <v>2601</v>
      </c>
      <c r="AP129" s="135" t="s">
        <v>803</v>
      </c>
      <c r="AQ129" s="135" t="s">
        <v>803</v>
      </c>
      <c r="AR129" s="135" t="s">
        <v>2468</v>
      </c>
      <c r="AS129" s="135" t="s">
        <v>24</v>
      </c>
      <c r="AT129" s="135" t="s">
        <v>2468</v>
      </c>
      <c r="AU129" s="135" t="s">
        <v>24</v>
      </c>
      <c r="AV129" s="135" t="s">
        <v>2599</v>
      </c>
      <c r="AW129" s="135">
        <v>0</v>
      </c>
      <c r="AX129" s="135" t="s">
        <v>3343</v>
      </c>
      <c r="AY129" s="135"/>
      <c r="AZ129" s="135" t="s">
        <v>1130</v>
      </c>
      <c r="BA129" s="152" t="s">
        <v>2554</v>
      </c>
      <c r="BB129" s="152"/>
      <c r="BC129" s="152"/>
      <c r="BD129" s="239">
        <v>1</v>
      </c>
      <c r="BE129" s="156"/>
      <c r="BF129" s="156"/>
      <c r="BG129" s="156"/>
      <c r="BH129" s="156"/>
      <c r="BI129" s="156"/>
      <c r="BJ129" s="156"/>
      <c r="BK129" s="156"/>
      <c r="BL129" s="156"/>
      <c r="BM129" s="156"/>
      <c r="BN129" s="156"/>
      <c r="BO129" s="156"/>
      <c r="BP129" s="156"/>
      <c r="BQ129" s="157" t="s">
        <v>2528</v>
      </c>
      <c r="BR129" s="134" t="s">
        <v>1876</v>
      </c>
      <c r="BS129" s="134" t="s">
        <v>2608</v>
      </c>
      <c r="BT129" s="134" t="s">
        <v>1501</v>
      </c>
      <c r="BU129" s="134" t="s">
        <v>2606</v>
      </c>
      <c r="BV129" s="134" t="s">
        <v>2659</v>
      </c>
      <c r="BW129" s="259" t="s">
        <v>2648</v>
      </c>
      <c r="BX129" s="138" t="s">
        <v>2610</v>
      </c>
      <c r="BY129" s="190">
        <v>12.2875</v>
      </c>
      <c r="BZ129" s="134" t="s">
        <v>24</v>
      </c>
      <c r="CA129" s="190">
        <f>15.6006-Table665[[#This Row],[Outcome1_M]]</f>
        <v>3.3131000000000004</v>
      </c>
      <c r="CB129" s="138" t="s">
        <v>2613</v>
      </c>
      <c r="CC129" s="190">
        <v>12.233000000000001</v>
      </c>
      <c r="CD129" s="134" t="s">
        <v>24</v>
      </c>
      <c r="CE129" s="389">
        <f>14.7573-Table665[[#This Row],[Outcome2_M]]</f>
        <v>2.5243000000000002</v>
      </c>
      <c r="CF129" s="290" t="s">
        <v>2640</v>
      </c>
      <c r="CG129" s="289" t="s">
        <v>2480</v>
      </c>
      <c r="CH129" s="138" t="s">
        <v>24</v>
      </c>
      <c r="CI129" s="134" t="s">
        <v>24</v>
      </c>
      <c r="CJ129" s="134"/>
      <c r="CK129" s="134"/>
      <c r="CL129" s="138"/>
      <c r="CM129" s="134"/>
      <c r="CN129" s="134"/>
      <c r="CO129" s="134"/>
      <c r="CP129" s="288"/>
      <c r="CQ129" s="289"/>
      <c r="CR129" s="276"/>
      <c r="CS129" s="308"/>
      <c r="CT129" s="138"/>
      <c r="CU129" s="190"/>
      <c r="CV129" s="134"/>
      <c r="CW129" s="190"/>
      <c r="CX129" s="134"/>
      <c r="CY129" s="134"/>
      <c r="CZ129" s="134"/>
      <c r="DA129" s="134"/>
      <c r="DB129" s="300"/>
      <c r="DC129" s="301"/>
      <c r="DD129" s="134"/>
      <c r="DE129" s="190"/>
      <c r="DF129" s="134"/>
      <c r="DG129" s="190"/>
      <c r="DH129" s="134"/>
      <c r="DI129" s="134"/>
      <c r="DJ129" s="134"/>
      <c r="DK129" s="134"/>
      <c r="DL129" s="300"/>
      <c r="DM129" s="301"/>
      <c r="DN129" s="276"/>
      <c r="DO129" s="277"/>
      <c r="DP129" s="134"/>
      <c r="DQ129" s="190"/>
      <c r="DR129" s="134"/>
      <c r="DS129" s="190"/>
      <c r="DT129" s="138"/>
      <c r="DU129" s="134"/>
      <c r="DV129" s="134"/>
      <c r="DW129" s="134"/>
      <c r="DX129" s="301"/>
      <c r="DY129" s="301"/>
      <c r="DZ129" s="430"/>
      <c r="EA129" s="451"/>
      <c r="EB129" s="426"/>
      <c r="EC129" s="451"/>
      <c r="ED129" s="430"/>
      <c r="EE129" s="134"/>
      <c r="EF129" s="134"/>
      <c r="EG129" s="134"/>
      <c r="EH129" s="301"/>
      <c r="EI129" s="301"/>
      <c r="EJ129" s="277"/>
      <c r="EK129" s="134"/>
      <c r="EL129" s="134"/>
      <c r="EM129" s="134"/>
      <c r="EN129" s="134"/>
      <c r="EO129" s="134"/>
      <c r="EP129" s="134"/>
      <c r="EQ129" s="134"/>
      <c r="ER129" s="134"/>
      <c r="ES129" s="301"/>
      <c r="ET129" s="301"/>
      <c r="EU129" s="134"/>
      <c r="EV129" s="134"/>
      <c r="EW129" s="134"/>
      <c r="EX129" s="134"/>
      <c r="EY129" s="134"/>
      <c r="EZ129" s="134"/>
      <c r="FA129" s="134"/>
      <c r="FB129" s="134"/>
      <c r="FC129" s="135"/>
      <c r="FD129" s="135"/>
      <c r="FE129" s="134"/>
      <c r="FF129" s="134"/>
      <c r="FG129" s="134"/>
      <c r="FH129" s="134"/>
      <c r="FI129" s="134"/>
      <c r="FJ129" s="134"/>
      <c r="FK129" s="134"/>
      <c r="FL129" s="134"/>
      <c r="FM129" s="135"/>
      <c r="FN129" s="135"/>
      <c r="FO129" s="134"/>
      <c r="FP129" s="134"/>
      <c r="FQ129" s="134"/>
      <c r="FR129" s="134"/>
      <c r="FS129" s="134"/>
      <c r="FT129" s="134"/>
      <c r="FU129" s="134"/>
      <c r="FV129" s="134"/>
      <c r="FW129" s="135"/>
      <c r="FX129" s="135"/>
      <c r="FY129" s="134"/>
      <c r="FZ129" s="134"/>
      <c r="GA129" s="134"/>
      <c r="GB129" s="134"/>
      <c r="GC129" s="134"/>
      <c r="GD129" s="134"/>
      <c r="GE129" s="134"/>
      <c r="GF129" s="134"/>
      <c r="GG129" s="135"/>
      <c r="GH129" s="135"/>
      <c r="GI129" s="134"/>
      <c r="GJ129" s="134"/>
      <c r="GK129" s="134"/>
      <c r="GL129" s="134"/>
      <c r="GM129" s="134"/>
      <c r="GN129" s="134"/>
      <c r="GO129" s="134"/>
      <c r="GP129" s="134"/>
      <c r="GQ129" s="135"/>
      <c r="GR129" s="135"/>
      <c r="GS129" s="134"/>
      <c r="GT129" s="134"/>
      <c r="GU129" s="134"/>
      <c r="GV129" s="134"/>
      <c r="GW129" s="134"/>
      <c r="GX129" s="134"/>
      <c r="GY129" s="134"/>
      <c r="GZ129" s="134"/>
      <c r="HA129" s="135"/>
      <c r="HB129" s="135"/>
      <c r="HC129" s="134"/>
      <c r="HD129" s="134"/>
      <c r="HE129" s="134"/>
      <c r="HF129" s="134"/>
      <c r="HG129" s="134"/>
      <c r="HH129" s="134"/>
      <c r="HI129" s="134"/>
      <c r="HJ129" s="134"/>
      <c r="HK129" s="135"/>
      <c r="HL129" s="135"/>
      <c r="HM129" s="134"/>
      <c r="HN129" s="134"/>
      <c r="HO129" s="134"/>
      <c r="HP129" s="134"/>
      <c r="HQ129" s="134"/>
      <c r="HR129" s="134"/>
      <c r="HS129" s="134"/>
      <c r="HT129" s="134"/>
      <c r="HU129" s="135"/>
      <c r="HV129" s="135"/>
      <c r="HW129" s="134"/>
      <c r="HX129" s="134"/>
      <c r="HY129" s="134"/>
      <c r="HZ129" s="134"/>
      <c r="IA129" s="134"/>
      <c r="IB129" s="134"/>
      <c r="IC129" s="134"/>
      <c r="ID129" s="134"/>
      <c r="IE129" s="135"/>
      <c r="IF129" s="135"/>
      <c r="IG129" s="134"/>
      <c r="IH129" s="134"/>
      <c r="II129" s="134"/>
      <c r="IJ129" s="134"/>
      <c r="IK129" s="134"/>
      <c r="IL129" s="134"/>
      <c r="IM129" s="134"/>
      <c r="IN129" s="134"/>
      <c r="IO129" s="135"/>
      <c r="IP129" s="135"/>
      <c r="IQ129" s="134"/>
      <c r="IR129" s="134"/>
      <c r="IS129" s="134"/>
      <c r="IT129" s="134"/>
      <c r="IU129" s="134"/>
      <c r="IV129" s="134"/>
      <c r="IW129" s="134"/>
      <c r="IX129" s="134"/>
      <c r="IY129" s="135"/>
      <c r="IZ129" s="135"/>
    </row>
    <row r="130" spans="1:260" s="119" customFormat="1" ht="17" customHeight="1">
      <c r="A130" s="118" t="s">
        <v>1101</v>
      </c>
      <c r="B130" s="363">
        <v>7</v>
      </c>
      <c r="C130" s="363"/>
      <c r="D130" s="363"/>
      <c r="E130" s="139" t="s">
        <v>2056</v>
      </c>
      <c r="F130" s="140" t="s">
        <v>2300</v>
      </c>
      <c r="G130" s="141">
        <v>2015</v>
      </c>
      <c r="H130" s="118">
        <v>26210936</v>
      </c>
      <c r="I130" s="118">
        <v>1</v>
      </c>
      <c r="J130" s="118">
        <v>1</v>
      </c>
      <c r="K130" s="118"/>
      <c r="L130" s="118">
        <v>1</v>
      </c>
      <c r="M130" s="118"/>
      <c r="N130" s="158">
        <v>1</v>
      </c>
      <c r="O130" s="142">
        <v>2</v>
      </c>
      <c r="P130" s="118" t="s">
        <v>1220</v>
      </c>
      <c r="Q130" s="118" t="s">
        <v>1224</v>
      </c>
      <c r="R130" s="118" t="s">
        <v>1127</v>
      </c>
      <c r="S130" s="118"/>
      <c r="T130" s="118" t="s">
        <v>1217</v>
      </c>
      <c r="U130" s="118"/>
      <c r="V130" s="118"/>
      <c r="W130" s="118" t="s">
        <v>1218</v>
      </c>
      <c r="X130" s="118" t="s">
        <v>1219</v>
      </c>
      <c r="Y130" s="118"/>
      <c r="Z130" s="118"/>
      <c r="AA130" s="118" t="s">
        <v>1655</v>
      </c>
      <c r="AB130" s="118" t="s">
        <v>1654</v>
      </c>
      <c r="AC130" s="145"/>
      <c r="AD130" s="573">
        <v>1</v>
      </c>
      <c r="AE130" s="573">
        <v>2</v>
      </c>
      <c r="AF130" s="230" t="s">
        <v>1917</v>
      </c>
      <c r="AG130" s="231" t="s">
        <v>3319</v>
      </c>
      <c r="AH130" s="152">
        <v>4</v>
      </c>
      <c r="AI130" s="485"/>
      <c r="AJ130" s="152" t="s">
        <v>2602</v>
      </c>
      <c r="AK130" s="236">
        <v>1</v>
      </c>
      <c r="AL130" s="243">
        <v>1</v>
      </c>
      <c r="AM130" s="245" t="s">
        <v>2600</v>
      </c>
      <c r="AN130" s="152" t="s">
        <v>2601</v>
      </c>
      <c r="AO130" s="152" t="s">
        <v>2601</v>
      </c>
      <c r="AP130" s="152" t="s">
        <v>803</v>
      </c>
      <c r="AQ130" s="152" t="s">
        <v>803</v>
      </c>
      <c r="AR130" s="152" t="s">
        <v>2468</v>
      </c>
      <c r="AS130" s="152" t="s">
        <v>24</v>
      </c>
      <c r="AT130" s="152" t="s">
        <v>2468</v>
      </c>
      <c r="AU130" s="152" t="s">
        <v>24</v>
      </c>
      <c r="AV130" s="152" t="s">
        <v>2599</v>
      </c>
      <c r="AW130" s="152">
        <v>0</v>
      </c>
      <c r="AX130" s="135" t="s">
        <v>3343</v>
      </c>
      <c r="AY130" s="152"/>
      <c r="AZ130" s="152" t="s">
        <v>1130</v>
      </c>
      <c r="BA130" s="152" t="s">
        <v>2554</v>
      </c>
      <c r="BB130" s="152"/>
      <c r="BC130" s="152"/>
      <c r="BD130" s="244">
        <v>1</v>
      </c>
      <c r="BE130" s="161"/>
      <c r="BF130" s="161"/>
      <c r="BG130" s="161"/>
      <c r="BH130" s="161"/>
      <c r="BI130" s="161"/>
      <c r="BJ130" s="161"/>
      <c r="BK130" s="161"/>
      <c r="BL130" s="161"/>
      <c r="BM130" s="161"/>
      <c r="BN130" s="161"/>
      <c r="BO130" s="161"/>
      <c r="BP130" s="161"/>
      <c r="BQ130" s="162" t="s">
        <v>2529</v>
      </c>
      <c r="BR130" s="150" t="s">
        <v>1876</v>
      </c>
      <c r="BS130" s="150" t="s">
        <v>2608</v>
      </c>
      <c r="BT130" s="150" t="s">
        <v>1501</v>
      </c>
      <c r="BU130" s="150" t="s">
        <v>2606</v>
      </c>
      <c r="BV130" s="150" t="s">
        <v>2659</v>
      </c>
      <c r="BW130" s="258" t="s">
        <v>2652</v>
      </c>
      <c r="BX130" s="151" t="s">
        <v>2611</v>
      </c>
      <c r="BY130" s="266">
        <v>81.508300000000006</v>
      </c>
      <c r="BZ130" s="150" t="s">
        <v>24</v>
      </c>
      <c r="CA130" s="266">
        <f>86.7722-Table665[[#This Row],[Outcome1_M]]</f>
        <v>5.2638999999999925</v>
      </c>
      <c r="CB130" s="151" t="s">
        <v>2614</v>
      </c>
      <c r="CC130" s="266">
        <v>74.100099999999998</v>
      </c>
      <c r="CD130" s="150" t="s">
        <v>24</v>
      </c>
      <c r="CE130" s="150">
        <f>Table665[[#This Row],[Outcome2_M]]-70.5917</f>
        <v>3.5083999999999946</v>
      </c>
      <c r="CF130" s="290" t="s">
        <v>2639</v>
      </c>
      <c r="CG130" s="291" t="s">
        <v>2480</v>
      </c>
      <c r="CH130" s="151" t="s">
        <v>2618</v>
      </c>
      <c r="CI130" s="266">
        <v>75.883600000000001</v>
      </c>
      <c r="CJ130" s="150" t="s">
        <v>24</v>
      </c>
      <c r="CK130" s="266">
        <f>80.1721-Table665[[#This Row],[Outcome3_M]]</f>
        <v>4.2884999999999991</v>
      </c>
      <c r="CL130" s="151" t="s">
        <v>2619</v>
      </c>
      <c r="CM130" s="150">
        <v>65.162000000000006</v>
      </c>
      <c r="CN130" s="150" t="s">
        <v>24</v>
      </c>
      <c r="CO130" s="150">
        <f>Table665[[#This Row],[Outcome4_M]]-60.484</f>
        <v>4.6780000000000044</v>
      </c>
      <c r="CP130" s="290" t="s">
        <v>2638</v>
      </c>
      <c r="CQ130" s="291" t="s">
        <v>2480</v>
      </c>
      <c r="CR130" s="278"/>
      <c r="CS130" s="285"/>
      <c r="CT130" s="151" t="s">
        <v>2620</v>
      </c>
      <c r="CU130" s="150">
        <v>64.021100000000004</v>
      </c>
      <c r="CV130" s="150" t="s">
        <v>24</v>
      </c>
      <c r="CW130" s="150">
        <f>70.4531-Table665[[#This Row],[Outcome5_M]]</f>
        <v>6.4320000000000022</v>
      </c>
      <c r="CX130" s="150" t="s">
        <v>2621</v>
      </c>
      <c r="CY130" s="150">
        <v>47.842199999999998</v>
      </c>
      <c r="CZ130" s="150" t="s">
        <v>24</v>
      </c>
      <c r="DA130" s="150">
        <f>52.91-Table665[[#This Row],[Outcome6_M]]</f>
        <v>5.0677999999999983</v>
      </c>
      <c r="DB130" s="302" t="s">
        <v>2641</v>
      </c>
      <c r="DC130" s="303" t="s">
        <v>2415</v>
      </c>
      <c r="DD130" s="151" t="s">
        <v>2622</v>
      </c>
      <c r="DE130" s="150">
        <v>35.394100000000002</v>
      </c>
      <c r="DF130" s="150" t="s">
        <v>24</v>
      </c>
      <c r="DG130" s="150">
        <f>40.0725-Table665[[#This Row],[Outcome7_M]]</f>
        <v>4.6783999999999963</v>
      </c>
      <c r="DH130" s="151" t="s">
        <v>2623</v>
      </c>
      <c r="DI130" s="150">
        <v>30.910699999999999</v>
      </c>
      <c r="DJ130" s="150" t="s">
        <v>24</v>
      </c>
      <c r="DK130" s="150">
        <f>Table665[[#This Row],[Outcome8_M]]-27.7918</f>
        <v>3.1189</v>
      </c>
      <c r="DL130" s="302" t="s">
        <v>2642</v>
      </c>
      <c r="DM130" s="303" t="s">
        <v>2643</v>
      </c>
      <c r="DN130" s="278"/>
      <c r="DO130" s="279"/>
      <c r="DP130" s="151" t="s">
        <v>2624</v>
      </c>
      <c r="DQ130" s="150">
        <v>28.014600000000002</v>
      </c>
      <c r="DR130" s="150" t="s">
        <v>24</v>
      </c>
      <c r="DS130" s="150">
        <f>30.5488-Table665[[#This Row],[Outcome9_M]]</f>
        <v>2.5341999999999985</v>
      </c>
      <c r="DT130" s="151" t="s">
        <v>2625</v>
      </c>
      <c r="DU130" s="150">
        <v>15.149100000000001</v>
      </c>
      <c r="DV130" s="150" t="s">
        <v>24</v>
      </c>
      <c r="DW130" s="150">
        <f>Table665[[#This Row],[Outcome10_M]]-12.615</f>
        <v>2.5341000000000005</v>
      </c>
      <c r="DX130" s="303" t="s">
        <v>2644</v>
      </c>
      <c r="DY130" s="303" t="s">
        <v>2415</v>
      </c>
      <c r="DZ130" s="151" t="s">
        <v>2631</v>
      </c>
      <c r="EA130" s="150">
        <v>23.949400000000001</v>
      </c>
      <c r="EB130" s="150" t="s">
        <v>24</v>
      </c>
      <c r="EC130" s="150">
        <f>26.6785-Table665[[#This Row],[Outcome11_M]]</f>
        <v>2.729099999999999</v>
      </c>
      <c r="ED130" s="151" t="s">
        <v>2632</v>
      </c>
      <c r="EE130" s="150">
        <v>15.567</v>
      </c>
      <c r="EF130" s="150" t="s">
        <v>24</v>
      </c>
      <c r="EG130" s="150">
        <f>19.4656-Table665[[#This Row],[Outcome12_M]]</f>
        <v>3.8985999999999983</v>
      </c>
      <c r="EH130" s="303" t="s">
        <v>2645</v>
      </c>
      <c r="EI130" s="303" t="s">
        <v>2415</v>
      </c>
      <c r="EJ130" s="279" t="s">
        <v>2651</v>
      </c>
      <c r="EK130" s="150"/>
      <c r="EL130" s="150"/>
      <c r="EM130" s="150"/>
      <c r="EN130" s="150"/>
      <c r="EO130" s="150"/>
      <c r="EP130" s="150"/>
      <c r="EQ130" s="150"/>
      <c r="ER130" s="150"/>
      <c r="ES130" s="303"/>
      <c r="ET130" s="303"/>
      <c r="EU130" s="150"/>
      <c r="EV130" s="150"/>
      <c r="EW130" s="150"/>
      <c r="EX130" s="150"/>
      <c r="EY130" s="134"/>
      <c r="EZ130" s="134"/>
      <c r="FA130" s="134"/>
      <c r="FB130" s="134"/>
      <c r="FC130" s="135"/>
      <c r="FD130" s="135"/>
      <c r="FE130" s="134"/>
      <c r="FF130" s="134"/>
      <c r="FG130" s="134"/>
      <c r="FH130" s="134"/>
      <c r="FI130" s="134"/>
      <c r="FJ130" s="134"/>
      <c r="FK130" s="134"/>
      <c r="FL130" s="134"/>
      <c r="FM130" s="135"/>
      <c r="FN130" s="135"/>
      <c r="FO130" s="134"/>
      <c r="FP130" s="134"/>
      <c r="FQ130" s="134"/>
      <c r="FR130" s="134"/>
      <c r="FS130" s="134"/>
      <c r="FT130" s="134"/>
      <c r="FU130" s="134"/>
      <c r="FV130" s="134"/>
      <c r="FW130" s="135"/>
      <c r="FX130" s="135"/>
      <c r="FY130" s="134"/>
      <c r="FZ130" s="134"/>
      <c r="GA130" s="134"/>
      <c r="GB130" s="134"/>
      <c r="GC130" s="134"/>
      <c r="GD130" s="134"/>
      <c r="GE130" s="134"/>
      <c r="GF130" s="134"/>
      <c r="GG130" s="135"/>
      <c r="GH130" s="135"/>
      <c r="GI130" s="134"/>
      <c r="GJ130" s="134"/>
      <c r="GK130" s="134"/>
      <c r="GL130" s="134"/>
      <c r="GM130" s="134"/>
      <c r="GN130" s="134"/>
      <c r="GO130" s="134"/>
      <c r="GP130" s="134"/>
      <c r="GQ130" s="135"/>
      <c r="GR130" s="135"/>
      <c r="GS130" s="134"/>
      <c r="GT130" s="134"/>
      <c r="GU130" s="134"/>
      <c r="GV130" s="134"/>
      <c r="GW130" s="134"/>
      <c r="GX130" s="134"/>
      <c r="GY130" s="134"/>
      <c r="GZ130" s="134"/>
      <c r="HA130" s="135"/>
      <c r="HB130" s="135"/>
      <c r="HC130" s="134"/>
      <c r="HD130" s="134"/>
      <c r="HE130" s="134"/>
      <c r="HF130" s="134"/>
      <c r="HG130" s="134"/>
      <c r="HH130" s="134"/>
      <c r="HI130" s="134"/>
      <c r="HJ130" s="134"/>
      <c r="HK130" s="135"/>
      <c r="HL130" s="135"/>
      <c r="HM130" s="134"/>
      <c r="HN130" s="134"/>
      <c r="HO130" s="134"/>
      <c r="HP130" s="134"/>
      <c r="HQ130" s="134"/>
      <c r="HR130" s="134"/>
      <c r="HS130" s="134"/>
      <c r="HT130" s="134"/>
      <c r="HU130" s="135"/>
      <c r="HV130" s="135"/>
      <c r="HW130" s="134"/>
      <c r="HX130" s="134"/>
      <c r="HY130" s="134"/>
      <c r="HZ130" s="134"/>
      <c r="IA130" s="134"/>
      <c r="IB130" s="134"/>
      <c r="IC130" s="134"/>
      <c r="ID130" s="134"/>
      <c r="IE130" s="135"/>
      <c r="IF130" s="135"/>
      <c r="IG130" s="134"/>
      <c r="IH130" s="134"/>
      <c r="II130" s="134"/>
      <c r="IJ130" s="134"/>
      <c r="IK130" s="134"/>
      <c r="IL130" s="134"/>
      <c r="IM130" s="134"/>
      <c r="IN130" s="134"/>
      <c r="IO130" s="135"/>
      <c r="IP130" s="135"/>
      <c r="IQ130" s="134"/>
      <c r="IR130" s="134"/>
      <c r="IS130" s="134"/>
      <c r="IT130" s="134"/>
      <c r="IU130" s="134"/>
      <c r="IV130" s="134"/>
      <c r="IW130" s="134"/>
      <c r="IX130" s="134"/>
      <c r="IY130" s="135"/>
      <c r="IZ130" s="135"/>
    </row>
    <row r="131" spans="1:260" customFormat="1" ht="17" customHeight="1">
      <c r="A131" s="79" t="s">
        <v>105</v>
      </c>
      <c r="B131" s="117">
        <v>78</v>
      </c>
      <c r="C131" s="117">
        <v>10</v>
      </c>
      <c r="D131" s="117"/>
      <c r="E131" s="123" t="s">
        <v>1933</v>
      </c>
      <c r="F131" s="124" t="s">
        <v>2151</v>
      </c>
      <c r="G131" s="125">
        <v>2008</v>
      </c>
      <c r="H131" s="79">
        <v>17352380</v>
      </c>
      <c r="I131" s="79">
        <v>1</v>
      </c>
      <c r="J131" s="126"/>
      <c r="K131" s="127"/>
      <c r="L131" s="79">
        <v>1</v>
      </c>
      <c r="M131" s="79"/>
      <c r="N131" s="79">
        <v>1</v>
      </c>
      <c r="O131" s="128">
        <v>1</v>
      </c>
      <c r="P131" s="79" t="s">
        <v>73</v>
      </c>
      <c r="Q131" s="79" t="s">
        <v>1147</v>
      </c>
      <c r="R131" s="79" t="s">
        <v>25</v>
      </c>
      <c r="S131" s="79"/>
      <c r="T131" s="79"/>
      <c r="U131" s="79"/>
      <c r="V131" s="79"/>
      <c r="W131" s="79" t="s">
        <v>371</v>
      </c>
      <c r="X131" s="79"/>
      <c r="Y131" s="79"/>
      <c r="Z131" s="79"/>
      <c r="AA131" s="79"/>
      <c r="AB131" s="79" t="s">
        <v>372</v>
      </c>
      <c r="AC131" s="506"/>
      <c r="AD131" s="573">
        <v>1</v>
      </c>
      <c r="AE131" s="573">
        <v>2</v>
      </c>
      <c r="AF131" s="154">
        <v>1</v>
      </c>
      <c r="AG131" s="155"/>
      <c r="AH131" s="121">
        <v>2</v>
      </c>
      <c r="AI131" s="484"/>
      <c r="AJ131" s="204" t="s">
        <v>3903</v>
      </c>
      <c r="AK131" s="192">
        <v>1</v>
      </c>
      <c r="AL131" s="203" t="s">
        <v>24</v>
      </c>
      <c r="AM131" s="121">
        <v>148</v>
      </c>
      <c r="AN131" s="121">
        <v>47</v>
      </c>
      <c r="AO131" s="121" t="s">
        <v>3896</v>
      </c>
      <c r="AP131" s="121" t="s">
        <v>3897</v>
      </c>
      <c r="AQ131" s="121" t="s">
        <v>3898</v>
      </c>
      <c r="AR131" s="121">
        <v>54.73</v>
      </c>
      <c r="AS131" s="121">
        <v>12.83</v>
      </c>
      <c r="AT131" s="121" t="s">
        <v>3899</v>
      </c>
      <c r="AU131" s="121" t="s">
        <v>3900</v>
      </c>
      <c r="AV131" s="121" t="s">
        <v>1874</v>
      </c>
      <c r="AW131" s="121" t="s">
        <v>24</v>
      </c>
      <c r="AX131" s="121" t="s">
        <v>24</v>
      </c>
      <c r="AY131" s="121" t="s">
        <v>3895</v>
      </c>
      <c r="AZ131" s="121" t="s">
        <v>3835</v>
      </c>
      <c r="BA131" s="121" t="s">
        <v>3894</v>
      </c>
      <c r="BB131" s="121"/>
      <c r="BC131" s="121"/>
      <c r="BD131" s="156"/>
      <c r="BE131" s="156"/>
      <c r="BF131" s="156"/>
      <c r="BG131" s="156"/>
      <c r="BH131" s="156"/>
      <c r="BI131" s="156"/>
      <c r="BJ131" s="156">
        <v>1</v>
      </c>
      <c r="BK131" s="156"/>
      <c r="BL131" s="156"/>
      <c r="BM131" s="156"/>
      <c r="BN131" s="156"/>
      <c r="BO131" s="156"/>
      <c r="BP131" s="156"/>
      <c r="BQ131" s="157" t="s">
        <v>3908</v>
      </c>
      <c r="BR131" s="134" t="s">
        <v>1876</v>
      </c>
      <c r="BS131" s="134" t="s">
        <v>3901</v>
      </c>
      <c r="BT131" s="134" t="s">
        <v>3906</v>
      </c>
      <c r="BU131" s="134" t="s">
        <v>24</v>
      </c>
      <c r="BV131" s="134" t="s">
        <v>3907</v>
      </c>
      <c r="BW131" s="259" t="s">
        <v>3923</v>
      </c>
      <c r="BX131" s="138" t="s">
        <v>3909</v>
      </c>
      <c r="BY131" s="134">
        <v>6.3082399999999996</v>
      </c>
      <c r="BZ131" s="134" t="s">
        <v>24</v>
      </c>
      <c r="CA131" s="134">
        <f>6.84588-Table665[[#This Row],[Outcome1_M]]</f>
        <v>0.53764000000000056</v>
      </c>
      <c r="CB131" s="138" t="s">
        <v>3911</v>
      </c>
      <c r="CC131" s="134">
        <v>7.7957000000000001</v>
      </c>
      <c r="CD131" s="134" t="s">
        <v>24</v>
      </c>
      <c r="CE131" s="134">
        <f>8.35125-Table665[[#This Row],[Outcome2_M]]</f>
        <v>0.55555000000000021</v>
      </c>
      <c r="CF131" s="288" t="s">
        <v>24</v>
      </c>
      <c r="CG131" s="289" t="s">
        <v>24</v>
      </c>
      <c r="CH131" s="138" t="s">
        <v>3910</v>
      </c>
      <c r="CI131" s="134">
        <v>8.2616499999999995</v>
      </c>
      <c r="CJ131" s="134" t="s">
        <v>24</v>
      </c>
      <c r="CK131" s="134">
        <f>8.65591-Table665[[#This Row],[Outcome3_M]]</f>
        <v>0.39426000000000094</v>
      </c>
      <c r="CL131" s="138" t="s">
        <v>24</v>
      </c>
      <c r="CM131" s="134" t="s">
        <v>24</v>
      </c>
      <c r="CN131" s="134" t="s">
        <v>24</v>
      </c>
      <c r="CO131" s="134" t="s">
        <v>24</v>
      </c>
      <c r="CP131" s="288" t="s">
        <v>24</v>
      </c>
      <c r="CQ131" s="289" t="s">
        <v>24</v>
      </c>
      <c r="CR131" s="276" t="s">
        <v>3918</v>
      </c>
      <c r="CS131" s="277" t="s">
        <v>3919</v>
      </c>
      <c r="CT131" s="138" t="s">
        <v>3912</v>
      </c>
      <c r="CU131" s="134">
        <v>7.4635699999999998</v>
      </c>
      <c r="CV131" s="134" t="s">
        <v>24</v>
      </c>
      <c r="CW131" s="134">
        <f>8.01813-Table665[[#This Row],[Outcome5_M]]</f>
        <v>0.5545599999999995</v>
      </c>
      <c r="CX131" s="138" t="s">
        <v>3913</v>
      </c>
      <c r="CY131" s="134">
        <v>8.1663700000000006</v>
      </c>
      <c r="CZ131" s="134" t="s">
        <v>24</v>
      </c>
      <c r="DA131" s="134">
        <f>8.70302-Table665[[#This Row],[Outcome6_M]]</f>
        <v>0.53664999999999985</v>
      </c>
      <c r="DB131" s="300" t="s">
        <v>24</v>
      </c>
      <c r="DC131" s="301" t="s">
        <v>24</v>
      </c>
      <c r="DD131" s="138" t="s">
        <v>3914</v>
      </c>
      <c r="DE131" s="134">
        <v>9.1553699999999996</v>
      </c>
      <c r="DF131" s="134" t="s">
        <v>24</v>
      </c>
      <c r="DG131" s="134">
        <f>9.53104-Table665[[#This Row],[Outcome7_M]]</f>
        <v>0.37567000000000128</v>
      </c>
      <c r="DH131" s="134" t="s">
        <v>24</v>
      </c>
      <c r="DI131" s="134" t="s">
        <v>24</v>
      </c>
      <c r="DJ131" s="134" t="s">
        <v>24</v>
      </c>
      <c r="DK131" s="134" t="s">
        <v>24</v>
      </c>
      <c r="DL131" s="300" t="s">
        <v>24</v>
      </c>
      <c r="DM131" s="301" t="s">
        <v>24</v>
      </c>
      <c r="DN131" s="276" t="s">
        <v>3920</v>
      </c>
      <c r="DO131" s="277" t="s">
        <v>3921</v>
      </c>
      <c r="DP131" s="138" t="s">
        <v>3915</v>
      </c>
      <c r="DQ131" s="134">
        <v>81.3673</v>
      </c>
      <c r="DR131" s="134" t="s">
        <v>24</v>
      </c>
      <c r="DS131" s="134">
        <f>84.1215-Table665[[#This Row],[Outcome9_M]]</f>
        <v>2.7541999999999973</v>
      </c>
      <c r="DT131" s="138" t="s">
        <v>3916</v>
      </c>
      <c r="DU131" s="134">
        <v>87.630799999999994</v>
      </c>
      <c r="DV131" s="134" t="s">
        <v>24</v>
      </c>
      <c r="DW131" s="134">
        <f>90.6465-Table665[[#This Row],[Outcome10_M]]</f>
        <v>3.0157000000000096</v>
      </c>
      <c r="DX131" s="301" t="s">
        <v>24</v>
      </c>
      <c r="DY131" s="301" t="s">
        <v>24</v>
      </c>
      <c r="DZ131" s="138" t="s">
        <v>3917</v>
      </c>
      <c r="EA131" s="134">
        <v>92.057500000000005</v>
      </c>
      <c r="EB131" s="134" t="s">
        <v>24</v>
      </c>
      <c r="EC131" s="134">
        <f>94.4183-Table665[[#This Row],[Outcome11_M]]</f>
        <v>2.3607999999999976</v>
      </c>
      <c r="ED131" s="138" t="s">
        <v>24</v>
      </c>
      <c r="EE131" s="134" t="s">
        <v>24</v>
      </c>
      <c r="EF131" s="134" t="s">
        <v>24</v>
      </c>
      <c r="EG131" s="134" t="s">
        <v>24</v>
      </c>
      <c r="EH131" s="301" t="s">
        <v>24</v>
      </c>
      <c r="EI131" s="301" t="s">
        <v>24</v>
      </c>
      <c r="EJ131" s="277" t="s">
        <v>3922</v>
      </c>
      <c r="EK131" s="134"/>
      <c r="EL131" s="134"/>
      <c r="EM131" s="134"/>
      <c r="EN131" s="134"/>
      <c r="EO131" s="134"/>
      <c r="EP131" s="134"/>
      <c r="EQ131" s="134"/>
      <c r="ER131" s="134"/>
      <c r="ES131" s="301"/>
      <c r="ET131" s="301"/>
      <c r="EU131" s="134"/>
      <c r="EV131" s="134"/>
      <c r="EW131" s="134"/>
      <c r="EX131" s="134"/>
      <c r="EY131" s="134"/>
      <c r="EZ131" s="134"/>
      <c r="FA131" s="134"/>
      <c r="FB131" s="134"/>
      <c r="FC131" s="135"/>
      <c r="FD131" s="135"/>
      <c r="FE131" s="134"/>
      <c r="FF131" s="134"/>
      <c r="FG131" s="134"/>
      <c r="FH131" s="134"/>
      <c r="FI131" s="134"/>
      <c r="FJ131" s="134"/>
      <c r="FK131" s="134"/>
      <c r="FL131" s="134"/>
      <c r="FM131" s="135"/>
      <c r="FN131" s="135"/>
      <c r="FO131" s="134"/>
      <c r="FP131" s="134"/>
      <c r="FQ131" s="134"/>
      <c r="FR131" s="134"/>
      <c r="FS131" s="134"/>
      <c r="FT131" s="134"/>
      <c r="FU131" s="134"/>
      <c r="FV131" s="134"/>
      <c r="FW131" s="135"/>
      <c r="FX131" s="135"/>
      <c r="FY131" s="134"/>
      <c r="FZ131" s="134"/>
      <c r="GA131" s="134"/>
      <c r="GB131" s="134"/>
      <c r="GC131" s="134"/>
      <c r="GD131" s="134"/>
      <c r="GE131" s="134"/>
      <c r="GF131" s="134"/>
      <c r="GG131" s="135"/>
      <c r="GH131" s="135"/>
      <c r="GI131" s="134"/>
      <c r="GJ131" s="134"/>
      <c r="GK131" s="134"/>
      <c r="GL131" s="134"/>
      <c r="GM131" s="134"/>
      <c r="GN131" s="134"/>
      <c r="GO131" s="134"/>
      <c r="GP131" s="134"/>
      <c r="GQ131" s="135"/>
      <c r="GR131" s="135"/>
      <c r="GS131" s="134"/>
      <c r="GT131" s="134"/>
      <c r="GU131" s="134"/>
      <c r="GV131" s="134"/>
      <c r="GW131" s="134"/>
      <c r="GX131" s="134"/>
      <c r="GY131" s="134"/>
      <c r="GZ131" s="134"/>
      <c r="HA131" s="135"/>
      <c r="HB131" s="135"/>
      <c r="HC131" s="134"/>
      <c r="HD131" s="134"/>
      <c r="HE131" s="134"/>
      <c r="HF131" s="134"/>
      <c r="HG131" s="134"/>
      <c r="HH131" s="134"/>
      <c r="HI131" s="134"/>
      <c r="HJ131" s="134"/>
      <c r="HK131" s="135"/>
      <c r="HL131" s="135"/>
      <c r="HM131" s="134"/>
      <c r="HN131" s="134"/>
      <c r="HO131" s="134"/>
      <c r="HP131" s="134"/>
      <c r="HQ131" s="134"/>
      <c r="HR131" s="134"/>
      <c r="HS131" s="134"/>
      <c r="HT131" s="134"/>
      <c r="HU131" s="135"/>
      <c r="HV131" s="135"/>
      <c r="HW131" s="134"/>
      <c r="HX131" s="134"/>
      <c r="HY131" s="134"/>
      <c r="HZ131" s="134"/>
      <c r="IA131" s="134"/>
      <c r="IB131" s="134"/>
      <c r="IC131" s="134"/>
      <c r="ID131" s="134"/>
      <c r="IE131" s="135"/>
      <c r="IF131" s="135"/>
      <c r="IG131" s="134"/>
      <c r="IH131" s="134"/>
      <c r="II131" s="134"/>
      <c r="IJ131" s="134"/>
      <c r="IK131" s="134"/>
      <c r="IL131" s="134"/>
      <c r="IM131" s="134"/>
      <c r="IN131" s="134"/>
      <c r="IO131" s="135"/>
      <c r="IP131" s="135"/>
      <c r="IQ131" s="134"/>
      <c r="IR131" s="134"/>
      <c r="IS131" s="134"/>
      <c r="IT131" s="134"/>
      <c r="IU131" s="134"/>
      <c r="IV131" s="134"/>
      <c r="IW131" s="134"/>
      <c r="IX131" s="134"/>
      <c r="IY131" s="135"/>
      <c r="IZ131" s="135"/>
    </row>
    <row r="132" spans="1:260" customFormat="1" ht="17" customHeight="1">
      <c r="A132" s="118" t="s">
        <v>105</v>
      </c>
      <c r="B132" s="381">
        <v>78</v>
      </c>
      <c r="C132" s="381">
        <v>10</v>
      </c>
      <c r="D132" s="381"/>
      <c r="E132" s="139" t="s">
        <v>1933</v>
      </c>
      <c r="F132" s="140" t="s">
        <v>2151</v>
      </c>
      <c r="G132" s="141">
        <v>2008</v>
      </c>
      <c r="H132" s="118">
        <v>17352380</v>
      </c>
      <c r="I132" s="118">
        <v>1</v>
      </c>
      <c r="J132" s="118"/>
      <c r="K132" s="118"/>
      <c r="L132" s="118">
        <v>1</v>
      </c>
      <c r="M132" s="118"/>
      <c r="N132" s="118">
        <v>1</v>
      </c>
      <c r="O132" s="142">
        <v>1</v>
      </c>
      <c r="P132" s="118" t="s">
        <v>73</v>
      </c>
      <c r="Q132" s="118" t="s">
        <v>1147</v>
      </c>
      <c r="R132" s="118" t="s">
        <v>25</v>
      </c>
      <c r="S132" s="118"/>
      <c r="T132" s="118"/>
      <c r="U132" s="118"/>
      <c r="V132" s="118"/>
      <c r="W132" s="118" t="s">
        <v>371</v>
      </c>
      <c r="X132" s="118"/>
      <c r="Y132" s="118"/>
      <c r="Z132" s="118"/>
      <c r="AA132" s="118"/>
      <c r="AB132" s="118" t="s">
        <v>372</v>
      </c>
      <c r="AC132" s="145"/>
      <c r="AD132" s="573">
        <v>1</v>
      </c>
      <c r="AE132" s="573">
        <v>2</v>
      </c>
      <c r="AF132" s="159">
        <v>1</v>
      </c>
      <c r="AG132" s="160"/>
      <c r="AH132" s="122">
        <v>2</v>
      </c>
      <c r="AI132" s="485"/>
      <c r="AJ132" s="204" t="s">
        <v>3902</v>
      </c>
      <c r="AK132" s="192" t="s">
        <v>3926</v>
      </c>
      <c r="AL132" s="205" t="s">
        <v>24</v>
      </c>
      <c r="AM132" s="122">
        <f>29+25+26</f>
        <v>80</v>
      </c>
      <c r="AN132" s="122">
        <v>29</v>
      </c>
      <c r="AO132" s="122" t="s">
        <v>3904</v>
      </c>
      <c r="AP132" s="122" t="s">
        <v>3905</v>
      </c>
      <c r="AQ132" s="122" t="s">
        <v>3905</v>
      </c>
      <c r="AR132" s="122" t="s">
        <v>3905</v>
      </c>
      <c r="AS132" s="122" t="s">
        <v>3905</v>
      </c>
      <c r="AT132" s="122" t="s">
        <v>3905</v>
      </c>
      <c r="AU132" s="122" t="s">
        <v>3905</v>
      </c>
      <c r="AV132" s="122" t="s">
        <v>1874</v>
      </c>
      <c r="AW132" s="122" t="s">
        <v>24</v>
      </c>
      <c r="AX132" s="122" t="s">
        <v>24</v>
      </c>
      <c r="AY132" s="122" t="s">
        <v>3895</v>
      </c>
      <c r="AZ132" s="122" t="s">
        <v>3835</v>
      </c>
      <c r="BA132" s="122" t="s">
        <v>3894</v>
      </c>
      <c r="BB132" s="122"/>
      <c r="BC132" s="122"/>
      <c r="BD132" s="161"/>
      <c r="BE132" s="161"/>
      <c r="BF132" s="161"/>
      <c r="BG132" s="161"/>
      <c r="BH132" s="161"/>
      <c r="BI132" s="161"/>
      <c r="BJ132" s="161">
        <v>1</v>
      </c>
      <c r="BK132" s="161"/>
      <c r="BL132" s="161" t="s">
        <v>3840</v>
      </c>
      <c r="BM132" s="161"/>
      <c r="BN132" s="161"/>
      <c r="BO132" s="161"/>
      <c r="BP132" s="161"/>
      <c r="BQ132" s="162" t="s">
        <v>3925</v>
      </c>
      <c r="BR132" s="150" t="s">
        <v>1876</v>
      </c>
      <c r="BS132" s="150" t="s">
        <v>3901</v>
      </c>
      <c r="BT132" s="150" t="s">
        <v>3924</v>
      </c>
      <c r="BU132" s="150" t="s">
        <v>24</v>
      </c>
      <c r="BV132" s="150" t="s">
        <v>3927</v>
      </c>
      <c r="BW132" s="258" t="s">
        <v>3933</v>
      </c>
      <c r="BX132" s="151" t="s">
        <v>3928</v>
      </c>
      <c r="BY132" s="266">
        <v>9.2552500000000002</v>
      </c>
      <c r="BZ132" s="150" t="s">
        <v>24</v>
      </c>
      <c r="CA132" s="266">
        <f>9.91556-Table665[[#This Row],[Outcome1_M]]</f>
        <v>0.66030999999999906</v>
      </c>
      <c r="CB132" s="151" t="s">
        <v>3929</v>
      </c>
      <c r="CC132" s="150">
        <v>12.444599999999999</v>
      </c>
      <c r="CD132" s="150" t="s">
        <v>24</v>
      </c>
      <c r="CE132" s="266">
        <f>13.4097-Table665[[#This Row],[Outcome2_M]]</f>
        <v>0.9651000000000014</v>
      </c>
      <c r="CF132" s="290" t="s">
        <v>24</v>
      </c>
      <c r="CG132" s="291" t="s">
        <v>24</v>
      </c>
      <c r="CH132" s="151" t="s">
        <v>3930</v>
      </c>
      <c r="CI132" s="150">
        <v>11.5449</v>
      </c>
      <c r="CJ132" s="150" t="s">
        <v>24</v>
      </c>
      <c r="CK132" s="150">
        <f>12.5353-Table665[[#This Row],[Outcome3_M]]</f>
        <v>0.99039999999999928</v>
      </c>
      <c r="CL132" s="151" t="s">
        <v>24</v>
      </c>
      <c r="CM132" s="150" t="s">
        <v>24</v>
      </c>
      <c r="CN132" s="150" t="s">
        <v>24</v>
      </c>
      <c r="CO132" s="150" t="s">
        <v>24</v>
      </c>
      <c r="CP132" s="290" t="s">
        <v>24</v>
      </c>
      <c r="CQ132" s="291" t="s">
        <v>24</v>
      </c>
      <c r="CR132" s="278" t="s">
        <v>3932</v>
      </c>
      <c r="CS132" s="285" t="s">
        <v>3931</v>
      </c>
      <c r="CT132" s="151"/>
      <c r="CU132" s="150"/>
      <c r="CV132" s="150"/>
      <c r="CW132" s="150"/>
      <c r="CX132" s="150"/>
      <c r="CY132" s="150"/>
      <c r="CZ132" s="150"/>
      <c r="DA132" s="150"/>
      <c r="DB132" s="302"/>
      <c r="DC132" s="303"/>
      <c r="DD132" s="150"/>
      <c r="DE132" s="150"/>
      <c r="DF132" s="150"/>
      <c r="DG132" s="150"/>
      <c r="DH132" s="150"/>
      <c r="DI132" s="150"/>
      <c r="DJ132" s="150"/>
      <c r="DK132" s="150"/>
      <c r="DL132" s="302"/>
      <c r="DM132" s="303"/>
      <c r="DN132" s="278"/>
      <c r="DO132" s="279"/>
      <c r="DP132" s="150"/>
      <c r="DQ132" s="150"/>
      <c r="DR132" s="150"/>
      <c r="DS132" s="150"/>
      <c r="DT132" s="151"/>
      <c r="DU132" s="150"/>
      <c r="DV132" s="150"/>
      <c r="DW132" s="150"/>
      <c r="DX132" s="303"/>
      <c r="DY132" s="303"/>
      <c r="DZ132" s="151"/>
      <c r="EA132" s="150"/>
      <c r="EB132" s="150"/>
      <c r="EC132" s="150"/>
      <c r="ED132" s="151"/>
      <c r="EE132" s="150"/>
      <c r="EF132" s="150"/>
      <c r="EG132" s="150"/>
      <c r="EH132" s="303"/>
      <c r="EI132" s="303"/>
      <c r="EJ132" s="279"/>
      <c r="EK132" s="150"/>
      <c r="EL132" s="150"/>
      <c r="EM132" s="150"/>
      <c r="EN132" s="150"/>
      <c r="EO132" s="150"/>
      <c r="EP132" s="150"/>
      <c r="EQ132" s="150"/>
      <c r="ER132" s="150"/>
      <c r="ES132" s="303"/>
      <c r="ET132" s="303"/>
      <c r="EU132" s="150"/>
      <c r="EV132" s="150"/>
      <c r="EW132" s="150"/>
      <c r="EX132" s="150"/>
      <c r="EY132" s="134"/>
      <c r="EZ132" s="134"/>
      <c r="FA132" s="134"/>
      <c r="FB132" s="134"/>
      <c r="FC132" s="135"/>
      <c r="FD132" s="135"/>
      <c r="FE132" s="134"/>
      <c r="FF132" s="134"/>
      <c r="FG132" s="134"/>
      <c r="FH132" s="134"/>
      <c r="FI132" s="134"/>
      <c r="FJ132" s="134"/>
      <c r="FK132" s="134"/>
      <c r="FL132" s="134"/>
      <c r="FM132" s="135"/>
      <c r="FN132" s="135"/>
      <c r="FO132" s="134"/>
      <c r="FP132" s="134"/>
      <c r="FQ132" s="134"/>
      <c r="FR132" s="134"/>
      <c r="FS132" s="134"/>
      <c r="FT132" s="134"/>
      <c r="FU132" s="134"/>
      <c r="FV132" s="134"/>
      <c r="FW132" s="135"/>
      <c r="FX132" s="135"/>
      <c r="FY132" s="134"/>
      <c r="FZ132" s="134"/>
      <c r="GA132" s="134"/>
      <c r="GB132" s="134"/>
      <c r="GC132" s="134"/>
      <c r="GD132" s="134"/>
      <c r="GE132" s="134"/>
      <c r="GF132" s="134"/>
      <c r="GG132" s="135"/>
      <c r="GH132" s="135"/>
      <c r="GI132" s="134"/>
      <c r="GJ132" s="134"/>
      <c r="GK132" s="134"/>
      <c r="GL132" s="134"/>
      <c r="GM132" s="134"/>
      <c r="GN132" s="134"/>
      <c r="GO132" s="134"/>
      <c r="GP132" s="134"/>
      <c r="GQ132" s="135"/>
      <c r="GR132" s="135"/>
      <c r="GS132" s="134"/>
      <c r="GT132" s="134"/>
      <c r="GU132" s="134"/>
      <c r="GV132" s="134"/>
      <c r="GW132" s="134"/>
      <c r="GX132" s="134"/>
      <c r="GY132" s="134"/>
      <c r="GZ132" s="134"/>
      <c r="HA132" s="135"/>
      <c r="HB132" s="135"/>
      <c r="HC132" s="134"/>
      <c r="HD132" s="134"/>
      <c r="HE132" s="134"/>
      <c r="HF132" s="134"/>
      <c r="HG132" s="134"/>
      <c r="HH132" s="134"/>
      <c r="HI132" s="134"/>
      <c r="HJ132" s="134"/>
      <c r="HK132" s="135"/>
      <c r="HL132" s="135"/>
      <c r="HM132" s="134"/>
      <c r="HN132" s="134"/>
      <c r="HO132" s="134"/>
      <c r="HP132" s="134"/>
      <c r="HQ132" s="134"/>
      <c r="HR132" s="134"/>
      <c r="HS132" s="134"/>
      <c r="HT132" s="134"/>
      <c r="HU132" s="135"/>
      <c r="HV132" s="135"/>
      <c r="HW132" s="134"/>
      <c r="HX132" s="134"/>
      <c r="HY132" s="134"/>
      <c r="HZ132" s="134"/>
      <c r="IA132" s="134"/>
      <c r="IB132" s="134"/>
      <c r="IC132" s="134"/>
      <c r="ID132" s="134"/>
      <c r="IE132" s="135"/>
      <c r="IF132" s="135"/>
      <c r="IG132" s="134"/>
      <c r="IH132" s="134"/>
      <c r="II132" s="134"/>
      <c r="IJ132" s="134"/>
      <c r="IK132" s="134"/>
      <c r="IL132" s="134"/>
      <c r="IM132" s="134"/>
      <c r="IN132" s="134"/>
      <c r="IO132" s="135"/>
      <c r="IP132" s="135"/>
      <c r="IQ132" s="134"/>
      <c r="IR132" s="134"/>
      <c r="IS132" s="134"/>
      <c r="IT132" s="134"/>
      <c r="IU132" s="134"/>
      <c r="IV132" s="134"/>
      <c r="IW132" s="134"/>
      <c r="IX132" s="134"/>
      <c r="IY132" s="135"/>
      <c r="IZ132" s="135"/>
    </row>
    <row r="133" spans="1:260" customFormat="1" ht="17" customHeight="1">
      <c r="A133" s="79" t="s">
        <v>1100</v>
      </c>
      <c r="B133" s="363">
        <v>8</v>
      </c>
      <c r="C133" s="363"/>
      <c r="D133" s="363"/>
      <c r="E133" s="123" t="s">
        <v>2057</v>
      </c>
      <c r="F133" s="124" t="s">
        <v>2301</v>
      </c>
      <c r="G133" s="125">
        <v>2013</v>
      </c>
      <c r="H133" s="79">
        <v>21736515</v>
      </c>
      <c r="I133" s="79">
        <v>1</v>
      </c>
      <c r="J133" s="126">
        <v>1</v>
      </c>
      <c r="K133" s="127"/>
      <c r="L133" s="79">
        <v>1</v>
      </c>
      <c r="M133" s="79"/>
      <c r="N133" s="153">
        <v>1</v>
      </c>
      <c r="O133" s="128">
        <v>2</v>
      </c>
      <c r="P133" s="79" t="s">
        <v>1223</v>
      </c>
      <c r="Q133" s="79" t="s">
        <v>1171</v>
      </c>
      <c r="R133" s="79" t="s">
        <v>1221</v>
      </c>
      <c r="S133" s="79"/>
      <c r="T133" s="79" t="s">
        <v>1488</v>
      </c>
      <c r="U133" s="79" t="s">
        <v>23</v>
      </c>
      <c r="V133" s="79" t="s">
        <v>23</v>
      </c>
      <c r="W133" s="79" t="s">
        <v>1686</v>
      </c>
      <c r="X133" s="79"/>
      <c r="Y133" s="79" t="s">
        <v>13</v>
      </c>
      <c r="Z133" s="79"/>
      <c r="AA133" s="79" t="s">
        <v>1222</v>
      </c>
      <c r="AB133" s="79"/>
      <c r="AC133" s="506"/>
      <c r="AD133" s="573">
        <v>1</v>
      </c>
      <c r="AE133" s="573">
        <v>2</v>
      </c>
      <c r="AF133" s="154">
        <v>1</v>
      </c>
      <c r="AG133" s="155" t="s">
        <v>3316</v>
      </c>
      <c r="AH133" s="134">
        <v>5</v>
      </c>
      <c r="AI133" s="484"/>
      <c r="AJ133" s="213" t="s">
        <v>2666</v>
      </c>
      <c r="AK133" s="192">
        <v>0</v>
      </c>
      <c r="AL133" s="215"/>
      <c r="AM133" s="134">
        <f>6+10</f>
        <v>16</v>
      </c>
      <c r="AN133" s="134">
        <v>6</v>
      </c>
      <c r="AO133" s="134">
        <v>10</v>
      </c>
      <c r="AP133" s="134" t="s">
        <v>803</v>
      </c>
      <c r="AQ133" s="134" t="s">
        <v>803</v>
      </c>
      <c r="AR133" s="134" t="s">
        <v>2654</v>
      </c>
      <c r="AS133" s="134" t="s">
        <v>24</v>
      </c>
      <c r="AT133" s="134" t="s">
        <v>2654</v>
      </c>
      <c r="AU133" s="134" t="s">
        <v>24</v>
      </c>
      <c r="AV133" s="134" t="s">
        <v>2657</v>
      </c>
      <c r="AW133" s="134">
        <v>1</v>
      </c>
      <c r="AX133" s="134" t="s">
        <v>3317</v>
      </c>
      <c r="AY133" s="134" t="s">
        <v>2655</v>
      </c>
      <c r="AZ133" s="134" t="s">
        <v>1221</v>
      </c>
      <c r="BA133" s="150" t="s">
        <v>2554</v>
      </c>
      <c r="BB133" s="150"/>
      <c r="BC133" s="150"/>
      <c r="BD133" s="156">
        <v>1</v>
      </c>
      <c r="BE133" s="156"/>
      <c r="BF133" s="156"/>
      <c r="BG133" s="156"/>
      <c r="BH133" s="156"/>
      <c r="BI133" s="156"/>
      <c r="BJ133" s="156"/>
      <c r="BK133" s="156"/>
      <c r="BL133" s="156"/>
      <c r="BM133" s="156"/>
      <c r="BN133" s="156"/>
      <c r="BO133" s="156"/>
      <c r="BP133" s="156"/>
      <c r="BQ133" s="157" t="s">
        <v>2493</v>
      </c>
      <c r="BR133" s="134" t="s">
        <v>1876</v>
      </c>
      <c r="BS133" s="134" t="s">
        <v>2656</v>
      </c>
      <c r="BT133" s="134" t="s">
        <v>2658</v>
      </c>
      <c r="BU133" s="134" t="s">
        <v>1121</v>
      </c>
      <c r="BV133" s="134" t="s">
        <v>2659</v>
      </c>
      <c r="BW133" s="259" t="s">
        <v>2665</v>
      </c>
      <c r="BX133" s="138" t="s">
        <v>2661</v>
      </c>
      <c r="BY133" s="134">
        <v>38.89</v>
      </c>
      <c r="BZ133" s="134" t="s">
        <v>24</v>
      </c>
      <c r="CA133" s="134">
        <v>9.9700000000000006</v>
      </c>
      <c r="CB133" s="138" t="s">
        <v>2662</v>
      </c>
      <c r="CC133" s="134">
        <v>5.56</v>
      </c>
      <c r="CD133" s="134" t="s">
        <v>24</v>
      </c>
      <c r="CE133" s="134">
        <v>3.8</v>
      </c>
      <c r="CF133" s="288" t="s">
        <v>2663</v>
      </c>
      <c r="CG133" s="289" t="s">
        <v>2664</v>
      </c>
      <c r="CH133" s="138" t="s">
        <v>24</v>
      </c>
      <c r="CI133" s="134" t="s">
        <v>24</v>
      </c>
      <c r="CJ133" s="134"/>
      <c r="CK133" s="134"/>
      <c r="CL133" s="138"/>
      <c r="CM133" s="134"/>
      <c r="CN133" s="134"/>
      <c r="CO133" s="134"/>
      <c r="CP133" s="288"/>
      <c r="CQ133" s="289"/>
      <c r="CR133" s="276"/>
      <c r="CS133" s="308"/>
      <c r="CT133" s="138"/>
      <c r="CU133" s="134"/>
      <c r="CV133" s="134"/>
      <c r="CW133" s="134"/>
      <c r="CX133" s="134"/>
      <c r="CY133" s="134"/>
      <c r="CZ133" s="134"/>
      <c r="DA133" s="134"/>
      <c r="DB133" s="300"/>
      <c r="DC133" s="301"/>
      <c r="DD133" s="134"/>
      <c r="DE133" s="134"/>
      <c r="DF133" s="134"/>
      <c r="DG133" s="134"/>
      <c r="DH133" s="134"/>
      <c r="DI133" s="134"/>
      <c r="DJ133" s="134"/>
      <c r="DK133" s="134"/>
      <c r="DL133" s="300"/>
      <c r="DM133" s="301"/>
      <c r="DN133" s="276"/>
      <c r="DO133" s="277"/>
      <c r="DP133" s="134"/>
      <c r="DQ133" s="134"/>
      <c r="DR133" s="134"/>
      <c r="DS133" s="134"/>
      <c r="DT133" s="138"/>
      <c r="DU133" s="134"/>
      <c r="DV133" s="134"/>
      <c r="DW133" s="134"/>
      <c r="DX133" s="301"/>
      <c r="DY133" s="301"/>
      <c r="DZ133" s="138"/>
      <c r="EA133" s="134"/>
      <c r="EB133" s="134"/>
      <c r="EC133" s="134"/>
      <c r="ED133" s="138"/>
      <c r="EE133" s="134"/>
      <c r="EF133" s="134"/>
      <c r="EG133" s="134"/>
      <c r="EH133" s="301"/>
      <c r="EI133" s="301"/>
      <c r="EJ133" s="277"/>
      <c r="EK133" s="134"/>
      <c r="EL133" s="134"/>
      <c r="EM133" s="134"/>
      <c r="EN133" s="134"/>
      <c r="EO133" s="134"/>
      <c r="EP133" s="134"/>
      <c r="EQ133" s="134"/>
      <c r="ER133" s="134"/>
      <c r="ES133" s="301"/>
      <c r="ET133" s="301"/>
      <c r="EU133" s="134"/>
      <c r="EV133" s="134"/>
      <c r="EW133" s="134"/>
      <c r="EX133" s="134"/>
      <c r="EY133" s="134"/>
      <c r="EZ133" s="134"/>
      <c r="FA133" s="134"/>
      <c r="FB133" s="134"/>
      <c r="FC133" s="135"/>
      <c r="FD133" s="135"/>
      <c r="FE133" s="134"/>
      <c r="FF133" s="134"/>
      <c r="FG133" s="134"/>
      <c r="FH133" s="134"/>
      <c r="FI133" s="134"/>
      <c r="FJ133" s="134"/>
      <c r="FK133" s="134"/>
      <c r="FL133" s="134"/>
      <c r="FM133" s="135"/>
      <c r="FN133" s="135"/>
      <c r="FO133" s="134"/>
      <c r="FP133" s="134"/>
      <c r="FQ133" s="134"/>
      <c r="FR133" s="134"/>
      <c r="FS133" s="134"/>
      <c r="FT133" s="134"/>
      <c r="FU133" s="134"/>
      <c r="FV133" s="134"/>
      <c r="FW133" s="135"/>
      <c r="FX133" s="135"/>
      <c r="FY133" s="134"/>
      <c r="FZ133" s="134"/>
      <c r="GA133" s="134"/>
      <c r="GB133" s="134"/>
      <c r="GC133" s="134"/>
      <c r="GD133" s="134"/>
      <c r="GE133" s="134"/>
      <c r="GF133" s="134"/>
      <c r="GG133" s="135"/>
      <c r="GH133" s="135"/>
      <c r="GI133" s="134"/>
      <c r="GJ133" s="134"/>
      <c r="GK133" s="134"/>
      <c r="GL133" s="134"/>
      <c r="GM133" s="134"/>
      <c r="GN133" s="134"/>
      <c r="GO133" s="134"/>
      <c r="GP133" s="134"/>
      <c r="GQ133" s="135"/>
      <c r="GR133" s="135"/>
      <c r="GS133" s="134"/>
      <c r="GT133" s="134"/>
      <c r="GU133" s="134"/>
      <c r="GV133" s="134"/>
      <c r="GW133" s="134"/>
      <c r="GX133" s="134"/>
      <c r="GY133" s="134"/>
      <c r="GZ133" s="134"/>
      <c r="HA133" s="135"/>
      <c r="HB133" s="135"/>
      <c r="HC133" s="134"/>
      <c r="HD133" s="134"/>
      <c r="HE133" s="134"/>
      <c r="HF133" s="134"/>
      <c r="HG133" s="134"/>
      <c r="HH133" s="134"/>
      <c r="HI133" s="134"/>
      <c r="HJ133" s="134"/>
      <c r="HK133" s="135"/>
      <c r="HL133" s="135"/>
      <c r="HM133" s="134"/>
      <c r="HN133" s="134"/>
      <c r="HO133" s="134"/>
      <c r="HP133" s="134"/>
      <c r="HQ133" s="134"/>
      <c r="HR133" s="134"/>
      <c r="HS133" s="134"/>
      <c r="HT133" s="134"/>
      <c r="HU133" s="135"/>
      <c r="HV133" s="135"/>
      <c r="HW133" s="134"/>
      <c r="HX133" s="134"/>
      <c r="HY133" s="134"/>
      <c r="HZ133" s="134"/>
      <c r="IA133" s="134"/>
      <c r="IB133" s="134"/>
      <c r="IC133" s="134"/>
      <c r="ID133" s="134"/>
      <c r="IE133" s="135"/>
      <c r="IF133" s="135"/>
      <c r="IG133" s="134"/>
      <c r="IH133" s="134"/>
      <c r="II133" s="134"/>
      <c r="IJ133" s="134"/>
      <c r="IK133" s="134"/>
      <c r="IL133" s="134"/>
      <c r="IM133" s="134"/>
      <c r="IN133" s="134"/>
      <c r="IO133" s="135"/>
      <c r="IP133" s="135"/>
      <c r="IQ133" s="134"/>
      <c r="IR133" s="134"/>
      <c r="IS133" s="134"/>
      <c r="IT133" s="134"/>
      <c r="IU133" s="134"/>
      <c r="IV133" s="134"/>
      <c r="IW133" s="134"/>
      <c r="IX133" s="134"/>
      <c r="IY133" s="135"/>
      <c r="IZ133" s="135"/>
    </row>
    <row r="134" spans="1:260" s="188" customFormat="1" ht="17" customHeight="1">
      <c r="A134" s="79" t="s">
        <v>1099</v>
      </c>
      <c r="B134" s="363">
        <v>9</v>
      </c>
      <c r="C134" s="363"/>
      <c r="D134" s="363"/>
      <c r="E134" s="123" t="s">
        <v>2058</v>
      </c>
      <c r="F134" s="124" t="s">
        <v>2302</v>
      </c>
      <c r="G134" s="125">
        <v>2006</v>
      </c>
      <c r="H134" s="79">
        <v>16971540</v>
      </c>
      <c r="I134" s="79">
        <v>1</v>
      </c>
      <c r="J134" s="126">
        <v>1</v>
      </c>
      <c r="K134" s="127"/>
      <c r="L134" s="79">
        <v>1</v>
      </c>
      <c r="M134" s="79"/>
      <c r="N134" s="153">
        <v>1</v>
      </c>
      <c r="O134" s="128">
        <v>2</v>
      </c>
      <c r="P134" s="79" t="s">
        <v>1220</v>
      </c>
      <c r="Q134" s="79" t="s">
        <v>1162</v>
      </c>
      <c r="R134" s="79" t="s">
        <v>1225</v>
      </c>
      <c r="S134" s="79"/>
      <c r="T134" s="79" t="s">
        <v>1501</v>
      </c>
      <c r="U134" s="79" t="s">
        <v>23</v>
      </c>
      <c r="V134" s="79" t="s">
        <v>23</v>
      </c>
      <c r="W134" s="79" t="s">
        <v>1501</v>
      </c>
      <c r="X134" s="79" t="s">
        <v>24</v>
      </c>
      <c r="Y134" s="79" t="s">
        <v>24</v>
      </c>
      <c r="Z134" s="79"/>
      <c r="AA134" s="79" t="s">
        <v>1226</v>
      </c>
      <c r="AB134" s="79"/>
      <c r="AC134" s="506"/>
      <c r="AD134" s="573">
        <v>1</v>
      </c>
      <c r="AE134" s="573">
        <v>2</v>
      </c>
      <c r="AF134" s="233" t="s">
        <v>3003</v>
      </c>
      <c r="AG134" s="234" t="s">
        <v>3337</v>
      </c>
      <c r="AH134" s="135">
        <v>5</v>
      </c>
      <c r="AI134" s="484"/>
      <c r="AJ134" s="235" t="s">
        <v>2671</v>
      </c>
      <c r="AK134" s="236">
        <v>0</v>
      </c>
      <c r="AL134" s="237"/>
      <c r="AM134" s="135">
        <v>24</v>
      </c>
      <c r="AN134" s="135">
        <v>12</v>
      </c>
      <c r="AO134" s="135" t="s">
        <v>2672</v>
      </c>
      <c r="AP134" s="135" t="s">
        <v>803</v>
      </c>
      <c r="AQ134" s="135" t="s">
        <v>803</v>
      </c>
      <c r="AR134" s="135" t="s">
        <v>2667</v>
      </c>
      <c r="AS134" s="135" t="s">
        <v>24</v>
      </c>
      <c r="AT134" s="135" t="s">
        <v>2667</v>
      </c>
      <c r="AU134" s="135" t="s">
        <v>24</v>
      </c>
      <c r="AV134" s="135" t="s">
        <v>2673</v>
      </c>
      <c r="AW134" s="135">
        <v>1</v>
      </c>
      <c r="AX134" s="135" t="s">
        <v>3320</v>
      </c>
      <c r="AY134" s="135" t="s">
        <v>2674</v>
      </c>
      <c r="AZ134" s="135" t="s">
        <v>2668</v>
      </c>
      <c r="BA134" s="135" t="s">
        <v>2669</v>
      </c>
      <c r="BB134" s="135"/>
      <c r="BC134" s="135"/>
      <c r="BD134" s="239">
        <v>1</v>
      </c>
      <c r="BE134" s="156"/>
      <c r="BF134" s="156"/>
      <c r="BG134" s="156"/>
      <c r="BH134" s="156"/>
      <c r="BI134" s="156"/>
      <c r="BJ134" s="156"/>
      <c r="BK134" s="156"/>
      <c r="BL134" s="156"/>
      <c r="BM134" s="156"/>
      <c r="BN134" s="156"/>
      <c r="BO134" s="156"/>
      <c r="BP134" s="156"/>
      <c r="BQ134" s="157" t="s">
        <v>2493</v>
      </c>
      <c r="BR134" s="134" t="s">
        <v>1876</v>
      </c>
      <c r="BS134" s="134" t="s">
        <v>2670</v>
      </c>
      <c r="BT134" s="426" t="s">
        <v>2675</v>
      </c>
      <c r="BU134" s="134" t="s">
        <v>23</v>
      </c>
      <c r="BV134" s="134" t="s">
        <v>2659</v>
      </c>
      <c r="BW134" s="259" t="s">
        <v>2680</v>
      </c>
      <c r="BX134" s="430" t="s">
        <v>2676</v>
      </c>
      <c r="BY134" s="134">
        <v>62.957799999999999</v>
      </c>
      <c r="BZ134" s="134" t="s">
        <v>24</v>
      </c>
      <c r="CA134" s="134">
        <f>68.3645-Table665[[#This Row],[Outcome1_M]]</f>
        <v>5.4067000000000078</v>
      </c>
      <c r="CB134" s="430" t="s">
        <v>2677</v>
      </c>
      <c r="CC134" s="134">
        <v>62.246299999999998</v>
      </c>
      <c r="CD134" s="134" t="s">
        <v>24</v>
      </c>
      <c r="CE134" s="134">
        <f>66.2302-Table665[[#This Row],[Outcome2_M]]</f>
        <v>3.9838999999999984</v>
      </c>
      <c r="CF134" s="288" t="s">
        <v>2678</v>
      </c>
      <c r="CG134" s="289" t="s">
        <v>2679</v>
      </c>
      <c r="CH134" s="430" t="s">
        <v>24</v>
      </c>
      <c r="CI134" s="134" t="s">
        <v>24</v>
      </c>
      <c r="CJ134" s="134"/>
      <c r="CK134" s="134"/>
      <c r="CL134" s="430"/>
      <c r="CM134" s="134"/>
      <c r="CN134" s="134"/>
      <c r="CO134" s="134"/>
      <c r="CP134" s="288"/>
      <c r="CQ134" s="289"/>
      <c r="CR134" s="276"/>
      <c r="CS134" s="308"/>
      <c r="CT134" s="138"/>
      <c r="CU134" s="134"/>
      <c r="CV134" s="134"/>
      <c r="CW134" s="134"/>
      <c r="CX134" s="134"/>
      <c r="CY134" s="134"/>
      <c r="CZ134" s="134"/>
      <c r="DA134" s="134"/>
      <c r="DB134" s="300"/>
      <c r="DC134" s="301"/>
      <c r="DD134" s="134"/>
      <c r="DE134" s="134"/>
      <c r="DF134" s="134"/>
      <c r="DG134" s="134"/>
      <c r="DH134" s="134"/>
      <c r="DI134" s="134"/>
      <c r="DJ134" s="134"/>
      <c r="DK134" s="134"/>
      <c r="DL134" s="300"/>
      <c r="DM134" s="301"/>
      <c r="DN134" s="276"/>
      <c r="DO134" s="277"/>
      <c r="DP134" s="134"/>
      <c r="DQ134" s="134"/>
      <c r="DR134" s="134"/>
      <c r="DS134" s="134"/>
      <c r="DT134" s="138"/>
      <c r="DU134" s="134"/>
      <c r="DV134" s="134"/>
      <c r="DW134" s="134"/>
      <c r="DX134" s="301"/>
      <c r="DY134" s="301"/>
      <c r="DZ134" s="138"/>
      <c r="EA134" s="134"/>
      <c r="EB134" s="134"/>
      <c r="EC134" s="134"/>
      <c r="ED134" s="138"/>
      <c r="EE134" s="134"/>
      <c r="EF134" s="134"/>
      <c r="EG134" s="134"/>
      <c r="EH134" s="301"/>
      <c r="EI134" s="301"/>
      <c r="EJ134" s="277"/>
      <c r="EK134" s="134"/>
      <c r="EL134" s="134"/>
      <c r="EM134" s="134"/>
      <c r="EN134" s="134"/>
      <c r="EO134" s="134"/>
      <c r="EP134" s="134"/>
      <c r="EQ134" s="134"/>
      <c r="ER134" s="134"/>
      <c r="ES134" s="301"/>
      <c r="ET134" s="301"/>
      <c r="EU134" s="134"/>
      <c r="EV134" s="134"/>
      <c r="EW134" s="134"/>
      <c r="EX134" s="134"/>
      <c r="EY134" s="134"/>
      <c r="EZ134" s="134"/>
      <c r="FA134" s="134"/>
      <c r="FB134" s="134"/>
      <c r="FC134" s="135"/>
      <c r="FD134" s="135"/>
      <c r="FE134" s="134"/>
      <c r="FF134" s="134"/>
      <c r="FG134" s="134"/>
      <c r="FH134" s="134"/>
      <c r="FI134" s="134"/>
      <c r="FJ134" s="134"/>
      <c r="FK134" s="134"/>
      <c r="FL134" s="134"/>
      <c r="FM134" s="135"/>
      <c r="FN134" s="135"/>
      <c r="FO134" s="134"/>
      <c r="FP134" s="134"/>
      <c r="FQ134" s="134"/>
      <c r="FR134" s="134"/>
      <c r="FS134" s="134"/>
      <c r="FT134" s="134"/>
      <c r="FU134" s="134"/>
      <c r="FV134" s="134"/>
      <c r="FW134" s="135"/>
      <c r="FX134" s="135"/>
      <c r="FY134" s="134"/>
      <c r="FZ134" s="134"/>
      <c r="GA134" s="134"/>
      <c r="GB134" s="134"/>
      <c r="GC134" s="134"/>
      <c r="GD134" s="134"/>
      <c r="GE134" s="134"/>
      <c r="GF134" s="134"/>
      <c r="GG134" s="135"/>
      <c r="GH134" s="135"/>
      <c r="GI134" s="134"/>
      <c r="GJ134" s="134"/>
      <c r="GK134" s="134"/>
      <c r="GL134" s="134"/>
      <c r="GM134" s="134"/>
      <c r="GN134" s="134"/>
      <c r="GO134" s="134"/>
      <c r="GP134" s="134"/>
      <c r="GQ134" s="135"/>
      <c r="GR134" s="135"/>
      <c r="GS134" s="134"/>
      <c r="GT134" s="134"/>
      <c r="GU134" s="134"/>
      <c r="GV134" s="134"/>
      <c r="GW134" s="134"/>
      <c r="GX134" s="134"/>
      <c r="GY134" s="134"/>
      <c r="GZ134" s="134"/>
      <c r="HA134" s="135"/>
      <c r="HB134" s="135"/>
      <c r="HC134" s="134"/>
      <c r="HD134" s="134"/>
      <c r="HE134" s="134"/>
      <c r="HF134" s="134"/>
      <c r="HG134" s="134"/>
      <c r="HH134" s="134"/>
      <c r="HI134" s="134"/>
      <c r="HJ134" s="134"/>
      <c r="HK134" s="135"/>
      <c r="HL134" s="135"/>
      <c r="HM134" s="134"/>
      <c r="HN134" s="134"/>
      <c r="HO134" s="134"/>
      <c r="HP134" s="134"/>
      <c r="HQ134" s="134"/>
      <c r="HR134" s="134"/>
      <c r="HS134" s="134"/>
      <c r="HT134" s="134"/>
      <c r="HU134" s="135"/>
      <c r="HV134" s="135"/>
      <c r="HW134" s="134"/>
      <c r="HX134" s="134"/>
      <c r="HY134" s="134"/>
      <c r="HZ134" s="134"/>
      <c r="IA134" s="134"/>
      <c r="IB134" s="134"/>
      <c r="IC134" s="134"/>
      <c r="ID134" s="134"/>
      <c r="IE134" s="135"/>
      <c r="IF134" s="135"/>
      <c r="IG134" s="134"/>
      <c r="IH134" s="134"/>
      <c r="II134" s="134"/>
      <c r="IJ134" s="134"/>
      <c r="IK134" s="134"/>
      <c r="IL134" s="134"/>
      <c r="IM134" s="134"/>
      <c r="IN134" s="134"/>
      <c r="IO134" s="135"/>
      <c r="IP134" s="135"/>
      <c r="IQ134" s="134"/>
      <c r="IR134" s="134"/>
      <c r="IS134" s="134"/>
      <c r="IT134" s="134"/>
      <c r="IU134" s="134"/>
      <c r="IV134" s="134"/>
      <c r="IW134" s="134"/>
      <c r="IX134" s="134"/>
      <c r="IY134" s="135"/>
      <c r="IZ134" s="135"/>
    </row>
    <row r="135" spans="1:260" s="119" customFormat="1" ht="17" customHeight="1">
      <c r="A135" s="79" t="s">
        <v>112</v>
      </c>
      <c r="B135" s="363">
        <v>10</v>
      </c>
      <c r="C135" s="363"/>
      <c r="D135" s="363"/>
      <c r="E135" s="123" t="s">
        <v>1935</v>
      </c>
      <c r="F135" s="124" t="s">
        <v>2153</v>
      </c>
      <c r="G135" s="125">
        <v>2013</v>
      </c>
      <c r="H135" s="79">
        <v>23673864</v>
      </c>
      <c r="I135" s="79">
        <v>1</v>
      </c>
      <c r="J135" s="126"/>
      <c r="K135" s="127"/>
      <c r="L135" s="164">
        <v>1</v>
      </c>
      <c r="M135" s="79" t="s">
        <v>1735</v>
      </c>
      <c r="N135" s="164">
        <v>1</v>
      </c>
      <c r="O135" s="128">
        <v>1</v>
      </c>
      <c r="P135" s="79" t="s">
        <v>384</v>
      </c>
      <c r="Q135" s="79"/>
      <c r="R135" s="79" t="s">
        <v>386</v>
      </c>
      <c r="S135" s="79"/>
      <c r="T135" s="79"/>
      <c r="U135" s="79"/>
      <c r="V135" s="79"/>
      <c r="W135" s="79" t="s">
        <v>385</v>
      </c>
      <c r="X135" s="79" t="s">
        <v>44</v>
      </c>
      <c r="Y135" s="79"/>
      <c r="Z135" s="79"/>
      <c r="AA135" s="79"/>
      <c r="AB135" s="79" t="s">
        <v>387</v>
      </c>
      <c r="AC135" s="506"/>
      <c r="AD135" s="573">
        <v>1</v>
      </c>
      <c r="AE135" s="573">
        <v>2</v>
      </c>
      <c r="AF135" s="165">
        <v>0</v>
      </c>
      <c r="AG135" s="166" t="s">
        <v>2685</v>
      </c>
      <c r="AH135" s="120">
        <v>3</v>
      </c>
      <c r="AI135" s="484"/>
      <c r="AJ135" s="206" t="s">
        <v>2681</v>
      </c>
      <c r="AK135" s="192">
        <v>0</v>
      </c>
      <c r="AL135" s="207"/>
      <c r="AM135" s="120"/>
      <c r="AN135" s="120">
        <v>17</v>
      </c>
      <c r="AO135" s="120">
        <v>38</v>
      </c>
      <c r="AP135" s="120" t="s">
        <v>2683</v>
      </c>
      <c r="AQ135" s="120" t="s">
        <v>2684</v>
      </c>
      <c r="AR135" s="120"/>
      <c r="AS135" s="120"/>
      <c r="AT135" s="120"/>
      <c r="AU135" s="120"/>
      <c r="AV135" s="120"/>
      <c r="AW135" s="120"/>
      <c r="AX135" s="120"/>
      <c r="AY135" s="120"/>
      <c r="AZ135" s="120"/>
      <c r="BA135" s="120" t="s">
        <v>2682</v>
      </c>
      <c r="BB135" s="120"/>
      <c r="BC135" s="120"/>
      <c r="BD135" s="156"/>
      <c r="BE135" s="156"/>
      <c r="BF135" s="156"/>
      <c r="BG135" s="156"/>
      <c r="BH135" s="156"/>
      <c r="BI135" s="156"/>
      <c r="BJ135" s="156"/>
      <c r="BK135" s="156"/>
      <c r="BL135" s="156"/>
      <c r="BM135" s="156"/>
      <c r="BN135" s="156"/>
      <c r="BO135" s="156"/>
      <c r="BP135" s="156"/>
      <c r="BQ135" s="157"/>
      <c r="BR135" s="134"/>
      <c r="BS135" s="134"/>
      <c r="BT135" s="426"/>
      <c r="BU135" s="134"/>
      <c r="BV135" s="134"/>
      <c r="BW135" s="259"/>
      <c r="BX135" s="430"/>
      <c r="BY135" s="134"/>
      <c r="BZ135" s="134"/>
      <c r="CA135" s="134"/>
      <c r="CB135" s="430"/>
      <c r="CC135" s="134"/>
      <c r="CD135" s="134"/>
      <c r="CE135" s="134"/>
      <c r="CF135" s="288"/>
      <c r="CG135" s="289"/>
      <c r="CH135" s="430"/>
      <c r="CI135" s="134"/>
      <c r="CJ135" s="134"/>
      <c r="CK135" s="134"/>
      <c r="CL135" s="430"/>
      <c r="CM135" s="134"/>
      <c r="CN135" s="134"/>
      <c r="CO135" s="134"/>
      <c r="CP135" s="288"/>
      <c r="CQ135" s="289"/>
      <c r="CR135" s="276"/>
      <c r="CS135" s="308"/>
      <c r="CT135" s="430"/>
      <c r="CU135" s="134"/>
      <c r="CV135" s="134"/>
      <c r="CW135" s="134"/>
      <c r="CX135" s="426"/>
      <c r="CY135" s="134"/>
      <c r="CZ135" s="134"/>
      <c r="DA135" s="134"/>
      <c r="DB135" s="300"/>
      <c r="DC135" s="301"/>
      <c r="DD135" s="134"/>
      <c r="DE135" s="134"/>
      <c r="DF135" s="134"/>
      <c r="DG135" s="134"/>
      <c r="DH135" s="134"/>
      <c r="DI135" s="134"/>
      <c r="DJ135" s="134"/>
      <c r="DK135" s="134"/>
      <c r="DL135" s="300"/>
      <c r="DM135" s="301"/>
      <c r="DN135" s="276"/>
      <c r="DO135" s="277"/>
      <c r="DP135" s="134"/>
      <c r="DQ135" s="134"/>
      <c r="DR135" s="134"/>
      <c r="DS135" s="134"/>
      <c r="DT135" s="138"/>
      <c r="DU135" s="134"/>
      <c r="DV135" s="134"/>
      <c r="DW135" s="134"/>
      <c r="DX135" s="301"/>
      <c r="DY135" s="301"/>
      <c r="DZ135" s="138"/>
      <c r="EA135" s="134"/>
      <c r="EB135" s="134"/>
      <c r="EC135" s="134"/>
      <c r="ED135" s="138"/>
      <c r="EE135" s="134"/>
      <c r="EF135" s="134"/>
      <c r="EG135" s="134"/>
      <c r="EH135" s="301"/>
      <c r="EI135" s="301"/>
      <c r="EJ135" s="277"/>
      <c r="EK135" s="134"/>
      <c r="EL135" s="134"/>
      <c r="EM135" s="134"/>
      <c r="EN135" s="134"/>
      <c r="EO135" s="134"/>
      <c r="EP135" s="134"/>
      <c r="EQ135" s="134"/>
      <c r="ER135" s="134"/>
      <c r="ES135" s="301"/>
      <c r="ET135" s="301"/>
      <c r="EU135" s="134"/>
      <c r="EV135" s="134"/>
      <c r="EW135" s="134"/>
      <c r="EX135" s="134"/>
      <c r="EY135" s="134"/>
      <c r="EZ135" s="134"/>
      <c r="FA135" s="134"/>
      <c r="FB135" s="134"/>
      <c r="FC135" s="135"/>
      <c r="FD135" s="135"/>
      <c r="FE135" s="134"/>
      <c r="FF135" s="134"/>
      <c r="FG135" s="134"/>
      <c r="FH135" s="134"/>
      <c r="FI135" s="134"/>
      <c r="FJ135" s="134"/>
      <c r="FK135" s="134"/>
      <c r="FL135" s="134"/>
      <c r="FM135" s="135"/>
      <c r="FN135" s="135"/>
      <c r="FO135" s="134"/>
      <c r="FP135" s="134"/>
      <c r="FQ135" s="134"/>
      <c r="FR135" s="134"/>
      <c r="FS135" s="134"/>
      <c r="FT135" s="134"/>
      <c r="FU135" s="134"/>
      <c r="FV135" s="134"/>
      <c r="FW135" s="135"/>
      <c r="FX135" s="135"/>
      <c r="FY135" s="134"/>
      <c r="FZ135" s="134"/>
      <c r="GA135" s="134"/>
      <c r="GB135" s="134"/>
      <c r="GC135" s="134"/>
      <c r="GD135" s="134"/>
      <c r="GE135" s="134"/>
      <c r="GF135" s="134"/>
      <c r="GG135" s="135"/>
      <c r="GH135" s="135"/>
      <c r="GI135" s="134"/>
      <c r="GJ135" s="134"/>
      <c r="GK135" s="134"/>
      <c r="GL135" s="134"/>
      <c r="GM135" s="134"/>
      <c r="GN135" s="134"/>
      <c r="GO135" s="134"/>
      <c r="GP135" s="134"/>
      <c r="GQ135" s="135"/>
      <c r="GR135" s="135"/>
      <c r="GS135" s="134"/>
      <c r="GT135" s="134"/>
      <c r="GU135" s="134"/>
      <c r="GV135" s="134"/>
      <c r="GW135" s="134"/>
      <c r="GX135" s="134"/>
      <c r="GY135" s="134"/>
      <c r="GZ135" s="134"/>
      <c r="HA135" s="135"/>
      <c r="HB135" s="135"/>
      <c r="HC135" s="134"/>
      <c r="HD135" s="134"/>
      <c r="HE135" s="134"/>
      <c r="HF135" s="134"/>
      <c r="HG135" s="134"/>
      <c r="HH135" s="134"/>
      <c r="HI135" s="134"/>
      <c r="HJ135" s="134"/>
      <c r="HK135" s="135"/>
      <c r="HL135" s="135"/>
      <c r="HM135" s="134"/>
      <c r="HN135" s="134"/>
      <c r="HO135" s="134"/>
      <c r="HP135" s="134"/>
      <c r="HQ135" s="134"/>
      <c r="HR135" s="134"/>
      <c r="HS135" s="134"/>
      <c r="HT135" s="134"/>
      <c r="HU135" s="135"/>
      <c r="HV135" s="135"/>
      <c r="HW135" s="134"/>
      <c r="HX135" s="134"/>
      <c r="HY135" s="134"/>
      <c r="HZ135" s="134"/>
      <c r="IA135" s="134"/>
      <c r="IB135" s="134"/>
      <c r="IC135" s="134"/>
      <c r="ID135" s="134"/>
      <c r="IE135" s="135"/>
      <c r="IF135" s="135"/>
      <c r="IG135" s="134"/>
      <c r="IH135" s="134"/>
      <c r="II135" s="134"/>
      <c r="IJ135" s="134"/>
      <c r="IK135" s="134"/>
      <c r="IL135" s="134"/>
      <c r="IM135" s="134"/>
      <c r="IN135" s="134"/>
      <c r="IO135" s="135"/>
      <c r="IP135" s="135"/>
      <c r="IQ135" s="134"/>
      <c r="IR135" s="134"/>
      <c r="IS135" s="134"/>
      <c r="IT135" s="134"/>
      <c r="IU135" s="134"/>
      <c r="IV135" s="134"/>
      <c r="IW135" s="134"/>
      <c r="IX135" s="134"/>
      <c r="IY135" s="135"/>
      <c r="IZ135" s="135"/>
    </row>
    <row r="136" spans="1:260" customFormat="1" ht="17" customHeight="1">
      <c r="A136" s="79" t="s">
        <v>1097</v>
      </c>
      <c r="B136" s="363">
        <v>11</v>
      </c>
      <c r="C136" s="363"/>
      <c r="D136" s="363"/>
      <c r="E136" s="123" t="s">
        <v>1935</v>
      </c>
      <c r="F136" s="124" t="s">
        <v>2303</v>
      </c>
      <c r="G136" s="125">
        <v>2015</v>
      </c>
      <c r="H136" s="79">
        <v>25533726</v>
      </c>
      <c r="I136" s="79">
        <v>1</v>
      </c>
      <c r="J136" s="126">
        <v>1</v>
      </c>
      <c r="K136" s="127"/>
      <c r="L136" s="79">
        <v>1</v>
      </c>
      <c r="M136" s="79"/>
      <c r="N136" s="153">
        <v>1</v>
      </c>
      <c r="O136" s="128">
        <v>2</v>
      </c>
      <c r="P136" s="79" t="s">
        <v>1230</v>
      </c>
      <c r="Q136" s="79" t="s">
        <v>1162</v>
      </c>
      <c r="R136" s="79" t="s">
        <v>1127</v>
      </c>
      <c r="S136" s="79"/>
      <c r="T136" s="79" t="s">
        <v>1541</v>
      </c>
      <c r="U136" s="79" t="s">
        <v>23</v>
      </c>
      <c r="V136" s="79" t="s">
        <v>23</v>
      </c>
      <c r="W136" s="79" t="s">
        <v>1501</v>
      </c>
      <c r="X136" s="79" t="s">
        <v>1231</v>
      </c>
      <c r="Y136" s="79" t="s">
        <v>23</v>
      </c>
      <c r="Z136" s="79"/>
      <c r="AA136" s="79"/>
      <c r="AB136" s="79"/>
      <c r="AC136" s="506"/>
      <c r="AD136" s="573">
        <v>1</v>
      </c>
      <c r="AE136" s="573">
        <v>2</v>
      </c>
      <c r="AF136" s="233" t="s">
        <v>1917</v>
      </c>
      <c r="AG136" s="234" t="s">
        <v>3338</v>
      </c>
      <c r="AH136" s="121">
        <v>4</v>
      </c>
      <c r="AI136" s="484"/>
      <c r="AJ136" s="202" t="s">
        <v>2688</v>
      </c>
      <c r="AK136" s="192">
        <v>2</v>
      </c>
      <c r="AL136" s="203">
        <v>1</v>
      </c>
      <c r="AM136" s="121" t="s">
        <v>2691</v>
      </c>
      <c r="AN136" s="121">
        <v>10</v>
      </c>
      <c r="AO136" s="121">
        <v>10</v>
      </c>
      <c r="AP136" s="121" t="s">
        <v>803</v>
      </c>
      <c r="AQ136" s="121" t="s">
        <v>803</v>
      </c>
      <c r="AR136" s="121" t="s">
        <v>2687</v>
      </c>
      <c r="AS136" s="121" t="s">
        <v>24</v>
      </c>
      <c r="AT136" s="121" t="s">
        <v>2687</v>
      </c>
      <c r="AU136" s="121" t="s">
        <v>24</v>
      </c>
      <c r="AV136" s="121" t="s">
        <v>2695</v>
      </c>
      <c r="AW136" s="121">
        <v>1</v>
      </c>
      <c r="AX136" s="121" t="s">
        <v>3321</v>
      </c>
      <c r="AY136" s="121" t="s">
        <v>2696</v>
      </c>
      <c r="AZ136" s="121" t="s">
        <v>1130</v>
      </c>
      <c r="BA136" s="121" t="s">
        <v>2554</v>
      </c>
      <c r="BB136" s="121"/>
      <c r="BC136" s="121"/>
      <c r="BD136" s="156">
        <v>1</v>
      </c>
      <c r="BE136" s="156"/>
      <c r="BF136" s="156"/>
      <c r="BG136" s="156"/>
      <c r="BH136" s="156"/>
      <c r="BI136" s="156"/>
      <c r="BJ136" s="156"/>
      <c r="BK136" s="156"/>
      <c r="BL136" s="156"/>
      <c r="BM136" s="156"/>
      <c r="BN136" s="156"/>
      <c r="BO136" s="156"/>
      <c r="BP136" s="156"/>
      <c r="BQ136" s="157" t="s">
        <v>2694</v>
      </c>
      <c r="BR136" s="134" t="s">
        <v>1876</v>
      </c>
      <c r="BS136" s="134" t="s">
        <v>2705</v>
      </c>
      <c r="BT136" s="426" t="s">
        <v>2693</v>
      </c>
      <c r="BU136" s="134" t="s">
        <v>23</v>
      </c>
      <c r="BV136" s="134" t="s">
        <v>2659</v>
      </c>
      <c r="BW136" s="259" t="s">
        <v>2709</v>
      </c>
      <c r="BX136" s="430" t="s">
        <v>2699</v>
      </c>
      <c r="BY136" s="134">
        <v>11.190799999999999</v>
      </c>
      <c r="BZ136" s="134" t="s">
        <v>24</v>
      </c>
      <c r="CA136" s="134">
        <f>14.1404-Table665[[#This Row],[Outcome1_M]]</f>
        <v>2.9496000000000002</v>
      </c>
      <c r="CB136" s="430" t="s">
        <v>2700</v>
      </c>
      <c r="CC136" s="190">
        <v>10.0686</v>
      </c>
      <c r="CD136" s="134" t="s">
        <v>24</v>
      </c>
      <c r="CE136" s="389">
        <f>Table665[[#This Row],[Outcome2_M]]-8.65277</f>
        <v>1.4158299999999997</v>
      </c>
      <c r="CF136" s="288" t="s">
        <v>2707</v>
      </c>
      <c r="CG136" s="289" t="s">
        <v>2480</v>
      </c>
      <c r="CH136" s="430" t="s">
        <v>2701</v>
      </c>
      <c r="CI136" s="134">
        <v>74.327600000000004</v>
      </c>
      <c r="CJ136" s="134" t="s">
        <v>24</v>
      </c>
      <c r="CK136" s="134">
        <f>79.7844-Table665[[#This Row],[Outcome3_M]]</f>
        <v>5.4568000000000012</v>
      </c>
      <c r="CL136" s="430" t="s">
        <v>2702</v>
      </c>
      <c r="CM136" s="134">
        <v>13.1188</v>
      </c>
      <c r="CN136" s="134" t="s">
        <v>24</v>
      </c>
      <c r="CO136" s="134">
        <f>16.8514-Table665[[#This Row],[Outcome4_M]]</f>
        <v>3.7326000000000015</v>
      </c>
      <c r="CP136" s="288" t="s">
        <v>2708</v>
      </c>
      <c r="CQ136" s="289" t="s">
        <v>2555</v>
      </c>
      <c r="CR136" s="276"/>
      <c r="CS136" s="308"/>
      <c r="CT136" s="430"/>
      <c r="CU136" s="134"/>
      <c r="CV136" s="134"/>
      <c r="CW136" s="134"/>
      <c r="CX136" s="426"/>
      <c r="CY136" s="134"/>
      <c r="CZ136" s="134"/>
      <c r="DA136" s="134"/>
      <c r="DB136" s="300"/>
      <c r="DC136" s="301"/>
      <c r="DD136" s="134"/>
      <c r="DE136" s="134"/>
      <c r="DF136" s="134"/>
      <c r="DG136" s="134"/>
      <c r="DH136" s="134"/>
      <c r="DI136" s="134"/>
      <c r="DJ136" s="134"/>
      <c r="DK136" s="134"/>
      <c r="DL136" s="300"/>
      <c r="DM136" s="301"/>
      <c r="DN136" s="276"/>
      <c r="DO136" s="277"/>
      <c r="DP136" s="134"/>
      <c r="DQ136" s="134"/>
      <c r="DR136" s="134"/>
      <c r="DS136" s="134"/>
      <c r="DT136" s="138"/>
      <c r="DU136" s="134"/>
      <c r="DV136" s="134"/>
      <c r="DW136" s="134"/>
      <c r="DX136" s="301"/>
      <c r="DY136" s="301"/>
      <c r="DZ136" s="138"/>
      <c r="EA136" s="134"/>
      <c r="EB136" s="134"/>
      <c r="EC136" s="134"/>
      <c r="ED136" s="138"/>
      <c r="EE136" s="134"/>
      <c r="EF136" s="134"/>
      <c r="EG136" s="134"/>
      <c r="EH136" s="301"/>
      <c r="EI136" s="301"/>
      <c r="EJ136" s="277"/>
      <c r="EK136" s="134"/>
      <c r="EL136" s="134"/>
      <c r="EM136" s="134"/>
      <c r="EN136" s="134"/>
      <c r="EO136" s="134"/>
      <c r="EP136" s="134"/>
      <c r="EQ136" s="134"/>
      <c r="ER136" s="134"/>
      <c r="ES136" s="301"/>
      <c r="ET136" s="301"/>
      <c r="EU136" s="134"/>
      <c r="EV136" s="134"/>
      <c r="EW136" s="134"/>
      <c r="EX136" s="134"/>
      <c r="EY136" s="134"/>
      <c r="EZ136" s="134"/>
      <c r="FA136" s="134"/>
      <c r="FB136" s="134"/>
      <c r="FC136" s="135"/>
      <c r="FD136" s="135"/>
      <c r="FE136" s="134"/>
      <c r="FF136" s="134"/>
      <c r="FG136" s="134"/>
      <c r="FH136" s="134"/>
      <c r="FI136" s="134"/>
      <c r="FJ136" s="134"/>
      <c r="FK136" s="134"/>
      <c r="FL136" s="134"/>
      <c r="FM136" s="135"/>
      <c r="FN136" s="135"/>
      <c r="FO136" s="134"/>
      <c r="FP136" s="134"/>
      <c r="FQ136" s="134"/>
      <c r="FR136" s="134"/>
      <c r="FS136" s="134"/>
      <c r="FT136" s="134"/>
      <c r="FU136" s="134"/>
      <c r="FV136" s="134"/>
      <c r="FW136" s="135"/>
      <c r="FX136" s="135"/>
      <c r="FY136" s="134"/>
      <c r="FZ136" s="134"/>
      <c r="GA136" s="134"/>
      <c r="GB136" s="134"/>
      <c r="GC136" s="134"/>
      <c r="GD136" s="134"/>
      <c r="GE136" s="134"/>
      <c r="GF136" s="134"/>
      <c r="GG136" s="135"/>
      <c r="GH136" s="135"/>
      <c r="GI136" s="134"/>
      <c r="GJ136" s="134"/>
      <c r="GK136" s="134"/>
      <c r="GL136" s="134"/>
      <c r="GM136" s="134"/>
      <c r="GN136" s="134"/>
      <c r="GO136" s="134"/>
      <c r="GP136" s="134"/>
      <c r="GQ136" s="135"/>
      <c r="GR136" s="135"/>
      <c r="GS136" s="134"/>
      <c r="GT136" s="134"/>
      <c r="GU136" s="134"/>
      <c r="GV136" s="134"/>
      <c r="GW136" s="134"/>
      <c r="GX136" s="134"/>
      <c r="GY136" s="134"/>
      <c r="GZ136" s="134"/>
      <c r="HA136" s="135"/>
      <c r="HB136" s="135"/>
      <c r="HC136" s="134"/>
      <c r="HD136" s="134"/>
      <c r="HE136" s="134"/>
      <c r="HF136" s="134"/>
      <c r="HG136" s="134"/>
      <c r="HH136" s="134"/>
      <c r="HI136" s="134"/>
      <c r="HJ136" s="134"/>
      <c r="HK136" s="135"/>
      <c r="HL136" s="135"/>
      <c r="HM136" s="134"/>
      <c r="HN136" s="134"/>
      <c r="HO136" s="134"/>
      <c r="HP136" s="134"/>
      <c r="HQ136" s="134"/>
      <c r="HR136" s="134"/>
      <c r="HS136" s="134"/>
      <c r="HT136" s="134"/>
      <c r="HU136" s="135"/>
      <c r="HV136" s="135"/>
      <c r="HW136" s="134"/>
      <c r="HX136" s="134"/>
      <c r="HY136" s="134"/>
      <c r="HZ136" s="134"/>
      <c r="IA136" s="134"/>
      <c r="IB136" s="134"/>
      <c r="IC136" s="134"/>
      <c r="ID136" s="134"/>
      <c r="IE136" s="135"/>
      <c r="IF136" s="135"/>
      <c r="IG136" s="134"/>
      <c r="IH136" s="134"/>
      <c r="II136" s="134"/>
      <c r="IJ136" s="134"/>
      <c r="IK136" s="134"/>
      <c r="IL136" s="134"/>
      <c r="IM136" s="134"/>
      <c r="IN136" s="134"/>
      <c r="IO136" s="135"/>
      <c r="IP136" s="135"/>
      <c r="IQ136" s="134"/>
      <c r="IR136" s="134"/>
      <c r="IS136" s="134"/>
      <c r="IT136" s="134"/>
      <c r="IU136" s="134"/>
      <c r="IV136" s="134"/>
      <c r="IW136" s="134"/>
      <c r="IX136" s="134"/>
      <c r="IY136" s="135"/>
      <c r="IZ136" s="135"/>
    </row>
    <row r="137" spans="1:260" customFormat="1" ht="17" customHeight="1">
      <c r="A137" s="118" t="s">
        <v>1097</v>
      </c>
      <c r="B137" s="363">
        <v>11</v>
      </c>
      <c r="C137" s="363"/>
      <c r="D137" s="363"/>
      <c r="E137" s="139" t="s">
        <v>1935</v>
      </c>
      <c r="F137" s="140" t="s">
        <v>2303</v>
      </c>
      <c r="G137" s="141">
        <v>2015</v>
      </c>
      <c r="H137" s="118">
        <v>25533726</v>
      </c>
      <c r="I137" s="118">
        <v>1</v>
      </c>
      <c r="J137" s="118">
        <v>1</v>
      </c>
      <c r="K137" s="118"/>
      <c r="L137" s="118">
        <v>1</v>
      </c>
      <c r="M137" s="118"/>
      <c r="N137" s="158">
        <v>1</v>
      </c>
      <c r="O137" s="142">
        <v>2</v>
      </c>
      <c r="P137" s="118" t="s">
        <v>1230</v>
      </c>
      <c r="Q137" s="118" t="s">
        <v>1162</v>
      </c>
      <c r="R137" s="118" t="s">
        <v>1127</v>
      </c>
      <c r="S137" s="118"/>
      <c r="T137" s="118" t="s">
        <v>1541</v>
      </c>
      <c r="U137" s="118" t="s">
        <v>23</v>
      </c>
      <c r="V137" s="118" t="s">
        <v>23</v>
      </c>
      <c r="W137" s="118" t="s">
        <v>1501</v>
      </c>
      <c r="X137" s="118" t="s">
        <v>1231</v>
      </c>
      <c r="Y137" s="118" t="s">
        <v>23</v>
      </c>
      <c r="Z137" s="118"/>
      <c r="AA137" s="118"/>
      <c r="AB137" s="118"/>
      <c r="AC137" s="145"/>
      <c r="AD137" s="573">
        <v>1</v>
      </c>
      <c r="AE137" s="573">
        <v>2</v>
      </c>
      <c r="AF137" s="233" t="s">
        <v>1917</v>
      </c>
      <c r="AG137" s="234" t="s">
        <v>3338</v>
      </c>
      <c r="AH137" s="122">
        <v>4</v>
      </c>
      <c r="AI137" s="485"/>
      <c r="AJ137" s="204" t="s">
        <v>2689</v>
      </c>
      <c r="AK137" s="192">
        <v>2</v>
      </c>
      <c r="AL137" s="205">
        <v>1</v>
      </c>
      <c r="AM137" s="122" t="s">
        <v>2691</v>
      </c>
      <c r="AN137" s="122">
        <v>10</v>
      </c>
      <c r="AO137" s="122">
        <v>10</v>
      </c>
      <c r="AP137" s="122" t="s">
        <v>803</v>
      </c>
      <c r="AQ137" s="122" t="s">
        <v>803</v>
      </c>
      <c r="AR137" s="122" t="s">
        <v>2687</v>
      </c>
      <c r="AS137" s="122" t="s">
        <v>24</v>
      </c>
      <c r="AT137" s="122" t="s">
        <v>2687</v>
      </c>
      <c r="AU137" s="122" t="s">
        <v>24</v>
      </c>
      <c r="AV137" s="122" t="s">
        <v>2695</v>
      </c>
      <c r="AW137" s="122">
        <v>1</v>
      </c>
      <c r="AX137" s="121" t="s">
        <v>3321</v>
      </c>
      <c r="AY137" s="122" t="s">
        <v>2696</v>
      </c>
      <c r="AZ137" s="122" t="s">
        <v>1130</v>
      </c>
      <c r="BA137" s="122" t="s">
        <v>2554</v>
      </c>
      <c r="BB137" s="122"/>
      <c r="BC137" s="122"/>
      <c r="BD137" s="161">
        <v>1</v>
      </c>
      <c r="BE137" s="161"/>
      <c r="BF137" s="161"/>
      <c r="BG137" s="161"/>
      <c r="BH137" s="161"/>
      <c r="BI137" s="161"/>
      <c r="BJ137" s="161"/>
      <c r="BK137" s="161"/>
      <c r="BL137" s="161"/>
      <c r="BM137" s="161"/>
      <c r="BN137" s="161"/>
      <c r="BO137" s="161"/>
      <c r="BP137" s="161"/>
      <c r="BQ137" s="162" t="s">
        <v>2694</v>
      </c>
      <c r="BR137" s="150" t="s">
        <v>1876</v>
      </c>
      <c r="BS137" s="150" t="s">
        <v>2706</v>
      </c>
      <c r="BT137" s="425" t="s">
        <v>2693</v>
      </c>
      <c r="BU137" s="150" t="s">
        <v>23</v>
      </c>
      <c r="BV137" s="150" t="s">
        <v>2659</v>
      </c>
      <c r="BW137" s="258" t="s">
        <v>2709</v>
      </c>
      <c r="BX137" s="428" t="s">
        <v>2697</v>
      </c>
      <c r="BY137" s="266">
        <v>13.9884</v>
      </c>
      <c r="BZ137" s="150" t="s">
        <v>24</v>
      </c>
      <c r="CA137" s="150">
        <f>15.7639-Table665[[#This Row],[Outcome1_M]]</f>
        <v>1.7754999999999992</v>
      </c>
      <c r="CB137" s="428" t="s">
        <v>2698</v>
      </c>
      <c r="CC137" s="266">
        <v>13.468</v>
      </c>
      <c r="CD137" s="150" t="s">
        <v>24</v>
      </c>
      <c r="CE137" s="150">
        <f>Table665[[#This Row],[Outcome2_M]]-11.9372</f>
        <v>1.5307999999999993</v>
      </c>
      <c r="CF137" s="290" t="s">
        <v>2707</v>
      </c>
      <c r="CG137" s="291" t="s">
        <v>2480</v>
      </c>
      <c r="CH137" s="428" t="s">
        <v>2703</v>
      </c>
      <c r="CI137" s="150">
        <v>74.607299999999995</v>
      </c>
      <c r="CJ137" s="150" t="s">
        <v>24</v>
      </c>
      <c r="CK137" s="150">
        <f>80.1047-Table665[[#This Row],[Outcome3_M]]</f>
        <v>5.497399999999999</v>
      </c>
      <c r="CL137" s="428" t="s">
        <v>2704</v>
      </c>
      <c r="CM137" s="150">
        <v>14.3979</v>
      </c>
      <c r="CN137" s="150" t="s">
        <v>24</v>
      </c>
      <c r="CO137" s="150">
        <f>17.5393-Table665[[#This Row],[Outcome4_M]]</f>
        <v>3.1414000000000009</v>
      </c>
      <c r="CP137" s="290" t="s">
        <v>2708</v>
      </c>
      <c r="CQ137" s="291" t="s">
        <v>2555</v>
      </c>
      <c r="CR137" s="278"/>
      <c r="CS137" s="285"/>
      <c r="CT137" s="428"/>
      <c r="CU137" s="266"/>
      <c r="CV137" s="150"/>
      <c r="CW137" s="425"/>
      <c r="CX137" s="425"/>
      <c r="CY137" s="150"/>
      <c r="CZ137" s="150"/>
      <c r="DA137" s="150"/>
      <c r="DB137" s="543"/>
      <c r="DC137" s="545"/>
      <c r="DD137" s="425"/>
      <c r="DE137" s="425"/>
      <c r="DF137" s="425"/>
      <c r="DG137" s="425"/>
      <c r="DH137" s="425"/>
      <c r="DI137" s="150"/>
      <c r="DJ137" s="150"/>
      <c r="DK137" s="150"/>
      <c r="DL137" s="543"/>
      <c r="DM137" s="545"/>
      <c r="DN137" s="278"/>
      <c r="DO137" s="279"/>
      <c r="DP137" s="425"/>
      <c r="DQ137" s="425"/>
      <c r="DR137" s="425"/>
      <c r="DS137" s="425"/>
      <c r="DT137" s="428"/>
      <c r="DU137" s="150"/>
      <c r="DV137" s="150"/>
      <c r="DW137" s="150"/>
      <c r="DX137" s="545"/>
      <c r="DY137" s="545"/>
      <c r="DZ137" s="428"/>
      <c r="EA137" s="425"/>
      <c r="EB137" s="425"/>
      <c r="EC137" s="425"/>
      <c r="ED137" s="428"/>
      <c r="EE137" s="150"/>
      <c r="EF137" s="150"/>
      <c r="EG137" s="150"/>
      <c r="EH137" s="545"/>
      <c r="EI137" s="545"/>
      <c r="EJ137" s="279"/>
      <c r="EK137" s="150"/>
      <c r="EL137" s="150"/>
      <c r="EM137" s="150"/>
      <c r="EN137" s="150"/>
      <c r="EO137" s="150"/>
      <c r="EP137" s="150"/>
      <c r="EQ137" s="150"/>
      <c r="ER137" s="150"/>
      <c r="ES137" s="303"/>
      <c r="ET137" s="303"/>
      <c r="EU137" s="150"/>
      <c r="EV137" s="150"/>
      <c r="EW137" s="150"/>
      <c r="EX137" s="150"/>
      <c r="EY137" s="134"/>
      <c r="EZ137" s="134"/>
      <c r="FA137" s="134"/>
      <c r="FB137" s="134"/>
      <c r="FC137" s="135"/>
      <c r="FD137" s="135"/>
      <c r="FE137" s="134"/>
      <c r="FF137" s="134"/>
      <c r="FG137" s="134"/>
      <c r="FH137" s="134"/>
      <c r="FI137" s="134"/>
      <c r="FJ137" s="134"/>
      <c r="FK137" s="134"/>
      <c r="FL137" s="134"/>
      <c r="FM137" s="135"/>
      <c r="FN137" s="135"/>
      <c r="FO137" s="134"/>
      <c r="FP137" s="134"/>
      <c r="FQ137" s="134"/>
      <c r="FR137" s="134"/>
      <c r="FS137" s="134"/>
      <c r="FT137" s="134"/>
      <c r="FU137" s="134"/>
      <c r="FV137" s="134"/>
      <c r="FW137" s="135"/>
      <c r="FX137" s="135"/>
      <c r="FY137" s="134"/>
      <c r="FZ137" s="134"/>
      <c r="GA137" s="134"/>
      <c r="GB137" s="134"/>
      <c r="GC137" s="134"/>
      <c r="GD137" s="134"/>
      <c r="GE137" s="134"/>
      <c r="GF137" s="134"/>
      <c r="GG137" s="135"/>
      <c r="GH137" s="135"/>
      <c r="GI137" s="134"/>
      <c r="GJ137" s="134"/>
      <c r="GK137" s="134"/>
      <c r="GL137" s="134"/>
      <c r="GM137" s="134"/>
      <c r="GN137" s="134"/>
      <c r="GO137" s="134"/>
      <c r="GP137" s="134"/>
      <c r="GQ137" s="135"/>
      <c r="GR137" s="135"/>
      <c r="GS137" s="134"/>
      <c r="GT137" s="134"/>
      <c r="GU137" s="134"/>
      <c r="GV137" s="134"/>
      <c r="GW137" s="134"/>
      <c r="GX137" s="134"/>
      <c r="GY137" s="134"/>
      <c r="GZ137" s="134"/>
      <c r="HA137" s="135"/>
      <c r="HB137" s="135"/>
      <c r="HC137" s="134"/>
      <c r="HD137" s="134"/>
      <c r="HE137" s="134"/>
      <c r="HF137" s="134"/>
      <c r="HG137" s="134"/>
      <c r="HH137" s="134"/>
      <c r="HI137" s="134"/>
      <c r="HJ137" s="134"/>
      <c r="HK137" s="135"/>
      <c r="HL137" s="135"/>
      <c r="HM137" s="134"/>
      <c r="HN137" s="134"/>
      <c r="HO137" s="134"/>
      <c r="HP137" s="134"/>
      <c r="HQ137" s="134"/>
      <c r="HR137" s="134"/>
      <c r="HS137" s="134"/>
      <c r="HT137" s="134"/>
      <c r="HU137" s="135"/>
      <c r="HV137" s="135"/>
      <c r="HW137" s="134"/>
      <c r="HX137" s="134"/>
      <c r="HY137" s="134"/>
      <c r="HZ137" s="134"/>
      <c r="IA137" s="134"/>
      <c r="IB137" s="134"/>
      <c r="IC137" s="134"/>
      <c r="ID137" s="134"/>
      <c r="IE137" s="135"/>
      <c r="IF137" s="135"/>
      <c r="IG137" s="134"/>
      <c r="IH137" s="134"/>
      <c r="II137" s="134"/>
      <c r="IJ137" s="134"/>
      <c r="IK137" s="134"/>
      <c r="IL137" s="134"/>
      <c r="IM137" s="134"/>
      <c r="IN137" s="134"/>
      <c r="IO137" s="135"/>
      <c r="IP137" s="135"/>
      <c r="IQ137" s="134"/>
      <c r="IR137" s="134"/>
      <c r="IS137" s="134"/>
      <c r="IT137" s="134"/>
      <c r="IU137" s="134"/>
      <c r="IV137" s="134"/>
      <c r="IW137" s="134"/>
      <c r="IX137" s="134"/>
      <c r="IY137" s="135"/>
      <c r="IZ137" s="135"/>
    </row>
    <row r="138" spans="1:260" customFormat="1" ht="17" customHeight="1">
      <c r="A138" s="118" t="s">
        <v>1097</v>
      </c>
      <c r="B138" s="363">
        <v>11</v>
      </c>
      <c r="C138" s="363"/>
      <c r="D138" s="363"/>
      <c r="E138" s="139" t="s">
        <v>1935</v>
      </c>
      <c r="F138" s="140" t="s">
        <v>2303</v>
      </c>
      <c r="G138" s="141">
        <v>2015</v>
      </c>
      <c r="H138" s="118">
        <v>25533726</v>
      </c>
      <c r="I138" s="118">
        <v>1</v>
      </c>
      <c r="J138" s="118">
        <v>1</v>
      </c>
      <c r="K138" s="118"/>
      <c r="L138" s="118">
        <v>1</v>
      </c>
      <c r="M138" s="118"/>
      <c r="N138" s="158">
        <v>1</v>
      </c>
      <c r="O138" s="142">
        <v>2</v>
      </c>
      <c r="P138" s="118" t="s">
        <v>1230</v>
      </c>
      <c r="Q138" s="118" t="s">
        <v>1162</v>
      </c>
      <c r="R138" s="118" t="s">
        <v>1127</v>
      </c>
      <c r="S138" s="118"/>
      <c r="T138" s="118" t="s">
        <v>1541</v>
      </c>
      <c r="U138" s="118" t="s">
        <v>23</v>
      </c>
      <c r="V138" s="118" t="s">
        <v>23</v>
      </c>
      <c r="W138" s="118" t="s">
        <v>1501</v>
      </c>
      <c r="X138" s="118" t="s">
        <v>1231</v>
      </c>
      <c r="Y138" s="118" t="s">
        <v>23</v>
      </c>
      <c r="Z138" s="118"/>
      <c r="AA138" s="118"/>
      <c r="AB138" s="118"/>
      <c r="AC138" s="145"/>
      <c r="AD138" s="573">
        <v>1</v>
      </c>
      <c r="AE138" s="573">
        <v>2</v>
      </c>
      <c r="AF138" s="233" t="s">
        <v>1917</v>
      </c>
      <c r="AG138" s="234" t="s">
        <v>3338</v>
      </c>
      <c r="AH138" s="122">
        <v>4</v>
      </c>
      <c r="AI138" s="485"/>
      <c r="AJ138" s="204" t="s">
        <v>2690</v>
      </c>
      <c r="AK138" s="192">
        <v>2</v>
      </c>
      <c r="AL138" s="205">
        <v>1</v>
      </c>
      <c r="AM138" s="122" t="s">
        <v>2710</v>
      </c>
      <c r="AN138" s="122">
        <v>10</v>
      </c>
      <c r="AO138" s="122">
        <v>10</v>
      </c>
      <c r="AP138" s="122" t="s">
        <v>803</v>
      </c>
      <c r="AQ138" s="122" t="s">
        <v>803</v>
      </c>
      <c r="AR138" s="122" t="s">
        <v>2687</v>
      </c>
      <c r="AS138" s="122" t="s">
        <v>24</v>
      </c>
      <c r="AT138" s="122" t="s">
        <v>2687</v>
      </c>
      <c r="AU138" s="122" t="s">
        <v>24</v>
      </c>
      <c r="AV138" s="122" t="s">
        <v>2695</v>
      </c>
      <c r="AW138" s="122">
        <v>1</v>
      </c>
      <c r="AX138" s="121" t="s">
        <v>3321</v>
      </c>
      <c r="AY138" s="122" t="s">
        <v>2696</v>
      </c>
      <c r="AZ138" s="122" t="s">
        <v>1130</v>
      </c>
      <c r="BA138" s="122" t="s">
        <v>2554</v>
      </c>
      <c r="BB138" s="122"/>
      <c r="BC138" s="122"/>
      <c r="BD138" s="161">
        <v>1</v>
      </c>
      <c r="BE138" s="161"/>
      <c r="BF138" s="161"/>
      <c r="BG138" s="161"/>
      <c r="BH138" s="161"/>
      <c r="BI138" s="161"/>
      <c r="BJ138" s="161"/>
      <c r="BK138" s="161"/>
      <c r="BL138" s="161"/>
      <c r="BM138" s="161"/>
      <c r="BN138" s="161"/>
      <c r="BO138" s="161"/>
      <c r="BP138" s="161"/>
      <c r="BQ138" s="162" t="s">
        <v>2694</v>
      </c>
      <c r="BR138" s="150" t="s">
        <v>1876</v>
      </c>
      <c r="BS138" s="150" t="s">
        <v>2711</v>
      </c>
      <c r="BT138" s="150" t="s">
        <v>2693</v>
      </c>
      <c r="BU138" s="150" t="s">
        <v>23</v>
      </c>
      <c r="BV138" s="150" t="s">
        <v>2659</v>
      </c>
      <c r="BW138" s="258" t="s">
        <v>2716</v>
      </c>
      <c r="BX138" s="428" t="s">
        <v>2699</v>
      </c>
      <c r="BY138" s="425">
        <v>14.1493</v>
      </c>
      <c r="BZ138" s="425" t="s">
        <v>24</v>
      </c>
      <c r="CA138" s="150">
        <f>16.4182-Table665[[#This Row],[Outcome1_M]]</f>
        <v>2.2688999999999986</v>
      </c>
      <c r="CB138" s="428" t="s">
        <v>2713</v>
      </c>
      <c r="CC138" s="150">
        <v>13.0587</v>
      </c>
      <c r="CD138" s="150" t="s">
        <v>24</v>
      </c>
      <c r="CE138" s="150">
        <f>16.3618-Table665[[#This Row],[Outcome2_M]]</f>
        <v>3.3030999999999988</v>
      </c>
      <c r="CF138" s="290" t="s">
        <v>2707</v>
      </c>
      <c r="CG138" s="291" t="s">
        <v>2480</v>
      </c>
      <c r="CH138" s="428" t="s">
        <v>2712</v>
      </c>
      <c r="CI138" s="150">
        <v>73.122900000000001</v>
      </c>
      <c r="CJ138" s="150" t="s">
        <v>24</v>
      </c>
      <c r="CK138" s="150">
        <f>77.8708-Table665[[#This Row],[Outcome3_M]]</f>
        <v>4.7479000000000013</v>
      </c>
      <c r="CL138" s="428" t="s">
        <v>2714</v>
      </c>
      <c r="CM138" s="150">
        <v>14.8607</v>
      </c>
      <c r="CN138" s="150" t="s">
        <v>24</v>
      </c>
      <c r="CO138" s="150">
        <f>16.9247-Table665[[#This Row],[Outcome4_M]]</f>
        <v>2.0640000000000018</v>
      </c>
      <c r="CP138" s="290" t="s">
        <v>2708</v>
      </c>
      <c r="CQ138" s="291" t="s">
        <v>2555</v>
      </c>
      <c r="CR138" s="278" t="s">
        <v>2715</v>
      </c>
      <c r="CS138" s="285" t="s">
        <v>2555</v>
      </c>
      <c r="CT138" s="151" t="s">
        <v>24</v>
      </c>
      <c r="CU138" s="150"/>
      <c r="CV138" s="150"/>
      <c r="CW138" s="150"/>
      <c r="CX138" s="150"/>
      <c r="CY138" s="150"/>
      <c r="CZ138" s="150"/>
      <c r="DA138" s="150"/>
      <c r="DB138" s="302"/>
      <c r="DC138" s="303"/>
      <c r="DD138" s="150"/>
      <c r="DE138" s="150"/>
      <c r="DF138" s="150"/>
      <c r="DG138" s="150"/>
      <c r="DH138" s="150"/>
      <c r="DI138" s="150"/>
      <c r="DJ138" s="150"/>
      <c r="DK138" s="150"/>
      <c r="DL138" s="302"/>
      <c r="DM138" s="303"/>
      <c r="DN138" s="278"/>
      <c r="DO138" s="279"/>
      <c r="DP138" s="150"/>
      <c r="DQ138" s="150"/>
      <c r="DR138" s="150"/>
      <c r="DS138" s="150"/>
      <c r="DT138" s="151"/>
      <c r="DU138" s="150"/>
      <c r="DV138" s="150"/>
      <c r="DW138" s="150"/>
      <c r="DX138" s="303"/>
      <c r="DY138" s="303"/>
      <c r="DZ138" s="151"/>
      <c r="EA138" s="150"/>
      <c r="EB138" s="150"/>
      <c r="EC138" s="150"/>
      <c r="ED138" s="151"/>
      <c r="EE138" s="150"/>
      <c r="EF138" s="150"/>
      <c r="EG138" s="150"/>
      <c r="EH138" s="303"/>
      <c r="EI138" s="303"/>
      <c r="EJ138" s="279"/>
      <c r="EK138" s="150"/>
      <c r="EL138" s="150"/>
      <c r="EM138" s="150"/>
      <c r="EN138" s="150"/>
      <c r="EO138" s="150"/>
      <c r="EP138" s="150"/>
      <c r="EQ138" s="150"/>
      <c r="ER138" s="150"/>
      <c r="ES138" s="303"/>
      <c r="ET138" s="303"/>
      <c r="EU138" s="150"/>
      <c r="EV138" s="150"/>
      <c r="EW138" s="150"/>
      <c r="EX138" s="150"/>
      <c r="EY138" s="134"/>
      <c r="EZ138" s="134"/>
      <c r="FA138" s="134"/>
      <c r="FB138" s="134"/>
      <c r="FC138" s="135"/>
      <c r="FD138" s="135"/>
      <c r="FE138" s="134"/>
      <c r="FF138" s="134"/>
      <c r="FG138" s="134"/>
      <c r="FH138" s="134"/>
      <c r="FI138" s="134"/>
      <c r="FJ138" s="134"/>
      <c r="FK138" s="134"/>
      <c r="FL138" s="134"/>
      <c r="FM138" s="135"/>
      <c r="FN138" s="135"/>
      <c r="FO138" s="134"/>
      <c r="FP138" s="134"/>
      <c r="FQ138" s="134"/>
      <c r="FR138" s="134"/>
      <c r="FS138" s="134"/>
      <c r="FT138" s="134"/>
      <c r="FU138" s="134"/>
      <c r="FV138" s="134"/>
      <c r="FW138" s="135"/>
      <c r="FX138" s="135"/>
      <c r="FY138" s="134"/>
      <c r="FZ138" s="134"/>
      <c r="GA138" s="134"/>
      <c r="GB138" s="134"/>
      <c r="GC138" s="134"/>
      <c r="GD138" s="134"/>
      <c r="GE138" s="134"/>
      <c r="GF138" s="134"/>
      <c r="GG138" s="135"/>
      <c r="GH138" s="135"/>
      <c r="GI138" s="134"/>
      <c r="GJ138" s="134"/>
      <c r="GK138" s="134"/>
      <c r="GL138" s="134"/>
      <c r="GM138" s="134"/>
      <c r="GN138" s="134"/>
      <c r="GO138" s="134"/>
      <c r="GP138" s="134"/>
      <c r="GQ138" s="135"/>
      <c r="GR138" s="135"/>
      <c r="GS138" s="134"/>
      <c r="GT138" s="134"/>
      <c r="GU138" s="134"/>
      <c r="GV138" s="134"/>
      <c r="GW138" s="134"/>
      <c r="GX138" s="134"/>
      <c r="GY138" s="134"/>
      <c r="GZ138" s="134"/>
      <c r="HA138" s="135"/>
      <c r="HB138" s="135"/>
      <c r="HC138" s="134"/>
      <c r="HD138" s="134"/>
      <c r="HE138" s="134"/>
      <c r="HF138" s="134"/>
      <c r="HG138" s="134"/>
      <c r="HH138" s="134"/>
      <c r="HI138" s="134"/>
      <c r="HJ138" s="134"/>
      <c r="HK138" s="135"/>
      <c r="HL138" s="135"/>
      <c r="HM138" s="134"/>
      <c r="HN138" s="134"/>
      <c r="HO138" s="134"/>
      <c r="HP138" s="134"/>
      <c r="HQ138" s="134"/>
      <c r="HR138" s="134"/>
      <c r="HS138" s="134"/>
      <c r="HT138" s="134"/>
      <c r="HU138" s="135"/>
      <c r="HV138" s="135"/>
      <c r="HW138" s="134"/>
      <c r="HX138" s="134"/>
      <c r="HY138" s="134"/>
      <c r="HZ138" s="134"/>
      <c r="IA138" s="134"/>
      <c r="IB138" s="134"/>
      <c r="IC138" s="134"/>
      <c r="ID138" s="134"/>
      <c r="IE138" s="135"/>
      <c r="IF138" s="135"/>
      <c r="IG138" s="134"/>
      <c r="IH138" s="134"/>
      <c r="II138" s="134"/>
      <c r="IJ138" s="134"/>
      <c r="IK138" s="134"/>
      <c r="IL138" s="134"/>
      <c r="IM138" s="134"/>
      <c r="IN138" s="134"/>
      <c r="IO138" s="135"/>
      <c r="IP138" s="135"/>
      <c r="IQ138" s="134"/>
      <c r="IR138" s="134"/>
      <c r="IS138" s="134"/>
      <c r="IT138" s="134"/>
      <c r="IU138" s="134"/>
      <c r="IV138" s="134"/>
      <c r="IW138" s="134"/>
      <c r="IX138" s="134"/>
      <c r="IY138" s="135"/>
      <c r="IZ138" s="135"/>
    </row>
    <row r="139" spans="1:260" s="119" customFormat="1" ht="17" customHeight="1">
      <c r="A139" s="79" t="s">
        <v>114</v>
      </c>
      <c r="B139" s="117">
        <v>81</v>
      </c>
      <c r="C139" s="117">
        <v>11</v>
      </c>
      <c r="D139" s="117"/>
      <c r="E139" s="123" t="s">
        <v>1936</v>
      </c>
      <c r="F139" s="124" t="s">
        <v>2154</v>
      </c>
      <c r="G139" s="125">
        <v>2014</v>
      </c>
      <c r="H139" s="79">
        <v>24766521</v>
      </c>
      <c r="I139" s="79">
        <v>1</v>
      </c>
      <c r="J139" s="126"/>
      <c r="K139" s="127"/>
      <c r="L139" s="79">
        <v>1</v>
      </c>
      <c r="M139" s="79"/>
      <c r="N139" s="79">
        <v>1</v>
      </c>
      <c r="O139" s="128">
        <v>1</v>
      </c>
      <c r="P139" s="79" t="s">
        <v>394</v>
      </c>
      <c r="Q139" s="79" t="s">
        <v>1147</v>
      </c>
      <c r="R139" s="79" t="s">
        <v>25</v>
      </c>
      <c r="S139" s="79"/>
      <c r="T139" s="79"/>
      <c r="U139" s="79"/>
      <c r="V139" s="79"/>
      <c r="W139" s="79" t="s">
        <v>393</v>
      </c>
      <c r="X139" s="79"/>
      <c r="Y139" s="79"/>
      <c r="Z139" s="79"/>
      <c r="AA139" s="79"/>
      <c r="AB139" s="79"/>
      <c r="AC139" s="506"/>
      <c r="AD139" s="573">
        <v>1</v>
      </c>
      <c r="AE139" s="573">
        <v>2</v>
      </c>
      <c r="AF139" s="165" t="s">
        <v>3003</v>
      </c>
      <c r="AG139" s="166" t="s">
        <v>3936</v>
      </c>
      <c r="AH139" s="120">
        <v>2</v>
      </c>
      <c r="AI139" s="484"/>
      <c r="AJ139" s="206" t="s">
        <v>3934</v>
      </c>
      <c r="AK139" s="372"/>
      <c r="AL139" s="207"/>
      <c r="AM139" s="120">
        <v>189</v>
      </c>
      <c r="AN139" s="120"/>
      <c r="AO139" s="120"/>
      <c r="AP139" s="120"/>
      <c r="AQ139" s="120"/>
      <c r="AR139" s="120"/>
      <c r="AS139" s="120"/>
      <c r="AT139" s="120"/>
      <c r="AU139" s="120"/>
      <c r="AV139" s="120"/>
      <c r="AW139" s="120"/>
      <c r="AX139" s="120"/>
      <c r="AY139" s="120"/>
      <c r="AZ139" s="120" t="s">
        <v>3835</v>
      </c>
      <c r="BA139" s="120" t="s">
        <v>1875</v>
      </c>
      <c r="BB139" s="120"/>
      <c r="BC139" s="120"/>
      <c r="BD139" s="373"/>
      <c r="BE139" s="373"/>
      <c r="BF139" s="373"/>
      <c r="BG139" s="373"/>
      <c r="BH139" s="373"/>
      <c r="BI139" s="373"/>
      <c r="BJ139" s="373">
        <v>1</v>
      </c>
      <c r="BK139" s="373"/>
      <c r="BL139" s="373"/>
      <c r="BM139" s="373"/>
      <c r="BN139" s="373"/>
      <c r="BO139" s="373"/>
      <c r="BP139" s="373"/>
      <c r="BQ139" s="374"/>
      <c r="BR139" s="120"/>
      <c r="BS139" s="120"/>
      <c r="BT139" s="120"/>
      <c r="BU139" s="120"/>
      <c r="BV139" s="120"/>
      <c r="BW139" s="375" t="s">
        <v>3935</v>
      </c>
      <c r="BX139" s="430"/>
      <c r="BY139" s="426"/>
      <c r="BZ139" s="426"/>
      <c r="CA139" s="134"/>
      <c r="CB139" s="138"/>
      <c r="CC139" s="134"/>
      <c r="CD139" s="134"/>
      <c r="CE139" s="134"/>
      <c r="CF139" s="288"/>
      <c r="CG139" s="289"/>
      <c r="CH139" s="430"/>
      <c r="CI139" s="134"/>
      <c r="CJ139" s="134"/>
      <c r="CK139" s="134"/>
      <c r="CL139" s="430"/>
      <c r="CM139" s="134"/>
      <c r="CN139" s="134"/>
      <c r="CO139" s="134"/>
      <c r="CP139" s="288"/>
      <c r="CQ139" s="289"/>
      <c r="CR139" s="276"/>
      <c r="CS139" s="308"/>
      <c r="CT139" s="138"/>
      <c r="CU139" s="134"/>
      <c r="CV139" s="134"/>
      <c r="CW139" s="134"/>
      <c r="CX139" s="134"/>
      <c r="CY139" s="134"/>
      <c r="CZ139" s="134"/>
      <c r="DA139" s="134"/>
      <c r="DB139" s="300"/>
      <c r="DC139" s="301"/>
      <c r="DD139" s="134"/>
      <c r="DE139" s="134"/>
      <c r="DF139" s="134"/>
      <c r="DG139" s="134"/>
      <c r="DH139" s="134"/>
      <c r="DI139" s="134"/>
      <c r="DJ139" s="134"/>
      <c r="DK139" s="134"/>
      <c r="DL139" s="300"/>
      <c r="DM139" s="301"/>
      <c r="DN139" s="276"/>
      <c r="DO139" s="277"/>
      <c r="DP139" s="134"/>
      <c r="DQ139" s="134"/>
      <c r="DR139" s="134"/>
      <c r="DS139" s="134"/>
      <c r="DT139" s="138"/>
      <c r="DU139" s="134"/>
      <c r="DV139" s="134"/>
      <c r="DW139" s="134"/>
      <c r="DX139" s="301"/>
      <c r="DY139" s="301"/>
      <c r="DZ139" s="138"/>
      <c r="EA139" s="134"/>
      <c r="EB139" s="134"/>
      <c r="EC139" s="134"/>
      <c r="ED139" s="138"/>
      <c r="EE139" s="134"/>
      <c r="EF139" s="134"/>
      <c r="EG139" s="134"/>
      <c r="EH139" s="301"/>
      <c r="EI139" s="301"/>
      <c r="EJ139" s="277"/>
      <c r="EK139" s="134"/>
      <c r="EL139" s="134"/>
      <c r="EM139" s="134"/>
      <c r="EN139" s="134"/>
      <c r="EO139" s="134"/>
      <c r="EP139" s="134"/>
      <c r="EQ139" s="134"/>
      <c r="ER139" s="134"/>
      <c r="ES139" s="301"/>
      <c r="ET139" s="301"/>
      <c r="EU139" s="134"/>
      <c r="EV139" s="134"/>
      <c r="EW139" s="134"/>
      <c r="EX139" s="134"/>
      <c r="EY139" s="134"/>
      <c r="EZ139" s="134"/>
      <c r="FA139" s="134"/>
      <c r="FB139" s="134"/>
      <c r="FC139" s="135"/>
      <c r="FD139" s="135"/>
      <c r="FE139" s="134"/>
      <c r="FF139" s="134"/>
      <c r="FG139" s="134"/>
      <c r="FH139" s="134"/>
      <c r="FI139" s="134"/>
      <c r="FJ139" s="134"/>
      <c r="FK139" s="134"/>
      <c r="FL139" s="134"/>
      <c r="FM139" s="135"/>
      <c r="FN139" s="135"/>
      <c r="FO139" s="134"/>
      <c r="FP139" s="134"/>
      <c r="FQ139" s="134"/>
      <c r="FR139" s="134"/>
      <c r="FS139" s="134"/>
      <c r="FT139" s="134"/>
      <c r="FU139" s="134"/>
      <c r="FV139" s="134"/>
      <c r="FW139" s="135"/>
      <c r="FX139" s="135"/>
      <c r="FY139" s="134"/>
      <c r="FZ139" s="134"/>
      <c r="GA139" s="134"/>
      <c r="GB139" s="134"/>
      <c r="GC139" s="134"/>
      <c r="GD139" s="134"/>
      <c r="GE139" s="134"/>
      <c r="GF139" s="134"/>
      <c r="GG139" s="135"/>
      <c r="GH139" s="135"/>
      <c r="GI139" s="134"/>
      <c r="GJ139" s="134"/>
      <c r="GK139" s="134"/>
      <c r="GL139" s="134"/>
      <c r="GM139" s="134"/>
      <c r="GN139" s="134"/>
      <c r="GO139" s="134"/>
      <c r="GP139" s="134"/>
      <c r="GQ139" s="135"/>
      <c r="GR139" s="135"/>
      <c r="GS139" s="134"/>
      <c r="GT139" s="134"/>
      <c r="GU139" s="134"/>
      <c r="GV139" s="134"/>
      <c r="GW139" s="134"/>
      <c r="GX139" s="134"/>
      <c r="GY139" s="134"/>
      <c r="GZ139" s="134"/>
      <c r="HA139" s="135"/>
      <c r="HB139" s="135"/>
      <c r="HC139" s="134"/>
      <c r="HD139" s="134"/>
      <c r="HE139" s="134"/>
      <c r="HF139" s="134"/>
      <c r="HG139" s="134"/>
      <c r="HH139" s="134"/>
      <c r="HI139" s="134"/>
      <c r="HJ139" s="134"/>
      <c r="HK139" s="135"/>
      <c r="HL139" s="135"/>
      <c r="HM139" s="134"/>
      <c r="HN139" s="134"/>
      <c r="HO139" s="134"/>
      <c r="HP139" s="134"/>
      <c r="HQ139" s="134"/>
      <c r="HR139" s="134"/>
      <c r="HS139" s="134"/>
      <c r="HT139" s="134"/>
      <c r="HU139" s="135"/>
      <c r="HV139" s="135"/>
      <c r="HW139" s="134"/>
      <c r="HX139" s="134"/>
      <c r="HY139" s="134"/>
      <c r="HZ139" s="134"/>
      <c r="IA139" s="134"/>
      <c r="IB139" s="134"/>
      <c r="IC139" s="134"/>
      <c r="ID139" s="134"/>
      <c r="IE139" s="135"/>
      <c r="IF139" s="135"/>
      <c r="IG139" s="134"/>
      <c r="IH139" s="134"/>
      <c r="II139" s="134"/>
      <c r="IJ139" s="134"/>
      <c r="IK139" s="134"/>
      <c r="IL139" s="134"/>
      <c r="IM139" s="134"/>
      <c r="IN139" s="134"/>
      <c r="IO139" s="135"/>
      <c r="IP139" s="135"/>
      <c r="IQ139" s="134"/>
      <c r="IR139" s="134"/>
      <c r="IS139" s="134"/>
      <c r="IT139" s="134"/>
      <c r="IU139" s="134"/>
      <c r="IV139" s="134"/>
      <c r="IW139" s="134"/>
      <c r="IX139" s="134"/>
      <c r="IY139" s="135"/>
      <c r="IZ139" s="135"/>
    </row>
    <row r="140" spans="1:260" customFormat="1" ht="17" customHeight="1">
      <c r="A140" s="79" t="s">
        <v>115</v>
      </c>
      <c r="B140" s="117">
        <v>82</v>
      </c>
      <c r="C140" s="117">
        <v>12</v>
      </c>
      <c r="D140" s="117"/>
      <c r="E140" s="123" t="s">
        <v>1936</v>
      </c>
      <c r="F140" s="124" t="s">
        <v>2155</v>
      </c>
      <c r="G140" s="125">
        <v>2016</v>
      </c>
      <c r="H140" s="79">
        <v>27058006</v>
      </c>
      <c r="I140" s="79">
        <v>1</v>
      </c>
      <c r="J140" s="126"/>
      <c r="K140" s="127"/>
      <c r="L140" s="79">
        <v>1</v>
      </c>
      <c r="M140" s="79"/>
      <c r="N140" s="79">
        <v>1</v>
      </c>
      <c r="O140" s="128">
        <v>1</v>
      </c>
      <c r="P140" s="79" t="s">
        <v>390</v>
      </c>
      <c r="Q140" s="79" t="s">
        <v>1147</v>
      </c>
      <c r="R140" s="79" t="s">
        <v>391</v>
      </c>
      <c r="S140" s="79">
        <v>1</v>
      </c>
      <c r="T140" s="79"/>
      <c r="U140" s="79"/>
      <c r="V140" s="79"/>
      <c r="W140" s="79"/>
      <c r="X140" s="79" t="s">
        <v>389</v>
      </c>
      <c r="Y140" s="79"/>
      <c r="Z140" s="79"/>
      <c r="AA140" s="79"/>
      <c r="AB140" s="79" t="s">
        <v>392</v>
      </c>
      <c r="AC140" s="506"/>
      <c r="AD140" s="573">
        <v>1</v>
      </c>
      <c r="AE140" s="573">
        <v>2</v>
      </c>
      <c r="AF140" s="165" t="s">
        <v>3003</v>
      </c>
      <c r="AG140" s="166" t="s">
        <v>3937</v>
      </c>
      <c r="AH140" s="120">
        <v>2</v>
      </c>
      <c r="AI140" s="484"/>
      <c r="AJ140" s="206"/>
      <c r="AK140" s="372"/>
      <c r="AL140" s="207"/>
      <c r="AM140" s="120"/>
      <c r="AN140" s="120"/>
      <c r="AO140" s="120"/>
      <c r="AP140" s="120"/>
      <c r="AQ140" s="120"/>
      <c r="AR140" s="120"/>
      <c r="AS140" s="120"/>
      <c r="AT140" s="120"/>
      <c r="AU140" s="120"/>
      <c r="AV140" s="120"/>
      <c r="AW140" s="120"/>
      <c r="AX140" s="120"/>
      <c r="AY140" s="120"/>
      <c r="AZ140" s="120"/>
      <c r="BA140" s="120"/>
      <c r="BB140" s="120"/>
      <c r="BC140" s="120"/>
      <c r="BD140" s="373"/>
      <c r="BE140" s="373"/>
      <c r="BF140" s="373"/>
      <c r="BG140" s="373"/>
      <c r="BH140" s="373"/>
      <c r="BI140" s="373"/>
      <c r="BJ140" s="373">
        <v>1</v>
      </c>
      <c r="BK140" s="373"/>
      <c r="BL140" s="373"/>
      <c r="BM140" s="373"/>
      <c r="BN140" s="373"/>
      <c r="BO140" s="373"/>
      <c r="BP140" s="373"/>
      <c r="BQ140" s="374"/>
      <c r="BR140" s="120"/>
      <c r="BS140" s="120"/>
      <c r="BT140" s="120"/>
      <c r="BU140" s="120"/>
      <c r="BV140" s="120"/>
      <c r="BW140" s="375" t="s">
        <v>24</v>
      </c>
      <c r="BX140" s="138"/>
      <c r="BY140" s="134"/>
      <c r="BZ140" s="134"/>
      <c r="CA140" s="190"/>
      <c r="CB140" s="138"/>
      <c r="CC140" s="134"/>
      <c r="CD140" s="134"/>
      <c r="CE140" s="134"/>
      <c r="CF140" s="288"/>
      <c r="CG140" s="289"/>
      <c r="CH140" s="439"/>
      <c r="CI140" s="190"/>
      <c r="CJ140" s="134"/>
      <c r="CK140" s="190"/>
      <c r="CL140" s="138"/>
      <c r="CM140" s="134"/>
      <c r="CN140" s="134"/>
      <c r="CO140" s="134"/>
      <c r="CP140" s="288"/>
      <c r="CQ140" s="289"/>
      <c r="CR140" s="276"/>
      <c r="CS140" s="308"/>
      <c r="CT140" s="138"/>
      <c r="CU140" s="134"/>
      <c r="CV140" s="134"/>
      <c r="CW140" s="134"/>
      <c r="CX140" s="134"/>
      <c r="CY140" s="134"/>
      <c r="CZ140" s="134"/>
      <c r="DA140" s="134"/>
      <c r="DB140" s="300"/>
      <c r="DC140" s="301"/>
      <c r="DD140" s="134"/>
      <c r="DE140" s="134"/>
      <c r="DF140" s="134"/>
      <c r="DG140" s="134"/>
      <c r="DH140" s="134"/>
      <c r="DI140" s="134"/>
      <c r="DJ140" s="134"/>
      <c r="DK140" s="134"/>
      <c r="DL140" s="300"/>
      <c r="DM140" s="301"/>
      <c r="DN140" s="276"/>
      <c r="DO140" s="277"/>
      <c r="DP140" s="134"/>
      <c r="DQ140" s="134"/>
      <c r="DR140" s="134"/>
      <c r="DS140" s="134"/>
      <c r="DT140" s="138"/>
      <c r="DU140" s="134"/>
      <c r="DV140" s="134"/>
      <c r="DW140" s="134"/>
      <c r="DX140" s="301"/>
      <c r="DY140" s="301"/>
      <c r="DZ140" s="138"/>
      <c r="EA140" s="134"/>
      <c r="EB140" s="134"/>
      <c r="EC140" s="134"/>
      <c r="ED140" s="138"/>
      <c r="EE140" s="134"/>
      <c r="EF140" s="134"/>
      <c r="EG140" s="134"/>
      <c r="EH140" s="301"/>
      <c r="EI140" s="301"/>
      <c r="EJ140" s="277"/>
      <c r="EK140" s="134"/>
      <c r="EL140" s="134"/>
      <c r="EM140" s="134"/>
      <c r="EN140" s="134"/>
      <c r="EO140" s="134"/>
      <c r="EP140" s="134"/>
      <c r="EQ140" s="134"/>
      <c r="ER140" s="134"/>
      <c r="ES140" s="301"/>
      <c r="ET140" s="301"/>
      <c r="EU140" s="134"/>
      <c r="EV140" s="134"/>
      <c r="EW140" s="134"/>
      <c r="EX140" s="134"/>
      <c r="EY140" s="134"/>
      <c r="EZ140" s="134"/>
      <c r="FA140" s="134"/>
      <c r="FB140" s="134"/>
      <c r="FC140" s="135"/>
      <c r="FD140" s="135"/>
      <c r="FE140" s="134"/>
      <c r="FF140" s="134"/>
      <c r="FG140" s="134"/>
      <c r="FH140" s="134"/>
      <c r="FI140" s="134"/>
      <c r="FJ140" s="134"/>
      <c r="FK140" s="134"/>
      <c r="FL140" s="134"/>
      <c r="FM140" s="135"/>
      <c r="FN140" s="135"/>
      <c r="FO140" s="134"/>
      <c r="FP140" s="134"/>
      <c r="FQ140" s="134"/>
      <c r="FR140" s="134"/>
      <c r="FS140" s="134"/>
      <c r="FT140" s="134"/>
      <c r="FU140" s="134"/>
      <c r="FV140" s="134"/>
      <c r="FW140" s="135"/>
      <c r="FX140" s="135"/>
      <c r="FY140" s="134"/>
      <c r="FZ140" s="134"/>
      <c r="GA140" s="134"/>
      <c r="GB140" s="134"/>
      <c r="GC140" s="134"/>
      <c r="GD140" s="134"/>
      <c r="GE140" s="134"/>
      <c r="GF140" s="134"/>
      <c r="GG140" s="135"/>
      <c r="GH140" s="135"/>
      <c r="GI140" s="134"/>
      <c r="GJ140" s="134"/>
      <c r="GK140" s="134"/>
      <c r="GL140" s="134"/>
      <c r="GM140" s="134"/>
      <c r="GN140" s="134"/>
      <c r="GO140" s="134"/>
      <c r="GP140" s="134"/>
      <c r="GQ140" s="135"/>
      <c r="GR140" s="135"/>
      <c r="GS140" s="134"/>
      <c r="GT140" s="134"/>
      <c r="GU140" s="134"/>
      <c r="GV140" s="134"/>
      <c r="GW140" s="134"/>
      <c r="GX140" s="134"/>
      <c r="GY140" s="134"/>
      <c r="GZ140" s="134"/>
      <c r="HA140" s="135"/>
      <c r="HB140" s="135"/>
      <c r="HC140" s="134"/>
      <c r="HD140" s="134"/>
      <c r="HE140" s="134"/>
      <c r="HF140" s="134"/>
      <c r="HG140" s="134"/>
      <c r="HH140" s="134"/>
      <c r="HI140" s="134"/>
      <c r="HJ140" s="134"/>
      <c r="HK140" s="135"/>
      <c r="HL140" s="135"/>
      <c r="HM140" s="134"/>
      <c r="HN140" s="134"/>
      <c r="HO140" s="134"/>
      <c r="HP140" s="134"/>
      <c r="HQ140" s="134"/>
      <c r="HR140" s="134"/>
      <c r="HS140" s="134"/>
      <c r="HT140" s="134"/>
      <c r="HU140" s="135"/>
      <c r="HV140" s="135"/>
      <c r="HW140" s="134"/>
      <c r="HX140" s="134"/>
      <c r="HY140" s="134"/>
      <c r="HZ140" s="134"/>
      <c r="IA140" s="134"/>
      <c r="IB140" s="134"/>
      <c r="IC140" s="134"/>
      <c r="ID140" s="134"/>
      <c r="IE140" s="135"/>
      <c r="IF140" s="135"/>
      <c r="IG140" s="134"/>
      <c r="IH140" s="134"/>
      <c r="II140" s="134"/>
      <c r="IJ140" s="134"/>
      <c r="IK140" s="134"/>
      <c r="IL140" s="134"/>
      <c r="IM140" s="134"/>
      <c r="IN140" s="134"/>
      <c r="IO140" s="135"/>
      <c r="IP140" s="135"/>
      <c r="IQ140" s="134"/>
      <c r="IR140" s="134"/>
      <c r="IS140" s="134"/>
      <c r="IT140" s="134"/>
      <c r="IU140" s="134"/>
      <c r="IV140" s="134"/>
      <c r="IW140" s="134"/>
      <c r="IX140" s="134"/>
      <c r="IY140" s="135"/>
      <c r="IZ140" s="135"/>
    </row>
    <row r="141" spans="1:260" customFormat="1" ht="17" customHeight="1">
      <c r="A141" s="79" t="s">
        <v>119</v>
      </c>
      <c r="B141" s="117">
        <v>84</v>
      </c>
      <c r="C141" s="117">
        <v>13</v>
      </c>
      <c r="D141" s="117"/>
      <c r="E141" s="123" t="s">
        <v>1938</v>
      </c>
      <c r="F141" s="124" t="s">
        <v>2157</v>
      </c>
      <c r="G141" s="125">
        <v>2013</v>
      </c>
      <c r="H141" s="79">
        <v>24330891</v>
      </c>
      <c r="I141" s="172" t="s">
        <v>1796</v>
      </c>
      <c r="J141" s="126"/>
      <c r="K141" s="127"/>
      <c r="L141" s="79">
        <v>1</v>
      </c>
      <c r="M141" s="79"/>
      <c r="N141" s="79">
        <v>1</v>
      </c>
      <c r="O141" s="128">
        <v>1</v>
      </c>
      <c r="P141" s="79" t="s">
        <v>401</v>
      </c>
      <c r="Q141" s="79" t="s">
        <v>1180</v>
      </c>
      <c r="R141" s="79" t="s">
        <v>402</v>
      </c>
      <c r="S141" s="79">
        <v>1</v>
      </c>
      <c r="T141" s="79"/>
      <c r="U141" s="79"/>
      <c r="V141" s="79"/>
      <c r="W141" s="79" t="s">
        <v>400</v>
      </c>
      <c r="X141" s="79" t="s">
        <v>24</v>
      </c>
      <c r="Y141" s="79"/>
      <c r="Z141" s="79"/>
      <c r="AA141" s="79"/>
      <c r="AB141" s="79"/>
      <c r="AC141" s="506"/>
      <c r="AD141" s="573">
        <v>1</v>
      </c>
      <c r="AE141" s="573">
        <v>2</v>
      </c>
      <c r="AF141" s="154">
        <v>1</v>
      </c>
      <c r="AG141" s="155"/>
      <c r="AH141" s="121">
        <v>2</v>
      </c>
      <c r="AI141" s="484"/>
      <c r="AJ141" s="202" t="s">
        <v>3938</v>
      </c>
      <c r="AK141" s="192" t="s">
        <v>3957</v>
      </c>
      <c r="AL141" s="203" t="s">
        <v>24</v>
      </c>
      <c r="AM141" s="121">
        <v>535</v>
      </c>
      <c r="AN141" s="121">
        <v>196</v>
      </c>
      <c r="AO141" s="121">
        <v>339</v>
      </c>
      <c r="AP141" s="121" t="s">
        <v>3941</v>
      </c>
      <c r="AQ141" s="121" t="s">
        <v>3940</v>
      </c>
      <c r="AR141" s="121">
        <v>55.9</v>
      </c>
      <c r="AS141" s="121">
        <v>10</v>
      </c>
      <c r="AT141" s="121">
        <v>54.2</v>
      </c>
      <c r="AU141" s="121">
        <v>8.9</v>
      </c>
      <c r="AV141" s="121" t="s">
        <v>3942</v>
      </c>
      <c r="AW141" s="121" t="s">
        <v>24</v>
      </c>
      <c r="AX141" s="121" t="s">
        <v>24</v>
      </c>
      <c r="AY141" s="121" t="s">
        <v>2423</v>
      </c>
      <c r="AZ141" s="121" t="s">
        <v>3939</v>
      </c>
      <c r="BA141" s="121" t="s">
        <v>3943</v>
      </c>
      <c r="BB141" s="121"/>
      <c r="BC141" s="121"/>
      <c r="BD141" s="156"/>
      <c r="BE141" s="156"/>
      <c r="BF141" s="156"/>
      <c r="BG141" s="156" t="s">
        <v>3840</v>
      </c>
      <c r="BH141" s="156"/>
      <c r="BI141" s="156" t="s">
        <v>3840</v>
      </c>
      <c r="BJ141" s="156">
        <v>1</v>
      </c>
      <c r="BK141" s="156"/>
      <c r="BL141" s="156" t="s">
        <v>3840</v>
      </c>
      <c r="BM141" s="156"/>
      <c r="BN141" s="156"/>
      <c r="BO141" s="156"/>
      <c r="BP141" s="156"/>
      <c r="BQ141" s="157" t="s">
        <v>3956</v>
      </c>
      <c r="BR141" s="134" t="s">
        <v>1876</v>
      </c>
      <c r="BS141" s="134">
        <v>2</v>
      </c>
      <c r="BT141" s="134" t="s">
        <v>3955</v>
      </c>
      <c r="BU141" s="134" t="s">
        <v>24</v>
      </c>
      <c r="BV141" s="134" t="s">
        <v>3945</v>
      </c>
      <c r="BW141" s="259" t="s">
        <v>3954</v>
      </c>
      <c r="BX141" s="138" t="s">
        <v>3946</v>
      </c>
      <c r="BY141" s="134">
        <v>7</v>
      </c>
      <c r="BZ141" s="134">
        <v>1.7</v>
      </c>
      <c r="CA141" s="134" t="s">
        <v>24</v>
      </c>
      <c r="CB141" s="138" t="s">
        <v>3947</v>
      </c>
      <c r="CC141" s="134">
        <v>7.5</v>
      </c>
      <c r="CD141" s="134">
        <v>1.5</v>
      </c>
      <c r="CE141" s="134" t="s">
        <v>24</v>
      </c>
      <c r="CF141" s="288" t="s">
        <v>3948</v>
      </c>
      <c r="CG141" s="289" t="s">
        <v>2846</v>
      </c>
      <c r="CH141" s="138" t="s">
        <v>3949</v>
      </c>
      <c r="CI141" s="134">
        <v>10.7</v>
      </c>
      <c r="CJ141" s="134">
        <v>1.4</v>
      </c>
      <c r="CK141" s="134" t="s">
        <v>24</v>
      </c>
      <c r="CL141" s="138" t="s">
        <v>3950</v>
      </c>
      <c r="CM141" s="134">
        <v>10.9</v>
      </c>
      <c r="CN141" s="134">
        <v>1.3</v>
      </c>
      <c r="CO141" s="134" t="s">
        <v>24</v>
      </c>
      <c r="CP141" s="288" t="s">
        <v>3951</v>
      </c>
      <c r="CQ141" s="289" t="s">
        <v>3952</v>
      </c>
      <c r="CR141" s="276" t="s">
        <v>3953</v>
      </c>
      <c r="CS141" s="308" t="s">
        <v>24</v>
      </c>
      <c r="CT141" s="138"/>
      <c r="CU141" s="190"/>
      <c r="CV141" s="134"/>
      <c r="CW141" s="190"/>
      <c r="CX141" s="134"/>
      <c r="CY141" s="134"/>
      <c r="CZ141" s="134"/>
      <c r="DA141" s="134"/>
      <c r="DB141" s="300"/>
      <c r="DC141" s="301"/>
      <c r="DD141" s="426"/>
      <c r="DE141" s="451"/>
      <c r="DF141" s="426"/>
      <c r="DG141" s="451"/>
      <c r="DH141" s="426"/>
      <c r="DI141" s="134"/>
      <c r="DJ141" s="134"/>
      <c r="DK141" s="134"/>
      <c r="DL141" s="300"/>
      <c r="DM141" s="301"/>
      <c r="DN141" s="276"/>
      <c r="DO141" s="277"/>
      <c r="DP141" s="426"/>
      <c r="DQ141" s="451"/>
      <c r="DR141" s="426"/>
      <c r="DS141" s="451"/>
      <c r="DT141" s="430"/>
      <c r="DU141" s="134"/>
      <c r="DV141" s="134"/>
      <c r="DW141" s="134"/>
      <c r="DX141" s="301"/>
      <c r="DY141" s="301"/>
      <c r="DZ141" s="138"/>
      <c r="EA141" s="134"/>
      <c r="EB141" s="134"/>
      <c r="EC141" s="134"/>
      <c r="ED141" s="138"/>
      <c r="EE141" s="134"/>
      <c r="EF141" s="134"/>
      <c r="EG141" s="134"/>
      <c r="EH141" s="301"/>
      <c r="EI141" s="301"/>
      <c r="EJ141" s="277"/>
      <c r="EK141" s="134"/>
      <c r="EL141" s="134"/>
      <c r="EM141" s="134"/>
      <c r="EN141" s="134"/>
      <c r="EO141" s="134"/>
      <c r="EP141" s="134"/>
      <c r="EQ141" s="134"/>
      <c r="ER141" s="134"/>
      <c r="ES141" s="301"/>
      <c r="ET141" s="301"/>
      <c r="EU141" s="134"/>
      <c r="EV141" s="134"/>
      <c r="EW141" s="134"/>
      <c r="EX141" s="134"/>
      <c r="EY141" s="134"/>
      <c r="EZ141" s="134"/>
      <c r="FA141" s="134"/>
      <c r="FB141" s="134"/>
      <c r="FC141" s="135"/>
      <c r="FD141" s="135"/>
      <c r="FE141" s="134"/>
      <c r="FF141" s="134"/>
      <c r="FG141" s="134"/>
      <c r="FH141" s="134"/>
      <c r="FI141" s="134"/>
      <c r="FJ141" s="134"/>
      <c r="FK141" s="134"/>
      <c r="FL141" s="134"/>
      <c r="FM141" s="135"/>
      <c r="FN141" s="135"/>
      <c r="FO141" s="134"/>
      <c r="FP141" s="134"/>
      <c r="FQ141" s="134"/>
      <c r="FR141" s="134"/>
      <c r="FS141" s="134"/>
      <c r="FT141" s="134"/>
      <c r="FU141" s="134"/>
      <c r="FV141" s="134"/>
      <c r="FW141" s="135"/>
      <c r="FX141" s="135"/>
      <c r="FY141" s="134"/>
      <c r="FZ141" s="134"/>
      <c r="GA141" s="134"/>
      <c r="GB141" s="134"/>
      <c r="GC141" s="134"/>
      <c r="GD141" s="134"/>
      <c r="GE141" s="134"/>
      <c r="GF141" s="134"/>
      <c r="GG141" s="135"/>
      <c r="GH141" s="135"/>
      <c r="GI141" s="134"/>
      <c r="GJ141" s="134"/>
      <c r="GK141" s="134"/>
      <c r="GL141" s="134"/>
      <c r="GM141" s="134"/>
      <c r="GN141" s="134"/>
      <c r="GO141" s="134"/>
      <c r="GP141" s="134"/>
      <c r="GQ141" s="135"/>
      <c r="GR141" s="135"/>
      <c r="GS141" s="134"/>
      <c r="GT141" s="134"/>
      <c r="GU141" s="134"/>
      <c r="GV141" s="134"/>
      <c r="GW141" s="134"/>
      <c r="GX141" s="134"/>
      <c r="GY141" s="134"/>
      <c r="GZ141" s="134"/>
      <c r="HA141" s="135"/>
      <c r="HB141" s="135"/>
      <c r="HC141" s="134"/>
      <c r="HD141" s="134"/>
      <c r="HE141" s="134"/>
      <c r="HF141" s="134"/>
      <c r="HG141" s="134"/>
      <c r="HH141" s="134"/>
      <c r="HI141" s="134"/>
      <c r="HJ141" s="134"/>
      <c r="HK141" s="135"/>
      <c r="HL141" s="135"/>
      <c r="HM141" s="134"/>
      <c r="HN141" s="134"/>
      <c r="HO141" s="134"/>
      <c r="HP141" s="134"/>
      <c r="HQ141" s="134"/>
      <c r="HR141" s="134"/>
      <c r="HS141" s="134"/>
      <c r="HT141" s="134"/>
      <c r="HU141" s="135"/>
      <c r="HV141" s="135"/>
      <c r="HW141" s="134"/>
      <c r="HX141" s="134"/>
      <c r="HY141" s="134"/>
      <c r="HZ141" s="134"/>
      <c r="IA141" s="134"/>
      <c r="IB141" s="134"/>
      <c r="IC141" s="134"/>
      <c r="ID141" s="134"/>
      <c r="IE141" s="135"/>
      <c r="IF141" s="135"/>
      <c r="IG141" s="134"/>
      <c r="IH141" s="134"/>
      <c r="II141" s="134"/>
      <c r="IJ141" s="134"/>
      <c r="IK141" s="134"/>
      <c r="IL141" s="134"/>
      <c r="IM141" s="134"/>
      <c r="IN141" s="134"/>
      <c r="IO141" s="135"/>
      <c r="IP141" s="135"/>
      <c r="IQ141" s="134"/>
      <c r="IR141" s="134"/>
      <c r="IS141" s="134"/>
      <c r="IT141" s="134"/>
      <c r="IU141" s="134"/>
      <c r="IV141" s="134"/>
      <c r="IW141" s="134"/>
      <c r="IX141" s="134"/>
      <c r="IY141" s="135"/>
      <c r="IZ141" s="135"/>
    </row>
    <row r="142" spans="1:260" customFormat="1" ht="17" customHeight="1">
      <c r="A142" s="79" t="s">
        <v>1091</v>
      </c>
      <c r="B142" s="117">
        <v>85</v>
      </c>
      <c r="C142" s="117">
        <v>14</v>
      </c>
      <c r="D142" s="117"/>
      <c r="E142" s="123" t="s">
        <v>1938</v>
      </c>
      <c r="F142" s="124" t="s">
        <v>2305</v>
      </c>
      <c r="G142" s="125">
        <v>2011</v>
      </c>
      <c r="H142" s="79">
        <v>21194896</v>
      </c>
      <c r="I142" s="79">
        <v>1</v>
      </c>
      <c r="J142" s="126"/>
      <c r="K142" s="127"/>
      <c r="L142" s="79">
        <v>1</v>
      </c>
      <c r="M142" s="79"/>
      <c r="N142" s="79">
        <v>1</v>
      </c>
      <c r="O142" s="128">
        <v>2</v>
      </c>
      <c r="P142" s="79" t="s">
        <v>1253</v>
      </c>
      <c r="Q142" s="79" t="s">
        <v>1251</v>
      </c>
      <c r="R142" s="79" t="s">
        <v>1127</v>
      </c>
      <c r="S142" s="79"/>
      <c r="T142" s="79" t="s">
        <v>1507</v>
      </c>
      <c r="U142" s="79" t="s">
        <v>23</v>
      </c>
      <c r="V142" s="79" t="s">
        <v>23</v>
      </c>
      <c r="W142" s="79" t="s">
        <v>1250</v>
      </c>
      <c r="X142" s="79"/>
      <c r="Y142" s="79" t="s">
        <v>1252</v>
      </c>
      <c r="Z142" s="79"/>
      <c r="AA142" s="79" t="s">
        <v>1249</v>
      </c>
      <c r="AB142" s="79"/>
      <c r="AC142" s="506"/>
      <c r="AD142" s="573">
        <v>1</v>
      </c>
      <c r="AE142" s="573">
        <v>2</v>
      </c>
      <c r="AF142" s="154">
        <v>1</v>
      </c>
      <c r="AG142" s="155"/>
      <c r="AH142" s="121">
        <v>4</v>
      </c>
      <c r="AI142" s="484"/>
      <c r="AJ142" s="235" t="s">
        <v>3966</v>
      </c>
      <c r="AK142" s="192">
        <v>0</v>
      </c>
      <c r="AL142" s="203">
        <v>1</v>
      </c>
      <c r="AM142" s="121" t="s">
        <v>3968</v>
      </c>
      <c r="AN142" s="121" t="s">
        <v>3970</v>
      </c>
      <c r="AO142" s="121" t="s">
        <v>3969</v>
      </c>
      <c r="AP142" s="121" t="s">
        <v>803</v>
      </c>
      <c r="AQ142" s="121" t="s">
        <v>803</v>
      </c>
      <c r="AR142" s="121" t="s">
        <v>2687</v>
      </c>
      <c r="AS142" s="121" t="s">
        <v>24</v>
      </c>
      <c r="AT142" s="121" t="s">
        <v>2687</v>
      </c>
      <c r="AU142" s="121" t="s">
        <v>24</v>
      </c>
      <c r="AV142" s="121" t="s">
        <v>3958</v>
      </c>
      <c r="AW142" s="121">
        <v>1</v>
      </c>
      <c r="AX142" s="121">
        <v>1</v>
      </c>
      <c r="AY142" s="121" t="s">
        <v>3959</v>
      </c>
      <c r="AZ142" s="121" t="s">
        <v>1130</v>
      </c>
      <c r="BA142" s="121" t="s">
        <v>3971</v>
      </c>
      <c r="BB142" s="121"/>
      <c r="BC142" s="121"/>
      <c r="BD142" s="156">
        <v>1</v>
      </c>
      <c r="BE142" s="156"/>
      <c r="BF142" s="156"/>
      <c r="BG142" s="156"/>
      <c r="BH142" s="156"/>
      <c r="BI142" s="156"/>
      <c r="BJ142" s="156"/>
      <c r="BK142" s="156"/>
      <c r="BL142" s="156"/>
      <c r="BM142" s="156"/>
      <c r="BN142" s="156"/>
      <c r="BO142" s="156"/>
      <c r="BP142" s="156"/>
      <c r="BQ142" s="157" t="s">
        <v>3680</v>
      </c>
      <c r="BR142" s="134" t="s">
        <v>1876</v>
      </c>
      <c r="BS142" s="134"/>
      <c r="BT142" s="134" t="s">
        <v>3960</v>
      </c>
      <c r="BU142" s="134" t="s">
        <v>3961</v>
      </c>
      <c r="BV142" s="134" t="s">
        <v>3224</v>
      </c>
      <c r="BW142" s="259" t="s">
        <v>3965</v>
      </c>
      <c r="BX142" s="138" t="s">
        <v>3962</v>
      </c>
      <c r="BY142" s="134">
        <v>62.9041</v>
      </c>
      <c r="BZ142" s="168" t="s">
        <v>24</v>
      </c>
      <c r="CA142" s="134">
        <f>67.8479-Table665[[#This Row],[Outcome1_M]]</f>
        <v>4.943799999999996</v>
      </c>
      <c r="CB142" s="138" t="s">
        <v>3963</v>
      </c>
      <c r="CC142" s="134">
        <v>16.452200000000001</v>
      </c>
      <c r="CD142" s="134" t="s">
        <v>24</v>
      </c>
      <c r="CE142" s="134">
        <f>22.969-Table665[[#This Row],[Outcome2_M]]</f>
        <v>6.5167999999999999</v>
      </c>
      <c r="CF142" s="288" t="s">
        <v>3964</v>
      </c>
      <c r="CG142" s="289" t="s">
        <v>3967</v>
      </c>
      <c r="CH142" s="138"/>
      <c r="CI142" s="134"/>
      <c r="CJ142" s="134"/>
      <c r="CK142" s="134"/>
      <c r="CL142" s="138"/>
      <c r="CM142" s="134"/>
      <c r="CN142" s="134"/>
      <c r="CO142" s="134"/>
      <c r="CP142" s="288"/>
      <c r="CQ142" s="289"/>
      <c r="CR142" s="276"/>
      <c r="CS142" s="308"/>
      <c r="CT142" s="138"/>
      <c r="CU142" s="134"/>
      <c r="CV142" s="134"/>
      <c r="CW142" s="134"/>
      <c r="CX142" s="134"/>
      <c r="CY142" s="134"/>
      <c r="CZ142" s="134"/>
      <c r="DA142" s="134"/>
      <c r="DB142" s="300"/>
      <c r="DC142" s="301"/>
      <c r="DD142" s="134"/>
      <c r="DE142" s="134"/>
      <c r="DF142" s="134"/>
      <c r="DG142" s="134"/>
      <c r="DH142" s="134"/>
      <c r="DI142" s="134"/>
      <c r="DJ142" s="134"/>
      <c r="DK142" s="134"/>
      <c r="DL142" s="300"/>
      <c r="DM142" s="301"/>
      <c r="DN142" s="276"/>
      <c r="DO142" s="277"/>
      <c r="DP142" s="134"/>
      <c r="DQ142" s="134"/>
      <c r="DR142" s="134"/>
      <c r="DS142" s="134"/>
      <c r="DT142" s="138"/>
      <c r="DU142" s="134"/>
      <c r="DV142" s="134"/>
      <c r="DW142" s="134"/>
      <c r="DX142" s="301"/>
      <c r="DY142" s="301"/>
      <c r="DZ142" s="138"/>
      <c r="EA142" s="134"/>
      <c r="EB142" s="134"/>
      <c r="EC142" s="134"/>
      <c r="ED142" s="138"/>
      <c r="EE142" s="134"/>
      <c r="EF142" s="134"/>
      <c r="EG142" s="134"/>
      <c r="EH142" s="301"/>
      <c r="EI142" s="301"/>
      <c r="EJ142" s="277"/>
      <c r="EK142" s="134"/>
      <c r="EL142" s="134"/>
      <c r="EM142" s="134"/>
      <c r="EN142" s="134"/>
      <c r="EO142" s="134"/>
      <c r="EP142" s="134"/>
      <c r="EQ142" s="134"/>
      <c r="ER142" s="134"/>
      <c r="ES142" s="301"/>
      <c r="ET142" s="301"/>
      <c r="EU142" s="134"/>
      <c r="EV142" s="134"/>
      <c r="EW142" s="134"/>
      <c r="EX142" s="134"/>
      <c r="EY142" s="134"/>
      <c r="EZ142" s="134"/>
      <c r="FA142" s="134"/>
      <c r="FB142" s="134"/>
      <c r="FC142" s="135"/>
      <c r="FD142" s="135"/>
      <c r="FE142" s="134"/>
      <c r="FF142" s="134"/>
      <c r="FG142" s="134"/>
      <c r="FH142" s="134"/>
      <c r="FI142" s="134"/>
      <c r="FJ142" s="134"/>
      <c r="FK142" s="134"/>
      <c r="FL142" s="134"/>
      <c r="FM142" s="135"/>
      <c r="FN142" s="135"/>
      <c r="FO142" s="134"/>
      <c r="FP142" s="134"/>
      <c r="FQ142" s="134"/>
      <c r="FR142" s="134"/>
      <c r="FS142" s="134"/>
      <c r="FT142" s="134"/>
      <c r="FU142" s="134"/>
      <c r="FV142" s="134"/>
      <c r="FW142" s="135"/>
      <c r="FX142" s="135"/>
      <c r="FY142" s="134"/>
      <c r="FZ142" s="134"/>
      <c r="GA142" s="134"/>
      <c r="GB142" s="134"/>
      <c r="GC142" s="134"/>
      <c r="GD142" s="134"/>
      <c r="GE142" s="134"/>
      <c r="GF142" s="134"/>
      <c r="GG142" s="135"/>
      <c r="GH142" s="135"/>
      <c r="GI142" s="134"/>
      <c r="GJ142" s="134"/>
      <c r="GK142" s="134"/>
      <c r="GL142" s="134"/>
      <c r="GM142" s="134"/>
      <c r="GN142" s="134"/>
      <c r="GO142" s="134"/>
      <c r="GP142" s="134"/>
      <c r="GQ142" s="135"/>
      <c r="GR142" s="135"/>
      <c r="GS142" s="134"/>
      <c r="GT142" s="134"/>
      <c r="GU142" s="134"/>
      <c r="GV142" s="134"/>
      <c r="GW142" s="134"/>
      <c r="GX142" s="134"/>
      <c r="GY142" s="134"/>
      <c r="GZ142" s="134"/>
      <c r="HA142" s="135"/>
      <c r="HB142" s="135"/>
      <c r="HC142" s="134"/>
      <c r="HD142" s="134"/>
      <c r="HE142" s="134"/>
      <c r="HF142" s="134"/>
      <c r="HG142" s="134"/>
      <c r="HH142" s="134"/>
      <c r="HI142" s="134"/>
      <c r="HJ142" s="134"/>
      <c r="HK142" s="135"/>
      <c r="HL142" s="135"/>
      <c r="HM142" s="134"/>
      <c r="HN142" s="134"/>
      <c r="HO142" s="134"/>
      <c r="HP142" s="134"/>
      <c r="HQ142" s="134"/>
      <c r="HR142" s="134"/>
      <c r="HS142" s="134"/>
      <c r="HT142" s="134"/>
      <c r="HU142" s="135"/>
      <c r="HV142" s="135"/>
      <c r="HW142" s="134"/>
      <c r="HX142" s="134"/>
      <c r="HY142" s="134"/>
      <c r="HZ142" s="134"/>
      <c r="IA142" s="134"/>
      <c r="IB142" s="134"/>
      <c r="IC142" s="134"/>
      <c r="ID142" s="134"/>
      <c r="IE142" s="135"/>
      <c r="IF142" s="135"/>
      <c r="IG142" s="134"/>
      <c r="IH142" s="134"/>
      <c r="II142" s="134"/>
      <c r="IJ142" s="134"/>
      <c r="IK142" s="134"/>
      <c r="IL142" s="134"/>
      <c r="IM142" s="134"/>
      <c r="IN142" s="134"/>
      <c r="IO142" s="135"/>
      <c r="IP142" s="135"/>
      <c r="IQ142" s="134"/>
      <c r="IR142" s="134"/>
      <c r="IS142" s="134"/>
      <c r="IT142" s="134"/>
      <c r="IU142" s="134"/>
      <c r="IV142" s="134"/>
      <c r="IW142" s="134"/>
      <c r="IX142" s="134"/>
      <c r="IY142" s="135"/>
      <c r="IZ142" s="135"/>
    </row>
    <row r="143" spans="1:260" s="119" customFormat="1" ht="17" customHeight="1">
      <c r="A143" s="79" t="s">
        <v>1089</v>
      </c>
      <c r="B143" s="458">
        <v>87</v>
      </c>
      <c r="C143" s="458">
        <v>15</v>
      </c>
      <c r="D143" s="458"/>
      <c r="E143" s="180" t="s">
        <v>1938</v>
      </c>
      <c r="F143" s="181" t="s">
        <v>2307</v>
      </c>
      <c r="G143" s="182">
        <v>2009</v>
      </c>
      <c r="H143" s="79">
        <v>18700055</v>
      </c>
      <c r="I143" s="79">
        <v>1</v>
      </c>
      <c r="J143" s="79"/>
      <c r="K143" s="79"/>
      <c r="L143" s="79">
        <v>1</v>
      </c>
      <c r="M143" s="79"/>
      <c r="N143" s="171">
        <v>1</v>
      </c>
      <c r="O143" s="128">
        <v>2</v>
      </c>
      <c r="P143" s="79" t="s">
        <v>1258</v>
      </c>
      <c r="Q143" s="79" t="s">
        <v>1251</v>
      </c>
      <c r="R143" s="79" t="s">
        <v>1127</v>
      </c>
      <c r="S143" s="79"/>
      <c r="T143" s="79" t="s">
        <v>1707</v>
      </c>
      <c r="U143" s="79" t="s">
        <v>23</v>
      </c>
      <c r="V143" s="79" t="s">
        <v>23</v>
      </c>
      <c r="W143" s="79" t="s">
        <v>1257</v>
      </c>
      <c r="X143" s="79" t="s">
        <v>24</v>
      </c>
      <c r="Y143" s="79" t="s">
        <v>1132</v>
      </c>
      <c r="Z143" s="79"/>
      <c r="AA143" s="79"/>
      <c r="AB143" s="79"/>
      <c r="AC143" s="506"/>
      <c r="AD143" s="573">
        <v>1</v>
      </c>
      <c r="AE143" s="573">
        <v>2</v>
      </c>
      <c r="AF143" s="352">
        <v>1</v>
      </c>
      <c r="AG143" s="353" t="s">
        <v>4106</v>
      </c>
      <c r="AH143" s="346">
        <v>4</v>
      </c>
      <c r="AI143" s="487"/>
      <c r="AJ143" s="459" t="s">
        <v>3972</v>
      </c>
      <c r="AK143" s="348" t="s">
        <v>4089</v>
      </c>
      <c r="AL143" s="349">
        <v>0</v>
      </c>
      <c r="AM143" s="346">
        <v>108</v>
      </c>
      <c r="AN143" s="346" t="s">
        <v>3973</v>
      </c>
      <c r="AO143" s="346">
        <v>17</v>
      </c>
      <c r="AP143" s="346" t="s">
        <v>803</v>
      </c>
      <c r="AQ143" s="346" t="s">
        <v>803</v>
      </c>
      <c r="AR143" s="460" t="s">
        <v>3403</v>
      </c>
      <c r="AS143" s="346" t="s">
        <v>24</v>
      </c>
      <c r="AT143" s="460" t="s">
        <v>3403</v>
      </c>
      <c r="AU143" s="346" t="s">
        <v>24</v>
      </c>
      <c r="AV143" s="346" t="s">
        <v>4066</v>
      </c>
      <c r="AW143" s="346">
        <v>1</v>
      </c>
      <c r="AX143" s="346">
        <v>1</v>
      </c>
      <c r="AY143" s="346" t="s">
        <v>4064</v>
      </c>
      <c r="AZ143" s="346" t="s">
        <v>1130</v>
      </c>
      <c r="BA143" s="346" t="s">
        <v>3279</v>
      </c>
      <c r="BB143" s="346"/>
      <c r="BC143" s="346"/>
      <c r="BD143" s="184">
        <v>1</v>
      </c>
      <c r="BE143" s="184"/>
      <c r="BF143" s="184"/>
      <c r="BG143" s="184"/>
      <c r="BH143" s="184"/>
      <c r="BI143" s="184"/>
      <c r="BJ143" s="184">
        <v>1</v>
      </c>
      <c r="BK143" s="184"/>
      <c r="BL143" s="184"/>
      <c r="BM143" s="184"/>
      <c r="BN143" s="184"/>
      <c r="BO143" s="184"/>
      <c r="BP143" s="184"/>
      <c r="BQ143" s="185" t="s">
        <v>4088</v>
      </c>
      <c r="BR143" s="186" t="s">
        <v>1876</v>
      </c>
      <c r="BS143" s="186">
        <v>5</v>
      </c>
      <c r="BT143" s="186" t="s">
        <v>4067</v>
      </c>
      <c r="BU143" s="186" t="s">
        <v>1121</v>
      </c>
      <c r="BV143" s="186" t="s">
        <v>4091</v>
      </c>
      <c r="BW143" s="261" t="s">
        <v>4084</v>
      </c>
      <c r="BX143" s="267" t="s">
        <v>4071</v>
      </c>
      <c r="BY143" s="186">
        <v>240</v>
      </c>
      <c r="BZ143" s="186" t="s">
        <v>24</v>
      </c>
      <c r="CA143" s="186">
        <f>252.203-Table665[[#This Row],[Outcome1_M]]</f>
        <v>12.203000000000003</v>
      </c>
      <c r="CB143" s="267" t="s">
        <v>4072</v>
      </c>
      <c r="CC143" s="186">
        <v>23.389800000000001</v>
      </c>
      <c r="CD143" s="186" t="s">
        <v>24</v>
      </c>
      <c r="CE143" s="186">
        <f>36.6102-Table665[[#This Row],[Outcome2_M]]</f>
        <v>13.220399999999998</v>
      </c>
      <c r="CF143" s="294" t="s">
        <v>4076</v>
      </c>
      <c r="CG143" s="295" t="s">
        <v>3062</v>
      </c>
      <c r="CH143" s="569" t="s">
        <v>4073</v>
      </c>
      <c r="CI143" s="271">
        <v>158.64400000000001</v>
      </c>
      <c r="CJ143" s="186" t="s">
        <v>24</v>
      </c>
      <c r="CK143" s="271">
        <f>164.746-Table665[[#This Row],[Outcome3_M]]</f>
        <v>6.1020000000000039</v>
      </c>
      <c r="CL143" s="569" t="s">
        <v>4074</v>
      </c>
      <c r="CM143" s="186">
        <v>83.389799999999994</v>
      </c>
      <c r="CN143" s="186" t="s">
        <v>24</v>
      </c>
      <c r="CO143" s="186">
        <f>88.4746-Table665[[#This Row],[Outcome4_M]]</f>
        <v>5.0848000000000013</v>
      </c>
      <c r="CP143" s="294" t="s">
        <v>4077</v>
      </c>
      <c r="CQ143" s="295" t="s">
        <v>4078</v>
      </c>
      <c r="CR143" s="280" t="s">
        <v>4081</v>
      </c>
      <c r="CS143" s="310" t="s">
        <v>4082</v>
      </c>
      <c r="CT143" s="267" t="s">
        <v>4075</v>
      </c>
      <c r="CU143" s="186">
        <v>46.0169</v>
      </c>
      <c r="CV143" s="186" t="s">
        <v>24</v>
      </c>
      <c r="CW143" s="186">
        <f>49.8305-Table665[[#This Row],[Outcome5_M]]</f>
        <v>3.813600000000001</v>
      </c>
      <c r="CX143" s="186" t="s">
        <v>24</v>
      </c>
      <c r="CY143" s="186" t="s">
        <v>24</v>
      </c>
      <c r="CZ143" s="186" t="s">
        <v>24</v>
      </c>
      <c r="DA143" s="186" t="s">
        <v>24</v>
      </c>
      <c r="DB143" s="305" t="s">
        <v>4079</v>
      </c>
      <c r="DC143" s="315" t="s">
        <v>4080</v>
      </c>
      <c r="DD143" s="186"/>
      <c r="DE143" s="186"/>
      <c r="DF143" s="186"/>
      <c r="DG143" s="186"/>
      <c r="DH143" s="186"/>
      <c r="DI143" s="186"/>
      <c r="DJ143" s="186"/>
      <c r="DK143" s="186"/>
      <c r="DL143" s="305"/>
      <c r="DM143" s="315"/>
      <c r="DN143" s="280"/>
      <c r="DO143" s="281"/>
      <c r="DP143" s="186"/>
      <c r="DQ143" s="186"/>
      <c r="DR143" s="186"/>
      <c r="DS143" s="186"/>
      <c r="DT143" s="267"/>
      <c r="DU143" s="186"/>
      <c r="DV143" s="186"/>
      <c r="DW143" s="186"/>
      <c r="DX143" s="315"/>
      <c r="DY143" s="315"/>
      <c r="DZ143" s="267"/>
      <c r="EA143" s="186"/>
      <c r="EB143" s="186"/>
      <c r="EC143" s="186"/>
      <c r="ED143" s="267"/>
      <c r="EE143" s="186"/>
      <c r="EF143" s="186"/>
      <c r="EG143" s="186"/>
      <c r="EH143" s="315"/>
      <c r="EI143" s="315"/>
      <c r="EJ143" s="281"/>
      <c r="EK143" s="186"/>
      <c r="EL143" s="186"/>
      <c r="EM143" s="186"/>
      <c r="EN143" s="186"/>
      <c r="EO143" s="186"/>
      <c r="EP143" s="186"/>
      <c r="EQ143" s="186"/>
      <c r="ER143" s="186"/>
      <c r="ES143" s="315"/>
      <c r="ET143" s="315"/>
      <c r="EU143" s="186"/>
      <c r="EV143" s="186"/>
      <c r="EW143" s="186"/>
      <c r="EX143" s="186"/>
      <c r="EY143" s="134"/>
      <c r="EZ143" s="134"/>
      <c r="FA143" s="134"/>
      <c r="FB143" s="134"/>
      <c r="FC143" s="135"/>
      <c r="FD143" s="135"/>
      <c r="FE143" s="134"/>
      <c r="FF143" s="134"/>
      <c r="FG143" s="134"/>
      <c r="FH143" s="134"/>
      <c r="FI143" s="134"/>
      <c r="FJ143" s="134"/>
      <c r="FK143" s="134"/>
      <c r="FL143" s="134"/>
      <c r="FM143" s="135"/>
      <c r="FN143" s="135"/>
      <c r="FO143" s="134"/>
      <c r="FP143" s="134"/>
      <c r="FQ143" s="134"/>
      <c r="FR143" s="134"/>
      <c r="FS143" s="134"/>
      <c r="FT143" s="134"/>
      <c r="FU143" s="134"/>
      <c r="FV143" s="134"/>
      <c r="FW143" s="135"/>
      <c r="FX143" s="135"/>
      <c r="FY143" s="134"/>
      <c r="FZ143" s="134"/>
      <c r="GA143" s="134"/>
      <c r="GB143" s="134"/>
      <c r="GC143" s="134"/>
      <c r="GD143" s="134"/>
      <c r="GE143" s="134"/>
      <c r="GF143" s="134"/>
      <c r="GG143" s="135"/>
      <c r="GH143" s="135"/>
      <c r="GI143" s="134"/>
      <c r="GJ143" s="134"/>
      <c r="GK143" s="134"/>
      <c r="GL143" s="134"/>
      <c r="GM143" s="134"/>
      <c r="GN143" s="134"/>
      <c r="GO143" s="134"/>
      <c r="GP143" s="134"/>
      <c r="GQ143" s="135"/>
      <c r="GR143" s="135"/>
      <c r="GS143" s="134"/>
      <c r="GT143" s="134"/>
      <c r="GU143" s="134"/>
      <c r="GV143" s="134"/>
      <c r="GW143" s="134"/>
      <c r="GX143" s="134"/>
      <c r="GY143" s="134"/>
      <c r="GZ143" s="134"/>
      <c r="HA143" s="135"/>
      <c r="HB143" s="135"/>
      <c r="HC143" s="134"/>
      <c r="HD143" s="134"/>
      <c r="HE143" s="134"/>
      <c r="HF143" s="134"/>
      <c r="HG143" s="134"/>
      <c r="HH143" s="134"/>
      <c r="HI143" s="134"/>
      <c r="HJ143" s="134"/>
      <c r="HK143" s="135"/>
      <c r="HL143" s="135"/>
      <c r="HM143" s="134"/>
      <c r="HN143" s="134"/>
      <c r="HO143" s="134"/>
      <c r="HP143" s="134"/>
      <c r="HQ143" s="134"/>
      <c r="HR143" s="134"/>
      <c r="HS143" s="134"/>
      <c r="HT143" s="134"/>
      <c r="HU143" s="135"/>
      <c r="HV143" s="135"/>
      <c r="HW143" s="134"/>
      <c r="HX143" s="134"/>
      <c r="HY143" s="134"/>
      <c r="HZ143" s="134"/>
      <c r="IA143" s="134"/>
      <c r="IB143" s="134"/>
      <c r="IC143" s="134"/>
      <c r="ID143" s="134"/>
      <c r="IE143" s="135"/>
      <c r="IF143" s="135"/>
      <c r="IG143" s="134"/>
      <c r="IH143" s="134"/>
      <c r="II143" s="134"/>
      <c r="IJ143" s="134"/>
      <c r="IK143" s="134"/>
      <c r="IL143" s="134"/>
      <c r="IM143" s="134"/>
      <c r="IN143" s="134"/>
      <c r="IO143" s="135"/>
      <c r="IP143" s="135"/>
      <c r="IQ143" s="134"/>
      <c r="IR143" s="134"/>
      <c r="IS143" s="134"/>
      <c r="IT143" s="134"/>
      <c r="IU143" s="134"/>
      <c r="IV143" s="134"/>
      <c r="IW143" s="134"/>
      <c r="IX143" s="134"/>
      <c r="IY143" s="135"/>
      <c r="IZ143" s="135"/>
    </row>
    <row r="144" spans="1:260" s="119" customFormat="1" ht="17" customHeight="1">
      <c r="A144" s="118" t="s">
        <v>1089</v>
      </c>
      <c r="B144" s="381">
        <v>87</v>
      </c>
      <c r="C144" s="381">
        <v>15</v>
      </c>
      <c r="D144" s="381"/>
      <c r="E144" s="139" t="s">
        <v>1938</v>
      </c>
      <c r="F144" s="140" t="s">
        <v>2307</v>
      </c>
      <c r="G144" s="141">
        <v>2009</v>
      </c>
      <c r="H144" s="118">
        <v>18700055</v>
      </c>
      <c r="I144" s="118">
        <v>1</v>
      </c>
      <c r="J144" s="118"/>
      <c r="K144" s="118"/>
      <c r="L144" s="118">
        <v>1</v>
      </c>
      <c r="M144" s="118"/>
      <c r="N144" s="461">
        <v>1</v>
      </c>
      <c r="O144" s="142">
        <v>2</v>
      </c>
      <c r="P144" s="118" t="s">
        <v>1258</v>
      </c>
      <c r="Q144" s="118" t="s">
        <v>1251</v>
      </c>
      <c r="R144" s="118" t="s">
        <v>1127</v>
      </c>
      <c r="S144" s="118"/>
      <c r="T144" s="118" t="s">
        <v>1707</v>
      </c>
      <c r="U144" s="118" t="s">
        <v>23</v>
      </c>
      <c r="V144" s="118" t="s">
        <v>23</v>
      </c>
      <c r="W144" s="118" t="s">
        <v>1257</v>
      </c>
      <c r="X144" s="118" t="s">
        <v>24</v>
      </c>
      <c r="Y144" s="118" t="s">
        <v>1132</v>
      </c>
      <c r="Z144" s="118"/>
      <c r="AA144" s="118"/>
      <c r="AB144" s="118"/>
      <c r="AC144" s="145"/>
      <c r="AD144" s="573">
        <v>1</v>
      </c>
      <c r="AE144" s="573">
        <v>2</v>
      </c>
      <c r="AF144" s="159">
        <v>1</v>
      </c>
      <c r="AG144" s="160" t="s">
        <v>4106</v>
      </c>
      <c r="AH144" s="122">
        <v>4</v>
      </c>
      <c r="AI144" s="485"/>
      <c r="AJ144" s="204" t="s">
        <v>3972</v>
      </c>
      <c r="AK144" s="192" t="s">
        <v>4089</v>
      </c>
      <c r="AL144" s="205">
        <v>0</v>
      </c>
      <c r="AM144" s="122">
        <v>30</v>
      </c>
      <c r="AN144" s="122" t="s">
        <v>3974</v>
      </c>
      <c r="AO144" s="122">
        <v>15</v>
      </c>
      <c r="AP144" s="122" t="s">
        <v>803</v>
      </c>
      <c r="AQ144" s="122" t="s">
        <v>803</v>
      </c>
      <c r="AR144" s="358" t="s">
        <v>3403</v>
      </c>
      <c r="AS144" s="122" t="s">
        <v>24</v>
      </c>
      <c r="AT144" s="358" t="s">
        <v>3403</v>
      </c>
      <c r="AU144" s="122" t="s">
        <v>24</v>
      </c>
      <c r="AV144" s="122" t="s">
        <v>4065</v>
      </c>
      <c r="AW144" s="122">
        <v>1</v>
      </c>
      <c r="AX144" s="122">
        <v>1</v>
      </c>
      <c r="AY144" s="122" t="s">
        <v>4064</v>
      </c>
      <c r="AZ144" s="122" t="s">
        <v>1130</v>
      </c>
      <c r="BA144" s="122" t="s">
        <v>3279</v>
      </c>
      <c r="BB144" s="122"/>
      <c r="BC144" s="122"/>
      <c r="BD144" s="161">
        <v>1</v>
      </c>
      <c r="BE144" s="161"/>
      <c r="BF144" s="161"/>
      <c r="BG144" s="161"/>
      <c r="BH144" s="161"/>
      <c r="BI144" s="161"/>
      <c r="BJ144" s="161">
        <v>1</v>
      </c>
      <c r="BK144" s="161"/>
      <c r="BL144" s="161"/>
      <c r="BM144" s="161"/>
      <c r="BN144" s="161"/>
      <c r="BO144" s="161"/>
      <c r="BP144" s="161"/>
      <c r="BQ144" s="162" t="s">
        <v>4088</v>
      </c>
      <c r="BR144" s="150" t="s">
        <v>1876</v>
      </c>
      <c r="BS144" s="150">
        <v>2</v>
      </c>
      <c r="BT144" s="150" t="s">
        <v>4068</v>
      </c>
      <c r="BU144" s="150" t="s">
        <v>1121</v>
      </c>
      <c r="BV144" s="150" t="s">
        <v>4091</v>
      </c>
      <c r="BW144" s="258" t="s">
        <v>4085</v>
      </c>
      <c r="BX144" s="151" t="s">
        <v>4070</v>
      </c>
      <c r="BY144" s="150">
        <v>44.679400000000001</v>
      </c>
      <c r="BZ144" s="228" t="s">
        <v>24</v>
      </c>
      <c r="CA144" s="150">
        <f>50.7715-Table665[[#This Row],[Outcome1_M]]</f>
        <v>6.0921000000000021</v>
      </c>
      <c r="CB144" s="151" t="s">
        <v>4069</v>
      </c>
      <c r="CC144" s="150">
        <v>48.732199999999999</v>
      </c>
      <c r="CD144" s="150" t="s">
        <v>24</v>
      </c>
      <c r="CE144" s="150">
        <f>54.8242-Table665[[#This Row],[Outcome2_M]]</f>
        <v>6.0919999999999987</v>
      </c>
      <c r="CF144" s="290" t="s">
        <v>4083</v>
      </c>
      <c r="CG144" s="291" t="s">
        <v>2480</v>
      </c>
      <c r="CH144" s="438" t="s">
        <v>24</v>
      </c>
      <c r="CI144" s="266"/>
      <c r="CJ144" s="150"/>
      <c r="CK144" s="266"/>
      <c r="CL144" s="151"/>
      <c r="CM144" s="150"/>
      <c r="CN144" s="150"/>
      <c r="CO144" s="150"/>
      <c r="CP144" s="290"/>
      <c r="CQ144" s="291"/>
      <c r="CR144" s="278"/>
      <c r="CS144" s="285"/>
      <c r="CT144" s="151"/>
      <c r="CU144" s="150"/>
      <c r="CV144" s="150"/>
      <c r="CW144" s="150"/>
      <c r="CX144" s="150"/>
      <c r="CY144" s="150"/>
      <c r="CZ144" s="150"/>
      <c r="DA144" s="150"/>
      <c r="DB144" s="302"/>
      <c r="DC144" s="303"/>
      <c r="DD144" s="150"/>
      <c r="DE144" s="150"/>
      <c r="DF144" s="150"/>
      <c r="DG144" s="150"/>
      <c r="DH144" s="150"/>
      <c r="DI144" s="150"/>
      <c r="DJ144" s="150"/>
      <c r="DK144" s="150"/>
      <c r="DL144" s="302"/>
      <c r="DM144" s="303"/>
      <c r="DN144" s="278"/>
      <c r="DO144" s="279"/>
      <c r="DP144" s="150"/>
      <c r="DQ144" s="150"/>
      <c r="DR144" s="150"/>
      <c r="DS144" s="150"/>
      <c r="DT144" s="151"/>
      <c r="DU144" s="150"/>
      <c r="DV144" s="150"/>
      <c r="DW144" s="150"/>
      <c r="DX144" s="303"/>
      <c r="DY144" s="303"/>
      <c r="DZ144" s="151"/>
      <c r="EA144" s="150"/>
      <c r="EB144" s="150"/>
      <c r="EC144" s="150"/>
      <c r="ED144" s="151"/>
      <c r="EE144" s="150"/>
      <c r="EF144" s="150"/>
      <c r="EG144" s="150"/>
      <c r="EH144" s="303"/>
      <c r="EI144" s="303"/>
      <c r="EJ144" s="279"/>
      <c r="EK144" s="150"/>
      <c r="EL144" s="150"/>
      <c r="EM144" s="150"/>
      <c r="EN144" s="150"/>
      <c r="EO144" s="150"/>
      <c r="EP144" s="150"/>
      <c r="EQ144" s="150"/>
      <c r="ER144" s="150"/>
      <c r="ES144" s="303"/>
      <c r="ET144" s="303"/>
      <c r="EU144" s="150"/>
      <c r="EV144" s="150"/>
      <c r="EW144" s="150"/>
      <c r="EX144" s="150"/>
      <c r="EY144" s="134"/>
      <c r="EZ144" s="134"/>
      <c r="FA144" s="134"/>
      <c r="FB144" s="134"/>
      <c r="FC144" s="135"/>
      <c r="FD144" s="135"/>
      <c r="FE144" s="134"/>
      <c r="FF144" s="134"/>
      <c r="FG144" s="134"/>
      <c r="FH144" s="134"/>
      <c r="FI144" s="134"/>
      <c r="FJ144" s="134"/>
      <c r="FK144" s="134"/>
      <c r="FL144" s="134"/>
      <c r="FM144" s="135"/>
      <c r="FN144" s="135"/>
      <c r="FO144" s="134"/>
      <c r="FP144" s="134"/>
      <c r="FQ144" s="134"/>
      <c r="FR144" s="134"/>
      <c r="FS144" s="134"/>
      <c r="FT144" s="134"/>
      <c r="FU144" s="134"/>
      <c r="FV144" s="134"/>
      <c r="FW144" s="135"/>
      <c r="FX144" s="135"/>
      <c r="FY144" s="134"/>
      <c r="FZ144" s="134"/>
      <c r="GA144" s="134"/>
      <c r="GB144" s="134"/>
      <c r="GC144" s="134"/>
      <c r="GD144" s="134"/>
      <c r="GE144" s="134"/>
      <c r="GF144" s="134"/>
      <c r="GG144" s="135"/>
      <c r="GH144" s="135"/>
      <c r="GI144" s="134"/>
      <c r="GJ144" s="134"/>
      <c r="GK144" s="134"/>
      <c r="GL144" s="134"/>
      <c r="GM144" s="134"/>
      <c r="GN144" s="134"/>
      <c r="GO144" s="134"/>
      <c r="GP144" s="134"/>
      <c r="GQ144" s="135"/>
      <c r="GR144" s="135"/>
      <c r="GS144" s="134"/>
      <c r="GT144" s="134"/>
      <c r="GU144" s="134"/>
      <c r="GV144" s="134"/>
      <c r="GW144" s="134"/>
      <c r="GX144" s="134"/>
      <c r="GY144" s="134"/>
      <c r="GZ144" s="134"/>
      <c r="HA144" s="135"/>
      <c r="HB144" s="135"/>
      <c r="HC144" s="134"/>
      <c r="HD144" s="134"/>
      <c r="HE144" s="134"/>
      <c r="HF144" s="134"/>
      <c r="HG144" s="134"/>
      <c r="HH144" s="134"/>
      <c r="HI144" s="134"/>
      <c r="HJ144" s="134"/>
      <c r="HK144" s="135"/>
      <c r="HL144" s="135"/>
      <c r="HM144" s="134"/>
      <c r="HN144" s="134"/>
      <c r="HO144" s="134"/>
      <c r="HP144" s="134"/>
      <c r="HQ144" s="134"/>
      <c r="HR144" s="134"/>
      <c r="HS144" s="134"/>
      <c r="HT144" s="134"/>
      <c r="HU144" s="135"/>
      <c r="HV144" s="135"/>
      <c r="HW144" s="134"/>
      <c r="HX144" s="134"/>
      <c r="HY144" s="134"/>
      <c r="HZ144" s="134"/>
      <c r="IA144" s="134"/>
      <c r="IB144" s="134"/>
      <c r="IC144" s="134"/>
      <c r="ID144" s="134"/>
      <c r="IE144" s="135"/>
      <c r="IF144" s="135"/>
      <c r="IG144" s="134"/>
      <c r="IH144" s="134"/>
      <c r="II144" s="134"/>
      <c r="IJ144" s="134"/>
      <c r="IK144" s="134"/>
      <c r="IL144" s="134"/>
      <c r="IM144" s="134"/>
      <c r="IN144" s="134"/>
      <c r="IO144" s="135"/>
      <c r="IP144" s="135"/>
      <c r="IQ144" s="134"/>
      <c r="IR144" s="134"/>
      <c r="IS144" s="134"/>
      <c r="IT144" s="134"/>
      <c r="IU144" s="134"/>
      <c r="IV144" s="134"/>
      <c r="IW144" s="134"/>
      <c r="IX144" s="134"/>
      <c r="IY144" s="135"/>
      <c r="IZ144" s="135"/>
    </row>
    <row r="145" spans="1:260" s="119" customFormat="1" ht="17" customHeight="1">
      <c r="A145" s="118" t="s">
        <v>1089</v>
      </c>
      <c r="B145" s="381">
        <v>87</v>
      </c>
      <c r="C145" s="381">
        <v>15</v>
      </c>
      <c r="D145" s="381"/>
      <c r="E145" s="139" t="s">
        <v>1938</v>
      </c>
      <c r="F145" s="140" t="s">
        <v>2307</v>
      </c>
      <c r="G145" s="141">
        <v>2009</v>
      </c>
      <c r="H145" s="118">
        <v>18700055</v>
      </c>
      <c r="I145" s="118">
        <v>1</v>
      </c>
      <c r="J145" s="118"/>
      <c r="K145" s="118"/>
      <c r="L145" s="118">
        <v>1</v>
      </c>
      <c r="M145" s="118"/>
      <c r="N145" s="461">
        <v>1</v>
      </c>
      <c r="O145" s="142">
        <v>2</v>
      </c>
      <c r="P145" s="118" t="s">
        <v>1258</v>
      </c>
      <c r="Q145" s="118" t="s">
        <v>1251</v>
      </c>
      <c r="R145" s="118" t="s">
        <v>1127</v>
      </c>
      <c r="S145" s="118"/>
      <c r="T145" s="118" t="s">
        <v>1707</v>
      </c>
      <c r="U145" s="118" t="s">
        <v>23</v>
      </c>
      <c r="V145" s="118" t="s">
        <v>23</v>
      </c>
      <c r="W145" s="118" t="s">
        <v>1257</v>
      </c>
      <c r="X145" s="118" t="s">
        <v>24</v>
      </c>
      <c r="Y145" s="118" t="s">
        <v>1132</v>
      </c>
      <c r="Z145" s="118"/>
      <c r="AA145" s="118"/>
      <c r="AB145" s="118"/>
      <c r="AC145" s="145"/>
      <c r="AD145" s="573">
        <v>1</v>
      </c>
      <c r="AE145" s="573">
        <v>2</v>
      </c>
      <c r="AF145" s="159">
        <v>1</v>
      </c>
      <c r="AG145" s="160" t="s">
        <v>4106</v>
      </c>
      <c r="AH145" s="122">
        <v>4</v>
      </c>
      <c r="AI145" s="485"/>
      <c r="AJ145" s="204" t="s">
        <v>3972</v>
      </c>
      <c r="AK145" s="192" t="s">
        <v>4089</v>
      </c>
      <c r="AL145" s="205">
        <v>0</v>
      </c>
      <c r="AM145" s="122" t="s">
        <v>4087</v>
      </c>
      <c r="AN145" s="122">
        <f>33/2</f>
        <v>16.5</v>
      </c>
      <c r="AO145" s="122">
        <f>33/2</f>
        <v>16.5</v>
      </c>
      <c r="AP145" s="122" t="s">
        <v>803</v>
      </c>
      <c r="AQ145" s="122" t="s">
        <v>803</v>
      </c>
      <c r="AR145" s="358" t="s">
        <v>3403</v>
      </c>
      <c r="AS145" s="122" t="s">
        <v>24</v>
      </c>
      <c r="AT145" s="358" t="s">
        <v>3403</v>
      </c>
      <c r="AU145" s="122" t="s">
        <v>24</v>
      </c>
      <c r="AV145" s="122" t="s">
        <v>4086</v>
      </c>
      <c r="AW145" s="122">
        <v>1</v>
      </c>
      <c r="AX145" s="122">
        <v>1</v>
      </c>
      <c r="AY145" s="122" t="s">
        <v>4064</v>
      </c>
      <c r="AZ145" s="122" t="s">
        <v>1130</v>
      </c>
      <c r="BA145" s="122" t="s">
        <v>3279</v>
      </c>
      <c r="BB145" s="122"/>
      <c r="BC145" s="122"/>
      <c r="BD145" s="161">
        <v>1</v>
      </c>
      <c r="BE145" s="161"/>
      <c r="BF145" s="161"/>
      <c r="BG145" s="161"/>
      <c r="BH145" s="161"/>
      <c r="BI145" s="161"/>
      <c r="BJ145" s="161">
        <v>1</v>
      </c>
      <c r="BK145" s="161"/>
      <c r="BL145" s="161"/>
      <c r="BM145" s="161"/>
      <c r="BN145" s="161"/>
      <c r="BO145" s="161"/>
      <c r="BP145" s="161"/>
      <c r="BQ145" s="162" t="s">
        <v>4088</v>
      </c>
      <c r="BR145" s="150" t="s">
        <v>1876</v>
      </c>
      <c r="BS145" s="150">
        <v>4</v>
      </c>
      <c r="BT145" s="150" t="s">
        <v>4090</v>
      </c>
      <c r="BU145" s="150" t="s">
        <v>1121</v>
      </c>
      <c r="BV145" s="150" t="s">
        <v>4091</v>
      </c>
      <c r="BW145" s="258" t="s">
        <v>4105</v>
      </c>
      <c r="BX145" s="151" t="s">
        <v>4092</v>
      </c>
      <c r="BY145" s="150">
        <v>28.1922</v>
      </c>
      <c r="BZ145" s="150" t="s">
        <v>24</v>
      </c>
      <c r="CA145" s="150">
        <f>31.8408-Table665[[#This Row],[Outcome1_M]]</f>
        <v>3.6486000000000018</v>
      </c>
      <c r="CB145" s="151" t="s">
        <v>4093</v>
      </c>
      <c r="CC145" s="150">
        <v>279.77199999999999</v>
      </c>
      <c r="CD145" s="150" t="s">
        <v>24</v>
      </c>
      <c r="CE145" s="150">
        <f>295.278-Table665[[#This Row],[Outcome2_M]]</f>
        <v>15.506000000000029</v>
      </c>
      <c r="CF145" s="290" t="s">
        <v>4094</v>
      </c>
      <c r="CG145" s="291" t="s">
        <v>2483</v>
      </c>
      <c r="CH145" s="438" t="s">
        <v>4098</v>
      </c>
      <c r="CI145" s="266">
        <v>263.00599999999997</v>
      </c>
      <c r="CJ145" s="150" t="s">
        <v>24</v>
      </c>
      <c r="CK145" s="266">
        <f>276.688-Table665[[#This Row],[Outcome3_M]]</f>
        <v>13.682000000000016</v>
      </c>
      <c r="CL145" s="151" t="s">
        <v>4097</v>
      </c>
      <c r="CM145" s="150">
        <v>342.18799999999999</v>
      </c>
      <c r="CN145" s="150" t="s">
        <v>24</v>
      </c>
      <c r="CO145" s="150">
        <f>359.519-Table665[[#This Row],[Outcome4_M]]</f>
        <v>17.331000000000017</v>
      </c>
      <c r="CP145" s="290" t="s">
        <v>4095</v>
      </c>
      <c r="CQ145" s="291" t="s">
        <v>4096</v>
      </c>
      <c r="CR145" s="278" t="s">
        <v>24</v>
      </c>
      <c r="CS145" s="285" t="s">
        <v>24</v>
      </c>
      <c r="CT145" s="151" t="s">
        <v>4100</v>
      </c>
      <c r="CU145" s="150">
        <v>19.113</v>
      </c>
      <c r="CV145" s="150" t="s">
        <v>24</v>
      </c>
      <c r="CW145" s="150">
        <f>21.8494-Table665[[#This Row],[Outcome5_M]]</f>
        <v>2.7363999999999997</v>
      </c>
      <c r="CX145" s="429" t="s">
        <v>4099</v>
      </c>
      <c r="CY145" s="150">
        <v>209.58</v>
      </c>
      <c r="CZ145" s="150" t="s">
        <v>24</v>
      </c>
      <c r="DA145" s="150">
        <f>22.35-Table665[[#This Row],[Outcome6_M]]</f>
        <v>-187.23000000000002</v>
      </c>
      <c r="DB145" s="302" t="s">
        <v>4101</v>
      </c>
      <c r="DC145" s="303" t="s">
        <v>4102</v>
      </c>
      <c r="DD145" s="150" t="s">
        <v>24</v>
      </c>
      <c r="DE145" s="150" t="s">
        <v>24</v>
      </c>
      <c r="DF145" s="150" t="s">
        <v>24</v>
      </c>
      <c r="DG145" s="150" t="s">
        <v>24</v>
      </c>
      <c r="DH145" s="150" t="s">
        <v>24</v>
      </c>
      <c r="DI145" s="150" t="s">
        <v>24</v>
      </c>
      <c r="DJ145" s="150" t="s">
        <v>24</v>
      </c>
      <c r="DK145" s="150" t="s">
        <v>24</v>
      </c>
      <c r="DL145" s="302" t="s">
        <v>24</v>
      </c>
      <c r="DM145" s="303" t="s">
        <v>24</v>
      </c>
      <c r="DN145" s="278" t="s">
        <v>4103</v>
      </c>
      <c r="DO145" s="279" t="s">
        <v>4104</v>
      </c>
      <c r="DP145" s="150" t="s">
        <v>24</v>
      </c>
      <c r="DQ145" s="150" t="s">
        <v>24</v>
      </c>
      <c r="DR145" s="150" t="s">
        <v>24</v>
      </c>
      <c r="DS145" s="150" t="s">
        <v>24</v>
      </c>
      <c r="DT145" s="151" t="s">
        <v>24</v>
      </c>
      <c r="DU145" s="150" t="s">
        <v>24</v>
      </c>
      <c r="DV145" s="150" t="s">
        <v>24</v>
      </c>
      <c r="DW145" s="150" t="s">
        <v>24</v>
      </c>
      <c r="DX145" s="303"/>
      <c r="DY145" s="303"/>
      <c r="DZ145" s="151"/>
      <c r="EA145" s="150"/>
      <c r="EB145" s="150"/>
      <c r="EC145" s="150"/>
      <c r="ED145" s="151"/>
      <c r="EE145" s="150"/>
      <c r="EF145" s="150"/>
      <c r="EG145" s="150"/>
      <c r="EH145" s="303"/>
      <c r="EI145" s="303"/>
      <c r="EJ145" s="279"/>
      <c r="EK145" s="150"/>
      <c r="EL145" s="150"/>
      <c r="EM145" s="150"/>
      <c r="EN145" s="150"/>
      <c r="EO145" s="150"/>
      <c r="EP145" s="150"/>
      <c r="EQ145" s="150"/>
      <c r="ER145" s="150"/>
      <c r="ES145" s="303"/>
      <c r="ET145" s="303"/>
      <c r="EU145" s="150"/>
      <c r="EV145" s="150"/>
      <c r="EW145" s="150"/>
      <c r="EX145" s="150"/>
      <c r="EY145" s="134"/>
      <c r="EZ145" s="134"/>
      <c r="FA145" s="134"/>
      <c r="FB145" s="134"/>
      <c r="FC145" s="135"/>
      <c r="FD145" s="135"/>
      <c r="FE145" s="134"/>
      <c r="FF145" s="134"/>
      <c r="FG145" s="134"/>
      <c r="FH145" s="134"/>
      <c r="FI145" s="134"/>
      <c r="FJ145" s="134"/>
      <c r="FK145" s="134"/>
      <c r="FL145" s="134"/>
      <c r="FM145" s="135"/>
      <c r="FN145" s="135"/>
      <c r="FO145" s="134"/>
      <c r="FP145" s="134"/>
      <c r="FQ145" s="134"/>
      <c r="FR145" s="134"/>
      <c r="FS145" s="134"/>
      <c r="FT145" s="134"/>
      <c r="FU145" s="134"/>
      <c r="FV145" s="134"/>
      <c r="FW145" s="135"/>
      <c r="FX145" s="135"/>
      <c r="FY145" s="134"/>
      <c r="FZ145" s="134"/>
      <c r="GA145" s="134"/>
      <c r="GB145" s="134"/>
      <c r="GC145" s="134"/>
      <c r="GD145" s="134"/>
      <c r="GE145" s="134"/>
      <c r="GF145" s="134"/>
      <c r="GG145" s="135"/>
      <c r="GH145" s="135"/>
      <c r="GI145" s="134"/>
      <c r="GJ145" s="134"/>
      <c r="GK145" s="134"/>
      <c r="GL145" s="134"/>
      <c r="GM145" s="134"/>
      <c r="GN145" s="134"/>
      <c r="GO145" s="134"/>
      <c r="GP145" s="134"/>
      <c r="GQ145" s="135"/>
      <c r="GR145" s="135"/>
      <c r="GS145" s="134"/>
      <c r="GT145" s="134"/>
      <c r="GU145" s="134"/>
      <c r="GV145" s="134"/>
      <c r="GW145" s="134"/>
      <c r="GX145" s="134"/>
      <c r="GY145" s="134"/>
      <c r="GZ145" s="134"/>
      <c r="HA145" s="135"/>
      <c r="HB145" s="135"/>
      <c r="HC145" s="134"/>
      <c r="HD145" s="134"/>
      <c r="HE145" s="134"/>
      <c r="HF145" s="134"/>
      <c r="HG145" s="134"/>
      <c r="HH145" s="134"/>
      <c r="HI145" s="134"/>
      <c r="HJ145" s="134"/>
      <c r="HK145" s="135"/>
      <c r="HL145" s="135"/>
      <c r="HM145" s="134"/>
      <c r="HN145" s="134"/>
      <c r="HO145" s="134"/>
      <c r="HP145" s="134"/>
      <c r="HQ145" s="134"/>
      <c r="HR145" s="134"/>
      <c r="HS145" s="134"/>
      <c r="HT145" s="134"/>
      <c r="HU145" s="135"/>
      <c r="HV145" s="135"/>
      <c r="HW145" s="134"/>
      <c r="HX145" s="134"/>
      <c r="HY145" s="134"/>
      <c r="HZ145" s="134"/>
      <c r="IA145" s="134"/>
      <c r="IB145" s="134"/>
      <c r="IC145" s="134"/>
      <c r="ID145" s="134"/>
      <c r="IE145" s="135"/>
      <c r="IF145" s="135"/>
      <c r="IG145" s="134"/>
      <c r="IH145" s="134"/>
      <c r="II145" s="134"/>
      <c r="IJ145" s="134"/>
      <c r="IK145" s="134"/>
      <c r="IL145" s="134"/>
      <c r="IM145" s="134"/>
      <c r="IN145" s="134"/>
      <c r="IO145" s="135"/>
      <c r="IP145" s="135"/>
      <c r="IQ145" s="134"/>
      <c r="IR145" s="134"/>
      <c r="IS145" s="134"/>
      <c r="IT145" s="134"/>
      <c r="IU145" s="134"/>
      <c r="IV145" s="134"/>
      <c r="IW145" s="134"/>
      <c r="IX145" s="134"/>
      <c r="IY145" s="135"/>
      <c r="IZ145" s="135"/>
    </row>
    <row r="146" spans="1:260" customFormat="1" ht="17" customHeight="1">
      <c r="A146" s="79" t="s">
        <v>1088</v>
      </c>
      <c r="B146" s="363">
        <v>12</v>
      </c>
      <c r="C146" s="363"/>
      <c r="D146" s="363"/>
      <c r="E146" s="123" t="s">
        <v>1938</v>
      </c>
      <c r="F146" s="124" t="s">
        <v>2308</v>
      </c>
      <c r="G146" s="125">
        <v>2012</v>
      </c>
      <c r="H146" s="79">
        <v>21976046</v>
      </c>
      <c r="I146" s="79">
        <v>1</v>
      </c>
      <c r="J146" s="126" t="s">
        <v>1827</v>
      </c>
      <c r="K146" s="127"/>
      <c r="L146" s="79">
        <v>0</v>
      </c>
      <c r="M146" s="79"/>
      <c r="N146" s="79">
        <v>0</v>
      </c>
      <c r="O146" s="128">
        <v>2</v>
      </c>
      <c r="P146" s="79" t="s">
        <v>1220</v>
      </c>
      <c r="Q146" s="79" t="s">
        <v>24</v>
      </c>
      <c r="R146" s="79" t="s">
        <v>1127</v>
      </c>
      <c r="S146" s="79"/>
      <c r="T146" s="79" t="s">
        <v>1507</v>
      </c>
      <c r="U146" s="79" t="s">
        <v>23</v>
      </c>
      <c r="V146" s="79" t="s">
        <v>23</v>
      </c>
      <c r="W146" s="79" t="s">
        <v>1833</v>
      </c>
      <c r="X146" s="79" t="s">
        <v>1259</v>
      </c>
      <c r="Y146" s="79" t="s">
        <v>1132</v>
      </c>
      <c r="Z146" s="79"/>
      <c r="AA146" s="79"/>
      <c r="AB146" s="79" t="s">
        <v>1260</v>
      </c>
      <c r="AC146" s="506"/>
      <c r="AD146" s="573">
        <v>1</v>
      </c>
      <c r="AE146" s="573">
        <v>2</v>
      </c>
      <c r="AF146" s="154">
        <v>1</v>
      </c>
      <c r="AG146" s="155" t="s">
        <v>2729</v>
      </c>
      <c r="AH146" s="121">
        <v>4</v>
      </c>
      <c r="AI146" s="484"/>
      <c r="AJ146" s="202" t="s">
        <v>2721</v>
      </c>
      <c r="AK146" s="192">
        <v>0</v>
      </c>
      <c r="AL146" s="203">
        <v>1</v>
      </c>
      <c r="AM146" s="121" t="s">
        <v>2728</v>
      </c>
      <c r="AN146" s="121">
        <v>10</v>
      </c>
      <c r="AO146" s="121">
        <v>10</v>
      </c>
      <c r="AP146" s="121" t="s">
        <v>803</v>
      </c>
      <c r="AQ146" s="121" t="s">
        <v>803</v>
      </c>
      <c r="AR146" s="121" t="s">
        <v>23</v>
      </c>
      <c r="AS146" s="121" t="s">
        <v>24</v>
      </c>
      <c r="AT146" s="121" t="s">
        <v>23</v>
      </c>
      <c r="AU146" s="121" t="s">
        <v>24</v>
      </c>
      <c r="AV146" s="121" t="s">
        <v>2717</v>
      </c>
      <c r="AW146" s="121">
        <v>1</v>
      </c>
      <c r="AX146" s="121">
        <v>1</v>
      </c>
      <c r="AY146" s="121" t="s">
        <v>2718</v>
      </c>
      <c r="AZ146" s="121" t="s">
        <v>1130</v>
      </c>
      <c r="BA146" s="122" t="s">
        <v>2720</v>
      </c>
      <c r="BB146" s="122"/>
      <c r="BC146" s="122"/>
      <c r="BD146" s="156">
        <v>1</v>
      </c>
      <c r="BE146" s="156"/>
      <c r="BF146" s="156"/>
      <c r="BG146" s="156"/>
      <c r="BH146" s="156"/>
      <c r="BI146" s="156"/>
      <c r="BJ146" s="156"/>
      <c r="BK146" s="156"/>
      <c r="BL146" s="156"/>
      <c r="BM146" s="156"/>
      <c r="BN146" s="156"/>
      <c r="BO146" s="156"/>
      <c r="BP146" s="156"/>
      <c r="BQ146" s="157" t="s">
        <v>2493</v>
      </c>
      <c r="BR146" s="134" t="s">
        <v>1876</v>
      </c>
      <c r="BS146" s="134" t="s">
        <v>2722</v>
      </c>
      <c r="BT146" s="134" t="s">
        <v>2719</v>
      </c>
      <c r="BU146" s="134" t="s">
        <v>23</v>
      </c>
      <c r="BV146" s="134" t="s">
        <v>2659</v>
      </c>
      <c r="BW146" s="259" t="s">
        <v>2727</v>
      </c>
      <c r="BX146" s="138" t="s">
        <v>2726</v>
      </c>
      <c r="BY146" s="134">
        <v>36.9405</v>
      </c>
      <c r="BZ146" s="134" t="s">
        <v>24</v>
      </c>
      <c r="CA146" s="134">
        <f>42.2634-Table665[[#This Row],[Outcome1_M]]</f>
        <v>5.3228999999999971</v>
      </c>
      <c r="CB146" s="138" t="s">
        <v>2725</v>
      </c>
      <c r="CC146" s="134">
        <v>16.450099999999999</v>
      </c>
      <c r="CD146" s="134" t="s">
        <v>24</v>
      </c>
      <c r="CE146" s="134">
        <f>19.3968-Table665[[#This Row],[Outcome2_M]]</f>
        <v>2.9466999999999999</v>
      </c>
      <c r="CF146" s="288" t="s">
        <v>2723</v>
      </c>
      <c r="CG146" s="289" t="s">
        <v>2724</v>
      </c>
      <c r="CH146" s="439" t="s">
        <v>24</v>
      </c>
      <c r="CI146" s="134" t="s">
        <v>24</v>
      </c>
      <c r="CJ146" s="134"/>
      <c r="CK146" s="134"/>
      <c r="CL146" s="138"/>
      <c r="CM146" s="134"/>
      <c r="CN146" s="134"/>
      <c r="CO146" s="134"/>
      <c r="CP146" s="288"/>
      <c r="CQ146" s="441"/>
      <c r="CR146" s="276"/>
      <c r="CS146" s="308"/>
      <c r="CT146" s="138"/>
      <c r="CU146" s="134"/>
      <c r="CV146" s="134"/>
      <c r="CW146" s="134"/>
      <c r="CX146" s="134"/>
      <c r="CY146" s="134"/>
      <c r="CZ146" s="134"/>
      <c r="DA146" s="134"/>
      <c r="DB146" s="300"/>
      <c r="DC146" s="301"/>
      <c r="DD146" s="134"/>
      <c r="DE146" s="134"/>
      <c r="DF146" s="134"/>
      <c r="DG146" s="134"/>
      <c r="DH146" s="134"/>
      <c r="DI146" s="134"/>
      <c r="DJ146" s="134"/>
      <c r="DK146" s="134"/>
      <c r="DL146" s="300"/>
      <c r="DM146" s="301"/>
      <c r="DN146" s="276"/>
      <c r="DO146" s="277"/>
      <c r="DP146" s="134"/>
      <c r="DQ146" s="134"/>
      <c r="DR146" s="134"/>
      <c r="DS146" s="134"/>
      <c r="DT146" s="138"/>
      <c r="DU146" s="134"/>
      <c r="DV146" s="134"/>
      <c r="DW146" s="134"/>
      <c r="DX146" s="301"/>
      <c r="DY146" s="301"/>
      <c r="DZ146" s="138"/>
      <c r="EA146" s="134"/>
      <c r="EB146" s="134"/>
      <c r="EC146" s="134"/>
      <c r="ED146" s="138"/>
      <c r="EE146" s="134"/>
      <c r="EF146" s="134"/>
      <c r="EG146" s="134"/>
      <c r="EH146" s="301"/>
      <c r="EI146" s="301"/>
      <c r="EJ146" s="277"/>
      <c r="EK146" s="134"/>
      <c r="EL146" s="134"/>
      <c r="EM146" s="134"/>
      <c r="EN146" s="134"/>
      <c r="EO146" s="134"/>
      <c r="EP146" s="134"/>
      <c r="EQ146" s="134"/>
      <c r="ER146" s="134"/>
      <c r="ES146" s="301"/>
      <c r="ET146" s="301"/>
      <c r="EU146" s="134"/>
      <c r="EV146" s="134"/>
      <c r="EW146" s="134"/>
      <c r="EX146" s="134"/>
      <c r="EY146" s="134"/>
      <c r="EZ146" s="134"/>
      <c r="FA146" s="134"/>
      <c r="FB146" s="134"/>
      <c r="FC146" s="135"/>
      <c r="FD146" s="135"/>
      <c r="FE146" s="134"/>
      <c r="FF146" s="134"/>
      <c r="FG146" s="134"/>
      <c r="FH146" s="134"/>
      <c r="FI146" s="134"/>
      <c r="FJ146" s="134"/>
      <c r="FK146" s="134"/>
      <c r="FL146" s="134"/>
      <c r="FM146" s="135"/>
      <c r="FN146" s="135"/>
      <c r="FO146" s="134"/>
      <c r="FP146" s="134"/>
      <c r="FQ146" s="134"/>
      <c r="FR146" s="134"/>
      <c r="FS146" s="134"/>
      <c r="FT146" s="134"/>
      <c r="FU146" s="134"/>
      <c r="FV146" s="134"/>
      <c r="FW146" s="135"/>
      <c r="FX146" s="135"/>
      <c r="FY146" s="134"/>
      <c r="FZ146" s="134"/>
      <c r="GA146" s="134"/>
      <c r="GB146" s="134"/>
      <c r="GC146" s="134"/>
      <c r="GD146" s="134"/>
      <c r="GE146" s="134"/>
      <c r="GF146" s="134"/>
      <c r="GG146" s="135"/>
      <c r="GH146" s="135"/>
      <c r="GI146" s="134"/>
      <c r="GJ146" s="134"/>
      <c r="GK146" s="134"/>
      <c r="GL146" s="134"/>
      <c r="GM146" s="134"/>
      <c r="GN146" s="134"/>
      <c r="GO146" s="134"/>
      <c r="GP146" s="134"/>
      <c r="GQ146" s="135"/>
      <c r="GR146" s="135"/>
      <c r="GS146" s="134"/>
      <c r="GT146" s="134"/>
      <c r="GU146" s="134"/>
      <c r="GV146" s="134"/>
      <c r="GW146" s="134"/>
      <c r="GX146" s="134"/>
      <c r="GY146" s="134"/>
      <c r="GZ146" s="134"/>
      <c r="HA146" s="135"/>
      <c r="HB146" s="135"/>
      <c r="HC146" s="134"/>
      <c r="HD146" s="134"/>
      <c r="HE146" s="134"/>
      <c r="HF146" s="134"/>
      <c r="HG146" s="134"/>
      <c r="HH146" s="134"/>
      <c r="HI146" s="134"/>
      <c r="HJ146" s="134"/>
      <c r="HK146" s="135"/>
      <c r="HL146" s="135"/>
      <c r="HM146" s="134"/>
      <c r="HN146" s="134"/>
      <c r="HO146" s="134"/>
      <c r="HP146" s="134"/>
      <c r="HQ146" s="134"/>
      <c r="HR146" s="134"/>
      <c r="HS146" s="134"/>
      <c r="HT146" s="134"/>
      <c r="HU146" s="135"/>
      <c r="HV146" s="135"/>
      <c r="HW146" s="134"/>
      <c r="HX146" s="134"/>
      <c r="HY146" s="134"/>
      <c r="HZ146" s="134"/>
      <c r="IA146" s="134"/>
      <c r="IB146" s="134"/>
      <c r="IC146" s="134"/>
      <c r="ID146" s="134"/>
      <c r="IE146" s="135"/>
      <c r="IF146" s="135"/>
      <c r="IG146" s="134"/>
      <c r="IH146" s="134"/>
      <c r="II146" s="134"/>
      <c r="IJ146" s="134"/>
      <c r="IK146" s="134"/>
      <c r="IL146" s="134"/>
      <c r="IM146" s="134"/>
      <c r="IN146" s="134"/>
      <c r="IO146" s="135"/>
      <c r="IP146" s="135"/>
      <c r="IQ146" s="134"/>
      <c r="IR146" s="134"/>
      <c r="IS146" s="134"/>
      <c r="IT146" s="134"/>
      <c r="IU146" s="134"/>
      <c r="IV146" s="134"/>
      <c r="IW146" s="134"/>
      <c r="IX146" s="134"/>
      <c r="IY146" s="135"/>
      <c r="IZ146" s="135"/>
    </row>
    <row r="147" spans="1:260" customFormat="1" ht="17" customHeight="1">
      <c r="A147" s="79" t="s">
        <v>1087</v>
      </c>
      <c r="B147" s="117">
        <v>88</v>
      </c>
      <c r="C147" s="117">
        <v>16</v>
      </c>
      <c r="D147" s="117"/>
      <c r="E147" s="123" t="s">
        <v>1938</v>
      </c>
      <c r="F147" s="124" t="s">
        <v>2309</v>
      </c>
      <c r="G147" s="125">
        <v>2008</v>
      </c>
      <c r="H147" s="79">
        <v>18635156</v>
      </c>
      <c r="I147" s="79">
        <v>1</v>
      </c>
      <c r="J147" s="126"/>
      <c r="K147" s="127"/>
      <c r="L147" s="79">
        <v>1</v>
      </c>
      <c r="M147" s="79"/>
      <c r="N147" s="79">
        <v>1</v>
      </c>
      <c r="O147" s="128">
        <v>2</v>
      </c>
      <c r="P147" s="79" t="s">
        <v>1253</v>
      </c>
      <c r="Q147" s="79" t="s">
        <v>1147</v>
      </c>
      <c r="R147" s="79" t="s">
        <v>1127</v>
      </c>
      <c r="S147" s="79"/>
      <c r="T147" s="79" t="s">
        <v>1507</v>
      </c>
      <c r="U147" s="79" t="s">
        <v>23</v>
      </c>
      <c r="V147" s="79" t="s">
        <v>23</v>
      </c>
      <c r="W147" s="79" t="s">
        <v>1584</v>
      </c>
      <c r="X147" s="79" t="s">
        <v>24</v>
      </c>
      <c r="Y147" s="79" t="s">
        <v>1261</v>
      </c>
      <c r="Z147" s="79"/>
      <c r="AA147" s="79" t="s">
        <v>1262</v>
      </c>
      <c r="AB147" s="79"/>
      <c r="AC147" s="506"/>
      <c r="AD147" s="573">
        <v>1</v>
      </c>
      <c r="AE147" s="573">
        <v>2</v>
      </c>
      <c r="AF147" s="154">
        <v>1</v>
      </c>
      <c r="AG147" s="155" t="s">
        <v>3988</v>
      </c>
      <c r="AH147" s="121">
        <v>4</v>
      </c>
      <c r="AI147" s="484"/>
      <c r="AJ147" s="202" t="s">
        <v>3975</v>
      </c>
      <c r="AK147" s="192">
        <v>0</v>
      </c>
      <c r="AL147" s="203" t="s">
        <v>3977</v>
      </c>
      <c r="AM147" s="121" t="s">
        <v>3976</v>
      </c>
      <c r="AN147" s="121">
        <f>137/7</f>
        <v>19.571428571428573</v>
      </c>
      <c r="AO147" s="121">
        <f>137/7</f>
        <v>19.571428571428573</v>
      </c>
      <c r="AP147" s="121" t="s">
        <v>803</v>
      </c>
      <c r="AQ147" s="121" t="s">
        <v>803</v>
      </c>
      <c r="AR147" s="121" t="s">
        <v>2687</v>
      </c>
      <c r="AS147" s="121" t="s">
        <v>24</v>
      </c>
      <c r="AT147" s="121" t="s">
        <v>2687</v>
      </c>
      <c r="AU147" s="121" t="s">
        <v>24</v>
      </c>
      <c r="AV147" s="121" t="s">
        <v>3979</v>
      </c>
      <c r="AW147" s="121">
        <v>1</v>
      </c>
      <c r="AX147" s="121">
        <v>1</v>
      </c>
      <c r="AY147" s="121" t="s">
        <v>3978</v>
      </c>
      <c r="AZ147" s="121" t="s">
        <v>1130</v>
      </c>
      <c r="BA147" s="121" t="s">
        <v>3980</v>
      </c>
      <c r="BB147" s="121"/>
      <c r="BC147" s="121"/>
      <c r="BD147" s="156">
        <v>1</v>
      </c>
      <c r="BE147" s="156"/>
      <c r="BF147" s="156"/>
      <c r="BG147" s="156"/>
      <c r="BH147" s="156"/>
      <c r="BI147" s="156"/>
      <c r="BJ147" s="156"/>
      <c r="BK147" s="156"/>
      <c r="BL147" s="156"/>
      <c r="BM147" s="156"/>
      <c r="BN147" s="156"/>
      <c r="BO147" s="156"/>
      <c r="BP147" s="156"/>
      <c r="BQ147" s="157" t="s">
        <v>3680</v>
      </c>
      <c r="BR147" s="134" t="s">
        <v>1876</v>
      </c>
      <c r="BS147" s="134" t="s">
        <v>3981</v>
      </c>
      <c r="BT147" s="134" t="s">
        <v>3982</v>
      </c>
      <c r="BU147" s="134" t="s">
        <v>3983</v>
      </c>
      <c r="BV147" s="134" t="s">
        <v>3224</v>
      </c>
      <c r="BW147" s="259" t="s">
        <v>3987</v>
      </c>
      <c r="BX147" s="138" t="s">
        <v>3984</v>
      </c>
      <c r="BY147" s="134">
        <v>77.566000000000003</v>
      </c>
      <c r="BZ147" s="134" t="s">
        <v>24</v>
      </c>
      <c r="CA147" s="134">
        <f>80.6162-Table665[[#This Row],[Outcome1_M]]</f>
        <v>3.0502000000000038</v>
      </c>
      <c r="CB147" s="138" t="s">
        <v>3985</v>
      </c>
      <c r="CC147" s="134">
        <v>14.3058</v>
      </c>
      <c r="CD147" s="134" t="s">
        <v>24</v>
      </c>
      <c r="CE147" s="134">
        <f>16.9203-Table665[[#This Row],[Outcome2_M]]</f>
        <v>2.6145000000000014</v>
      </c>
      <c r="CF147" s="435" t="s">
        <v>3986</v>
      </c>
      <c r="CG147" s="437" t="s">
        <v>2483</v>
      </c>
      <c r="CH147" s="138"/>
      <c r="CI147" s="134"/>
      <c r="CJ147" s="134"/>
      <c r="CK147" s="134"/>
      <c r="CL147" s="138"/>
      <c r="CM147" s="134"/>
      <c r="CN147" s="134"/>
      <c r="CO147" s="134"/>
      <c r="CP147" s="435"/>
      <c r="CQ147" s="437"/>
      <c r="CR147" s="276"/>
      <c r="CS147" s="308"/>
      <c r="CT147" s="138"/>
      <c r="CU147" s="134"/>
      <c r="CV147" s="134"/>
      <c r="CW147" s="134"/>
      <c r="CX147" s="134"/>
      <c r="CY147" s="134"/>
      <c r="CZ147" s="134"/>
      <c r="DA147" s="134"/>
      <c r="DB147" s="300"/>
      <c r="DC147" s="301"/>
      <c r="DD147" s="134"/>
      <c r="DE147" s="134"/>
      <c r="DF147" s="134"/>
      <c r="DG147" s="134"/>
      <c r="DH147" s="134"/>
      <c r="DI147" s="134"/>
      <c r="DJ147" s="134"/>
      <c r="DK147" s="134"/>
      <c r="DL147" s="300"/>
      <c r="DM147" s="301"/>
      <c r="DN147" s="276"/>
      <c r="DO147" s="277"/>
      <c r="DP147" s="134"/>
      <c r="DQ147" s="134"/>
      <c r="DR147" s="134"/>
      <c r="DS147" s="134"/>
      <c r="DT147" s="138"/>
      <c r="DU147" s="134"/>
      <c r="DV147" s="134"/>
      <c r="DW147" s="134"/>
      <c r="DX147" s="301"/>
      <c r="DY147" s="301"/>
      <c r="DZ147" s="138"/>
      <c r="EA147" s="134"/>
      <c r="EB147" s="134"/>
      <c r="EC147" s="134"/>
      <c r="ED147" s="138"/>
      <c r="EE147" s="134"/>
      <c r="EF147" s="134"/>
      <c r="EG147" s="134"/>
      <c r="EH147" s="301"/>
      <c r="EI147" s="301"/>
      <c r="EJ147" s="277"/>
      <c r="EK147" s="134"/>
      <c r="EL147" s="134"/>
      <c r="EM147" s="134"/>
      <c r="EN147" s="134"/>
      <c r="EO147" s="134"/>
      <c r="EP147" s="134"/>
      <c r="EQ147" s="134"/>
      <c r="ER147" s="134"/>
      <c r="ES147" s="301"/>
      <c r="ET147" s="301"/>
      <c r="EU147" s="134"/>
      <c r="EV147" s="134"/>
      <c r="EW147" s="134"/>
      <c r="EX147" s="134"/>
      <c r="EY147" s="134"/>
      <c r="EZ147" s="134"/>
      <c r="FA147" s="134"/>
      <c r="FB147" s="134"/>
      <c r="FC147" s="135"/>
      <c r="FD147" s="135"/>
      <c r="FE147" s="134"/>
      <c r="FF147" s="134"/>
      <c r="FG147" s="134"/>
      <c r="FH147" s="134"/>
      <c r="FI147" s="134"/>
      <c r="FJ147" s="134"/>
      <c r="FK147" s="134"/>
      <c r="FL147" s="134"/>
      <c r="FM147" s="135"/>
      <c r="FN147" s="135"/>
      <c r="FO147" s="134"/>
      <c r="FP147" s="134"/>
      <c r="FQ147" s="134"/>
      <c r="FR147" s="134"/>
      <c r="FS147" s="134"/>
      <c r="FT147" s="134"/>
      <c r="FU147" s="134"/>
      <c r="FV147" s="134"/>
      <c r="FW147" s="135"/>
      <c r="FX147" s="135"/>
      <c r="FY147" s="134"/>
      <c r="FZ147" s="134"/>
      <c r="GA147" s="134"/>
      <c r="GB147" s="134"/>
      <c r="GC147" s="134"/>
      <c r="GD147" s="134"/>
      <c r="GE147" s="134"/>
      <c r="GF147" s="134"/>
      <c r="GG147" s="135"/>
      <c r="GH147" s="135"/>
      <c r="GI147" s="134"/>
      <c r="GJ147" s="134"/>
      <c r="GK147" s="134"/>
      <c r="GL147" s="134"/>
      <c r="GM147" s="134"/>
      <c r="GN147" s="134"/>
      <c r="GO147" s="134"/>
      <c r="GP147" s="134"/>
      <c r="GQ147" s="246"/>
      <c r="GR147" s="135"/>
      <c r="GS147" s="134"/>
      <c r="GT147" s="134"/>
      <c r="GU147" s="134"/>
      <c r="GV147" s="134"/>
      <c r="GW147" s="134"/>
      <c r="GX147" s="134"/>
      <c r="GY147" s="134"/>
      <c r="GZ147" s="134"/>
      <c r="HA147" s="135"/>
      <c r="HB147" s="135"/>
      <c r="HC147" s="134"/>
      <c r="HD147" s="134"/>
      <c r="HE147" s="134"/>
      <c r="HF147" s="134"/>
      <c r="HG147" s="134"/>
      <c r="HH147" s="190"/>
      <c r="HI147" s="190"/>
      <c r="HJ147" s="190"/>
      <c r="HK147" s="135"/>
      <c r="HL147" s="135"/>
      <c r="HM147" s="134"/>
      <c r="HN147" s="190"/>
      <c r="HO147" s="190"/>
      <c r="HP147" s="190"/>
      <c r="HQ147" s="134"/>
      <c r="HR147" s="190"/>
      <c r="HS147" s="190"/>
      <c r="HT147" s="190"/>
      <c r="HU147" s="246"/>
      <c r="HV147" s="246"/>
      <c r="HW147" s="134"/>
      <c r="HX147" s="190"/>
      <c r="HY147" s="190"/>
      <c r="HZ147" s="190"/>
      <c r="IA147" s="134"/>
      <c r="IB147" s="190"/>
      <c r="IC147" s="190"/>
      <c r="ID147" s="190"/>
      <c r="IE147" s="135"/>
      <c r="IF147" s="246"/>
      <c r="IG147" s="134"/>
      <c r="IH147" s="190"/>
      <c r="II147" s="190"/>
      <c r="IJ147" s="190"/>
      <c r="IK147" s="134"/>
      <c r="IL147" s="190"/>
      <c r="IM147" s="190"/>
      <c r="IN147" s="190"/>
      <c r="IO147" s="246"/>
      <c r="IP147" s="246"/>
      <c r="IQ147" s="134"/>
      <c r="IR147" s="190"/>
      <c r="IS147" s="190"/>
      <c r="IT147" s="190"/>
      <c r="IU147" s="134"/>
      <c r="IV147" s="190"/>
      <c r="IW147" s="134"/>
      <c r="IX147" s="134"/>
      <c r="IY147" s="135"/>
      <c r="IZ147" s="135"/>
    </row>
    <row r="148" spans="1:260" customFormat="1" ht="17" customHeight="1">
      <c r="A148" s="79" t="s">
        <v>1083</v>
      </c>
      <c r="B148" s="363">
        <v>13</v>
      </c>
      <c r="C148" s="363"/>
      <c r="D148" s="363"/>
      <c r="E148" s="123" t="s">
        <v>2060</v>
      </c>
      <c r="F148" s="124" t="s">
        <v>2312</v>
      </c>
      <c r="G148" s="125">
        <v>2012</v>
      </c>
      <c r="H148" s="79">
        <v>21925525</v>
      </c>
      <c r="I148" s="79">
        <v>1</v>
      </c>
      <c r="J148" s="126" t="s">
        <v>1831</v>
      </c>
      <c r="K148" s="127"/>
      <c r="L148" s="79">
        <v>0</v>
      </c>
      <c r="M148" s="79"/>
      <c r="N148" s="153">
        <v>0</v>
      </c>
      <c r="O148" s="128">
        <v>2</v>
      </c>
      <c r="P148" s="79" t="s">
        <v>1273</v>
      </c>
      <c r="Q148" s="79" t="s">
        <v>1212</v>
      </c>
      <c r="R148" s="79" t="s">
        <v>1127</v>
      </c>
      <c r="S148" s="79"/>
      <c r="T148" s="79" t="s">
        <v>1829</v>
      </c>
      <c r="U148" s="79"/>
      <c r="V148" s="79"/>
      <c r="W148" s="79" t="s">
        <v>1830</v>
      </c>
      <c r="X148" s="79"/>
      <c r="Y148" s="79"/>
      <c r="Z148" s="79"/>
      <c r="AA148" s="79"/>
      <c r="AB148" s="79" t="s">
        <v>1488</v>
      </c>
      <c r="AC148" s="506"/>
      <c r="AD148" s="573">
        <v>1</v>
      </c>
      <c r="AE148" s="573">
        <v>2</v>
      </c>
      <c r="AF148" s="154">
        <v>1</v>
      </c>
      <c r="AG148" s="155" t="s">
        <v>2776</v>
      </c>
      <c r="AH148" s="121">
        <v>4</v>
      </c>
      <c r="AI148" s="484"/>
      <c r="AJ148" s="202" t="s">
        <v>2735</v>
      </c>
      <c r="AK148" s="192">
        <v>2</v>
      </c>
      <c r="AL148" s="203">
        <v>0</v>
      </c>
      <c r="AM148" s="121">
        <f>8+8+8</f>
        <v>24</v>
      </c>
      <c r="AN148" s="121" t="s">
        <v>2734</v>
      </c>
      <c r="AO148" s="121">
        <v>8</v>
      </c>
      <c r="AP148" s="121" t="s">
        <v>803</v>
      </c>
      <c r="AQ148" s="121" t="s">
        <v>803</v>
      </c>
      <c r="AR148" s="121" t="s">
        <v>23</v>
      </c>
      <c r="AS148" s="121" t="s">
        <v>24</v>
      </c>
      <c r="AT148" s="121" t="s">
        <v>23</v>
      </c>
      <c r="AU148" s="121" t="s">
        <v>24</v>
      </c>
      <c r="AV148" s="121" t="s">
        <v>2731</v>
      </c>
      <c r="AW148" s="121">
        <v>1</v>
      </c>
      <c r="AX148" s="121" t="s">
        <v>3322</v>
      </c>
      <c r="AY148" s="121" t="s">
        <v>2732</v>
      </c>
      <c r="AZ148" s="121" t="s">
        <v>2730</v>
      </c>
      <c r="BA148" s="121" t="s">
        <v>2733</v>
      </c>
      <c r="BB148" s="121"/>
      <c r="BC148" s="121"/>
      <c r="BD148" s="156">
        <v>1</v>
      </c>
      <c r="BE148" s="156"/>
      <c r="BF148" s="156"/>
      <c r="BG148" s="156"/>
      <c r="BH148" s="156"/>
      <c r="BI148" s="156"/>
      <c r="BJ148" s="156"/>
      <c r="BK148" s="156"/>
      <c r="BL148" s="156"/>
      <c r="BM148" s="156"/>
      <c r="BN148" s="156"/>
      <c r="BO148" s="156"/>
      <c r="BP148" s="156"/>
      <c r="BQ148" s="157" t="s">
        <v>2741</v>
      </c>
      <c r="BR148" s="134" t="s">
        <v>1876</v>
      </c>
      <c r="BS148" s="134">
        <v>3</v>
      </c>
      <c r="BT148" s="134" t="s">
        <v>2737</v>
      </c>
      <c r="BU148" s="134" t="s">
        <v>2471</v>
      </c>
      <c r="BV148" s="134" t="s">
        <v>2659</v>
      </c>
      <c r="BW148" s="259" t="s">
        <v>2748</v>
      </c>
      <c r="BX148" s="138" t="s">
        <v>2736</v>
      </c>
      <c r="BY148" s="134">
        <v>62.995399999999997</v>
      </c>
      <c r="BZ148" s="134" t="s">
        <v>24</v>
      </c>
      <c r="CA148" s="134">
        <f>70.638-Table665[[#This Row],[Outcome1_M]]</f>
        <v>7.6426000000000087</v>
      </c>
      <c r="CB148" s="138" t="s">
        <v>2739</v>
      </c>
      <c r="CC148" s="134">
        <v>33.502899999999997</v>
      </c>
      <c r="CD148" s="134" t="s">
        <v>24</v>
      </c>
      <c r="CE148" s="134">
        <f>37.3238-Table665[[#This Row],[Outcome3_M]]</f>
        <v>-13.790100000000002</v>
      </c>
      <c r="CF148" s="288" t="s">
        <v>2740</v>
      </c>
      <c r="CG148" s="289" t="s">
        <v>2555</v>
      </c>
      <c r="CH148" s="138" t="s">
        <v>2738</v>
      </c>
      <c r="CI148" s="134">
        <v>51.113900000000001</v>
      </c>
      <c r="CJ148" s="134" t="s">
        <v>24</v>
      </c>
      <c r="CK148" s="134">
        <f>61.3051-Table665[[#This Row],[Outcome2_M]]</f>
        <v>27.802200000000006</v>
      </c>
      <c r="CL148" s="138"/>
      <c r="CM148" s="134"/>
      <c r="CN148" s="134"/>
      <c r="CO148" s="134"/>
      <c r="CP148" s="288"/>
      <c r="CQ148" s="289"/>
      <c r="CR148" s="276"/>
      <c r="CS148" s="308"/>
      <c r="CT148" s="138"/>
      <c r="CU148" s="190"/>
      <c r="CV148" s="134"/>
      <c r="CW148" s="134"/>
      <c r="CX148" s="134"/>
      <c r="CY148" s="134"/>
      <c r="CZ148" s="134"/>
      <c r="DA148" s="134"/>
      <c r="DB148" s="300"/>
      <c r="DC148" s="301"/>
      <c r="DD148" s="134"/>
      <c r="DE148" s="134"/>
      <c r="DF148" s="134"/>
      <c r="DG148" s="134"/>
      <c r="DH148" s="134"/>
      <c r="DI148" s="134"/>
      <c r="DJ148" s="134"/>
      <c r="DK148" s="134"/>
      <c r="DL148" s="300"/>
      <c r="DM148" s="301"/>
      <c r="DN148" s="276"/>
      <c r="DO148" s="277"/>
      <c r="DP148" s="134"/>
      <c r="DQ148" s="134"/>
      <c r="DR148" s="134"/>
      <c r="DS148" s="134"/>
      <c r="DT148" s="138"/>
      <c r="DU148" s="134"/>
      <c r="DV148" s="134"/>
      <c r="DW148" s="134"/>
      <c r="DX148" s="301"/>
      <c r="DY148" s="301"/>
      <c r="DZ148" s="138"/>
      <c r="EA148" s="134"/>
      <c r="EB148" s="134"/>
      <c r="EC148" s="134"/>
      <c r="ED148" s="138"/>
      <c r="EE148" s="134"/>
      <c r="EF148" s="134"/>
      <c r="EG148" s="134"/>
      <c r="EH148" s="301"/>
      <c r="EI148" s="301"/>
      <c r="EJ148" s="277"/>
      <c r="EK148" s="134"/>
      <c r="EL148" s="134"/>
      <c r="EM148" s="134"/>
      <c r="EN148" s="134"/>
      <c r="EO148" s="134"/>
      <c r="EP148" s="134"/>
      <c r="EQ148" s="134"/>
      <c r="ER148" s="134"/>
      <c r="ES148" s="301"/>
      <c r="ET148" s="301"/>
      <c r="EU148" s="134"/>
      <c r="EV148" s="134"/>
      <c r="EW148" s="134"/>
      <c r="EX148" s="134"/>
      <c r="EY148" s="134"/>
      <c r="EZ148" s="134"/>
      <c r="FA148" s="134"/>
      <c r="FB148" s="134"/>
      <c r="FC148" s="135"/>
      <c r="FD148" s="135"/>
      <c r="FE148" s="134"/>
      <c r="FF148" s="134"/>
      <c r="FG148" s="134"/>
      <c r="FH148" s="134"/>
      <c r="FI148" s="134"/>
      <c r="FJ148" s="134"/>
      <c r="FK148" s="134"/>
      <c r="FL148" s="134"/>
      <c r="FM148" s="135"/>
      <c r="FN148" s="135"/>
      <c r="FO148" s="134"/>
      <c r="FP148" s="134"/>
      <c r="FQ148" s="134"/>
      <c r="FR148" s="134"/>
      <c r="FS148" s="134"/>
      <c r="FT148" s="134"/>
      <c r="FU148" s="134"/>
      <c r="FV148" s="134"/>
      <c r="FW148" s="135"/>
      <c r="FX148" s="135"/>
      <c r="FY148" s="134"/>
      <c r="FZ148" s="134"/>
      <c r="GA148" s="134"/>
      <c r="GB148" s="134"/>
      <c r="GC148" s="134"/>
      <c r="GD148" s="134"/>
      <c r="GE148" s="134"/>
      <c r="GF148" s="134"/>
      <c r="GG148" s="135"/>
      <c r="GH148" s="135"/>
      <c r="GI148" s="134"/>
      <c r="GJ148" s="134"/>
      <c r="GK148" s="134"/>
      <c r="GL148" s="134"/>
      <c r="GM148" s="134"/>
      <c r="GN148" s="134"/>
      <c r="GO148" s="134"/>
      <c r="GP148" s="134"/>
      <c r="GQ148" s="135"/>
      <c r="GR148" s="135"/>
      <c r="GS148" s="190"/>
      <c r="GT148" s="134"/>
      <c r="GU148" s="134"/>
      <c r="GV148" s="134"/>
      <c r="GW148" s="134"/>
      <c r="GX148" s="134"/>
      <c r="GY148" s="134"/>
      <c r="GZ148" s="134"/>
      <c r="HA148" s="135"/>
      <c r="HB148" s="135"/>
      <c r="HC148" s="134"/>
      <c r="HD148" s="134"/>
      <c r="HE148" s="134"/>
      <c r="HF148" s="134"/>
      <c r="HG148" s="190"/>
      <c r="HH148" s="134"/>
      <c r="HI148" s="134"/>
      <c r="HJ148" s="134"/>
      <c r="HK148" s="135"/>
      <c r="HL148" s="135"/>
      <c r="HM148" s="190"/>
      <c r="HN148" s="134"/>
      <c r="HO148" s="134"/>
      <c r="HP148" s="134"/>
      <c r="HQ148" s="190"/>
      <c r="HR148" s="134"/>
      <c r="HS148" s="134"/>
      <c r="HT148" s="134"/>
      <c r="HU148" s="135"/>
      <c r="HV148" s="135"/>
      <c r="HW148" s="190"/>
      <c r="HX148" s="134"/>
      <c r="HY148" s="134"/>
      <c r="HZ148" s="134"/>
      <c r="IA148" s="190"/>
      <c r="IB148" s="134"/>
      <c r="IC148" s="134"/>
      <c r="ID148" s="134"/>
      <c r="IE148" s="135"/>
      <c r="IF148" s="135"/>
      <c r="IG148" s="190"/>
      <c r="IH148" s="134"/>
      <c r="II148" s="134"/>
      <c r="IJ148" s="134"/>
      <c r="IK148" s="134"/>
      <c r="IL148" s="134"/>
      <c r="IM148" s="134"/>
      <c r="IN148" s="134"/>
      <c r="IO148" s="135"/>
      <c r="IP148" s="135"/>
      <c r="IQ148" s="134"/>
      <c r="IR148" s="134"/>
      <c r="IS148" s="134"/>
      <c r="IT148" s="134"/>
      <c r="IU148" s="134"/>
      <c r="IV148" s="134"/>
      <c r="IW148" s="134"/>
      <c r="IX148" s="134"/>
      <c r="IY148" s="135"/>
      <c r="IZ148" s="135"/>
    </row>
    <row r="149" spans="1:260" customFormat="1" ht="17" customHeight="1">
      <c r="A149" s="118" t="s">
        <v>1083</v>
      </c>
      <c r="B149" s="363">
        <v>13</v>
      </c>
      <c r="C149" s="363"/>
      <c r="D149" s="363"/>
      <c r="E149" s="139" t="s">
        <v>2060</v>
      </c>
      <c r="F149" s="140" t="s">
        <v>2312</v>
      </c>
      <c r="G149" s="141">
        <v>2012</v>
      </c>
      <c r="H149" s="118">
        <v>21925525</v>
      </c>
      <c r="I149" s="118">
        <v>1</v>
      </c>
      <c r="J149" s="118" t="s">
        <v>1831</v>
      </c>
      <c r="K149" s="118"/>
      <c r="L149" s="118">
        <v>0</v>
      </c>
      <c r="M149" s="118"/>
      <c r="N149" s="158">
        <v>0</v>
      </c>
      <c r="O149" s="142">
        <v>2</v>
      </c>
      <c r="P149" s="118" t="s">
        <v>1273</v>
      </c>
      <c r="Q149" s="118" t="s">
        <v>1212</v>
      </c>
      <c r="R149" s="118" t="s">
        <v>1127</v>
      </c>
      <c r="S149" s="118"/>
      <c r="T149" s="118" t="s">
        <v>1829</v>
      </c>
      <c r="U149" s="118"/>
      <c r="V149" s="118"/>
      <c r="W149" s="118" t="s">
        <v>1830</v>
      </c>
      <c r="X149" s="118"/>
      <c r="Y149" s="118"/>
      <c r="Z149" s="118"/>
      <c r="AA149" s="118"/>
      <c r="AB149" s="118" t="s">
        <v>1488</v>
      </c>
      <c r="AC149" s="145"/>
      <c r="AD149" s="573">
        <v>1</v>
      </c>
      <c r="AE149" s="573">
        <v>2</v>
      </c>
      <c r="AF149" s="159">
        <v>1</v>
      </c>
      <c r="AG149" s="160" t="s">
        <v>2777</v>
      </c>
      <c r="AH149" s="122">
        <v>4</v>
      </c>
      <c r="AI149" s="485"/>
      <c r="AJ149" s="204" t="s">
        <v>2774</v>
      </c>
      <c r="AK149" s="192">
        <v>2</v>
      </c>
      <c r="AL149" s="205">
        <v>0</v>
      </c>
      <c r="AM149" s="122">
        <f>8+8+8</f>
        <v>24</v>
      </c>
      <c r="AN149" s="122" t="s">
        <v>2734</v>
      </c>
      <c r="AO149" s="122">
        <v>8</v>
      </c>
      <c r="AP149" s="122" t="s">
        <v>803</v>
      </c>
      <c r="AQ149" s="122" t="s">
        <v>803</v>
      </c>
      <c r="AR149" s="122" t="s">
        <v>23</v>
      </c>
      <c r="AS149" s="122" t="s">
        <v>24</v>
      </c>
      <c r="AT149" s="122" t="s">
        <v>23</v>
      </c>
      <c r="AU149" s="122" t="s">
        <v>24</v>
      </c>
      <c r="AV149" s="122" t="s">
        <v>2731</v>
      </c>
      <c r="AW149" s="122">
        <v>1</v>
      </c>
      <c r="AX149" s="122" t="s">
        <v>3322</v>
      </c>
      <c r="AY149" s="122" t="s">
        <v>2732</v>
      </c>
      <c r="AZ149" s="122" t="s">
        <v>2730</v>
      </c>
      <c r="BA149" s="122" t="s">
        <v>2733</v>
      </c>
      <c r="BB149" s="122"/>
      <c r="BC149" s="122"/>
      <c r="BD149" s="161">
        <v>1</v>
      </c>
      <c r="BE149" s="161"/>
      <c r="BF149" s="161"/>
      <c r="BG149" s="161"/>
      <c r="BH149" s="161"/>
      <c r="BI149" s="161"/>
      <c r="BJ149" s="161"/>
      <c r="BK149" s="161"/>
      <c r="BL149" s="161"/>
      <c r="BM149" s="161"/>
      <c r="BN149" s="161"/>
      <c r="BO149" s="161"/>
      <c r="BP149" s="161"/>
      <c r="BQ149" s="162" t="s">
        <v>2775</v>
      </c>
      <c r="BR149" s="150" t="s">
        <v>1876</v>
      </c>
      <c r="BS149" s="150">
        <v>3</v>
      </c>
      <c r="BT149" s="150" t="s">
        <v>2742</v>
      </c>
      <c r="BU149" s="150" t="s">
        <v>2471</v>
      </c>
      <c r="BV149" s="150" t="s">
        <v>2659</v>
      </c>
      <c r="BW149" s="258" t="s">
        <v>2749</v>
      </c>
      <c r="BX149" s="151" t="s">
        <v>2743</v>
      </c>
      <c r="BY149" s="150">
        <v>17.985600000000002</v>
      </c>
      <c r="BZ149" s="150" t="s">
        <v>24</v>
      </c>
      <c r="CA149" s="150">
        <f>19.9041-Table665[[#This Row],[Outcome1_M]]</f>
        <v>1.9184999999999981</v>
      </c>
      <c r="CB149" s="151" t="s">
        <v>2744</v>
      </c>
      <c r="CC149" s="150">
        <v>12.9496</v>
      </c>
      <c r="CD149" s="150" t="s">
        <v>24</v>
      </c>
      <c r="CE149" s="150">
        <f>15.1079-Table665[[#This Row],[Outcome2_M]]</f>
        <v>2.1583000000000006</v>
      </c>
      <c r="CF149" s="290" t="s">
        <v>24</v>
      </c>
      <c r="CG149" s="291" t="s">
        <v>24</v>
      </c>
      <c r="CH149" s="151" t="s">
        <v>2745</v>
      </c>
      <c r="CI149" s="150">
        <v>11.990399999999999</v>
      </c>
      <c r="CJ149" s="150" t="s">
        <v>24</v>
      </c>
      <c r="CK149" s="150">
        <f>14.3885-Table665[[#This Row],[Outcome3_M]]</f>
        <v>2.3981000000000012</v>
      </c>
      <c r="CL149" s="151" t="s">
        <v>2746</v>
      </c>
      <c r="CM149" s="150">
        <v>4.7961600000000004</v>
      </c>
      <c r="CN149" s="150" t="s">
        <v>24</v>
      </c>
      <c r="CO149" s="150">
        <f>6.23501-Table665[[#This Row],[Outcome4_M]]</f>
        <v>1.4388499999999995</v>
      </c>
      <c r="CP149" s="290" t="s">
        <v>24</v>
      </c>
      <c r="CQ149" s="291" t="s">
        <v>24</v>
      </c>
      <c r="CR149" s="278" t="s">
        <v>24</v>
      </c>
      <c r="CS149" s="285" t="s">
        <v>24</v>
      </c>
      <c r="CT149" s="151" t="s">
        <v>2747</v>
      </c>
      <c r="CU149" s="150">
        <v>7.9136699999999998</v>
      </c>
      <c r="CV149" s="150" t="s">
        <v>24</v>
      </c>
      <c r="CW149" s="150">
        <f>10.0719-Table665[[#This Row],[Outcome5_M]]</f>
        <v>2.1582299999999996</v>
      </c>
      <c r="CX149" s="151" t="s">
        <v>2750</v>
      </c>
      <c r="CY149" s="150">
        <v>38.609099999999998</v>
      </c>
      <c r="CZ149" s="150" t="s">
        <v>24</v>
      </c>
      <c r="DA149" s="150">
        <f>Table665[[#This Row],[Outcome6_M]]-27.5779</f>
        <v>11.031199999999998</v>
      </c>
      <c r="DB149" s="302"/>
      <c r="DC149" s="303"/>
      <c r="DD149" s="151" t="s">
        <v>2751</v>
      </c>
      <c r="DE149" s="150">
        <v>27.5779</v>
      </c>
      <c r="DF149" s="150" t="s">
        <v>24</v>
      </c>
      <c r="DG149" s="150">
        <f>33.813-Table665[[#This Row],[Outcome7_M]]</f>
        <v>6.2351000000000028</v>
      </c>
      <c r="DH149" s="151" t="s">
        <v>2752</v>
      </c>
      <c r="DI149" s="150">
        <v>18.2254</v>
      </c>
      <c r="DJ149" s="150" t="s">
        <v>24</v>
      </c>
      <c r="DK149" s="150">
        <f>23.741-Table665[[#This Row],[Outcome8_M]]</f>
        <v>5.5155999999999992</v>
      </c>
      <c r="DL149" s="302"/>
      <c r="DM149" s="303"/>
      <c r="DN149" s="278"/>
      <c r="DO149" s="279"/>
      <c r="DP149" s="151" t="s">
        <v>2753</v>
      </c>
      <c r="DQ149" s="150">
        <v>19.424499999999998</v>
      </c>
      <c r="DR149" s="150" t="s">
        <v>24</v>
      </c>
      <c r="DS149" s="150">
        <f>21.5827-Table665[[#This Row],[Outcome9_M]]</f>
        <v>2.1582000000000008</v>
      </c>
      <c r="DT149" s="151" t="s">
        <v>2754</v>
      </c>
      <c r="DU149" s="150">
        <v>16.546800000000001</v>
      </c>
      <c r="DV149" s="150" t="s">
        <v>24</v>
      </c>
      <c r="DW149" s="150">
        <f>20.8633-Table665[[#This Row],[Outcome10_M]]</f>
        <v>4.3164999999999978</v>
      </c>
      <c r="DX149" s="303"/>
      <c r="DY149" s="303"/>
      <c r="DZ149" s="151" t="s">
        <v>2755</v>
      </c>
      <c r="EA149" s="150">
        <v>47.402099999999997</v>
      </c>
      <c r="EB149" s="150" t="s">
        <v>24</v>
      </c>
      <c r="EC149" s="150">
        <f>Table665[[#This Row],[Outcome11_M]]-40.6875</f>
        <v>6.7145999999999972</v>
      </c>
      <c r="ED149" s="151" t="s">
        <v>2756</v>
      </c>
      <c r="EE149" s="150">
        <v>22.7818</v>
      </c>
      <c r="EF149" s="150" t="s">
        <v>24</v>
      </c>
      <c r="EG149" s="150">
        <f>Table665[[#This Row],[Outcome12_M]]-18.9448</f>
        <v>3.8369999999999997</v>
      </c>
      <c r="EH149" s="303"/>
      <c r="EI149" s="303"/>
      <c r="EJ149" s="279"/>
      <c r="EK149" s="151" t="s">
        <v>2757</v>
      </c>
      <c r="EL149" s="150">
        <v>24.540400000000002</v>
      </c>
      <c r="EM149" s="150" t="s">
        <v>24</v>
      </c>
      <c r="EN149" s="150">
        <f>28.697-Table665[[#This Row],[Outcome13_M]]</f>
        <v>4.1565999999999974</v>
      </c>
      <c r="EO149" s="151" t="s">
        <v>2768</v>
      </c>
      <c r="EP149" s="150">
        <v>19.104700000000001</v>
      </c>
      <c r="EQ149" s="150" t="s">
        <v>24</v>
      </c>
      <c r="ER149" s="150">
        <f>24.3805-Table665[[#This Row],[Outcome14_M]]</f>
        <v>5.2758000000000003</v>
      </c>
      <c r="ES149" s="303"/>
      <c r="ET149" s="303"/>
      <c r="EU149" s="151" t="s">
        <v>2770</v>
      </c>
      <c r="EV149" s="150">
        <v>16.546800000000001</v>
      </c>
      <c r="EW149" s="150" t="s">
        <v>24</v>
      </c>
      <c r="EX149" s="150">
        <f>21.0232-Table665[[#This Row],[Outcome15_M]]</f>
        <v>4.4763999999999982</v>
      </c>
      <c r="EY149" s="134"/>
      <c r="EZ149" s="134"/>
      <c r="FA149" s="134"/>
      <c r="FB149" s="134"/>
      <c r="FC149" s="135"/>
      <c r="FD149" s="135"/>
      <c r="FE149" s="134"/>
      <c r="FF149" s="134"/>
      <c r="FG149" s="134"/>
      <c r="FH149" s="134"/>
      <c r="FI149" s="134"/>
      <c r="FJ149" s="134"/>
      <c r="FK149" s="134"/>
      <c r="FL149" s="134"/>
      <c r="FM149" s="135"/>
      <c r="FN149" s="135"/>
      <c r="FO149" s="134"/>
      <c r="FP149" s="134"/>
      <c r="FQ149" s="134"/>
      <c r="FR149" s="134"/>
      <c r="FS149" s="134"/>
      <c r="FT149" s="134"/>
      <c r="FU149" s="134"/>
      <c r="FV149" s="134"/>
      <c r="FW149" s="135"/>
      <c r="FX149" s="135"/>
      <c r="FY149" s="134"/>
      <c r="FZ149" s="134"/>
      <c r="GA149" s="134"/>
      <c r="GB149" s="134"/>
      <c r="GC149" s="134"/>
      <c r="GD149" s="134"/>
      <c r="GE149" s="134"/>
      <c r="GF149" s="134"/>
      <c r="GG149" s="135"/>
      <c r="GH149" s="135"/>
      <c r="GI149" s="134"/>
      <c r="GJ149" s="134"/>
      <c r="GK149" s="134"/>
      <c r="GL149" s="134"/>
      <c r="GM149" s="134"/>
      <c r="GN149" s="134"/>
      <c r="GO149" s="134"/>
      <c r="GP149" s="134"/>
      <c r="GQ149" s="135"/>
      <c r="GR149" s="135"/>
      <c r="GS149" s="134"/>
      <c r="GT149" s="134"/>
      <c r="GU149" s="134"/>
      <c r="GV149" s="134"/>
      <c r="GW149" s="134"/>
      <c r="GX149" s="134"/>
      <c r="GY149" s="134"/>
      <c r="GZ149" s="134"/>
      <c r="HA149" s="135"/>
      <c r="HB149" s="135"/>
      <c r="HC149" s="134"/>
      <c r="HD149" s="134"/>
      <c r="HE149" s="134"/>
      <c r="HF149" s="134"/>
      <c r="HG149" s="134"/>
      <c r="HH149" s="134"/>
      <c r="HI149" s="134"/>
      <c r="HJ149" s="134"/>
      <c r="HK149" s="135"/>
      <c r="HL149" s="135"/>
      <c r="HM149" s="134"/>
      <c r="HN149" s="134"/>
      <c r="HO149" s="134"/>
      <c r="HP149" s="134"/>
      <c r="HQ149" s="134"/>
      <c r="HR149" s="134"/>
      <c r="HS149" s="134"/>
      <c r="HT149" s="134"/>
      <c r="HU149" s="135"/>
      <c r="HV149" s="135"/>
      <c r="HW149" s="134"/>
      <c r="HX149" s="134"/>
      <c r="HY149" s="134"/>
      <c r="HZ149" s="134"/>
      <c r="IA149" s="134"/>
      <c r="IB149" s="134"/>
      <c r="IC149" s="134"/>
      <c r="ID149" s="134"/>
      <c r="IE149" s="135"/>
      <c r="IF149" s="135"/>
      <c r="IG149" s="134"/>
      <c r="IH149" s="134"/>
      <c r="II149" s="134"/>
      <c r="IJ149" s="134"/>
      <c r="IK149" s="134"/>
      <c r="IL149" s="134"/>
      <c r="IM149" s="134"/>
      <c r="IN149" s="134"/>
      <c r="IO149" s="135"/>
      <c r="IP149" s="135"/>
      <c r="IQ149" s="134"/>
      <c r="IR149" s="134"/>
      <c r="IS149" s="134"/>
      <c r="IT149" s="134"/>
      <c r="IU149" s="134"/>
      <c r="IV149" s="134"/>
      <c r="IW149" s="134"/>
      <c r="IX149" s="134"/>
      <c r="IY149" s="135"/>
      <c r="IZ149" s="135"/>
    </row>
    <row r="150" spans="1:260" customFormat="1" ht="17" customHeight="1">
      <c r="A150" s="79" t="s">
        <v>121</v>
      </c>
      <c r="B150" s="117">
        <v>93</v>
      </c>
      <c r="C150" s="117">
        <v>17</v>
      </c>
      <c r="D150" s="117"/>
      <c r="E150" s="123" t="s">
        <v>1940</v>
      </c>
      <c r="F150" s="124" t="s">
        <v>2159</v>
      </c>
      <c r="G150" s="125">
        <v>2002</v>
      </c>
      <c r="H150" s="79">
        <v>12607144</v>
      </c>
      <c r="I150" s="79">
        <v>1</v>
      </c>
      <c r="J150" s="126"/>
      <c r="K150" s="127"/>
      <c r="L150" s="79">
        <v>1</v>
      </c>
      <c r="M150" s="79"/>
      <c r="N150" s="79">
        <v>1</v>
      </c>
      <c r="O150" s="128">
        <v>1</v>
      </c>
      <c r="P150" s="79" t="s">
        <v>408</v>
      </c>
      <c r="Q150" s="79"/>
      <c r="R150" s="79" t="s">
        <v>25</v>
      </c>
      <c r="S150" s="79">
        <v>1</v>
      </c>
      <c r="T150" s="79"/>
      <c r="U150" s="79"/>
      <c r="V150" s="79"/>
      <c r="W150" s="79"/>
      <c r="X150" s="79"/>
      <c r="Y150" s="79"/>
      <c r="Z150" s="79"/>
      <c r="AA150" s="79"/>
      <c r="AB150" s="79"/>
      <c r="AC150" s="506"/>
      <c r="AD150" s="573">
        <v>1</v>
      </c>
      <c r="AE150" s="573">
        <v>2</v>
      </c>
      <c r="AF150" s="154">
        <v>1</v>
      </c>
      <c r="AG150" s="449"/>
      <c r="AH150" s="121">
        <v>2</v>
      </c>
      <c r="AI150" s="484"/>
      <c r="AJ150" s="535" t="s">
        <v>3991</v>
      </c>
      <c r="AK150" s="192">
        <v>1</v>
      </c>
      <c r="AL150" s="203" t="s">
        <v>24</v>
      </c>
      <c r="AM150" s="121" t="s">
        <v>3990</v>
      </c>
      <c r="AN150" s="121" t="s">
        <v>3989</v>
      </c>
      <c r="AO150" s="121">
        <v>80</v>
      </c>
      <c r="AP150" s="121" t="s">
        <v>803</v>
      </c>
      <c r="AQ150" s="121" t="s">
        <v>803</v>
      </c>
      <c r="AR150" s="121" t="s">
        <v>3992</v>
      </c>
      <c r="AS150" s="121" t="s">
        <v>3993</v>
      </c>
      <c r="AT150" s="121">
        <v>37.950000000000003</v>
      </c>
      <c r="AU150" s="121">
        <v>2.56</v>
      </c>
      <c r="AV150" s="121" t="s">
        <v>3994</v>
      </c>
      <c r="AW150" s="121" t="s">
        <v>24</v>
      </c>
      <c r="AX150" s="121" t="s">
        <v>24</v>
      </c>
      <c r="AY150" s="121" t="s">
        <v>2423</v>
      </c>
      <c r="AZ150" s="121" t="s">
        <v>3835</v>
      </c>
      <c r="BA150" s="121" t="s">
        <v>3995</v>
      </c>
      <c r="BB150" s="121"/>
      <c r="BC150" s="121"/>
      <c r="BD150" s="156"/>
      <c r="BE150" s="156"/>
      <c r="BF150" s="156"/>
      <c r="BG150" s="156"/>
      <c r="BH150" s="156"/>
      <c r="BI150" s="156"/>
      <c r="BJ150" s="156"/>
      <c r="BK150" s="156"/>
      <c r="BL150" s="156"/>
      <c r="BM150" s="156"/>
      <c r="BN150" s="156">
        <v>1</v>
      </c>
      <c r="BO150" s="156"/>
      <c r="BP150" s="156"/>
      <c r="BQ150" s="157" t="s">
        <v>3996</v>
      </c>
      <c r="BR150" s="134" t="s">
        <v>1876</v>
      </c>
      <c r="BS150" s="134" t="s">
        <v>4003</v>
      </c>
      <c r="BT150" s="134" t="s">
        <v>4053</v>
      </c>
      <c r="BU150" s="134" t="s">
        <v>24</v>
      </c>
      <c r="BV150" s="134" t="s">
        <v>4018</v>
      </c>
      <c r="BW150" s="259" t="s">
        <v>4063</v>
      </c>
      <c r="BX150" s="138" t="s">
        <v>4012</v>
      </c>
      <c r="BY150" s="190">
        <v>9.41</v>
      </c>
      <c r="BZ150" s="134">
        <v>2.73</v>
      </c>
      <c r="CA150" s="190" t="s">
        <v>24</v>
      </c>
      <c r="CB150" s="138" t="s">
        <v>4014</v>
      </c>
      <c r="CC150" s="134">
        <v>9.68</v>
      </c>
      <c r="CD150" s="134">
        <v>2.67</v>
      </c>
      <c r="CE150" s="134" t="s">
        <v>24</v>
      </c>
      <c r="CF150" s="288" t="s">
        <v>24</v>
      </c>
      <c r="CG150" s="289" t="s">
        <v>24</v>
      </c>
      <c r="CH150" s="138" t="s">
        <v>4015</v>
      </c>
      <c r="CI150" s="134">
        <v>9.64</v>
      </c>
      <c r="CJ150" s="134">
        <v>2.42</v>
      </c>
      <c r="CK150" s="134" t="s">
        <v>24</v>
      </c>
      <c r="CL150" s="456" t="s">
        <v>4013</v>
      </c>
      <c r="CM150" s="134">
        <v>10.32</v>
      </c>
      <c r="CN150" s="134">
        <v>2.56</v>
      </c>
      <c r="CO150" s="134" t="s">
        <v>24</v>
      </c>
      <c r="CP150" s="288" t="s">
        <v>24</v>
      </c>
      <c r="CQ150" s="289" t="s">
        <v>24</v>
      </c>
      <c r="CR150" s="276" t="s">
        <v>24</v>
      </c>
      <c r="CS150" s="308" t="s">
        <v>24</v>
      </c>
      <c r="CT150" s="456" t="s">
        <v>4017</v>
      </c>
      <c r="CU150" s="134">
        <v>10.3</v>
      </c>
      <c r="CV150" s="134">
        <v>3.02</v>
      </c>
      <c r="CW150" s="134" t="s">
        <v>24</v>
      </c>
      <c r="CX150" s="456" t="s">
        <v>4016</v>
      </c>
      <c r="CY150" s="134">
        <v>10.050000000000001</v>
      </c>
      <c r="CZ150" s="134">
        <v>2.2000000000000002</v>
      </c>
      <c r="DA150" s="134" t="s">
        <v>24</v>
      </c>
      <c r="DB150" s="300" t="s">
        <v>24</v>
      </c>
      <c r="DC150" s="301" t="s">
        <v>24</v>
      </c>
      <c r="DD150" s="456" t="s">
        <v>4059</v>
      </c>
      <c r="DE150" s="190">
        <v>104.42</v>
      </c>
      <c r="DF150" s="134">
        <v>21.61</v>
      </c>
      <c r="DG150" s="134" t="s">
        <v>24</v>
      </c>
      <c r="DH150" s="456" t="s">
        <v>4058</v>
      </c>
      <c r="DI150" s="134">
        <v>105.92</v>
      </c>
      <c r="DJ150" s="134">
        <v>25.86</v>
      </c>
      <c r="DK150" s="134" t="s">
        <v>24</v>
      </c>
      <c r="DL150" s="300" t="s">
        <v>24</v>
      </c>
      <c r="DM150" s="301" t="s">
        <v>24</v>
      </c>
      <c r="DN150" s="276" t="s">
        <v>24</v>
      </c>
      <c r="DO150" s="277" t="s">
        <v>24</v>
      </c>
      <c r="DP150" s="456" t="s">
        <v>4057</v>
      </c>
      <c r="DQ150" s="190">
        <v>107.34</v>
      </c>
      <c r="DR150" s="134">
        <v>19.75</v>
      </c>
      <c r="DS150" s="134" t="s">
        <v>24</v>
      </c>
      <c r="DT150" s="138" t="s">
        <v>24</v>
      </c>
      <c r="DU150" s="134" t="s">
        <v>24</v>
      </c>
      <c r="DV150" s="134" t="s">
        <v>24</v>
      </c>
      <c r="DW150" s="134" t="s">
        <v>24</v>
      </c>
      <c r="DX150" s="301" t="s">
        <v>24</v>
      </c>
      <c r="DY150" s="301" t="s">
        <v>24</v>
      </c>
      <c r="DZ150" s="138" t="s">
        <v>4054</v>
      </c>
      <c r="EA150" s="190">
        <v>100.74</v>
      </c>
      <c r="EB150" s="134">
        <v>19.38</v>
      </c>
      <c r="EC150" s="134" t="s">
        <v>24</v>
      </c>
      <c r="ED150" s="138" t="s">
        <v>4055</v>
      </c>
      <c r="EE150" s="134">
        <v>103.69</v>
      </c>
      <c r="EF150" s="134">
        <v>21.8</v>
      </c>
      <c r="EG150" s="134" t="s">
        <v>24</v>
      </c>
      <c r="EH150" s="301" t="s">
        <v>24</v>
      </c>
      <c r="EI150" s="301" t="s">
        <v>24</v>
      </c>
      <c r="EJ150" s="277" t="s">
        <v>24</v>
      </c>
      <c r="EK150" s="134" t="s">
        <v>4056</v>
      </c>
      <c r="EL150" s="134">
        <v>99.96</v>
      </c>
      <c r="EM150" s="134">
        <v>17.16</v>
      </c>
      <c r="EN150" s="134" t="s">
        <v>24</v>
      </c>
      <c r="EO150" s="134" t="s">
        <v>24</v>
      </c>
      <c r="EP150" s="134" t="s">
        <v>24</v>
      </c>
      <c r="EQ150" s="134" t="s">
        <v>24</v>
      </c>
      <c r="ER150" s="134" t="s">
        <v>24</v>
      </c>
      <c r="ES150" s="301" t="s">
        <v>4060</v>
      </c>
      <c r="ET150" s="301" t="s">
        <v>4061</v>
      </c>
      <c r="EU150" s="134"/>
      <c r="EV150" s="134"/>
      <c r="EW150" s="134"/>
      <c r="EX150" s="134"/>
      <c r="EY150" s="134"/>
      <c r="EZ150" s="134"/>
      <c r="FA150" s="134"/>
      <c r="FB150" s="134"/>
      <c r="FC150" s="135"/>
      <c r="FD150" s="135"/>
      <c r="FE150" s="134"/>
      <c r="FF150" s="134"/>
      <c r="FG150" s="134"/>
      <c r="FH150" s="134"/>
      <c r="FI150" s="134"/>
      <c r="FJ150" s="134"/>
      <c r="FK150" s="134"/>
      <c r="FL150" s="134"/>
      <c r="FM150" s="135"/>
      <c r="FN150" s="135"/>
      <c r="FO150" s="134"/>
      <c r="FP150" s="134"/>
      <c r="FQ150" s="134"/>
      <c r="FR150" s="134"/>
      <c r="FS150" s="134"/>
      <c r="FT150" s="134"/>
      <c r="FU150" s="134"/>
      <c r="FV150" s="134"/>
      <c r="FW150" s="135"/>
      <c r="FX150" s="135"/>
      <c r="FY150" s="134"/>
      <c r="FZ150" s="134"/>
      <c r="GA150" s="134"/>
      <c r="GB150" s="134"/>
      <c r="GC150" s="134"/>
      <c r="GD150" s="134"/>
      <c r="GE150" s="134"/>
      <c r="GF150" s="134"/>
      <c r="GG150" s="135"/>
      <c r="GH150" s="135"/>
      <c r="GI150" s="134"/>
      <c r="GJ150" s="134"/>
      <c r="GK150" s="134"/>
      <c r="GL150" s="134"/>
      <c r="GM150" s="134"/>
      <c r="GN150" s="134"/>
      <c r="GO150" s="134"/>
      <c r="GP150" s="134"/>
      <c r="GQ150" s="135"/>
      <c r="GR150" s="135"/>
      <c r="GS150" s="134"/>
      <c r="GT150" s="134"/>
      <c r="GU150" s="134"/>
      <c r="GV150" s="134"/>
      <c r="GW150" s="134"/>
      <c r="GX150" s="134"/>
      <c r="GY150" s="134"/>
      <c r="GZ150" s="134"/>
      <c r="HA150" s="135"/>
      <c r="HB150" s="135"/>
      <c r="HC150" s="134"/>
      <c r="HD150" s="134"/>
      <c r="HE150" s="134"/>
      <c r="HF150" s="134"/>
      <c r="HG150" s="134"/>
      <c r="HH150" s="134"/>
      <c r="HI150" s="134"/>
      <c r="HJ150" s="134"/>
      <c r="HK150" s="135"/>
      <c r="HL150" s="135"/>
      <c r="HM150" s="134"/>
      <c r="HN150" s="134"/>
      <c r="HO150" s="134"/>
      <c r="HP150" s="134"/>
      <c r="HQ150" s="134"/>
      <c r="HR150" s="134"/>
      <c r="HS150" s="134"/>
      <c r="HT150" s="134"/>
      <c r="HU150" s="135"/>
      <c r="HV150" s="135"/>
      <c r="HW150" s="134"/>
      <c r="HX150" s="134"/>
      <c r="HY150" s="134"/>
      <c r="HZ150" s="134"/>
      <c r="IA150" s="134"/>
      <c r="IB150" s="134"/>
      <c r="IC150" s="134"/>
      <c r="ID150" s="134"/>
      <c r="IE150" s="135"/>
      <c r="IF150" s="135"/>
      <c r="IG150" s="134"/>
      <c r="IH150" s="134"/>
      <c r="II150" s="134"/>
      <c r="IJ150" s="134"/>
      <c r="IK150" s="134"/>
      <c r="IL150" s="134"/>
      <c r="IM150" s="134"/>
      <c r="IN150" s="134"/>
      <c r="IO150" s="135"/>
      <c r="IP150" s="135"/>
      <c r="IQ150" s="134"/>
      <c r="IR150" s="134"/>
      <c r="IS150" s="134"/>
      <c r="IT150" s="134"/>
      <c r="IU150" s="134"/>
      <c r="IV150" s="134"/>
      <c r="IW150" s="134"/>
      <c r="IX150" s="134"/>
      <c r="IY150" s="135"/>
      <c r="IZ150" s="135"/>
    </row>
    <row r="151" spans="1:260" customFormat="1" ht="17" customHeight="1">
      <c r="A151" s="118" t="s">
        <v>121</v>
      </c>
      <c r="B151" s="381">
        <v>93</v>
      </c>
      <c r="C151" s="381">
        <v>17</v>
      </c>
      <c r="D151" s="381"/>
      <c r="E151" s="139" t="s">
        <v>1940</v>
      </c>
      <c r="F151" s="140" t="s">
        <v>2159</v>
      </c>
      <c r="G151" s="141">
        <v>2002</v>
      </c>
      <c r="H151" s="118">
        <v>12607144</v>
      </c>
      <c r="I151" s="118">
        <v>1</v>
      </c>
      <c r="J151" s="118"/>
      <c r="K151" s="118"/>
      <c r="L151" s="118">
        <v>1</v>
      </c>
      <c r="M151" s="118"/>
      <c r="N151" s="118">
        <v>1</v>
      </c>
      <c r="O151" s="142">
        <v>1</v>
      </c>
      <c r="P151" s="118" t="s">
        <v>408</v>
      </c>
      <c r="Q151" s="118"/>
      <c r="R151" s="118" t="s">
        <v>25</v>
      </c>
      <c r="S151" s="118">
        <v>1</v>
      </c>
      <c r="T151" s="118"/>
      <c r="U151" s="118"/>
      <c r="V151" s="118"/>
      <c r="W151" s="118"/>
      <c r="X151" s="118"/>
      <c r="Y151" s="118"/>
      <c r="Z151" s="118"/>
      <c r="AA151" s="118"/>
      <c r="AB151" s="118"/>
      <c r="AC151" s="145"/>
      <c r="AD151" s="573">
        <v>1</v>
      </c>
      <c r="AE151" s="573">
        <v>2</v>
      </c>
      <c r="AF151" s="159">
        <v>1</v>
      </c>
      <c r="AG151" s="160"/>
      <c r="AH151" s="122">
        <v>2</v>
      </c>
      <c r="AI151" s="485"/>
      <c r="AJ151" s="204" t="s">
        <v>3991</v>
      </c>
      <c r="AK151" s="192">
        <v>1</v>
      </c>
      <c r="AL151" s="205" t="s">
        <v>24</v>
      </c>
      <c r="AM151" s="122" t="s">
        <v>3990</v>
      </c>
      <c r="AN151" s="122" t="s">
        <v>3989</v>
      </c>
      <c r="AO151" s="122">
        <v>80</v>
      </c>
      <c r="AP151" s="122" t="s">
        <v>803</v>
      </c>
      <c r="AQ151" s="122" t="s">
        <v>803</v>
      </c>
      <c r="AR151" s="122" t="s">
        <v>3992</v>
      </c>
      <c r="AS151" s="122" t="s">
        <v>3993</v>
      </c>
      <c r="AT151" s="122">
        <v>37.950000000000003</v>
      </c>
      <c r="AU151" s="122">
        <v>2.56</v>
      </c>
      <c r="AV151" s="122" t="s">
        <v>3994</v>
      </c>
      <c r="AW151" s="122" t="s">
        <v>24</v>
      </c>
      <c r="AX151" s="122" t="s">
        <v>24</v>
      </c>
      <c r="AY151" s="122" t="s">
        <v>2423</v>
      </c>
      <c r="AZ151" s="122" t="s">
        <v>3835</v>
      </c>
      <c r="BA151" s="122" t="s">
        <v>3995</v>
      </c>
      <c r="BB151" s="122"/>
      <c r="BC151" s="122"/>
      <c r="BD151" s="161"/>
      <c r="BE151" s="161"/>
      <c r="BF151" s="161"/>
      <c r="BG151" s="161"/>
      <c r="BH151" s="161"/>
      <c r="BI151" s="161"/>
      <c r="BJ151" s="161"/>
      <c r="BK151" s="161"/>
      <c r="BL151" s="161"/>
      <c r="BM151" s="161"/>
      <c r="BN151" s="161"/>
      <c r="BO151" s="161">
        <v>1</v>
      </c>
      <c r="BP151" s="161"/>
      <c r="BQ151" s="162" t="s">
        <v>3998</v>
      </c>
      <c r="BR151" s="150" t="s">
        <v>1876</v>
      </c>
      <c r="BS151" s="150" t="s">
        <v>4003</v>
      </c>
      <c r="BT151" s="150" t="s">
        <v>4004</v>
      </c>
      <c r="BU151" s="150" t="s">
        <v>24</v>
      </c>
      <c r="BV151" s="150" t="s">
        <v>4019</v>
      </c>
      <c r="BW151" s="258" t="s">
        <v>4062</v>
      </c>
      <c r="BX151" s="167" t="s">
        <v>4020</v>
      </c>
      <c r="BY151" s="150">
        <v>34.25</v>
      </c>
      <c r="BZ151" s="150">
        <v>10.78</v>
      </c>
      <c r="CA151" s="150" t="s">
        <v>24</v>
      </c>
      <c r="CB151" s="167" t="s">
        <v>4021</v>
      </c>
      <c r="CC151" s="150">
        <v>33.56</v>
      </c>
      <c r="CD151" s="150">
        <v>10.7</v>
      </c>
      <c r="CE151" s="150" t="s">
        <v>24</v>
      </c>
      <c r="CF151" s="290" t="s">
        <v>24</v>
      </c>
      <c r="CG151" s="291" t="s">
        <v>24</v>
      </c>
      <c r="CH151" s="167" t="s">
        <v>4022</v>
      </c>
      <c r="CI151" s="150">
        <v>34.03</v>
      </c>
      <c r="CJ151" s="150">
        <v>10.36</v>
      </c>
      <c r="CK151" s="150" t="s">
        <v>24</v>
      </c>
      <c r="CL151" s="167" t="s">
        <v>4023</v>
      </c>
      <c r="CM151" s="150">
        <v>21.04</v>
      </c>
      <c r="CN151" s="150">
        <v>5.78</v>
      </c>
      <c r="CO151" s="150" t="s">
        <v>24</v>
      </c>
      <c r="CP151" s="290" t="s">
        <v>24</v>
      </c>
      <c r="CQ151" s="291" t="s">
        <v>24</v>
      </c>
      <c r="CR151" s="278" t="s">
        <v>24</v>
      </c>
      <c r="CS151" s="285" t="s">
        <v>24</v>
      </c>
      <c r="CT151" s="150" t="s">
        <v>4024</v>
      </c>
      <c r="CU151" s="150">
        <v>20.74</v>
      </c>
      <c r="CV151" s="150">
        <v>5.05</v>
      </c>
      <c r="CW151" s="150" t="s">
        <v>24</v>
      </c>
      <c r="CX151" s="145" t="s">
        <v>4025</v>
      </c>
      <c r="CY151" s="150">
        <v>21.16</v>
      </c>
      <c r="CZ151" s="150">
        <v>5.5</v>
      </c>
      <c r="DA151" s="150" t="s">
        <v>24</v>
      </c>
      <c r="DB151" s="302" t="s">
        <v>24</v>
      </c>
      <c r="DC151" s="303" t="s">
        <v>24</v>
      </c>
      <c r="DD151" s="150" t="s">
        <v>24</v>
      </c>
      <c r="DE151" s="150" t="s">
        <v>24</v>
      </c>
      <c r="DF151" s="150" t="s">
        <v>24</v>
      </c>
      <c r="DG151" s="150" t="s">
        <v>24</v>
      </c>
      <c r="DH151" s="150" t="s">
        <v>24</v>
      </c>
      <c r="DI151" s="150" t="s">
        <v>24</v>
      </c>
      <c r="DJ151" s="150" t="s">
        <v>24</v>
      </c>
      <c r="DK151" s="150" t="s">
        <v>24</v>
      </c>
      <c r="DL151" s="302" t="s">
        <v>24</v>
      </c>
      <c r="DM151" s="303" t="s">
        <v>24</v>
      </c>
      <c r="DN151" s="278" t="s">
        <v>24</v>
      </c>
      <c r="DO151" s="279" t="s">
        <v>24</v>
      </c>
      <c r="DP151" s="150"/>
      <c r="DQ151" s="150"/>
      <c r="DR151" s="150"/>
      <c r="DS151" s="150"/>
      <c r="DT151" s="151"/>
      <c r="DU151" s="150"/>
      <c r="DV151" s="150"/>
      <c r="DW151" s="150"/>
      <c r="DX151" s="303"/>
      <c r="DY151" s="303"/>
      <c r="DZ151" s="151"/>
      <c r="EA151" s="150"/>
      <c r="EB151" s="150"/>
      <c r="EC151" s="150"/>
      <c r="ED151" s="151"/>
      <c r="EE151" s="150"/>
      <c r="EF151" s="150"/>
      <c r="EG151" s="150"/>
      <c r="EH151" s="303"/>
      <c r="EI151" s="303"/>
      <c r="EJ151" s="279"/>
      <c r="EK151" s="150"/>
      <c r="EL151" s="150"/>
      <c r="EM151" s="150"/>
      <c r="EN151" s="150"/>
      <c r="EO151" s="150"/>
      <c r="EP151" s="150"/>
      <c r="EQ151" s="150"/>
      <c r="ER151" s="150"/>
      <c r="ES151" s="303"/>
      <c r="ET151" s="303"/>
      <c r="EU151" s="150"/>
      <c r="EV151" s="150"/>
      <c r="EW151" s="150"/>
      <c r="EX151" s="150"/>
      <c r="EY151" s="134"/>
      <c r="EZ151" s="134"/>
      <c r="FA151" s="134"/>
      <c r="FB151" s="134"/>
      <c r="FC151" s="135"/>
      <c r="FD151" s="135"/>
      <c r="FE151" s="134"/>
      <c r="FF151" s="134"/>
      <c r="FG151" s="134"/>
      <c r="FH151" s="134"/>
      <c r="FI151" s="134"/>
      <c r="FJ151" s="134"/>
      <c r="FK151" s="134"/>
      <c r="FL151" s="134"/>
      <c r="FM151" s="135"/>
      <c r="FN151" s="135"/>
      <c r="FO151" s="134"/>
      <c r="FP151" s="134"/>
      <c r="FQ151" s="134"/>
      <c r="FR151" s="134"/>
      <c r="FS151" s="134"/>
      <c r="FT151" s="134"/>
      <c r="FU151" s="134"/>
      <c r="FV151" s="134"/>
      <c r="FW151" s="135"/>
      <c r="FX151" s="135"/>
      <c r="FY151" s="134"/>
      <c r="FZ151" s="134"/>
      <c r="GA151" s="134"/>
      <c r="GB151" s="134"/>
      <c r="GC151" s="134"/>
      <c r="GD151" s="134"/>
      <c r="GE151" s="134"/>
      <c r="GF151" s="134"/>
      <c r="GG151" s="135"/>
      <c r="GH151" s="135"/>
      <c r="GI151" s="134"/>
      <c r="GJ151" s="134"/>
      <c r="GK151" s="134"/>
      <c r="GL151" s="134"/>
      <c r="GM151" s="134"/>
      <c r="GN151" s="134"/>
      <c r="GO151" s="134"/>
      <c r="GP151" s="134"/>
      <c r="GQ151" s="135"/>
      <c r="GR151" s="135"/>
      <c r="GS151" s="134"/>
      <c r="GT151" s="134"/>
      <c r="GU151" s="134"/>
      <c r="GV151" s="134"/>
      <c r="GW151" s="134"/>
      <c r="GX151" s="134"/>
      <c r="GY151" s="134"/>
      <c r="GZ151" s="134"/>
      <c r="HA151" s="135"/>
      <c r="HB151" s="135"/>
      <c r="HC151" s="134"/>
      <c r="HD151" s="134"/>
      <c r="HE151" s="134"/>
      <c r="HF151" s="134"/>
      <c r="HG151" s="134"/>
      <c r="HH151" s="134"/>
      <c r="HI151" s="134"/>
      <c r="HJ151" s="134"/>
      <c r="HK151" s="135"/>
      <c r="HL151" s="135"/>
      <c r="HM151" s="134"/>
      <c r="HN151" s="134"/>
      <c r="HO151" s="134"/>
      <c r="HP151" s="134"/>
      <c r="HQ151" s="134"/>
      <c r="HR151" s="134"/>
      <c r="HS151" s="134"/>
      <c r="HT151" s="134"/>
      <c r="HU151" s="135"/>
      <c r="HV151" s="135"/>
      <c r="HW151" s="134"/>
      <c r="HX151" s="134"/>
      <c r="HY151" s="134"/>
      <c r="HZ151" s="134"/>
      <c r="IA151" s="134"/>
      <c r="IB151" s="134"/>
      <c r="IC151" s="134"/>
      <c r="ID151" s="134"/>
      <c r="IE151" s="135"/>
      <c r="IF151" s="135"/>
      <c r="IG151" s="134"/>
      <c r="IH151" s="134"/>
      <c r="II151" s="134"/>
      <c r="IJ151" s="134"/>
      <c r="IK151" s="134"/>
      <c r="IL151" s="134"/>
      <c r="IM151" s="134"/>
      <c r="IN151" s="134"/>
      <c r="IO151" s="135"/>
      <c r="IP151" s="135"/>
      <c r="IQ151" s="134"/>
      <c r="IR151" s="134"/>
      <c r="IS151" s="134"/>
      <c r="IT151" s="134"/>
      <c r="IU151" s="134"/>
      <c r="IV151" s="134"/>
      <c r="IW151" s="134"/>
      <c r="IX151" s="134"/>
      <c r="IY151" s="135"/>
      <c r="IZ151" s="135"/>
    </row>
    <row r="152" spans="1:260" customFormat="1" ht="17" customHeight="1">
      <c r="A152" s="118" t="s">
        <v>121</v>
      </c>
      <c r="B152" s="381">
        <v>93</v>
      </c>
      <c r="C152" s="381">
        <v>17</v>
      </c>
      <c r="D152" s="381"/>
      <c r="E152" s="139" t="s">
        <v>1940</v>
      </c>
      <c r="F152" s="140" t="s">
        <v>2159</v>
      </c>
      <c r="G152" s="141">
        <v>2002</v>
      </c>
      <c r="H152" s="118">
        <v>12607144</v>
      </c>
      <c r="I152" s="118">
        <v>1</v>
      </c>
      <c r="J152" s="118"/>
      <c r="K152" s="118"/>
      <c r="L152" s="118">
        <v>1</v>
      </c>
      <c r="M152" s="118"/>
      <c r="N152" s="118">
        <v>1</v>
      </c>
      <c r="O152" s="142">
        <v>1</v>
      </c>
      <c r="P152" s="118" t="s">
        <v>408</v>
      </c>
      <c r="Q152" s="118"/>
      <c r="R152" s="118" t="s">
        <v>25</v>
      </c>
      <c r="S152" s="118">
        <v>1</v>
      </c>
      <c r="T152" s="118"/>
      <c r="U152" s="118"/>
      <c r="V152" s="118"/>
      <c r="W152" s="118"/>
      <c r="X152" s="118"/>
      <c r="Y152" s="118"/>
      <c r="Z152" s="118"/>
      <c r="AA152" s="118"/>
      <c r="AB152" s="118"/>
      <c r="AC152" s="145"/>
      <c r="AD152" s="573">
        <v>1</v>
      </c>
      <c r="AE152" s="573">
        <v>2</v>
      </c>
      <c r="AF152" s="159">
        <v>1</v>
      </c>
      <c r="AG152" s="160"/>
      <c r="AH152" s="122">
        <v>2</v>
      </c>
      <c r="AI152" s="485"/>
      <c r="AJ152" s="204" t="s">
        <v>3991</v>
      </c>
      <c r="AK152" s="192">
        <v>1</v>
      </c>
      <c r="AL152" s="205" t="s">
        <v>24</v>
      </c>
      <c r="AM152" s="122" t="s">
        <v>3990</v>
      </c>
      <c r="AN152" s="122" t="s">
        <v>3989</v>
      </c>
      <c r="AO152" s="122">
        <v>80</v>
      </c>
      <c r="AP152" s="122" t="s">
        <v>803</v>
      </c>
      <c r="AQ152" s="122" t="s">
        <v>803</v>
      </c>
      <c r="AR152" s="122" t="s">
        <v>3992</v>
      </c>
      <c r="AS152" s="122" t="s">
        <v>3993</v>
      </c>
      <c r="AT152" s="122">
        <v>37.950000000000003</v>
      </c>
      <c r="AU152" s="122">
        <v>2.56</v>
      </c>
      <c r="AV152" s="122" t="s">
        <v>3994</v>
      </c>
      <c r="AW152" s="122" t="s">
        <v>24</v>
      </c>
      <c r="AX152" s="122" t="s">
        <v>24</v>
      </c>
      <c r="AY152" s="122" t="s">
        <v>2423</v>
      </c>
      <c r="AZ152" s="122" t="s">
        <v>3835</v>
      </c>
      <c r="BA152" s="122" t="s">
        <v>3995</v>
      </c>
      <c r="BB152" s="122"/>
      <c r="BC152" s="122"/>
      <c r="BD152" s="161"/>
      <c r="BE152" s="161"/>
      <c r="BF152" s="161">
        <v>1</v>
      </c>
      <c r="BG152" s="161"/>
      <c r="BH152" s="161"/>
      <c r="BI152" s="161"/>
      <c r="BJ152" s="161"/>
      <c r="BK152" s="161"/>
      <c r="BL152" s="161"/>
      <c r="BM152" s="161"/>
      <c r="BN152" s="161"/>
      <c r="BO152" s="161"/>
      <c r="BP152" s="161"/>
      <c r="BQ152" s="162" t="s">
        <v>1889</v>
      </c>
      <c r="BR152" s="150" t="s">
        <v>1876</v>
      </c>
      <c r="BS152" s="150" t="s">
        <v>4003</v>
      </c>
      <c r="BT152" s="150" t="s">
        <v>4011</v>
      </c>
      <c r="BU152" s="150" t="s">
        <v>24</v>
      </c>
      <c r="BV152" s="150" t="s">
        <v>4006</v>
      </c>
      <c r="BW152" s="541" t="s">
        <v>4062</v>
      </c>
      <c r="BX152" s="151" t="s">
        <v>4026</v>
      </c>
      <c r="BY152" s="150">
        <v>37.770000000000003</v>
      </c>
      <c r="BZ152" s="150">
        <v>10.37</v>
      </c>
      <c r="CA152" s="150" t="s">
        <v>24</v>
      </c>
      <c r="CB152" s="151" t="s">
        <v>4027</v>
      </c>
      <c r="CC152" s="150">
        <v>38.51</v>
      </c>
      <c r="CD152" s="150">
        <v>10.06</v>
      </c>
      <c r="CE152" s="150" t="s">
        <v>24</v>
      </c>
      <c r="CF152" s="290" t="s">
        <v>24</v>
      </c>
      <c r="CG152" s="291" t="s">
        <v>24</v>
      </c>
      <c r="CH152" s="167" t="s">
        <v>4028</v>
      </c>
      <c r="CI152" s="150">
        <v>37.880000000000003</v>
      </c>
      <c r="CJ152" s="150">
        <v>12.06</v>
      </c>
      <c r="CK152" s="150" t="s">
        <v>24</v>
      </c>
      <c r="CL152" s="167" t="s">
        <v>24</v>
      </c>
      <c r="CM152" s="150" t="s">
        <v>24</v>
      </c>
      <c r="CN152" s="150" t="s">
        <v>24</v>
      </c>
      <c r="CO152" s="150" t="s">
        <v>24</v>
      </c>
      <c r="CP152" s="290" t="s">
        <v>24</v>
      </c>
      <c r="CQ152" s="291" t="s">
        <v>24</v>
      </c>
      <c r="CR152" s="278" t="s">
        <v>24</v>
      </c>
      <c r="CS152" s="285" t="s">
        <v>24</v>
      </c>
      <c r="CT152" s="151" t="s">
        <v>24</v>
      </c>
      <c r="CU152" s="150" t="s">
        <v>24</v>
      </c>
      <c r="CV152" s="150" t="s">
        <v>24</v>
      </c>
      <c r="CW152" s="150" t="s">
        <v>24</v>
      </c>
      <c r="CX152" s="150" t="s">
        <v>24</v>
      </c>
      <c r="CY152" s="150" t="s">
        <v>24</v>
      </c>
      <c r="CZ152" s="150" t="s">
        <v>24</v>
      </c>
      <c r="DA152" s="150" t="s">
        <v>24</v>
      </c>
      <c r="DB152" s="302" t="s">
        <v>24</v>
      </c>
      <c r="DC152" s="303" t="s">
        <v>24</v>
      </c>
      <c r="DD152" s="150" t="s">
        <v>24</v>
      </c>
      <c r="DE152" s="150" t="s">
        <v>24</v>
      </c>
      <c r="DF152" s="150" t="s">
        <v>24</v>
      </c>
      <c r="DG152" s="150" t="s">
        <v>24</v>
      </c>
      <c r="DH152" s="150" t="s">
        <v>24</v>
      </c>
      <c r="DI152" s="150" t="s">
        <v>24</v>
      </c>
      <c r="DJ152" s="150" t="s">
        <v>24</v>
      </c>
      <c r="DK152" s="150" t="s">
        <v>24</v>
      </c>
      <c r="DL152" s="302" t="s">
        <v>24</v>
      </c>
      <c r="DM152" s="303" t="s">
        <v>24</v>
      </c>
      <c r="DN152" s="278" t="s">
        <v>24</v>
      </c>
      <c r="DO152" s="279" t="s">
        <v>24</v>
      </c>
      <c r="DP152" s="150"/>
      <c r="DQ152" s="150"/>
      <c r="DR152" s="150"/>
      <c r="DS152" s="150"/>
      <c r="DT152" s="151"/>
      <c r="DU152" s="150"/>
      <c r="DV152" s="150"/>
      <c r="DW152" s="150"/>
      <c r="DX152" s="303"/>
      <c r="DY152" s="303"/>
      <c r="DZ152" s="151"/>
      <c r="EA152" s="150"/>
      <c r="EB152" s="150"/>
      <c r="EC152" s="150"/>
      <c r="ED152" s="151"/>
      <c r="EE152" s="150"/>
      <c r="EF152" s="150"/>
      <c r="EG152" s="150"/>
      <c r="EH152" s="303"/>
      <c r="EI152" s="303"/>
      <c r="EJ152" s="279"/>
      <c r="EK152" s="150"/>
      <c r="EL152" s="150"/>
      <c r="EM152" s="150"/>
      <c r="EN152" s="150"/>
      <c r="EO152" s="150"/>
      <c r="EP152" s="150"/>
      <c r="EQ152" s="150"/>
      <c r="ER152" s="150"/>
      <c r="ES152" s="303"/>
      <c r="ET152" s="303"/>
      <c r="EU152" s="150"/>
      <c r="EV152" s="150"/>
      <c r="EW152" s="150"/>
      <c r="EX152" s="150"/>
      <c r="EY152" s="134"/>
      <c r="EZ152" s="134"/>
      <c r="FA152" s="134"/>
      <c r="FB152" s="134"/>
      <c r="FC152" s="135"/>
      <c r="FD152" s="135"/>
      <c r="FE152" s="134"/>
      <c r="FF152" s="134"/>
      <c r="FG152" s="134"/>
      <c r="FH152" s="134"/>
      <c r="FI152" s="134"/>
      <c r="FJ152" s="134"/>
      <c r="FK152" s="134"/>
      <c r="FL152" s="134"/>
      <c r="FM152" s="135"/>
      <c r="FN152" s="135"/>
      <c r="FO152" s="134"/>
      <c r="FP152" s="134"/>
      <c r="FQ152" s="134"/>
      <c r="FR152" s="134"/>
      <c r="FS152" s="134"/>
      <c r="FT152" s="134"/>
      <c r="FU152" s="134"/>
      <c r="FV152" s="134"/>
      <c r="FW152" s="135"/>
      <c r="FX152" s="135"/>
      <c r="FY152" s="134"/>
      <c r="FZ152" s="134"/>
      <c r="GA152" s="134"/>
      <c r="GB152" s="134"/>
      <c r="GC152" s="134"/>
      <c r="GD152" s="134"/>
      <c r="GE152" s="134"/>
      <c r="GF152" s="134"/>
      <c r="GG152" s="135"/>
      <c r="GH152" s="135"/>
      <c r="GI152" s="134"/>
      <c r="GJ152" s="134"/>
      <c r="GK152" s="134"/>
      <c r="GL152" s="134"/>
      <c r="GM152" s="134"/>
      <c r="GN152" s="134"/>
      <c r="GO152" s="134"/>
      <c r="GP152" s="134"/>
      <c r="GQ152" s="135"/>
      <c r="GR152" s="135"/>
      <c r="GS152" s="134"/>
      <c r="GT152" s="134"/>
      <c r="GU152" s="134"/>
      <c r="GV152" s="134"/>
      <c r="GW152" s="134"/>
      <c r="GX152" s="134"/>
      <c r="GY152" s="134"/>
      <c r="GZ152" s="134"/>
      <c r="HA152" s="135"/>
      <c r="HB152" s="135"/>
      <c r="HC152" s="134"/>
      <c r="HD152" s="134"/>
      <c r="HE152" s="134"/>
      <c r="HF152" s="134"/>
      <c r="HG152" s="134"/>
      <c r="HH152" s="134"/>
      <c r="HI152" s="134"/>
      <c r="HJ152" s="134"/>
      <c r="HK152" s="135"/>
      <c r="HL152" s="135"/>
      <c r="HM152" s="134"/>
      <c r="HN152" s="134"/>
      <c r="HO152" s="134"/>
      <c r="HP152" s="134"/>
      <c r="HQ152" s="134"/>
      <c r="HR152" s="134"/>
      <c r="HS152" s="134"/>
      <c r="HT152" s="134"/>
      <c r="HU152" s="135"/>
      <c r="HV152" s="135"/>
      <c r="HW152" s="134"/>
      <c r="HX152" s="134"/>
      <c r="HY152" s="134"/>
      <c r="HZ152" s="134"/>
      <c r="IA152" s="134"/>
      <c r="IB152" s="134"/>
      <c r="IC152" s="134"/>
      <c r="ID152" s="134"/>
      <c r="IE152" s="135"/>
      <c r="IF152" s="135"/>
      <c r="IG152" s="134"/>
      <c r="IH152" s="134"/>
      <c r="II152" s="134"/>
      <c r="IJ152" s="134"/>
      <c r="IK152" s="134"/>
      <c r="IL152" s="134"/>
      <c r="IM152" s="134"/>
      <c r="IN152" s="134"/>
      <c r="IO152" s="135"/>
      <c r="IP152" s="135"/>
      <c r="IQ152" s="134"/>
      <c r="IR152" s="134"/>
      <c r="IS152" s="134"/>
      <c r="IT152" s="134"/>
      <c r="IU152" s="134"/>
      <c r="IV152" s="134"/>
      <c r="IW152" s="134"/>
      <c r="IX152" s="134"/>
      <c r="IY152" s="135"/>
      <c r="IZ152" s="135"/>
    </row>
    <row r="153" spans="1:260" customFormat="1" ht="17" customHeight="1">
      <c r="A153" s="118" t="s">
        <v>121</v>
      </c>
      <c r="B153" s="381">
        <v>93</v>
      </c>
      <c r="C153" s="381">
        <v>17</v>
      </c>
      <c r="D153" s="381"/>
      <c r="E153" s="139" t="s">
        <v>1940</v>
      </c>
      <c r="F153" s="140" t="s">
        <v>2159</v>
      </c>
      <c r="G153" s="141">
        <v>2002</v>
      </c>
      <c r="H153" s="118">
        <v>12607144</v>
      </c>
      <c r="I153" s="118">
        <v>1</v>
      </c>
      <c r="J153" s="118"/>
      <c r="K153" s="118"/>
      <c r="L153" s="118">
        <v>1</v>
      </c>
      <c r="M153" s="118"/>
      <c r="N153" s="118">
        <v>1</v>
      </c>
      <c r="O153" s="142">
        <v>1</v>
      </c>
      <c r="P153" s="118" t="s">
        <v>408</v>
      </c>
      <c r="Q153" s="118"/>
      <c r="R153" s="118" t="s">
        <v>25</v>
      </c>
      <c r="S153" s="118">
        <v>1</v>
      </c>
      <c r="T153" s="118"/>
      <c r="U153" s="118"/>
      <c r="V153" s="118"/>
      <c r="W153" s="118"/>
      <c r="X153" s="118"/>
      <c r="Y153" s="118"/>
      <c r="Z153" s="118"/>
      <c r="AA153" s="118"/>
      <c r="AB153" s="118"/>
      <c r="AC153" s="145"/>
      <c r="AD153" s="573">
        <v>1</v>
      </c>
      <c r="AE153" s="573">
        <v>2</v>
      </c>
      <c r="AF153" s="159">
        <v>1</v>
      </c>
      <c r="AG153" s="160"/>
      <c r="AH153" s="122">
        <v>2</v>
      </c>
      <c r="AI153" s="485"/>
      <c r="AJ153" s="204" t="s">
        <v>3991</v>
      </c>
      <c r="AK153" s="192">
        <v>1</v>
      </c>
      <c r="AL153" s="205" t="s">
        <v>24</v>
      </c>
      <c r="AM153" s="122" t="s">
        <v>3990</v>
      </c>
      <c r="AN153" s="122" t="s">
        <v>3989</v>
      </c>
      <c r="AO153" s="122">
        <v>80</v>
      </c>
      <c r="AP153" s="122" t="s">
        <v>803</v>
      </c>
      <c r="AQ153" s="122" t="s">
        <v>803</v>
      </c>
      <c r="AR153" s="122" t="s">
        <v>3992</v>
      </c>
      <c r="AS153" s="122" t="s">
        <v>3993</v>
      </c>
      <c r="AT153" s="122">
        <v>37.950000000000003</v>
      </c>
      <c r="AU153" s="122">
        <v>2.56</v>
      </c>
      <c r="AV153" s="122" t="s">
        <v>3994</v>
      </c>
      <c r="AW153" s="122" t="s">
        <v>24</v>
      </c>
      <c r="AX153" s="122" t="s">
        <v>24</v>
      </c>
      <c r="AY153" s="122" t="s">
        <v>2423</v>
      </c>
      <c r="AZ153" s="122" t="s">
        <v>3835</v>
      </c>
      <c r="BA153" s="122" t="s">
        <v>3995</v>
      </c>
      <c r="BB153" s="122"/>
      <c r="BC153" s="122"/>
      <c r="BD153" s="161"/>
      <c r="BE153" s="161"/>
      <c r="BF153" s="161"/>
      <c r="BG153" s="161"/>
      <c r="BH153" s="161"/>
      <c r="BI153" s="161"/>
      <c r="BJ153" s="161">
        <v>1</v>
      </c>
      <c r="BK153" s="161"/>
      <c r="BL153" s="161"/>
      <c r="BM153" s="161"/>
      <c r="BN153" s="161"/>
      <c r="BO153" s="161"/>
      <c r="BP153" s="161"/>
      <c r="BQ153" s="162" t="s">
        <v>4000</v>
      </c>
      <c r="BR153" s="150" t="s">
        <v>1876</v>
      </c>
      <c r="BS153" s="150" t="s">
        <v>4003</v>
      </c>
      <c r="BT153" s="150" t="s">
        <v>4007</v>
      </c>
      <c r="BU153" s="150" t="s">
        <v>24</v>
      </c>
      <c r="BV153" s="150" t="s">
        <v>4010</v>
      </c>
      <c r="BW153" s="258" t="s">
        <v>4062</v>
      </c>
      <c r="BX153" s="151" t="s">
        <v>4038</v>
      </c>
      <c r="BY153" s="266">
        <v>44.18</v>
      </c>
      <c r="BZ153" s="462">
        <v>9.2799999999999994</v>
      </c>
      <c r="CA153" s="266" t="s">
        <v>24</v>
      </c>
      <c r="CB153" s="151" t="s">
        <v>4043</v>
      </c>
      <c r="CC153" s="150">
        <v>47.84</v>
      </c>
      <c r="CD153" s="150">
        <v>7.93</v>
      </c>
      <c r="CE153" s="150" t="s">
        <v>24</v>
      </c>
      <c r="CF153" s="290" t="s">
        <v>24</v>
      </c>
      <c r="CG153" s="291" t="s">
        <v>24</v>
      </c>
      <c r="CH153" s="151" t="s">
        <v>4052</v>
      </c>
      <c r="CI153" s="150">
        <v>45.18</v>
      </c>
      <c r="CJ153" s="150">
        <v>8.92</v>
      </c>
      <c r="CK153" s="150" t="s">
        <v>24</v>
      </c>
      <c r="CL153" s="151" t="s">
        <v>4039</v>
      </c>
      <c r="CM153" s="150">
        <v>5.01</v>
      </c>
      <c r="CN153" s="150">
        <v>1.82</v>
      </c>
      <c r="CO153" s="150" t="s">
        <v>24</v>
      </c>
      <c r="CP153" s="290" t="s">
        <v>24</v>
      </c>
      <c r="CQ153" s="291" t="s">
        <v>24</v>
      </c>
      <c r="CR153" s="278" t="s">
        <v>24</v>
      </c>
      <c r="CS153" s="285" t="s">
        <v>24</v>
      </c>
      <c r="CT153" s="151" t="s">
        <v>4044</v>
      </c>
      <c r="CU153" s="150">
        <v>5.21</v>
      </c>
      <c r="CV153" s="150">
        <v>1.61</v>
      </c>
      <c r="CW153" s="150" t="s">
        <v>24</v>
      </c>
      <c r="CX153" s="151" t="s">
        <v>4048</v>
      </c>
      <c r="CY153" s="150">
        <v>5.42</v>
      </c>
      <c r="CZ153" s="150">
        <v>1.63</v>
      </c>
      <c r="DA153" s="150" t="s">
        <v>24</v>
      </c>
      <c r="DB153" s="302" t="s">
        <v>24</v>
      </c>
      <c r="DC153" s="303" t="s">
        <v>24</v>
      </c>
      <c r="DD153" s="150" t="s">
        <v>4040</v>
      </c>
      <c r="DE153" s="150">
        <v>9.44</v>
      </c>
      <c r="DF153" s="150">
        <v>2.78</v>
      </c>
      <c r="DG153" s="150" t="s">
        <v>24</v>
      </c>
      <c r="DH153" s="150" t="s">
        <v>4045</v>
      </c>
      <c r="DI153" s="150">
        <v>10.11</v>
      </c>
      <c r="DJ153" s="150">
        <v>2.65</v>
      </c>
      <c r="DK153" s="150" t="s">
        <v>24</v>
      </c>
      <c r="DL153" s="302" t="s">
        <v>24</v>
      </c>
      <c r="DM153" s="303" t="s">
        <v>24</v>
      </c>
      <c r="DN153" s="278" t="s">
        <v>24</v>
      </c>
      <c r="DO153" s="279" t="s">
        <v>24</v>
      </c>
      <c r="DP153" s="150" t="s">
        <v>4049</v>
      </c>
      <c r="DQ153" s="150">
        <v>9.8800000000000008</v>
      </c>
      <c r="DR153" s="150">
        <v>2.69</v>
      </c>
      <c r="DS153" s="150" t="s">
        <v>24</v>
      </c>
      <c r="DT153" s="150" t="s">
        <v>4041</v>
      </c>
      <c r="DU153" s="150">
        <v>9.9600000000000009</v>
      </c>
      <c r="DV153" s="150">
        <v>2.82</v>
      </c>
      <c r="DW153" s="150" t="s">
        <v>24</v>
      </c>
      <c r="DX153" s="303" t="s">
        <v>24</v>
      </c>
      <c r="DY153" s="303" t="s">
        <v>24</v>
      </c>
      <c r="DZ153" s="151" t="s">
        <v>4046</v>
      </c>
      <c r="EA153" s="150">
        <v>10.44</v>
      </c>
      <c r="EB153" s="150">
        <v>2.57</v>
      </c>
      <c r="EC153" s="150" t="s">
        <v>24</v>
      </c>
      <c r="ED153" s="151" t="s">
        <v>4050</v>
      </c>
      <c r="EE153" s="150">
        <v>10.73</v>
      </c>
      <c r="EF153" s="150">
        <v>2.27</v>
      </c>
      <c r="EG153" s="150" t="s">
        <v>24</v>
      </c>
      <c r="EH153" s="303" t="s">
        <v>24</v>
      </c>
      <c r="EI153" s="303" t="s">
        <v>24</v>
      </c>
      <c r="EJ153" s="279" t="s">
        <v>24</v>
      </c>
      <c r="EK153" s="150" t="s">
        <v>4042</v>
      </c>
      <c r="EL153" s="150">
        <v>13.81</v>
      </c>
      <c r="EM153" s="150">
        <v>2.0299999999999998</v>
      </c>
      <c r="EN153" s="150" t="s">
        <v>24</v>
      </c>
      <c r="EO153" s="150" t="s">
        <v>4047</v>
      </c>
      <c r="EP153" s="150">
        <v>13.83</v>
      </c>
      <c r="EQ153" s="150">
        <v>2.0099999999999998</v>
      </c>
      <c r="ER153" s="150" t="s">
        <v>24</v>
      </c>
      <c r="ES153" s="303" t="s">
        <v>24</v>
      </c>
      <c r="ET153" s="303" t="s">
        <v>24</v>
      </c>
      <c r="EU153" s="150" t="s">
        <v>4051</v>
      </c>
      <c r="EV153" s="150">
        <v>13.78</v>
      </c>
      <c r="EW153" s="150">
        <v>1.77</v>
      </c>
      <c r="EX153" s="150" t="s">
        <v>24</v>
      </c>
      <c r="EY153" s="134"/>
      <c r="EZ153" s="134"/>
      <c r="FA153" s="134"/>
      <c r="FB153" s="134"/>
      <c r="FC153" s="135"/>
      <c r="FD153" s="135"/>
      <c r="FE153" s="134"/>
      <c r="FF153" s="134"/>
      <c r="FG153" s="134"/>
      <c r="FH153" s="134"/>
      <c r="FI153" s="134"/>
      <c r="FJ153" s="134"/>
      <c r="FK153" s="134"/>
      <c r="FL153" s="134"/>
      <c r="FM153" s="135"/>
      <c r="FN153" s="135"/>
      <c r="FO153" s="134"/>
      <c r="FP153" s="134"/>
      <c r="FQ153" s="134"/>
      <c r="FR153" s="134"/>
      <c r="FS153" s="134"/>
      <c r="FT153" s="134"/>
      <c r="FU153" s="134"/>
      <c r="FV153" s="134"/>
      <c r="FW153" s="135"/>
      <c r="FX153" s="135"/>
      <c r="FY153" s="134"/>
      <c r="FZ153" s="134"/>
      <c r="GA153" s="134"/>
      <c r="GB153" s="134"/>
      <c r="GC153" s="134"/>
      <c r="GD153" s="134"/>
      <c r="GE153" s="134"/>
      <c r="GF153" s="134"/>
      <c r="GG153" s="135"/>
      <c r="GH153" s="135"/>
      <c r="GI153" s="134"/>
      <c r="GJ153" s="134"/>
      <c r="GK153" s="134"/>
      <c r="GL153" s="134"/>
      <c r="GM153" s="134"/>
      <c r="GN153" s="134"/>
      <c r="GO153" s="134"/>
      <c r="GP153" s="134"/>
      <c r="GQ153" s="135"/>
      <c r="GR153" s="135"/>
      <c r="GS153" s="134"/>
      <c r="GT153" s="134"/>
      <c r="GU153" s="134"/>
      <c r="GV153" s="134"/>
      <c r="GW153" s="134"/>
      <c r="GX153" s="134"/>
      <c r="GY153" s="134"/>
      <c r="GZ153" s="134"/>
      <c r="HA153" s="135"/>
      <c r="HB153" s="135"/>
      <c r="HC153" s="134"/>
      <c r="HD153" s="134"/>
      <c r="HE153" s="134"/>
      <c r="HF153" s="134"/>
      <c r="HG153" s="134"/>
      <c r="HH153" s="134"/>
      <c r="HI153" s="134"/>
      <c r="HJ153" s="134"/>
      <c r="HK153" s="135"/>
      <c r="HL153" s="135"/>
      <c r="HM153" s="134"/>
      <c r="HN153" s="134"/>
      <c r="HO153" s="134"/>
      <c r="HP153" s="134"/>
      <c r="HQ153" s="134"/>
      <c r="HR153" s="134"/>
      <c r="HS153" s="134"/>
      <c r="HT153" s="134"/>
      <c r="HU153" s="135"/>
      <c r="HV153" s="135"/>
      <c r="HW153" s="134"/>
      <c r="HX153" s="134"/>
      <c r="HY153" s="134"/>
      <c r="HZ153" s="134"/>
      <c r="IA153" s="134"/>
      <c r="IB153" s="134"/>
      <c r="IC153" s="134"/>
      <c r="ID153" s="134"/>
      <c r="IE153" s="135"/>
      <c r="IF153" s="135"/>
      <c r="IG153" s="134"/>
      <c r="IH153" s="134"/>
      <c r="II153" s="134"/>
      <c r="IJ153" s="134"/>
      <c r="IK153" s="134"/>
      <c r="IL153" s="134"/>
      <c r="IM153" s="134"/>
      <c r="IN153" s="134"/>
      <c r="IO153" s="135"/>
      <c r="IP153" s="135"/>
      <c r="IQ153" s="134"/>
      <c r="IR153" s="134"/>
      <c r="IS153" s="134"/>
      <c r="IT153" s="134"/>
      <c r="IU153" s="134"/>
      <c r="IV153" s="134"/>
      <c r="IW153" s="134"/>
      <c r="IX153" s="134"/>
      <c r="IY153" s="135"/>
      <c r="IZ153" s="135"/>
    </row>
    <row r="154" spans="1:260" customFormat="1" ht="17" customHeight="1">
      <c r="A154" s="118" t="s">
        <v>121</v>
      </c>
      <c r="B154" s="381">
        <v>93</v>
      </c>
      <c r="C154" s="381">
        <v>17</v>
      </c>
      <c r="D154" s="381"/>
      <c r="E154" s="139" t="s">
        <v>1940</v>
      </c>
      <c r="F154" s="140" t="s">
        <v>2159</v>
      </c>
      <c r="G154" s="141">
        <v>2002</v>
      </c>
      <c r="H154" s="118">
        <v>12607144</v>
      </c>
      <c r="I154" s="118">
        <v>1</v>
      </c>
      <c r="J154" s="118"/>
      <c r="K154" s="118"/>
      <c r="L154" s="118">
        <v>1</v>
      </c>
      <c r="M154" s="118"/>
      <c r="N154" s="118">
        <v>1</v>
      </c>
      <c r="O154" s="142">
        <v>1</v>
      </c>
      <c r="P154" s="118" t="s">
        <v>408</v>
      </c>
      <c r="Q154" s="118"/>
      <c r="R154" s="118" t="s">
        <v>25</v>
      </c>
      <c r="S154" s="118">
        <v>1</v>
      </c>
      <c r="T154" s="118"/>
      <c r="U154" s="118"/>
      <c r="V154" s="118"/>
      <c r="W154" s="118"/>
      <c r="X154" s="118"/>
      <c r="Y154" s="118"/>
      <c r="Z154" s="118"/>
      <c r="AA154" s="118"/>
      <c r="AB154" s="118"/>
      <c r="AC154" s="145"/>
      <c r="AD154" s="573">
        <v>1</v>
      </c>
      <c r="AE154" s="573">
        <v>2</v>
      </c>
      <c r="AF154" s="159">
        <v>1</v>
      </c>
      <c r="AG154" s="160"/>
      <c r="AH154" s="122">
        <v>2</v>
      </c>
      <c r="AI154" s="485"/>
      <c r="AJ154" s="204" t="s">
        <v>3991</v>
      </c>
      <c r="AK154" s="192">
        <v>1</v>
      </c>
      <c r="AL154" s="205" t="s">
        <v>24</v>
      </c>
      <c r="AM154" s="122" t="s">
        <v>3990</v>
      </c>
      <c r="AN154" s="122" t="s">
        <v>3989</v>
      </c>
      <c r="AO154" s="122">
        <v>80</v>
      </c>
      <c r="AP154" s="122" t="s">
        <v>803</v>
      </c>
      <c r="AQ154" s="122" t="s">
        <v>803</v>
      </c>
      <c r="AR154" s="122" t="s">
        <v>3992</v>
      </c>
      <c r="AS154" s="122" t="s">
        <v>3993</v>
      </c>
      <c r="AT154" s="122">
        <v>37.950000000000003</v>
      </c>
      <c r="AU154" s="122">
        <v>2.56</v>
      </c>
      <c r="AV154" s="122" t="s">
        <v>3994</v>
      </c>
      <c r="AW154" s="122" t="s">
        <v>24</v>
      </c>
      <c r="AX154" s="122" t="s">
        <v>24</v>
      </c>
      <c r="AY154" s="122" t="s">
        <v>2423</v>
      </c>
      <c r="AZ154" s="122" t="s">
        <v>3835</v>
      </c>
      <c r="BA154" s="122" t="s">
        <v>3995</v>
      </c>
      <c r="BB154" s="122"/>
      <c r="BC154" s="122"/>
      <c r="BD154" s="161"/>
      <c r="BE154" s="161"/>
      <c r="BF154" s="161"/>
      <c r="BG154" s="161"/>
      <c r="BH154" s="161"/>
      <c r="BI154" s="161"/>
      <c r="BJ154" s="161">
        <v>1</v>
      </c>
      <c r="BK154" s="161"/>
      <c r="BL154" s="161"/>
      <c r="BM154" s="161"/>
      <c r="BN154" s="161"/>
      <c r="BO154" s="161"/>
      <c r="BP154" s="161"/>
      <c r="BQ154" s="162" t="s">
        <v>4001</v>
      </c>
      <c r="BR154" s="150" t="s">
        <v>1876</v>
      </c>
      <c r="BS154" s="150" t="s">
        <v>4003</v>
      </c>
      <c r="BT154" s="150" t="s">
        <v>4005</v>
      </c>
      <c r="BU154" s="150" t="s">
        <v>24</v>
      </c>
      <c r="BV154" s="150"/>
      <c r="BW154" s="258" t="s">
        <v>4062</v>
      </c>
      <c r="BX154" s="151" t="s">
        <v>4029</v>
      </c>
      <c r="BY154" s="150">
        <v>19.600000000000001</v>
      </c>
      <c r="BZ154" s="150">
        <v>6.3</v>
      </c>
      <c r="CA154" s="150" t="s">
        <v>24</v>
      </c>
      <c r="CB154" s="151" t="s">
        <v>4031</v>
      </c>
      <c r="CC154" s="150">
        <v>20.56</v>
      </c>
      <c r="CD154" s="150">
        <v>6.06</v>
      </c>
      <c r="CE154" s="150" t="s">
        <v>24</v>
      </c>
      <c r="CF154" s="290" t="s">
        <v>24</v>
      </c>
      <c r="CG154" s="291" t="s">
        <v>24</v>
      </c>
      <c r="CH154" s="151" t="s">
        <v>4033</v>
      </c>
      <c r="CI154" s="150">
        <v>19.16</v>
      </c>
      <c r="CJ154" s="150">
        <v>6.56</v>
      </c>
      <c r="CK154" s="150" t="s">
        <v>24</v>
      </c>
      <c r="CL154" s="151" t="s">
        <v>24</v>
      </c>
      <c r="CM154" s="150" t="s">
        <v>24</v>
      </c>
      <c r="CN154" s="150" t="s">
        <v>24</v>
      </c>
      <c r="CO154" s="150" t="s">
        <v>24</v>
      </c>
      <c r="CP154" s="290" t="s">
        <v>24</v>
      </c>
      <c r="CQ154" s="291" t="s">
        <v>24</v>
      </c>
      <c r="CR154" s="278" t="s">
        <v>24</v>
      </c>
      <c r="CS154" s="285" t="s">
        <v>24</v>
      </c>
      <c r="CT154" s="145" t="s">
        <v>24</v>
      </c>
      <c r="CU154" s="145" t="s">
        <v>24</v>
      </c>
      <c r="CV154" s="145" t="s">
        <v>24</v>
      </c>
      <c r="CW154" s="145" t="s">
        <v>24</v>
      </c>
      <c r="CX154" s="145" t="s">
        <v>24</v>
      </c>
      <c r="CY154" s="145" t="s">
        <v>24</v>
      </c>
      <c r="CZ154" s="145" t="s">
        <v>24</v>
      </c>
      <c r="DA154" s="145" t="s">
        <v>24</v>
      </c>
      <c r="DB154" s="302" t="s">
        <v>24</v>
      </c>
      <c r="DC154" s="303" t="s">
        <v>24</v>
      </c>
      <c r="DD154" s="145" t="s">
        <v>24</v>
      </c>
      <c r="DE154" s="145" t="s">
        <v>24</v>
      </c>
      <c r="DF154" s="145" t="s">
        <v>24</v>
      </c>
      <c r="DG154" s="145" t="s">
        <v>24</v>
      </c>
      <c r="DH154" s="145" t="s">
        <v>24</v>
      </c>
      <c r="DI154" s="145" t="s">
        <v>24</v>
      </c>
      <c r="DJ154" s="145" t="s">
        <v>24</v>
      </c>
      <c r="DK154" s="145" t="s">
        <v>24</v>
      </c>
      <c r="DL154" s="302" t="s">
        <v>24</v>
      </c>
      <c r="DM154" s="303" t="s">
        <v>24</v>
      </c>
      <c r="DN154" s="278" t="s">
        <v>24</v>
      </c>
      <c r="DO154" s="279" t="s">
        <v>24</v>
      </c>
      <c r="DP154" s="150"/>
      <c r="DQ154" s="150"/>
      <c r="DR154" s="150"/>
      <c r="DS154" s="150"/>
      <c r="DT154" s="151"/>
      <c r="DU154" s="150"/>
      <c r="DV154" s="150"/>
      <c r="DW154" s="150"/>
      <c r="DX154" s="303"/>
      <c r="DY154" s="303"/>
      <c r="DZ154" s="151"/>
      <c r="EA154" s="150"/>
      <c r="EB154" s="150"/>
      <c r="EC154" s="150"/>
      <c r="ED154" s="151"/>
      <c r="EE154" s="150"/>
      <c r="EF154" s="150"/>
      <c r="EG154" s="150"/>
      <c r="EH154" s="303"/>
      <c r="EI154" s="303"/>
      <c r="EJ154" s="279"/>
      <c r="EK154" s="150"/>
      <c r="EL154" s="150"/>
      <c r="EM154" s="150"/>
      <c r="EN154" s="150"/>
      <c r="EO154" s="150"/>
      <c r="EP154" s="150"/>
      <c r="EQ154" s="150"/>
      <c r="ER154" s="150"/>
      <c r="ES154" s="303"/>
      <c r="ET154" s="303"/>
      <c r="EU154" s="150"/>
      <c r="EV154" s="150"/>
      <c r="EW154" s="150"/>
      <c r="EX154" s="150"/>
      <c r="EY154" s="134"/>
      <c r="EZ154" s="134"/>
      <c r="FA154" s="134"/>
      <c r="FB154" s="134"/>
      <c r="FC154" s="135"/>
      <c r="FD154" s="135"/>
      <c r="FE154" s="134"/>
      <c r="FF154" s="134"/>
      <c r="FG154" s="134"/>
      <c r="FH154" s="134"/>
      <c r="FI154" s="134"/>
      <c r="FJ154" s="134"/>
      <c r="FK154" s="134"/>
      <c r="FL154" s="134"/>
      <c r="FM154" s="135"/>
      <c r="FN154" s="135"/>
      <c r="FO154" s="134"/>
      <c r="FP154" s="134"/>
      <c r="FQ154" s="134"/>
      <c r="FR154" s="134"/>
      <c r="FS154" s="134"/>
      <c r="FT154" s="134"/>
      <c r="FU154" s="134"/>
      <c r="FV154" s="134"/>
      <c r="FW154" s="135"/>
      <c r="FX154" s="135"/>
      <c r="FY154" s="134"/>
      <c r="FZ154" s="134"/>
      <c r="GA154" s="134"/>
      <c r="GB154" s="134"/>
      <c r="GC154" s="134"/>
      <c r="GD154" s="134"/>
      <c r="GE154" s="134"/>
      <c r="GF154" s="134"/>
      <c r="GG154" s="135"/>
      <c r="GH154" s="135"/>
      <c r="GI154" s="134"/>
      <c r="GJ154" s="134"/>
      <c r="GK154" s="134"/>
      <c r="GL154" s="134"/>
      <c r="GM154" s="134"/>
      <c r="GN154" s="134"/>
      <c r="GO154" s="134"/>
      <c r="GP154" s="134"/>
      <c r="GQ154" s="135"/>
      <c r="GR154" s="135"/>
      <c r="GS154" s="134"/>
      <c r="GT154" s="134"/>
      <c r="GU154" s="134"/>
      <c r="GV154" s="134"/>
      <c r="GW154" s="134"/>
      <c r="GX154" s="134"/>
      <c r="GY154" s="134"/>
      <c r="GZ154" s="134"/>
      <c r="HA154" s="135"/>
      <c r="HB154" s="135"/>
      <c r="HC154" s="134"/>
      <c r="HD154" s="134"/>
      <c r="HE154" s="134"/>
      <c r="HF154" s="134"/>
      <c r="HG154" s="134"/>
      <c r="HH154" s="134"/>
      <c r="HI154" s="134"/>
      <c r="HJ154" s="134"/>
      <c r="HK154" s="135"/>
      <c r="HL154" s="135"/>
      <c r="HM154" s="134"/>
      <c r="HN154" s="134"/>
      <c r="HO154" s="134"/>
      <c r="HP154" s="134"/>
      <c r="HQ154" s="134"/>
      <c r="HR154" s="134"/>
      <c r="HS154" s="134"/>
      <c r="HT154" s="134"/>
      <c r="HU154" s="135"/>
      <c r="HV154" s="135"/>
      <c r="HW154" s="134"/>
      <c r="HX154" s="134"/>
      <c r="HY154" s="134"/>
      <c r="HZ154" s="134"/>
      <c r="IA154" s="134"/>
      <c r="IB154" s="134"/>
      <c r="IC154" s="134"/>
      <c r="ID154" s="134"/>
      <c r="IE154" s="135"/>
      <c r="IF154" s="135"/>
      <c r="IG154" s="134"/>
      <c r="IH154" s="134"/>
      <c r="II154" s="134"/>
      <c r="IJ154" s="134"/>
      <c r="IK154" s="134"/>
      <c r="IL154" s="134"/>
      <c r="IM154" s="134"/>
      <c r="IN154" s="134"/>
      <c r="IO154" s="135"/>
      <c r="IP154" s="135"/>
      <c r="IQ154" s="134"/>
      <c r="IR154" s="134"/>
      <c r="IS154" s="134"/>
      <c r="IT154" s="134"/>
      <c r="IU154" s="134"/>
      <c r="IV154" s="134"/>
      <c r="IW154" s="134"/>
      <c r="IX154" s="134"/>
      <c r="IY154" s="135"/>
      <c r="IZ154" s="135"/>
    </row>
    <row r="155" spans="1:260" customFormat="1" ht="17" customHeight="1">
      <c r="A155" s="118" t="s">
        <v>121</v>
      </c>
      <c r="B155" s="381">
        <v>93</v>
      </c>
      <c r="C155" s="381">
        <v>17</v>
      </c>
      <c r="D155" s="381"/>
      <c r="E155" s="139" t="s">
        <v>1940</v>
      </c>
      <c r="F155" s="140" t="s">
        <v>2159</v>
      </c>
      <c r="G155" s="141">
        <v>2002</v>
      </c>
      <c r="H155" s="118">
        <v>12607144</v>
      </c>
      <c r="I155" s="118">
        <v>1</v>
      </c>
      <c r="J155" s="118"/>
      <c r="K155" s="118"/>
      <c r="L155" s="118">
        <v>1</v>
      </c>
      <c r="M155" s="118"/>
      <c r="N155" s="118">
        <v>1</v>
      </c>
      <c r="O155" s="142">
        <v>1</v>
      </c>
      <c r="P155" s="118" t="s">
        <v>408</v>
      </c>
      <c r="Q155" s="118"/>
      <c r="R155" s="118" t="s">
        <v>25</v>
      </c>
      <c r="S155" s="118">
        <v>1</v>
      </c>
      <c r="T155" s="118"/>
      <c r="U155" s="118"/>
      <c r="V155" s="118"/>
      <c r="W155" s="118"/>
      <c r="X155" s="118"/>
      <c r="Y155" s="118"/>
      <c r="Z155" s="118"/>
      <c r="AA155" s="118"/>
      <c r="AB155" s="118"/>
      <c r="AC155" s="145"/>
      <c r="AD155" s="573">
        <v>1</v>
      </c>
      <c r="AE155" s="573">
        <v>2</v>
      </c>
      <c r="AF155" s="159">
        <v>1</v>
      </c>
      <c r="AG155" s="160"/>
      <c r="AH155" s="122">
        <v>2</v>
      </c>
      <c r="AI155" s="485"/>
      <c r="AJ155" s="204" t="s">
        <v>3991</v>
      </c>
      <c r="AK155" s="192">
        <v>1</v>
      </c>
      <c r="AL155" s="205" t="s">
        <v>24</v>
      </c>
      <c r="AM155" s="122" t="s">
        <v>3990</v>
      </c>
      <c r="AN155" s="122" t="s">
        <v>3989</v>
      </c>
      <c r="AO155" s="122">
        <v>80</v>
      </c>
      <c r="AP155" s="122" t="s">
        <v>803</v>
      </c>
      <c r="AQ155" s="122" t="s">
        <v>803</v>
      </c>
      <c r="AR155" s="122" t="s">
        <v>3992</v>
      </c>
      <c r="AS155" s="122" t="s">
        <v>3993</v>
      </c>
      <c r="AT155" s="122">
        <v>37.950000000000003</v>
      </c>
      <c r="AU155" s="122">
        <v>2.56</v>
      </c>
      <c r="AV155" s="122" t="s">
        <v>3994</v>
      </c>
      <c r="AW155" s="122" t="s">
        <v>24</v>
      </c>
      <c r="AX155" s="122" t="s">
        <v>24</v>
      </c>
      <c r="AY155" s="122" t="s">
        <v>2423</v>
      </c>
      <c r="AZ155" s="122" t="s">
        <v>3835</v>
      </c>
      <c r="BA155" s="122" t="s">
        <v>3995</v>
      </c>
      <c r="BB155" s="122"/>
      <c r="BC155" s="122"/>
      <c r="BD155" s="161"/>
      <c r="BE155" s="161"/>
      <c r="BF155" s="161"/>
      <c r="BG155" s="161"/>
      <c r="BH155" s="161"/>
      <c r="BI155" s="161">
        <v>1</v>
      </c>
      <c r="BJ155" s="161"/>
      <c r="BK155" s="161"/>
      <c r="BL155" s="161"/>
      <c r="BM155" s="161"/>
      <c r="BN155" s="161"/>
      <c r="BO155" s="161"/>
      <c r="BP155" s="161"/>
      <c r="BQ155" s="162" t="s">
        <v>4002</v>
      </c>
      <c r="BR155" s="150" t="s">
        <v>1876</v>
      </c>
      <c r="BS155" s="150" t="s">
        <v>4003</v>
      </c>
      <c r="BT155" s="150" t="s">
        <v>4008</v>
      </c>
      <c r="BU155" s="150" t="s">
        <v>24</v>
      </c>
      <c r="BV155" s="150" t="s">
        <v>4009</v>
      </c>
      <c r="BW155" s="258" t="s">
        <v>4062</v>
      </c>
      <c r="BX155" s="151" t="s">
        <v>4030</v>
      </c>
      <c r="BY155" s="150">
        <v>5.14</v>
      </c>
      <c r="BZ155" s="150">
        <v>1.6</v>
      </c>
      <c r="CA155" s="150" t="s">
        <v>24</v>
      </c>
      <c r="CB155" s="151" t="s">
        <v>4032</v>
      </c>
      <c r="CC155" s="150">
        <v>5.49</v>
      </c>
      <c r="CD155" s="150">
        <v>1.23</v>
      </c>
      <c r="CE155" s="150" t="s">
        <v>24</v>
      </c>
      <c r="CF155" s="290" t="s">
        <v>24</v>
      </c>
      <c r="CG155" s="291" t="s">
        <v>24</v>
      </c>
      <c r="CH155" s="151" t="s">
        <v>4034</v>
      </c>
      <c r="CI155" s="150">
        <v>5.21</v>
      </c>
      <c r="CJ155" s="150">
        <v>1.47</v>
      </c>
      <c r="CK155" s="150" t="s">
        <v>24</v>
      </c>
      <c r="CL155" s="429" t="s">
        <v>4035</v>
      </c>
      <c r="CM155" s="150">
        <v>14.03</v>
      </c>
      <c r="CN155" s="150">
        <v>14.02</v>
      </c>
      <c r="CO155" s="150" t="s">
        <v>24</v>
      </c>
      <c r="CP155" s="290" t="s">
        <v>24</v>
      </c>
      <c r="CQ155" s="291" t="s">
        <v>24</v>
      </c>
      <c r="CR155" s="278" t="s">
        <v>24</v>
      </c>
      <c r="CS155" s="285" t="s">
        <v>24</v>
      </c>
      <c r="CT155" s="429" t="s">
        <v>4036</v>
      </c>
      <c r="CU155" s="150">
        <v>14.45</v>
      </c>
      <c r="CV155" s="150">
        <v>16.600000000000001</v>
      </c>
      <c r="CW155" s="150" t="s">
        <v>24</v>
      </c>
      <c r="CX155" s="429" t="s">
        <v>4037</v>
      </c>
      <c r="CY155" s="150">
        <v>16.46</v>
      </c>
      <c r="CZ155" s="150">
        <v>14.42</v>
      </c>
      <c r="DA155" s="150" t="s">
        <v>24</v>
      </c>
      <c r="DB155" s="302" t="s">
        <v>24</v>
      </c>
      <c r="DC155" s="303" t="s">
        <v>24</v>
      </c>
      <c r="DD155" s="150" t="s">
        <v>24</v>
      </c>
      <c r="DE155" s="150" t="s">
        <v>24</v>
      </c>
      <c r="DF155" s="150" t="s">
        <v>24</v>
      </c>
      <c r="DG155" s="150" t="s">
        <v>24</v>
      </c>
      <c r="DH155" s="150" t="s">
        <v>24</v>
      </c>
      <c r="DI155" s="150" t="s">
        <v>24</v>
      </c>
      <c r="DJ155" s="150" t="s">
        <v>24</v>
      </c>
      <c r="DK155" s="150" t="s">
        <v>24</v>
      </c>
      <c r="DL155" s="302" t="s">
        <v>24</v>
      </c>
      <c r="DM155" s="303" t="s">
        <v>24</v>
      </c>
      <c r="DN155" s="278" t="s">
        <v>24</v>
      </c>
      <c r="DO155" s="279" t="s">
        <v>24</v>
      </c>
      <c r="DP155" s="150"/>
      <c r="DQ155" s="150"/>
      <c r="DR155" s="150"/>
      <c r="DS155" s="150"/>
      <c r="DT155" s="150"/>
      <c r="DU155" s="150"/>
      <c r="DV155" s="150"/>
      <c r="DW155" s="150"/>
      <c r="DX155" s="303"/>
      <c r="DY155" s="303"/>
      <c r="DZ155" s="151"/>
      <c r="EA155" s="150"/>
      <c r="EB155" s="150"/>
      <c r="EC155" s="150"/>
      <c r="ED155" s="151"/>
      <c r="EE155" s="150"/>
      <c r="EF155" s="150"/>
      <c r="EG155" s="150"/>
      <c r="EH155" s="303"/>
      <c r="EI155" s="303"/>
      <c r="EJ155" s="279"/>
      <c r="EK155" s="150"/>
      <c r="EL155" s="150"/>
      <c r="EM155" s="150"/>
      <c r="EN155" s="150"/>
      <c r="EO155" s="150"/>
      <c r="EP155" s="150"/>
      <c r="EQ155" s="150"/>
      <c r="ER155" s="150"/>
      <c r="ES155" s="303"/>
      <c r="ET155" s="303"/>
      <c r="EU155" s="150"/>
      <c r="EV155" s="150"/>
      <c r="EW155" s="150"/>
      <c r="EX155" s="150"/>
      <c r="EY155" s="134"/>
      <c r="EZ155" s="134"/>
      <c r="FA155" s="134"/>
      <c r="FB155" s="134"/>
      <c r="FC155" s="135"/>
      <c r="FD155" s="135"/>
      <c r="FE155" s="134"/>
      <c r="FF155" s="134"/>
      <c r="FG155" s="134"/>
      <c r="FH155" s="134"/>
      <c r="FI155" s="134"/>
      <c r="FJ155" s="134"/>
      <c r="FK155" s="134"/>
      <c r="FL155" s="134"/>
      <c r="FM155" s="135"/>
      <c r="FN155" s="135"/>
      <c r="FO155" s="134"/>
      <c r="FP155" s="134"/>
      <c r="FQ155" s="134"/>
      <c r="FR155" s="134"/>
      <c r="FS155" s="134"/>
      <c r="FT155" s="134"/>
      <c r="FU155" s="134"/>
      <c r="FV155" s="134"/>
      <c r="FW155" s="135"/>
      <c r="FX155" s="135"/>
      <c r="FY155" s="134"/>
      <c r="FZ155" s="134"/>
      <c r="GA155" s="134"/>
      <c r="GB155" s="134"/>
      <c r="GC155" s="134"/>
      <c r="GD155" s="134"/>
      <c r="GE155" s="134"/>
      <c r="GF155" s="134"/>
      <c r="GG155" s="135"/>
      <c r="GH155" s="135"/>
      <c r="GI155" s="134"/>
      <c r="GJ155" s="134"/>
      <c r="GK155" s="134"/>
      <c r="GL155" s="134"/>
      <c r="GM155" s="134"/>
      <c r="GN155" s="134"/>
      <c r="GO155" s="134"/>
      <c r="GP155" s="134"/>
      <c r="GQ155" s="135"/>
      <c r="GR155" s="135"/>
      <c r="GS155" s="134"/>
      <c r="GT155" s="134"/>
      <c r="GU155" s="134"/>
      <c r="GV155" s="134"/>
      <c r="GW155" s="134"/>
      <c r="GX155" s="134"/>
      <c r="GY155" s="134"/>
      <c r="GZ155" s="134"/>
      <c r="HA155" s="135"/>
      <c r="HB155" s="135"/>
      <c r="HC155" s="134"/>
      <c r="HD155" s="134"/>
      <c r="HE155" s="134"/>
      <c r="HF155" s="134"/>
      <c r="HG155" s="134"/>
      <c r="HH155" s="134"/>
      <c r="HI155" s="134"/>
      <c r="HJ155" s="134"/>
      <c r="HK155" s="135"/>
      <c r="HL155" s="135"/>
      <c r="HM155" s="134"/>
      <c r="HN155" s="134"/>
      <c r="HO155" s="134"/>
      <c r="HP155" s="134"/>
      <c r="HQ155" s="134"/>
      <c r="HR155" s="134"/>
      <c r="HS155" s="134"/>
      <c r="HT155" s="134"/>
      <c r="HU155" s="135"/>
      <c r="HV155" s="135"/>
      <c r="HW155" s="134"/>
      <c r="HX155" s="134"/>
      <c r="HY155" s="134"/>
      <c r="HZ155" s="134"/>
      <c r="IA155" s="134"/>
      <c r="IB155" s="134"/>
      <c r="IC155" s="134"/>
      <c r="ID155" s="134"/>
      <c r="IE155" s="135"/>
      <c r="IF155" s="135"/>
      <c r="IG155" s="134"/>
      <c r="IH155" s="134"/>
      <c r="II155" s="134"/>
      <c r="IJ155" s="134"/>
      <c r="IK155" s="134"/>
      <c r="IL155" s="134"/>
      <c r="IM155" s="134"/>
      <c r="IN155" s="134"/>
      <c r="IO155" s="135"/>
      <c r="IP155" s="135"/>
      <c r="IQ155" s="134"/>
      <c r="IR155" s="134"/>
      <c r="IS155" s="134"/>
      <c r="IT155" s="134"/>
      <c r="IU155" s="134"/>
      <c r="IV155" s="134"/>
      <c r="IW155" s="134"/>
      <c r="IX155" s="134"/>
      <c r="IY155" s="135"/>
      <c r="IZ155" s="135"/>
    </row>
    <row r="156" spans="1:260" customFormat="1" ht="17" customHeight="1">
      <c r="A156" s="79" t="s">
        <v>1078</v>
      </c>
      <c r="B156" s="117">
        <v>95</v>
      </c>
      <c r="C156" s="117">
        <v>18</v>
      </c>
      <c r="D156" s="117"/>
      <c r="E156" s="123" t="s">
        <v>2062</v>
      </c>
      <c r="F156" s="124" t="s">
        <v>2314</v>
      </c>
      <c r="G156" s="125">
        <v>2012</v>
      </c>
      <c r="H156" s="79">
        <v>22108759</v>
      </c>
      <c r="I156" s="79">
        <v>1</v>
      </c>
      <c r="J156" s="126"/>
      <c r="K156" s="127"/>
      <c r="L156" s="79">
        <v>1</v>
      </c>
      <c r="M156" s="79"/>
      <c r="N156" s="79">
        <v>1</v>
      </c>
      <c r="O156" s="128">
        <v>2</v>
      </c>
      <c r="P156" s="79" t="s">
        <v>73</v>
      </c>
      <c r="Q156" s="79" t="s">
        <v>1147</v>
      </c>
      <c r="R156" s="79" t="s">
        <v>1282</v>
      </c>
      <c r="S156" s="79"/>
      <c r="T156" s="79" t="s">
        <v>1500</v>
      </c>
      <c r="U156" s="79" t="s">
        <v>1539</v>
      </c>
      <c r="V156" s="79" t="s">
        <v>23</v>
      </c>
      <c r="W156" s="79" t="s">
        <v>1512</v>
      </c>
      <c r="X156" s="79" t="s">
        <v>1284</v>
      </c>
      <c r="Y156" s="79" t="s">
        <v>24</v>
      </c>
      <c r="Z156" s="79"/>
      <c r="AA156" s="79"/>
      <c r="AB156" s="79" t="s">
        <v>1283</v>
      </c>
      <c r="AC156" s="506"/>
      <c r="AD156" s="573">
        <v>1</v>
      </c>
      <c r="AE156" s="573">
        <v>2</v>
      </c>
      <c r="AF156" s="154">
        <v>1</v>
      </c>
      <c r="AG156" s="155" t="s">
        <v>4124</v>
      </c>
      <c r="AH156" s="121">
        <v>4</v>
      </c>
      <c r="AI156" s="484"/>
      <c r="AJ156" s="202" t="s">
        <v>4122</v>
      </c>
      <c r="AK156" s="192">
        <v>0</v>
      </c>
      <c r="AL156" s="203" t="s">
        <v>24</v>
      </c>
      <c r="AM156" s="121" t="s">
        <v>4121</v>
      </c>
      <c r="AN156" s="121" t="s">
        <v>4123</v>
      </c>
      <c r="AO156" s="121" t="s">
        <v>4123</v>
      </c>
      <c r="AP156" s="121" t="s">
        <v>803</v>
      </c>
      <c r="AQ156" s="121" t="s">
        <v>803</v>
      </c>
      <c r="AR156" s="121" t="s">
        <v>4125</v>
      </c>
      <c r="AS156" s="121" t="s">
        <v>24</v>
      </c>
      <c r="AT156" s="121" t="s">
        <v>4125</v>
      </c>
      <c r="AU156" s="121" t="s">
        <v>24</v>
      </c>
      <c r="AV156" s="121" t="s">
        <v>4112</v>
      </c>
      <c r="AW156" s="121">
        <v>1</v>
      </c>
      <c r="AX156" s="121" t="s">
        <v>4111</v>
      </c>
      <c r="AY156" s="121" t="s">
        <v>3515</v>
      </c>
      <c r="AZ156" s="121" t="s">
        <v>2912</v>
      </c>
      <c r="BA156" s="121" t="s">
        <v>3279</v>
      </c>
      <c r="BB156" s="121"/>
      <c r="BC156" s="121"/>
      <c r="BD156" s="156"/>
      <c r="BE156" s="156"/>
      <c r="BF156" s="156"/>
      <c r="BG156" s="156"/>
      <c r="BH156" s="156"/>
      <c r="BI156" s="156"/>
      <c r="BJ156" s="156">
        <v>1</v>
      </c>
      <c r="BK156" s="156"/>
      <c r="BL156" s="156"/>
      <c r="BM156" s="156"/>
      <c r="BN156" s="156"/>
      <c r="BO156" s="156"/>
      <c r="BP156" s="156"/>
      <c r="BQ156" s="157" t="s">
        <v>3563</v>
      </c>
      <c r="BR156" s="134" t="s">
        <v>1876</v>
      </c>
      <c r="BS156" s="134" t="s">
        <v>4108</v>
      </c>
      <c r="BT156" s="134" t="s">
        <v>4110</v>
      </c>
      <c r="BU156" s="134" t="s">
        <v>4107</v>
      </c>
      <c r="BV156" s="134" t="s">
        <v>4109</v>
      </c>
      <c r="BW156" s="259" t="s">
        <v>4134</v>
      </c>
      <c r="BX156" s="138" t="s">
        <v>4113</v>
      </c>
      <c r="BY156" s="134">
        <v>13.8826</v>
      </c>
      <c r="BZ156" s="134" t="s">
        <v>24</v>
      </c>
      <c r="CA156" s="134">
        <f>14.873-Table665[[#This Row],[Outcome1_M]]</f>
        <v>0.99039999999999928</v>
      </c>
      <c r="CB156" s="430" t="s">
        <v>4114</v>
      </c>
      <c r="CC156" s="134">
        <v>20.409300000000002</v>
      </c>
      <c r="CD156" s="134" t="s">
        <v>24</v>
      </c>
      <c r="CE156" s="134">
        <f>22.5487-Table665[[#This Row],[Outcome2_M]]</f>
        <v>2.1393999999999984</v>
      </c>
      <c r="CF156" s="288" t="s">
        <v>4130</v>
      </c>
      <c r="CG156" s="289" t="s">
        <v>4131</v>
      </c>
      <c r="CH156" s="138" t="s">
        <v>4115</v>
      </c>
      <c r="CI156" s="134">
        <v>19.392499999999998</v>
      </c>
      <c r="CJ156" s="134" t="s">
        <v>24</v>
      </c>
      <c r="CK156" s="134">
        <f>21.9626-Table665[[#This Row],[Outcome3_M]]</f>
        <v>2.5701000000000001</v>
      </c>
      <c r="CL156" s="138" t="s">
        <v>4116</v>
      </c>
      <c r="CM156" s="134">
        <v>13.831799999999999</v>
      </c>
      <c r="CN156" s="134" t="s">
        <v>24</v>
      </c>
      <c r="CO156" s="134">
        <f>15.1402-Table665[[#This Row],[Outcome4_M]]</f>
        <v>1.3084000000000007</v>
      </c>
      <c r="CP156" s="288" t="s">
        <v>4126</v>
      </c>
      <c r="CQ156" s="289" t="s">
        <v>4127</v>
      </c>
      <c r="CR156" s="276" t="s">
        <v>24</v>
      </c>
      <c r="CS156" s="308" t="s">
        <v>24</v>
      </c>
      <c r="CT156" s="134" t="s">
        <v>4117</v>
      </c>
      <c r="CU156" s="134">
        <v>14.9337</v>
      </c>
      <c r="CV156" s="134" t="s">
        <v>24</v>
      </c>
      <c r="CW156" s="134">
        <f>17.39-Table665[[#This Row],[Outcome5_M]]</f>
        <v>2.4563000000000006</v>
      </c>
      <c r="CX156" s="134" t="s">
        <v>4118</v>
      </c>
      <c r="CY156" s="134">
        <v>18.687000000000001</v>
      </c>
      <c r="CZ156" s="134" t="s">
        <v>24</v>
      </c>
      <c r="DA156" s="134">
        <f>20.1133-Table665[[#This Row],[Outcome6_M]]</f>
        <v>1.4262999999999977</v>
      </c>
      <c r="DB156" s="300" t="s">
        <v>4132</v>
      </c>
      <c r="DC156" s="301" t="s">
        <v>4133</v>
      </c>
      <c r="DD156" s="168" t="s">
        <v>4119</v>
      </c>
      <c r="DE156" s="134">
        <v>24.953299999999999</v>
      </c>
      <c r="DF156" s="134" t="s">
        <v>24</v>
      </c>
      <c r="DG156" s="134">
        <f>25.9346-Table665[[#This Row],[Outcome7_M]]</f>
        <v>0.98130000000000095</v>
      </c>
      <c r="DH156" s="168" t="s">
        <v>4120</v>
      </c>
      <c r="DI156" s="134">
        <v>11.6355</v>
      </c>
      <c r="DJ156" s="134" t="s">
        <v>24</v>
      </c>
      <c r="DK156" s="134">
        <f>12.8505-Table665[[#This Row],[Outcome8_M]]</f>
        <v>1.2149999999999999</v>
      </c>
      <c r="DL156" s="300" t="s">
        <v>4128</v>
      </c>
      <c r="DM156" s="301" t="s">
        <v>4129</v>
      </c>
      <c r="DN156" s="276" t="s">
        <v>24</v>
      </c>
      <c r="DO156" s="277" t="s">
        <v>24</v>
      </c>
      <c r="DP156" s="134"/>
      <c r="DQ156" s="134"/>
      <c r="DR156" s="134"/>
      <c r="DS156" s="134"/>
      <c r="DT156" s="138"/>
      <c r="DU156" s="134"/>
      <c r="DV156" s="134"/>
      <c r="DW156" s="134"/>
      <c r="DX156" s="301"/>
      <c r="DY156" s="301"/>
      <c r="DZ156" s="138"/>
      <c r="EA156" s="134"/>
      <c r="EB156" s="134"/>
      <c r="EC156" s="134"/>
      <c r="ED156" s="138"/>
      <c r="EE156" s="134"/>
      <c r="EF156" s="134"/>
      <c r="EG156" s="134"/>
      <c r="EH156" s="301"/>
      <c r="EI156" s="301"/>
      <c r="EJ156" s="277"/>
      <c r="EK156" s="134"/>
      <c r="EL156" s="134"/>
      <c r="EM156" s="134"/>
      <c r="EN156" s="134"/>
      <c r="EO156" s="134"/>
      <c r="EP156" s="134"/>
      <c r="EQ156" s="134"/>
      <c r="ER156" s="134"/>
      <c r="ES156" s="301"/>
      <c r="ET156" s="301"/>
      <c r="EU156" s="134"/>
      <c r="EV156" s="134"/>
      <c r="EW156" s="134"/>
      <c r="EX156" s="134"/>
      <c r="EY156" s="134"/>
      <c r="EZ156" s="134"/>
      <c r="FA156" s="134"/>
      <c r="FB156" s="134"/>
      <c r="FC156" s="135"/>
      <c r="FD156" s="135"/>
      <c r="FE156" s="134"/>
      <c r="FF156" s="134"/>
      <c r="FG156" s="134"/>
      <c r="FH156" s="134"/>
      <c r="FI156" s="134"/>
      <c r="FJ156" s="134"/>
      <c r="FK156" s="134"/>
      <c r="FL156" s="134"/>
      <c r="FM156" s="135"/>
      <c r="FN156" s="135"/>
      <c r="FO156" s="134"/>
      <c r="FP156" s="134"/>
      <c r="FQ156" s="134"/>
      <c r="FR156" s="134"/>
      <c r="FS156" s="134"/>
      <c r="FT156" s="134"/>
      <c r="FU156" s="134"/>
      <c r="FV156" s="134"/>
      <c r="FW156" s="135"/>
      <c r="FX156" s="135"/>
      <c r="FY156" s="134"/>
      <c r="FZ156" s="134"/>
      <c r="GA156" s="134"/>
      <c r="GB156" s="134"/>
      <c r="GC156" s="134"/>
      <c r="GD156" s="134"/>
      <c r="GE156" s="134"/>
      <c r="GF156" s="134"/>
      <c r="GG156" s="135"/>
      <c r="GH156" s="135"/>
      <c r="GI156" s="134"/>
      <c r="GJ156" s="134"/>
      <c r="GK156" s="134"/>
      <c r="GL156" s="134"/>
      <c r="GM156" s="134"/>
      <c r="GN156" s="134"/>
      <c r="GO156" s="134"/>
      <c r="GP156" s="134"/>
      <c r="GQ156" s="135"/>
      <c r="GR156" s="135"/>
      <c r="GS156" s="134"/>
      <c r="GT156" s="134"/>
      <c r="GU156" s="134"/>
      <c r="GV156" s="134"/>
      <c r="GW156" s="134"/>
      <c r="GX156" s="134"/>
      <c r="GY156" s="134"/>
      <c r="GZ156" s="134"/>
      <c r="HA156" s="135"/>
      <c r="HB156" s="135"/>
      <c r="HC156" s="134"/>
      <c r="HD156" s="134"/>
      <c r="HE156" s="134"/>
      <c r="HF156" s="134"/>
      <c r="HG156" s="134"/>
      <c r="HH156" s="134"/>
      <c r="HI156" s="134"/>
      <c r="HJ156" s="134"/>
      <c r="HK156" s="135"/>
      <c r="HL156" s="135"/>
      <c r="HM156" s="134"/>
      <c r="HN156" s="134"/>
      <c r="HO156" s="134"/>
      <c r="HP156" s="134"/>
      <c r="HQ156" s="134"/>
      <c r="HR156" s="134"/>
      <c r="HS156" s="134"/>
      <c r="HT156" s="134"/>
      <c r="HU156" s="135"/>
      <c r="HV156" s="135"/>
      <c r="HW156" s="134"/>
      <c r="HX156" s="134"/>
      <c r="HY156" s="134"/>
      <c r="HZ156" s="134"/>
      <c r="IA156" s="134"/>
      <c r="IB156" s="134"/>
      <c r="IC156" s="134"/>
      <c r="ID156" s="134"/>
      <c r="IE156" s="135"/>
      <c r="IF156" s="135"/>
      <c r="IG156" s="134"/>
      <c r="IH156" s="134"/>
      <c r="II156" s="134"/>
      <c r="IJ156" s="134"/>
      <c r="IK156" s="134"/>
      <c r="IL156" s="134"/>
      <c r="IM156" s="134"/>
      <c r="IN156" s="134"/>
      <c r="IO156" s="135"/>
      <c r="IP156" s="135"/>
      <c r="IQ156" s="134"/>
      <c r="IR156" s="134"/>
      <c r="IS156" s="134"/>
      <c r="IT156" s="134"/>
      <c r="IU156" s="134"/>
      <c r="IV156" s="134"/>
      <c r="IW156" s="134"/>
      <c r="IX156" s="134"/>
      <c r="IY156" s="135"/>
      <c r="IZ156" s="135"/>
    </row>
    <row r="157" spans="1:260" customFormat="1" ht="17" customHeight="1">
      <c r="A157" s="79" t="s">
        <v>1077</v>
      </c>
      <c r="B157" s="363">
        <v>14</v>
      </c>
      <c r="C157" s="363"/>
      <c r="D157" s="363"/>
      <c r="E157" s="123" t="s">
        <v>2063</v>
      </c>
      <c r="F157" s="124" t="s">
        <v>2315</v>
      </c>
      <c r="G157" s="125">
        <v>2013</v>
      </c>
      <c r="H157" s="79">
        <v>23382811</v>
      </c>
      <c r="I157" s="79">
        <v>1</v>
      </c>
      <c r="J157" s="126">
        <v>1</v>
      </c>
      <c r="K157" s="127"/>
      <c r="L157" s="79">
        <v>0</v>
      </c>
      <c r="M157" s="79"/>
      <c r="N157" s="153">
        <v>0</v>
      </c>
      <c r="O157" s="128">
        <v>2</v>
      </c>
      <c r="P157" s="79" t="s">
        <v>1286</v>
      </c>
      <c r="Q157" s="79" t="s">
        <v>1142</v>
      </c>
      <c r="R157" s="79" t="s">
        <v>1285</v>
      </c>
      <c r="S157" s="79"/>
      <c r="T157" s="79" t="s">
        <v>1488</v>
      </c>
      <c r="U157" s="79" t="s">
        <v>23</v>
      </c>
      <c r="V157" s="79"/>
      <c r="W157" s="79" t="s">
        <v>1800</v>
      </c>
      <c r="X157" s="79" t="s">
        <v>1287</v>
      </c>
      <c r="Y157" s="79"/>
      <c r="Z157" s="79"/>
      <c r="AA157" s="79"/>
      <c r="AB157" s="79"/>
      <c r="AC157" s="506"/>
      <c r="AD157" s="573">
        <v>1</v>
      </c>
      <c r="AE157" s="573">
        <v>2</v>
      </c>
      <c r="AF157" s="165">
        <v>0</v>
      </c>
      <c r="AG157" s="166" t="s">
        <v>3339</v>
      </c>
      <c r="AH157" s="120">
        <v>5</v>
      </c>
      <c r="AI157" s="484"/>
      <c r="AJ157" s="206" t="s">
        <v>2792</v>
      </c>
      <c r="AK157" s="192">
        <v>0</v>
      </c>
      <c r="AL157" s="207">
        <v>0</v>
      </c>
      <c r="AM157" s="120">
        <v>8</v>
      </c>
      <c r="AN157" s="120">
        <v>8</v>
      </c>
      <c r="AO157" s="120" t="s">
        <v>24</v>
      </c>
      <c r="AP157" s="120" t="s">
        <v>803</v>
      </c>
      <c r="AQ157" s="120" t="s">
        <v>24</v>
      </c>
      <c r="AR157" s="120" t="s">
        <v>2793</v>
      </c>
      <c r="AS157" s="120" t="s">
        <v>24</v>
      </c>
      <c r="AT157" s="120" t="s">
        <v>24</v>
      </c>
      <c r="AU157" s="120" t="s">
        <v>24</v>
      </c>
      <c r="AV157" s="120" t="s">
        <v>2791</v>
      </c>
      <c r="AW157" s="120">
        <v>1</v>
      </c>
      <c r="AX157" s="120" t="s">
        <v>3323</v>
      </c>
      <c r="AY157" s="120" t="s">
        <v>24</v>
      </c>
      <c r="AZ157" s="120" t="s">
        <v>2790</v>
      </c>
      <c r="BA157" s="120" t="s">
        <v>24</v>
      </c>
      <c r="BB157" s="120"/>
      <c r="BC157" s="120"/>
      <c r="BD157" s="156">
        <v>1</v>
      </c>
      <c r="BE157" s="156"/>
      <c r="BF157" s="156"/>
      <c r="BG157" s="156"/>
      <c r="BH157" s="156"/>
      <c r="BI157" s="156"/>
      <c r="BJ157" s="156"/>
      <c r="BK157" s="156"/>
      <c r="BL157" s="156"/>
      <c r="BM157" s="156"/>
      <c r="BN157" s="156"/>
      <c r="BO157" s="156"/>
      <c r="BP157" s="156"/>
      <c r="BQ157" s="157" t="s">
        <v>2794</v>
      </c>
      <c r="BR157" s="134" t="s">
        <v>2789</v>
      </c>
      <c r="BS157" s="134">
        <v>1</v>
      </c>
      <c r="BT157" s="134" t="s">
        <v>2788</v>
      </c>
      <c r="BU157" s="134" t="s">
        <v>2787</v>
      </c>
      <c r="BV157" s="134" t="s">
        <v>2659</v>
      </c>
      <c r="BW157" s="259" t="s">
        <v>2786</v>
      </c>
      <c r="BX157" s="138" t="s">
        <v>2778</v>
      </c>
      <c r="BY157" s="134">
        <v>11.557399999999999</v>
      </c>
      <c r="BZ157" s="134" t="s">
        <v>24</v>
      </c>
      <c r="CA157" s="134">
        <f>14.5082-Table665[[#This Row],[Outcome1_M]]</f>
        <v>2.950800000000001</v>
      </c>
      <c r="CB157" s="138" t="s">
        <v>2779</v>
      </c>
      <c r="CC157" s="134">
        <v>30.491800000000001</v>
      </c>
      <c r="CD157" s="134" t="s">
        <v>24</v>
      </c>
      <c r="CE157" s="134">
        <f>36.1475-Table665[[#This Row],[Outcome2_M]]</f>
        <v>5.6556999999999995</v>
      </c>
      <c r="CF157" s="288" t="s">
        <v>2782</v>
      </c>
      <c r="CG157" s="289" t="s">
        <v>2783</v>
      </c>
      <c r="CH157" s="138" t="s">
        <v>2780</v>
      </c>
      <c r="CI157" s="134">
        <v>65.409800000000004</v>
      </c>
      <c r="CJ157" s="134" t="s">
        <v>24</v>
      </c>
      <c r="CK157" s="134">
        <f>74.0164-Table665[[#This Row],[Outcome3_M]]</f>
        <v>8.6066000000000003</v>
      </c>
      <c r="CL157" s="138" t="s">
        <v>2781</v>
      </c>
      <c r="CM157" s="134">
        <v>70.573800000000006</v>
      </c>
      <c r="CN157" s="134" t="s">
        <v>24</v>
      </c>
      <c r="CO157" s="134">
        <f>77.9508-Table665[[#This Row],[Outcome4_M]]</f>
        <v>7.3769999999999953</v>
      </c>
      <c r="CP157" s="288"/>
      <c r="CQ157" s="289"/>
      <c r="CR157" s="276" t="s">
        <v>2784</v>
      </c>
      <c r="CS157" s="308" t="s">
        <v>2785</v>
      </c>
      <c r="CT157" s="138"/>
      <c r="CU157" s="134"/>
      <c r="CV157" s="134"/>
      <c r="CW157" s="134"/>
      <c r="CX157" s="134"/>
      <c r="CY157" s="134"/>
      <c r="CZ157" s="134"/>
      <c r="DA157" s="134"/>
      <c r="DB157" s="300"/>
      <c r="DC157" s="301"/>
      <c r="DD157" s="134"/>
      <c r="DE157" s="134"/>
      <c r="DF157" s="134"/>
      <c r="DG157" s="134"/>
      <c r="DH157" s="134"/>
      <c r="DI157" s="134"/>
      <c r="DJ157" s="134"/>
      <c r="DK157" s="134"/>
      <c r="DL157" s="300"/>
      <c r="DM157" s="301"/>
      <c r="DN157" s="276"/>
      <c r="DO157" s="277"/>
      <c r="DP157" s="134"/>
      <c r="DQ157" s="134"/>
      <c r="DR157" s="134"/>
      <c r="DS157" s="134"/>
      <c r="DT157" s="138"/>
      <c r="DU157" s="134"/>
      <c r="DV157" s="134"/>
      <c r="DW157" s="134"/>
      <c r="DX157" s="301"/>
      <c r="DY157" s="301"/>
      <c r="DZ157" s="138"/>
      <c r="EA157" s="134"/>
      <c r="EB157" s="134"/>
      <c r="EC157" s="134"/>
      <c r="ED157" s="138"/>
      <c r="EE157" s="134"/>
      <c r="EF157" s="134"/>
      <c r="EG157" s="134"/>
      <c r="EH157" s="301"/>
      <c r="EI157" s="301"/>
      <c r="EJ157" s="277"/>
      <c r="EK157" s="134"/>
      <c r="EL157" s="134"/>
      <c r="EM157" s="134"/>
      <c r="EN157" s="134"/>
      <c r="EO157" s="134"/>
      <c r="EP157" s="134"/>
      <c r="EQ157" s="134"/>
      <c r="ER157" s="134"/>
      <c r="ES157" s="301"/>
      <c r="ET157" s="301"/>
      <c r="EU157" s="134"/>
      <c r="EV157" s="134"/>
      <c r="EW157" s="134"/>
      <c r="EX157" s="134"/>
      <c r="EY157" s="134"/>
      <c r="EZ157" s="134"/>
      <c r="FA157" s="134"/>
      <c r="FB157" s="134"/>
      <c r="FC157" s="135"/>
      <c r="FD157" s="135"/>
      <c r="FE157" s="134"/>
      <c r="FF157" s="134"/>
      <c r="FG157" s="134"/>
      <c r="FH157" s="134"/>
      <c r="FI157" s="134"/>
      <c r="FJ157" s="134"/>
      <c r="FK157" s="134"/>
      <c r="FL157" s="134"/>
      <c r="FM157" s="135"/>
      <c r="FN157" s="135"/>
      <c r="FO157" s="134"/>
      <c r="FP157" s="134"/>
      <c r="FQ157" s="134"/>
      <c r="FR157" s="134"/>
      <c r="FS157" s="134"/>
      <c r="FT157" s="134"/>
      <c r="FU157" s="134"/>
      <c r="FV157" s="134"/>
      <c r="FW157" s="135"/>
      <c r="FX157" s="135"/>
      <c r="FY157" s="134"/>
      <c r="FZ157" s="134"/>
      <c r="GA157" s="134"/>
      <c r="GB157" s="134"/>
      <c r="GC157" s="134"/>
      <c r="GD157" s="134"/>
      <c r="GE157" s="134"/>
      <c r="GF157" s="134"/>
      <c r="GG157" s="135"/>
      <c r="GH157" s="135"/>
      <c r="GI157" s="134"/>
      <c r="GJ157" s="134"/>
      <c r="GK157" s="134"/>
      <c r="GL157" s="134"/>
      <c r="GM157" s="134"/>
      <c r="GN157" s="134"/>
      <c r="GO157" s="134"/>
      <c r="GP157" s="134"/>
      <c r="GQ157" s="135"/>
      <c r="GR157" s="135"/>
      <c r="GS157" s="134"/>
      <c r="GT157" s="134"/>
      <c r="GU157" s="134"/>
      <c r="GV157" s="134"/>
      <c r="GW157" s="134"/>
      <c r="GX157" s="134"/>
      <c r="GY157" s="134"/>
      <c r="GZ157" s="134"/>
      <c r="HA157" s="135"/>
      <c r="HB157" s="135"/>
      <c r="HC157" s="134"/>
      <c r="HD157" s="134"/>
      <c r="HE157" s="134"/>
      <c r="HF157" s="134"/>
      <c r="HG157" s="134"/>
      <c r="HH157" s="134"/>
      <c r="HI157" s="134"/>
      <c r="HJ157" s="134"/>
      <c r="HK157" s="135"/>
      <c r="HL157" s="135"/>
      <c r="HM157" s="134"/>
      <c r="HN157" s="134"/>
      <c r="HO157" s="134"/>
      <c r="HP157" s="134"/>
      <c r="HQ157" s="134"/>
      <c r="HR157" s="134"/>
      <c r="HS157" s="134"/>
      <c r="HT157" s="134"/>
      <c r="HU157" s="135"/>
      <c r="HV157" s="135"/>
      <c r="HW157" s="134"/>
      <c r="HX157" s="134"/>
      <c r="HY157" s="134"/>
      <c r="HZ157" s="134"/>
      <c r="IA157" s="134"/>
      <c r="IB157" s="134"/>
      <c r="IC157" s="134"/>
      <c r="ID157" s="134"/>
      <c r="IE157" s="135"/>
      <c r="IF157" s="135"/>
      <c r="IG157" s="134"/>
      <c r="IH157" s="134"/>
      <c r="II157" s="134"/>
      <c r="IJ157" s="134"/>
      <c r="IK157" s="134"/>
      <c r="IL157" s="134"/>
      <c r="IM157" s="134"/>
      <c r="IN157" s="134"/>
      <c r="IO157" s="135"/>
      <c r="IP157" s="135"/>
      <c r="IQ157" s="134"/>
      <c r="IR157" s="134"/>
      <c r="IS157" s="134"/>
      <c r="IT157" s="134"/>
      <c r="IU157" s="134"/>
      <c r="IV157" s="134"/>
      <c r="IW157" s="134"/>
      <c r="IX157" s="134"/>
      <c r="IY157" s="135"/>
      <c r="IZ157" s="135"/>
    </row>
    <row r="158" spans="1:260" customFormat="1" ht="17" customHeight="1">
      <c r="A158" s="79" t="s">
        <v>126</v>
      </c>
      <c r="B158" s="363">
        <v>1</v>
      </c>
      <c r="C158" s="363"/>
      <c r="D158" s="363"/>
      <c r="E158" s="123" t="s">
        <v>1943</v>
      </c>
      <c r="F158" s="124" t="s">
        <v>2162</v>
      </c>
      <c r="G158" s="125">
        <v>2014</v>
      </c>
      <c r="H158" s="79">
        <v>24950747</v>
      </c>
      <c r="I158" s="79">
        <v>1</v>
      </c>
      <c r="J158" s="126"/>
      <c r="K158" s="127"/>
      <c r="L158" s="79">
        <v>1</v>
      </c>
      <c r="M158" s="79"/>
      <c r="N158" s="79">
        <v>1</v>
      </c>
      <c r="O158" s="128">
        <v>1</v>
      </c>
      <c r="P158" s="79" t="s">
        <v>11</v>
      </c>
      <c r="Q158" s="79" t="s">
        <v>1142</v>
      </c>
      <c r="R158" s="79" t="s">
        <v>416</v>
      </c>
      <c r="S158" s="79">
        <v>0</v>
      </c>
      <c r="T158" s="79"/>
      <c r="U158" s="79"/>
      <c r="V158" s="79"/>
      <c r="W158" s="79" t="s">
        <v>11</v>
      </c>
      <c r="X158" s="79"/>
      <c r="Y158" s="79"/>
      <c r="Z158" s="79"/>
      <c r="AA158" s="79"/>
      <c r="AB158" s="79" t="s">
        <v>1193</v>
      </c>
      <c r="AC158" s="506"/>
      <c r="AD158" s="573">
        <v>1</v>
      </c>
      <c r="AE158" s="573">
        <v>2</v>
      </c>
      <c r="AF158" s="533">
        <v>0</v>
      </c>
      <c r="AG158" s="534" t="s">
        <v>1881</v>
      </c>
      <c r="AH158" s="131">
        <v>3</v>
      </c>
      <c r="AI158" s="489"/>
      <c r="AJ158" s="196"/>
      <c r="AK158" s="191">
        <v>0</v>
      </c>
      <c r="AL158" s="197"/>
      <c r="AM158" s="70"/>
      <c r="AN158" s="70"/>
      <c r="AO158" s="70"/>
      <c r="AP158" s="70" t="s">
        <v>1878</v>
      </c>
      <c r="AQ158" s="70" t="s">
        <v>1878</v>
      </c>
      <c r="AR158" s="70"/>
      <c r="AS158" s="70"/>
      <c r="AT158" s="70"/>
      <c r="AU158" s="70"/>
      <c r="AV158" s="70"/>
      <c r="AW158" s="70"/>
      <c r="AX158" s="70"/>
      <c r="AY158" s="70"/>
      <c r="AZ158" s="70"/>
      <c r="BA158" s="70" t="s">
        <v>1875</v>
      </c>
      <c r="BB158" s="70"/>
      <c r="BC158" s="70"/>
      <c r="BD158" s="132">
        <v>1</v>
      </c>
      <c r="BE158" s="132"/>
      <c r="BF158" s="132"/>
      <c r="BG158" s="132"/>
      <c r="BH158" s="132"/>
      <c r="BI158" s="132"/>
      <c r="BJ158" s="132"/>
      <c r="BK158" s="132"/>
      <c r="BL158" s="132"/>
      <c r="BM158" s="132"/>
      <c r="BN158" s="132"/>
      <c r="BO158" s="132"/>
      <c r="BP158" s="132"/>
      <c r="BQ158" s="133"/>
      <c r="BR158" s="26"/>
      <c r="BS158" s="26"/>
      <c r="BT158" s="26"/>
      <c r="BU158" s="26"/>
      <c r="BV158" s="26"/>
      <c r="BW158" s="255" t="s">
        <v>24</v>
      </c>
      <c r="BX158" s="264"/>
      <c r="BY158" s="134"/>
      <c r="BZ158" s="134"/>
      <c r="CA158" s="134"/>
      <c r="CB158" s="138"/>
      <c r="CC158" s="134"/>
      <c r="CD158" s="134"/>
      <c r="CE158" s="134"/>
      <c r="CF158" s="288"/>
      <c r="CG158" s="289"/>
      <c r="CH158" s="439"/>
      <c r="CI158" s="190"/>
      <c r="CJ158" s="134"/>
      <c r="CK158" s="190"/>
      <c r="CL158" s="138"/>
      <c r="CM158" s="190"/>
      <c r="CN158" s="134"/>
      <c r="CO158" s="389"/>
      <c r="CP158" s="288"/>
      <c r="CQ158" s="441"/>
      <c r="CR158" s="276"/>
      <c r="CS158" s="277"/>
      <c r="CT158" s="134"/>
      <c r="CU158" s="134"/>
      <c r="CV158" s="134"/>
      <c r="CW158" s="134"/>
      <c r="CX158" s="134"/>
      <c r="CY158" s="134"/>
      <c r="CZ158" s="134"/>
      <c r="DA158" s="134"/>
      <c r="DB158" s="300"/>
      <c r="DC158" s="301"/>
      <c r="DD158" s="134"/>
      <c r="DE158" s="134"/>
      <c r="DF158" s="134"/>
      <c r="DG158" s="134"/>
      <c r="DH158" s="134"/>
      <c r="DI158" s="134"/>
      <c r="DJ158" s="134"/>
      <c r="DK158" s="134"/>
      <c r="DL158" s="300"/>
      <c r="DM158" s="301"/>
      <c r="DN158" s="276"/>
      <c r="DO158" s="277"/>
      <c r="DP158" s="134"/>
      <c r="DQ158" s="134"/>
      <c r="DR158" s="134"/>
      <c r="DS158" s="134"/>
      <c r="DT158" s="138"/>
      <c r="DU158" s="134"/>
      <c r="DV158" s="134"/>
      <c r="DW158" s="134"/>
      <c r="DX158" s="301"/>
      <c r="DY158" s="301"/>
      <c r="DZ158" s="138"/>
      <c r="EA158" s="134"/>
      <c r="EB158" s="134"/>
      <c r="EC158" s="134"/>
      <c r="ED158" s="138"/>
      <c r="EE158" s="134"/>
      <c r="EF158" s="134"/>
      <c r="EG158" s="134"/>
      <c r="EH158" s="301"/>
      <c r="EI158" s="301"/>
      <c r="EJ158" s="277"/>
      <c r="EK158" s="134"/>
      <c r="EL158" s="134"/>
      <c r="EM158" s="134"/>
      <c r="EN158" s="134"/>
      <c r="EO158" s="134"/>
      <c r="EP158" s="134"/>
      <c r="EQ158" s="134"/>
      <c r="ER158" s="134"/>
      <c r="ES158" s="301"/>
      <c r="ET158" s="301"/>
      <c r="EU158" s="134"/>
      <c r="EV158" s="134"/>
      <c r="EW158" s="134"/>
      <c r="EX158" s="134"/>
      <c r="EY158" s="134"/>
      <c r="EZ158" s="134"/>
      <c r="FA158" s="134"/>
      <c r="FB158" s="134"/>
      <c r="FC158" s="135"/>
      <c r="FD158" s="135"/>
      <c r="FE158" s="134"/>
      <c r="FF158" s="134"/>
      <c r="FG158" s="134"/>
      <c r="FH158" s="134"/>
      <c r="FI158" s="134"/>
      <c r="FJ158" s="134"/>
      <c r="FK158" s="134"/>
      <c r="FL158" s="134"/>
      <c r="FM158" s="135"/>
      <c r="FN158" s="135"/>
      <c r="FO158" s="134"/>
      <c r="FP158" s="134"/>
      <c r="FQ158" s="134"/>
      <c r="FR158" s="134"/>
      <c r="FS158" s="134"/>
      <c r="FT158" s="134"/>
      <c r="FU158" s="134"/>
      <c r="FV158" s="134"/>
      <c r="FW158" s="135"/>
      <c r="FX158" s="135"/>
      <c r="FY158" s="134"/>
      <c r="FZ158" s="134"/>
      <c r="GA158" s="134"/>
      <c r="GB158" s="134"/>
      <c r="GC158" s="134"/>
      <c r="GD158" s="134"/>
      <c r="GE158" s="134"/>
      <c r="GF158" s="134"/>
      <c r="GG158" s="135"/>
      <c r="GH158" s="135"/>
      <c r="GI158" s="134"/>
      <c r="GJ158" s="134"/>
      <c r="GK158" s="134"/>
      <c r="GL158" s="134"/>
      <c r="GM158" s="134"/>
      <c r="GN158" s="134"/>
      <c r="GO158" s="134"/>
      <c r="GP158" s="134"/>
      <c r="GQ158" s="135"/>
      <c r="GR158" s="135"/>
      <c r="GS158" s="134"/>
      <c r="GT158" s="134"/>
      <c r="GU158" s="134"/>
      <c r="GV158" s="134"/>
      <c r="GW158" s="134"/>
      <c r="GX158" s="134"/>
      <c r="GY158" s="134"/>
      <c r="GZ158" s="134"/>
      <c r="HA158" s="135"/>
      <c r="HB158" s="135"/>
      <c r="HC158" s="134"/>
      <c r="HD158" s="134"/>
      <c r="HE158" s="134"/>
      <c r="HF158" s="134"/>
      <c r="HG158" s="134"/>
      <c r="HH158" s="134"/>
      <c r="HI158" s="134"/>
      <c r="HJ158" s="134"/>
      <c r="HK158" s="135"/>
      <c r="HL158" s="135"/>
      <c r="HM158" s="134"/>
      <c r="HN158" s="134"/>
      <c r="HO158" s="134"/>
      <c r="HP158" s="134"/>
      <c r="HQ158" s="134"/>
      <c r="HR158" s="134"/>
      <c r="HS158" s="134"/>
      <c r="HT158" s="134"/>
      <c r="HU158" s="135"/>
      <c r="HV158" s="135"/>
      <c r="HW158" s="134"/>
      <c r="HX158" s="134"/>
      <c r="HY158" s="134"/>
      <c r="HZ158" s="134"/>
      <c r="IA158" s="134"/>
      <c r="IB158" s="134"/>
      <c r="IC158" s="134"/>
      <c r="ID158" s="134"/>
      <c r="IE158" s="135"/>
      <c r="IF158" s="135"/>
      <c r="IG158" s="134"/>
      <c r="IH158" s="134"/>
      <c r="II158" s="134"/>
      <c r="IJ158" s="134"/>
      <c r="IK158" s="134"/>
      <c r="IL158" s="134"/>
      <c r="IM158" s="134"/>
      <c r="IN158" s="134"/>
      <c r="IO158" s="135"/>
      <c r="IP158" s="135"/>
      <c r="IQ158" s="134"/>
      <c r="IR158" s="134"/>
      <c r="IS158" s="134"/>
      <c r="IT158" s="134"/>
      <c r="IU158" s="134"/>
      <c r="IV158" s="134"/>
      <c r="IW158" s="134"/>
      <c r="IX158" s="134"/>
      <c r="IY158" s="135"/>
      <c r="IZ158" s="135"/>
    </row>
    <row r="159" spans="1:260" customFormat="1" ht="17" customHeight="1">
      <c r="A159" s="79" t="s">
        <v>130</v>
      </c>
      <c r="B159" s="117">
        <v>99</v>
      </c>
      <c r="C159" s="117">
        <v>19</v>
      </c>
      <c r="D159" s="117"/>
      <c r="E159" s="123" t="s">
        <v>1946</v>
      </c>
      <c r="F159" s="124" t="s">
        <v>2165</v>
      </c>
      <c r="G159" s="125">
        <v>2008</v>
      </c>
      <c r="H159" s="79">
        <v>18423611</v>
      </c>
      <c r="I159" s="79">
        <v>1</v>
      </c>
      <c r="J159" s="126"/>
      <c r="K159" s="127"/>
      <c r="L159" s="79">
        <v>1</v>
      </c>
      <c r="M159" s="79"/>
      <c r="N159" s="164">
        <v>1</v>
      </c>
      <c r="O159" s="128">
        <v>1</v>
      </c>
      <c r="P159" s="79" t="s">
        <v>421</v>
      </c>
      <c r="Q159" s="79" t="s">
        <v>1151</v>
      </c>
      <c r="R159" s="79" t="s">
        <v>420</v>
      </c>
      <c r="S159" s="79">
        <v>0</v>
      </c>
      <c r="T159" s="79"/>
      <c r="U159" s="79"/>
      <c r="V159" s="79"/>
      <c r="W159" s="79" t="s">
        <v>23</v>
      </c>
      <c r="X159" s="79"/>
      <c r="Y159" s="79"/>
      <c r="Z159" s="79"/>
      <c r="AA159" s="79"/>
      <c r="AB159" s="79" t="s">
        <v>422</v>
      </c>
      <c r="AC159" s="506"/>
      <c r="AD159" s="573">
        <v>1</v>
      </c>
      <c r="AE159" s="573">
        <v>2</v>
      </c>
      <c r="AF159" s="233" t="s">
        <v>3003</v>
      </c>
      <c r="AG159" s="234" t="s">
        <v>4141</v>
      </c>
      <c r="AH159" s="135">
        <v>3</v>
      </c>
      <c r="AI159" s="484"/>
      <c r="AJ159" s="235" t="s">
        <v>4142</v>
      </c>
      <c r="AK159" s="236" t="s">
        <v>24</v>
      </c>
      <c r="AL159" s="237" t="s">
        <v>24</v>
      </c>
      <c r="AM159" s="135">
        <v>87</v>
      </c>
      <c r="AN159" s="135">
        <v>17</v>
      </c>
      <c r="AO159" s="135">
        <v>72</v>
      </c>
      <c r="AP159" s="135" t="s">
        <v>4135</v>
      </c>
      <c r="AQ159" s="135" t="s">
        <v>4136</v>
      </c>
      <c r="AR159" s="135">
        <v>43.9</v>
      </c>
      <c r="AS159" s="135">
        <v>9.6</v>
      </c>
      <c r="AT159" s="135">
        <v>43.7</v>
      </c>
      <c r="AU159" s="135">
        <v>8.8000000000000007</v>
      </c>
      <c r="AV159" s="135" t="s">
        <v>4137</v>
      </c>
      <c r="AW159" s="135" t="s">
        <v>24</v>
      </c>
      <c r="AX159" s="135" t="s">
        <v>24</v>
      </c>
      <c r="AY159" s="135" t="s">
        <v>4139</v>
      </c>
      <c r="AZ159" s="135" t="s">
        <v>4138</v>
      </c>
      <c r="BA159" s="135" t="s">
        <v>4140</v>
      </c>
      <c r="BB159" s="135"/>
      <c r="BC159" s="135"/>
      <c r="BD159" s="156"/>
      <c r="BE159" s="156"/>
      <c r="BF159" s="156">
        <v>1</v>
      </c>
      <c r="BG159" s="156"/>
      <c r="BH159" s="156"/>
      <c r="BI159" s="156"/>
      <c r="BJ159" s="156">
        <v>1</v>
      </c>
      <c r="BK159" s="156"/>
      <c r="BL159" s="156">
        <v>1</v>
      </c>
      <c r="BM159" s="156"/>
      <c r="BN159" s="156"/>
      <c r="BO159" s="156"/>
      <c r="BP159" s="156"/>
      <c r="BQ159" s="157"/>
      <c r="BR159" s="134"/>
      <c r="BS159" s="134"/>
      <c r="BT159" s="134"/>
      <c r="BU159" s="134"/>
      <c r="BV159" s="134"/>
      <c r="BW159" s="259" t="s">
        <v>24</v>
      </c>
      <c r="BX159" s="137"/>
      <c r="BY159" s="134"/>
      <c r="BZ159" s="168"/>
      <c r="CA159" s="134"/>
      <c r="CB159" s="138"/>
      <c r="CC159" s="134"/>
      <c r="CD159" s="134"/>
      <c r="CE159" s="134"/>
      <c r="CF159" s="288"/>
      <c r="CG159" s="289"/>
      <c r="CH159" s="138"/>
      <c r="CI159" s="134"/>
      <c r="CJ159" s="134"/>
      <c r="CK159" s="134"/>
      <c r="CL159" s="138"/>
      <c r="CM159" s="134"/>
      <c r="CN159" s="134"/>
      <c r="CO159" s="134"/>
      <c r="CP159" s="288"/>
      <c r="CQ159" s="289"/>
      <c r="CR159" s="276"/>
      <c r="CS159" s="308"/>
      <c r="CT159" s="138"/>
      <c r="CU159" s="134"/>
      <c r="CV159" s="134"/>
      <c r="CW159" s="134"/>
      <c r="CX159" s="134"/>
      <c r="CY159" s="134"/>
      <c r="CZ159" s="134"/>
      <c r="DA159" s="134"/>
      <c r="DB159" s="300"/>
      <c r="DC159" s="301"/>
      <c r="DD159" s="134"/>
      <c r="DE159" s="134"/>
      <c r="DF159" s="134"/>
      <c r="DG159" s="134"/>
      <c r="DH159" s="134"/>
      <c r="DI159" s="134"/>
      <c r="DJ159" s="134"/>
      <c r="DK159" s="134"/>
      <c r="DL159" s="300"/>
      <c r="DM159" s="301"/>
      <c r="DN159" s="276"/>
      <c r="DO159" s="277"/>
      <c r="DP159" s="134"/>
      <c r="DQ159" s="134"/>
      <c r="DR159" s="134"/>
      <c r="DS159" s="134"/>
      <c r="DT159" s="138"/>
      <c r="DU159" s="134"/>
      <c r="DV159" s="134"/>
      <c r="DW159" s="134"/>
      <c r="DX159" s="301"/>
      <c r="DY159" s="301"/>
      <c r="DZ159" s="138"/>
      <c r="EA159" s="134"/>
      <c r="EB159" s="134"/>
      <c r="EC159" s="134"/>
      <c r="ED159" s="138"/>
      <c r="EE159" s="134"/>
      <c r="EF159" s="134"/>
      <c r="EG159" s="134"/>
      <c r="EH159" s="301"/>
      <c r="EI159" s="301"/>
      <c r="EJ159" s="277"/>
      <c r="EK159" s="134"/>
      <c r="EL159" s="134"/>
      <c r="EM159" s="134"/>
      <c r="EN159" s="134"/>
      <c r="EO159" s="134"/>
      <c r="EP159" s="134"/>
      <c r="EQ159" s="134"/>
      <c r="ER159" s="134"/>
      <c r="ES159" s="301"/>
      <c r="ET159" s="301"/>
      <c r="EU159" s="134"/>
      <c r="EV159" s="134"/>
      <c r="EW159" s="134"/>
      <c r="EX159" s="134"/>
      <c r="EY159" s="134"/>
      <c r="EZ159" s="134"/>
      <c r="FA159" s="134"/>
      <c r="FB159" s="134"/>
      <c r="FC159" s="135"/>
      <c r="FD159" s="135"/>
      <c r="FE159" s="134"/>
      <c r="FF159" s="134"/>
      <c r="FG159" s="134"/>
      <c r="FH159" s="134"/>
      <c r="FI159" s="134"/>
      <c r="FJ159" s="134"/>
      <c r="FK159" s="134"/>
      <c r="FL159" s="134"/>
      <c r="FM159" s="135"/>
      <c r="FN159" s="135"/>
      <c r="FO159" s="134"/>
      <c r="FP159" s="134"/>
      <c r="FQ159" s="134"/>
      <c r="FR159" s="134"/>
      <c r="FS159" s="134"/>
      <c r="FT159" s="134"/>
      <c r="FU159" s="134"/>
      <c r="FV159" s="134"/>
      <c r="FW159" s="135"/>
      <c r="FX159" s="135"/>
      <c r="FY159" s="134"/>
      <c r="FZ159" s="134"/>
      <c r="GA159" s="134"/>
      <c r="GB159" s="134"/>
      <c r="GC159" s="134"/>
      <c r="GD159" s="134"/>
      <c r="GE159" s="134"/>
      <c r="GF159" s="134"/>
      <c r="GG159" s="135"/>
      <c r="GH159" s="135"/>
      <c r="GI159" s="134"/>
      <c r="GJ159" s="134"/>
      <c r="GK159" s="134"/>
      <c r="GL159" s="134"/>
      <c r="GM159" s="134"/>
      <c r="GN159" s="134"/>
      <c r="GO159" s="134"/>
      <c r="GP159" s="134"/>
      <c r="GQ159" s="135"/>
      <c r="GR159" s="135"/>
      <c r="GS159" s="134"/>
      <c r="GT159" s="134"/>
      <c r="GU159" s="134"/>
      <c r="GV159" s="134"/>
      <c r="GW159" s="134"/>
      <c r="GX159" s="134"/>
      <c r="GY159" s="134"/>
      <c r="GZ159" s="134"/>
      <c r="HA159" s="135"/>
      <c r="HB159" s="135"/>
      <c r="HC159" s="134"/>
      <c r="HD159" s="134"/>
      <c r="HE159" s="134"/>
      <c r="HF159" s="134"/>
      <c r="HG159" s="134"/>
      <c r="HH159" s="134"/>
      <c r="HI159" s="134"/>
      <c r="HJ159" s="134"/>
      <c r="HK159" s="135"/>
      <c r="HL159" s="135"/>
      <c r="HM159" s="134"/>
      <c r="HN159" s="134"/>
      <c r="HO159" s="134"/>
      <c r="HP159" s="134"/>
      <c r="HQ159" s="134"/>
      <c r="HR159" s="134"/>
      <c r="HS159" s="134"/>
      <c r="HT159" s="134"/>
      <c r="HU159" s="135"/>
      <c r="HV159" s="135"/>
      <c r="HW159" s="134"/>
      <c r="HX159" s="134"/>
      <c r="HY159" s="134"/>
      <c r="HZ159" s="134"/>
      <c r="IA159" s="134"/>
      <c r="IB159" s="134"/>
      <c r="IC159" s="134"/>
      <c r="ID159" s="134"/>
      <c r="IE159" s="135"/>
      <c r="IF159" s="135"/>
      <c r="IG159" s="134"/>
      <c r="IH159" s="134"/>
      <c r="II159" s="134"/>
      <c r="IJ159" s="134"/>
      <c r="IK159" s="134"/>
      <c r="IL159" s="134"/>
      <c r="IM159" s="134"/>
      <c r="IN159" s="134"/>
      <c r="IO159" s="135"/>
      <c r="IP159" s="135"/>
      <c r="IQ159" s="134"/>
      <c r="IR159" s="134"/>
      <c r="IS159" s="134"/>
      <c r="IT159" s="134"/>
      <c r="IU159" s="134"/>
      <c r="IV159" s="134"/>
      <c r="IW159" s="134"/>
      <c r="IX159" s="134"/>
      <c r="IY159" s="135"/>
      <c r="IZ159" s="135"/>
    </row>
    <row r="160" spans="1:260" customFormat="1" ht="17" customHeight="1">
      <c r="A160" s="79" t="s">
        <v>135</v>
      </c>
      <c r="B160" s="117">
        <v>101</v>
      </c>
      <c r="C160" s="117">
        <v>20</v>
      </c>
      <c r="D160" s="117"/>
      <c r="E160" s="123" t="s">
        <v>1947</v>
      </c>
      <c r="F160" s="124" t="s">
        <v>2166</v>
      </c>
      <c r="G160" s="125">
        <v>2015</v>
      </c>
      <c r="H160" s="79">
        <v>24695267</v>
      </c>
      <c r="I160" s="79">
        <v>1</v>
      </c>
      <c r="J160" s="126"/>
      <c r="K160" s="127"/>
      <c r="L160" s="79">
        <v>1</v>
      </c>
      <c r="M160" s="79"/>
      <c r="N160" s="79">
        <v>1</v>
      </c>
      <c r="O160" s="128">
        <v>1</v>
      </c>
      <c r="P160" s="79" t="s">
        <v>429</v>
      </c>
      <c r="Q160" s="79" t="s">
        <v>1173</v>
      </c>
      <c r="R160" s="79" t="s">
        <v>412</v>
      </c>
      <c r="S160" s="79">
        <v>1</v>
      </c>
      <c r="T160" s="79"/>
      <c r="U160" s="79"/>
      <c r="V160" s="79"/>
      <c r="W160" s="79" t="s">
        <v>428</v>
      </c>
      <c r="X160" s="79"/>
      <c r="Y160" s="79"/>
      <c r="Z160" s="79"/>
      <c r="AA160" s="79"/>
      <c r="AB160" s="79"/>
      <c r="AC160" s="506"/>
      <c r="AD160" s="573">
        <v>1</v>
      </c>
      <c r="AE160" s="573">
        <v>2</v>
      </c>
      <c r="AF160" s="165" t="s">
        <v>3003</v>
      </c>
      <c r="AG160" s="166" t="s">
        <v>4144</v>
      </c>
      <c r="AH160" s="120" t="s">
        <v>3565</v>
      </c>
      <c r="AI160" s="484"/>
      <c r="AJ160" s="206" t="s">
        <v>4143</v>
      </c>
      <c r="AK160" s="372"/>
      <c r="AL160" s="207" t="s">
        <v>24</v>
      </c>
      <c r="AM160" s="120">
        <v>181</v>
      </c>
      <c r="AN160" s="120">
        <v>75</v>
      </c>
      <c r="AO160" s="120">
        <v>105</v>
      </c>
      <c r="AP160" s="120"/>
      <c r="AQ160" s="120"/>
      <c r="AR160" s="120"/>
      <c r="AS160" s="120"/>
      <c r="AT160" s="120"/>
      <c r="AU160" s="120"/>
      <c r="AV160" s="120"/>
      <c r="AW160" s="120"/>
      <c r="AX160" s="120"/>
      <c r="AY160" s="120"/>
      <c r="AZ160" s="120"/>
      <c r="BA160" s="120"/>
      <c r="BB160" s="120"/>
      <c r="BC160" s="120"/>
      <c r="BD160" s="373"/>
      <c r="BE160" s="373"/>
      <c r="BF160" s="373">
        <v>1</v>
      </c>
      <c r="BG160" s="373"/>
      <c r="BH160" s="373"/>
      <c r="BI160" s="373"/>
      <c r="BJ160" s="373">
        <v>1</v>
      </c>
      <c r="BK160" s="373"/>
      <c r="BL160" s="373"/>
      <c r="BM160" s="373"/>
      <c r="BN160" s="373"/>
      <c r="BO160" s="373"/>
      <c r="BP160" s="373"/>
      <c r="BQ160" s="374"/>
      <c r="BR160" s="134"/>
      <c r="BS160" s="134"/>
      <c r="BT160" s="134"/>
      <c r="BU160" s="134"/>
      <c r="BV160" s="426"/>
      <c r="BW160" s="259" t="s">
        <v>24</v>
      </c>
      <c r="BX160" s="137"/>
      <c r="BY160" s="134"/>
      <c r="BZ160" s="168"/>
      <c r="CA160" s="134"/>
      <c r="CB160" s="138"/>
      <c r="CC160" s="134"/>
      <c r="CD160" s="134"/>
      <c r="CE160" s="134"/>
      <c r="CF160" s="288"/>
      <c r="CG160" s="289"/>
      <c r="CH160" s="138"/>
      <c r="CI160" s="134"/>
      <c r="CJ160" s="134"/>
      <c r="CK160" s="134"/>
      <c r="CL160" s="138"/>
      <c r="CM160" s="134"/>
      <c r="CN160" s="134"/>
      <c r="CO160" s="134"/>
      <c r="CP160" s="288"/>
      <c r="CQ160" s="289"/>
      <c r="CR160" s="276"/>
      <c r="CS160" s="308"/>
      <c r="CT160" s="138"/>
      <c r="CU160" s="134"/>
      <c r="CV160" s="134"/>
      <c r="CW160" s="134"/>
      <c r="CX160" s="134"/>
      <c r="CY160" s="134"/>
      <c r="CZ160" s="134"/>
      <c r="DA160" s="134"/>
      <c r="DB160" s="300"/>
      <c r="DC160" s="301"/>
      <c r="DD160" s="134"/>
      <c r="DE160" s="134"/>
      <c r="DF160" s="134"/>
      <c r="DG160" s="134"/>
      <c r="DH160" s="134"/>
      <c r="DI160" s="134"/>
      <c r="DJ160" s="134"/>
      <c r="DK160" s="134"/>
      <c r="DL160" s="300"/>
      <c r="DM160" s="301"/>
      <c r="DN160" s="276"/>
      <c r="DO160" s="277"/>
      <c r="DP160" s="134"/>
      <c r="DQ160" s="134"/>
      <c r="DR160" s="134"/>
      <c r="DS160" s="134"/>
      <c r="DT160" s="138"/>
      <c r="DU160" s="134"/>
      <c r="DV160" s="134"/>
      <c r="DW160" s="134"/>
      <c r="DX160" s="301"/>
      <c r="DY160" s="301"/>
      <c r="DZ160" s="138"/>
      <c r="EA160" s="134"/>
      <c r="EB160" s="134"/>
      <c r="EC160" s="134"/>
      <c r="ED160" s="138"/>
      <c r="EE160" s="134"/>
      <c r="EF160" s="134"/>
      <c r="EG160" s="134"/>
      <c r="EH160" s="301"/>
      <c r="EI160" s="301"/>
      <c r="EJ160" s="277"/>
      <c r="EK160" s="134"/>
      <c r="EL160" s="134"/>
      <c r="EM160" s="134"/>
      <c r="EN160" s="134"/>
      <c r="EO160" s="134"/>
      <c r="EP160" s="134"/>
      <c r="EQ160" s="134"/>
      <c r="ER160" s="134"/>
      <c r="ES160" s="301"/>
      <c r="ET160" s="301"/>
      <c r="EU160" s="134"/>
      <c r="EV160" s="134"/>
      <c r="EW160" s="134"/>
      <c r="EX160" s="134"/>
      <c r="EY160" s="134"/>
      <c r="EZ160" s="134"/>
      <c r="FA160" s="134"/>
      <c r="FB160" s="134"/>
      <c r="FC160" s="135"/>
      <c r="FD160" s="135"/>
      <c r="FE160" s="134"/>
      <c r="FF160" s="134"/>
      <c r="FG160" s="134"/>
      <c r="FH160" s="134"/>
      <c r="FI160" s="134"/>
      <c r="FJ160" s="134"/>
      <c r="FK160" s="134"/>
      <c r="FL160" s="134"/>
      <c r="FM160" s="135"/>
      <c r="FN160" s="135"/>
      <c r="FO160" s="134"/>
      <c r="FP160" s="134"/>
      <c r="FQ160" s="134"/>
      <c r="FR160" s="134"/>
      <c r="FS160" s="134"/>
      <c r="FT160" s="134"/>
      <c r="FU160" s="134"/>
      <c r="FV160" s="134"/>
      <c r="FW160" s="135"/>
      <c r="FX160" s="135"/>
      <c r="FY160" s="134"/>
      <c r="FZ160" s="134"/>
      <c r="GA160" s="134"/>
      <c r="GB160" s="134"/>
      <c r="GC160" s="134"/>
      <c r="GD160" s="134"/>
      <c r="GE160" s="134"/>
      <c r="GF160" s="134"/>
      <c r="GG160" s="135"/>
      <c r="GH160" s="135"/>
      <c r="GI160" s="134"/>
      <c r="GJ160" s="134"/>
      <c r="GK160" s="134"/>
      <c r="GL160" s="134"/>
      <c r="GM160" s="134"/>
      <c r="GN160" s="134"/>
      <c r="GO160" s="134"/>
      <c r="GP160" s="134"/>
      <c r="GQ160" s="135"/>
      <c r="GR160" s="135"/>
      <c r="GS160" s="134"/>
      <c r="GT160" s="134"/>
      <c r="GU160" s="134"/>
      <c r="GV160" s="134"/>
      <c r="GW160" s="134"/>
      <c r="GX160" s="134"/>
      <c r="GY160" s="134"/>
      <c r="GZ160" s="134"/>
      <c r="HA160" s="135"/>
      <c r="HB160" s="135"/>
      <c r="HC160" s="134"/>
      <c r="HD160" s="134"/>
      <c r="HE160" s="134"/>
      <c r="HF160" s="134"/>
      <c r="HG160" s="134"/>
      <c r="HH160" s="134"/>
      <c r="HI160" s="134"/>
      <c r="HJ160" s="134"/>
      <c r="HK160" s="135"/>
      <c r="HL160" s="135"/>
      <c r="HM160" s="134"/>
      <c r="HN160" s="134"/>
      <c r="HO160" s="134"/>
      <c r="HP160" s="134"/>
      <c r="HQ160" s="134"/>
      <c r="HR160" s="134"/>
      <c r="HS160" s="134"/>
      <c r="HT160" s="134"/>
      <c r="HU160" s="135"/>
      <c r="HV160" s="135"/>
      <c r="HW160" s="134"/>
      <c r="HX160" s="134"/>
      <c r="HY160" s="134"/>
      <c r="HZ160" s="134"/>
      <c r="IA160" s="134"/>
      <c r="IB160" s="134"/>
      <c r="IC160" s="134"/>
      <c r="ID160" s="134"/>
      <c r="IE160" s="135"/>
      <c r="IF160" s="135"/>
      <c r="IG160" s="134"/>
      <c r="IH160" s="134"/>
      <c r="II160" s="134"/>
      <c r="IJ160" s="134"/>
      <c r="IK160" s="134"/>
      <c r="IL160" s="134"/>
      <c r="IM160" s="134"/>
      <c r="IN160" s="134"/>
      <c r="IO160" s="135"/>
      <c r="IP160" s="135"/>
      <c r="IQ160" s="134"/>
      <c r="IR160" s="134"/>
      <c r="IS160" s="134"/>
      <c r="IT160" s="134"/>
      <c r="IU160" s="134"/>
      <c r="IV160" s="134"/>
      <c r="IW160" s="134"/>
      <c r="IX160" s="134"/>
      <c r="IY160" s="135"/>
      <c r="IZ160" s="135"/>
    </row>
    <row r="161" spans="1:260" customFormat="1" ht="17" customHeight="1">
      <c r="A161" s="79" t="s">
        <v>1072</v>
      </c>
      <c r="B161" s="363">
        <v>15</v>
      </c>
      <c r="C161" s="363"/>
      <c r="D161" s="363"/>
      <c r="E161" s="123" t="s">
        <v>2066</v>
      </c>
      <c r="F161" s="124" t="s">
        <v>2318</v>
      </c>
      <c r="G161" s="125">
        <v>2014</v>
      </c>
      <c r="H161" s="79">
        <v>25309354</v>
      </c>
      <c r="I161" s="79">
        <v>1</v>
      </c>
      <c r="J161" s="126" t="s">
        <v>1838</v>
      </c>
      <c r="K161" s="127"/>
      <c r="L161" s="79">
        <v>0</v>
      </c>
      <c r="M161" s="79"/>
      <c r="N161" s="79">
        <v>0</v>
      </c>
      <c r="O161" s="128">
        <v>2</v>
      </c>
      <c r="P161" s="79" t="s">
        <v>1708</v>
      </c>
      <c r="Q161" s="79" t="s">
        <v>1212</v>
      </c>
      <c r="R161" s="79" t="s">
        <v>1127</v>
      </c>
      <c r="S161" s="79"/>
      <c r="T161" s="79" t="s">
        <v>1488</v>
      </c>
      <c r="U161" s="79"/>
      <c r="V161" s="79"/>
      <c r="W161" s="79" t="s">
        <v>1301</v>
      </c>
      <c r="X161" s="79"/>
      <c r="Y161" s="79"/>
      <c r="Z161" s="79"/>
      <c r="AA161" s="79"/>
      <c r="AB161" s="79" t="s">
        <v>1302</v>
      </c>
      <c r="AC161" s="506"/>
      <c r="AD161" s="573">
        <v>1</v>
      </c>
      <c r="AE161" s="573">
        <v>2</v>
      </c>
      <c r="AF161" s="165">
        <v>0</v>
      </c>
      <c r="AG161" s="166" t="s">
        <v>3324</v>
      </c>
      <c r="AH161" s="120">
        <v>4</v>
      </c>
      <c r="AI161" s="484"/>
      <c r="AJ161" s="206" t="s">
        <v>2795</v>
      </c>
      <c r="AK161" s="192">
        <v>0</v>
      </c>
      <c r="AL161" s="207">
        <v>0</v>
      </c>
      <c r="AM161" s="120"/>
      <c r="AN161" s="120"/>
      <c r="AO161" s="120"/>
      <c r="AP161" s="120"/>
      <c r="AQ161" s="120"/>
      <c r="AR161" s="120" t="s">
        <v>23</v>
      </c>
      <c r="AS161" s="120" t="s">
        <v>24</v>
      </c>
      <c r="AT161" s="120" t="s">
        <v>23</v>
      </c>
      <c r="AU161" s="120" t="s">
        <v>24</v>
      </c>
      <c r="AV161" s="120"/>
      <c r="AW161" s="120"/>
      <c r="AX161" s="120"/>
      <c r="AY161" s="120"/>
      <c r="AZ161" s="120"/>
      <c r="BA161" s="120"/>
      <c r="BB161" s="120"/>
      <c r="BC161" s="120"/>
      <c r="BD161" s="156"/>
      <c r="BE161" s="156">
        <v>1</v>
      </c>
      <c r="BF161" s="156"/>
      <c r="BG161" s="156"/>
      <c r="BH161" s="156"/>
      <c r="BI161" s="156"/>
      <c r="BJ161" s="156"/>
      <c r="BK161" s="156"/>
      <c r="BL161" s="156"/>
      <c r="BM161" s="156"/>
      <c r="BN161" s="156"/>
      <c r="BO161" s="156"/>
      <c r="BP161" s="156"/>
      <c r="BQ161" s="157"/>
      <c r="BR161" s="134"/>
      <c r="BS161" s="134"/>
      <c r="BT161" s="134"/>
      <c r="BU161" s="134"/>
      <c r="BV161" s="426"/>
      <c r="BW161" s="259"/>
      <c r="BX161" s="138"/>
      <c r="BY161" s="134"/>
      <c r="BZ161" s="134"/>
      <c r="CA161" s="134"/>
      <c r="CB161" s="138"/>
      <c r="CC161" s="190"/>
      <c r="CD161" s="134"/>
      <c r="CE161" s="389"/>
      <c r="CF161" s="288"/>
      <c r="CG161" s="289"/>
      <c r="CH161" s="138"/>
      <c r="CI161" s="134"/>
      <c r="CJ161" s="134"/>
      <c r="CK161" s="134"/>
      <c r="CL161" s="138"/>
      <c r="CM161" s="134"/>
      <c r="CN161" s="134"/>
      <c r="CO161" s="134"/>
      <c r="CP161" s="288"/>
      <c r="CQ161" s="289"/>
      <c r="CR161" s="276"/>
      <c r="CS161" s="308"/>
      <c r="CT161" s="138"/>
      <c r="CU161" s="134"/>
      <c r="CV161" s="134"/>
      <c r="CW161" s="134"/>
      <c r="CX161" s="134"/>
      <c r="CY161" s="134"/>
      <c r="CZ161" s="134"/>
      <c r="DA161" s="134"/>
      <c r="DB161" s="300"/>
      <c r="DC161" s="301"/>
      <c r="DD161" s="134"/>
      <c r="DE161" s="134"/>
      <c r="DF161" s="134"/>
      <c r="DG161" s="134"/>
      <c r="DH161" s="134"/>
      <c r="DI161" s="134"/>
      <c r="DJ161" s="134"/>
      <c r="DK161" s="134"/>
      <c r="DL161" s="300"/>
      <c r="DM161" s="301"/>
      <c r="DN161" s="276"/>
      <c r="DO161" s="277"/>
      <c r="DP161" s="134"/>
      <c r="DQ161" s="134"/>
      <c r="DR161" s="134"/>
      <c r="DS161" s="134"/>
      <c r="DT161" s="138"/>
      <c r="DU161" s="134"/>
      <c r="DV161" s="134"/>
      <c r="DW161" s="134"/>
      <c r="DX161" s="301"/>
      <c r="DY161" s="301"/>
      <c r="DZ161" s="138"/>
      <c r="EA161" s="134"/>
      <c r="EB161" s="134"/>
      <c r="EC161" s="134"/>
      <c r="ED161" s="138"/>
      <c r="EE161" s="134"/>
      <c r="EF161" s="134"/>
      <c r="EG161" s="134"/>
      <c r="EH161" s="301"/>
      <c r="EI161" s="301"/>
      <c r="EJ161" s="277"/>
      <c r="EK161" s="134"/>
      <c r="EL161" s="134"/>
      <c r="EM161" s="134"/>
      <c r="EN161" s="134"/>
      <c r="EO161" s="134"/>
      <c r="EP161" s="134"/>
      <c r="EQ161" s="134"/>
      <c r="ER161" s="134"/>
      <c r="ES161" s="301"/>
      <c r="ET161" s="301"/>
      <c r="EU161" s="134"/>
      <c r="EV161" s="134"/>
      <c r="EW161" s="134"/>
      <c r="EX161" s="134"/>
      <c r="EY161" s="134"/>
      <c r="EZ161" s="134"/>
      <c r="FA161" s="134"/>
      <c r="FB161" s="134"/>
      <c r="FC161" s="135"/>
      <c r="FD161" s="135"/>
      <c r="FE161" s="134"/>
      <c r="FF161" s="134"/>
      <c r="FG161" s="134"/>
      <c r="FH161" s="134"/>
      <c r="FI161" s="134"/>
      <c r="FJ161" s="134"/>
      <c r="FK161" s="134"/>
      <c r="FL161" s="134"/>
      <c r="FM161" s="135"/>
      <c r="FN161" s="135"/>
      <c r="FO161" s="134"/>
      <c r="FP161" s="134"/>
      <c r="FQ161" s="134"/>
      <c r="FR161" s="134"/>
      <c r="FS161" s="134"/>
      <c r="FT161" s="134"/>
      <c r="FU161" s="134"/>
      <c r="FV161" s="134"/>
      <c r="FW161" s="135"/>
      <c r="FX161" s="135"/>
      <c r="FY161" s="134"/>
      <c r="FZ161" s="134"/>
      <c r="GA161" s="134"/>
      <c r="GB161" s="134"/>
      <c r="GC161" s="134"/>
      <c r="GD161" s="134"/>
      <c r="GE161" s="134"/>
      <c r="GF161" s="134"/>
      <c r="GG161" s="135"/>
      <c r="GH161" s="135"/>
      <c r="GI161" s="134"/>
      <c r="GJ161" s="134"/>
      <c r="GK161" s="134"/>
      <c r="GL161" s="134"/>
      <c r="GM161" s="134"/>
      <c r="GN161" s="134"/>
      <c r="GO161" s="134"/>
      <c r="GP161" s="134"/>
      <c r="GQ161" s="135"/>
      <c r="GR161" s="135"/>
      <c r="GS161" s="134"/>
      <c r="GT161" s="134"/>
      <c r="GU161" s="134"/>
      <c r="GV161" s="134"/>
      <c r="GW161" s="134"/>
      <c r="GX161" s="134"/>
      <c r="GY161" s="134"/>
      <c r="GZ161" s="134"/>
      <c r="HA161" s="135"/>
      <c r="HB161" s="135"/>
      <c r="HC161" s="134"/>
      <c r="HD161" s="134"/>
      <c r="HE161" s="134"/>
      <c r="HF161" s="134"/>
      <c r="HG161" s="134"/>
      <c r="HH161" s="134"/>
      <c r="HI161" s="134"/>
      <c r="HJ161" s="134"/>
      <c r="HK161" s="135"/>
      <c r="HL161" s="135"/>
      <c r="HM161" s="134"/>
      <c r="HN161" s="134"/>
      <c r="HO161" s="134"/>
      <c r="HP161" s="134"/>
      <c r="HQ161" s="134"/>
      <c r="HR161" s="134"/>
      <c r="HS161" s="134"/>
      <c r="HT161" s="134"/>
      <c r="HU161" s="135"/>
      <c r="HV161" s="135"/>
      <c r="HW161" s="134"/>
      <c r="HX161" s="134"/>
      <c r="HY161" s="134"/>
      <c r="HZ161" s="134"/>
      <c r="IA161" s="134"/>
      <c r="IB161" s="134"/>
      <c r="IC161" s="134"/>
      <c r="ID161" s="134"/>
      <c r="IE161" s="135"/>
      <c r="IF161" s="135"/>
      <c r="IG161" s="134"/>
      <c r="IH161" s="134"/>
      <c r="II161" s="134"/>
      <c r="IJ161" s="134"/>
      <c r="IK161" s="134"/>
      <c r="IL161" s="134"/>
      <c r="IM161" s="134"/>
      <c r="IN161" s="134"/>
      <c r="IO161" s="135"/>
      <c r="IP161" s="135"/>
      <c r="IQ161" s="134"/>
      <c r="IR161" s="134"/>
      <c r="IS161" s="134"/>
      <c r="IT161" s="134"/>
      <c r="IU161" s="134"/>
      <c r="IV161" s="134"/>
      <c r="IW161" s="134"/>
      <c r="IX161" s="134"/>
      <c r="IY161" s="135"/>
      <c r="IZ161" s="135"/>
    </row>
    <row r="162" spans="1:260" customFormat="1" ht="17" customHeight="1">
      <c r="A162" s="79" t="s">
        <v>1071</v>
      </c>
      <c r="B162" s="363">
        <v>16</v>
      </c>
      <c r="C162" s="363"/>
      <c r="D162" s="363"/>
      <c r="E162" s="123" t="s">
        <v>2067</v>
      </c>
      <c r="F162" s="124" t="s">
        <v>2319</v>
      </c>
      <c r="G162" s="125">
        <v>2012</v>
      </c>
      <c r="H162" s="79">
        <v>21918506</v>
      </c>
      <c r="I162" s="79">
        <v>1</v>
      </c>
      <c r="J162" s="126">
        <v>1</v>
      </c>
      <c r="K162" s="127"/>
      <c r="L162" s="79">
        <v>1</v>
      </c>
      <c r="M162" s="79"/>
      <c r="N162" s="79">
        <v>1</v>
      </c>
      <c r="O162" s="128">
        <v>2</v>
      </c>
      <c r="P162" s="79" t="s">
        <v>1306</v>
      </c>
      <c r="Q162" s="79" t="s">
        <v>1232</v>
      </c>
      <c r="R162" s="79" t="s">
        <v>1127</v>
      </c>
      <c r="S162" s="79"/>
      <c r="T162" s="79" t="s">
        <v>1487</v>
      </c>
      <c r="U162" s="79" t="s">
        <v>803</v>
      </c>
      <c r="V162" s="79" t="s">
        <v>23</v>
      </c>
      <c r="W162" s="79" t="s">
        <v>1305</v>
      </c>
      <c r="X162" s="79"/>
      <c r="Y162" s="79" t="s">
        <v>1304</v>
      </c>
      <c r="Z162" s="79"/>
      <c r="AA162" s="79"/>
      <c r="AB162" s="79"/>
      <c r="AC162" s="506"/>
      <c r="AD162" s="573">
        <v>1</v>
      </c>
      <c r="AE162" s="573">
        <v>2</v>
      </c>
      <c r="AF162" s="154">
        <v>1</v>
      </c>
      <c r="AG162" s="155"/>
      <c r="AH162" s="121">
        <v>4</v>
      </c>
      <c r="AI162" s="484"/>
      <c r="AJ162" s="202" t="s">
        <v>2870</v>
      </c>
      <c r="AK162" s="192">
        <v>2</v>
      </c>
      <c r="AL162" s="203">
        <v>1</v>
      </c>
      <c r="AM162" s="121" t="s">
        <v>2843</v>
      </c>
      <c r="AN162" s="121">
        <f>13+12+12+12</f>
        <v>49</v>
      </c>
      <c r="AO162" s="121">
        <f>10+11+12+13</f>
        <v>46</v>
      </c>
      <c r="AP162" s="121" t="s">
        <v>803</v>
      </c>
      <c r="AQ162" s="121" t="s">
        <v>803</v>
      </c>
      <c r="AR162" s="121" t="s">
        <v>2796</v>
      </c>
      <c r="AS162" s="121" t="s">
        <v>24</v>
      </c>
      <c r="AT162" s="121" t="s">
        <v>2796</v>
      </c>
      <c r="AU162" s="121" t="s">
        <v>24</v>
      </c>
      <c r="AV162" s="121" t="s">
        <v>2799</v>
      </c>
      <c r="AW162" s="121">
        <v>1</v>
      </c>
      <c r="AX162" s="121">
        <v>1</v>
      </c>
      <c r="AY162" s="121" t="s">
        <v>2797</v>
      </c>
      <c r="AZ162" s="121" t="s">
        <v>1130</v>
      </c>
      <c r="BA162" s="121" t="s">
        <v>2798</v>
      </c>
      <c r="BB162" s="121"/>
      <c r="BC162" s="121"/>
      <c r="BD162" s="156">
        <v>1</v>
      </c>
      <c r="BE162" s="156">
        <v>1</v>
      </c>
      <c r="BF162" s="156"/>
      <c r="BG162" s="156"/>
      <c r="BH162" s="156"/>
      <c r="BI162" s="156"/>
      <c r="BJ162" s="156"/>
      <c r="BK162" s="156"/>
      <c r="BL162" s="156"/>
      <c r="BM162" s="156"/>
      <c r="BN162" s="156"/>
      <c r="BO162" s="156"/>
      <c r="BP162" s="156"/>
      <c r="BQ162" s="157" t="s">
        <v>2800</v>
      </c>
      <c r="BR162" s="134" t="s">
        <v>1876</v>
      </c>
      <c r="BS162" s="134" t="s">
        <v>2814</v>
      </c>
      <c r="BT162" s="134" t="s">
        <v>2804</v>
      </c>
      <c r="BU162" s="134" t="s">
        <v>2471</v>
      </c>
      <c r="BV162" s="134" t="s">
        <v>2802</v>
      </c>
      <c r="BW162" s="259" t="s">
        <v>2853</v>
      </c>
      <c r="BX162" s="138" t="s">
        <v>2806</v>
      </c>
      <c r="BY162" s="134">
        <v>11.6936</v>
      </c>
      <c r="BZ162" s="134" t="s">
        <v>24</v>
      </c>
      <c r="CA162" s="134">
        <f>14.4843-Table665[[#This Row],[Outcome1_M]]</f>
        <v>2.7906999999999993</v>
      </c>
      <c r="CB162" s="138" t="s">
        <v>2807</v>
      </c>
      <c r="CC162" s="134">
        <v>33.139200000000002</v>
      </c>
      <c r="CD162" s="134" t="s">
        <v>24</v>
      </c>
      <c r="CE162" s="134">
        <f>38.2555-Table665[[#This Row],[Outcome2_M]]</f>
        <v>5.1162999999999954</v>
      </c>
      <c r="CF162" s="288" t="s">
        <v>2844</v>
      </c>
      <c r="CG162" s="289" t="s">
        <v>2846</v>
      </c>
      <c r="CH162" s="138" t="s">
        <v>2808</v>
      </c>
      <c r="CI162" s="134">
        <v>8.7356300000000005</v>
      </c>
      <c r="CJ162" s="134" t="s">
        <v>24</v>
      </c>
      <c r="CK162" s="134">
        <f>11.0345-Table665[[#This Row],[Outcome3_M]]</f>
        <v>2.2988699999999991</v>
      </c>
      <c r="CL162" s="138" t="s">
        <v>2809</v>
      </c>
      <c r="CM162" s="134">
        <v>36.781599999999997</v>
      </c>
      <c r="CN162" s="134" t="s">
        <v>24</v>
      </c>
      <c r="CO162" s="134">
        <f>42.2989-Table665[[#This Row],[Outcome4_M]]</f>
        <v>5.5173000000000059</v>
      </c>
      <c r="CP162" s="288" t="s">
        <v>2849</v>
      </c>
      <c r="CQ162" s="289" t="s">
        <v>2850</v>
      </c>
      <c r="CR162" s="276"/>
      <c r="CS162" s="308"/>
      <c r="CT162" s="138" t="s">
        <v>2810</v>
      </c>
      <c r="CU162" s="134">
        <v>11.650499999999999</v>
      </c>
      <c r="CV162" s="134" t="s">
        <v>24</v>
      </c>
      <c r="CW162" s="134">
        <f>14.5631-Table665[[#This Row],[Outcome5_M]]</f>
        <v>2.9126000000000012</v>
      </c>
      <c r="CX162" s="138" t="s">
        <v>2811</v>
      </c>
      <c r="CY162" s="134">
        <v>35.436900000000001</v>
      </c>
      <c r="CZ162" s="134" t="s">
        <v>24</v>
      </c>
      <c r="DA162" s="134">
        <f>40.7767-Table665[[#This Row],[Outcome6_M]]</f>
        <v>5.3397999999999968</v>
      </c>
      <c r="DB162" s="300" t="s">
        <v>2851</v>
      </c>
      <c r="DC162" s="301" t="s">
        <v>2850</v>
      </c>
      <c r="DD162" s="138" t="s">
        <v>2812</v>
      </c>
      <c r="DE162" s="134">
        <v>9.0909099999999992</v>
      </c>
      <c r="DF162" s="134" t="s">
        <v>24</v>
      </c>
      <c r="DG162" s="134">
        <f>11.2554-Table665[[#This Row],[Outcome7_M]]</f>
        <v>2.1644900000000007</v>
      </c>
      <c r="DH162" s="138" t="s">
        <v>2813</v>
      </c>
      <c r="DI162" s="134">
        <v>36.363599999999998</v>
      </c>
      <c r="DJ162" s="134" t="s">
        <v>24</v>
      </c>
      <c r="DK162" s="134">
        <f>41.9913-Table665[[#This Row],[Outcome8_M]]</f>
        <v>5.6277000000000044</v>
      </c>
      <c r="DL162" s="300" t="s">
        <v>2852</v>
      </c>
      <c r="DM162" s="301" t="s">
        <v>2850</v>
      </c>
      <c r="DN162" s="276"/>
      <c r="DO162" s="277"/>
      <c r="DP162" s="134"/>
      <c r="DQ162" s="134"/>
      <c r="DR162" s="134"/>
      <c r="DS162" s="134"/>
      <c r="DT162" s="138"/>
      <c r="DU162" s="134"/>
      <c r="DV162" s="134"/>
      <c r="DW162" s="134"/>
      <c r="DX162" s="301"/>
      <c r="DY162" s="301"/>
      <c r="DZ162" s="138"/>
      <c r="EA162" s="134"/>
      <c r="EB162" s="134"/>
      <c r="EC162" s="134"/>
      <c r="ED162" s="138"/>
      <c r="EE162" s="134"/>
      <c r="EF162" s="134"/>
      <c r="EG162" s="134"/>
      <c r="EH162" s="301"/>
      <c r="EI162" s="301"/>
      <c r="EJ162" s="277"/>
      <c r="EK162" s="134"/>
      <c r="EL162" s="134"/>
      <c r="EM162" s="134"/>
      <c r="EN162" s="134"/>
      <c r="EO162" s="134"/>
      <c r="EP162" s="134"/>
      <c r="EQ162" s="134"/>
      <c r="ER162" s="134"/>
      <c r="ES162" s="301"/>
      <c r="ET162" s="301"/>
      <c r="EU162" s="134"/>
      <c r="EV162" s="134"/>
      <c r="EW162" s="134"/>
      <c r="EX162" s="134"/>
      <c r="EY162" s="134"/>
      <c r="EZ162" s="134"/>
      <c r="FA162" s="134"/>
      <c r="FB162" s="134"/>
      <c r="FC162" s="135"/>
      <c r="FD162" s="135"/>
      <c r="FE162" s="134"/>
      <c r="FF162" s="134"/>
      <c r="FG162" s="134"/>
      <c r="FH162" s="134"/>
      <c r="FI162" s="134"/>
      <c r="FJ162" s="134"/>
      <c r="FK162" s="134"/>
      <c r="FL162" s="134"/>
      <c r="FM162" s="135"/>
      <c r="FN162" s="135"/>
      <c r="FO162" s="134"/>
      <c r="FP162" s="134"/>
      <c r="FQ162" s="134"/>
      <c r="FR162" s="134"/>
      <c r="FS162" s="134"/>
      <c r="FT162" s="134"/>
      <c r="FU162" s="134"/>
      <c r="FV162" s="134"/>
      <c r="FW162" s="135"/>
      <c r="FX162" s="135"/>
      <c r="FY162" s="134"/>
      <c r="FZ162" s="134"/>
      <c r="GA162" s="134"/>
      <c r="GB162" s="134"/>
      <c r="GC162" s="134"/>
      <c r="GD162" s="134"/>
      <c r="GE162" s="134"/>
      <c r="GF162" s="134"/>
      <c r="GG162" s="135"/>
      <c r="GH162" s="135"/>
      <c r="GI162" s="134"/>
      <c r="GJ162" s="134"/>
      <c r="GK162" s="134"/>
      <c r="GL162" s="134"/>
      <c r="GM162" s="134"/>
      <c r="GN162" s="134"/>
      <c r="GO162" s="134"/>
      <c r="GP162" s="134"/>
      <c r="GQ162" s="135"/>
      <c r="GR162" s="135"/>
      <c r="GS162" s="134"/>
      <c r="GT162" s="134"/>
      <c r="GU162" s="134"/>
      <c r="GV162" s="134"/>
      <c r="GW162" s="134"/>
      <c r="GX162" s="134"/>
      <c r="GY162" s="134"/>
      <c r="GZ162" s="134"/>
      <c r="HA162" s="135"/>
      <c r="HB162" s="135"/>
      <c r="HC162" s="134"/>
      <c r="HD162" s="134"/>
      <c r="HE162" s="134"/>
      <c r="HF162" s="134"/>
      <c r="HG162" s="134"/>
      <c r="HH162" s="134"/>
      <c r="HI162" s="134"/>
      <c r="HJ162" s="134"/>
      <c r="HK162" s="135"/>
      <c r="HL162" s="135"/>
      <c r="HM162" s="134"/>
      <c r="HN162" s="134"/>
      <c r="HO162" s="134"/>
      <c r="HP162" s="134"/>
      <c r="HQ162" s="134"/>
      <c r="HR162" s="134"/>
      <c r="HS162" s="134"/>
      <c r="HT162" s="134"/>
      <c r="HU162" s="135"/>
      <c r="HV162" s="135"/>
      <c r="HW162" s="134"/>
      <c r="HX162" s="134"/>
      <c r="HY162" s="134"/>
      <c r="HZ162" s="134"/>
      <c r="IA162" s="134"/>
      <c r="IB162" s="134"/>
      <c r="IC162" s="134"/>
      <c r="ID162" s="134"/>
      <c r="IE162" s="135"/>
      <c r="IF162" s="135"/>
      <c r="IG162" s="134"/>
      <c r="IH162" s="134"/>
      <c r="II162" s="134"/>
      <c r="IJ162" s="134"/>
      <c r="IK162" s="134"/>
      <c r="IL162" s="134"/>
      <c r="IM162" s="134"/>
      <c r="IN162" s="134"/>
      <c r="IO162" s="135"/>
      <c r="IP162" s="135"/>
      <c r="IQ162" s="134"/>
      <c r="IR162" s="134"/>
      <c r="IS162" s="134"/>
      <c r="IT162" s="134"/>
      <c r="IU162" s="134"/>
      <c r="IV162" s="134"/>
      <c r="IW162" s="134"/>
      <c r="IX162" s="134"/>
      <c r="IY162" s="135"/>
      <c r="IZ162" s="135"/>
    </row>
    <row r="163" spans="1:260" customFormat="1" ht="17" customHeight="1">
      <c r="A163" s="118" t="s">
        <v>1071</v>
      </c>
      <c r="B163" s="363">
        <v>16</v>
      </c>
      <c r="C163" s="363"/>
      <c r="D163" s="363"/>
      <c r="E163" s="139" t="s">
        <v>2067</v>
      </c>
      <c r="F163" s="140" t="s">
        <v>2319</v>
      </c>
      <c r="G163" s="141">
        <v>2012</v>
      </c>
      <c r="H163" s="118">
        <v>21918506</v>
      </c>
      <c r="I163" s="118">
        <v>1</v>
      </c>
      <c r="J163" s="118">
        <v>1</v>
      </c>
      <c r="K163" s="118"/>
      <c r="L163" s="118">
        <v>1</v>
      </c>
      <c r="M163" s="118"/>
      <c r="N163" s="118">
        <v>1</v>
      </c>
      <c r="O163" s="142">
        <v>2</v>
      </c>
      <c r="P163" s="118" t="s">
        <v>1306</v>
      </c>
      <c r="Q163" s="118" t="s">
        <v>1232</v>
      </c>
      <c r="R163" s="118" t="s">
        <v>1127</v>
      </c>
      <c r="S163" s="118"/>
      <c r="T163" s="118" t="s">
        <v>1487</v>
      </c>
      <c r="U163" s="118" t="s">
        <v>803</v>
      </c>
      <c r="V163" s="118" t="s">
        <v>23</v>
      </c>
      <c r="W163" s="118" t="s">
        <v>1305</v>
      </c>
      <c r="X163" s="118"/>
      <c r="Y163" s="118" t="s">
        <v>1304</v>
      </c>
      <c r="Z163" s="118"/>
      <c r="AA163" s="118"/>
      <c r="AB163" s="118"/>
      <c r="AC163" s="145"/>
      <c r="AD163" s="573">
        <v>1</v>
      </c>
      <c r="AE163" s="573">
        <v>2</v>
      </c>
      <c r="AF163" s="159">
        <v>1</v>
      </c>
      <c r="AG163" s="160"/>
      <c r="AH163" s="122">
        <v>4</v>
      </c>
      <c r="AI163" s="485"/>
      <c r="AJ163" s="204" t="s">
        <v>2870</v>
      </c>
      <c r="AK163" s="192">
        <v>2</v>
      </c>
      <c r="AL163" s="205">
        <v>1</v>
      </c>
      <c r="AM163" s="122" t="s">
        <v>2843</v>
      </c>
      <c r="AN163" s="122">
        <f>13+12+12+12</f>
        <v>49</v>
      </c>
      <c r="AO163" s="122">
        <f>10+11+12+13</f>
        <v>46</v>
      </c>
      <c r="AP163" s="122" t="s">
        <v>803</v>
      </c>
      <c r="AQ163" s="122" t="s">
        <v>803</v>
      </c>
      <c r="AR163" s="122" t="s">
        <v>2796</v>
      </c>
      <c r="AS163" s="122" t="s">
        <v>24</v>
      </c>
      <c r="AT163" s="122" t="s">
        <v>2796</v>
      </c>
      <c r="AU163" s="122" t="s">
        <v>24</v>
      </c>
      <c r="AV163" s="122" t="s">
        <v>2799</v>
      </c>
      <c r="AW163" s="122">
        <v>1</v>
      </c>
      <c r="AX163" s="122">
        <v>1</v>
      </c>
      <c r="AY163" s="122" t="s">
        <v>2797</v>
      </c>
      <c r="AZ163" s="122" t="s">
        <v>1130</v>
      </c>
      <c r="BA163" s="122" t="s">
        <v>2798</v>
      </c>
      <c r="BB163" s="122"/>
      <c r="BC163" s="122"/>
      <c r="BD163" s="161">
        <v>1</v>
      </c>
      <c r="BE163" s="161">
        <v>1</v>
      </c>
      <c r="BF163" s="161"/>
      <c r="BG163" s="161"/>
      <c r="BH163" s="161"/>
      <c r="BI163" s="161"/>
      <c r="BJ163" s="161"/>
      <c r="BK163" s="161"/>
      <c r="BL163" s="161"/>
      <c r="BM163" s="161"/>
      <c r="BN163" s="161"/>
      <c r="BO163" s="161"/>
      <c r="BP163" s="161"/>
      <c r="BQ163" s="162" t="s">
        <v>2858</v>
      </c>
      <c r="BR163" s="150" t="s">
        <v>1876</v>
      </c>
      <c r="BS163" s="150" t="s">
        <v>2814</v>
      </c>
      <c r="BT163" s="150" t="s">
        <v>2805</v>
      </c>
      <c r="BU163" s="150" t="s">
        <v>2471</v>
      </c>
      <c r="BV163" s="150" t="s">
        <v>2803</v>
      </c>
      <c r="BW163" s="258" t="s">
        <v>2864</v>
      </c>
      <c r="BX163" s="428" t="s">
        <v>2815</v>
      </c>
      <c r="BY163" s="150">
        <v>128.66999999999999</v>
      </c>
      <c r="BZ163" s="150" t="s">
        <v>24</v>
      </c>
      <c r="CA163" s="150">
        <f>150.53-Table665[[#This Row],[Outcome1_M]]</f>
        <v>21.860000000000014</v>
      </c>
      <c r="CB163" s="151" t="s">
        <v>2820</v>
      </c>
      <c r="CC163" s="150">
        <v>174.30099999999999</v>
      </c>
      <c r="CD163" s="150" t="s">
        <v>24</v>
      </c>
      <c r="CE163" s="150">
        <f>180.348-Table665[[#This Row],[Outcome2_M]]</f>
        <v>6.0470000000000255</v>
      </c>
      <c r="CF163" s="290" t="s">
        <v>2859</v>
      </c>
      <c r="CG163" s="291" t="s">
        <v>2845</v>
      </c>
      <c r="CH163" s="151" t="s">
        <v>2825</v>
      </c>
      <c r="CI163" s="150">
        <v>119.54</v>
      </c>
      <c r="CJ163" s="150" t="s">
        <v>24</v>
      </c>
      <c r="CK163" s="150">
        <f>140.23-Table665[[#This Row],[Outcome3_M]]</f>
        <v>20.689999999999984</v>
      </c>
      <c r="CL163" s="151" t="s">
        <v>2826</v>
      </c>
      <c r="CM163" s="150">
        <v>180.23</v>
      </c>
      <c r="CN163" s="150" t="s">
        <v>24</v>
      </c>
      <c r="CO163" s="150">
        <f>181.149-Table665[[#This Row],[Outcome4_M]]</f>
        <v>0.91900000000001114</v>
      </c>
      <c r="CP163" s="290" t="s">
        <v>2860</v>
      </c>
      <c r="CQ163" s="291" t="s">
        <v>2854</v>
      </c>
      <c r="CR163" s="278"/>
      <c r="CS163" s="285"/>
      <c r="CT163" s="151" t="s">
        <v>2831</v>
      </c>
      <c r="CU163" s="150">
        <v>122.33</v>
      </c>
      <c r="CV163" s="150" t="s">
        <v>24</v>
      </c>
      <c r="CW163" s="150">
        <f>141.748-Table665[[#This Row],[Outcome5_M]]</f>
        <v>19.417999999999992</v>
      </c>
      <c r="CX163" s="151" t="s">
        <v>2832</v>
      </c>
      <c r="CY163" s="150">
        <v>180.09700000000001</v>
      </c>
      <c r="CZ163" s="150" t="s">
        <v>24</v>
      </c>
      <c r="DA163" s="150">
        <f>181.068-Table665[[#This Row],[Outcome6_M]]</f>
        <v>0.97100000000000364</v>
      </c>
      <c r="DB163" s="302" t="s">
        <v>2861</v>
      </c>
      <c r="DC163" s="303" t="s">
        <v>2862</v>
      </c>
      <c r="DD163" s="151" t="s">
        <v>2837</v>
      </c>
      <c r="DE163" s="150">
        <v>98.701300000000003</v>
      </c>
      <c r="DF163" s="150" t="s">
        <v>24</v>
      </c>
      <c r="DG163" s="150">
        <f>117.316-Table665[[#This Row],[Outcome7_M]]</f>
        <v>18.614699999999999</v>
      </c>
      <c r="DH163" s="151" t="s">
        <v>2838</v>
      </c>
      <c r="DI163" s="150">
        <v>177.05600000000001</v>
      </c>
      <c r="DJ163" s="150" t="s">
        <v>24</v>
      </c>
      <c r="DK163" s="150">
        <f>179.221-Table665[[#This Row],[Outcome2_M]]</f>
        <v>4.9200000000000159</v>
      </c>
      <c r="DL163" s="302" t="s">
        <v>2863</v>
      </c>
      <c r="DM163" s="303" t="s">
        <v>2850</v>
      </c>
      <c r="DN163" s="278"/>
      <c r="DO163" s="279"/>
      <c r="DP163" s="150"/>
      <c r="DQ163" s="150"/>
      <c r="DR163" s="150"/>
      <c r="DS163" s="150"/>
      <c r="DT163" s="151"/>
      <c r="DU163" s="150"/>
      <c r="DV163" s="150"/>
      <c r="DW163" s="150"/>
      <c r="DX163" s="303"/>
      <c r="DY163" s="303"/>
      <c r="DZ163" s="151"/>
      <c r="EA163" s="150"/>
      <c r="EB163" s="150"/>
      <c r="EC163" s="150"/>
      <c r="ED163" s="151"/>
      <c r="EE163" s="150"/>
      <c r="EF163" s="150"/>
      <c r="EG163" s="150"/>
      <c r="EH163" s="303"/>
      <c r="EI163" s="303"/>
      <c r="EJ163" s="279"/>
      <c r="EK163" s="150"/>
      <c r="EL163" s="150"/>
      <c r="EM163" s="150"/>
      <c r="EN163" s="150"/>
      <c r="EO163" s="150"/>
      <c r="EP163" s="150"/>
      <c r="EQ163" s="150"/>
      <c r="ER163" s="150"/>
      <c r="ES163" s="303"/>
      <c r="ET163" s="303"/>
      <c r="EU163" s="150"/>
      <c r="EV163" s="150"/>
      <c r="EW163" s="150"/>
      <c r="EX163" s="150"/>
      <c r="EY163" s="134"/>
      <c r="EZ163" s="134"/>
      <c r="FA163" s="134"/>
      <c r="FB163" s="134"/>
      <c r="FC163" s="135"/>
      <c r="FD163" s="135"/>
      <c r="FE163" s="134"/>
      <c r="FF163" s="134"/>
      <c r="FG163" s="134"/>
      <c r="FH163" s="134"/>
      <c r="FI163" s="134"/>
      <c r="FJ163" s="134"/>
      <c r="FK163" s="134"/>
      <c r="FL163" s="134"/>
      <c r="FM163" s="135"/>
      <c r="FN163" s="135"/>
      <c r="FO163" s="134"/>
      <c r="FP163" s="134"/>
      <c r="FQ163" s="134"/>
      <c r="FR163" s="134"/>
      <c r="FS163" s="134"/>
      <c r="FT163" s="134"/>
      <c r="FU163" s="134"/>
      <c r="FV163" s="134"/>
      <c r="FW163" s="135"/>
      <c r="FX163" s="135"/>
      <c r="FY163" s="134"/>
      <c r="FZ163" s="134"/>
      <c r="GA163" s="134"/>
      <c r="GB163" s="134"/>
      <c r="GC163" s="134"/>
      <c r="GD163" s="134"/>
      <c r="GE163" s="134"/>
      <c r="GF163" s="134"/>
      <c r="GG163" s="135"/>
      <c r="GH163" s="135"/>
      <c r="GI163" s="134"/>
      <c r="GJ163" s="134"/>
      <c r="GK163" s="134"/>
      <c r="GL163" s="134"/>
      <c r="GM163" s="134"/>
      <c r="GN163" s="134"/>
      <c r="GO163" s="134"/>
      <c r="GP163" s="134"/>
      <c r="GQ163" s="135"/>
      <c r="GR163" s="135"/>
      <c r="GS163" s="134"/>
      <c r="GT163" s="134"/>
      <c r="GU163" s="134"/>
      <c r="GV163" s="134"/>
      <c r="GW163" s="134"/>
      <c r="GX163" s="134"/>
      <c r="GY163" s="134"/>
      <c r="GZ163" s="134"/>
      <c r="HA163" s="135"/>
      <c r="HB163" s="135"/>
      <c r="HC163" s="134"/>
      <c r="HD163" s="134"/>
      <c r="HE163" s="134"/>
      <c r="HF163" s="134"/>
      <c r="HG163" s="134"/>
      <c r="HH163" s="134"/>
      <c r="HI163" s="134"/>
      <c r="HJ163" s="134"/>
      <c r="HK163" s="135"/>
      <c r="HL163" s="135"/>
      <c r="HM163" s="134"/>
      <c r="HN163" s="134"/>
      <c r="HO163" s="134"/>
      <c r="HP163" s="134"/>
      <c r="HQ163" s="134"/>
      <c r="HR163" s="134"/>
      <c r="HS163" s="134"/>
      <c r="HT163" s="134"/>
      <c r="HU163" s="135"/>
      <c r="HV163" s="135"/>
      <c r="HW163" s="134"/>
      <c r="HX163" s="134"/>
      <c r="HY163" s="134"/>
      <c r="HZ163" s="134"/>
      <c r="IA163" s="134"/>
      <c r="IB163" s="134"/>
      <c r="IC163" s="134"/>
      <c r="ID163" s="134"/>
      <c r="IE163" s="135"/>
      <c r="IF163" s="135"/>
      <c r="IG163" s="134"/>
      <c r="IH163" s="134"/>
      <c r="II163" s="134"/>
      <c r="IJ163" s="134"/>
      <c r="IK163" s="134"/>
      <c r="IL163" s="134"/>
      <c r="IM163" s="134"/>
      <c r="IN163" s="134"/>
      <c r="IO163" s="135"/>
      <c r="IP163" s="135"/>
      <c r="IQ163" s="134"/>
      <c r="IR163" s="134"/>
      <c r="IS163" s="134"/>
      <c r="IT163" s="134"/>
      <c r="IU163" s="134"/>
      <c r="IV163" s="134"/>
      <c r="IW163" s="134"/>
      <c r="IX163" s="134"/>
      <c r="IY163" s="135"/>
      <c r="IZ163" s="135"/>
    </row>
    <row r="164" spans="1:260" customFormat="1" ht="17" customHeight="1">
      <c r="A164" s="118" t="s">
        <v>1071</v>
      </c>
      <c r="B164" s="363">
        <v>16</v>
      </c>
      <c r="C164" s="363"/>
      <c r="D164" s="363"/>
      <c r="E164" s="139" t="s">
        <v>2067</v>
      </c>
      <c r="F164" s="140" t="s">
        <v>2319</v>
      </c>
      <c r="G164" s="141">
        <v>2012</v>
      </c>
      <c r="H164" s="118">
        <v>21918506</v>
      </c>
      <c r="I164" s="118">
        <v>1</v>
      </c>
      <c r="J164" s="118">
        <v>1</v>
      </c>
      <c r="K164" s="118"/>
      <c r="L164" s="118">
        <v>1</v>
      </c>
      <c r="M164" s="118"/>
      <c r="N164" s="118">
        <v>1</v>
      </c>
      <c r="O164" s="142">
        <v>2</v>
      </c>
      <c r="P164" s="118" t="s">
        <v>1306</v>
      </c>
      <c r="Q164" s="118" t="s">
        <v>1232</v>
      </c>
      <c r="R164" s="118" t="s">
        <v>1127</v>
      </c>
      <c r="S164" s="118"/>
      <c r="T164" s="118" t="s">
        <v>1487</v>
      </c>
      <c r="U164" s="118" t="s">
        <v>803</v>
      </c>
      <c r="V164" s="118" t="s">
        <v>23</v>
      </c>
      <c r="W164" s="118" t="s">
        <v>1305</v>
      </c>
      <c r="X164" s="118"/>
      <c r="Y164" s="118" t="s">
        <v>1304</v>
      </c>
      <c r="Z164" s="118"/>
      <c r="AA164" s="118"/>
      <c r="AB164" s="118"/>
      <c r="AC164" s="145"/>
      <c r="AD164" s="573">
        <v>1</v>
      </c>
      <c r="AE164" s="573">
        <v>2</v>
      </c>
      <c r="AF164" s="159">
        <v>1</v>
      </c>
      <c r="AG164" s="160" t="s">
        <v>2871</v>
      </c>
      <c r="AH164" s="122">
        <v>4</v>
      </c>
      <c r="AI164" s="485"/>
      <c r="AJ164" s="204" t="s">
        <v>2870</v>
      </c>
      <c r="AK164" s="192">
        <v>2</v>
      </c>
      <c r="AL164" s="205">
        <v>1</v>
      </c>
      <c r="AM164" s="122">
        <f>Table665[[#This Row],[Subjects_n_ptsd]]+Table665[[#This Row],[Subjects_n_control]]</f>
        <v>23</v>
      </c>
      <c r="AN164" s="122">
        <v>13</v>
      </c>
      <c r="AO164" s="122">
        <v>10</v>
      </c>
      <c r="AP164" s="122" t="s">
        <v>803</v>
      </c>
      <c r="AQ164" s="122" t="s">
        <v>803</v>
      </c>
      <c r="AR164" s="122" t="s">
        <v>2796</v>
      </c>
      <c r="AS164" s="122" t="s">
        <v>24</v>
      </c>
      <c r="AT164" s="122" t="s">
        <v>2796</v>
      </c>
      <c r="AU164" s="122" t="s">
        <v>24</v>
      </c>
      <c r="AV164" s="122" t="s">
        <v>2799</v>
      </c>
      <c r="AW164" s="122">
        <v>1</v>
      </c>
      <c r="AX164" s="122">
        <v>1</v>
      </c>
      <c r="AY164" s="122" t="s">
        <v>2797</v>
      </c>
      <c r="AZ164" s="122" t="s">
        <v>1130</v>
      </c>
      <c r="BA164" s="122" t="s">
        <v>2798</v>
      </c>
      <c r="BB164" s="122"/>
      <c r="BC164" s="122"/>
      <c r="BD164" s="161">
        <v>1</v>
      </c>
      <c r="BE164" s="161">
        <v>1</v>
      </c>
      <c r="BF164" s="161"/>
      <c r="BG164" s="161"/>
      <c r="BH164" s="161"/>
      <c r="BI164" s="161"/>
      <c r="BJ164" s="161"/>
      <c r="BK164" s="161"/>
      <c r="BL164" s="161"/>
      <c r="BM164" s="161"/>
      <c r="BN164" s="161"/>
      <c r="BO164" s="161"/>
      <c r="BP164" s="161"/>
      <c r="BQ164" s="162" t="s">
        <v>2801</v>
      </c>
      <c r="BR164" s="150" t="s">
        <v>1876</v>
      </c>
      <c r="BS164" s="150" t="s">
        <v>2822</v>
      </c>
      <c r="BT164" s="425" t="s">
        <v>2805</v>
      </c>
      <c r="BU164" s="150" t="s">
        <v>2471</v>
      </c>
      <c r="BV164" s="150" t="s">
        <v>2803</v>
      </c>
      <c r="BW164" s="258" t="s">
        <v>2867</v>
      </c>
      <c r="BX164" s="151" t="s">
        <v>2816</v>
      </c>
      <c r="BY164" s="150">
        <v>35.414499999999997</v>
      </c>
      <c r="BZ164" s="150" t="s">
        <v>24</v>
      </c>
      <c r="CA164" s="150">
        <f>52.6224-Table665[[#This Row],[Outcome1_M]]</f>
        <v>17.207900000000002</v>
      </c>
      <c r="CB164" s="151" t="s">
        <v>2819</v>
      </c>
      <c r="CC164" s="150">
        <v>100.119</v>
      </c>
      <c r="CD164" s="150" t="s">
        <v>24</v>
      </c>
      <c r="CE164" s="150">
        <f>121.048-Table665[[#This Row],[Outcome2_M]]</f>
        <v>20.929000000000002</v>
      </c>
      <c r="CF164" s="290" t="s">
        <v>2856</v>
      </c>
      <c r="CG164" s="291" t="s">
        <v>2847</v>
      </c>
      <c r="CH164" s="151" t="s">
        <v>2817</v>
      </c>
      <c r="CI164" s="150">
        <v>12.856999999999999</v>
      </c>
      <c r="CJ164" s="150" t="s">
        <v>24</v>
      </c>
      <c r="CK164" s="150">
        <f>18.9022-Table665[[#This Row],[Outcome3_M]]</f>
        <v>6.0452000000000012</v>
      </c>
      <c r="CL164" s="151" t="s">
        <v>2818</v>
      </c>
      <c r="CM164" s="150">
        <v>26.860800000000001</v>
      </c>
      <c r="CN164" s="150" t="s">
        <v>24</v>
      </c>
      <c r="CO164" s="150">
        <f>39.8841-Table665[[#This Row],[Outcome4_M]]</f>
        <v>13.023299999999995</v>
      </c>
      <c r="CP164" s="290" t="s">
        <v>2848</v>
      </c>
      <c r="CQ164" s="291" t="s">
        <v>2480</v>
      </c>
      <c r="CR164" s="278"/>
      <c r="CS164" s="285"/>
      <c r="CT164" s="167"/>
      <c r="CU164" s="150"/>
      <c r="CV164" s="228"/>
      <c r="CW164" s="150"/>
      <c r="CX164" s="228"/>
      <c r="CY164" s="150"/>
      <c r="CZ164" s="228"/>
      <c r="DA164" s="150"/>
      <c r="DB164" s="311"/>
      <c r="DC164" s="313"/>
      <c r="DD164" s="150"/>
      <c r="DE164" s="150"/>
      <c r="DF164" s="150"/>
      <c r="DG164" s="150"/>
      <c r="DH164" s="150"/>
      <c r="DI164" s="150"/>
      <c r="DJ164" s="150"/>
      <c r="DK164" s="150"/>
      <c r="DL164" s="302"/>
      <c r="DM164" s="303"/>
      <c r="DN164" s="278"/>
      <c r="DO164" s="279"/>
      <c r="DP164" s="150"/>
      <c r="DQ164" s="150"/>
      <c r="DR164" s="150"/>
      <c r="DS164" s="150"/>
      <c r="DT164" s="151"/>
      <c r="DU164" s="150"/>
      <c r="DV164" s="150"/>
      <c r="DW164" s="150"/>
      <c r="DX164" s="303"/>
      <c r="DY164" s="303"/>
      <c r="DZ164" s="151"/>
      <c r="EA164" s="150"/>
      <c r="EB164" s="150"/>
      <c r="EC164" s="150"/>
      <c r="ED164" s="151"/>
      <c r="EE164" s="150"/>
      <c r="EF164" s="150"/>
      <c r="EG164" s="150"/>
      <c r="EH164" s="303"/>
      <c r="EI164" s="303"/>
      <c r="EJ164" s="279"/>
      <c r="EK164" s="150"/>
      <c r="EL164" s="150"/>
      <c r="EM164" s="150"/>
      <c r="EN164" s="150"/>
      <c r="EO164" s="150"/>
      <c r="EP164" s="150"/>
      <c r="EQ164" s="150"/>
      <c r="ER164" s="150"/>
      <c r="ES164" s="303"/>
      <c r="ET164" s="303"/>
      <c r="EU164" s="150"/>
      <c r="EV164" s="150"/>
      <c r="EW164" s="150"/>
      <c r="EX164" s="150"/>
      <c r="EY164" s="134"/>
      <c r="EZ164" s="134"/>
      <c r="FA164" s="134"/>
      <c r="FB164" s="134"/>
      <c r="FC164" s="135"/>
      <c r="FD164" s="135"/>
      <c r="FE164" s="134"/>
      <c r="FF164" s="134"/>
      <c r="FG164" s="134"/>
      <c r="FH164" s="134"/>
      <c r="FI164" s="134"/>
      <c r="FJ164" s="134"/>
      <c r="FK164" s="134"/>
      <c r="FL164" s="134"/>
      <c r="FM164" s="135"/>
      <c r="FN164" s="135"/>
      <c r="FO164" s="134"/>
      <c r="FP164" s="134"/>
      <c r="FQ164" s="134"/>
      <c r="FR164" s="134"/>
      <c r="FS164" s="134"/>
      <c r="FT164" s="134"/>
      <c r="FU164" s="134"/>
      <c r="FV164" s="134"/>
      <c r="FW164" s="135"/>
      <c r="FX164" s="135"/>
      <c r="FY164" s="134"/>
      <c r="FZ164" s="134"/>
      <c r="GA164" s="134"/>
      <c r="GB164" s="134"/>
      <c r="GC164" s="134"/>
      <c r="GD164" s="134"/>
      <c r="GE164" s="134"/>
      <c r="GF164" s="134"/>
      <c r="GG164" s="135"/>
      <c r="GH164" s="135"/>
      <c r="GI164" s="134"/>
      <c r="GJ164" s="134"/>
      <c r="GK164" s="134"/>
      <c r="GL164" s="134"/>
      <c r="GM164" s="134"/>
      <c r="GN164" s="134"/>
      <c r="GO164" s="134"/>
      <c r="GP164" s="134"/>
      <c r="GQ164" s="135"/>
      <c r="GR164" s="135"/>
      <c r="GS164" s="134"/>
      <c r="GT164" s="134"/>
      <c r="GU164" s="134"/>
      <c r="GV164" s="134"/>
      <c r="GW164" s="134"/>
      <c r="GX164" s="134"/>
      <c r="GY164" s="134"/>
      <c r="GZ164" s="134"/>
      <c r="HA164" s="135"/>
      <c r="HB164" s="135"/>
      <c r="HC164" s="134"/>
      <c r="HD164" s="134"/>
      <c r="HE164" s="134"/>
      <c r="HF164" s="134"/>
      <c r="HG164" s="134"/>
      <c r="HH164" s="134"/>
      <c r="HI164" s="134"/>
      <c r="HJ164" s="134"/>
      <c r="HK164" s="135"/>
      <c r="HL164" s="135"/>
      <c r="HM164" s="134"/>
      <c r="HN164" s="134"/>
      <c r="HO164" s="134"/>
      <c r="HP164" s="134"/>
      <c r="HQ164" s="134"/>
      <c r="HR164" s="134"/>
      <c r="HS164" s="134"/>
      <c r="HT164" s="134"/>
      <c r="HU164" s="135"/>
      <c r="HV164" s="135"/>
      <c r="HW164" s="134"/>
      <c r="HX164" s="134"/>
      <c r="HY164" s="134"/>
      <c r="HZ164" s="134"/>
      <c r="IA164" s="134"/>
      <c r="IB164" s="134"/>
      <c r="IC164" s="134"/>
      <c r="ID164" s="134"/>
      <c r="IE164" s="135"/>
      <c r="IF164" s="135"/>
      <c r="IG164" s="134"/>
      <c r="IH164" s="134"/>
      <c r="II164" s="134"/>
      <c r="IJ164" s="134"/>
      <c r="IK164" s="134"/>
      <c r="IL164" s="134"/>
      <c r="IM164" s="134"/>
      <c r="IN164" s="134"/>
      <c r="IO164" s="135"/>
      <c r="IP164" s="135"/>
      <c r="IQ164" s="134"/>
      <c r="IR164" s="134"/>
      <c r="IS164" s="134"/>
      <c r="IT164" s="134"/>
      <c r="IU164" s="134"/>
      <c r="IV164" s="134"/>
      <c r="IW164" s="134"/>
      <c r="IX164" s="134"/>
      <c r="IY164" s="135"/>
      <c r="IZ164" s="135"/>
    </row>
    <row r="165" spans="1:260" customFormat="1" ht="17" customHeight="1">
      <c r="A165" s="118" t="s">
        <v>1071</v>
      </c>
      <c r="B165" s="363">
        <v>16</v>
      </c>
      <c r="C165" s="363"/>
      <c r="D165" s="363"/>
      <c r="E165" s="139" t="s">
        <v>2067</v>
      </c>
      <c r="F165" s="140" t="s">
        <v>2319</v>
      </c>
      <c r="G165" s="141">
        <v>2012</v>
      </c>
      <c r="H165" s="118">
        <v>21918506</v>
      </c>
      <c r="I165" s="118">
        <v>1</v>
      </c>
      <c r="J165" s="118">
        <v>1</v>
      </c>
      <c r="K165" s="118"/>
      <c r="L165" s="118">
        <v>1</v>
      </c>
      <c r="M165" s="118"/>
      <c r="N165" s="118">
        <v>1</v>
      </c>
      <c r="O165" s="142">
        <v>2</v>
      </c>
      <c r="P165" s="118" t="s">
        <v>1306</v>
      </c>
      <c r="Q165" s="118" t="s">
        <v>1232</v>
      </c>
      <c r="R165" s="118" t="s">
        <v>1127</v>
      </c>
      <c r="S165" s="118"/>
      <c r="T165" s="118" t="s">
        <v>1487</v>
      </c>
      <c r="U165" s="118" t="s">
        <v>803</v>
      </c>
      <c r="V165" s="118" t="s">
        <v>23</v>
      </c>
      <c r="W165" s="118" t="s">
        <v>1305</v>
      </c>
      <c r="X165" s="118"/>
      <c r="Y165" s="118" t="s">
        <v>1304</v>
      </c>
      <c r="Z165" s="118"/>
      <c r="AA165" s="118"/>
      <c r="AB165" s="118"/>
      <c r="AC165" s="145"/>
      <c r="AD165" s="573">
        <v>1</v>
      </c>
      <c r="AE165" s="573">
        <v>2</v>
      </c>
      <c r="AF165" s="159">
        <v>1</v>
      </c>
      <c r="AG165" s="160" t="s">
        <v>2872</v>
      </c>
      <c r="AH165" s="122">
        <v>4</v>
      </c>
      <c r="AI165" s="485"/>
      <c r="AJ165" s="204" t="s">
        <v>2870</v>
      </c>
      <c r="AK165" s="192">
        <v>2</v>
      </c>
      <c r="AL165" s="205">
        <v>1</v>
      </c>
      <c r="AM165" s="122">
        <f>Table665[[#This Row],[Subjects_n_ptsd]]+Table665[[#This Row],[Subjects_n_control]]</f>
        <v>23</v>
      </c>
      <c r="AN165" s="122">
        <v>12</v>
      </c>
      <c r="AO165" s="122">
        <v>11</v>
      </c>
      <c r="AP165" s="122" t="s">
        <v>803</v>
      </c>
      <c r="AQ165" s="122" t="s">
        <v>803</v>
      </c>
      <c r="AR165" s="122" t="s">
        <v>2796</v>
      </c>
      <c r="AS165" s="122" t="s">
        <v>24</v>
      </c>
      <c r="AT165" s="122" t="s">
        <v>2796</v>
      </c>
      <c r="AU165" s="122" t="s">
        <v>24</v>
      </c>
      <c r="AV165" s="122" t="s">
        <v>2799</v>
      </c>
      <c r="AW165" s="122">
        <v>1</v>
      </c>
      <c r="AX165" s="122">
        <v>1</v>
      </c>
      <c r="AY165" s="122" t="s">
        <v>2797</v>
      </c>
      <c r="AZ165" s="122" t="s">
        <v>1130</v>
      </c>
      <c r="BA165" s="122" t="s">
        <v>2798</v>
      </c>
      <c r="BB165" s="122"/>
      <c r="BC165" s="122"/>
      <c r="BD165" s="161">
        <v>1</v>
      </c>
      <c r="BE165" s="161">
        <v>1</v>
      </c>
      <c r="BF165" s="161"/>
      <c r="BG165" s="161"/>
      <c r="BH165" s="161"/>
      <c r="BI165" s="161"/>
      <c r="BJ165" s="161"/>
      <c r="BK165" s="161"/>
      <c r="BL165" s="161"/>
      <c r="BM165" s="161"/>
      <c r="BN165" s="161"/>
      <c r="BO165" s="161"/>
      <c r="BP165" s="161"/>
      <c r="BQ165" s="162" t="s">
        <v>2801</v>
      </c>
      <c r="BR165" s="150" t="s">
        <v>1876</v>
      </c>
      <c r="BS165" s="150" t="s">
        <v>2821</v>
      </c>
      <c r="BT165" s="150" t="s">
        <v>2805</v>
      </c>
      <c r="BU165" s="150" t="s">
        <v>2471</v>
      </c>
      <c r="BV165" s="150" t="s">
        <v>2803</v>
      </c>
      <c r="BW165" s="258" t="s">
        <v>2867</v>
      </c>
      <c r="BX165" s="151" t="s">
        <v>2827</v>
      </c>
      <c r="BY165" s="150">
        <v>53.333300000000001</v>
      </c>
      <c r="BZ165" s="150" t="s">
        <v>24</v>
      </c>
      <c r="CA165" s="150">
        <f>68.9655-Table665[[#This Row],[Outcome1_M]]</f>
        <v>15.632200000000005</v>
      </c>
      <c r="CB165" s="151" t="s">
        <v>2828</v>
      </c>
      <c r="CC165" s="150">
        <v>115.86199999999999</v>
      </c>
      <c r="CD165" s="150" t="s">
        <v>24</v>
      </c>
      <c r="CE165" s="150">
        <f>136.552-Table665[[#This Row],[Outcome2_M]]</f>
        <v>20.689999999999998</v>
      </c>
      <c r="CF165" s="290" t="s">
        <v>2866</v>
      </c>
      <c r="CG165" s="291" t="s">
        <v>2855</v>
      </c>
      <c r="CH165" s="428" t="s">
        <v>2829</v>
      </c>
      <c r="CI165" s="150">
        <v>21.1494</v>
      </c>
      <c r="CJ165" s="150" t="s">
        <v>24</v>
      </c>
      <c r="CK165" s="150">
        <f>23.908-Table665[[#This Row],[Outcome3_M]]</f>
        <v>2.7586000000000013</v>
      </c>
      <c r="CL165" s="151" t="s">
        <v>2830</v>
      </c>
      <c r="CM165" s="150">
        <v>54.712600000000002</v>
      </c>
      <c r="CN165" s="150" t="s">
        <v>24</v>
      </c>
      <c r="CO165" s="150">
        <f>76.7816-Table665[[#This Row],[Outcome4_M]]</f>
        <v>22.068999999999996</v>
      </c>
      <c r="CP165" s="290" t="s">
        <v>2857</v>
      </c>
      <c r="CQ165" s="291" t="s">
        <v>2480</v>
      </c>
      <c r="CR165" s="278"/>
      <c r="CS165" s="285"/>
      <c r="CT165" s="167"/>
      <c r="CU165" s="150"/>
      <c r="CV165" s="228"/>
      <c r="CW165" s="150"/>
      <c r="CX165" s="228"/>
      <c r="CY165" s="150"/>
      <c r="CZ165" s="228"/>
      <c r="DA165" s="150"/>
      <c r="DB165" s="311"/>
      <c r="DC165" s="313"/>
      <c r="DD165" s="150"/>
      <c r="DE165" s="150"/>
      <c r="DF165" s="150"/>
      <c r="DG165" s="150"/>
      <c r="DH165" s="150"/>
      <c r="DI165" s="150"/>
      <c r="DJ165" s="150"/>
      <c r="DK165" s="150"/>
      <c r="DL165" s="302"/>
      <c r="DM165" s="303"/>
      <c r="DN165" s="278"/>
      <c r="DO165" s="279"/>
      <c r="DP165" s="150"/>
      <c r="DQ165" s="150"/>
      <c r="DR165" s="150"/>
      <c r="DS165" s="150"/>
      <c r="DT165" s="151"/>
      <c r="DU165" s="150"/>
      <c r="DV165" s="150"/>
      <c r="DW165" s="150"/>
      <c r="DX165" s="303"/>
      <c r="DY165" s="303"/>
      <c r="DZ165" s="151"/>
      <c r="EA165" s="150"/>
      <c r="EB165" s="150"/>
      <c r="EC165" s="150"/>
      <c r="ED165" s="151"/>
      <c r="EE165" s="150"/>
      <c r="EF165" s="150"/>
      <c r="EG165" s="150"/>
      <c r="EH165" s="303"/>
      <c r="EI165" s="303"/>
      <c r="EJ165" s="279"/>
      <c r="EK165" s="150"/>
      <c r="EL165" s="150"/>
      <c r="EM165" s="150"/>
      <c r="EN165" s="150"/>
      <c r="EO165" s="150"/>
      <c r="EP165" s="150"/>
      <c r="EQ165" s="150"/>
      <c r="ER165" s="150"/>
      <c r="ES165" s="303"/>
      <c r="ET165" s="303"/>
      <c r="EU165" s="150"/>
      <c r="EV165" s="150"/>
      <c r="EW165" s="150"/>
      <c r="EX165" s="150"/>
      <c r="EY165" s="134"/>
      <c r="EZ165" s="134"/>
      <c r="FA165" s="134"/>
      <c r="FB165" s="134"/>
      <c r="FC165" s="135"/>
      <c r="FD165" s="135"/>
      <c r="FE165" s="134"/>
      <c r="FF165" s="134"/>
      <c r="FG165" s="134"/>
      <c r="FH165" s="134"/>
      <c r="FI165" s="134"/>
      <c r="FJ165" s="134"/>
      <c r="FK165" s="134"/>
      <c r="FL165" s="134"/>
      <c r="FM165" s="135"/>
      <c r="FN165" s="135"/>
      <c r="FO165" s="134"/>
      <c r="FP165" s="134"/>
      <c r="FQ165" s="134"/>
      <c r="FR165" s="134"/>
      <c r="FS165" s="134"/>
      <c r="FT165" s="134"/>
      <c r="FU165" s="134"/>
      <c r="FV165" s="134"/>
      <c r="FW165" s="135"/>
      <c r="FX165" s="135"/>
      <c r="FY165" s="134"/>
      <c r="FZ165" s="134"/>
      <c r="GA165" s="134"/>
      <c r="GB165" s="134"/>
      <c r="GC165" s="134"/>
      <c r="GD165" s="134"/>
      <c r="GE165" s="134"/>
      <c r="GF165" s="134"/>
      <c r="GG165" s="135"/>
      <c r="GH165" s="135"/>
      <c r="GI165" s="134"/>
      <c r="GJ165" s="134"/>
      <c r="GK165" s="134"/>
      <c r="GL165" s="134"/>
      <c r="GM165" s="134"/>
      <c r="GN165" s="134"/>
      <c r="GO165" s="134"/>
      <c r="GP165" s="134"/>
      <c r="GQ165" s="135"/>
      <c r="GR165" s="135"/>
      <c r="GS165" s="134"/>
      <c r="GT165" s="134"/>
      <c r="GU165" s="134"/>
      <c r="GV165" s="134"/>
      <c r="GW165" s="134"/>
      <c r="GX165" s="134"/>
      <c r="GY165" s="134"/>
      <c r="GZ165" s="134"/>
      <c r="HA165" s="135"/>
      <c r="HB165" s="135"/>
      <c r="HC165" s="134"/>
      <c r="HD165" s="134"/>
      <c r="HE165" s="134"/>
      <c r="HF165" s="134"/>
      <c r="HG165" s="134"/>
      <c r="HH165" s="134"/>
      <c r="HI165" s="134"/>
      <c r="HJ165" s="134"/>
      <c r="HK165" s="135"/>
      <c r="HL165" s="135"/>
      <c r="HM165" s="134"/>
      <c r="HN165" s="134"/>
      <c r="HO165" s="134"/>
      <c r="HP165" s="134"/>
      <c r="HQ165" s="134"/>
      <c r="HR165" s="134"/>
      <c r="HS165" s="134"/>
      <c r="HT165" s="134"/>
      <c r="HU165" s="135"/>
      <c r="HV165" s="135"/>
      <c r="HW165" s="134"/>
      <c r="HX165" s="134"/>
      <c r="HY165" s="134"/>
      <c r="HZ165" s="134"/>
      <c r="IA165" s="134"/>
      <c r="IB165" s="134"/>
      <c r="IC165" s="134"/>
      <c r="ID165" s="134"/>
      <c r="IE165" s="135"/>
      <c r="IF165" s="135"/>
      <c r="IG165" s="134"/>
      <c r="IH165" s="134"/>
      <c r="II165" s="134"/>
      <c r="IJ165" s="134"/>
      <c r="IK165" s="134"/>
      <c r="IL165" s="134"/>
      <c r="IM165" s="134"/>
      <c r="IN165" s="134"/>
      <c r="IO165" s="135"/>
      <c r="IP165" s="135"/>
      <c r="IQ165" s="134"/>
      <c r="IR165" s="134"/>
      <c r="IS165" s="134"/>
      <c r="IT165" s="134"/>
      <c r="IU165" s="134"/>
      <c r="IV165" s="134"/>
      <c r="IW165" s="134"/>
      <c r="IX165" s="134"/>
      <c r="IY165" s="135"/>
      <c r="IZ165" s="135"/>
    </row>
    <row r="166" spans="1:260" customFormat="1" ht="17" customHeight="1">
      <c r="A166" s="118" t="s">
        <v>1071</v>
      </c>
      <c r="B166" s="363">
        <v>16</v>
      </c>
      <c r="C166" s="363"/>
      <c r="D166" s="363"/>
      <c r="E166" s="139" t="s">
        <v>2067</v>
      </c>
      <c r="F166" s="140" t="s">
        <v>2319</v>
      </c>
      <c r="G166" s="141">
        <v>2012</v>
      </c>
      <c r="H166" s="118">
        <v>21918506</v>
      </c>
      <c r="I166" s="118">
        <v>1</v>
      </c>
      <c r="J166" s="118">
        <v>1</v>
      </c>
      <c r="K166" s="118"/>
      <c r="L166" s="118">
        <v>1</v>
      </c>
      <c r="M166" s="118"/>
      <c r="N166" s="118">
        <v>1</v>
      </c>
      <c r="O166" s="142">
        <v>2</v>
      </c>
      <c r="P166" s="118" t="s">
        <v>1306</v>
      </c>
      <c r="Q166" s="118" t="s">
        <v>1232</v>
      </c>
      <c r="R166" s="118" t="s">
        <v>1127</v>
      </c>
      <c r="S166" s="118"/>
      <c r="T166" s="118" t="s">
        <v>1487</v>
      </c>
      <c r="U166" s="118" t="s">
        <v>803</v>
      </c>
      <c r="V166" s="118" t="s">
        <v>23</v>
      </c>
      <c r="W166" s="118" t="s">
        <v>1305</v>
      </c>
      <c r="X166" s="118"/>
      <c r="Y166" s="118" t="s">
        <v>1304</v>
      </c>
      <c r="Z166" s="118"/>
      <c r="AA166" s="118"/>
      <c r="AB166" s="118"/>
      <c r="AC166" s="145"/>
      <c r="AD166" s="573">
        <v>1</v>
      </c>
      <c r="AE166" s="573">
        <v>2</v>
      </c>
      <c r="AF166" s="159">
        <v>1</v>
      </c>
      <c r="AG166" s="160"/>
      <c r="AH166" s="122">
        <v>4</v>
      </c>
      <c r="AI166" s="485"/>
      <c r="AJ166" s="204" t="s">
        <v>2870</v>
      </c>
      <c r="AK166" s="192">
        <v>2</v>
      </c>
      <c r="AL166" s="205">
        <v>1</v>
      </c>
      <c r="AM166" s="122">
        <f>Table665[[#This Row],[Subjects_n_ptsd]]+Table665[[#This Row],[Subjects_n_control]]</f>
        <v>24</v>
      </c>
      <c r="AN166" s="122">
        <v>12</v>
      </c>
      <c r="AO166" s="122">
        <v>12</v>
      </c>
      <c r="AP166" s="122" t="s">
        <v>803</v>
      </c>
      <c r="AQ166" s="122" t="s">
        <v>803</v>
      </c>
      <c r="AR166" s="122" t="s">
        <v>2796</v>
      </c>
      <c r="AS166" s="122" t="s">
        <v>24</v>
      </c>
      <c r="AT166" s="122" t="s">
        <v>2796</v>
      </c>
      <c r="AU166" s="122" t="s">
        <v>24</v>
      </c>
      <c r="AV166" s="122" t="s">
        <v>2799</v>
      </c>
      <c r="AW166" s="122">
        <v>1</v>
      </c>
      <c r="AX166" s="122">
        <v>1</v>
      </c>
      <c r="AY166" s="122" t="s">
        <v>2797</v>
      </c>
      <c r="AZ166" s="122" t="s">
        <v>1130</v>
      </c>
      <c r="BA166" s="122" t="s">
        <v>2798</v>
      </c>
      <c r="BB166" s="122"/>
      <c r="BC166" s="122"/>
      <c r="BD166" s="161">
        <v>1</v>
      </c>
      <c r="BE166" s="161">
        <v>1</v>
      </c>
      <c r="BF166" s="161"/>
      <c r="BG166" s="161"/>
      <c r="BH166" s="161"/>
      <c r="BI166" s="161"/>
      <c r="BJ166" s="161"/>
      <c r="BK166" s="161"/>
      <c r="BL166" s="161"/>
      <c r="BM166" s="161"/>
      <c r="BN166" s="161"/>
      <c r="BO166" s="161"/>
      <c r="BP166" s="161"/>
      <c r="BQ166" s="162" t="s">
        <v>2801</v>
      </c>
      <c r="BR166" s="150" t="s">
        <v>1876</v>
      </c>
      <c r="BS166" s="150" t="s">
        <v>2823</v>
      </c>
      <c r="BT166" s="150" t="s">
        <v>2805</v>
      </c>
      <c r="BU166" s="150" t="s">
        <v>2471</v>
      </c>
      <c r="BV166" s="150" t="s">
        <v>2803</v>
      </c>
      <c r="BW166" s="258" t="s">
        <v>2867</v>
      </c>
      <c r="BX166" s="151" t="s">
        <v>2833</v>
      </c>
      <c r="BY166" s="150">
        <v>40.2913</v>
      </c>
      <c r="BZ166" s="150" t="s">
        <v>24</v>
      </c>
      <c r="CA166" s="150">
        <f>54.8544-Table665[[#This Row],[Outcome1_M]]</f>
        <v>14.563099999999999</v>
      </c>
      <c r="CB166" s="151" t="s">
        <v>2834</v>
      </c>
      <c r="CC166" s="150">
        <v>118.447</v>
      </c>
      <c r="CD166" s="150" t="s">
        <v>24</v>
      </c>
      <c r="CE166" s="150">
        <f>139.806-Table665[[#This Row],[Outcome2_M]]</f>
        <v>21.359000000000009</v>
      </c>
      <c r="CF166" s="290" t="s">
        <v>2865</v>
      </c>
      <c r="CG166" s="291" t="s">
        <v>2846</v>
      </c>
      <c r="CH166" s="151" t="s">
        <v>2835</v>
      </c>
      <c r="CI166" s="150">
        <v>15.534000000000001</v>
      </c>
      <c r="CJ166" s="150" t="s">
        <v>24</v>
      </c>
      <c r="CK166" s="150">
        <f>21.8447-Table665[[#This Row],[Outcome3_M]]</f>
        <v>6.3106999999999989</v>
      </c>
      <c r="CL166" s="151" t="s">
        <v>2836</v>
      </c>
      <c r="CM166" s="150">
        <v>30.5825</v>
      </c>
      <c r="CN166" s="150" t="s">
        <v>24</v>
      </c>
      <c r="CO166" s="150">
        <f>44.6602-Table665[[#This Row],[Outcome4_M]]</f>
        <v>14.077700000000004</v>
      </c>
      <c r="CP166" s="290" t="s">
        <v>2857</v>
      </c>
      <c r="CQ166" s="291" t="s">
        <v>2480</v>
      </c>
      <c r="CR166" s="278"/>
      <c r="CS166" s="285"/>
      <c r="CT166" s="428"/>
      <c r="CU166" s="425"/>
      <c r="CV166" s="425"/>
      <c r="CW166" s="425"/>
      <c r="CX166" s="425"/>
      <c r="CY166" s="150"/>
      <c r="CZ166" s="228"/>
      <c r="DA166" s="150"/>
      <c r="DB166" s="311"/>
      <c r="DC166" s="313"/>
      <c r="DD166" s="425"/>
      <c r="DE166" s="425"/>
      <c r="DF166" s="425"/>
      <c r="DG166" s="425"/>
      <c r="DH166" s="425"/>
      <c r="DI166" s="150"/>
      <c r="DJ166" s="150"/>
      <c r="DK166" s="150"/>
      <c r="DL166" s="302"/>
      <c r="DM166" s="303"/>
      <c r="DN166" s="278"/>
      <c r="DO166" s="279"/>
      <c r="DP166" s="425"/>
      <c r="DQ166" s="425"/>
      <c r="DR166" s="425"/>
      <c r="DS166" s="425"/>
      <c r="DT166" s="428"/>
      <c r="DU166" s="150"/>
      <c r="DV166" s="150"/>
      <c r="DW166" s="150"/>
      <c r="DX166" s="303"/>
      <c r="DY166" s="303"/>
      <c r="DZ166" s="151"/>
      <c r="EA166" s="150"/>
      <c r="EB166" s="150"/>
      <c r="EC166" s="150"/>
      <c r="ED166" s="151"/>
      <c r="EE166" s="150"/>
      <c r="EF166" s="150"/>
      <c r="EG166" s="150"/>
      <c r="EH166" s="303"/>
      <c r="EI166" s="303"/>
      <c r="EJ166" s="279"/>
      <c r="EK166" s="150"/>
      <c r="EL166" s="150"/>
      <c r="EM166" s="150"/>
      <c r="EN166" s="150"/>
      <c r="EO166" s="150"/>
      <c r="EP166" s="150"/>
      <c r="EQ166" s="150"/>
      <c r="ER166" s="150"/>
      <c r="ES166" s="303"/>
      <c r="ET166" s="303"/>
      <c r="EU166" s="150"/>
      <c r="EV166" s="150"/>
      <c r="EW166" s="150"/>
      <c r="EX166" s="150"/>
      <c r="EY166" s="134"/>
      <c r="EZ166" s="134"/>
      <c r="FA166" s="134"/>
      <c r="FB166" s="134"/>
      <c r="FC166" s="135"/>
      <c r="FD166" s="135"/>
      <c r="FE166" s="134"/>
      <c r="FF166" s="134"/>
      <c r="FG166" s="134"/>
      <c r="FH166" s="134"/>
      <c r="FI166" s="134"/>
      <c r="FJ166" s="134"/>
      <c r="FK166" s="134"/>
      <c r="FL166" s="134"/>
      <c r="FM166" s="135"/>
      <c r="FN166" s="135"/>
      <c r="FO166" s="134"/>
      <c r="FP166" s="134"/>
      <c r="FQ166" s="134"/>
      <c r="FR166" s="134"/>
      <c r="FS166" s="134"/>
      <c r="FT166" s="134"/>
      <c r="FU166" s="134"/>
      <c r="FV166" s="134"/>
      <c r="FW166" s="135"/>
      <c r="FX166" s="135"/>
      <c r="FY166" s="134"/>
      <c r="FZ166" s="134"/>
      <c r="GA166" s="134"/>
      <c r="GB166" s="134"/>
      <c r="GC166" s="134"/>
      <c r="GD166" s="134"/>
      <c r="GE166" s="134"/>
      <c r="GF166" s="134"/>
      <c r="GG166" s="135"/>
      <c r="GH166" s="135"/>
      <c r="GI166" s="134"/>
      <c r="GJ166" s="134"/>
      <c r="GK166" s="134"/>
      <c r="GL166" s="134"/>
      <c r="GM166" s="134"/>
      <c r="GN166" s="134"/>
      <c r="GO166" s="134"/>
      <c r="GP166" s="134"/>
      <c r="GQ166" s="135"/>
      <c r="GR166" s="135"/>
      <c r="GS166" s="134"/>
      <c r="GT166" s="134"/>
      <c r="GU166" s="134"/>
      <c r="GV166" s="134"/>
      <c r="GW166" s="134"/>
      <c r="GX166" s="134"/>
      <c r="GY166" s="134"/>
      <c r="GZ166" s="134"/>
      <c r="HA166" s="135"/>
      <c r="HB166" s="135"/>
      <c r="HC166" s="134"/>
      <c r="HD166" s="134"/>
      <c r="HE166" s="134"/>
      <c r="HF166" s="134"/>
      <c r="HG166" s="134"/>
      <c r="HH166" s="134"/>
      <c r="HI166" s="134"/>
      <c r="HJ166" s="134"/>
      <c r="HK166" s="135"/>
      <c r="HL166" s="135"/>
      <c r="HM166" s="134"/>
      <c r="HN166" s="134"/>
      <c r="HO166" s="134"/>
      <c r="HP166" s="134"/>
      <c r="HQ166" s="134"/>
      <c r="HR166" s="134"/>
      <c r="HS166" s="134"/>
      <c r="HT166" s="134"/>
      <c r="HU166" s="135"/>
      <c r="HV166" s="135"/>
      <c r="HW166" s="134"/>
      <c r="HX166" s="134"/>
      <c r="HY166" s="134"/>
      <c r="HZ166" s="134"/>
      <c r="IA166" s="134"/>
      <c r="IB166" s="134"/>
      <c r="IC166" s="134"/>
      <c r="ID166" s="134"/>
      <c r="IE166" s="135"/>
      <c r="IF166" s="135"/>
      <c r="IG166" s="134"/>
      <c r="IH166" s="134"/>
      <c r="II166" s="134"/>
      <c r="IJ166" s="134"/>
      <c r="IK166" s="134"/>
      <c r="IL166" s="134"/>
      <c r="IM166" s="134"/>
      <c r="IN166" s="134"/>
      <c r="IO166" s="135"/>
      <c r="IP166" s="135"/>
      <c r="IQ166" s="134"/>
      <c r="IR166" s="134"/>
      <c r="IS166" s="134"/>
      <c r="IT166" s="134"/>
      <c r="IU166" s="134"/>
      <c r="IV166" s="134"/>
      <c r="IW166" s="134"/>
      <c r="IX166" s="134"/>
      <c r="IY166" s="135"/>
      <c r="IZ166" s="135"/>
    </row>
    <row r="167" spans="1:260" customFormat="1" ht="17" customHeight="1">
      <c r="A167" s="118" t="s">
        <v>1071</v>
      </c>
      <c r="B167" s="363">
        <v>16</v>
      </c>
      <c r="C167" s="363"/>
      <c r="D167" s="363"/>
      <c r="E167" s="139" t="s">
        <v>2067</v>
      </c>
      <c r="F167" s="140" t="s">
        <v>2319</v>
      </c>
      <c r="G167" s="141">
        <v>2012</v>
      </c>
      <c r="H167" s="118">
        <v>21918506</v>
      </c>
      <c r="I167" s="118">
        <v>1</v>
      </c>
      <c r="J167" s="118">
        <v>1</v>
      </c>
      <c r="K167" s="118"/>
      <c r="L167" s="118">
        <v>1</v>
      </c>
      <c r="M167" s="118"/>
      <c r="N167" s="118">
        <v>1</v>
      </c>
      <c r="O167" s="142">
        <v>2</v>
      </c>
      <c r="P167" s="118" t="s">
        <v>1306</v>
      </c>
      <c r="Q167" s="118" t="s">
        <v>1232</v>
      </c>
      <c r="R167" s="118" t="s">
        <v>1127</v>
      </c>
      <c r="S167" s="118"/>
      <c r="T167" s="118" t="s">
        <v>1487</v>
      </c>
      <c r="U167" s="118" t="s">
        <v>803</v>
      </c>
      <c r="V167" s="118" t="s">
        <v>23</v>
      </c>
      <c r="W167" s="118" t="s">
        <v>1305</v>
      </c>
      <c r="X167" s="118"/>
      <c r="Y167" s="118" t="s">
        <v>1304</v>
      </c>
      <c r="Z167" s="118"/>
      <c r="AA167" s="118"/>
      <c r="AB167" s="118"/>
      <c r="AC167" s="145"/>
      <c r="AD167" s="573">
        <v>1</v>
      </c>
      <c r="AE167" s="573">
        <v>2</v>
      </c>
      <c r="AF167" s="159">
        <v>1</v>
      </c>
      <c r="AG167" s="160"/>
      <c r="AH167" s="122">
        <v>4</v>
      </c>
      <c r="AI167" s="485"/>
      <c r="AJ167" s="204" t="s">
        <v>2870</v>
      </c>
      <c r="AK167" s="192">
        <v>2</v>
      </c>
      <c r="AL167" s="205">
        <v>1</v>
      </c>
      <c r="AM167" s="122">
        <f>Table665[[#This Row],[Subjects_n_ptsd]]+Table665[[#This Row],[Subjects_n_control]]</f>
        <v>25</v>
      </c>
      <c r="AN167" s="122">
        <v>12</v>
      </c>
      <c r="AO167" s="122">
        <v>13</v>
      </c>
      <c r="AP167" s="122" t="s">
        <v>803</v>
      </c>
      <c r="AQ167" s="122" t="s">
        <v>803</v>
      </c>
      <c r="AR167" s="122" t="s">
        <v>2796</v>
      </c>
      <c r="AS167" s="122" t="s">
        <v>24</v>
      </c>
      <c r="AT167" s="122" t="s">
        <v>2796</v>
      </c>
      <c r="AU167" s="122" t="s">
        <v>24</v>
      </c>
      <c r="AV167" s="122" t="s">
        <v>2799</v>
      </c>
      <c r="AW167" s="122">
        <v>1</v>
      </c>
      <c r="AX167" s="122">
        <v>1</v>
      </c>
      <c r="AY167" s="122" t="s">
        <v>2797</v>
      </c>
      <c r="AZ167" s="122" t="s">
        <v>1130</v>
      </c>
      <c r="BA167" s="122" t="s">
        <v>2798</v>
      </c>
      <c r="BB167" s="122"/>
      <c r="BC167" s="122"/>
      <c r="BD167" s="161">
        <v>1</v>
      </c>
      <c r="BE167" s="161">
        <v>1</v>
      </c>
      <c r="BF167" s="161"/>
      <c r="BG167" s="161"/>
      <c r="BH167" s="161"/>
      <c r="BI167" s="161"/>
      <c r="BJ167" s="161"/>
      <c r="BK167" s="161"/>
      <c r="BL167" s="161"/>
      <c r="BM167" s="161"/>
      <c r="BN167" s="161"/>
      <c r="BO167" s="161"/>
      <c r="BP167" s="161"/>
      <c r="BQ167" s="162" t="s">
        <v>2801</v>
      </c>
      <c r="BR167" s="150" t="s">
        <v>1876</v>
      </c>
      <c r="BS167" s="150" t="s">
        <v>2824</v>
      </c>
      <c r="BT167" s="150" t="s">
        <v>2805</v>
      </c>
      <c r="BU167" s="150" t="s">
        <v>2471</v>
      </c>
      <c r="BV167" s="150" t="s">
        <v>2803</v>
      </c>
      <c r="BW167" s="258" t="s">
        <v>2867</v>
      </c>
      <c r="BX167" s="151" t="s">
        <v>2839</v>
      </c>
      <c r="BY167" s="150">
        <v>31.601700000000001</v>
      </c>
      <c r="BZ167" s="150" t="s">
        <v>24</v>
      </c>
      <c r="CA167" s="150">
        <f>44.5887-Table665[[#This Row],[Outcome1_M]]</f>
        <v>12.987000000000002</v>
      </c>
      <c r="CB167" s="151" t="s">
        <v>2840</v>
      </c>
      <c r="CC167" s="150">
        <v>101.732</v>
      </c>
      <c r="CD167" s="150" t="s">
        <v>24</v>
      </c>
      <c r="CE167" s="150">
        <f>122.078-Table665[[#This Row],[Outcome2_M]]</f>
        <v>20.346000000000004</v>
      </c>
      <c r="CF167" s="290" t="s">
        <v>2868</v>
      </c>
      <c r="CG167" s="291" t="s">
        <v>2869</v>
      </c>
      <c r="CH167" s="151" t="s">
        <v>2841</v>
      </c>
      <c r="CI167" s="266">
        <v>9.0909099999999992</v>
      </c>
      <c r="CJ167" s="150" t="s">
        <v>24</v>
      </c>
      <c r="CK167" s="266">
        <f>11.2554-Table665[[#This Row],[Outcome3_M]]</f>
        <v>2.1644900000000007</v>
      </c>
      <c r="CL167" s="151" t="s">
        <v>2842</v>
      </c>
      <c r="CM167" s="266">
        <v>28.571400000000001</v>
      </c>
      <c r="CN167" s="150" t="s">
        <v>24</v>
      </c>
      <c r="CO167" s="351">
        <f>42.4242-Table665[[#This Row],[Outcome4_M]]</f>
        <v>13.852799999999998</v>
      </c>
      <c r="CP167" s="290" t="s">
        <v>2857</v>
      </c>
      <c r="CQ167" s="291" t="s">
        <v>2480</v>
      </c>
      <c r="CR167" s="278"/>
      <c r="CS167" s="285"/>
      <c r="CT167" s="428"/>
      <c r="CU167" s="425"/>
      <c r="CV167" s="228"/>
      <c r="CW167" s="150"/>
      <c r="CX167" s="228"/>
      <c r="CY167" s="150"/>
      <c r="CZ167" s="228"/>
      <c r="DA167" s="150"/>
      <c r="DB167" s="543"/>
      <c r="DC167" s="560"/>
      <c r="DD167" s="150"/>
      <c r="DE167" s="150"/>
      <c r="DF167" s="150"/>
      <c r="DG167" s="150"/>
      <c r="DH167" s="150"/>
      <c r="DI167" s="150"/>
      <c r="DJ167" s="150"/>
      <c r="DK167" s="150"/>
      <c r="DL167" s="302"/>
      <c r="DM167" s="303"/>
      <c r="DN167" s="278"/>
      <c r="DO167" s="279"/>
      <c r="DP167" s="150"/>
      <c r="DQ167" s="150"/>
      <c r="DR167" s="150"/>
      <c r="DS167" s="150"/>
      <c r="DT167" s="151"/>
      <c r="DU167" s="150"/>
      <c r="DV167" s="150"/>
      <c r="DW167" s="150"/>
      <c r="DX167" s="303"/>
      <c r="DY167" s="303"/>
      <c r="DZ167" s="151"/>
      <c r="EA167" s="150"/>
      <c r="EB167" s="150"/>
      <c r="EC167" s="150"/>
      <c r="ED167" s="151"/>
      <c r="EE167" s="150"/>
      <c r="EF167" s="150"/>
      <c r="EG167" s="150"/>
      <c r="EH167" s="303"/>
      <c r="EI167" s="303"/>
      <c r="EJ167" s="279"/>
      <c r="EK167" s="150"/>
      <c r="EL167" s="150"/>
      <c r="EM167" s="150"/>
      <c r="EN167" s="150"/>
      <c r="EO167" s="150"/>
      <c r="EP167" s="150"/>
      <c r="EQ167" s="150"/>
      <c r="ER167" s="150"/>
      <c r="ES167" s="303"/>
      <c r="ET167" s="303"/>
      <c r="EU167" s="150"/>
      <c r="EV167" s="150"/>
      <c r="EW167" s="150"/>
      <c r="EX167" s="150"/>
      <c r="EY167" s="134"/>
      <c r="EZ167" s="134"/>
      <c r="FA167" s="134"/>
      <c r="FB167" s="134"/>
      <c r="FC167" s="135"/>
      <c r="FD167" s="135"/>
      <c r="FE167" s="134"/>
      <c r="FF167" s="134"/>
      <c r="FG167" s="134"/>
      <c r="FH167" s="134"/>
      <c r="FI167" s="134"/>
      <c r="FJ167" s="134"/>
      <c r="FK167" s="134"/>
      <c r="FL167" s="134"/>
      <c r="FM167" s="135"/>
      <c r="FN167" s="135"/>
      <c r="FO167" s="134"/>
      <c r="FP167" s="134"/>
      <c r="FQ167" s="134"/>
      <c r="FR167" s="134"/>
      <c r="FS167" s="134"/>
      <c r="FT167" s="134"/>
      <c r="FU167" s="134"/>
      <c r="FV167" s="134"/>
      <c r="FW167" s="135"/>
      <c r="FX167" s="135"/>
      <c r="FY167" s="134"/>
      <c r="FZ167" s="134"/>
      <c r="GA167" s="134"/>
      <c r="GB167" s="134"/>
      <c r="GC167" s="134"/>
      <c r="GD167" s="134"/>
      <c r="GE167" s="134"/>
      <c r="GF167" s="134"/>
      <c r="GG167" s="135"/>
      <c r="GH167" s="135"/>
      <c r="GI167" s="134"/>
      <c r="GJ167" s="134"/>
      <c r="GK167" s="134"/>
      <c r="GL167" s="134"/>
      <c r="GM167" s="134"/>
      <c r="GN167" s="134"/>
      <c r="GO167" s="134"/>
      <c r="GP167" s="134"/>
      <c r="GQ167" s="135"/>
      <c r="GR167" s="135"/>
      <c r="GS167" s="134"/>
      <c r="GT167" s="134"/>
      <c r="GU167" s="134"/>
      <c r="GV167" s="134"/>
      <c r="GW167" s="134"/>
      <c r="GX167" s="134"/>
      <c r="GY167" s="134"/>
      <c r="GZ167" s="134"/>
      <c r="HA167" s="135"/>
      <c r="HB167" s="135"/>
      <c r="HC167" s="134"/>
      <c r="HD167" s="134"/>
      <c r="HE167" s="134"/>
      <c r="HF167" s="134"/>
      <c r="HG167" s="134"/>
      <c r="HH167" s="134"/>
      <c r="HI167" s="134"/>
      <c r="HJ167" s="134"/>
      <c r="HK167" s="135"/>
      <c r="HL167" s="135"/>
      <c r="HM167" s="134"/>
      <c r="HN167" s="134"/>
      <c r="HO167" s="134"/>
      <c r="HP167" s="134"/>
      <c r="HQ167" s="134"/>
      <c r="HR167" s="134"/>
      <c r="HS167" s="134"/>
      <c r="HT167" s="134"/>
      <c r="HU167" s="135"/>
      <c r="HV167" s="135"/>
      <c r="HW167" s="134"/>
      <c r="HX167" s="134"/>
      <c r="HY167" s="134"/>
      <c r="HZ167" s="134"/>
      <c r="IA167" s="134"/>
      <c r="IB167" s="134"/>
      <c r="IC167" s="134"/>
      <c r="ID167" s="134"/>
      <c r="IE167" s="135"/>
      <c r="IF167" s="135"/>
      <c r="IG167" s="134"/>
      <c r="IH167" s="134"/>
      <c r="II167" s="134"/>
      <c r="IJ167" s="134"/>
      <c r="IK167" s="134"/>
      <c r="IL167" s="134"/>
      <c r="IM167" s="134"/>
      <c r="IN167" s="134"/>
      <c r="IO167" s="135"/>
      <c r="IP167" s="135"/>
      <c r="IQ167" s="134"/>
      <c r="IR167" s="134"/>
      <c r="IS167" s="134"/>
      <c r="IT167" s="134"/>
      <c r="IU167" s="134"/>
      <c r="IV167" s="134"/>
      <c r="IW167" s="134"/>
      <c r="IX167" s="134"/>
      <c r="IY167" s="135"/>
      <c r="IZ167" s="135"/>
    </row>
    <row r="168" spans="1:260" customFormat="1" ht="17" customHeight="1">
      <c r="A168" s="79" t="s">
        <v>1069</v>
      </c>
      <c r="B168" s="117">
        <v>106</v>
      </c>
      <c r="C168" s="117">
        <v>21</v>
      </c>
      <c r="D168" s="117"/>
      <c r="E168" s="123" t="s">
        <v>2069</v>
      </c>
      <c r="F168" s="124" t="s">
        <v>2321</v>
      </c>
      <c r="G168" s="125">
        <v>2015</v>
      </c>
      <c r="H168" s="79">
        <v>25750029</v>
      </c>
      <c r="I168" s="79">
        <v>1</v>
      </c>
      <c r="J168" s="126"/>
      <c r="K168" s="127"/>
      <c r="L168" s="79">
        <v>1</v>
      </c>
      <c r="M168" s="79"/>
      <c r="N168" s="79">
        <v>1</v>
      </c>
      <c r="O168" s="128">
        <v>2</v>
      </c>
      <c r="P168" s="79" t="s">
        <v>1585</v>
      </c>
      <c r="Q168" s="79" t="s">
        <v>1216</v>
      </c>
      <c r="R168" s="79" t="s">
        <v>1127</v>
      </c>
      <c r="S168" s="79"/>
      <c r="T168" s="79" t="s">
        <v>1310</v>
      </c>
      <c r="U168" s="79" t="s">
        <v>803</v>
      </c>
      <c r="V168" s="79"/>
      <c r="W168" s="79" t="s">
        <v>1311</v>
      </c>
      <c r="X168" s="79"/>
      <c r="Y168" s="79"/>
      <c r="Z168" s="79"/>
      <c r="AA168" s="79"/>
      <c r="AB168" s="79"/>
      <c r="AC168" s="506"/>
      <c r="AD168" s="573">
        <v>1</v>
      </c>
      <c r="AE168" s="573">
        <v>2</v>
      </c>
      <c r="AF168" s="154">
        <v>1</v>
      </c>
      <c r="AG168" s="155"/>
      <c r="AH168" s="121">
        <v>4</v>
      </c>
      <c r="AI168" s="484"/>
      <c r="AJ168" s="202"/>
      <c r="AK168" s="192">
        <v>0</v>
      </c>
      <c r="AL168" s="203">
        <v>0</v>
      </c>
      <c r="AM168" s="121" t="s">
        <v>4147</v>
      </c>
      <c r="AN168" s="121">
        <v>5</v>
      </c>
      <c r="AO168" s="121">
        <v>5</v>
      </c>
      <c r="AP168" s="121" t="s">
        <v>803</v>
      </c>
      <c r="AQ168" s="121" t="s">
        <v>803</v>
      </c>
      <c r="AR168" s="121" t="s">
        <v>2687</v>
      </c>
      <c r="AS168" s="121" t="s">
        <v>24</v>
      </c>
      <c r="AT168" s="121" t="s">
        <v>2687</v>
      </c>
      <c r="AU168" s="121" t="s">
        <v>24</v>
      </c>
      <c r="AV168" s="121" t="s">
        <v>4146</v>
      </c>
      <c r="AW168" s="121">
        <v>1</v>
      </c>
      <c r="AX168" s="121">
        <v>1</v>
      </c>
      <c r="AY168" s="121" t="s">
        <v>4064</v>
      </c>
      <c r="AZ168" s="121" t="s">
        <v>4145</v>
      </c>
      <c r="BA168" s="121" t="s">
        <v>3279</v>
      </c>
      <c r="BB168" s="121"/>
      <c r="BC168" s="121"/>
      <c r="BD168" s="156"/>
      <c r="BE168" s="156"/>
      <c r="BF168" s="156"/>
      <c r="BG168" s="156"/>
      <c r="BH168" s="156"/>
      <c r="BI168" s="156"/>
      <c r="BJ168" s="156">
        <v>1</v>
      </c>
      <c r="BK168" s="156"/>
      <c r="BL168" s="156"/>
      <c r="BM168" s="156"/>
      <c r="BN168" s="156"/>
      <c r="BO168" s="156"/>
      <c r="BP168" s="156"/>
      <c r="BQ168" s="157" t="s">
        <v>3563</v>
      </c>
      <c r="BR168" s="134" t="s">
        <v>1876</v>
      </c>
      <c r="BS168" s="134" t="s">
        <v>4148</v>
      </c>
      <c r="BT168" s="134" t="s">
        <v>4149</v>
      </c>
      <c r="BU168" s="134" t="s">
        <v>4150</v>
      </c>
      <c r="BV168" s="134" t="s">
        <v>4151</v>
      </c>
      <c r="BW168" s="259" t="s">
        <v>4159</v>
      </c>
      <c r="BX168" s="138" t="s">
        <v>4152</v>
      </c>
      <c r="BY168" s="134">
        <v>22.410699999999999</v>
      </c>
      <c r="BZ168" s="134" t="s">
        <v>24</v>
      </c>
      <c r="CA168" s="134">
        <f>23.2143-Table665[[#This Row],[Outcome1_M]]</f>
        <v>0.80360000000000298</v>
      </c>
      <c r="CB168" s="138" t="s">
        <v>4154</v>
      </c>
      <c r="CC168" s="134">
        <v>45.982100000000003</v>
      </c>
      <c r="CD168" s="134" t="s">
        <v>24</v>
      </c>
      <c r="CE168" s="134">
        <f>47.1429-Table665[[#This Row],[Outcome2_M]]</f>
        <v>1.1607999999999947</v>
      </c>
      <c r="CF168" s="288" t="s">
        <v>4156</v>
      </c>
      <c r="CG168" s="289" t="s">
        <v>2555</v>
      </c>
      <c r="CH168" s="138" t="s">
        <v>4153</v>
      </c>
      <c r="CI168" s="134">
        <v>46.428600000000003</v>
      </c>
      <c r="CJ168" s="134" t="s">
        <v>24</v>
      </c>
      <c r="CK168" s="134">
        <f>49.6429-Table665[[#This Row],[Outcome3_M]]</f>
        <v>3.2142999999999944</v>
      </c>
      <c r="CL168" s="138" t="s">
        <v>4155</v>
      </c>
      <c r="CM168" s="134">
        <v>30.367899999999999</v>
      </c>
      <c r="CN168" s="134" t="s">
        <v>24</v>
      </c>
      <c r="CO168" s="134">
        <f>32.4107-Table665[[#This Row],[Outcome4_M]]</f>
        <v>2.0427999999999997</v>
      </c>
      <c r="CP168" s="288" t="s">
        <v>4157</v>
      </c>
      <c r="CQ168" s="289" t="s">
        <v>2555</v>
      </c>
      <c r="CR168" s="276" t="s">
        <v>4158</v>
      </c>
      <c r="CS168" s="308" t="s">
        <v>3026</v>
      </c>
      <c r="CT168" s="430"/>
      <c r="CU168" s="426"/>
      <c r="CV168" s="426"/>
      <c r="CW168" s="426"/>
      <c r="CX168" s="426"/>
      <c r="CY168" s="134"/>
      <c r="CZ168" s="134"/>
      <c r="DA168" s="134"/>
      <c r="DB168" s="434"/>
      <c r="DC168" s="445"/>
      <c r="DD168" s="426"/>
      <c r="DE168" s="426"/>
      <c r="DF168" s="426"/>
      <c r="DG168" s="426"/>
      <c r="DH168" s="426"/>
      <c r="DI168" s="134"/>
      <c r="DJ168" s="134"/>
      <c r="DK168" s="134"/>
      <c r="DL168" s="434"/>
      <c r="DM168" s="445"/>
      <c r="DN168" s="276"/>
      <c r="DO168" s="277"/>
      <c r="DP168" s="134"/>
      <c r="DQ168" s="134"/>
      <c r="DR168" s="134"/>
      <c r="DS168" s="134"/>
      <c r="DT168" s="138"/>
      <c r="DU168" s="134"/>
      <c r="DV168" s="134"/>
      <c r="DW168" s="134"/>
      <c r="DX168" s="301"/>
      <c r="DY168" s="301"/>
      <c r="DZ168" s="138"/>
      <c r="EA168" s="134"/>
      <c r="EB168" s="134"/>
      <c r="EC168" s="134"/>
      <c r="ED168" s="138"/>
      <c r="EE168" s="134"/>
      <c r="EF168" s="134"/>
      <c r="EG168" s="134"/>
      <c r="EH168" s="301"/>
      <c r="EI168" s="301"/>
      <c r="EJ168" s="277"/>
      <c r="EK168" s="134"/>
      <c r="EL168" s="134"/>
      <c r="EM168" s="134"/>
      <c r="EN168" s="134"/>
      <c r="EO168" s="134"/>
      <c r="EP168" s="134"/>
      <c r="EQ168" s="134"/>
      <c r="ER168" s="134"/>
      <c r="ES168" s="301"/>
      <c r="ET168" s="301"/>
      <c r="EU168" s="134"/>
      <c r="EV168" s="134"/>
      <c r="EW168" s="134"/>
      <c r="EX168" s="134"/>
      <c r="EY168" s="134"/>
      <c r="EZ168" s="134"/>
      <c r="FA168" s="134"/>
      <c r="FB168" s="134"/>
      <c r="FC168" s="135"/>
      <c r="FD168" s="135"/>
      <c r="FE168" s="134"/>
      <c r="FF168" s="134"/>
      <c r="FG168" s="134"/>
      <c r="FH168" s="134"/>
      <c r="FI168" s="134"/>
      <c r="FJ168" s="134"/>
      <c r="FK168" s="134"/>
      <c r="FL168" s="134"/>
      <c r="FM168" s="135"/>
      <c r="FN168" s="135"/>
      <c r="FO168" s="134"/>
      <c r="FP168" s="134"/>
      <c r="FQ168" s="134"/>
      <c r="FR168" s="134"/>
      <c r="FS168" s="134"/>
      <c r="FT168" s="134"/>
      <c r="FU168" s="134"/>
      <c r="FV168" s="134"/>
      <c r="FW168" s="135"/>
      <c r="FX168" s="135"/>
      <c r="FY168" s="134"/>
      <c r="FZ168" s="134"/>
      <c r="GA168" s="134"/>
      <c r="GB168" s="134"/>
      <c r="GC168" s="134"/>
      <c r="GD168" s="134"/>
      <c r="GE168" s="134"/>
      <c r="GF168" s="134"/>
      <c r="GG168" s="135"/>
      <c r="GH168" s="135"/>
      <c r="GI168" s="134"/>
      <c r="GJ168" s="134"/>
      <c r="GK168" s="134"/>
      <c r="GL168" s="134"/>
      <c r="GM168" s="134"/>
      <c r="GN168" s="134"/>
      <c r="GO168" s="134"/>
      <c r="GP168" s="134"/>
      <c r="GQ168" s="135"/>
      <c r="GR168" s="135"/>
      <c r="GS168" s="134"/>
      <c r="GT168" s="134"/>
      <c r="GU168" s="134"/>
      <c r="GV168" s="134"/>
      <c r="GW168" s="134"/>
      <c r="GX168" s="134"/>
      <c r="GY168" s="134"/>
      <c r="GZ168" s="134"/>
      <c r="HA168" s="135"/>
      <c r="HB168" s="135"/>
      <c r="HC168" s="134"/>
      <c r="HD168" s="134"/>
      <c r="HE168" s="134"/>
      <c r="HF168" s="134"/>
      <c r="HG168" s="134"/>
      <c r="HH168" s="134"/>
      <c r="HI168" s="134"/>
      <c r="HJ168" s="134"/>
      <c r="HK168" s="135"/>
      <c r="HL168" s="135"/>
      <c r="HM168" s="134"/>
      <c r="HN168" s="134"/>
      <c r="HO168" s="134"/>
      <c r="HP168" s="134"/>
      <c r="HQ168" s="134"/>
      <c r="HR168" s="134"/>
      <c r="HS168" s="134"/>
      <c r="HT168" s="134"/>
      <c r="HU168" s="135"/>
      <c r="HV168" s="135"/>
      <c r="HW168" s="134"/>
      <c r="HX168" s="134"/>
      <c r="HY168" s="134"/>
      <c r="HZ168" s="134"/>
      <c r="IA168" s="134"/>
      <c r="IB168" s="134"/>
      <c r="IC168" s="134"/>
      <c r="ID168" s="134"/>
      <c r="IE168" s="135"/>
      <c r="IF168" s="135"/>
      <c r="IG168" s="134"/>
      <c r="IH168" s="134"/>
      <c r="II168" s="134"/>
      <c r="IJ168" s="134"/>
      <c r="IK168" s="134"/>
      <c r="IL168" s="134"/>
      <c r="IM168" s="134"/>
      <c r="IN168" s="134"/>
      <c r="IO168" s="135"/>
      <c r="IP168" s="135"/>
      <c r="IQ168" s="134"/>
      <c r="IR168" s="134"/>
      <c r="IS168" s="134"/>
      <c r="IT168" s="134"/>
      <c r="IU168" s="134"/>
      <c r="IV168" s="134"/>
      <c r="IW168" s="134"/>
      <c r="IX168" s="134"/>
      <c r="IY168" s="135"/>
      <c r="IZ168" s="135"/>
    </row>
    <row r="169" spans="1:260" customFormat="1" ht="17" customHeight="1">
      <c r="A169" s="79" t="s">
        <v>141</v>
      </c>
      <c r="B169" s="117">
        <v>108</v>
      </c>
      <c r="C169" s="117">
        <v>97</v>
      </c>
      <c r="D169" s="117"/>
      <c r="E169" s="123" t="s">
        <v>1950</v>
      </c>
      <c r="F169" s="124" t="s">
        <v>2169</v>
      </c>
      <c r="G169" s="125">
        <v>2013</v>
      </c>
      <c r="H169" s="79">
        <v>23540599</v>
      </c>
      <c r="I169" s="79">
        <v>1</v>
      </c>
      <c r="J169" s="126" t="s">
        <v>1776</v>
      </c>
      <c r="K169" s="127" t="s">
        <v>1759</v>
      </c>
      <c r="L169" s="164">
        <v>1</v>
      </c>
      <c r="M169" s="79" t="s">
        <v>1737</v>
      </c>
      <c r="N169" s="164">
        <v>1</v>
      </c>
      <c r="O169" s="128">
        <v>1</v>
      </c>
      <c r="P169" s="79" t="s">
        <v>442</v>
      </c>
      <c r="Q169" s="79" t="s">
        <v>1142</v>
      </c>
      <c r="R169" s="79" t="s">
        <v>443</v>
      </c>
      <c r="S169" s="79">
        <v>1</v>
      </c>
      <c r="T169" s="79"/>
      <c r="U169" s="79"/>
      <c r="V169" s="79"/>
      <c r="W169" s="79" t="s">
        <v>444</v>
      </c>
      <c r="X169" s="79" t="s">
        <v>445</v>
      </c>
      <c r="Y169" s="79" t="s">
        <v>446</v>
      </c>
      <c r="Z169" s="79"/>
      <c r="AA169" s="79"/>
      <c r="AB169" s="79" t="s">
        <v>447</v>
      </c>
      <c r="AC169" s="506"/>
      <c r="AD169" s="573">
        <v>1</v>
      </c>
      <c r="AE169" s="573">
        <v>2</v>
      </c>
      <c r="AF169" s="165">
        <v>0</v>
      </c>
      <c r="AG169" s="166" t="s">
        <v>6154</v>
      </c>
      <c r="AH169" s="120">
        <v>2</v>
      </c>
      <c r="AI169" s="120"/>
      <c r="AJ169" s="206"/>
      <c r="AK169" s="372"/>
      <c r="AL169" s="207"/>
      <c r="AM169" s="120"/>
      <c r="AN169" s="120">
        <v>10</v>
      </c>
      <c r="AO169" s="120" t="s">
        <v>24</v>
      </c>
      <c r="AP169" s="120"/>
      <c r="AQ169" s="120"/>
      <c r="AR169" s="120"/>
      <c r="AS169" s="120"/>
      <c r="AT169" s="120"/>
      <c r="AU169" s="120"/>
      <c r="AV169" s="120"/>
      <c r="AW169" s="120"/>
      <c r="AX169" s="120"/>
      <c r="AY169" s="120"/>
      <c r="AZ169" s="120"/>
      <c r="BA169" s="120"/>
      <c r="BB169" s="120"/>
      <c r="BC169" s="120"/>
      <c r="BD169" s="373"/>
      <c r="BE169" s="373"/>
      <c r="BF169" s="373"/>
      <c r="BG169" s="373"/>
      <c r="BH169" s="373"/>
      <c r="BI169" s="373"/>
      <c r="BJ169" s="373" t="s">
        <v>1917</v>
      </c>
      <c r="BK169" s="373"/>
      <c r="BL169" s="373"/>
      <c r="BM169" s="373"/>
      <c r="BN169" s="373"/>
      <c r="BO169" s="373"/>
      <c r="BP169" s="373"/>
      <c r="BQ169" s="374"/>
      <c r="BR169" s="134"/>
      <c r="BS169" s="134"/>
      <c r="BT169" s="134"/>
      <c r="BU169" s="134"/>
      <c r="BV169" s="134"/>
      <c r="BW169" s="259"/>
      <c r="BX169" s="138"/>
      <c r="BY169" s="134"/>
      <c r="BZ169" s="134"/>
      <c r="CA169" s="134"/>
      <c r="CB169" s="138"/>
      <c r="CC169" s="134"/>
      <c r="CD169" s="134"/>
      <c r="CE169" s="134"/>
      <c r="CF169" s="288"/>
      <c r="CG169" s="289"/>
      <c r="CH169" s="138"/>
      <c r="CI169" s="134"/>
      <c r="CJ169" s="134"/>
      <c r="CK169" s="134"/>
      <c r="CL169" s="138"/>
      <c r="CM169" s="134"/>
      <c r="CN169" s="134"/>
      <c r="CO169" s="134"/>
      <c r="CP169" s="288"/>
      <c r="CQ169" s="289"/>
      <c r="CR169" s="276"/>
      <c r="CS169" s="308"/>
      <c r="CT169" s="138"/>
      <c r="CU169" s="134"/>
      <c r="CV169" s="134"/>
      <c r="CW169" s="134"/>
      <c r="CX169" s="134"/>
      <c r="CY169" s="134"/>
      <c r="CZ169" s="134"/>
      <c r="DA169" s="134"/>
      <c r="DB169" s="300"/>
      <c r="DC169" s="301"/>
      <c r="DD169" s="134"/>
      <c r="DE169" s="134"/>
      <c r="DF169" s="134"/>
      <c r="DG169" s="134"/>
      <c r="DH169" s="134"/>
      <c r="DI169" s="134"/>
      <c r="DJ169" s="134"/>
      <c r="DK169" s="134"/>
      <c r="DL169" s="300"/>
      <c r="DM169" s="301"/>
      <c r="DN169" s="276"/>
      <c r="DO169" s="277"/>
      <c r="DP169" s="134"/>
      <c r="DQ169" s="134"/>
      <c r="DR169" s="134"/>
      <c r="DS169" s="134"/>
      <c r="DT169" s="138"/>
      <c r="DU169" s="134"/>
      <c r="DV169" s="134"/>
      <c r="DW169" s="134"/>
      <c r="DX169" s="301"/>
      <c r="DY169" s="301"/>
      <c r="DZ169" s="138"/>
      <c r="EA169" s="134"/>
      <c r="EB169" s="134"/>
      <c r="EC169" s="134"/>
      <c r="ED169" s="138"/>
      <c r="EE169" s="134"/>
      <c r="EF169" s="134"/>
      <c r="EG169" s="134"/>
      <c r="EH169" s="301"/>
      <c r="EI169" s="301"/>
      <c r="EJ169" s="277"/>
      <c r="EK169" s="134"/>
      <c r="EL169" s="134"/>
      <c r="EM169" s="134"/>
      <c r="EN169" s="134"/>
      <c r="EO169" s="134"/>
      <c r="EP169" s="134"/>
      <c r="EQ169" s="134"/>
      <c r="ER169" s="134"/>
      <c r="ES169" s="301"/>
      <c r="ET169" s="301"/>
      <c r="EU169" s="134"/>
      <c r="EV169" s="134"/>
      <c r="EW169" s="134"/>
      <c r="EX169" s="134"/>
      <c r="EY169" s="134"/>
      <c r="EZ169" s="134"/>
      <c r="FA169" s="134"/>
      <c r="FB169" s="134"/>
      <c r="FC169" s="135"/>
      <c r="FD169" s="135"/>
      <c r="FE169" s="134"/>
      <c r="FF169" s="134"/>
      <c r="FG169" s="134"/>
      <c r="FH169" s="134"/>
      <c r="FI169" s="134"/>
      <c r="FJ169" s="134"/>
      <c r="FK169" s="134"/>
      <c r="FL169" s="134"/>
      <c r="FM169" s="135"/>
      <c r="FN169" s="135"/>
      <c r="FO169" s="134"/>
      <c r="FP169" s="134"/>
      <c r="FQ169" s="134"/>
      <c r="FR169" s="134"/>
      <c r="FS169" s="134"/>
      <c r="FT169" s="134"/>
      <c r="FU169" s="134"/>
      <c r="FV169" s="134"/>
      <c r="FW169" s="135"/>
      <c r="FX169" s="135"/>
      <c r="FY169" s="134"/>
      <c r="FZ169" s="134"/>
      <c r="GA169" s="134"/>
      <c r="GB169" s="134"/>
      <c r="GC169" s="134"/>
      <c r="GD169" s="134"/>
      <c r="GE169" s="134"/>
      <c r="GF169" s="134"/>
      <c r="GG169" s="135"/>
      <c r="GH169" s="135"/>
      <c r="GI169" s="134"/>
      <c r="GJ169" s="134"/>
      <c r="GK169" s="134"/>
      <c r="GL169" s="134"/>
      <c r="GM169" s="134"/>
      <c r="GN169" s="134"/>
      <c r="GO169" s="134"/>
      <c r="GP169" s="134"/>
      <c r="GQ169" s="135"/>
      <c r="GR169" s="135"/>
      <c r="GS169" s="134"/>
      <c r="GT169" s="134"/>
      <c r="GU169" s="134"/>
      <c r="GV169" s="134"/>
      <c r="GW169" s="134"/>
      <c r="GX169" s="134"/>
      <c r="GY169" s="134"/>
      <c r="GZ169" s="134"/>
      <c r="HA169" s="135"/>
      <c r="HB169" s="135"/>
      <c r="HC169" s="134"/>
      <c r="HD169" s="134"/>
      <c r="HE169" s="134"/>
      <c r="HF169" s="134"/>
      <c r="HG169" s="134"/>
      <c r="HH169" s="134"/>
      <c r="HI169" s="134"/>
      <c r="HJ169" s="134"/>
      <c r="HK169" s="135"/>
      <c r="HL169" s="135"/>
      <c r="HM169" s="134"/>
      <c r="HN169" s="134"/>
      <c r="HO169" s="134"/>
      <c r="HP169" s="134"/>
      <c r="HQ169" s="134"/>
      <c r="HR169" s="134"/>
      <c r="HS169" s="134"/>
      <c r="HT169" s="134"/>
      <c r="HU169" s="135"/>
      <c r="HV169" s="135"/>
      <c r="HW169" s="134"/>
      <c r="HX169" s="134"/>
      <c r="HY169" s="134"/>
      <c r="HZ169" s="134"/>
      <c r="IA169" s="134"/>
      <c r="IB169" s="134"/>
      <c r="IC169" s="134"/>
      <c r="ID169" s="134"/>
      <c r="IE169" s="135"/>
      <c r="IF169" s="135"/>
      <c r="IG169" s="134"/>
      <c r="IH169" s="134"/>
      <c r="II169" s="134"/>
      <c r="IJ169" s="134"/>
      <c r="IK169" s="134"/>
      <c r="IL169" s="134"/>
      <c r="IM169" s="134"/>
      <c r="IN169" s="134"/>
      <c r="IO169" s="135"/>
      <c r="IP169" s="135"/>
      <c r="IQ169" s="134"/>
      <c r="IR169" s="134"/>
      <c r="IS169" s="134"/>
      <c r="IT169" s="134"/>
      <c r="IU169" s="134"/>
      <c r="IV169" s="134"/>
      <c r="IW169" s="134"/>
      <c r="IX169" s="134"/>
      <c r="IY169" s="135"/>
      <c r="IZ169" s="135"/>
    </row>
    <row r="170" spans="1:260" customFormat="1" ht="17" customHeight="1">
      <c r="A170" s="79" t="s">
        <v>143</v>
      </c>
      <c r="B170" s="458">
        <v>109</v>
      </c>
      <c r="C170" s="458">
        <v>22</v>
      </c>
      <c r="D170" s="458"/>
      <c r="E170" s="180" t="s">
        <v>1951</v>
      </c>
      <c r="F170" s="181" t="s">
        <v>2170</v>
      </c>
      <c r="G170" s="182">
        <v>2009</v>
      </c>
      <c r="H170" s="79">
        <v>18800372</v>
      </c>
      <c r="I170" s="79">
        <v>1</v>
      </c>
      <c r="J170" s="79"/>
      <c r="K170" s="79"/>
      <c r="L170" s="79">
        <v>1</v>
      </c>
      <c r="M170" s="79"/>
      <c r="N170" s="79">
        <v>1</v>
      </c>
      <c r="O170" s="128">
        <v>1</v>
      </c>
      <c r="P170" s="79" t="s">
        <v>450</v>
      </c>
      <c r="Q170" s="79" t="s">
        <v>1147</v>
      </c>
      <c r="R170" s="79" t="s">
        <v>25</v>
      </c>
      <c r="S170" s="79">
        <v>1</v>
      </c>
      <c r="T170" s="79"/>
      <c r="U170" s="79"/>
      <c r="V170" s="79"/>
      <c r="W170" s="79" t="s">
        <v>449</v>
      </c>
      <c r="X170" s="79"/>
      <c r="Y170" s="79"/>
      <c r="Z170" s="79"/>
      <c r="AA170" s="79"/>
      <c r="AB170" s="79"/>
      <c r="AC170" s="506"/>
      <c r="AD170" s="573">
        <v>1</v>
      </c>
      <c r="AE170" s="573">
        <v>2</v>
      </c>
      <c r="AF170" s="352">
        <v>1</v>
      </c>
      <c r="AG170" s="353"/>
      <c r="AH170" s="346">
        <v>2</v>
      </c>
      <c r="AI170" s="487"/>
      <c r="AJ170" s="459" t="s">
        <v>4207</v>
      </c>
      <c r="AK170" s="566">
        <v>1</v>
      </c>
      <c r="AL170" s="349" t="s">
        <v>24</v>
      </c>
      <c r="AM170" s="346">
        <f>Table665[[#This Row],[Subjects_n_ptsd]]+Table665[[#This Row],[Subjects_n_control]]</f>
        <v>50</v>
      </c>
      <c r="AN170" s="346">
        <v>25</v>
      </c>
      <c r="AO170" s="346">
        <v>25</v>
      </c>
      <c r="AP170" s="346" t="s">
        <v>803</v>
      </c>
      <c r="AQ170" s="346" t="s">
        <v>803</v>
      </c>
      <c r="AR170" s="346">
        <v>33.32</v>
      </c>
      <c r="AS170" s="346">
        <v>4.76</v>
      </c>
      <c r="AT170" s="346">
        <v>34.799999999999997</v>
      </c>
      <c r="AU170" s="346">
        <v>4.5999999999999996</v>
      </c>
      <c r="AV170" s="346" t="s">
        <v>4160</v>
      </c>
      <c r="AW170" s="346" t="s">
        <v>24</v>
      </c>
      <c r="AX170" s="346" t="s">
        <v>24</v>
      </c>
      <c r="AY170" s="346" t="s">
        <v>4161</v>
      </c>
      <c r="AZ170" s="346" t="s">
        <v>3835</v>
      </c>
      <c r="BA170" s="346" t="s">
        <v>4162</v>
      </c>
      <c r="BB170" s="346"/>
      <c r="BC170" s="346"/>
      <c r="BD170" s="184"/>
      <c r="BE170" s="184"/>
      <c r="BF170" s="184"/>
      <c r="BG170" s="184"/>
      <c r="BH170" s="184"/>
      <c r="BI170" s="184"/>
      <c r="BJ170" s="184">
        <v>1</v>
      </c>
      <c r="BK170" s="184"/>
      <c r="BL170" s="184"/>
      <c r="BM170" s="184"/>
      <c r="BN170" s="184"/>
      <c r="BO170" s="184"/>
      <c r="BP170" s="184"/>
      <c r="BQ170" s="185" t="s">
        <v>4208</v>
      </c>
      <c r="BR170" s="186" t="s">
        <v>1876</v>
      </c>
      <c r="BS170" s="186">
        <v>2</v>
      </c>
      <c r="BT170" s="186" t="s">
        <v>4178</v>
      </c>
      <c r="BU170" s="186" t="s">
        <v>24</v>
      </c>
      <c r="BV170" s="466" t="s">
        <v>4193</v>
      </c>
      <c r="BW170" s="261" t="s">
        <v>4230</v>
      </c>
      <c r="BX170" s="267" t="s">
        <v>4231</v>
      </c>
      <c r="BY170" s="464">
        <v>42</v>
      </c>
      <c r="BZ170" s="186">
        <v>6.93</v>
      </c>
      <c r="CA170" s="186" t="s">
        <v>24</v>
      </c>
      <c r="CB170" s="267" t="s">
        <v>4232</v>
      </c>
      <c r="CC170" s="186">
        <v>50.68</v>
      </c>
      <c r="CD170" s="186">
        <v>6.81</v>
      </c>
      <c r="CE170" s="186" t="s">
        <v>24</v>
      </c>
      <c r="CF170" s="294" t="s">
        <v>4210</v>
      </c>
      <c r="CG170" s="547" t="s">
        <v>4209</v>
      </c>
      <c r="CH170" s="267" t="s">
        <v>4172</v>
      </c>
      <c r="CI170" s="186">
        <v>8.68</v>
      </c>
      <c r="CJ170" s="186">
        <v>3.11</v>
      </c>
      <c r="CK170" s="186" t="s">
        <v>24</v>
      </c>
      <c r="CL170" s="267" t="s">
        <v>4173</v>
      </c>
      <c r="CM170" s="186">
        <v>10.88</v>
      </c>
      <c r="CN170" s="186">
        <v>2.62</v>
      </c>
      <c r="CO170" s="186" t="s">
        <v>24</v>
      </c>
      <c r="CP170" s="294" t="s">
        <v>4215</v>
      </c>
      <c r="CQ170" s="295" t="s">
        <v>4216</v>
      </c>
      <c r="CR170" s="280" t="s">
        <v>24</v>
      </c>
      <c r="CS170" s="310" t="s">
        <v>24</v>
      </c>
      <c r="CT170" s="267" t="s">
        <v>4174</v>
      </c>
      <c r="CU170" s="186">
        <v>13.76</v>
      </c>
      <c r="CV170" s="186">
        <v>1.96</v>
      </c>
      <c r="CW170" s="186" t="s">
        <v>24</v>
      </c>
      <c r="CX170" s="267" t="s">
        <v>4175</v>
      </c>
      <c r="CY170" s="186">
        <v>14.68</v>
      </c>
      <c r="CZ170" s="186">
        <v>0.63</v>
      </c>
      <c r="DA170" s="186" t="s">
        <v>24</v>
      </c>
      <c r="DB170" s="305" t="s">
        <v>4222</v>
      </c>
      <c r="DC170" s="315" t="s">
        <v>4221</v>
      </c>
      <c r="DD170" s="186" t="s">
        <v>4176</v>
      </c>
      <c r="DE170" s="186">
        <v>1.04</v>
      </c>
      <c r="DF170" s="186">
        <v>1.97</v>
      </c>
      <c r="DG170" s="186" t="s">
        <v>24</v>
      </c>
      <c r="DH170" s="186" t="s">
        <v>4177</v>
      </c>
      <c r="DI170" s="186">
        <v>0.24</v>
      </c>
      <c r="DJ170" s="186">
        <v>0.83</v>
      </c>
      <c r="DK170" s="186" t="s">
        <v>24</v>
      </c>
      <c r="DL170" s="305" t="s">
        <v>3229</v>
      </c>
      <c r="DM170" s="315" t="s">
        <v>4225</v>
      </c>
      <c r="DN170" s="572" t="s">
        <v>24</v>
      </c>
      <c r="DO170" s="281" t="s">
        <v>24</v>
      </c>
      <c r="DP170" s="186"/>
      <c r="DQ170" s="186"/>
      <c r="DR170" s="186"/>
      <c r="DS170" s="186"/>
      <c r="DT170" s="267"/>
      <c r="DU170" s="186"/>
      <c r="DV170" s="186"/>
      <c r="DW170" s="186"/>
      <c r="DX170" s="315"/>
      <c r="DY170" s="315"/>
      <c r="DZ170" s="267"/>
      <c r="EA170" s="186"/>
      <c r="EB170" s="186"/>
      <c r="EC170" s="186"/>
      <c r="ED170" s="267"/>
      <c r="EE170" s="186"/>
      <c r="EF170" s="186"/>
      <c r="EG170" s="186"/>
      <c r="EH170" s="315"/>
      <c r="EI170" s="315"/>
      <c r="EJ170" s="281"/>
      <c r="EK170" s="186"/>
      <c r="EL170" s="186"/>
      <c r="EM170" s="186"/>
      <c r="EN170" s="186"/>
      <c r="EO170" s="186"/>
      <c r="EP170" s="186"/>
      <c r="EQ170" s="186"/>
      <c r="ER170" s="186"/>
      <c r="ES170" s="315"/>
      <c r="ET170" s="315"/>
      <c r="EU170" s="186"/>
      <c r="EV170" s="186"/>
      <c r="EW170" s="186"/>
      <c r="EX170" s="186"/>
      <c r="EY170" s="134"/>
      <c r="EZ170" s="134"/>
      <c r="FA170" s="134"/>
      <c r="FB170" s="134"/>
      <c r="FC170" s="135"/>
      <c r="FD170" s="135"/>
      <c r="FE170" s="134"/>
      <c r="FF170" s="134"/>
      <c r="FG170" s="134"/>
      <c r="FH170" s="134"/>
      <c r="FI170" s="134"/>
      <c r="FJ170" s="134"/>
      <c r="FK170" s="134"/>
      <c r="FL170" s="134"/>
      <c r="FM170" s="135"/>
      <c r="FN170" s="135"/>
      <c r="FO170" s="134"/>
      <c r="FP170" s="134"/>
      <c r="FQ170" s="134"/>
      <c r="FR170" s="134"/>
      <c r="FS170" s="134"/>
      <c r="FT170" s="134"/>
      <c r="FU170" s="134"/>
      <c r="FV170" s="134"/>
      <c r="FW170" s="135"/>
      <c r="FX170" s="135"/>
      <c r="FY170" s="134"/>
      <c r="FZ170" s="134"/>
      <c r="GA170" s="134"/>
      <c r="GB170" s="134"/>
      <c r="GC170" s="134"/>
      <c r="GD170" s="134"/>
      <c r="GE170" s="134"/>
      <c r="GF170" s="134"/>
      <c r="GG170" s="135"/>
      <c r="GH170" s="135"/>
      <c r="GI170" s="134"/>
      <c r="GJ170" s="134"/>
      <c r="GK170" s="134"/>
      <c r="GL170" s="134"/>
      <c r="GM170" s="134"/>
      <c r="GN170" s="134"/>
      <c r="GO170" s="134"/>
      <c r="GP170" s="134"/>
      <c r="GQ170" s="135"/>
      <c r="GR170" s="135"/>
      <c r="GS170" s="134"/>
      <c r="GT170" s="134"/>
      <c r="GU170" s="134"/>
      <c r="GV170" s="134"/>
      <c r="GW170" s="134"/>
      <c r="GX170" s="134"/>
      <c r="GY170" s="134"/>
      <c r="GZ170" s="134"/>
      <c r="HA170" s="135"/>
      <c r="HB170" s="135"/>
      <c r="HC170" s="134"/>
      <c r="HD170" s="134"/>
      <c r="HE170" s="134"/>
      <c r="HF170" s="134"/>
      <c r="HG170" s="134"/>
      <c r="HH170" s="134"/>
      <c r="HI170" s="134"/>
      <c r="HJ170" s="134"/>
      <c r="HK170" s="135"/>
      <c r="HL170" s="135"/>
      <c r="HM170" s="134"/>
      <c r="HN170" s="134"/>
      <c r="HO170" s="134"/>
      <c r="HP170" s="134"/>
      <c r="HQ170" s="134"/>
      <c r="HR170" s="134"/>
      <c r="HS170" s="134"/>
      <c r="HT170" s="134"/>
      <c r="HU170" s="135"/>
      <c r="HV170" s="135"/>
      <c r="HW170" s="134"/>
      <c r="HX170" s="134"/>
      <c r="HY170" s="134"/>
      <c r="HZ170" s="134"/>
      <c r="IA170" s="134"/>
      <c r="IB170" s="134"/>
      <c r="IC170" s="134"/>
      <c r="ID170" s="134"/>
      <c r="IE170" s="135"/>
      <c r="IF170" s="135"/>
      <c r="IG170" s="134"/>
      <c r="IH170" s="134"/>
      <c r="II170" s="134"/>
      <c r="IJ170" s="134"/>
      <c r="IK170" s="134"/>
      <c r="IL170" s="134"/>
      <c r="IM170" s="134"/>
      <c r="IN170" s="134"/>
      <c r="IO170" s="135"/>
      <c r="IP170" s="135"/>
      <c r="IQ170" s="134"/>
      <c r="IR170" s="134"/>
      <c r="IS170" s="134"/>
      <c r="IT170" s="134"/>
      <c r="IU170" s="134"/>
      <c r="IV170" s="134"/>
      <c r="IW170" s="134"/>
      <c r="IX170" s="134"/>
      <c r="IY170" s="135"/>
      <c r="IZ170" s="135"/>
    </row>
    <row r="171" spans="1:260" customFormat="1" ht="17" customHeight="1">
      <c r="A171" s="118" t="s">
        <v>143</v>
      </c>
      <c r="B171" s="381">
        <v>109</v>
      </c>
      <c r="C171" s="381">
        <v>22</v>
      </c>
      <c r="D171" s="381"/>
      <c r="E171" s="139" t="s">
        <v>1951</v>
      </c>
      <c r="F171" s="140" t="s">
        <v>2170</v>
      </c>
      <c r="G171" s="141">
        <v>2009</v>
      </c>
      <c r="H171" s="118">
        <v>18800372</v>
      </c>
      <c r="I171" s="118">
        <v>1</v>
      </c>
      <c r="J171" s="118"/>
      <c r="K171" s="118"/>
      <c r="L171" s="118">
        <v>1</v>
      </c>
      <c r="M171" s="118"/>
      <c r="N171" s="118">
        <v>1</v>
      </c>
      <c r="O171" s="142">
        <v>1</v>
      </c>
      <c r="P171" s="118" t="s">
        <v>450</v>
      </c>
      <c r="Q171" s="118" t="s">
        <v>1147</v>
      </c>
      <c r="R171" s="118" t="s">
        <v>25</v>
      </c>
      <c r="S171" s="118">
        <v>1</v>
      </c>
      <c r="T171" s="118"/>
      <c r="U171" s="118"/>
      <c r="V171" s="118"/>
      <c r="W171" s="118" t="s">
        <v>449</v>
      </c>
      <c r="X171" s="118"/>
      <c r="Y171" s="118"/>
      <c r="Z171" s="118"/>
      <c r="AA171" s="118"/>
      <c r="AB171" s="118"/>
      <c r="AC171" s="145"/>
      <c r="AD171" s="573">
        <v>1</v>
      </c>
      <c r="AE171" s="573">
        <v>2</v>
      </c>
      <c r="AF171" s="159">
        <v>1</v>
      </c>
      <c r="AG171" s="160"/>
      <c r="AH171" s="122">
        <v>2</v>
      </c>
      <c r="AI171" s="485"/>
      <c r="AJ171" s="204" t="s">
        <v>4207</v>
      </c>
      <c r="AK171" s="420">
        <v>1</v>
      </c>
      <c r="AL171" s="205" t="s">
        <v>24</v>
      </c>
      <c r="AM171" s="122">
        <f>Table665[[#This Row],[Subjects_n_ptsd]]+Table665[[#This Row],[Subjects_n_control]]</f>
        <v>47</v>
      </c>
      <c r="AN171" s="122">
        <v>22</v>
      </c>
      <c r="AO171" s="122">
        <v>25</v>
      </c>
      <c r="AP171" s="122" t="s">
        <v>803</v>
      </c>
      <c r="AQ171" s="122" t="s">
        <v>803</v>
      </c>
      <c r="AR171" s="122">
        <v>33.32</v>
      </c>
      <c r="AS171" s="122">
        <v>4.76</v>
      </c>
      <c r="AT171" s="122">
        <v>34.799999999999997</v>
      </c>
      <c r="AU171" s="122">
        <v>4.5999999999999996</v>
      </c>
      <c r="AV171" s="122" t="s">
        <v>4160</v>
      </c>
      <c r="AW171" s="122" t="s">
        <v>24</v>
      </c>
      <c r="AX171" s="122" t="s">
        <v>24</v>
      </c>
      <c r="AY171" s="122" t="s">
        <v>4161</v>
      </c>
      <c r="AZ171" s="122" t="s">
        <v>3835</v>
      </c>
      <c r="BA171" s="122" t="s">
        <v>4162</v>
      </c>
      <c r="BB171" s="122"/>
      <c r="BC171" s="122"/>
      <c r="BD171" s="161"/>
      <c r="BE171" s="161"/>
      <c r="BF171" s="161"/>
      <c r="BG171" s="161"/>
      <c r="BH171" s="161"/>
      <c r="BI171" s="161"/>
      <c r="BJ171" s="161">
        <v>1</v>
      </c>
      <c r="BK171" s="161"/>
      <c r="BL171" s="161"/>
      <c r="BM171" s="161"/>
      <c r="BN171" s="161"/>
      <c r="BO171" s="161"/>
      <c r="BP171" s="161"/>
      <c r="BQ171" s="162" t="s">
        <v>4208</v>
      </c>
      <c r="BR171" s="150" t="s">
        <v>1876</v>
      </c>
      <c r="BS171" s="150">
        <v>2</v>
      </c>
      <c r="BT171" s="150" t="s">
        <v>4179</v>
      </c>
      <c r="BU171" s="150" t="s">
        <v>24</v>
      </c>
      <c r="BV171" s="465" t="s">
        <v>4194</v>
      </c>
      <c r="BW171" s="258" t="s">
        <v>4229</v>
      </c>
      <c r="BX171" s="151" t="s">
        <v>4181</v>
      </c>
      <c r="BY171" s="150">
        <v>53.14</v>
      </c>
      <c r="BZ171" s="150">
        <v>11.35</v>
      </c>
      <c r="CA171" s="150" t="s">
        <v>24</v>
      </c>
      <c r="CB171" s="151" t="s">
        <v>4182</v>
      </c>
      <c r="CC171" s="150">
        <v>57.52</v>
      </c>
      <c r="CD171" s="150">
        <v>8</v>
      </c>
      <c r="CE171" s="150" t="s">
        <v>24</v>
      </c>
      <c r="CF171" s="290" t="s">
        <v>4213</v>
      </c>
      <c r="CG171" s="548" t="s">
        <v>4233</v>
      </c>
      <c r="CH171" s="151" t="s">
        <v>4183</v>
      </c>
      <c r="CI171" s="150">
        <v>11.86</v>
      </c>
      <c r="CJ171" s="150">
        <v>3.37</v>
      </c>
      <c r="CK171" s="150" t="s">
        <v>24</v>
      </c>
      <c r="CL171" s="151" t="s">
        <v>4184</v>
      </c>
      <c r="CM171" s="150">
        <v>12.12</v>
      </c>
      <c r="CN171" s="150">
        <v>2.42</v>
      </c>
      <c r="CO171" s="150" t="s">
        <v>24</v>
      </c>
      <c r="CP171" s="290" t="s">
        <v>3229</v>
      </c>
      <c r="CQ171" s="291" t="s">
        <v>4217</v>
      </c>
      <c r="CR171" s="278" t="s">
        <v>24</v>
      </c>
      <c r="CS171" s="285" t="s">
        <v>24</v>
      </c>
      <c r="CT171" s="151" t="s">
        <v>4185</v>
      </c>
      <c r="CU171" s="150">
        <v>11.86</v>
      </c>
      <c r="CV171" s="150">
        <v>2.59</v>
      </c>
      <c r="CW171" s="150" t="s">
        <v>24</v>
      </c>
      <c r="CX171" s="151" t="s">
        <v>4186</v>
      </c>
      <c r="CY171" s="150">
        <v>12.56</v>
      </c>
      <c r="CZ171" s="150">
        <v>2.48</v>
      </c>
      <c r="DA171" s="150" t="s">
        <v>24</v>
      </c>
      <c r="DB171" s="302" t="s">
        <v>4222</v>
      </c>
      <c r="DC171" s="303" t="s">
        <v>4223</v>
      </c>
      <c r="DD171" s="150" t="s">
        <v>4187</v>
      </c>
      <c r="DE171" s="150">
        <v>11.77</v>
      </c>
      <c r="DF171" s="150">
        <v>3.35</v>
      </c>
      <c r="DG171" s="150" t="s">
        <v>24</v>
      </c>
      <c r="DH171" s="150" t="s">
        <v>4188</v>
      </c>
      <c r="DI171" s="150">
        <v>12.4</v>
      </c>
      <c r="DJ171" s="150">
        <v>2.4700000000000002</v>
      </c>
      <c r="DK171" s="150" t="s">
        <v>24</v>
      </c>
      <c r="DL171" s="302" t="s">
        <v>3229</v>
      </c>
      <c r="DM171" s="303" t="s">
        <v>4226</v>
      </c>
      <c r="DN171" s="446" t="s">
        <v>24</v>
      </c>
      <c r="DO171" s="279" t="s">
        <v>24</v>
      </c>
      <c r="DP171" s="150" t="s">
        <v>4189</v>
      </c>
      <c r="DQ171" s="150">
        <v>12.45</v>
      </c>
      <c r="DR171" s="150">
        <v>2.72</v>
      </c>
      <c r="DS171" s="150" t="s">
        <v>24</v>
      </c>
      <c r="DT171" s="150" t="s">
        <v>4190</v>
      </c>
      <c r="DU171" s="150">
        <v>12.76</v>
      </c>
      <c r="DV171" s="150">
        <v>2.2799999999999998</v>
      </c>
      <c r="DW171" s="150" t="s">
        <v>24</v>
      </c>
      <c r="DX171" s="303" t="s">
        <v>3229</v>
      </c>
      <c r="DY171" s="303" t="s">
        <v>4227</v>
      </c>
      <c r="DZ171" s="151" t="s">
        <v>4191</v>
      </c>
      <c r="EA171" s="150">
        <v>15.05</v>
      </c>
      <c r="EB171" s="150">
        <v>1.1299999999999999</v>
      </c>
      <c r="EC171" s="150" t="s">
        <v>24</v>
      </c>
      <c r="ED171" s="151" t="s">
        <v>4192</v>
      </c>
      <c r="EE171" s="150">
        <v>15.24</v>
      </c>
      <c r="EF171" s="150">
        <v>1.01</v>
      </c>
      <c r="EG171" s="150" t="s">
        <v>24</v>
      </c>
      <c r="EH171" s="303" t="s">
        <v>3229</v>
      </c>
      <c r="EI171" s="303" t="s">
        <v>4228</v>
      </c>
      <c r="EJ171" s="279" t="s">
        <v>24</v>
      </c>
      <c r="EK171" s="150"/>
      <c r="EL171" s="150"/>
      <c r="EM171" s="150"/>
      <c r="EN171" s="150"/>
      <c r="EO171" s="150"/>
      <c r="EP171" s="150"/>
      <c r="EQ171" s="150"/>
      <c r="ER171" s="150"/>
      <c r="ES171" s="303"/>
      <c r="ET171" s="303"/>
      <c r="EU171" s="150"/>
      <c r="EV171" s="150"/>
      <c r="EW171" s="150"/>
      <c r="EX171" s="150"/>
      <c r="EY171" s="134"/>
      <c r="EZ171" s="134"/>
      <c r="FA171" s="134"/>
      <c r="FB171" s="134"/>
      <c r="FC171" s="135"/>
      <c r="FD171" s="135"/>
      <c r="FE171" s="134"/>
      <c r="FF171" s="134"/>
      <c r="FG171" s="134"/>
      <c r="FH171" s="134"/>
      <c r="FI171" s="134"/>
      <c r="FJ171" s="134"/>
      <c r="FK171" s="134"/>
      <c r="FL171" s="134"/>
      <c r="FM171" s="135"/>
      <c r="FN171" s="135"/>
      <c r="FO171" s="134"/>
      <c r="FP171" s="134"/>
      <c r="FQ171" s="134"/>
      <c r="FR171" s="134"/>
      <c r="FS171" s="134"/>
      <c r="FT171" s="134"/>
      <c r="FU171" s="134"/>
      <c r="FV171" s="134"/>
      <c r="FW171" s="135"/>
      <c r="FX171" s="135"/>
      <c r="FY171" s="134"/>
      <c r="FZ171" s="134"/>
      <c r="GA171" s="134"/>
      <c r="GB171" s="134"/>
      <c r="GC171" s="134"/>
      <c r="GD171" s="134"/>
      <c r="GE171" s="134"/>
      <c r="GF171" s="134"/>
      <c r="GG171" s="135"/>
      <c r="GH171" s="135"/>
      <c r="GI171" s="134"/>
      <c r="GJ171" s="134"/>
      <c r="GK171" s="134"/>
      <c r="GL171" s="134"/>
      <c r="GM171" s="134"/>
      <c r="GN171" s="134"/>
      <c r="GO171" s="134"/>
      <c r="GP171" s="134"/>
      <c r="GQ171" s="135"/>
      <c r="GR171" s="135"/>
      <c r="GS171" s="134"/>
      <c r="GT171" s="134"/>
      <c r="GU171" s="134"/>
      <c r="GV171" s="134"/>
      <c r="GW171" s="134"/>
      <c r="GX171" s="134"/>
      <c r="GY171" s="134"/>
      <c r="GZ171" s="134"/>
      <c r="HA171" s="135"/>
      <c r="HB171" s="135"/>
      <c r="HC171" s="134"/>
      <c r="HD171" s="134"/>
      <c r="HE171" s="134"/>
      <c r="HF171" s="134"/>
      <c r="HG171" s="134"/>
      <c r="HH171" s="134"/>
      <c r="HI171" s="134"/>
      <c r="HJ171" s="134"/>
      <c r="HK171" s="135"/>
      <c r="HL171" s="135"/>
      <c r="HM171" s="134"/>
      <c r="HN171" s="134"/>
      <c r="HO171" s="134"/>
      <c r="HP171" s="134"/>
      <c r="HQ171" s="134"/>
      <c r="HR171" s="134"/>
      <c r="HS171" s="134"/>
      <c r="HT171" s="134"/>
      <c r="HU171" s="135"/>
      <c r="HV171" s="135"/>
      <c r="HW171" s="134"/>
      <c r="HX171" s="134"/>
      <c r="HY171" s="134"/>
      <c r="HZ171" s="134"/>
      <c r="IA171" s="134"/>
      <c r="IB171" s="134"/>
      <c r="IC171" s="134"/>
      <c r="ID171" s="134"/>
      <c r="IE171" s="135"/>
      <c r="IF171" s="135"/>
      <c r="IG171" s="134"/>
      <c r="IH171" s="134"/>
      <c r="II171" s="134"/>
      <c r="IJ171" s="134"/>
      <c r="IK171" s="134"/>
      <c r="IL171" s="134"/>
      <c r="IM171" s="134"/>
      <c r="IN171" s="134"/>
      <c r="IO171" s="135"/>
      <c r="IP171" s="135"/>
      <c r="IQ171" s="134"/>
      <c r="IR171" s="134"/>
      <c r="IS171" s="134"/>
      <c r="IT171" s="134"/>
      <c r="IU171" s="134"/>
      <c r="IV171" s="134"/>
      <c r="IW171" s="134"/>
      <c r="IX171" s="134"/>
      <c r="IY171" s="135"/>
      <c r="IZ171" s="135"/>
    </row>
    <row r="172" spans="1:260" customFormat="1" ht="17" customHeight="1">
      <c r="A172" s="118" t="s">
        <v>143</v>
      </c>
      <c r="B172" s="381">
        <v>109</v>
      </c>
      <c r="C172" s="381">
        <v>22</v>
      </c>
      <c r="D172" s="381"/>
      <c r="E172" s="139" t="s">
        <v>1951</v>
      </c>
      <c r="F172" s="140" t="s">
        <v>2170</v>
      </c>
      <c r="G172" s="141">
        <v>2009</v>
      </c>
      <c r="H172" s="118">
        <v>18800372</v>
      </c>
      <c r="I172" s="118">
        <v>1</v>
      </c>
      <c r="J172" s="118"/>
      <c r="K172" s="118"/>
      <c r="L172" s="118">
        <v>1</v>
      </c>
      <c r="M172" s="118"/>
      <c r="N172" s="118">
        <v>1</v>
      </c>
      <c r="O172" s="142">
        <v>1</v>
      </c>
      <c r="P172" s="118" t="s">
        <v>450</v>
      </c>
      <c r="Q172" s="118" t="s">
        <v>1147</v>
      </c>
      <c r="R172" s="118" t="s">
        <v>25</v>
      </c>
      <c r="S172" s="118">
        <v>1</v>
      </c>
      <c r="T172" s="118"/>
      <c r="U172" s="118"/>
      <c r="V172" s="118"/>
      <c r="W172" s="118" t="s">
        <v>449</v>
      </c>
      <c r="X172" s="118"/>
      <c r="Y172" s="118"/>
      <c r="Z172" s="118"/>
      <c r="AA172" s="118"/>
      <c r="AB172" s="118"/>
      <c r="AC172" s="145"/>
      <c r="AD172" s="573">
        <v>1</v>
      </c>
      <c r="AE172" s="573">
        <v>2</v>
      </c>
      <c r="AF172" s="159">
        <v>1</v>
      </c>
      <c r="AG172" s="160"/>
      <c r="AH172" s="122">
        <v>2</v>
      </c>
      <c r="AI172" s="485"/>
      <c r="AJ172" s="204" t="s">
        <v>4207</v>
      </c>
      <c r="AK172" s="420">
        <v>1</v>
      </c>
      <c r="AL172" s="205" t="s">
        <v>24</v>
      </c>
      <c r="AM172" s="122">
        <f>Table665[[#This Row],[Subjects_n_ptsd]]+Table665[[#This Row],[Subjects_n_control]]</f>
        <v>50</v>
      </c>
      <c r="AN172" s="122">
        <v>25</v>
      </c>
      <c r="AO172" s="122">
        <v>25</v>
      </c>
      <c r="AP172" s="122" t="s">
        <v>803</v>
      </c>
      <c r="AQ172" s="122" t="s">
        <v>803</v>
      </c>
      <c r="AR172" s="122">
        <v>33.32</v>
      </c>
      <c r="AS172" s="122">
        <v>4.76</v>
      </c>
      <c r="AT172" s="122">
        <v>34.799999999999997</v>
      </c>
      <c r="AU172" s="122">
        <v>4.5999999999999996</v>
      </c>
      <c r="AV172" s="122" t="s">
        <v>4160</v>
      </c>
      <c r="AW172" s="122" t="s">
        <v>24</v>
      </c>
      <c r="AX172" s="122" t="s">
        <v>24</v>
      </c>
      <c r="AY172" s="122" t="s">
        <v>4161</v>
      </c>
      <c r="AZ172" s="122" t="s">
        <v>3835</v>
      </c>
      <c r="BA172" s="122" t="s">
        <v>4162</v>
      </c>
      <c r="BB172" s="122"/>
      <c r="BC172" s="122"/>
      <c r="BD172" s="161"/>
      <c r="BE172" s="161"/>
      <c r="BF172" s="161"/>
      <c r="BG172" s="161"/>
      <c r="BH172" s="161"/>
      <c r="BI172" s="161"/>
      <c r="BJ172" s="161">
        <v>1</v>
      </c>
      <c r="BK172" s="161"/>
      <c r="BL172" s="161"/>
      <c r="BM172" s="161"/>
      <c r="BN172" s="161"/>
      <c r="BO172" s="161"/>
      <c r="BP172" s="161"/>
      <c r="BQ172" s="162" t="s">
        <v>4208</v>
      </c>
      <c r="BR172" s="150" t="s">
        <v>1876</v>
      </c>
      <c r="BS172" s="150">
        <v>2</v>
      </c>
      <c r="BT172" s="150" t="s">
        <v>4180</v>
      </c>
      <c r="BU172" s="150" t="s">
        <v>24</v>
      </c>
      <c r="BV172" s="119" t="s">
        <v>4195</v>
      </c>
      <c r="BW172" s="476" t="s">
        <v>4234</v>
      </c>
      <c r="BX172" s="151" t="s">
        <v>4197</v>
      </c>
      <c r="BY172" s="150">
        <v>25.48</v>
      </c>
      <c r="BZ172" s="150">
        <v>7.08</v>
      </c>
      <c r="CA172" s="150" t="s">
        <v>24</v>
      </c>
      <c r="CB172" s="151" t="s">
        <v>4198</v>
      </c>
      <c r="CC172" s="150">
        <v>30.76</v>
      </c>
      <c r="CD172" s="150">
        <v>6.35</v>
      </c>
      <c r="CE172" s="150" t="s">
        <v>24</v>
      </c>
      <c r="CF172" s="290" t="s">
        <v>4212</v>
      </c>
      <c r="CG172" s="291" t="s">
        <v>4211</v>
      </c>
      <c r="CH172" s="150" t="s">
        <v>4199</v>
      </c>
      <c r="CI172" s="150">
        <v>23.04</v>
      </c>
      <c r="CJ172" s="150">
        <v>8.84</v>
      </c>
      <c r="CK172" s="150"/>
      <c r="CL172" s="150" t="s">
        <v>4200</v>
      </c>
      <c r="CM172" s="150">
        <v>27.64</v>
      </c>
      <c r="CN172" s="150">
        <v>7.08</v>
      </c>
      <c r="CO172" s="150" t="s">
        <v>24</v>
      </c>
      <c r="CP172" s="290" t="s">
        <v>4219</v>
      </c>
      <c r="CQ172" s="291" t="s">
        <v>4218</v>
      </c>
      <c r="CR172" s="278" t="s">
        <v>24</v>
      </c>
      <c r="CS172" s="285" t="s">
        <v>24</v>
      </c>
      <c r="CT172" s="151" t="s">
        <v>24</v>
      </c>
      <c r="CU172" s="150" t="s">
        <v>24</v>
      </c>
      <c r="CV172" s="150" t="s">
        <v>24</v>
      </c>
      <c r="CW172" s="150" t="s">
        <v>24</v>
      </c>
      <c r="CX172" s="150" t="s">
        <v>24</v>
      </c>
      <c r="CY172" s="150" t="s">
        <v>24</v>
      </c>
      <c r="CZ172" s="150" t="s">
        <v>24</v>
      </c>
      <c r="DA172" s="150" t="s">
        <v>24</v>
      </c>
      <c r="DB172" s="302" t="s">
        <v>24</v>
      </c>
      <c r="DC172" s="303" t="s">
        <v>24</v>
      </c>
      <c r="DD172" s="150" t="s">
        <v>24</v>
      </c>
      <c r="DE172" s="150" t="s">
        <v>24</v>
      </c>
      <c r="DF172" s="150" t="s">
        <v>24</v>
      </c>
      <c r="DG172" s="150" t="s">
        <v>24</v>
      </c>
      <c r="DH172" s="150" t="s">
        <v>24</v>
      </c>
      <c r="DI172" s="150" t="s">
        <v>24</v>
      </c>
      <c r="DJ172" s="150" t="s">
        <v>24</v>
      </c>
      <c r="DK172" s="150" t="s">
        <v>24</v>
      </c>
      <c r="DL172" s="302"/>
      <c r="DM172" s="303"/>
      <c r="DN172" s="278"/>
      <c r="DO172" s="279"/>
      <c r="DP172" s="150"/>
      <c r="DQ172" s="150"/>
      <c r="DR172" s="150"/>
      <c r="DS172" s="555"/>
      <c r="DT172" s="150"/>
      <c r="DU172" s="150"/>
      <c r="DV172" s="150"/>
      <c r="DW172" s="555"/>
      <c r="DX172" s="303"/>
      <c r="DY172" s="303"/>
      <c r="DZ172" s="151"/>
      <c r="EA172" s="150"/>
      <c r="EB172" s="150"/>
      <c r="EC172" s="555"/>
      <c r="ED172" s="151"/>
      <c r="EE172" s="150"/>
      <c r="EF172" s="150"/>
      <c r="EG172" s="555"/>
      <c r="EH172" s="303"/>
      <c r="EI172" s="303"/>
      <c r="EJ172" s="279"/>
      <c r="EK172" s="150"/>
      <c r="EL172" s="150"/>
      <c r="EM172" s="150"/>
      <c r="EN172" s="555"/>
      <c r="EO172" s="150"/>
      <c r="EP172" s="150"/>
      <c r="EQ172" s="150"/>
      <c r="ER172" s="555"/>
      <c r="ES172" s="303"/>
      <c r="ET172" s="303"/>
      <c r="EU172" s="150"/>
      <c r="EV172" s="150"/>
      <c r="EW172" s="150"/>
      <c r="EX172" s="555"/>
      <c r="EY172" s="480"/>
      <c r="EZ172" s="480"/>
      <c r="FA172" s="480"/>
      <c r="FB172" s="480"/>
      <c r="FC172" s="482"/>
      <c r="FD172" s="482"/>
      <c r="FE172" s="480"/>
      <c r="FF172" s="480"/>
      <c r="FG172" s="480"/>
      <c r="FH172" s="480"/>
      <c r="FI172" s="480"/>
      <c r="FJ172" s="480"/>
      <c r="FK172" s="480"/>
      <c r="FL172" s="480"/>
      <c r="FM172" s="482"/>
      <c r="FN172" s="482"/>
      <c r="FO172" s="480"/>
      <c r="FP172" s="480"/>
      <c r="FQ172" s="480"/>
      <c r="FR172" s="480"/>
      <c r="FS172" s="480"/>
      <c r="FT172" s="480"/>
      <c r="FU172" s="480"/>
      <c r="FV172" s="480"/>
      <c r="FW172" s="482"/>
      <c r="FX172" s="482"/>
      <c r="FY172" s="480"/>
      <c r="FZ172" s="480"/>
      <c r="GA172" s="480"/>
      <c r="GB172" s="480"/>
      <c r="GC172" s="480"/>
      <c r="GD172" s="480"/>
      <c r="GE172" s="480"/>
      <c r="GF172" s="480"/>
      <c r="GG172" s="482"/>
      <c r="GH172" s="482"/>
      <c r="GI172" s="480"/>
      <c r="GJ172" s="480"/>
      <c r="GK172" s="480"/>
      <c r="GL172" s="480"/>
      <c r="GM172" s="480"/>
      <c r="GN172" s="480"/>
      <c r="GO172" s="480"/>
      <c r="GP172" s="480"/>
      <c r="GQ172" s="482"/>
      <c r="GR172" s="482"/>
      <c r="GS172" s="480"/>
      <c r="GT172" s="480"/>
      <c r="GU172" s="480"/>
      <c r="GV172" s="480"/>
      <c r="GW172" s="480"/>
      <c r="GX172" s="480"/>
      <c r="GY172" s="480"/>
      <c r="GZ172" s="480"/>
      <c r="HA172" s="482"/>
      <c r="HB172" s="482"/>
      <c r="HC172" s="480"/>
      <c r="HD172" s="480"/>
      <c r="HE172" s="480"/>
      <c r="HF172" s="480"/>
      <c r="HG172" s="480"/>
      <c r="HH172" s="480"/>
      <c r="HI172" s="480"/>
      <c r="HJ172" s="480"/>
      <c r="HK172" s="482"/>
      <c r="HL172" s="482"/>
      <c r="HM172" s="480"/>
      <c r="HN172" s="480"/>
      <c r="HO172" s="134"/>
      <c r="HP172" s="134"/>
      <c r="HQ172" s="134"/>
      <c r="HR172" s="134"/>
      <c r="HS172" s="134"/>
      <c r="HT172" s="134"/>
      <c r="HU172" s="135"/>
      <c r="HV172" s="135"/>
      <c r="HW172" s="134"/>
      <c r="HX172" s="134"/>
      <c r="HY172" s="134"/>
      <c r="HZ172" s="134"/>
      <c r="IA172" s="134"/>
      <c r="IB172" s="134"/>
      <c r="IC172" s="134"/>
      <c r="ID172" s="134"/>
      <c r="IE172" s="135"/>
      <c r="IF172" s="135"/>
      <c r="IG172" s="134"/>
      <c r="IH172" s="134"/>
      <c r="II172" s="134"/>
      <c r="IJ172" s="134"/>
      <c r="IK172" s="134"/>
      <c r="IL172" s="134"/>
      <c r="IM172" s="134"/>
      <c r="IN172" s="134"/>
      <c r="IO172" s="135"/>
      <c r="IP172" s="135"/>
      <c r="IQ172" s="134"/>
      <c r="IR172" s="134"/>
      <c r="IS172" s="134"/>
      <c r="IT172" s="134"/>
      <c r="IU172" s="134"/>
      <c r="IV172" s="134"/>
      <c r="IW172" s="134"/>
      <c r="IX172" s="134"/>
      <c r="IY172" s="135"/>
      <c r="IZ172" s="135"/>
    </row>
    <row r="173" spans="1:260" customFormat="1" ht="17" customHeight="1">
      <c r="A173" s="118" t="s">
        <v>143</v>
      </c>
      <c r="B173" s="381">
        <v>109</v>
      </c>
      <c r="C173" s="381">
        <v>22</v>
      </c>
      <c r="D173" s="381"/>
      <c r="E173" s="139" t="s">
        <v>1951</v>
      </c>
      <c r="F173" s="140" t="s">
        <v>2170</v>
      </c>
      <c r="G173" s="141">
        <v>2009</v>
      </c>
      <c r="H173" s="118">
        <v>18800372</v>
      </c>
      <c r="I173" s="118">
        <v>1</v>
      </c>
      <c r="J173" s="118"/>
      <c r="K173" s="118"/>
      <c r="L173" s="118">
        <v>1</v>
      </c>
      <c r="M173" s="118"/>
      <c r="N173" s="118">
        <v>1</v>
      </c>
      <c r="O173" s="142">
        <v>1</v>
      </c>
      <c r="P173" s="118" t="s">
        <v>450</v>
      </c>
      <c r="Q173" s="118" t="s">
        <v>1147</v>
      </c>
      <c r="R173" s="118" t="s">
        <v>25</v>
      </c>
      <c r="S173" s="118">
        <v>1</v>
      </c>
      <c r="T173" s="118"/>
      <c r="U173" s="118"/>
      <c r="V173" s="118"/>
      <c r="W173" s="118" t="s">
        <v>449</v>
      </c>
      <c r="X173" s="118"/>
      <c r="Y173" s="118"/>
      <c r="Z173" s="118"/>
      <c r="AA173" s="118"/>
      <c r="AB173" s="118"/>
      <c r="AC173" s="145"/>
      <c r="AD173" s="573">
        <v>1</v>
      </c>
      <c r="AE173" s="573">
        <v>2</v>
      </c>
      <c r="AF173" s="159">
        <v>1</v>
      </c>
      <c r="AG173" s="160"/>
      <c r="AH173" s="122">
        <v>2</v>
      </c>
      <c r="AI173" s="485"/>
      <c r="AJ173" s="204" t="s">
        <v>4207</v>
      </c>
      <c r="AK173" s="192">
        <v>1</v>
      </c>
      <c r="AL173" s="205" t="s">
        <v>24</v>
      </c>
      <c r="AM173" s="122">
        <f>Table665[[#This Row],[Subjects_n_ptsd]]+Table665[[#This Row],[Subjects_n_control]]</f>
        <v>49</v>
      </c>
      <c r="AN173" s="122">
        <v>24</v>
      </c>
      <c r="AO173" s="122">
        <v>25</v>
      </c>
      <c r="AP173" s="122" t="s">
        <v>803</v>
      </c>
      <c r="AQ173" s="122" t="s">
        <v>803</v>
      </c>
      <c r="AR173" s="122">
        <v>33.32</v>
      </c>
      <c r="AS173" s="122">
        <v>4.76</v>
      </c>
      <c r="AT173" s="122">
        <v>34.799999999999997</v>
      </c>
      <c r="AU173" s="122">
        <v>4.5999999999999996</v>
      </c>
      <c r="AV173" s="122" t="s">
        <v>4160</v>
      </c>
      <c r="AW173" s="122" t="s">
        <v>24</v>
      </c>
      <c r="AX173" s="122" t="s">
        <v>24</v>
      </c>
      <c r="AY173" s="122" t="s">
        <v>4161</v>
      </c>
      <c r="AZ173" s="122" t="s">
        <v>3835</v>
      </c>
      <c r="BA173" s="122" t="s">
        <v>4162</v>
      </c>
      <c r="BB173" s="122"/>
      <c r="BC173" s="122"/>
      <c r="BD173" s="161"/>
      <c r="BE173" s="161"/>
      <c r="BF173" s="161"/>
      <c r="BG173" s="161"/>
      <c r="BH173" s="161"/>
      <c r="BI173" s="161"/>
      <c r="BJ173" s="161">
        <v>1</v>
      </c>
      <c r="BK173" s="161"/>
      <c r="BL173" s="161"/>
      <c r="BM173" s="161"/>
      <c r="BN173" s="161"/>
      <c r="BO173" s="161"/>
      <c r="BP173" s="161"/>
      <c r="BQ173" s="162" t="s">
        <v>4001</v>
      </c>
      <c r="BR173" s="150" t="s">
        <v>1876</v>
      </c>
      <c r="BS173" s="150">
        <v>2</v>
      </c>
      <c r="BT173" s="150" t="s">
        <v>4171</v>
      </c>
      <c r="BU173" s="150" t="s">
        <v>24</v>
      </c>
      <c r="BV173" s="119" t="s">
        <v>4196</v>
      </c>
      <c r="BW173" s="258" t="s">
        <v>4235</v>
      </c>
      <c r="BX173" s="151" t="s">
        <v>4201</v>
      </c>
      <c r="BY173" s="150">
        <v>36.21</v>
      </c>
      <c r="BZ173" s="150">
        <v>3.15</v>
      </c>
      <c r="CA173" s="150" t="s">
        <v>24</v>
      </c>
      <c r="CB173" s="151" t="s">
        <v>4202</v>
      </c>
      <c r="CC173" s="150">
        <v>37.159999999999997</v>
      </c>
      <c r="CD173" s="150">
        <v>2.48</v>
      </c>
      <c r="CE173" s="150" t="s">
        <v>24</v>
      </c>
      <c r="CF173" s="290" t="s">
        <v>3229</v>
      </c>
      <c r="CG173" s="291" t="s">
        <v>4214</v>
      </c>
      <c r="CH173" s="151" t="s">
        <v>4203</v>
      </c>
      <c r="CI173" s="150">
        <v>31.75</v>
      </c>
      <c r="CJ173" s="150">
        <v>7.4</v>
      </c>
      <c r="CK173" s="150" t="s">
        <v>24</v>
      </c>
      <c r="CL173" s="151" t="s">
        <v>4204</v>
      </c>
      <c r="CM173" s="150">
        <v>36.200000000000003</v>
      </c>
      <c r="CN173" s="150">
        <v>3.34</v>
      </c>
      <c r="CO173" s="150" t="s">
        <v>24</v>
      </c>
      <c r="CP173" s="290" t="s">
        <v>4215</v>
      </c>
      <c r="CQ173" s="291" t="s">
        <v>4220</v>
      </c>
      <c r="CR173" s="278" t="s">
        <v>24</v>
      </c>
      <c r="CS173" s="285" t="s">
        <v>24</v>
      </c>
      <c r="CT173" s="151" t="s">
        <v>4205</v>
      </c>
      <c r="CU173" s="150">
        <v>3.54</v>
      </c>
      <c r="CV173" s="150">
        <v>0.66</v>
      </c>
      <c r="CW173" s="150" t="s">
        <v>24</v>
      </c>
      <c r="CX173" s="151" t="s">
        <v>4206</v>
      </c>
      <c r="CY173" s="150">
        <v>3.96</v>
      </c>
      <c r="CZ173" s="150">
        <v>0.2</v>
      </c>
      <c r="DA173" s="150" t="s">
        <v>24</v>
      </c>
      <c r="DB173" s="302" t="s">
        <v>4219</v>
      </c>
      <c r="DC173" s="303" t="s">
        <v>4224</v>
      </c>
      <c r="DD173" s="150" t="s">
        <v>24</v>
      </c>
      <c r="DE173" s="150" t="s">
        <v>24</v>
      </c>
      <c r="DF173" s="150" t="s">
        <v>24</v>
      </c>
      <c r="DG173" s="150" t="s">
        <v>24</v>
      </c>
      <c r="DH173" s="150" t="s">
        <v>24</v>
      </c>
      <c r="DI173" s="150" t="s">
        <v>24</v>
      </c>
      <c r="DJ173" s="150" t="s">
        <v>24</v>
      </c>
      <c r="DK173" s="150" t="s">
        <v>24</v>
      </c>
      <c r="DL173" s="302"/>
      <c r="DM173" s="303"/>
      <c r="DN173" s="278"/>
      <c r="DO173" s="279"/>
      <c r="DP173" s="150"/>
      <c r="DQ173" s="150"/>
      <c r="DR173" s="150"/>
      <c r="DS173" s="150"/>
      <c r="DT173" s="151"/>
      <c r="DU173" s="150"/>
      <c r="DV173" s="150"/>
      <c r="DW173" s="150"/>
      <c r="DX173" s="303"/>
      <c r="DY173" s="303"/>
      <c r="DZ173" s="151"/>
      <c r="EA173" s="150"/>
      <c r="EB173" s="150"/>
      <c r="EC173" s="150"/>
      <c r="ED173" s="151"/>
      <c r="EE173" s="150"/>
      <c r="EF173" s="150"/>
      <c r="EG173" s="150"/>
      <c r="EH173" s="303"/>
      <c r="EI173" s="303"/>
      <c r="EJ173" s="279"/>
      <c r="EK173" s="150"/>
      <c r="EL173" s="150"/>
      <c r="EM173" s="150"/>
      <c r="EN173" s="150"/>
      <c r="EO173" s="150"/>
      <c r="EP173" s="150"/>
      <c r="EQ173" s="150"/>
      <c r="ER173" s="150"/>
      <c r="ES173" s="303"/>
      <c r="ET173" s="303"/>
      <c r="EU173" s="150"/>
      <c r="EV173" s="150"/>
      <c r="EW173" s="150"/>
      <c r="EX173" s="150"/>
      <c r="EY173" s="134"/>
      <c r="EZ173" s="134"/>
      <c r="FA173" s="134"/>
      <c r="FB173" s="134"/>
      <c r="FC173" s="135"/>
      <c r="FD173" s="135"/>
      <c r="FE173" s="134"/>
      <c r="FF173" s="134"/>
      <c r="FG173" s="134"/>
      <c r="FH173" s="134"/>
      <c r="FI173" s="134"/>
      <c r="FJ173" s="134"/>
      <c r="FK173" s="134"/>
      <c r="FL173" s="134"/>
      <c r="FM173" s="135"/>
      <c r="FN173" s="135"/>
      <c r="FO173" s="134"/>
      <c r="FP173" s="134"/>
      <c r="FQ173" s="134"/>
      <c r="FR173" s="134"/>
      <c r="FS173" s="134"/>
      <c r="FT173" s="134"/>
      <c r="FU173" s="134"/>
      <c r="FV173" s="134"/>
      <c r="FW173" s="135"/>
      <c r="FX173" s="135"/>
      <c r="FY173" s="134"/>
      <c r="FZ173" s="134"/>
      <c r="GA173" s="134"/>
      <c r="GB173" s="134"/>
      <c r="GC173" s="134"/>
      <c r="GD173" s="134"/>
      <c r="GE173" s="134"/>
      <c r="GF173" s="134"/>
      <c r="GG173" s="135"/>
      <c r="GH173" s="135"/>
      <c r="GI173" s="134"/>
      <c r="GJ173" s="134"/>
      <c r="GK173" s="134"/>
      <c r="GL173" s="134"/>
      <c r="GM173" s="134"/>
      <c r="GN173" s="134"/>
      <c r="GO173" s="134"/>
      <c r="GP173" s="134"/>
      <c r="GQ173" s="135"/>
      <c r="GR173" s="135"/>
      <c r="GS173" s="134"/>
      <c r="GT173" s="134"/>
      <c r="GU173" s="134"/>
      <c r="GV173" s="134"/>
      <c r="GW173" s="134"/>
      <c r="GX173" s="134"/>
      <c r="GY173" s="134"/>
      <c r="GZ173" s="134"/>
      <c r="HA173" s="135"/>
      <c r="HB173" s="135"/>
      <c r="HC173" s="134"/>
      <c r="HD173" s="134"/>
      <c r="HE173" s="134"/>
      <c r="HF173" s="134"/>
      <c r="HG173" s="134"/>
      <c r="HH173" s="134"/>
      <c r="HI173" s="134"/>
      <c r="HJ173" s="134"/>
      <c r="HK173" s="135"/>
      <c r="HL173" s="135"/>
      <c r="HM173" s="134"/>
      <c r="HN173" s="134"/>
      <c r="HO173" s="134"/>
      <c r="HP173" s="134"/>
      <c r="HQ173" s="134"/>
      <c r="HR173" s="134"/>
      <c r="HS173" s="134"/>
      <c r="HT173" s="134"/>
      <c r="HU173" s="135"/>
      <c r="HV173" s="135"/>
      <c r="HW173" s="134"/>
      <c r="HX173" s="134"/>
      <c r="HY173" s="134"/>
      <c r="HZ173" s="134"/>
      <c r="IA173" s="134"/>
      <c r="IB173" s="134"/>
      <c r="IC173" s="134"/>
      <c r="ID173" s="134"/>
      <c r="IE173" s="135"/>
      <c r="IF173" s="135"/>
      <c r="IG173" s="134"/>
      <c r="IH173" s="134"/>
      <c r="II173" s="134"/>
      <c r="IJ173" s="134"/>
      <c r="IK173" s="134"/>
      <c r="IL173" s="134"/>
      <c r="IM173" s="134"/>
      <c r="IN173" s="134"/>
      <c r="IO173" s="135"/>
      <c r="IP173" s="135"/>
      <c r="IQ173" s="134"/>
      <c r="IR173" s="134"/>
      <c r="IS173" s="134"/>
      <c r="IT173" s="134"/>
      <c r="IU173" s="134"/>
      <c r="IV173" s="134"/>
      <c r="IW173" s="134"/>
      <c r="IX173" s="134"/>
      <c r="IY173" s="135"/>
      <c r="IZ173" s="135"/>
    </row>
    <row r="174" spans="1:260" customFormat="1" ht="17" customHeight="1">
      <c r="A174" s="118" t="s">
        <v>143</v>
      </c>
      <c r="B174" s="381">
        <v>109</v>
      </c>
      <c r="C174" s="381">
        <v>22</v>
      </c>
      <c r="D174" s="381"/>
      <c r="E174" s="139" t="s">
        <v>1951</v>
      </c>
      <c r="F174" s="140" t="s">
        <v>2170</v>
      </c>
      <c r="G174" s="141">
        <v>2009</v>
      </c>
      <c r="H174" s="118">
        <v>18800372</v>
      </c>
      <c r="I174" s="118">
        <v>1</v>
      </c>
      <c r="J174" s="118"/>
      <c r="K174" s="118"/>
      <c r="L174" s="118">
        <v>1</v>
      </c>
      <c r="M174" s="118"/>
      <c r="N174" s="118">
        <v>1</v>
      </c>
      <c r="O174" s="142">
        <v>1</v>
      </c>
      <c r="P174" s="118" t="s">
        <v>450</v>
      </c>
      <c r="Q174" s="118" t="s">
        <v>1147</v>
      </c>
      <c r="R174" s="118" t="s">
        <v>25</v>
      </c>
      <c r="S174" s="118">
        <v>1</v>
      </c>
      <c r="T174" s="118"/>
      <c r="U174" s="118"/>
      <c r="V174" s="118"/>
      <c r="W174" s="118" t="s">
        <v>449</v>
      </c>
      <c r="X174" s="118"/>
      <c r="Y174" s="118"/>
      <c r="Z174" s="118"/>
      <c r="AA174" s="118"/>
      <c r="AB174" s="118"/>
      <c r="AC174" s="145"/>
      <c r="AD174" s="573">
        <v>1</v>
      </c>
      <c r="AE174" s="573">
        <v>2</v>
      </c>
      <c r="AF174" s="159">
        <v>1</v>
      </c>
      <c r="AG174" s="160"/>
      <c r="AH174" s="122">
        <v>2</v>
      </c>
      <c r="AI174" s="485"/>
      <c r="AJ174" s="204" t="s">
        <v>4207</v>
      </c>
      <c r="AK174" s="192">
        <v>1</v>
      </c>
      <c r="AL174" s="205" t="s">
        <v>24</v>
      </c>
      <c r="AM174" s="122">
        <f>Table665[[#This Row],[Subjects_n_ptsd]]+Table665[[#This Row],[Subjects_n_control]]</f>
        <v>50</v>
      </c>
      <c r="AN174" s="122">
        <v>25</v>
      </c>
      <c r="AO174" s="122">
        <v>25</v>
      </c>
      <c r="AP174" s="122" t="s">
        <v>803</v>
      </c>
      <c r="AQ174" s="122" t="s">
        <v>803</v>
      </c>
      <c r="AR174" s="122">
        <v>33.32</v>
      </c>
      <c r="AS174" s="122">
        <v>4.76</v>
      </c>
      <c r="AT174" s="122">
        <v>34.799999999999997</v>
      </c>
      <c r="AU174" s="122">
        <v>4.5999999999999996</v>
      </c>
      <c r="AV174" s="122" t="s">
        <v>4160</v>
      </c>
      <c r="AW174" s="122" t="s">
        <v>24</v>
      </c>
      <c r="AX174" s="122" t="s">
        <v>24</v>
      </c>
      <c r="AY174" s="122" t="s">
        <v>4161</v>
      </c>
      <c r="AZ174" s="122" t="s">
        <v>3835</v>
      </c>
      <c r="BA174" s="122" t="s">
        <v>4162</v>
      </c>
      <c r="BB174" s="122"/>
      <c r="BC174" s="122"/>
      <c r="BD174" s="161"/>
      <c r="BE174" s="161"/>
      <c r="BF174" s="161"/>
      <c r="BG174" s="161"/>
      <c r="BH174" s="161"/>
      <c r="BI174" s="161"/>
      <c r="BJ174" s="161"/>
      <c r="BK174" s="161"/>
      <c r="BL174" s="161"/>
      <c r="BM174" s="161"/>
      <c r="BN174" s="161">
        <v>1</v>
      </c>
      <c r="BO174" s="161"/>
      <c r="BP174" s="161"/>
      <c r="BQ174" s="162" t="s">
        <v>4163</v>
      </c>
      <c r="BR174" s="150" t="s">
        <v>1876</v>
      </c>
      <c r="BS174" s="150">
        <v>2</v>
      </c>
      <c r="BT174" s="150" t="s">
        <v>4164</v>
      </c>
      <c r="BU174" s="150" t="s">
        <v>24</v>
      </c>
      <c r="BV174" s="465" t="s">
        <v>4165</v>
      </c>
      <c r="BW174" s="258" t="s">
        <v>4166</v>
      </c>
      <c r="BX174" s="151" t="s">
        <v>4167</v>
      </c>
      <c r="BY174" s="150">
        <v>97.84</v>
      </c>
      <c r="BZ174" s="150">
        <v>10.68</v>
      </c>
      <c r="CA174" s="150" t="s">
        <v>24</v>
      </c>
      <c r="CB174" s="151" t="s">
        <v>4168</v>
      </c>
      <c r="CC174" s="150">
        <v>102.56</v>
      </c>
      <c r="CD174" s="150">
        <v>11.3</v>
      </c>
      <c r="CE174" s="150" t="s">
        <v>24</v>
      </c>
      <c r="CF174" s="290" t="s">
        <v>4169</v>
      </c>
      <c r="CG174" s="291" t="s">
        <v>4170</v>
      </c>
      <c r="CH174" s="150" t="s">
        <v>24</v>
      </c>
      <c r="CI174" s="150" t="s">
        <v>24</v>
      </c>
      <c r="CJ174" s="150" t="s">
        <v>24</v>
      </c>
      <c r="CK174" s="150" t="s">
        <v>24</v>
      </c>
      <c r="CL174" s="150" t="s">
        <v>24</v>
      </c>
      <c r="CM174" s="150" t="s">
        <v>24</v>
      </c>
      <c r="CN174" s="150" t="s">
        <v>24</v>
      </c>
      <c r="CO174" s="150" t="s">
        <v>24</v>
      </c>
      <c r="CP174" s="290"/>
      <c r="CQ174" s="291"/>
      <c r="CR174" s="278"/>
      <c r="CS174" s="285"/>
      <c r="CT174" s="150" t="s">
        <v>24</v>
      </c>
      <c r="CU174" s="150" t="s">
        <v>24</v>
      </c>
      <c r="CV174" s="150" t="s">
        <v>24</v>
      </c>
      <c r="CW174" s="150" t="s">
        <v>24</v>
      </c>
      <c r="CX174" s="150" t="s">
        <v>24</v>
      </c>
      <c r="CY174" s="150" t="s">
        <v>24</v>
      </c>
      <c r="CZ174" s="150" t="s">
        <v>24</v>
      </c>
      <c r="DA174" s="150" t="s">
        <v>24</v>
      </c>
      <c r="DB174" s="302"/>
      <c r="DC174" s="303"/>
      <c r="DD174" s="150"/>
      <c r="DE174" s="150"/>
      <c r="DF174" s="150"/>
      <c r="DG174" s="150"/>
      <c r="DH174" s="150"/>
      <c r="DI174" s="150"/>
      <c r="DJ174" s="150"/>
      <c r="DK174" s="150"/>
      <c r="DL174" s="302"/>
      <c r="DM174" s="303"/>
      <c r="DN174" s="278"/>
      <c r="DO174" s="279"/>
      <c r="DP174" s="150"/>
      <c r="DQ174" s="150"/>
      <c r="DR174" s="150"/>
      <c r="DS174" s="150"/>
      <c r="DT174" s="151"/>
      <c r="DU174" s="150"/>
      <c r="DV174" s="150"/>
      <c r="DW174" s="150"/>
      <c r="DX174" s="303"/>
      <c r="DY174" s="303"/>
      <c r="DZ174" s="151"/>
      <c r="EA174" s="150"/>
      <c r="EB174" s="150"/>
      <c r="EC174" s="150"/>
      <c r="ED174" s="151"/>
      <c r="EE174" s="150"/>
      <c r="EF174" s="150"/>
      <c r="EG174" s="150"/>
      <c r="EH174" s="303"/>
      <c r="EI174" s="303"/>
      <c r="EJ174" s="279"/>
      <c r="EK174" s="150"/>
      <c r="EL174" s="150"/>
      <c r="EM174" s="150"/>
      <c r="EN174" s="150"/>
      <c r="EO174" s="150"/>
      <c r="EP174" s="150"/>
      <c r="EQ174" s="150"/>
      <c r="ER174" s="150"/>
      <c r="ES174" s="303"/>
      <c r="ET174" s="303"/>
      <c r="EU174" s="150"/>
      <c r="EV174" s="150"/>
      <c r="EW174" s="150"/>
      <c r="EX174" s="150"/>
      <c r="EY174" s="134"/>
      <c r="EZ174" s="134"/>
      <c r="FA174" s="134"/>
      <c r="FB174" s="134"/>
      <c r="FC174" s="135"/>
      <c r="FD174" s="135"/>
      <c r="FE174" s="134"/>
      <c r="FF174" s="134"/>
      <c r="FG174" s="134"/>
      <c r="FH174" s="134"/>
      <c r="FI174" s="134"/>
      <c r="FJ174" s="134"/>
      <c r="FK174" s="134"/>
      <c r="FL174" s="134"/>
      <c r="FM174" s="135"/>
      <c r="FN174" s="135"/>
      <c r="FO174" s="134"/>
      <c r="FP174" s="134"/>
      <c r="FQ174" s="134"/>
      <c r="FR174" s="134"/>
      <c r="FS174" s="134"/>
      <c r="FT174" s="134"/>
      <c r="FU174" s="134"/>
      <c r="FV174" s="134"/>
      <c r="FW174" s="135"/>
      <c r="FX174" s="135"/>
      <c r="FY174" s="134"/>
      <c r="FZ174" s="134"/>
      <c r="GA174" s="134"/>
      <c r="GB174" s="134"/>
      <c r="GC174" s="134"/>
      <c r="GD174" s="134"/>
      <c r="GE174" s="134"/>
      <c r="GF174" s="134"/>
      <c r="GG174" s="135"/>
      <c r="GH174" s="135"/>
      <c r="GI174" s="134"/>
      <c r="GJ174" s="134"/>
      <c r="GK174" s="134"/>
      <c r="GL174" s="134"/>
      <c r="GM174" s="134"/>
      <c r="GN174" s="134"/>
      <c r="GO174" s="134"/>
      <c r="GP174" s="134"/>
      <c r="GQ174" s="135"/>
      <c r="GR174" s="135"/>
      <c r="GS174" s="134"/>
      <c r="GT174" s="134"/>
      <c r="GU174" s="134"/>
      <c r="GV174" s="134"/>
      <c r="GW174" s="134"/>
      <c r="GX174" s="134"/>
      <c r="GY174" s="134"/>
      <c r="GZ174" s="134"/>
      <c r="HA174" s="135"/>
      <c r="HB174" s="135"/>
      <c r="HC174" s="134"/>
      <c r="HD174" s="134"/>
      <c r="HE174" s="134"/>
      <c r="HF174" s="134"/>
      <c r="HG174" s="134"/>
      <c r="HH174" s="134"/>
      <c r="HI174" s="134"/>
      <c r="HJ174" s="134"/>
      <c r="HK174" s="135"/>
      <c r="HL174" s="135"/>
      <c r="HM174" s="134"/>
      <c r="HN174" s="134"/>
      <c r="HO174" s="134"/>
      <c r="HP174" s="134"/>
      <c r="HQ174" s="134"/>
      <c r="HR174" s="134"/>
      <c r="HS174" s="134"/>
      <c r="HT174" s="134"/>
      <c r="HU174" s="135"/>
      <c r="HV174" s="135"/>
      <c r="HW174" s="134"/>
      <c r="HX174" s="134"/>
      <c r="HY174" s="134"/>
      <c r="HZ174" s="134"/>
      <c r="IA174" s="134"/>
      <c r="IB174" s="134"/>
      <c r="IC174" s="134"/>
      <c r="ID174" s="134"/>
      <c r="IE174" s="135"/>
      <c r="IF174" s="135"/>
      <c r="IG174" s="134"/>
      <c r="IH174" s="134"/>
      <c r="II174" s="134"/>
      <c r="IJ174" s="134"/>
      <c r="IK174" s="134"/>
      <c r="IL174" s="134"/>
      <c r="IM174" s="134"/>
      <c r="IN174" s="134"/>
      <c r="IO174" s="135"/>
      <c r="IP174" s="135"/>
      <c r="IQ174" s="134"/>
      <c r="IR174" s="134"/>
      <c r="IS174" s="134"/>
      <c r="IT174" s="134"/>
      <c r="IU174" s="134"/>
      <c r="IV174" s="134"/>
      <c r="IW174" s="134"/>
      <c r="IX174" s="134"/>
      <c r="IY174" s="135"/>
      <c r="IZ174" s="135"/>
    </row>
    <row r="175" spans="1:260" customFormat="1" ht="17" customHeight="1">
      <c r="A175" s="79" t="s">
        <v>144</v>
      </c>
      <c r="B175" s="117">
        <v>110</v>
      </c>
      <c r="C175" s="117">
        <v>23</v>
      </c>
      <c r="D175" s="117"/>
      <c r="E175" s="123" t="s">
        <v>1951</v>
      </c>
      <c r="F175" s="124" t="s">
        <v>2171</v>
      </c>
      <c r="G175" s="125">
        <v>2008</v>
      </c>
      <c r="H175" s="79">
        <v>17698081</v>
      </c>
      <c r="I175" s="79">
        <v>1</v>
      </c>
      <c r="J175" s="126"/>
      <c r="K175" s="127"/>
      <c r="L175" s="79">
        <v>1</v>
      </c>
      <c r="M175" s="79"/>
      <c r="N175" s="79">
        <v>1</v>
      </c>
      <c r="O175" s="128">
        <v>1</v>
      </c>
      <c r="P175" s="79" t="s">
        <v>73</v>
      </c>
      <c r="Q175" s="79" t="s">
        <v>1147</v>
      </c>
      <c r="R175" s="79" t="s">
        <v>25</v>
      </c>
      <c r="S175" s="79">
        <v>1</v>
      </c>
      <c r="T175" s="79"/>
      <c r="U175" s="79"/>
      <c r="V175" s="79"/>
      <c r="W175" s="79" t="s">
        <v>451</v>
      </c>
      <c r="X175" s="79" t="s">
        <v>56</v>
      </c>
      <c r="Y175" s="79"/>
      <c r="Z175" s="79"/>
      <c r="AA175" s="79"/>
      <c r="AB175" s="79"/>
      <c r="AC175" s="506"/>
      <c r="AD175" s="573">
        <v>1</v>
      </c>
      <c r="AE175" s="573">
        <v>2</v>
      </c>
      <c r="AF175" s="154">
        <v>1</v>
      </c>
      <c r="AG175" s="155"/>
      <c r="AH175" s="121">
        <v>2</v>
      </c>
      <c r="AI175" s="484"/>
      <c r="AJ175" s="202"/>
      <c r="AK175" s="192">
        <v>0</v>
      </c>
      <c r="AL175" s="203" t="s">
        <v>24</v>
      </c>
      <c r="AM175" s="121">
        <v>24</v>
      </c>
      <c r="AN175" s="121">
        <v>12</v>
      </c>
      <c r="AO175" s="121">
        <v>12</v>
      </c>
      <c r="AP175" s="121" t="s">
        <v>803</v>
      </c>
      <c r="AQ175" s="121" t="s">
        <v>803</v>
      </c>
      <c r="AR175" s="121">
        <v>34.82</v>
      </c>
      <c r="AS175" s="121">
        <v>5.78</v>
      </c>
      <c r="AT175" s="121">
        <v>34.69</v>
      </c>
      <c r="AU175" s="121">
        <v>3.7</v>
      </c>
      <c r="AV175" s="121" t="s">
        <v>4236</v>
      </c>
      <c r="AW175" s="121" t="s">
        <v>24</v>
      </c>
      <c r="AX175" s="121" t="s">
        <v>24</v>
      </c>
      <c r="AY175" s="121" t="s">
        <v>4238</v>
      </c>
      <c r="AZ175" s="121" t="s">
        <v>3835</v>
      </c>
      <c r="BA175" s="122" t="s">
        <v>4237</v>
      </c>
      <c r="BB175" s="122"/>
      <c r="BC175" s="122"/>
      <c r="BD175" s="156"/>
      <c r="BE175" s="156"/>
      <c r="BF175" s="156"/>
      <c r="BG175" s="156"/>
      <c r="BH175" s="156"/>
      <c r="BI175" s="156"/>
      <c r="BJ175" s="156">
        <v>1</v>
      </c>
      <c r="BK175" s="156"/>
      <c r="BL175" s="156"/>
      <c r="BM175" s="156"/>
      <c r="BN175" s="156"/>
      <c r="BO175" s="156"/>
      <c r="BP175" s="156"/>
      <c r="BQ175" s="157" t="s">
        <v>4239</v>
      </c>
      <c r="BR175" s="134" t="s">
        <v>1876</v>
      </c>
      <c r="BS175" s="134">
        <v>2</v>
      </c>
      <c r="BT175" s="134" t="s">
        <v>4240</v>
      </c>
      <c r="BU175" s="134" t="s">
        <v>24</v>
      </c>
      <c r="BV175" s="134" t="s">
        <v>4242</v>
      </c>
      <c r="BW175" s="259" t="s">
        <v>4246</v>
      </c>
      <c r="BX175" s="138" t="s">
        <v>4241</v>
      </c>
      <c r="BY175" s="134">
        <v>3.7</v>
      </c>
      <c r="BZ175" s="134">
        <v>1.6</v>
      </c>
      <c r="CA175" s="134" t="s">
        <v>24</v>
      </c>
      <c r="CB175" s="138" t="s">
        <v>4243</v>
      </c>
      <c r="CC175" s="134">
        <v>6.2</v>
      </c>
      <c r="CD175" s="134">
        <v>4.2</v>
      </c>
      <c r="CE175" s="134" t="s">
        <v>24</v>
      </c>
      <c r="CF175" s="288" t="s">
        <v>4244</v>
      </c>
      <c r="CG175" s="289" t="s">
        <v>4245</v>
      </c>
      <c r="CH175" s="150" t="s">
        <v>24</v>
      </c>
      <c r="CI175" s="150" t="s">
        <v>24</v>
      </c>
      <c r="CJ175" s="150" t="s">
        <v>24</v>
      </c>
      <c r="CK175" s="150" t="s">
        <v>24</v>
      </c>
      <c r="CL175" s="150" t="s">
        <v>24</v>
      </c>
      <c r="CM175" s="150" t="s">
        <v>24</v>
      </c>
      <c r="CN175" s="150" t="s">
        <v>24</v>
      </c>
      <c r="CO175" s="150" t="s">
        <v>24</v>
      </c>
      <c r="CP175" s="288"/>
      <c r="CQ175" s="289"/>
      <c r="CR175" s="276"/>
      <c r="CS175" s="308"/>
      <c r="CT175" s="150" t="s">
        <v>24</v>
      </c>
      <c r="CU175" s="150" t="s">
        <v>24</v>
      </c>
      <c r="CV175" s="150" t="s">
        <v>24</v>
      </c>
      <c r="CW175" s="150" t="s">
        <v>24</v>
      </c>
      <c r="CX175" s="150" t="s">
        <v>24</v>
      </c>
      <c r="CY175" s="150" t="s">
        <v>24</v>
      </c>
      <c r="CZ175" s="150" t="s">
        <v>24</v>
      </c>
      <c r="DA175" s="150" t="s">
        <v>24</v>
      </c>
      <c r="DB175" s="300"/>
      <c r="DC175" s="301"/>
      <c r="DD175" s="134"/>
      <c r="DE175" s="134"/>
      <c r="DF175" s="134"/>
      <c r="DG175" s="134"/>
      <c r="DH175" s="134"/>
      <c r="DI175" s="134"/>
      <c r="DJ175" s="134"/>
      <c r="DK175" s="134"/>
      <c r="DL175" s="300"/>
      <c r="DM175" s="301"/>
      <c r="DN175" s="276"/>
      <c r="DO175" s="277"/>
      <c r="DP175" s="134"/>
      <c r="DQ175" s="134"/>
      <c r="DR175" s="134"/>
      <c r="DS175" s="134"/>
      <c r="DT175" s="138"/>
      <c r="DU175" s="134"/>
      <c r="DV175" s="134"/>
      <c r="DW175" s="134"/>
      <c r="DX175" s="301"/>
      <c r="DY175" s="301"/>
      <c r="DZ175" s="138"/>
      <c r="EA175" s="134"/>
      <c r="EB175" s="134"/>
      <c r="EC175" s="134"/>
      <c r="ED175" s="138"/>
      <c r="EE175" s="134"/>
      <c r="EF175" s="134"/>
      <c r="EG175" s="134"/>
      <c r="EH175" s="301"/>
      <c r="EI175" s="301"/>
      <c r="EJ175" s="277"/>
      <c r="EK175" s="134"/>
      <c r="EL175" s="134"/>
      <c r="EM175" s="134"/>
      <c r="EN175" s="134"/>
      <c r="EO175" s="134"/>
      <c r="EP175" s="134"/>
      <c r="EQ175" s="134"/>
      <c r="ER175" s="134"/>
      <c r="ES175" s="301"/>
      <c r="ET175" s="301"/>
      <c r="EU175" s="134"/>
      <c r="EV175" s="134"/>
      <c r="EW175" s="134"/>
      <c r="EX175" s="134"/>
      <c r="EY175" s="134"/>
      <c r="EZ175" s="134"/>
      <c r="FA175" s="134"/>
      <c r="FB175" s="134"/>
      <c r="FC175" s="135"/>
      <c r="FD175" s="135"/>
      <c r="FE175" s="134"/>
      <c r="FF175" s="134"/>
      <c r="FG175" s="134"/>
      <c r="FH175" s="134"/>
      <c r="FI175" s="134"/>
      <c r="FJ175" s="134"/>
      <c r="FK175" s="134"/>
      <c r="FL175" s="134"/>
      <c r="FM175" s="135"/>
      <c r="FN175" s="135"/>
      <c r="FO175" s="134"/>
      <c r="FP175" s="134"/>
      <c r="FQ175" s="134"/>
      <c r="FR175" s="134"/>
      <c r="FS175" s="134"/>
      <c r="FT175" s="134"/>
      <c r="FU175" s="134"/>
      <c r="FV175" s="134"/>
      <c r="FW175" s="135"/>
      <c r="FX175" s="135"/>
      <c r="FY175" s="134"/>
      <c r="FZ175" s="134"/>
      <c r="GA175" s="134"/>
      <c r="GB175" s="134"/>
      <c r="GC175" s="134"/>
      <c r="GD175" s="134"/>
      <c r="GE175" s="134"/>
      <c r="GF175" s="134"/>
      <c r="GG175" s="135"/>
      <c r="GH175" s="135"/>
      <c r="GI175" s="134"/>
      <c r="GJ175" s="134"/>
      <c r="GK175" s="134"/>
      <c r="GL175" s="134"/>
      <c r="GM175" s="134"/>
      <c r="GN175" s="134"/>
      <c r="GO175" s="134"/>
      <c r="GP175" s="134"/>
      <c r="GQ175" s="135"/>
      <c r="GR175" s="135"/>
      <c r="GS175" s="134"/>
      <c r="GT175" s="134"/>
      <c r="GU175" s="134"/>
      <c r="GV175" s="134"/>
      <c r="GW175" s="134"/>
      <c r="GX175" s="134"/>
      <c r="GY175" s="134"/>
      <c r="GZ175" s="134"/>
      <c r="HA175" s="135"/>
      <c r="HB175" s="135"/>
      <c r="HC175" s="134"/>
      <c r="HD175" s="134"/>
      <c r="HE175" s="134"/>
      <c r="HF175" s="134"/>
      <c r="HG175" s="134"/>
      <c r="HH175" s="134"/>
      <c r="HI175" s="134"/>
      <c r="HJ175" s="134"/>
      <c r="HK175" s="135"/>
      <c r="HL175" s="135"/>
      <c r="HM175" s="134"/>
      <c r="HN175" s="134"/>
      <c r="HO175" s="134"/>
      <c r="HP175" s="134"/>
      <c r="HQ175" s="134"/>
      <c r="HR175" s="134"/>
      <c r="HS175" s="134"/>
      <c r="HT175" s="134"/>
      <c r="HU175" s="135"/>
      <c r="HV175" s="135"/>
      <c r="HW175" s="134"/>
      <c r="HX175" s="134"/>
      <c r="HY175" s="134"/>
      <c r="HZ175" s="134"/>
      <c r="IA175" s="134"/>
      <c r="IB175" s="134"/>
      <c r="IC175" s="134"/>
      <c r="ID175" s="134"/>
      <c r="IE175" s="135"/>
      <c r="IF175" s="135"/>
      <c r="IG175" s="134"/>
      <c r="IH175" s="134"/>
      <c r="II175" s="134"/>
      <c r="IJ175" s="134"/>
      <c r="IK175" s="134"/>
      <c r="IL175" s="134"/>
      <c r="IM175" s="134"/>
      <c r="IN175" s="134"/>
      <c r="IO175" s="135"/>
      <c r="IP175" s="135"/>
      <c r="IQ175" s="134"/>
      <c r="IR175" s="134"/>
      <c r="IS175" s="134"/>
      <c r="IT175" s="134"/>
      <c r="IU175" s="134"/>
      <c r="IV175" s="134"/>
      <c r="IW175" s="134"/>
      <c r="IX175" s="134"/>
      <c r="IY175" s="135"/>
      <c r="IZ175" s="135"/>
    </row>
    <row r="176" spans="1:260" customFormat="1" ht="17" customHeight="1">
      <c r="A176" s="79" t="s">
        <v>145</v>
      </c>
      <c r="B176" s="458">
        <v>111</v>
      </c>
      <c r="C176" s="458">
        <v>24</v>
      </c>
      <c r="D176" s="458"/>
      <c r="E176" s="180" t="s">
        <v>1952</v>
      </c>
      <c r="F176" s="181" t="s">
        <v>2172</v>
      </c>
      <c r="G176" s="182">
        <v>2001</v>
      </c>
      <c r="H176" s="79">
        <v>11469166</v>
      </c>
      <c r="I176" s="79">
        <v>1</v>
      </c>
      <c r="J176" s="79"/>
      <c r="K176" s="79"/>
      <c r="L176" s="79">
        <v>1</v>
      </c>
      <c r="M176" s="79"/>
      <c r="N176" s="79">
        <v>1</v>
      </c>
      <c r="O176" s="128">
        <v>1</v>
      </c>
      <c r="P176" s="79" t="s">
        <v>452</v>
      </c>
      <c r="Q176" s="79"/>
      <c r="R176" s="79" t="s">
        <v>25</v>
      </c>
      <c r="S176" s="79">
        <v>1</v>
      </c>
      <c r="T176" s="79"/>
      <c r="U176" s="79"/>
      <c r="V176" s="79"/>
      <c r="W176" s="79" t="s">
        <v>24</v>
      </c>
      <c r="X176" s="79"/>
      <c r="Y176" s="79"/>
      <c r="Z176" s="79"/>
      <c r="AA176" s="79"/>
      <c r="AB176" s="79"/>
      <c r="AC176" s="506"/>
      <c r="AD176" s="573">
        <v>1</v>
      </c>
      <c r="AE176" s="573">
        <v>2</v>
      </c>
      <c r="AF176" s="154">
        <v>1</v>
      </c>
      <c r="AG176" s="353"/>
      <c r="AH176" s="346">
        <v>2</v>
      </c>
      <c r="AI176" s="487"/>
      <c r="AJ176" s="459" t="s">
        <v>4250</v>
      </c>
      <c r="AK176" s="348">
        <v>1</v>
      </c>
      <c r="AL176" s="349" t="s">
        <v>24</v>
      </c>
      <c r="AM176" s="346">
        <f>Table665[[#This Row],[Subjects_n_ptsd]]+Table665[[#This Row],[Subjects_n_control]]</f>
        <v>32</v>
      </c>
      <c r="AN176" s="346">
        <v>19</v>
      </c>
      <c r="AO176" s="346">
        <v>13</v>
      </c>
      <c r="AP176" s="346" t="s">
        <v>803</v>
      </c>
      <c r="AQ176" s="346" t="s">
        <v>803</v>
      </c>
      <c r="AR176" s="346" t="s">
        <v>4248</v>
      </c>
      <c r="AS176" s="346">
        <v>2.81</v>
      </c>
      <c r="AT176" s="346" t="s">
        <v>4247</v>
      </c>
      <c r="AU176" s="346">
        <v>3.09</v>
      </c>
      <c r="AV176" s="346" t="s">
        <v>4249</v>
      </c>
      <c r="AW176" s="346" t="s">
        <v>24</v>
      </c>
      <c r="AX176" s="346" t="s">
        <v>24</v>
      </c>
      <c r="AY176" s="346" t="s">
        <v>4161</v>
      </c>
      <c r="AZ176" s="346" t="s">
        <v>3835</v>
      </c>
      <c r="BA176" s="346" t="s">
        <v>4251</v>
      </c>
      <c r="BB176" s="346"/>
      <c r="BC176" s="346"/>
      <c r="BD176" s="184"/>
      <c r="BE176" s="184"/>
      <c r="BF176" s="184"/>
      <c r="BG176" s="184"/>
      <c r="BH176" s="184"/>
      <c r="BI176" s="184"/>
      <c r="BJ176" s="184"/>
      <c r="BK176" s="184"/>
      <c r="BL176" s="184"/>
      <c r="BM176" s="184"/>
      <c r="BN176" s="184">
        <v>1</v>
      </c>
      <c r="BO176" s="184"/>
      <c r="BP176" s="184"/>
      <c r="BQ176" s="185" t="s">
        <v>4252</v>
      </c>
      <c r="BR176" s="186" t="s">
        <v>1876</v>
      </c>
      <c r="BS176" s="186">
        <v>2</v>
      </c>
      <c r="BT176" s="186" t="s">
        <v>4253</v>
      </c>
      <c r="BU176" s="186" t="s">
        <v>24</v>
      </c>
      <c r="BV176" s="467" t="s">
        <v>4254</v>
      </c>
      <c r="BW176" s="261" t="s">
        <v>4310</v>
      </c>
      <c r="BX176" s="267" t="s">
        <v>4285</v>
      </c>
      <c r="BY176" s="186">
        <v>105.37</v>
      </c>
      <c r="BZ176" s="186">
        <v>14.14</v>
      </c>
      <c r="CA176" s="186" t="s">
        <v>24</v>
      </c>
      <c r="CB176" s="267" t="s">
        <v>4286</v>
      </c>
      <c r="CC176" s="186">
        <v>119.46</v>
      </c>
      <c r="CD176" s="186">
        <v>11.72</v>
      </c>
      <c r="CE176" s="186" t="s">
        <v>24</v>
      </c>
      <c r="CF176" s="294" t="s">
        <v>4307</v>
      </c>
      <c r="CG176" s="295" t="s">
        <v>4308</v>
      </c>
      <c r="CH176" s="267" t="s">
        <v>24</v>
      </c>
      <c r="CI176" s="186" t="s">
        <v>24</v>
      </c>
      <c r="CJ176" s="186" t="s">
        <v>24</v>
      </c>
      <c r="CK176" s="186" t="s">
        <v>24</v>
      </c>
      <c r="CL176" s="267" t="s">
        <v>24</v>
      </c>
      <c r="CM176" s="186" t="s">
        <v>24</v>
      </c>
      <c r="CN176" s="186" t="s">
        <v>24</v>
      </c>
      <c r="CO176" s="186" t="s">
        <v>24</v>
      </c>
      <c r="CP176" s="294" t="s">
        <v>24</v>
      </c>
      <c r="CQ176" s="295"/>
      <c r="CR176" s="280"/>
      <c r="CS176" s="310"/>
      <c r="CT176" s="150" t="s">
        <v>24</v>
      </c>
      <c r="CU176" s="150" t="s">
        <v>24</v>
      </c>
      <c r="CV176" s="150" t="s">
        <v>24</v>
      </c>
      <c r="CW176" s="150" t="s">
        <v>24</v>
      </c>
      <c r="CX176" s="150" t="s">
        <v>24</v>
      </c>
      <c r="CY176" s="150" t="s">
        <v>24</v>
      </c>
      <c r="CZ176" s="150" t="s">
        <v>24</v>
      </c>
      <c r="DA176" s="150" t="s">
        <v>24</v>
      </c>
      <c r="DB176" s="305"/>
      <c r="DC176" s="315"/>
      <c r="DD176" s="186"/>
      <c r="DE176" s="186"/>
      <c r="DF176" s="186"/>
      <c r="DG176" s="186"/>
      <c r="DH176" s="186"/>
      <c r="DI176" s="186"/>
      <c r="DJ176" s="186"/>
      <c r="DK176" s="186"/>
      <c r="DL176" s="305"/>
      <c r="DM176" s="315"/>
      <c r="DN176" s="280"/>
      <c r="DO176" s="281"/>
      <c r="DP176" s="186"/>
      <c r="DQ176" s="186"/>
      <c r="DR176" s="186"/>
      <c r="DS176" s="186"/>
      <c r="DT176" s="267"/>
      <c r="DU176" s="186"/>
      <c r="DV176" s="186"/>
      <c r="DW176" s="186"/>
      <c r="DX176" s="315"/>
      <c r="DY176" s="315"/>
      <c r="DZ176" s="267"/>
      <c r="EA176" s="186"/>
      <c r="EB176" s="186"/>
      <c r="EC176" s="186"/>
      <c r="ED176" s="267"/>
      <c r="EE176" s="186"/>
      <c r="EF176" s="186"/>
      <c r="EG176" s="186"/>
      <c r="EH176" s="315"/>
      <c r="EI176" s="315"/>
      <c r="EJ176" s="281"/>
      <c r="EK176" s="186"/>
      <c r="EL176" s="186"/>
      <c r="EM176" s="186"/>
      <c r="EN176" s="186"/>
      <c r="EO176" s="186"/>
      <c r="EP176" s="186"/>
      <c r="EQ176" s="186"/>
      <c r="ER176" s="186"/>
      <c r="ES176" s="315"/>
      <c r="ET176" s="315"/>
      <c r="EU176" s="186"/>
      <c r="EV176" s="186"/>
      <c r="EW176" s="186"/>
      <c r="EX176" s="186"/>
      <c r="EY176" s="134"/>
      <c r="EZ176" s="134"/>
      <c r="FA176" s="134"/>
      <c r="FB176" s="134"/>
      <c r="FC176" s="135"/>
      <c r="FD176" s="135"/>
      <c r="FE176" s="134"/>
      <c r="FF176" s="134"/>
      <c r="FG176" s="134"/>
      <c r="FH176" s="134"/>
      <c r="FI176" s="134"/>
      <c r="FJ176" s="134"/>
      <c r="FK176" s="134"/>
      <c r="FL176" s="134"/>
      <c r="FM176" s="135"/>
      <c r="FN176" s="135"/>
      <c r="FO176" s="134"/>
      <c r="FP176" s="134"/>
      <c r="FQ176" s="134"/>
      <c r="FR176" s="134"/>
      <c r="FS176" s="134"/>
      <c r="FT176" s="134"/>
      <c r="FU176" s="134"/>
      <c r="FV176" s="134"/>
      <c r="FW176" s="135"/>
      <c r="FX176" s="135"/>
      <c r="FY176" s="134"/>
      <c r="FZ176" s="134"/>
      <c r="GA176" s="134"/>
      <c r="GB176" s="134"/>
      <c r="GC176" s="134"/>
      <c r="GD176" s="134"/>
      <c r="GE176" s="134"/>
      <c r="GF176" s="134"/>
      <c r="GG176" s="135"/>
      <c r="GH176" s="135"/>
      <c r="GI176" s="134"/>
      <c r="GJ176" s="134"/>
      <c r="GK176" s="134"/>
      <c r="GL176" s="134"/>
      <c r="GM176" s="134"/>
      <c r="GN176" s="134"/>
      <c r="GO176" s="134"/>
      <c r="GP176" s="134"/>
      <c r="GQ176" s="135"/>
      <c r="GR176" s="135"/>
      <c r="GS176" s="134"/>
      <c r="GT176" s="134"/>
      <c r="GU176" s="134"/>
      <c r="GV176" s="134"/>
      <c r="GW176" s="134"/>
      <c r="GX176" s="134"/>
      <c r="GY176" s="134"/>
      <c r="GZ176" s="134"/>
      <c r="HA176" s="135"/>
      <c r="HB176" s="135"/>
      <c r="HC176" s="134"/>
      <c r="HD176" s="134"/>
      <c r="HE176" s="134"/>
      <c r="HF176" s="134"/>
      <c r="HG176" s="134"/>
      <c r="HH176" s="134"/>
      <c r="HI176" s="134"/>
      <c r="HJ176" s="134"/>
      <c r="HK176" s="135"/>
      <c r="HL176" s="135"/>
      <c r="HM176" s="134"/>
      <c r="HN176" s="134"/>
      <c r="HO176" s="134"/>
      <c r="HP176" s="134"/>
      <c r="HQ176" s="134"/>
      <c r="HR176" s="134"/>
      <c r="HS176" s="134"/>
      <c r="HT176" s="134"/>
      <c r="HU176" s="135"/>
      <c r="HV176" s="135"/>
      <c r="HW176" s="134"/>
      <c r="HX176" s="134"/>
      <c r="HY176" s="134"/>
      <c r="HZ176" s="134"/>
      <c r="IA176" s="134"/>
      <c r="IB176" s="134"/>
      <c r="IC176" s="134"/>
      <c r="ID176" s="134"/>
      <c r="IE176" s="135"/>
      <c r="IF176" s="135"/>
      <c r="IG176" s="134"/>
      <c r="IH176" s="134"/>
      <c r="II176" s="134"/>
      <c r="IJ176" s="134"/>
      <c r="IK176" s="134"/>
      <c r="IL176" s="134"/>
      <c r="IM176" s="134"/>
      <c r="IN176" s="134"/>
      <c r="IO176" s="135"/>
      <c r="IP176" s="135"/>
      <c r="IQ176" s="134"/>
      <c r="IR176" s="134"/>
      <c r="IS176" s="134"/>
      <c r="IT176" s="134"/>
      <c r="IU176" s="134"/>
      <c r="IV176" s="134"/>
      <c r="IW176" s="134"/>
      <c r="IX176" s="134"/>
      <c r="IY176" s="135"/>
      <c r="IZ176" s="135"/>
    </row>
    <row r="177" spans="1:260" customFormat="1" ht="17" customHeight="1">
      <c r="A177" s="118" t="s">
        <v>145</v>
      </c>
      <c r="B177" s="381">
        <v>111</v>
      </c>
      <c r="C177" s="381">
        <v>24</v>
      </c>
      <c r="D177" s="381"/>
      <c r="E177" s="139" t="s">
        <v>1952</v>
      </c>
      <c r="F177" s="140" t="s">
        <v>2172</v>
      </c>
      <c r="G177" s="141">
        <v>2001</v>
      </c>
      <c r="H177" s="118">
        <v>11469166</v>
      </c>
      <c r="I177" s="118">
        <v>1</v>
      </c>
      <c r="J177" s="118"/>
      <c r="K177" s="118"/>
      <c r="L177" s="118">
        <v>1</v>
      </c>
      <c r="M177" s="118"/>
      <c r="N177" s="118">
        <v>1</v>
      </c>
      <c r="O177" s="142">
        <v>1</v>
      </c>
      <c r="P177" s="118" t="s">
        <v>452</v>
      </c>
      <c r="Q177" s="118"/>
      <c r="R177" s="118" t="s">
        <v>25</v>
      </c>
      <c r="S177" s="118">
        <v>1</v>
      </c>
      <c r="T177" s="118"/>
      <c r="U177" s="118"/>
      <c r="V177" s="118"/>
      <c r="W177" s="118" t="s">
        <v>24</v>
      </c>
      <c r="X177" s="118"/>
      <c r="Y177" s="118"/>
      <c r="Z177" s="118"/>
      <c r="AA177" s="118"/>
      <c r="AB177" s="118"/>
      <c r="AC177" s="145"/>
      <c r="AD177" s="573">
        <v>1</v>
      </c>
      <c r="AE177" s="573">
        <v>2</v>
      </c>
      <c r="AF177" s="154">
        <v>1</v>
      </c>
      <c r="AG177" s="160"/>
      <c r="AH177" s="122">
        <v>2</v>
      </c>
      <c r="AI177" s="485"/>
      <c r="AJ177" s="204" t="s">
        <v>4250</v>
      </c>
      <c r="AK177" s="192">
        <v>1</v>
      </c>
      <c r="AL177" s="205" t="s">
        <v>24</v>
      </c>
      <c r="AM177" s="122">
        <f>Table665[[#This Row],[Subjects_n_ptsd]]+Table665[[#This Row],[Subjects_n_control]]</f>
        <v>32</v>
      </c>
      <c r="AN177" s="122">
        <v>19</v>
      </c>
      <c r="AO177" s="122">
        <v>13</v>
      </c>
      <c r="AP177" s="122" t="s">
        <v>803</v>
      </c>
      <c r="AQ177" s="122" t="s">
        <v>803</v>
      </c>
      <c r="AR177" s="122" t="s">
        <v>4248</v>
      </c>
      <c r="AS177" s="122">
        <v>2.81</v>
      </c>
      <c r="AT177" s="122" t="s">
        <v>4247</v>
      </c>
      <c r="AU177" s="122">
        <v>3.09</v>
      </c>
      <c r="AV177" s="122" t="s">
        <v>4249</v>
      </c>
      <c r="AW177" s="122" t="s">
        <v>24</v>
      </c>
      <c r="AX177" s="122" t="s">
        <v>24</v>
      </c>
      <c r="AY177" s="122" t="s">
        <v>4161</v>
      </c>
      <c r="AZ177" s="122" t="s">
        <v>3835</v>
      </c>
      <c r="BA177" s="122" t="s">
        <v>4251</v>
      </c>
      <c r="BB177" s="122"/>
      <c r="BC177" s="122"/>
      <c r="BD177" s="161"/>
      <c r="BE177" s="161"/>
      <c r="BF177" s="161">
        <v>1</v>
      </c>
      <c r="BG177" s="161"/>
      <c r="BH177" s="161"/>
      <c r="BI177" s="161"/>
      <c r="BJ177" s="161"/>
      <c r="BK177" s="161"/>
      <c r="BL177" s="161"/>
      <c r="BM177" s="161"/>
      <c r="BN177" s="161"/>
      <c r="BO177" s="161"/>
      <c r="BP177" s="161"/>
      <c r="BQ177" s="162" t="s">
        <v>4255</v>
      </c>
      <c r="BR177" s="150" t="s">
        <v>1876</v>
      </c>
      <c r="BS177" s="150">
        <v>2</v>
      </c>
      <c r="BT177" s="150" t="s">
        <v>4256</v>
      </c>
      <c r="BU177" s="150" t="s">
        <v>24</v>
      </c>
      <c r="BV177" s="150" t="s">
        <v>4257</v>
      </c>
      <c r="BW177" s="258" t="s">
        <v>4307</v>
      </c>
      <c r="BX177" s="151" t="s">
        <v>4287</v>
      </c>
      <c r="BY177" s="150">
        <v>9.32</v>
      </c>
      <c r="BZ177" s="150">
        <v>1.29</v>
      </c>
      <c r="CA177" s="150" t="s">
        <v>24</v>
      </c>
      <c r="CB177" s="151" t="s">
        <v>4288</v>
      </c>
      <c r="CC177" s="150">
        <v>12.38</v>
      </c>
      <c r="CD177" s="150">
        <v>2.1800000000000002</v>
      </c>
      <c r="CE177" s="150" t="s">
        <v>24</v>
      </c>
      <c r="CF177" s="290" t="s">
        <v>4297</v>
      </c>
      <c r="CG177" s="291" t="s">
        <v>4309</v>
      </c>
      <c r="CH177" s="151" t="s">
        <v>24</v>
      </c>
      <c r="CI177" s="150" t="s">
        <v>24</v>
      </c>
      <c r="CJ177" s="150" t="s">
        <v>24</v>
      </c>
      <c r="CK177" s="150" t="s">
        <v>24</v>
      </c>
      <c r="CL177" s="151" t="s">
        <v>24</v>
      </c>
      <c r="CM177" s="150" t="s">
        <v>24</v>
      </c>
      <c r="CN177" s="150" t="s">
        <v>24</v>
      </c>
      <c r="CO177" s="150" t="s">
        <v>24</v>
      </c>
      <c r="CP177" s="290" t="s">
        <v>24</v>
      </c>
      <c r="CQ177" s="291"/>
      <c r="CR177" s="278"/>
      <c r="CS177" s="285"/>
      <c r="CT177" s="150" t="s">
        <v>24</v>
      </c>
      <c r="CU177" s="150" t="s">
        <v>24</v>
      </c>
      <c r="CV177" s="150" t="s">
        <v>24</v>
      </c>
      <c r="CW177" s="150" t="s">
        <v>24</v>
      </c>
      <c r="CX177" s="150" t="s">
        <v>24</v>
      </c>
      <c r="CY177" s="150" t="s">
        <v>24</v>
      </c>
      <c r="CZ177" s="150" t="s">
        <v>24</v>
      </c>
      <c r="DA177" s="150" t="s">
        <v>24</v>
      </c>
      <c r="DB177" s="302"/>
      <c r="DC177" s="303"/>
      <c r="DD177" s="150"/>
      <c r="DE177" s="150"/>
      <c r="DF177" s="150"/>
      <c r="DG177" s="150"/>
      <c r="DH177" s="150"/>
      <c r="DI177" s="150"/>
      <c r="DJ177" s="150"/>
      <c r="DK177" s="150"/>
      <c r="DL177" s="302"/>
      <c r="DM177" s="303"/>
      <c r="DN177" s="278"/>
      <c r="DO177" s="279"/>
      <c r="DP177" s="150"/>
      <c r="DQ177" s="150"/>
      <c r="DR177" s="150"/>
      <c r="DS177" s="150"/>
      <c r="DT177" s="151"/>
      <c r="DU177" s="150"/>
      <c r="DV177" s="150"/>
      <c r="DW177" s="150"/>
      <c r="DX177" s="303"/>
      <c r="DY177" s="303"/>
      <c r="DZ177" s="151"/>
      <c r="EA177" s="150"/>
      <c r="EB177" s="150"/>
      <c r="EC177" s="150"/>
      <c r="ED177" s="151"/>
      <c r="EE177" s="150"/>
      <c r="EF177" s="150"/>
      <c r="EG177" s="150"/>
      <c r="EH177" s="303"/>
      <c r="EI177" s="303"/>
      <c r="EJ177" s="279"/>
      <c r="EK177" s="150"/>
      <c r="EL177" s="150"/>
      <c r="EM177" s="150"/>
      <c r="EN177" s="150"/>
      <c r="EO177" s="150"/>
      <c r="EP177" s="150"/>
      <c r="EQ177" s="150"/>
      <c r="ER177" s="150"/>
      <c r="ES177" s="303"/>
      <c r="ET177" s="303"/>
      <c r="EU177" s="150"/>
      <c r="EV177" s="150"/>
      <c r="EW177" s="150"/>
      <c r="EX177" s="150"/>
      <c r="EY177" s="134"/>
      <c r="EZ177" s="134"/>
      <c r="FA177" s="134"/>
      <c r="FB177" s="134"/>
      <c r="FC177" s="135"/>
      <c r="FD177" s="135"/>
      <c r="FE177" s="134"/>
      <c r="FF177" s="134"/>
      <c r="FG177" s="134"/>
      <c r="FH177" s="134"/>
      <c r="FI177" s="134"/>
      <c r="FJ177" s="134"/>
      <c r="FK177" s="134"/>
      <c r="FL177" s="134"/>
      <c r="FM177" s="135"/>
      <c r="FN177" s="135"/>
      <c r="FO177" s="134"/>
      <c r="FP177" s="134"/>
      <c r="FQ177" s="134"/>
      <c r="FR177" s="134"/>
      <c r="FS177" s="134"/>
      <c r="FT177" s="134"/>
      <c r="FU177" s="134"/>
      <c r="FV177" s="134"/>
      <c r="FW177" s="135"/>
      <c r="FX177" s="135"/>
      <c r="FY177" s="134"/>
      <c r="FZ177" s="134"/>
      <c r="GA177" s="134"/>
      <c r="GB177" s="134"/>
      <c r="GC177" s="134"/>
      <c r="GD177" s="134"/>
      <c r="GE177" s="134"/>
      <c r="GF177" s="134"/>
      <c r="GG177" s="135"/>
      <c r="GH177" s="135"/>
      <c r="GI177" s="134"/>
      <c r="GJ177" s="134"/>
      <c r="GK177" s="134"/>
      <c r="GL177" s="134"/>
      <c r="GM177" s="134"/>
      <c r="GN177" s="134"/>
      <c r="GO177" s="134"/>
      <c r="GP177" s="134"/>
      <c r="GQ177" s="135"/>
      <c r="GR177" s="135"/>
      <c r="GS177" s="134"/>
      <c r="GT177" s="134"/>
      <c r="GU177" s="134"/>
      <c r="GV177" s="134"/>
      <c r="GW177" s="134"/>
      <c r="GX177" s="134"/>
      <c r="GY177" s="134"/>
      <c r="GZ177" s="134"/>
      <c r="HA177" s="135"/>
      <c r="HB177" s="135"/>
      <c r="HC177" s="134"/>
      <c r="HD177" s="134"/>
      <c r="HE177" s="134"/>
      <c r="HF177" s="134"/>
      <c r="HG177" s="134"/>
      <c r="HH177" s="134"/>
      <c r="HI177" s="134"/>
      <c r="HJ177" s="134"/>
      <c r="HK177" s="135"/>
      <c r="HL177" s="135"/>
      <c r="HM177" s="134"/>
      <c r="HN177" s="134"/>
      <c r="HO177" s="134"/>
      <c r="HP177" s="134"/>
      <c r="HQ177" s="134"/>
      <c r="HR177" s="134"/>
      <c r="HS177" s="134"/>
      <c r="HT177" s="134"/>
      <c r="HU177" s="135"/>
      <c r="HV177" s="135"/>
      <c r="HW177" s="134"/>
      <c r="HX177" s="134"/>
      <c r="HY177" s="134"/>
      <c r="HZ177" s="134"/>
      <c r="IA177" s="134"/>
      <c r="IB177" s="134"/>
      <c r="IC177" s="134"/>
      <c r="ID177" s="134"/>
      <c r="IE177" s="135"/>
      <c r="IF177" s="135"/>
      <c r="IG177" s="134"/>
      <c r="IH177" s="134"/>
      <c r="II177" s="134"/>
      <c r="IJ177" s="134"/>
      <c r="IK177" s="134"/>
      <c r="IL177" s="134"/>
      <c r="IM177" s="134"/>
      <c r="IN177" s="134"/>
      <c r="IO177" s="135"/>
      <c r="IP177" s="135"/>
      <c r="IQ177" s="134"/>
      <c r="IR177" s="134"/>
      <c r="IS177" s="134"/>
      <c r="IT177" s="134"/>
      <c r="IU177" s="134"/>
      <c r="IV177" s="134"/>
      <c r="IW177" s="134"/>
      <c r="IX177" s="134"/>
      <c r="IY177" s="135"/>
      <c r="IZ177" s="135"/>
    </row>
    <row r="178" spans="1:260" customFormat="1" ht="17" customHeight="1">
      <c r="A178" s="118" t="s">
        <v>145</v>
      </c>
      <c r="B178" s="381">
        <v>111</v>
      </c>
      <c r="C178" s="381">
        <v>24</v>
      </c>
      <c r="D178" s="381"/>
      <c r="E178" s="139" t="s">
        <v>1952</v>
      </c>
      <c r="F178" s="140" t="s">
        <v>2172</v>
      </c>
      <c r="G178" s="141">
        <v>2001</v>
      </c>
      <c r="H178" s="118">
        <v>11469166</v>
      </c>
      <c r="I178" s="118">
        <v>1</v>
      </c>
      <c r="J178" s="118"/>
      <c r="K178" s="118"/>
      <c r="L178" s="118">
        <v>1</v>
      </c>
      <c r="M178" s="118"/>
      <c r="N178" s="118">
        <v>1</v>
      </c>
      <c r="O178" s="142">
        <v>1</v>
      </c>
      <c r="P178" s="118" t="s">
        <v>452</v>
      </c>
      <c r="Q178" s="118"/>
      <c r="R178" s="118" t="s">
        <v>25</v>
      </c>
      <c r="S178" s="118">
        <v>1</v>
      </c>
      <c r="T178" s="118"/>
      <c r="U178" s="118"/>
      <c r="V178" s="118"/>
      <c r="W178" s="118" t="s">
        <v>24</v>
      </c>
      <c r="X178" s="118"/>
      <c r="Y178" s="118"/>
      <c r="Z178" s="118"/>
      <c r="AA178" s="118"/>
      <c r="AB178" s="118"/>
      <c r="AC178" s="145"/>
      <c r="AD178" s="573">
        <v>1</v>
      </c>
      <c r="AE178" s="573">
        <v>2</v>
      </c>
      <c r="AF178" s="154">
        <v>1</v>
      </c>
      <c r="AG178" s="160"/>
      <c r="AH178" s="122">
        <v>2</v>
      </c>
      <c r="AI178" s="485"/>
      <c r="AJ178" s="204" t="s">
        <v>4250</v>
      </c>
      <c r="AK178" s="192">
        <v>1</v>
      </c>
      <c r="AL178" s="205" t="s">
        <v>24</v>
      </c>
      <c r="AM178" s="122">
        <f>Table665[[#This Row],[Subjects_n_ptsd]]+Table665[[#This Row],[Subjects_n_control]]</f>
        <v>32</v>
      </c>
      <c r="AN178" s="122">
        <v>19</v>
      </c>
      <c r="AO178" s="122">
        <v>13</v>
      </c>
      <c r="AP178" s="122" t="s">
        <v>803</v>
      </c>
      <c r="AQ178" s="122" t="s">
        <v>803</v>
      </c>
      <c r="AR178" s="122" t="s">
        <v>4248</v>
      </c>
      <c r="AS178" s="122">
        <v>2.81</v>
      </c>
      <c r="AT178" s="122" t="s">
        <v>4247</v>
      </c>
      <c r="AU178" s="122">
        <v>3.09</v>
      </c>
      <c r="AV178" s="122" t="s">
        <v>4249</v>
      </c>
      <c r="AW178" s="122" t="s">
        <v>24</v>
      </c>
      <c r="AX178" s="122" t="s">
        <v>24</v>
      </c>
      <c r="AY178" s="122" t="s">
        <v>4161</v>
      </c>
      <c r="AZ178" s="122" t="s">
        <v>3835</v>
      </c>
      <c r="BA178" s="122" t="s">
        <v>4251</v>
      </c>
      <c r="BB178" s="122"/>
      <c r="BC178" s="122"/>
      <c r="BD178" s="161"/>
      <c r="BE178" s="161"/>
      <c r="BF178" s="161"/>
      <c r="BG178" s="161"/>
      <c r="BH178" s="161"/>
      <c r="BI178" s="161"/>
      <c r="BJ178" s="161"/>
      <c r="BK178" s="161"/>
      <c r="BL178" s="161"/>
      <c r="BM178" s="161"/>
      <c r="BN178" s="161"/>
      <c r="BO178" s="161"/>
      <c r="BP178" s="161">
        <v>1</v>
      </c>
      <c r="BQ178" s="162" t="s">
        <v>4258</v>
      </c>
      <c r="BR178" s="150" t="s">
        <v>1876</v>
      </c>
      <c r="BS178" s="150">
        <v>2</v>
      </c>
      <c r="BT178" s="150" t="s">
        <v>4259</v>
      </c>
      <c r="BU178" s="150" t="s">
        <v>24</v>
      </c>
      <c r="BV178" s="150" t="s">
        <v>4260</v>
      </c>
      <c r="BW178" s="258" t="s">
        <v>4322</v>
      </c>
      <c r="BX178" s="151" t="s">
        <v>4311</v>
      </c>
      <c r="BY178" s="150">
        <v>38.630000000000003</v>
      </c>
      <c r="BZ178" s="150">
        <v>14</v>
      </c>
      <c r="CA178" s="150" t="s">
        <v>24</v>
      </c>
      <c r="CB178" s="151" t="s">
        <v>4312</v>
      </c>
      <c r="CC178" s="150">
        <v>33.69</v>
      </c>
      <c r="CD178" s="150">
        <v>12.74</v>
      </c>
      <c r="CE178" s="150" t="s">
        <v>24</v>
      </c>
      <c r="CF178" s="290" t="s">
        <v>3229</v>
      </c>
      <c r="CG178" s="291" t="s">
        <v>4316</v>
      </c>
      <c r="CH178" s="151" t="s">
        <v>4313</v>
      </c>
      <c r="CI178" s="150">
        <v>97</v>
      </c>
      <c r="CJ178" s="150">
        <v>31.49</v>
      </c>
      <c r="CK178" s="150" t="s">
        <v>24</v>
      </c>
      <c r="CL178" s="151" t="s">
        <v>4314</v>
      </c>
      <c r="CM178" s="150">
        <v>66.69</v>
      </c>
      <c r="CN178" s="150">
        <v>21.94</v>
      </c>
      <c r="CO178" s="150" t="s">
        <v>24</v>
      </c>
      <c r="CP178" s="290" t="s">
        <v>4317</v>
      </c>
      <c r="CQ178" s="291" t="s">
        <v>4318</v>
      </c>
      <c r="CR178" s="278" t="s">
        <v>4319</v>
      </c>
      <c r="CS178" s="285" t="s">
        <v>24</v>
      </c>
      <c r="CT178" s="429" t="s">
        <v>4315</v>
      </c>
      <c r="CU178" s="150">
        <v>2.78</v>
      </c>
      <c r="CV178" s="150">
        <v>1.1399999999999999</v>
      </c>
      <c r="CW178" s="150" t="s">
        <v>24</v>
      </c>
      <c r="CX178" s="429" t="s">
        <v>4320</v>
      </c>
      <c r="CY178" s="150">
        <v>2.16</v>
      </c>
      <c r="CZ178" s="150">
        <v>0.96</v>
      </c>
      <c r="DA178" s="150" t="s">
        <v>24</v>
      </c>
      <c r="DB178" s="302" t="s">
        <v>3229</v>
      </c>
      <c r="DC178" s="303" t="s">
        <v>4321</v>
      </c>
      <c r="DD178" s="150" t="s">
        <v>24</v>
      </c>
      <c r="DE178" s="150" t="s">
        <v>24</v>
      </c>
      <c r="DF178" s="150" t="s">
        <v>24</v>
      </c>
      <c r="DG178" s="150" t="s">
        <v>24</v>
      </c>
      <c r="DH178" s="150" t="s">
        <v>24</v>
      </c>
      <c r="DI178" s="150" t="s">
        <v>24</v>
      </c>
      <c r="DJ178" s="150" t="s">
        <v>24</v>
      </c>
      <c r="DK178" s="150" t="s">
        <v>24</v>
      </c>
      <c r="DL178" s="302"/>
      <c r="DM178" s="303"/>
      <c r="DN178" s="278"/>
      <c r="DO178" s="279"/>
      <c r="DP178" s="150"/>
      <c r="DQ178" s="150"/>
      <c r="DR178" s="150"/>
      <c r="DS178" s="150"/>
      <c r="DT178" s="151"/>
      <c r="DU178" s="150"/>
      <c r="DV178" s="150"/>
      <c r="DW178" s="150"/>
      <c r="DX178" s="303"/>
      <c r="DY178" s="303"/>
      <c r="DZ178" s="151"/>
      <c r="EA178" s="150"/>
      <c r="EB178" s="150"/>
      <c r="EC178" s="150"/>
      <c r="ED178" s="151"/>
      <c r="EE178" s="150"/>
      <c r="EF178" s="150"/>
      <c r="EG178" s="150"/>
      <c r="EH178" s="303"/>
      <c r="EI178" s="303"/>
      <c r="EJ178" s="279"/>
      <c r="EK178" s="150"/>
      <c r="EL178" s="150"/>
      <c r="EM178" s="150"/>
      <c r="EN178" s="150"/>
      <c r="EO178" s="150"/>
      <c r="EP178" s="150"/>
      <c r="EQ178" s="150"/>
      <c r="ER178" s="150"/>
      <c r="ES178" s="303"/>
      <c r="ET178" s="303"/>
      <c r="EU178" s="150"/>
      <c r="EV178" s="150"/>
      <c r="EW178" s="150"/>
      <c r="EX178" s="150"/>
      <c r="EY178" s="134"/>
      <c r="EZ178" s="134"/>
      <c r="FA178" s="134"/>
      <c r="FB178" s="134"/>
      <c r="FC178" s="135"/>
      <c r="FD178" s="135"/>
      <c r="FE178" s="134"/>
      <c r="FF178" s="134"/>
      <c r="FG178" s="134"/>
      <c r="FH178" s="134"/>
      <c r="FI178" s="134"/>
      <c r="FJ178" s="134"/>
      <c r="FK178" s="134"/>
      <c r="FL178" s="134"/>
      <c r="FM178" s="135"/>
      <c r="FN178" s="135"/>
      <c r="FO178" s="134"/>
      <c r="FP178" s="134"/>
      <c r="FQ178" s="134"/>
      <c r="FR178" s="134"/>
      <c r="FS178" s="134"/>
      <c r="FT178" s="134"/>
      <c r="FU178" s="134"/>
      <c r="FV178" s="134"/>
      <c r="FW178" s="135"/>
      <c r="FX178" s="135"/>
      <c r="FY178" s="134"/>
      <c r="FZ178" s="134"/>
      <c r="GA178" s="134"/>
      <c r="GB178" s="134"/>
      <c r="GC178" s="134"/>
      <c r="GD178" s="134"/>
      <c r="GE178" s="134"/>
      <c r="GF178" s="134"/>
      <c r="GG178" s="135"/>
      <c r="GH178" s="135"/>
      <c r="GI178" s="134"/>
      <c r="GJ178" s="134"/>
      <c r="GK178" s="134"/>
      <c r="GL178" s="134"/>
      <c r="GM178" s="134"/>
      <c r="GN178" s="134"/>
      <c r="GO178" s="134"/>
      <c r="GP178" s="134"/>
      <c r="GQ178" s="135"/>
      <c r="GR178" s="135"/>
      <c r="GS178" s="134"/>
      <c r="GT178" s="134"/>
      <c r="GU178" s="134"/>
      <c r="GV178" s="134"/>
      <c r="GW178" s="134"/>
      <c r="GX178" s="134"/>
      <c r="GY178" s="134"/>
      <c r="GZ178" s="134"/>
      <c r="HA178" s="135"/>
      <c r="HB178" s="135"/>
      <c r="HC178" s="134"/>
      <c r="HD178" s="134"/>
      <c r="HE178" s="134"/>
      <c r="HF178" s="134"/>
      <c r="HG178" s="134"/>
      <c r="HH178" s="134"/>
      <c r="HI178" s="134"/>
      <c r="HJ178" s="134"/>
      <c r="HK178" s="135"/>
      <c r="HL178" s="135"/>
      <c r="HM178" s="134"/>
      <c r="HN178" s="134"/>
      <c r="HO178" s="134"/>
      <c r="HP178" s="134"/>
      <c r="HQ178" s="134"/>
      <c r="HR178" s="134"/>
      <c r="HS178" s="134"/>
      <c r="HT178" s="134"/>
      <c r="HU178" s="135"/>
      <c r="HV178" s="135"/>
      <c r="HW178" s="134"/>
      <c r="HX178" s="134"/>
      <c r="HY178" s="134"/>
      <c r="HZ178" s="134"/>
      <c r="IA178" s="134"/>
      <c r="IB178" s="134"/>
      <c r="IC178" s="134"/>
      <c r="ID178" s="134"/>
      <c r="IE178" s="135"/>
      <c r="IF178" s="135"/>
      <c r="IG178" s="134"/>
      <c r="IH178" s="134"/>
      <c r="II178" s="134"/>
      <c r="IJ178" s="134"/>
      <c r="IK178" s="134"/>
      <c r="IL178" s="134"/>
      <c r="IM178" s="134"/>
      <c r="IN178" s="134"/>
      <c r="IO178" s="135"/>
      <c r="IP178" s="135"/>
      <c r="IQ178" s="134"/>
      <c r="IR178" s="134"/>
      <c r="IS178" s="134"/>
      <c r="IT178" s="134"/>
      <c r="IU178" s="134"/>
      <c r="IV178" s="134"/>
      <c r="IW178" s="134"/>
      <c r="IX178" s="134"/>
      <c r="IY178" s="135"/>
      <c r="IZ178" s="135"/>
    </row>
    <row r="179" spans="1:260" customFormat="1" ht="17" customHeight="1">
      <c r="A179" s="118" t="s">
        <v>145</v>
      </c>
      <c r="B179" s="381">
        <v>111</v>
      </c>
      <c r="C179" s="381">
        <v>24</v>
      </c>
      <c r="D179" s="381"/>
      <c r="E179" s="139" t="s">
        <v>1952</v>
      </c>
      <c r="F179" s="140" t="s">
        <v>2172</v>
      </c>
      <c r="G179" s="141">
        <v>2001</v>
      </c>
      <c r="H179" s="118">
        <v>11469166</v>
      </c>
      <c r="I179" s="118">
        <v>1</v>
      </c>
      <c r="J179" s="118"/>
      <c r="K179" s="118"/>
      <c r="L179" s="118">
        <v>1</v>
      </c>
      <c r="M179" s="118"/>
      <c r="N179" s="118">
        <v>1</v>
      </c>
      <c r="O179" s="142">
        <v>1</v>
      </c>
      <c r="P179" s="118" t="s">
        <v>452</v>
      </c>
      <c r="Q179" s="118"/>
      <c r="R179" s="118" t="s">
        <v>25</v>
      </c>
      <c r="S179" s="118">
        <v>1</v>
      </c>
      <c r="T179" s="118"/>
      <c r="U179" s="118"/>
      <c r="V179" s="118"/>
      <c r="W179" s="118" t="s">
        <v>24</v>
      </c>
      <c r="X179" s="118"/>
      <c r="Y179" s="118"/>
      <c r="Z179" s="118"/>
      <c r="AA179" s="118"/>
      <c r="AB179" s="118"/>
      <c r="AC179" s="145"/>
      <c r="AD179" s="573">
        <v>1</v>
      </c>
      <c r="AE179" s="573">
        <v>2</v>
      </c>
      <c r="AF179" s="154">
        <v>1</v>
      </c>
      <c r="AG179" s="160"/>
      <c r="AH179" s="122">
        <v>2</v>
      </c>
      <c r="AI179" s="485"/>
      <c r="AJ179" s="204" t="s">
        <v>4250</v>
      </c>
      <c r="AK179" s="192">
        <v>1</v>
      </c>
      <c r="AL179" s="205" t="s">
        <v>24</v>
      </c>
      <c r="AM179" s="122">
        <f>Table665[[#This Row],[Subjects_n_ptsd]]+Table665[[#This Row],[Subjects_n_control]]</f>
        <v>32</v>
      </c>
      <c r="AN179" s="122">
        <v>19</v>
      </c>
      <c r="AO179" s="122">
        <v>13</v>
      </c>
      <c r="AP179" s="122" t="s">
        <v>803</v>
      </c>
      <c r="AQ179" s="122" t="s">
        <v>803</v>
      </c>
      <c r="AR179" s="122" t="s">
        <v>4248</v>
      </c>
      <c r="AS179" s="122">
        <v>2.81</v>
      </c>
      <c r="AT179" s="122" t="s">
        <v>4247</v>
      </c>
      <c r="AU179" s="122">
        <v>3.09</v>
      </c>
      <c r="AV179" s="122" t="s">
        <v>4249</v>
      </c>
      <c r="AW179" s="122" t="s">
        <v>24</v>
      </c>
      <c r="AX179" s="122" t="s">
        <v>24</v>
      </c>
      <c r="AY179" s="122" t="s">
        <v>4161</v>
      </c>
      <c r="AZ179" s="122" t="s">
        <v>3835</v>
      </c>
      <c r="BA179" s="122" t="s">
        <v>4251</v>
      </c>
      <c r="BB179" s="122"/>
      <c r="BC179" s="122"/>
      <c r="BD179" s="161"/>
      <c r="BE179" s="161"/>
      <c r="BF179" s="161"/>
      <c r="BG179" s="161"/>
      <c r="BH179" s="161"/>
      <c r="BI179" s="161">
        <v>1</v>
      </c>
      <c r="BJ179" s="161"/>
      <c r="BK179" s="161"/>
      <c r="BL179" s="161"/>
      <c r="BM179" s="161"/>
      <c r="BN179" s="161"/>
      <c r="BO179" s="161"/>
      <c r="BP179" s="161"/>
      <c r="BQ179" s="162" t="s">
        <v>4002</v>
      </c>
      <c r="BR179" s="150" t="s">
        <v>1876</v>
      </c>
      <c r="BS179" s="150">
        <v>2</v>
      </c>
      <c r="BT179" s="150" t="s">
        <v>4261</v>
      </c>
      <c r="BU179" s="150" t="s">
        <v>24</v>
      </c>
      <c r="BV179" s="150" t="s">
        <v>4262</v>
      </c>
      <c r="BW179" s="258" t="s">
        <v>4337</v>
      </c>
      <c r="BX179" s="151" t="s">
        <v>4323</v>
      </c>
      <c r="BY179" s="150">
        <v>4.05</v>
      </c>
      <c r="BZ179" s="150">
        <v>2.17</v>
      </c>
      <c r="CA179" s="150" t="s">
        <v>24</v>
      </c>
      <c r="CB179" s="151" t="s">
        <v>4324</v>
      </c>
      <c r="CC179" s="150">
        <v>5.54</v>
      </c>
      <c r="CD179" s="150">
        <v>1.39</v>
      </c>
      <c r="CE179" s="150" t="s">
        <v>24</v>
      </c>
      <c r="CF179" s="290" t="s">
        <v>4329</v>
      </c>
      <c r="CG179" s="291" t="s">
        <v>4330</v>
      </c>
      <c r="CH179" s="151" t="s">
        <v>4325</v>
      </c>
      <c r="CI179" s="150">
        <v>21.89</v>
      </c>
      <c r="CJ179" s="150">
        <v>12.27</v>
      </c>
      <c r="CK179" s="150" t="s">
        <v>24</v>
      </c>
      <c r="CL179" s="151" t="s">
        <v>4326</v>
      </c>
      <c r="CM179" s="150">
        <v>12.77</v>
      </c>
      <c r="CN179" s="150" t="s">
        <v>4331</v>
      </c>
      <c r="CO179" s="150" t="s">
        <v>24</v>
      </c>
      <c r="CP179" s="290" t="s">
        <v>4332</v>
      </c>
      <c r="CQ179" s="291" t="s">
        <v>4333</v>
      </c>
      <c r="CR179" s="278" t="s">
        <v>4334</v>
      </c>
      <c r="CS179" s="285" t="s">
        <v>24</v>
      </c>
      <c r="CT179" s="151" t="s">
        <v>4327</v>
      </c>
      <c r="CU179" s="150">
        <v>29.89</v>
      </c>
      <c r="CV179" s="150">
        <v>25.89</v>
      </c>
      <c r="CW179" s="150" t="s">
        <v>24</v>
      </c>
      <c r="CX179" s="151" t="s">
        <v>4328</v>
      </c>
      <c r="CY179" s="150">
        <v>12.23</v>
      </c>
      <c r="CZ179" s="150">
        <v>7.41</v>
      </c>
      <c r="DA179" s="150" t="s">
        <v>24</v>
      </c>
      <c r="DB179" s="302" t="s">
        <v>4335</v>
      </c>
      <c r="DC179" s="303" t="s">
        <v>4336</v>
      </c>
      <c r="DD179" s="150" t="s">
        <v>24</v>
      </c>
      <c r="DE179" s="150" t="s">
        <v>24</v>
      </c>
      <c r="DF179" s="150" t="s">
        <v>24</v>
      </c>
      <c r="DG179" s="150" t="s">
        <v>24</v>
      </c>
      <c r="DH179" s="150" t="s">
        <v>24</v>
      </c>
      <c r="DI179" s="150" t="s">
        <v>24</v>
      </c>
      <c r="DJ179" s="150" t="s">
        <v>24</v>
      </c>
      <c r="DK179" s="150" t="s">
        <v>24</v>
      </c>
      <c r="DL179" s="302"/>
      <c r="DM179" s="303"/>
      <c r="DN179" s="278"/>
      <c r="DO179" s="279"/>
      <c r="DP179" s="150"/>
      <c r="DQ179" s="150"/>
      <c r="DR179" s="150"/>
      <c r="DS179" s="150"/>
      <c r="DT179" s="151"/>
      <c r="DU179" s="150"/>
      <c r="DV179" s="150"/>
      <c r="DW179" s="150"/>
      <c r="DX179" s="303"/>
      <c r="DY179" s="303"/>
      <c r="DZ179" s="151"/>
      <c r="EA179" s="150"/>
      <c r="EB179" s="150"/>
      <c r="EC179" s="150"/>
      <c r="ED179" s="151"/>
      <c r="EE179" s="150"/>
      <c r="EF179" s="150"/>
      <c r="EG179" s="150"/>
      <c r="EH179" s="303"/>
      <c r="EI179" s="303"/>
      <c r="EJ179" s="279"/>
      <c r="EK179" s="150"/>
      <c r="EL179" s="150"/>
      <c r="EM179" s="150"/>
      <c r="EN179" s="150"/>
      <c r="EO179" s="150"/>
      <c r="EP179" s="150"/>
      <c r="EQ179" s="150"/>
      <c r="ER179" s="150"/>
      <c r="ES179" s="303"/>
      <c r="ET179" s="303"/>
      <c r="EU179" s="150"/>
      <c r="EV179" s="150"/>
      <c r="EW179" s="150"/>
      <c r="EX179" s="150"/>
      <c r="EY179" s="134"/>
      <c r="EZ179" s="134"/>
      <c r="FA179" s="134"/>
      <c r="FB179" s="134"/>
      <c r="FC179" s="135"/>
      <c r="FD179" s="135"/>
      <c r="FE179" s="134"/>
      <c r="FF179" s="134"/>
      <c r="FG179" s="134"/>
      <c r="FH179" s="134"/>
      <c r="FI179" s="134"/>
      <c r="FJ179" s="134"/>
      <c r="FK179" s="134"/>
      <c r="FL179" s="134"/>
      <c r="FM179" s="135"/>
      <c r="FN179" s="135"/>
      <c r="FO179" s="134"/>
      <c r="FP179" s="134"/>
      <c r="FQ179" s="134"/>
      <c r="FR179" s="134"/>
      <c r="FS179" s="134"/>
      <c r="FT179" s="134"/>
      <c r="FU179" s="134"/>
      <c r="FV179" s="134"/>
      <c r="FW179" s="135"/>
      <c r="FX179" s="135"/>
      <c r="FY179" s="134"/>
      <c r="FZ179" s="134"/>
      <c r="GA179" s="134"/>
      <c r="GB179" s="134"/>
      <c r="GC179" s="134"/>
      <c r="GD179" s="134"/>
      <c r="GE179" s="134"/>
      <c r="GF179" s="134"/>
      <c r="GG179" s="135"/>
      <c r="GH179" s="135"/>
      <c r="GI179" s="134"/>
      <c r="GJ179" s="134"/>
      <c r="GK179" s="134"/>
      <c r="GL179" s="134"/>
      <c r="GM179" s="134"/>
      <c r="GN179" s="134"/>
      <c r="GO179" s="134"/>
      <c r="GP179" s="134"/>
      <c r="GQ179" s="135"/>
      <c r="GR179" s="135"/>
      <c r="GS179" s="134"/>
      <c r="GT179" s="134"/>
      <c r="GU179" s="134"/>
      <c r="GV179" s="134"/>
      <c r="GW179" s="134"/>
      <c r="GX179" s="134"/>
      <c r="GY179" s="134"/>
      <c r="GZ179" s="134"/>
      <c r="HA179" s="135"/>
      <c r="HB179" s="135"/>
      <c r="HC179" s="134"/>
      <c r="HD179" s="134"/>
      <c r="HE179" s="134"/>
      <c r="HF179" s="134"/>
      <c r="HG179" s="134"/>
      <c r="HH179" s="134"/>
      <c r="HI179" s="134"/>
      <c r="HJ179" s="134"/>
      <c r="HK179" s="135"/>
      <c r="HL179" s="135"/>
      <c r="HM179" s="134"/>
      <c r="HN179" s="134"/>
      <c r="HO179" s="134"/>
      <c r="HP179" s="134"/>
      <c r="HQ179" s="134"/>
      <c r="HR179" s="134"/>
      <c r="HS179" s="134"/>
      <c r="HT179" s="134"/>
      <c r="HU179" s="135"/>
      <c r="HV179" s="135"/>
      <c r="HW179" s="134"/>
      <c r="HX179" s="134"/>
      <c r="HY179" s="134"/>
      <c r="HZ179" s="134"/>
      <c r="IA179" s="134"/>
      <c r="IB179" s="134"/>
      <c r="IC179" s="134"/>
      <c r="ID179" s="134"/>
      <c r="IE179" s="135"/>
      <c r="IF179" s="135"/>
      <c r="IG179" s="134"/>
      <c r="IH179" s="134"/>
      <c r="II179" s="134"/>
      <c r="IJ179" s="134"/>
      <c r="IK179" s="134"/>
      <c r="IL179" s="134"/>
      <c r="IM179" s="134"/>
      <c r="IN179" s="134"/>
      <c r="IO179" s="135"/>
      <c r="IP179" s="135"/>
      <c r="IQ179" s="134"/>
      <c r="IR179" s="134"/>
      <c r="IS179" s="134"/>
      <c r="IT179" s="134"/>
      <c r="IU179" s="134"/>
      <c r="IV179" s="134"/>
      <c r="IW179" s="134"/>
      <c r="IX179" s="134"/>
      <c r="IY179" s="135"/>
      <c r="IZ179" s="135"/>
    </row>
    <row r="180" spans="1:260" customFormat="1" ht="17" customHeight="1">
      <c r="A180" s="118" t="s">
        <v>145</v>
      </c>
      <c r="B180" s="381">
        <v>111</v>
      </c>
      <c r="C180" s="381">
        <v>24</v>
      </c>
      <c r="D180" s="381"/>
      <c r="E180" s="139" t="s">
        <v>1952</v>
      </c>
      <c r="F180" s="140" t="s">
        <v>2172</v>
      </c>
      <c r="G180" s="141">
        <v>2001</v>
      </c>
      <c r="H180" s="118">
        <v>11469166</v>
      </c>
      <c r="I180" s="118">
        <v>1</v>
      </c>
      <c r="J180" s="118"/>
      <c r="K180" s="118"/>
      <c r="L180" s="118">
        <v>1</v>
      </c>
      <c r="M180" s="118"/>
      <c r="N180" s="118">
        <v>1</v>
      </c>
      <c r="O180" s="142">
        <v>1</v>
      </c>
      <c r="P180" s="118" t="s">
        <v>452</v>
      </c>
      <c r="Q180" s="118"/>
      <c r="R180" s="118" t="s">
        <v>25</v>
      </c>
      <c r="S180" s="118">
        <v>1</v>
      </c>
      <c r="T180" s="118"/>
      <c r="U180" s="118"/>
      <c r="V180" s="118"/>
      <c r="W180" s="118" t="s">
        <v>24</v>
      </c>
      <c r="X180" s="118"/>
      <c r="Y180" s="118"/>
      <c r="Z180" s="118"/>
      <c r="AA180" s="118"/>
      <c r="AB180" s="118"/>
      <c r="AC180" s="145"/>
      <c r="AD180" s="573">
        <v>1</v>
      </c>
      <c r="AE180" s="573">
        <v>2</v>
      </c>
      <c r="AF180" s="154">
        <v>1</v>
      </c>
      <c r="AG180" s="160"/>
      <c r="AH180" s="122">
        <v>2</v>
      </c>
      <c r="AI180" s="485"/>
      <c r="AJ180" s="204" t="s">
        <v>4250</v>
      </c>
      <c r="AK180" s="192">
        <v>1</v>
      </c>
      <c r="AL180" s="205" t="s">
        <v>24</v>
      </c>
      <c r="AM180" s="122">
        <f>Table665[[#This Row],[Subjects_n_ptsd]]+Table665[[#This Row],[Subjects_n_control]]</f>
        <v>32</v>
      </c>
      <c r="AN180" s="122">
        <v>19</v>
      </c>
      <c r="AO180" s="122">
        <v>13</v>
      </c>
      <c r="AP180" s="122" t="s">
        <v>803</v>
      </c>
      <c r="AQ180" s="122" t="s">
        <v>803</v>
      </c>
      <c r="AR180" s="122" t="s">
        <v>4248</v>
      </c>
      <c r="AS180" s="122">
        <v>2.81</v>
      </c>
      <c r="AT180" s="122" t="s">
        <v>4247</v>
      </c>
      <c r="AU180" s="122">
        <v>3.09</v>
      </c>
      <c r="AV180" s="122" t="s">
        <v>4249</v>
      </c>
      <c r="AW180" s="122" t="s">
        <v>24</v>
      </c>
      <c r="AX180" s="122" t="s">
        <v>24</v>
      </c>
      <c r="AY180" s="122" t="s">
        <v>4161</v>
      </c>
      <c r="AZ180" s="122" t="s">
        <v>3835</v>
      </c>
      <c r="BA180" s="122" t="s">
        <v>4251</v>
      </c>
      <c r="BB180" s="122"/>
      <c r="BC180" s="122"/>
      <c r="BD180" s="161"/>
      <c r="BE180" s="161"/>
      <c r="BF180" s="161"/>
      <c r="BG180" s="161"/>
      <c r="BH180" s="161"/>
      <c r="BI180" s="161"/>
      <c r="BJ180" s="161"/>
      <c r="BK180" s="161"/>
      <c r="BL180" s="161"/>
      <c r="BM180" s="161"/>
      <c r="BN180" s="161"/>
      <c r="BO180" s="161"/>
      <c r="BP180" s="161" t="s">
        <v>1917</v>
      </c>
      <c r="BQ180" s="162" t="s">
        <v>4263</v>
      </c>
      <c r="BR180" s="150" t="s">
        <v>1876</v>
      </c>
      <c r="BS180" s="150">
        <v>2</v>
      </c>
      <c r="BT180" s="150" t="s">
        <v>4264</v>
      </c>
      <c r="BU180" s="150" t="s">
        <v>24</v>
      </c>
      <c r="BV180" s="150" t="s">
        <v>4265</v>
      </c>
      <c r="BW180" s="258" t="s">
        <v>4306</v>
      </c>
      <c r="BX180" s="151" t="s">
        <v>4303</v>
      </c>
      <c r="BY180" s="150">
        <v>33.5</v>
      </c>
      <c r="BZ180" s="150">
        <v>3.43</v>
      </c>
      <c r="CA180" s="150" t="s">
        <v>24</v>
      </c>
      <c r="CB180" s="151" t="s">
        <v>4304</v>
      </c>
      <c r="CC180" s="150">
        <v>35.46</v>
      </c>
      <c r="CD180" s="150">
        <v>0.97</v>
      </c>
      <c r="CE180" s="150" t="s">
        <v>24</v>
      </c>
      <c r="CF180" s="290" t="s">
        <v>4297</v>
      </c>
      <c r="CG180" s="291" t="s">
        <v>4305</v>
      </c>
      <c r="CH180" s="151" t="s">
        <v>24</v>
      </c>
      <c r="CI180" s="150" t="s">
        <v>24</v>
      </c>
      <c r="CJ180" s="150" t="s">
        <v>24</v>
      </c>
      <c r="CK180" s="150" t="s">
        <v>24</v>
      </c>
      <c r="CL180" s="151" t="s">
        <v>24</v>
      </c>
      <c r="CM180" s="150" t="s">
        <v>24</v>
      </c>
      <c r="CN180" s="150" t="s">
        <v>24</v>
      </c>
      <c r="CO180" s="150" t="s">
        <v>24</v>
      </c>
      <c r="CP180" s="290" t="s">
        <v>24</v>
      </c>
      <c r="CQ180" s="291"/>
      <c r="CR180" s="278"/>
      <c r="CS180" s="285"/>
      <c r="CT180" s="151"/>
      <c r="CU180" s="150"/>
      <c r="CV180" s="150"/>
      <c r="CW180" s="150"/>
      <c r="CX180" s="150"/>
      <c r="CY180" s="150"/>
      <c r="CZ180" s="150"/>
      <c r="DA180" s="150"/>
      <c r="DB180" s="302"/>
      <c r="DC180" s="303"/>
      <c r="DD180" s="150"/>
      <c r="DE180" s="150"/>
      <c r="DF180" s="150"/>
      <c r="DG180" s="150"/>
      <c r="DH180" s="150"/>
      <c r="DI180" s="150"/>
      <c r="DJ180" s="150"/>
      <c r="DK180" s="150"/>
      <c r="DL180" s="302"/>
      <c r="DM180" s="303"/>
      <c r="DN180" s="278"/>
      <c r="DO180" s="279"/>
      <c r="DP180" s="150"/>
      <c r="DQ180" s="150"/>
      <c r="DR180" s="150"/>
      <c r="DS180" s="150"/>
      <c r="DT180" s="151"/>
      <c r="DU180" s="150"/>
      <c r="DV180" s="150"/>
      <c r="DW180" s="150"/>
      <c r="DX180" s="303"/>
      <c r="DY180" s="303"/>
      <c r="DZ180" s="151"/>
      <c r="EA180" s="150"/>
      <c r="EB180" s="150"/>
      <c r="EC180" s="150"/>
      <c r="ED180" s="151"/>
      <c r="EE180" s="150"/>
      <c r="EF180" s="150"/>
      <c r="EG180" s="150"/>
      <c r="EH180" s="303"/>
      <c r="EI180" s="303"/>
      <c r="EJ180" s="279"/>
      <c r="EK180" s="150"/>
      <c r="EL180" s="150"/>
      <c r="EM180" s="150"/>
      <c r="EN180" s="150"/>
      <c r="EO180" s="150"/>
      <c r="EP180" s="150"/>
      <c r="EQ180" s="150"/>
      <c r="ER180" s="150"/>
      <c r="ES180" s="303"/>
      <c r="ET180" s="303"/>
      <c r="EU180" s="150"/>
      <c r="EV180" s="150"/>
      <c r="EW180" s="150"/>
      <c r="EX180" s="150"/>
      <c r="EY180" s="134"/>
      <c r="EZ180" s="134"/>
      <c r="FA180" s="134"/>
      <c r="FB180" s="134"/>
      <c r="FC180" s="135"/>
      <c r="FD180" s="135"/>
      <c r="FE180" s="134"/>
      <c r="FF180" s="134"/>
      <c r="FG180" s="134"/>
      <c r="FH180" s="134"/>
      <c r="FI180" s="134"/>
      <c r="FJ180" s="134"/>
      <c r="FK180" s="134"/>
      <c r="FL180" s="134"/>
      <c r="FM180" s="135"/>
      <c r="FN180" s="135"/>
      <c r="FO180" s="134"/>
      <c r="FP180" s="134"/>
      <c r="FQ180" s="134"/>
      <c r="FR180" s="134"/>
      <c r="FS180" s="134"/>
      <c r="FT180" s="134"/>
      <c r="FU180" s="134"/>
      <c r="FV180" s="134"/>
      <c r="FW180" s="135"/>
      <c r="FX180" s="135"/>
      <c r="FY180" s="134"/>
      <c r="FZ180" s="134"/>
      <c r="GA180" s="134"/>
      <c r="GB180" s="134"/>
      <c r="GC180" s="134"/>
      <c r="GD180" s="134"/>
      <c r="GE180" s="134"/>
      <c r="GF180" s="134"/>
      <c r="GG180" s="135"/>
      <c r="GH180" s="135"/>
      <c r="GI180" s="134"/>
      <c r="GJ180" s="134"/>
      <c r="GK180" s="134"/>
      <c r="GL180" s="134"/>
      <c r="GM180" s="134"/>
      <c r="GN180" s="134"/>
      <c r="GO180" s="134"/>
      <c r="GP180" s="134"/>
      <c r="GQ180" s="135"/>
      <c r="GR180" s="135"/>
      <c r="GS180" s="134"/>
      <c r="GT180" s="134"/>
      <c r="GU180" s="134"/>
      <c r="GV180" s="134"/>
      <c r="GW180" s="134"/>
      <c r="GX180" s="134"/>
      <c r="GY180" s="134"/>
      <c r="GZ180" s="134"/>
      <c r="HA180" s="135"/>
      <c r="HB180" s="135"/>
      <c r="HC180" s="134"/>
      <c r="HD180" s="134"/>
      <c r="HE180" s="134"/>
      <c r="HF180" s="134"/>
      <c r="HG180" s="134"/>
      <c r="HH180" s="134"/>
      <c r="HI180" s="134"/>
      <c r="HJ180" s="134"/>
      <c r="HK180" s="135"/>
      <c r="HL180" s="135"/>
      <c r="HM180" s="134"/>
      <c r="HN180" s="134"/>
      <c r="HO180" s="134"/>
      <c r="HP180" s="134"/>
      <c r="HQ180" s="134"/>
      <c r="HR180" s="134"/>
      <c r="HS180" s="134"/>
      <c r="HT180" s="134"/>
      <c r="HU180" s="135"/>
      <c r="HV180" s="135"/>
      <c r="HW180" s="134"/>
      <c r="HX180" s="134"/>
      <c r="HY180" s="134"/>
      <c r="HZ180" s="134"/>
      <c r="IA180" s="134"/>
      <c r="IB180" s="134"/>
      <c r="IC180" s="134"/>
      <c r="ID180" s="134"/>
      <c r="IE180" s="135"/>
      <c r="IF180" s="135"/>
      <c r="IG180" s="134"/>
      <c r="IH180" s="134"/>
      <c r="II180" s="134"/>
      <c r="IJ180" s="134"/>
      <c r="IK180" s="134"/>
      <c r="IL180" s="134"/>
      <c r="IM180" s="134"/>
      <c r="IN180" s="134"/>
      <c r="IO180" s="135"/>
      <c r="IP180" s="135"/>
      <c r="IQ180" s="134"/>
      <c r="IR180" s="134"/>
      <c r="IS180" s="134"/>
      <c r="IT180" s="134"/>
      <c r="IU180" s="134"/>
      <c r="IV180" s="134"/>
      <c r="IW180" s="134"/>
      <c r="IX180" s="134"/>
      <c r="IY180" s="135"/>
      <c r="IZ180" s="135"/>
    </row>
    <row r="181" spans="1:260" customFormat="1" ht="17" customHeight="1">
      <c r="A181" s="118" t="s">
        <v>145</v>
      </c>
      <c r="B181" s="381">
        <v>111</v>
      </c>
      <c r="C181" s="381">
        <v>24</v>
      </c>
      <c r="D181" s="381"/>
      <c r="E181" s="139" t="s">
        <v>1952</v>
      </c>
      <c r="F181" s="140" t="s">
        <v>2172</v>
      </c>
      <c r="G181" s="141">
        <v>2001</v>
      </c>
      <c r="H181" s="118">
        <v>11469166</v>
      </c>
      <c r="I181" s="118">
        <v>1</v>
      </c>
      <c r="J181" s="118"/>
      <c r="K181" s="118"/>
      <c r="L181" s="118">
        <v>1</v>
      </c>
      <c r="M181" s="118"/>
      <c r="N181" s="118">
        <v>1</v>
      </c>
      <c r="O181" s="142">
        <v>1</v>
      </c>
      <c r="P181" s="118" t="s">
        <v>452</v>
      </c>
      <c r="Q181" s="118"/>
      <c r="R181" s="118" t="s">
        <v>25</v>
      </c>
      <c r="S181" s="118">
        <v>1</v>
      </c>
      <c r="T181" s="118"/>
      <c r="U181" s="118"/>
      <c r="V181" s="118"/>
      <c r="W181" s="118" t="s">
        <v>24</v>
      </c>
      <c r="X181" s="118"/>
      <c r="Y181" s="118"/>
      <c r="Z181" s="118"/>
      <c r="AA181" s="118"/>
      <c r="AB181" s="118"/>
      <c r="AC181" s="145"/>
      <c r="AD181" s="573">
        <v>1</v>
      </c>
      <c r="AE181" s="573">
        <v>2</v>
      </c>
      <c r="AF181" s="154">
        <v>1</v>
      </c>
      <c r="AG181" s="160"/>
      <c r="AH181" s="122">
        <v>2</v>
      </c>
      <c r="AI181" s="485"/>
      <c r="AJ181" s="204" t="s">
        <v>4250</v>
      </c>
      <c r="AK181" s="192">
        <v>1</v>
      </c>
      <c r="AL181" s="205" t="s">
        <v>24</v>
      </c>
      <c r="AM181" s="122">
        <f>Table665[[#This Row],[Subjects_n_ptsd]]+Table665[[#This Row],[Subjects_n_control]]</f>
        <v>32</v>
      </c>
      <c r="AN181" s="122">
        <v>19</v>
      </c>
      <c r="AO181" s="122">
        <v>13</v>
      </c>
      <c r="AP181" s="122" t="s">
        <v>803</v>
      </c>
      <c r="AQ181" s="122" t="s">
        <v>803</v>
      </c>
      <c r="AR181" s="122" t="s">
        <v>4248</v>
      </c>
      <c r="AS181" s="122">
        <v>2.81</v>
      </c>
      <c r="AT181" s="122" t="s">
        <v>4247</v>
      </c>
      <c r="AU181" s="122">
        <v>3.09</v>
      </c>
      <c r="AV181" s="122" t="s">
        <v>4249</v>
      </c>
      <c r="AW181" s="122" t="s">
        <v>24</v>
      </c>
      <c r="AX181" s="122" t="s">
        <v>24</v>
      </c>
      <c r="AY181" s="122" t="s">
        <v>4161</v>
      </c>
      <c r="AZ181" s="122" t="s">
        <v>3835</v>
      </c>
      <c r="BA181" s="122" t="s">
        <v>4251</v>
      </c>
      <c r="BB181" s="122"/>
      <c r="BC181" s="122"/>
      <c r="BD181" s="161"/>
      <c r="BE181" s="161"/>
      <c r="BF181" s="161"/>
      <c r="BG181" s="161"/>
      <c r="BH181" s="161"/>
      <c r="BI181" s="161"/>
      <c r="BJ181" s="161">
        <v>1</v>
      </c>
      <c r="BK181" s="161"/>
      <c r="BL181" s="161"/>
      <c r="BM181" s="161"/>
      <c r="BN181" s="161"/>
      <c r="BO181" s="161"/>
      <c r="BP181" s="161"/>
      <c r="BQ181" s="162" t="s">
        <v>4267</v>
      </c>
      <c r="BR181" s="150" t="s">
        <v>1876</v>
      </c>
      <c r="BS181" s="150">
        <v>2</v>
      </c>
      <c r="BT181" s="150" t="s">
        <v>4266</v>
      </c>
      <c r="BU181" s="150" t="s">
        <v>24</v>
      </c>
      <c r="BV181" s="150" t="s">
        <v>4270</v>
      </c>
      <c r="BW181" s="258" t="s">
        <v>4310</v>
      </c>
      <c r="BX181" s="151" t="s">
        <v>4272</v>
      </c>
      <c r="BY181" s="150">
        <v>96.05</v>
      </c>
      <c r="BZ181" s="150">
        <v>12.27</v>
      </c>
      <c r="CA181" s="150" t="s">
        <v>24</v>
      </c>
      <c r="CB181" s="151" t="s">
        <v>4281</v>
      </c>
      <c r="CC181" s="150">
        <v>113.46</v>
      </c>
      <c r="CD181" s="150">
        <v>10.67</v>
      </c>
      <c r="CE181" s="150" t="s">
        <v>24</v>
      </c>
      <c r="CF181" s="290" t="s">
        <v>4297</v>
      </c>
      <c r="CG181" s="291" t="s">
        <v>4298</v>
      </c>
      <c r="CH181" s="151" t="s">
        <v>24</v>
      </c>
      <c r="CI181" s="150" t="s">
        <v>24</v>
      </c>
      <c r="CJ181" s="150" t="s">
        <v>24</v>
      </c>
      <c r="CK181" s="150" t="s">
        <v>24</v>
      </c>
      <c r="CL181" s="151" t="s">
        <v>24</v>
      </c>
      <c r="CM181" s="150" t="s">
        <v>24</v>
      </c>
      <c r="CN181" s="150" t="s">
        <v>24</v>
      </c>
      <c r="CO181" s="150" t="s">
        <v>24</v>
      </c>
      <c r="CP181" s="290" t="s">
        <v>24</v>
      </c>
      <c r="CQ181" s="291"/>
      <c r="CR181" s="278"/>
      <c r="CS181" s="285"/>
      <c r="CT181" s="151"/>
      <c r="CU181" s="150"/>
      <c r="CV181" s="150"/>
      <c r="CW181" s="150"/>
      <c r="CX181" s="150"/>
      <c r="CY181" s="150"/>
      <c r="CZ181" s="150"/>
      <c r="DA181" s="150"/>
      <c r="DB181" s="302"/>
      <c r="DC181" s="303"/>
      <c r="DD181" s="150"/>
      <c r="DE181" s="150"/>
      <c r="DF181" s="150"/>
      <c r="DG181" s="150"/>
      <c r="DH181" s="150"/>
      <c r="DI181" s="150"/>
      <c r="DJ181" s="150"/>
      <c r="DK181" s="150"/>
      <c r="DL181" s="302"/>
      <c r="DM181" s="303"/>
      <c r="DN181" s="278"/>
      <c r="DO181" s="279"/>
      <c r="DP181" s="150"/>
      <c r="DQ181" s="150"/>
      <c r="DR181" s="150"/>
      <c r="DS181" s="150"/>
      <c r="DT181" s="151"/>
      <c r="DU181" s="150"/>
      <c r="DV181" s="150"/>
      <c r="DW181" s="150"/>
      <c r="DX181" s="303"/>
      <c r="DY181" s="303"/>
      <c r="DZ181" s="151"/>
      <c r="EA181" s="150"/>
      <c r="EB181" s="150"/>
      <c r="EC181" s="150"/>
      <c r="ED181" s="151"/>
      <c r="EE181" s="150"/>
      <c r="EF181" s="150"/>
      <c r="EG181" s="150"/>
      <c r="EH181" s="303"/>
      <c r="EI181" s="303"/>
      <c r="EJ181" s="279"/>
      <c r="EK181" s="150"/>
      <c r="EL181" s="150"/>
      <c r="EM181" s="150"/>
      <c r="EN181" s="150"/>
      <c r="EO181" s="150"/>
      <c r="EP181" s="150"/>
      <c r="EQ181" s="150"/>
      <c r="ER181" s="150"/>
      <c r="ES181" s="303"/>
      <c r="ET181" s="303"/>
      <c r="EU181" s="150"/>
      <c r="EV181" s="150"/>
      <c r="EW181" s="150"/>
      <c r="EX181" s="150"/>
      <c r="EY181" s="134"/>
      <c r="EZ181" s="134"/>
      <c r="FA181" s="134"/>
      <c r="FB181" s="134"/>
      <c r="FC181" s="135"/>
      <c r="FD181" s="135"/>
      <c r="FE181" s="134"/>
      <c r="FF181" s="134"/>
      <c r="FG181" s="134"/>
      <c r="FH181" s="134"/>
      <c r="FI181" s="134"/>
      <c r="FJ181" s="134"/>
      <c r="FK181" s="134"/>
      <c r="FL181" s="134"/>
      <c r="FM181" s="135"/>
      <c r="FN181" s="135"/>
      <c r="FO181" s="134"/>
      <c r="FP181" s="134"/>
      <c r="FQ181" s="134"/>
      <c r="FR181" s="134"/>
      <c r="FS181" s="134"/>
      <c r="FT181" s="134"/>
      <c r="FU181" s="134"/>
      <c r="FV181" s="134"/>
      <c r="FW181" s="135"/>
      <c r="FX181" s="135"/>
      <c r="FY181" s="134"/>
      <c r="FZ181" s="134"/>
      <c r="GA181" s="134"/>
      <c r="GB181" s="134"/>
      <c r="GC181" s="134"/>
      <c r="GD181" s="134"/>
      <c r="GE181" s="134"/>
      <c r="GF181" s="134"/>
      <c r="GG181" s="135"/>
      <c r="GH181" s="135"/>
      <c r="GI181" s="134"/>
      <c r="GJ181" s="134"/>
      <c r="GK181" s="134"/>
      <c r="GL181" s="134"/>
      <c r="GM181" s="134"/>
      <c r="GN181" s="134"/>
      <c r="GO181" s="134"/>
      <c r="GP181" s="134"/>
      <c r="GQ181" s="135"/>
      <c r="GR181" s="135"/>
      <c r="GS181" s="134"/>
      <c r="GT181" s="134"/>
      <c r="GU181" s="134"/>
      <c r="GV181" s="134"/>
      <c r="GW181" s="134"/>
      <c r="GX181" s="134"/>
      <c r="GY181" s="134"/>
      <c r="GZ181" s="134"/>
      <c r="HA181" s="135"/>
      <c r="HB181" s="135"/>
      <c r="HC181" s="134"/>
      <c r="HD181" s="134"/>
      <c r="HE181" s="134"/>
      <c r="HF181" s="134"/>
      <c r="HG181" s="134"/>
      <c r="HH181" s="134"/>
      <c r="HI181" s="134"/>
      <c r="HJ181" s="134"/>
      <c r="HK181" s="135"/>
      <c r="HL181" s="135"/>
      <c r="HM181" s="134"/>
      <c r="HN181" s="134"/>
      <c r="HO181" s="134"/>
      <c r="HP181" s="134"/>
      <c r="HQ181" s="134"/>
      <c r="HR181" s="134"/>
      <c r="HS181" s="134"/>
      <c r="HT181" s="134"/>
      <c r="HU181" s="135"/>
      <c r="HV181" s="135"/>
      <c r="HW181" s="134"/>
      <c r="HX181" s="134"/>
      <c r="HY181" s="134"/>
      <c r="HZ181" s="134"/>
      <c r="IA181" s="134"/>
      <c r="IB181" s="134"/>
      <c r="IC181" s="134"/>
      <c r="ID181" s="134"/>
      <c r="IE181" s="135"/>
      <c r="IF181" s="135"/>
      <c r="IG181" s="134"/>
      <c r="IH181" s="134"/>
      <c r="II181" s="134"/>
      <c r="IJ181" s="134"/>
      <c r="IK181" s="134"/>
      <c r="IL181" s="134"/>
      <c r="IM181" s="134"/>
      <c r="IN181" s="134"/>
      <c r="IO181" s="135"/>
      <c r="IP181" s="135"/>
      <c r="IQ181" s="134"/>
      <c r="IR181" s="134"/>
      <c r="IS181" s="134"/>
      <c r="IT181" s="134"/>
      <c r="IU181" s="134"/>
      <c r="IV181" s="134"/>
      <c r="IW181" s="134"/>
      <c r="IX181" s="134"/>
      <c r="IY181" s="135"/>
      <c r="IZ181" s="135"/>
    </row>
    <row r="182" spans="1:260" customFormat="1" ht="17" customHeight="1">
      <c r="A182" s="118" t="s">
        <v>145</v>
      </c>
      <c r="B182" s="381">
        <v>111</v>
      </c>
      <c r="C182" s="381">
        <v>24</v>
      </c>
      <c r="D182" s="381"/>
      <c r="E182" s="139" t="s">
        <v>1952</v>
      </c>
      <c r="F182" s="140" t="s">
        <v>2172</v>
      </c>
      <c r="G182" s="141">
        <v>2001</v>
      </c>
      <c r="H182" s="118">
        <v>11469166</v>
      </c>
      <c r="I182" s="118">
        <v>1</v>
      </c>
      <c r="J182" s="118"/>
      <c r="K182" s="118"/>
      <c r="L182" s="118">
        <v>1</v>
      </c>
      <c r="M182" s="118"/>
      <c r="N182" s="118">
        <v>1</v>
      </c>
      <c r="O182" s="142">
        <v>1</v>
      </c>
      <c r="P182" s="118" t="s">
        <v>452</v>
      </c>
      <c r="Q182" s="118"/>
      <c r="R182" s="118" t="s">
        <v>25</v>
      </c>
      <c r="S182" s="118">
        <v>1</v>
      </c>
      <c r="T182" s="118"/>
      <c r="U182" s="118"/>
      <c r="V182" s="118"/>
      <c r="W182" s="118" t="s">
        <v>24</v>
      </c>
      <c r="X182" s="118"/>
      <c r="Y182" s="118"/>
      <c r="Z182" s="118"/>
      <c r="AA182" s="118"/>
      <c r="AB182" s="118"/>
      <c r="AC182" s="145"/>
      <c r="AD182" s="573">
        <v>1</v>
      </c>
      <c r="AE182" s="573">
        <v>2</v>
      </c>
      <c r="AF182" s="154">
        <v>1</v>
      </c>
      <c r="AG182" s="160"/>
      <c r="AH182" s="122">
        <v>2</v>
      </c>
      <c r="AI182" s="485"/>
      <c r="AJ182" s="204" t="s">
        <v>4250</v>
      </c>
      <c r="AK182" s="192">
        <v>1</v>
      </c>
      <c r="AL182" s="205" t="s">
        <v>24</v>
      </c>
      <c r="AM182" s="122">
        <f>Table665[[#This Row],[Subjects_n_ptsd]]+Table665[[#This Row],[Subjects_n_control]]</f>
        <v>32</v>
      </c>
      <c r="AN182" s="122">
        <v>19</v>
      </c>
      <c r="AO182" s="122">
        <v>13</v>
      </c>
      <c r="AP182" s="122" t="s">
        <v>803</v>
      </c>
      <c r="AQ182" s="122" t="s">
        <v>803</v>
      </c>
      <c r="AR182" s="122" t="s">
        <v>4248</v>
      </c>
      <c r="AS182" s="122">
        <v>2.81</v>
      </c>
      <c r="AT182" s="122" t="s">
        <v>4247</v>
      </c>
      <c r="AU182" s="122">
        <v>3.09</v>
      </c>
      <c r="AV182" s="122" t="s">
        <v>4249</v>
      </c>
      <c r="AW182" s="122" t="s">
        <v>24</v>
      </c>
      <c r="AX182" s="122" t="s">
        <v>24</v>
      </c>
      <c r="AY182" s="122" t="s">
        <v>4161</v>
      </c>
      <c r="AZ182" s="122" t="s">
        <v>3835</v>
      </c>
      <c r="BA182" s="122" t="s">
        <v>4251</v>
      </c>
      <c r="BB182" s="122"/>
      <c r="BC182" s="122"/>
      <c r="BD182" s="161"/>
      <c r="BE182" s="161"/>
      <c r="BF182" s="161"/>
      <c r="BG182" s="161"/>
      <c r="BH182" s="161"/>
      <c r="BI182" s="161"/>
      <c r="BJ182" s="161">
        <v>1</v>
      </c>
      <c r="BK182" s="161"/>
      <c r="BL182" s="161"/>
      <c r="BM182" s="161"/>
      <c r="BN182" s="161"/>
      <c r="BO182" s="161"/>
      <c r="BP182" s="161"/>
      <c r="BQ182" s="162" t="s">
        <v>4268</v>
      </c>
      <c r="BR182" s="150" t="s">
        <v>1876</v>
      </c>
      <c r="BS182" s="150">
        <v>2</v>
      </c>
      <c r="BT182" s="150" t="s">
        <v>4266</v>
      </c>
      <c r="BU182" s="150" t="s">
        <v>24</v>
      </c>
      <c r="BV182" s="150" t="s">
        <v>4271</v>
      </c>
      <c r="BW182" s="258" t="s">
        <v>4300</v>
      </c>
      <c r="BX182" s="151" t="s">
        <v>4273</v>
      </c>
      <c r="BY182" s="150">
        <v>96.58</v>
      </c>
      <c r="BZ182" s="150">
        <v>9.98</v>
      </c>
      <c r="CA182" s="150" t="s">
        <v>24</v>
      </c>
      <c r="CB182" s="151" t="s">
        <v>4282</v>
      </c>
      <c r="CC182" s="150">
        <v>110.23</v>
      </c>
      <c r="CD182" s="150">
        <v>9.98</v>
      </c>
      <c r="CE182" s="150" t="s">
        <v>24</v>
      </c>
      <c r="CF182" s="290" t="s">
        <v>4297</v>
      </c>
      <c r="CG182" s="291" t="s">
        <v>4299</v>
      </c>
      <c r="CH182" s="151" t="s">
        <v>24</v>
      </c>
      <c r="CI182" s="150" t="s">
        <v>24</v>
      </c>
      <c r="CJ182" s="150" t="s">
        <v>24</v>
      </c>
      <c r="CK182" s="150" t="s">
        <v>24</v>
      </c>
      <c r="CL182" s="151" t="s">
        <v>24</v>
      </c>
      <c r="CM182" s="150" t="s">
        <v>24</v>
      </c>
      <c r="CN182" s="150" t="s">
        <v>24</v>
      </c>
      <c r="CO182" s="150" t="s">
        <v>24</v>
      </c>
      <c r="CP182" s="290" t="s">
        <v>24</v>
      </c>
      <c r="CQ182" s="291"/>
      <c r="CR182" s="278"/>
      <c r="CS182" s="285"/>
      <c r="CT182" s="151"/>
      <c r="CU182" s="150"/>
      <c r="CV182" s="150"/>
      <c r="CW182" s="150"/>
      <c r="CX182" s="150"/>
      <c r="CY182" s="150"/>
      <c r="CZ182" s="150"/>
      <c r="DA182" s="150"/>
      <c r="DB182" s="302"/>
      <c r="DC182" s="303"/>
      <c r="DD182" s="150"/>
      <c r="DE182" s="150"/>
      <c r="DF182" s="150"/>
      <c r="DG182" s="150"/>
      <c r="DH182" s="150"/>
      <c r="DI182" s="150"/>
      <c r="DJ182" s="150"/>
      <c r="DK182" s="150"/>
      <c r="DL182" s="302"/>
      <c r="DM182" s="303"/>
      <c r="DN182" s="278"/>
      <c r="DO182" s="279"/>
      <c r="DP182" s="150"/>
      <c r="DQ182" s="150"/>
      <c r="DR182" s="150"/>
      <c r="DS182" s="150"/>
      <c r="DT182" s="151"/>
      <c r="DU182" s="150"/>
      <c r="DV182" s="150"/>
      <c r="DW182" s="150"/>
      <c r="DX182" s="303"/>
      <c r="DY182" s="303"/>
      <c r="DZ182" s="151"/>
      <c r="EA182" s="150"/>
      <c r="EB182" s="150"/>
      <c r="EC182" s="150"/>
      <c r="ED182" s="151"/>
      <c r="EE182" s="150"/>
      <c r="EF182" s="150"/>
      <c r="EG182" s="150"/>
      <c r="EH182" s="303"/>
      <c r="EI182" s="303"/>
      <c r="EJ182" s="279"/>
      <c r="EK182" s="150"/>
      <c r="EL182" s="150"/>
      <c r="EM182" s="150"/>
      <c r="EN182" s="150"/>
      <c r="EO182" s="150"/>
      <c r="EP182" s="150"/>
      <c r="EQ182" s="150"/>
      <c r="ER182" s="150"/>
      <c r="ES182" s="303"/>
      <c r="ET182" s="303"/>
      <c r="EU182" s="150"/>
      <c r="EV182" s="150"/>
      <c r="EW182" s="150"/>
      <c r="EX182" s="150"/>
      <c r="EY182" s="134"/>
      <c r="EZ182" s="134"/>
      <c r="FA182" s="134"/>
      <c r="FB182" s="134"/>
      <c r="FC182" s="135"/>
      <c r="FD182" s="135"/>
      <c r="FE182" s="134"/>
      <c r="FF182" s="134"/>
      <c r="FG182" s="134"/>
      <c r="FH182" s="134"/>
      <c r="FI182" s="134"/>
      <c r="FJ182" s="134"/>
      <c r="FK182" s="134"/>
      <c r="FL182" s="134"/>
      <c r="FM182" s="135"/>
      <c r="FN182" s="135"/>
      <c r="FO182" s="134"/>
      <c r="FP182" s="134"/>
      <c r="FQ182" s="134"/>
      <c r="FR182" s="134"/>
      <c r="FS182" s="134"/>
      <c r="FT182" s="134"/>
      <c r="FU182" s="134"/>
      <c r="FV182" s="134"/>
      <c r="FW182" s="135"/>
      <c r="FX182" s="135"/>
      <c r="FY182" s="134"/>
      <c r="FZ182" s="134"/>
      <c r="GA182" s="134"/>
      <c r="GB182" s="134"/>
      <c r="GC182" s="134"/>
      <c r="GD182" s="134"/>
      <c r="GE182" s="134"/>
      <c r="GF182" s="134"/>
      <c r="GG182" s="135"/>
      <c r="GH182" s="135"/>
      <c r="GI182" s="134"/>
      <c r="GJ182" s="134"/>
      <c r="GK182" s="134"/>
      <c r="GL182" s="134"/>
      <c r="GM182" s="134"/>
      <c r="GN182" s="134"/>
      <c r="GO182" s="134"/>
      <c r="GP182" s="134"/>
      <c r="GQ182" s="135"/>
      <c r="GR182" s="135"/>
      <c r="GS182" s="134"/>
      <c r="GT182" s="134"/>
      <c r="GU182" s="134"/>
      <c r="GV182" s="134"/>
      <c r="GW182" s="134"/>
      <c r="GX182" s="134"/>
      <c r="GY182" s="134"/>
      <c r="GZ182" s="134"/>
      <c r="HA182" s="135"/>
      <c r="HB182" s="135"/>
      <c r="HC182" s="134"/>
      <c r="HD182" s="134"/>
      <c r="HE182" s="134"/>
      <c r="HF182" s="134"/>
      <c r="HG182" s="134"/>
      <c r="HH182" s="134"/>
      <c r="HI182" s="134"/>
      <c r="HJ182" s="134"/>
      <c r="HK182" s="135"/>
      <c r="HL182" s="135"/>
      <c r="HM182" s="134"/>
      <c r="HN182" s="134"/>
      <c r="HO182" s="134"/>
      <c r="HP182" s="134"/>
      <c r="HQ182" s="134"/>
      <c r="HR182" s="134"/>
      <c r="HS182" s="134"/>
      <c r="HT182" s="134"/>
      <c r="HU182" s="135"/>
      <c r="HV182" s="135"/>
      <c r="HW182" s="134"/>
      <c r="HX182" s="134"/>
      <c r="HY182" s="134"/>
      <c r="HZ182" s="134"/>
      <c r="IA182" s="134"/>
      <c r="IB182" s="134"/>
      <c r="IC182" s="134"/>
      <c r="ID182" s="134"/>
      <c r="IE182" s="135"/>
      <c r="IF182" s="135"/>
      <c r="IG182" s="134"/>
      <c r="IH182" s="134"/>
      <c r="II182" s="134"/>
      <c r="IJ182" s="134"/>
      <c r="IK182" s="134"/>
      <c r="IL182" s="134"/>
      <c r="IM182" s="134"/>
      <c r="IN182" s="134"/>
      <c r="IO182" s="135"/>
      <c r="IP182" s="135"/>
      <c r="IQ182" s="134"/>
      <c r="IR182" s="134"/>
      <c r="IS182" s="134"/>
      <c r="IT182" s="134"/>
      <c r="IU182" s="134"/>
      <c r="IV182" s="134"/>
      <c r="IW182" s="134"/>
      <c r="IX182" s="134"/>
      <c r="IY182" s="135"/>
      <c r="IZ182" s="135"/>
    </row>
    <row r="183" spans="1:260" customFormat="1" ht="17" customHeight="1">
      <c r="A183" s="118" t="s">
        <v>145</v>
      </c>
      <c r="B183" s="381">
        <v>111</v>
      </c>
      <c r="C183" s="381">
        <v>24</v>
      </c>
      <c r="D183" s="381"/>
      <c r="E183" s="139" t="s">
        <v>1952</v>
      </c>
      <c r="F183" s="140" t="s">
        <v>2172</v>
      </c>
      <c r="G183" s="141">
        <v>2001</v>
      </c>
      <c r="H183" s="118">
        <v>11469166</v>
      </c>
      <c r="I183" s="118">
        <v>1</v>
      </c>
      <c r="J183" s="118"/>
      <c r="K183" s="118"/>
      <c r="L183" s="118">
        <v>1</v>
      </c>
      <c r="M183" s="118"/>
      <c r="N183" s="118">
        <v>1</v>
      </c>
      <c r="O183" s="142">
        <v>1</v>
      </c>
      <c r="P183" s="118" t="s">
        <v>452</v>
      </c>
      <c r="Q183" s="118"/>
      <c r="R183" s="118" t="s">
        <v>25</v>
      </c>
      <c r="S183" s="118">
        <v>1</v>
      </c>
      <c r="T183" s="118"/>
      <c r="U183" s="118"/>
      <c r="V183" s="118"/>
      <c r="W183" s="118" t="s">
        <v>24</v>
      </c>
      <c r="X183" s="118"/>
      <c r="Y183" s="118"/>
      <c r="Z183" s="118"/>
      <c r="AA183" s="118"/>
      <c r="AB183" s="118"/>
      <c r="AC183" s="145"/>
      <c r="AD183" s="573">
        <v>1</v>
      </c>
      <c r="AE183" s="573">
        <v>2</v>
      </c>
      <c r="AF183" s="154">
        <v>1</v>
      </c>
      <c r="AG183" s="160"/>
      <c r="AH183" s="122">
        <v>2</v>
      </c>
      <c r="AI183" s="485"/>
      <c r="AJ183" s="204" t="s">
        <v>4250</v>
      </c>
      <c r="AK183" s="192">
        <v>1</v>
      </c>
      <c r="AL183" s="205" t="s">
        <v>24</v>
      </c>
      <c r="AM183" s="122">
        <f>Table665[[#This Row],[Subjects_n_ptsd]]+Table665[[#This Row],[Subjects_n_control]]</f>
        <v>32</v>
      </c>
      <c r="AN183" s="122">
        <v>19</v>
      </c>
      <c r="AO183" s="122">
        <v>13</v>
      </c>
      <c r="AP183" s="122" t="s">
        <v>803</v>
      </c>
      <c r="AQ183" s="122" t="s">
        <v>803</v>
      </c>
      <c r="AR183" s="122" t="s">
        <v>4248</v>
      </c>
      <c r="AS183" s="122">
        <v>2.81</v>
      </c>
      <c r="AT183" s="122" t="s">
        <v>4247</v>
      </c>
      <c r="AU183" s="122">
        <v>3.09</v>
      </c>
      <c r="AV183" s="122" t="s">
        <v>4249</v>
      </c>
      <c r="AW183" s="122" t="s">
        <v>24</v>
      </c>
      <c r="AX183" s="122" t="s">
        <v>24</v>
      </c>
      <c r="AY183" s="122" t="s">
        <v>4161</v>
      </c>
      <c r="AZ183" s="122" t="s">
        <v>3835</v>
      </c>
      <c r="BA183" s="122" t="s">
        <v>4251</v>
      </c>
      <c r="BB183" s="122"/>
      <c r="BC183" s="122"/>
      <c r="BD183" s="161"/>
      <c r="BE183" s="161"/>
      <c r="BF183" s="161"/>
      <c r="BG183" s="161"/>
      <c r="BH183" s="161"/>
      <c r="BI183" s="161"/>
      <c r="BJ183" s="161">
        <v>1</v>
      </c>
      <c r="BK183" s="161"/>
      <c r="BL183" s="161"/>
      <c r="BM183" s="161"/>
      <c r="BN183" s="161"/>
      <c r="BO183" s="161"/>
      <c r="BP183" s="161"/>
      <c r="BQ183" s="162" t="s">
        <v>4269</v>
      </c>
      <c r="BR183" s="150" t="s">
        <v>1876</v>
      </c>
      <c r="BS183" s="150">
        <v>2</v>
      </c>
      <c r="BT183" s="150" t="s">
        <v>4277</v>
      </c>
      <c r="BU183" s="150" t="s">
        <v>24</v>
      </c>
      <c r="BV183" s="150" t="s">
        <v>4280</v>
      </c>
      <c r="BW183" s="258" t="s">
        <v>4301</v>
      </c>
      <c r="BX183" s="151" t="s">
        <v>4274</v>
      </c>
      <c r="BY183" s="150">
        <v>98.48</v>
      </c>
      <c r="BZ183" s="150">
        <v>16.75</v>
      </c>
      <c r="CA183" s="150" t="s">
        <v>24</v>
      </c>
      <c r="CB183" s="151" t="s">
        <v>4283</v>
      </c>
      <c r="CC183" s="150">
        <v>113.31</v>
      </c>
      <c r="CD183" s="150">
        <v>8.0399999999999991</v>
      </c>
      <c r="CE183" s="150" t="s">
        <v>24</v>
      </c>
      <c r="CF183" s="290" t="s">
        <v>4297</v>
      </c>
      <c r="CG183" s="291" t="s">
        <v>4295</v>
      </c>
      <c r="CH183" s="151" t="s">
        <v>4289</v>
      </c>
      <c r="CI183" s="150">
        <v>19.72</v>
      </c>
      <c r="CJ183" s="150">
        <v>7.24</v>
      </c>
      <c r="CK183" s="150" t="s">
        <v>24</v>
      </c>
      <c r="CL183" s="151" t="s">
        <v>4291</v>
      </c>
      <c r="CM183" s="150">
        <v>18.920000000000002</v>
      </c>
      <c r="CN183" s="150">
        <v>8.06</v>
      </c>
      <c r="CO183" s="150" t="s">
        <v>24</v>
      </c>
      <c r="CP183" s="290" t="s">
        <v>3229</v>
      </c>
      <c r="CQ183" s="291" t="s">
        <v>4293</v>
      </c>
      <c r="CR183" s="278"/>
      <c r="CS183" s="285"/>
      <c r="CT183" s="151"/>
      <c r="CU183" s="150"/>
      <c r="CV183" s="150"/>
      <c r="CW183" s="150"/>
      <c r="CX183" s="150"/>
      <c r="CY183" s="150"/>
      <c r="CZ183" s="150"/>
      <c r="DA183" s="150"/>
      <c r="DB183" s="302"/>
      <c r="DC183" s="303"/>
      <c r="DD183" s="150"/>
      <c r="DE183" s="150"/>
      <c r="DF183" s="150"/>
      <c r="DG183" s="150"/>
      <c r="DH183" s="150"/>
      <c r="DI183" s="150"/>
      <c r="DJ183" s="150"/>
      <c r="DK183" s="150"/>
      <c r="DL183" s="302"/>
      <c r="DM183" s="303"/>
      <c r="DN183" s="278"/>
      <c r="DO183" s="279"/>
      <c r="DP183" s="150"/>
      <c r="DQ183" s="150"/>
      <c r="DR183" s="150"/>
      <c r="DS183" s="150"/>
      <c r="DT183" s="151"/>
      <c r="DU183" s="150"/>
      <c r="DV183" s="150"/>
      <c r="DW183" s="150"/>
      <c r="DX183" s="303"/>
      <c r="DY183" s="303"/>
      <c r="DZ183" s="151"/>
      <c r="EA183" s="150"/>
      <c r="EB183" s="150"/>
      <c r="EC183" s="150"/>
      <c r="ED183" s="151"/>
      <c r="EE183" s="150"/>
      <c r="EF183" s="150"/>
      <c r="EG183" s="150"/>
      <c r="EH183" s="303"/>
      <c r="EI183" s="303"/>
      <c r="EJ183" s="279"/>
      <c r="EK183" s="150"/>
      <c r="EL183" s="150"/>
      <c r="EM183" s="150"/>
      <c r="EN183" s="150"/>
      <c r="EO183" s="150"/>
      <c r="EP183" s="150"/>
      <c r="EQ183" s="150"/>
      <c r="ER183" s="150"/>
      <c r="ES183" s="303"/>
      <c r="ET183" s="303"/>
      <c r="EU183" s="150"/>
      <c r="EV183" s="150"/>
      <c r="EW183" s="150"/>
      <c r="EX183" s="150"/>
      <c r="EY183" s="134"/>
      <c r="EZ183" s="134"/>
      <c r="FA183" s="134"/>
      <c r="FB183" s="134"/>
      <c r="FC183" s="135"/>
      <c r="FD183" s="135"/>
      <c r="FE183" s="134"/>
      <c r="FF183" s="134"/>
      <c r="FG183" s="134"/>
      <c r="FH183" s="134"/>
      <c r="FI183" s="134"/>
      <c r="FJ183" s="134"/>
      <c r="FK183" s="134"/>
      <c r="FL183" s="134"/>
      <c r="FM183" s="135"/>
      <c r="FN183" s="135"/>
      <c r="FO183" s="134"/>
      <c r="FP183" s="134"/>
      <c r="FQ183" s="134"/>
      <c r="FR183" s="134"/>
      <c r="FS183" s="134"/>
      <c r="FT183" s="134"/>
      <c r="FU183" s="134"/>
      <c r="FV183" s="134"/>
      <c r="FW183" s="135"/>
      <c r="FX183" s="135"/>
      <c r="FY183" s="134"/>
      <c r="FZ183" s="134"/>
      <c r="GA183" s="134"/>
      <c r="GB183" s="134"/>
      <c r="GC183" s="134"/>
      <c r="GD183" s="134"/>
      <c r="GE183" s="134"/>
      <c r="GF183" s="134"/>
      <c r="GG183" s="135"/>
      <c r="GH183" s="135"/>
      <c r="GI183" s="134"/>
      <c r="GJ183" s="134"/>
      <c r="GK183" s="134"/>
      <c r="GL183" s="134"/>
      <c r="GM183" s="134"/>
      <c r="GN183" s="134"/>
      <c r="GO183" s="134"/>
      <c r="GP183" s="134"/>
      <c r="GQ183" s="135"/>
      <c r="GR183" s="135"/>
      <c r="GS183" s="134"/>
      <c r="GT183" s="134"/>
      <c r="GU183" s="134"/>
      <c r="GV183" s="134"/>
      <c r="GW183" s="134"/>
      <c r="GX183" s="134"/>
      <c r="GY183" s="134"/>
      <c r="GZ183" s="134"/>
      <c r="HA183" s="135"/>
      <c r="HB183" s="135"/>
      <c r="HC183" s="134"/>
      <c r="HD183" s="134"/>
      <c r="HE183" s="134"/>
      <c r="HF183" s="134"/>
      <c r="HG183" s="134"/>
      <c r="HH183" s="134"/>
      <c r="HI183" s="134"/>
      <c r="HJ183" s="134"/>
      <c r="HK183" s="135"/>
      <c r="HL183" s="135"/>
      <c r="HM183" s="134"/>
      <c r="HN183" s="134"/>
      <c r="HO183" s="134"/>
      <c r="HP183" s="134"/>
      <c r="HQ183" s="134"/>
      <c r="HR183" s="134"/>
      <c r="HS183" s="134"/>
      <c r="HT183" s="134"/>
      <c r="HU183" s="135"/>
      <c r="HV183" s="135"/>
      <c r="HW183" s="134"/>
      <c r="HX183" s="134"/>
      <c r="HY183" s="134"/>
      <c r="HZ183" s="134"/>
      <c r="IA183" s="134"/>
      <c r="IB183" s="134"/>
      <c r="IC183" s="134"/>
      <c r="ID183" s="134"/>
      <c r="IE183" s="135"/>
      <c r="IF183" s="135"/>
      <c r="IG183" s="134"/>
      <c r="IH183" s="134"/>
      <c r="II183" s="134"/>
      <c r="IJ183" s="134"/>
      <c r="IK183" s="134"/>
      <c r="IL183" s="134"/>
      <c r="IM183" s="134"/>
      <c r="IN183" s="134"/>
      <c r="IO183" s="135"/>
      <c r="IP183" s="135"/>
      <c r="IQ183" s="134"/>
      <c r="IR183" s="134"/>
      <c r="IS183" s="134"/>
      <c r="IT183" s="134"/>
      <c r="IU183" s="134"/>
      <c r="IV183" s="134"/>
      <c r="IW183" s="134"/>
      <c r="IX183" s="134"/>
      <c r="IY183" s="135"/>
      <c r="IZ183" s="135"/>
    </row>
    <row r="184" spans="1:260" customFormat="1" ht="17" customHeight="1">
      <c r="A184" s="118" t="s">
        <v>145</v>
      </c>
      <c r="B184" s="381">
        <v>111</v>
      </c>
      <c r="C184" s="381">
        <v>24</v>
      </c>
      <c r="D184" s="381"/>
      <c r="E184" s="139" t="s">
        <v>1952</v>
      </c>
      <c r="F184" s="140" t="s">
        <v>2172</v>
      </c>
      <c r="G184" s="141">
        <v>2001</v>
      </c>
      <c r="H184" s="118">
        <v>11469166</v>
      </c>
      <c r="I184" s="118">
        <v>1</v>
      </c>
      <c r="J184" s="118"/>
      <c r="K184" s="118"/>
      <c r="L184" s="118">
        <v>1</v>
      </c>
      <c r="M184" s="118"/>
      <c r="N184" s="118">
        <v>1</v>
      </c>
      <c r="O184" s="142">
        <v>1</v>
      </c>
      <c r="P184" s="118" t="s">
        <v>452</v>
      </c>
      <c r="Q184" s="118"/>
      <c r="R184" s="118" t="s">
        <v>25</v>
      </c>
      <c r="S184" s="118">
        <v>1</v>
      </c>
      <c r="T184" s="118"/>
      <c r="U184" s="118"/>
      <c r="V184" s="118"/>
      <c r="W184" s="118" t="s">
        <v>24</v>
      </c>
      <c r="X184" s="118"/>
      <c r="Y184" s="118"/>
      <c r="Z184" s="118"/>
      <c r="AA184" s="118"/>
      <c r="AB184" s="118"/>
      <c r="AC184" s="145"/>
      <c r="AD184" s="573">
        <v>1</v>
      </c>
      <c r="AE184" s="573">
        <v>2</v>
      </c>
      <c r="AF184" s="154">
        <v>1</v>
      </c>
      <c r="AG184" s="160"/>
      <c r="AH184" s="122">
        <v>2</v>
      </c>
      <c r="AI184" s="485"/>
      <c r="AJ184" s="204" t="s">
        <v>4250</v>
      </c>
      <c r="AK184" s="192">
        <v>1</v>
      </c>
      <c r="AL184" s="205" t="s">
        <v>24</v>
      </c>
      <c r="AM184" s="122">
        <f>Table665[[#This Row],[Subjects_n_ptsd]]+Table665[[#This Row],[Subjects_n_control]]</f>
        <v>32</v>
      </c>
      <c r="AN184" s="122">
        <v>19</v>
      </c>
      <c r="AO184" s="122">
        <v>13</v>
      </c>
      <c r="AP184" s="122" t="s">
        <v>803</v>
      </c>
      <c r="AQ184" s="122" t="s">
        <v>803</v>
      </c>
      <c r="AR184" s="122" t="s">
        <v>4248</v>
      </c>
      <c r="AS184" s="122">
        <v>2.81</v>
      </c>
      <c r="AT184" s="122" t="s">
        <v>4247</v>
      </c>
      <c r="AU184" s="122">
        <v>3.09</v>
      </c>
      <c r="AV184" s="122" t="s">
        <v>4249</v>
      </c>
      <c r="AW184" s="122" t="s">
        <v>24</v>
      </c>
      <c r="AX184" s="122" t="s">
        <v>24</v>
      </c>
      <c r="AY184" s="122" t="s">
        <v>4161</v>
      </c>
      <c r="AZ184" s="121" t="s">
        <v>5116</v>
      </c>
      <c r="BA184" s="122" t="s">
        <v>4251</v>
      </c>
      <c r="BB184" s="122"/>
      <c r="BC184" s="122"/>
      <c r="BD184" s="161"/>
      <c r="BE184" s="161"/>
      <c r="BF184" s="161"/>
      <c r="BG184" s="161"/>
      <c r="BH184" s="161"/>
      <c r="BI184" s="161"/>
      <c r="BJ184" s="161">
        <v>1</v>
      </c>
      <c r="BK184" s="161"/>
      <c r="BL184" s="161"/>
      <c r="BM184" s="161"/>
      <c r="BN184" s="161"/>
      <c r="BO184" s="161"/>
      <c r="BP184" s="161"/>
      <c r="BQ184" s="162" t="s">
        <v>4276</v>
      </c>
      <c r="BR184" s="150" t="s">
        <v>1876</v>
      </c>
      <c r="BS184" s="150">
        <v>2</v>
      </c>
      <c r="BT184" s="150" t="s">
        <v>4278</v>
      </c>
      <c r="BU184" s="150" t="s">
        <v>24</v>
      </c>
      <c r="BV184" s="150" t="s">
        <v>4279</v>
      </c>
      <c r="BW184" s="258" t="s">
        <v>4302</v>
      </c>
      <c r="BX184" s="151" t="s">
        <v>4275</v>
      </c>
      <c r="BY184" s="150">
        <v>95.63</v>
      </c>
      <c r="BZ184" s="150">
        <v>14.35</v>
      </c>
      <c r="CA184" s="150" t="s">
        <v>24</v>
      </c>
      <c r="CB184" s="151" t="s">
        <v>4284</v>
      </c>
      <c r="CC184" s="150">
        <v>112.77</v>
      </c>
      <c r="CD184" s="150">
        <v>9</v>
      </c>
      <c r="CE184" s="150" t="s">
        <v>24</v>
      </c>
      <c r="CF184" s="290" t="s">
        <v>4297</v>
      </c>
      <c r="CG184" s="291" t="s">
        <v>4296</v>
      </c>
      <c r="CH184" s="151" t="s">
        <v>4290</v>
      </c>
      <c r="CI184" s="150">
        <v>18.89</v>
      </c>
      <c r="CJ184" s="150">
        <v>6.67</v>
      </c>
      <c r="CK184" s="150" t="s">
        <v>24</v>
      </c>
      <c r="CL184" s="151" t="s">
        <v>4292</v>
      </c>
      <c r="CM184" s="150">
        <v>17.579999999999998</v>
      </c>
      <c r="CN184" s="150">
        <v>8.7200000000000006</v>
      </c>
      <c r="CO184" s="150" t="s">
        <v>24</v>
      </c>
      <c r="CP184" s="290" t="s">
        <v>3229</v>
      </c>
      <c r="CQ184" s="291" t="s">
        <v>4294</v>
      </c>
      <c r="CR184" s="278"/>
      <c r="CS184" s="285"/>
      <c r="CT184" s="151"/>
      <c r="CU184" s="150"/>
      <c r="CV184" s="150"/>
      <c r="CW184" s="150"/>
      <c r="CX184" s="150"/>
      <c r="CY184" s="150"/>
      <c r="CZ184" s="150"/>
      <c r="DA184" s="150"/>
      <c r="DB184" s="302"/>
      <c r="DC184" s="303"/>
      <c r="DD184" s="150"/>
      <c r="DE184" s="150"/>
      <c r="DF184" s="150"/>
      <c r="DG184" s="150"/>
      <c r="DH184" s="150"/>
      <c r="DI184" s="150"/>
      <c r="DJ184" s="150"/>
      <c r="DK184" s="150"/>
      <c r="DL184" s="302"/>
      <c r="DM184" s="303"/>
      <c r="DN184" s="278"/>
      <c r="DO184" s="279"/>
      <c r="DP184" s="150"/>
      <c r="DQ184" s="150"/>
      <c r="DR184" s="150"/>
      <c r="DS184" s="150"/>
      <c r="DT184" s="151"/>
      <c r="DU184" s="150"/>
      <c r="DV184" s="150"/>
      <c r="DW184" s="150"/>
      <c r="DX184" s="303"/>
      <c r="DY184" s="303"/>
      <c r="DZ184" s="151"/>
      <c r="EA184" s="150"/>
      <c r="EB184" s="150"/>
      <c r="EC184" s="150"/>
      <c r="ED184" s="151"/>
      <c r="EE184" s="150"/>
      <c r="EF184" s="150"/>
      <c r="EG184" s="150"/>
      <c r="EH184" s="303"/>
      <c r="EI184" s="303"/>
      <c r="EJ184" s="279"/>
      <c r="EK184" s="150"/>
      <c r="EL184" s="150"/>
      <c r="EM184" s="150"/>
      <c r="EN184" s="150"/>
      <c r="EO184" s="150"/>
      <c r="EP184" s="150"/>
      <c r="EQ184" s="150"/>
      <c r="ER184" s="150"/>
      <c r="ES184" s="303"/>
      <c r="ET184" s="303"/>
      <c r="EU184" s="150"/>
      <c r="EV184" s="150"/>
      <c r="EW184" s="150"/>
      <c r="EX184" s="150"/>
      <c r="EY184" s="134"/>
      <c r="EZ184" s="134"/>
      <c r="FA184" s="134"/>
      <c r="FB184" s="134"/>
      <c r="FC184" s="135"/>
      <c r="FD184" s="135"/>
      <c r="FE184" s="134"/>
      <c r="FF184" s="134"/>
      <c r="FG184" s="134"/>
      <c r="FH184" s="134"/>
      <c r="FI184" s="134"/>
      <c r="FJ184" s="134"/>
      <c r="FK184" s="134"/>
      <c r="FL184" s="134"/>
      <c r="FM184" s="135"/>
      <c r="FN184" s="135"/>
      <c r="FO184" s="134"/>
      <c r="FP184" s="134"/>
      <c r="FQ184" s="134"/>
      <c r="FR184" s="134"/>
      <c r="FS184" s="134"/>
      <c r="FT184" s="134"/>
      <c r="FU184" s="134"/>
      <c r="FV184" s="134"/>
      <c r="FW184" s="135"/>
      <c r="FX184" s="135"/>
      <c r="FY184" s="134"/>
      <c r="FZ184" s="134"/>
      <c r="GA184" s="134"/>
      <c r="GB184" s="134"/>
      <c r="GC184" s="134"/>
      <c r="GD184" s="134"/>
      <c r="GE184" s="134"/>
      <c r="GF184" s="134"/>
      <c r="GG184" s="135"/>
      <c r="GH184" s="135"/>
      <c r="GI184" s="134"/>
      <c r="GJ184" s="134"/>
      <c r="GK184" s="134"/>
      <c r="GL184" s="134"/>
      <c r="GM184" s="134"/>
      <c r="GN184" s="134"/>
      <c r="GO184" s="134"/>
      <c r="GP184" s="134"/>
      <c r="GQ184" s="135"/>
      <c r="GR184" s="135"/>
      <c r="GS184" s="134"/>
      <c r="GT184" s="134"/>
      <c r="GU184" s="134"/>
      <c r="GV184" s="134"/>
      <c r="GW184" s="134"/>
      <c r="GX184" s="134"/>
      <c r="GY184" s="134"/>
      <c r="GZ184" s="134"/>
      <c r="HA184" s="135"/>
      <c r="HB184" s="135"/>
      <c r="HC184" s="134"/>
      <c r="HD184" s="134"/>
      <c r="HE184" s="134"/>
      <c r="HF184" s="134"/>
      <c r="HG184" s="134"/>
      <c r="HH184" s="134"/>
      <c r="HI184" s="134"/>
      <c r="HJ184" s="134"/>
      <c r="HK184" s="135"/>
      <c r="HL184" s="135"/>
      <c r="HM184" s="134"/>
      <c r="HN184" s="134"/>
      <c r="HO184" s="134"/>
      <c r="HP184" s="134"/>
      <c r="HQ184" s="134"/>
      <c r="HR184" s="134"/>
      <c r="HS184" s="134"/>
      <c r="HT184" s="134"/>
      <c r="HU184" s="135"/>
      <c r="HV184" s="135"/>
      <c r="HW184" s="134"/>
      <c r="HX184" s="134"/>
      <c r="HY184" s="134"/>
      <c r="HZ184" s="134"/>
      <c r="IA184" s="134"/>
      <c r="IB184" s="134"/>
      <c r="IC184" s="134"/>
      <c r="ID184" s="134"/>
      <c r="IE184" s="135"/>
      <c r="IF184" s="135"/>
      <c r="IG184" s="134"/>
      <c r="IH184" s="134"/>
      <c r="II184" s="134"/>
      <c r="IJ184" s="134"/>
      <c r="IK184" s="134"/>
      <c r="IL184" s="134"/>
      <c r="IM184" s="134"/>
      <c r="IN184" s="134"/>
      <c r="IO184" s="135"/>
      <c r="IP184" s="135"/>
      <c r="IQ184" s="134"/>
      <c r="IR184" s="134"/>
      <c r="IS184" s="134"/>
      <c r="IT184" s="134"/>
      <c r="IU184" s="134"/>
      <c r="IV184" s="134"/>
      <c r="IW184" s="134"/>
      <c r="IX184" s="134"/>
      <c r="IY184" s="135"/>
      <c r="IZ184" s="135"/>
    </row>
    <row r="185" spans="1:260" customFormat="1" ht="17" customHeight="1">
      <c r="A185" s="79" t="s">
        <v>146</v>
      </c>
      <c r="B185" s="117">
        <v>112</v>
      </c>
      <c r="C185" s="117">
        <v>25</v>
      </c>
      <c r="D185" s="117"/>
      <c r="E185" s="123" t="s">
        <v>1952</v>
      </c>
      <c r="F185" s="124" t="s">
        <v>2173</v>
      </c>
      <c r="G185" s="125">
        <v>2007</v>
      </c>
      <c r="H185" s="79">
        <v>17509537</v>
      </c>
      <c r="I185" s="79">
        <v>1</v>
      </c>
      <c r="J185" s="126"/>
      <c r="K185" s="127"/>
      <c r="L185" s="79">
        <v>1</v>
      </c>
      <c r="M185" s="79"/>
      <c r="N185" s="79">
        <v>1</v>
      </c>
      <c r="O185" s="128">
        <v>1</v>
      </c>
      <c r="P185" s="79" t="s">
        <v>453</v>
      </c>
      <c r="Q185" s="79" t="s">
        <v>1147</v>
      </c>
      <c r="R185" s="79" t="s">
        <v>25</v>
      </c>
      <c r="S185" s="79">
        <v>1</v>
      </c>
      <c r="T185" s="79"/>
      <c r="U185" s="79"/>
      <c r="V185" s="79"/>
      <c r="W185" s="79" t="s">
        <v>454</v>
      </c>
      <c r="X185" s="79" t="s">
        <v>56</v>
      </c>
      <c r="Y185" s="79"/>
      <c r="Z185" s="79"/>
      <c r="AA185" s="79"/>
      <c r="AB185" s="79"/>
      <c r="AC185" s="506"/>
      <c r="AD185" s="573">
        <v>1</v>
      </c>
      <c r="AE185" s="573">
        <v>2</v>
      </c>
      <c r="AF185" s="154">
        <v>1</v>
      </c>
      <c r="AG185" s="155" t="s">
        <v>4359</v>
      </c>
      <c r="AH185" s="121">
        <v>2</v>
      </c>
      <c r="AI185" s="484"/>
      <c r="AJ185" s="202" t="s">
        <v>4358</v>
      </c>
      <c r="AK185" s="192">
        <v>0</v>
      </c>
      <c r="AL185" s="203" t="s">
        <v>24</v>
      </c>
      <c r="AM185" s="121">
        <f>18+18+23+23</f>
        <v>82</v>
      </c>
      <c r="AN185" s="121">
        <v>18</v>
      </c>
      <c r="AO185" s="121" t="s">
        <v>4341</v>
      </c>
      <c r="AP185" s="121" t="s">
        <v>803</v>
      </c>
      <c r="AQ185" s="121" t="s">
        <v>803</v>
      </c>
      <c r="AR185" s="121" t="s">
        <v>4342</v>
      </c>
      <c r="AS185" s="121">
        <v>3.1</v>
      </c>
      <c r="AT185" s="121" t="s">
        <v>4343</v>
      </c>
      <c r="AU185" s="121" t="s">
        <v>4344</v>
      </c>
      <c r="AV185" s="121" t="s">
        <v>4249</v>
      </c>
      <c r="AW185" s="121" t="s">
        <v>24</v>
      </c>
      <c r="AX185" s="121" t="s">
        <v>24</v>
      </c>
      <c r="AY185" s="121" t="s">
        <v>4338</v>
      </c>
      <c r="AZ185" s="121" t="s">
        <v>4340</v>
      </c>
      <c r="BA185" s="121" t="s">
        <v>4339</v>
      </c>
      <c r="BB185" s="121"/>
      <c r="BC185" s="121"/>
      <c r="BD185" s="156"/>
      <c r="BE185" s="156"/>
      <c r="BF185" s="156"/>
      <c r="BG185" s="156"/>
      <c r="BH185" s="156"/>
      <c r="BI185" s="156"/>
      <c r="BJ185" s="156">
        <v>1</v>
      </c>
      <c r="BK185" s="156"/>
      <c r="BL185" s="156"/>
      <c r="BM185" s="156"/>
      <c r="BN185" s="156"/>
      <c r="BO185" s="156"/>
      <c r="BP185" s="156"/>
      <c r="BQ185" s="157" t="s">
        <v>4376</v>
      </c>
      <c r="BR185" s="134" t="s">
        <v>1876</v>
      </c>
      <c r="BS185" s="134" t="s">
        <v>4345</v>
      </c>
      <c r="BT185" s="134" t="s">
        <v>4346</v>
      </c>
      <c r="BU185" s="134" t="s">
        <v>24</v>
      </c>
      <c r="BV185" s="134" t="s">
        <v>4347</v>
      </c>
      <c r="BW185" s="259" t="s">
        <v>4377</v>
      </c>
      <c r="BX185" s="138" t="s">
        <v>4349</v>
      </c>
      <c r="BY185" s="134">
        <v>8.6999999999999993</v>
      </c>
      <c r="BZ185" s="134">
        <v>4.7</v>
      </c>
      <c r="CA185" s="134" t="s">
        <v>24</v>
      </c>
      <c r="CB185" s="138" t="s">
        <v>4351</v>
      </c>
      <c r="CC185" s="134">
        <v>5.3</v>
      </c>
      <c r="CD185" s="134">
        <v>4.0999999999999996</v>
      </c>
      <c r="CE185" s="134" t="s">
        <v>24</v>
      </c>
      <c r="CF185" s="288" t="s">
        <v>4353</v>
      </c>
      <c r="CG185" s="289" t="s">
        <v>4354</v>
      </c>
      <c r="CH185" s="138" t="s">
        <v>4352</v>
      </c>
      <c r="CI185" s="134">
        <v>8</v>
      </c>
      <c r="CJ185" s="134">
        <v>6.1</v>
      </c>
      <c r="CK185" s="134" t="s">
        <v>24</v>
      </c>
      <c r="CL185" s="138" t="s">
        <v>4348</v>
      </c>
      <c r="CM185" s="134">
        <v>4.2</v>
      </c>
      <c r="CN185" s="134">
        <v>4.4000000000000004</v>
      </c>
      <c r="CO185" s="134" t="s">
        <v>24</v>
      </c>
      <c r="CP185" s="288" t="s">
        <v>4355</v>
      </c>
      <c r="CQ185" s="289" t="s">
        <v>4356</v>
      </c>
      <c r="CR185" s="276" t="s">
        <v>4357</v>
      </c>
      <c r="CS185" s="308" t="s">
        <v>4350</v>
      </c>
      <c r="CT185" s="138"/>
      <c r="CU185" s="134"/>
      <c r="CV185" s="134"/>
      <c r="CW185" s="134"/>
      <c r="CX185" s="134"/>
      <c r="CY185" s="134"/>
      <c r="CZ185" s="134"/>
      <c r="DA185" s="134"/>
      <c r="DB185" s="300"/>
      <c r="DC185" s="301"/>
      <c r="DD185" s="134"/>
      <c r="DE185" s="134"/>
      <c r="DF185" s="134"/>
      <c r="DG185" s="134"/>
      <c r="DH185" s="134"/>
      <c r="DI185" s="134"/>
      <c r="DJ185" s="134"/>
      <c r="DK185" s="134"/>
      <c r="DL185" s="300"/>
      <c r="DM185" s="301"/>
      <c r="DN185" s="276"/>
      <c r="DO185" s="277"/>
      <c r="DP185" s="134"/>
      <c r="DQ185" s="134"/>
      <c r="DR185" s="134"/>
      <c r="DS185" s="134"/>
      <c r="DT185" s="138"/>
      <c r="DU185" s="134"/>
      <c r="DV185" s="134"/>
      <c r="DW185" s="134"/>
      <c r="DX185" s="301"/>
      <c r="DY185" s="301"/>
      <c r="DZ185" s="138"/>
      <c r="EA185" s="134"/>
      <c r="EB185" s="134"/>
      <c r="EC185" s="134"/>
      <c r="ED185" s="138"/>
      <c r="EE185" s="134"/>
      <c r="EF185" s="134"/>
      <c r="EG185" s="134"/>
      <c r="EH185" s="301"/>
      <c r="EI185" s="301"/>
      <c r="EJ185" s="277"/>
      <c r="EK185" s="134"/>
      <c r="EL185" s="134"/>
      <c r="EM185" s="134"/>
      <c r="EN185" s="134"/>
      <c r="EO185" s="134"/>
      <c r="EP185" s="134"/>
      <c r="EQ185" s="134"/>
      <c r="ER185" s="134"/>
      <c r="ES185" s="301"/>
      <c r="ET185" s="301"/>
      <c r="EU185" s="134"/>
      <c r="EV185" s="134"/>
      <c r="EW185" s="134"/>
      <c r="EX185" s="134"/>
      <c r="EY185" s="134"/>
      <c r="EZ185" s="134"/>
      <c r="FA185" s="134"/>
      <c r="FB185" s="134"/>
      <c r="FC185" s="135"/>
      <c r="FD185" s="135"/>
      <c r="FE185" s="134"/>
      <c r="FF185" s="134"/>
      <c r="FG185" s="134"/>
      <c r="FH185" s="134"/>
      <c r="FI185" s="134"/>
      <c r="FJ185" s="134"/>
      <c r="FK185" s="134"/>
      <c r="FL185" s="134"/>
      <c r="FM185" s="135"/>
      <c r="FN185" s="135"/>
      <c r="FO185" s="134"/>
      <c r="FP185" s="134"/>
      <c r="FQ185" s="134"/>
      <c r="FR185" s="134"/>
      <c r="FS185" s="134"/>
      <c r="FT185" s="134"/>
      <c r="FU185" s="134"/>
      <c r="FV185" s="134"/>
      <c r="FW185" s="135"/>
      <c r="FX185" s="135"/>
      <c r="FY185" s="134"/>
      <c r="FZ185" s="134"/>
      <c r="GA185" s="134"/>
      <c r="GB185" s="134"/>
      <c r="GC185" s="134"/>
      <c r="GD185" s="134"/>
      <c r="GE185" s="134"/>
      <c r="GF185" s="134"/>
      <c r="GG185" s="135"/>
      <c r="GH185" s="135"/>
      <c r="GI185" s="134"/>
      <c r="GJ185" s="134"/>
      <c r="GK185" s="134"/>
      <c r="GL185" s="134"/>
      <c r="GM185" s="134"/>
      <c r="GN185" s="134"/>
      <c r="GO185" s="134"/>
      <c r="GP185" s="134"/>
      <c r="GQ185" s="135"/>
      <c r="GR185" s="135"/>
      <c r="GS185" s="134"/>
      <c r="GT185" s="134"/>
      <c r="GU185" s="134"/>
      <c r="GV185" s="134"/>
      <c r="GW185" s="134"/>
      <c r="GX185" s="134"/>
      <c r="GY185" s="134"/>
      <c r="GZ185" s="134"/>
      <c r="HA185" s="135"/>
      <c r="HB185" s="135"/>
      <c r="HC185" s="134"/>
      <c r="HD185" s="134"/>
      <c r="HE185" s="134"/>
      <c r="HF185" s="134"/>
      <c r="HG185" s="134"/>
      <c r="HH185" s="134"/>
      <c r="HI185" s="134"/>
      <c r="HJ185" s="134"/>
      <c r="HK185" s="135"/>
      <c r="HL185" s="135"/>
      <c r="HM185" s="134"/>
      <c r="HN185" s="134"/>
      <c r="HO185" s="134"/>
      <c r="HP185" s="134"/>
      <c r="HQ185" s="134"/>
      <c r="HR185" s="134"/>
      <c r="HS185" s="134"/>
      <c r="HT185" s="134"/>
      <c r="HU185" s="135"/>
      <c r="HV185" s="135"/>
      <c r="HW185" s="134"/>
      <c r="HX185" s="134"/>
      <c r="HY185" s="134"/>
      <c r="HZ185" s="134"/>
      <c r="IA185" s="134"/>
      <c r="IB185" s="134"/>
      <c r="IC185" s="134"/>
      <c r="ID185" s="134"/>
      <c r="IE185" s="135"/>
      <c r="IF185" s="135"/>
      <c r="IG185" s="134"/>
      <c r="IH185" s="134"/>
      <c r="II185" s="134"/>
      <c r="IJ185" s="134"/>
      <c r="IK185" s="134"/>
      <c r="IL185" s="134"/>
      <c r="IM185" s="134"/>
      <c r="IN185" s="134"/>
      <c r="IO185" s="135"/>
      <c r="IP185" s="135"/>
      <c r="IQ185" s="134"/>
      <c r="IR185" s="134"/>
      <c r="IS185" s="134"/>
      <c r="IT185" s="134"/>
      <c r="IU185" s="134"/>
      <c r="IV185" s="134"/>
      <c r="IW185" s="134"/>
      <c r="IX185" s="134"/>
      <c r="IY185" s="135"/>
      <c r="IZ185" s="135"/>
    </row>
    <row r="186" spans="1:260" customFormat="1" ht="17" customHeight="1">
      <c r="A186" s="118" t="s">
        <v>148</v>
      </c>
      <c r="B186" s="381">
        <v>113</v>
      </c>
      <c r="C186" s="381">
        <v>26</v>
      </c>
      <c r="D186" s="381"/>
      <c r="E186" s="139" t="s">
        <v>1953</v>
      </c>
      <c r="F186" s="140" t="s">
        <v>2174</v>
      </c>
      <c r="G186" s="141">
        <v>2006</v>
      </c>
      <c r="H186" s="118">
        <v>16891562</v>
      </c>
      <c r="I186" s="118">
        <v>1</v>
      </c>
      <c r="J186" s="118"/>
      <c r="K186" s="118"/>
      <c r="L186" s="118">
        <v>1</v>
      </c>
      <c r="M186" s="118"/>
      <c r="N186" s="118">
        <v>1</v>
      </c>
      <c r="O186" s="142">
        <v>1</v>
      </c>
      <c r="P186" s="118" t="s">
        <v>457</v>
      </c>
      <c r="Q186" s="118" t="s">
        <v>1147</v>
      </c>
      <c r="R186" s="118" t="s">
        <v>459</v>
      </c>
      <c r="S186" s="118">
        <v>0</v>
      </c>
      <c r="T186" s="118"/>
      <c r="U186" s="118"/>
      <c r="V186" s="118"/>
      <c r="W186" s="118" t="s">
        <v>458</v>
      </c>
      <c r="X186" s="118"/>
      <c r="Y186" s="118"/>
      <c r="Z186" s="118"/>
      <c r="AA186" s="118"/>
      <c r="AB186" s="118"/>
      <c r="AC186" s="145"/>
      <c r="AD186" s="573">
        <v>1</v>
      </c>
      <c r="AE186" s="573">
        <v>2</v>
      </c>
      <c r="AF186" s="472" t="s">
        <v>3003</v>
      </c>
      <c r="AG186" s="473" t="s">
        <v>4415</v>
      </c>
      <c r="AH186" s="122" t="s">
        <v>4360</v>
      </c>
      <c r="AI186" s="485"/>
      <c r="AJ186" s="474" t="s">
        <v>4414</v>
      </c>
      <c r="AK186" s="192" t="s">
        <v>4406</v>
      </c>
      <c r="AL186" s="205" t="s">
        <v>24</v>
      </c>
      <c r="AM186" s="475">
        <f>31+16+35</f>
        <v>82</v>
      </c>
      <c r="AN186" s="475">
        <v>31</v>
      </c>
      <c r="AO186" s="475" t="s">
        <v>4361</v>
      </c>
      <c r="AP186" s="122" t="s">
        <v>4362</v>
      </c>
      <c r="AQ186" s="122" t="s">
        <v>4362</v>
      </c>
      <c r="AR186" s="122" t="s">
        <v>4363</v>
      </c>
      <c r="AS186" s="122" t="s">
        <v>4364</v>
      </c>
      <c r="AT186" s="122" t="s">
        <v>4363</v>
      </c>
      <c r="AU186" s="122" t="s">
        <v>4364</v>
      </c>
      <c r="AV186" s="122" t="s">
        <v>4365</v>
      </c>
      <c r="AW186" s="122" t="s">
        <v>24</v>
      </c>
      <c r="AX186" s="122" t="s">
        <v>24</v>
      </c>
      <c r="AY186" s="122" t="s">
        <v>4381</v>
      </c>
      <c r="AZ186" s="122" t="s">
        <v>4375</v>
      </c>
      <c r="BA186" s="475" t="s">
        <v>4366</v>
      </c>
      <c r="BB186" s="475"/>
      <c r="BC186" s="475"/>
      <c r="BD186" s="161"/>
      <c r="BE186" s="161"/>
      <c r="BF186" s="161"/>
      <c r="BG186" s="161"/>
      <c r="BH186" s="161"/>
      <c r="BI186" s="161"/>
      <c r="BJ186" s="161">
        <v>1</v>
      </c>
      <c r="BK186" s="161"/>
      <c r="BL186" s="161"/>
      <c r="BM186" s="161"/>
      <c r="BN186" s="161"/>
      <c r="BO186" s="161"/>
      <c r="BP186" s="161"/>
      <c r="BQ186" s="162" t="s">
        <v>4379</v>
      </c>
      <c r="BR186" s="150" t="s">
        <v>1876</v>
      </c>
      <c r="BS186" s="150">
        <v>3</v>
      </c>
      <c r="BT186" s="150" t="s">
        <v>4380</v>
      </c>
      <c r="BU186" s="150" t="s">
        <v>24</v>
      </c>
      <c r="BV186" s="150" t="s">
        <v>4407</v>
      </c>
      <c r="BW186" s="476" t="s">
        <v>4392</v>
      </c>
      <c r="BX186" s="151" t="s">
        <v>4382</v>
      </c>
      <c r="BY186" s="150">
        <v>9.0321400000000001</v>
      </c>
      <c r="BZ186" s="150" t="s">
        <v>24</v>
      </c>
      <c r="CA186" s="150" t="s">
        <v>24</v>
      </c>
      <c r="CB186" s="151" t="s">
        <v>4383</v>
      </c>
      <c r="CC186" s="150">
        <v>10.125</v>
      </c>
      <c r="CD186" s="150" t="s">
        <v>24</v>
      </c>
      <c r="CE186" s="150" t="s">
        <v>24</v>
      </c>
      <c r="CF186" s="290" t="s">
        <v>4388</v>
      </c>
      <c r="CG186" s="291" t="s">
        <v>4389</v>
      </c>
      <c r="CH186" s="151" t="s">
        <v>4384</v>
      </c>
      <c r="CI186" s="150">
        <v>10.8</v>
      </c>
      <c r="CJ186" s="228" t="s">
        <v>24</v>
      </c>
      <c r="CK186" s="150" t="s">
        <v>24</v>
      </c>
      <c r="CL186" s="151" t="s">
        <v>4385</v>
      </c>
      <c r="CM186" s="150">
        <v>3.7285699999999999</v>
      </c>
      <c r="CN186" s="150" t="s">
        <v>24</v>
      </c>
      <c r="CO186" s="150" t="s">
        <v>24</v>
      </c>
      <c r="CP186" s="290" t="s">
        <v>24</v>
      </c>
      <c r="CQ186" s="291" t="s">
        <v>24</v>
      </c>
      <c r="CR186" s="278" t="s">
        <v>24</v>
      </c>
      <c r="CS186" s="285" t="s">
        <v>24</v>
      </c>
      <c r="CT186" s="151" t="s">
        <v>4386</v>
      </c>
      <c r="CU186" s="150">
        <v>6.8464299999999998</v>
      </c>
      <c r="CV186" s="150" t="s">
        <v>24</v>
      </c>
      <c r="CW186" s="150" t="s">
        <v>24</v>
      </c>
      <c r="CX186" s="151" t="s">
        <v>4387</v>
      </c>
      <c r="CY186" s="150">
        <v>7.0071399999999997</v>
      </c>
      <c r="CZ186" s="150" t="s">
        <v>24</v>
      </c>
      <c r="DA186" s="150" t="s">
        <v>24</v>
      </c>
      <c r="DB186" s="302" t="s">
        <v>4390</v>
      </c>
      <c r="DC186" s="303" t="s">
        <v>4391</v>
      </c>
      <c r="DD186" s="150" t="s">
        <v>24</v>
      </c>
      <c r="DE186" s="150" t="s">
        <v>24</v>
      </c>
      <c r="DF186" s="150" t="s">
        <v>24</v>
      </c>
      <c r="DG186" s="150" t="s">
        <v>24</v>
      </c>
      <c r="DH186" s="150"/>
      <c r="DI186" s="150"/>
      <c r="DJ186" s="150"/>
      <c r="DK186" s="150"/>
      <c r="DL186" s="302"/>
      <c r="DM186" s="303"/>
      <c r="DN186" s="278"/>
      <c r="DO186" s="279"/>
      <c r="DP186" s="150"/>
      <c r="DQ186" s="150"/>
      <c r="DR186" s="150"/>
      <c r="DS186" s="150"/>
      <c r="DT186" s="151"/>
      <c r="DU186" s="150"/>
      <c r="DV186" s="150"/>
      <c r="DW186" s="150"/>
      <c r="DX186" s="303"/>
      <c r="DY186" s="303"/>
      <c r="DZ186" s="151"/>
      <c r="EA186" s="150"/>
      <c r="EB186" s="150"/>
      <c r="EC186" s="150"/>
      <c r="ED186" s="151"/>
      <c r="EE186" s="150"/>
      <c r="EF186" s="150"/>
      <c r="EG186" s="150"/>
      <c r="EH186" s="303"/>
      <c r="EI186" s="303"/>
      <c r="EJ186" s="279"/>
      <c r="EK186" s="150"/>
      <c r="EL186" s="150"/>
      <c r="EM186" s="150"/>
      <c r="EN186" s="150"/>
      <c r="EO186" s="150"/>
      <c r="EP186" s="150"/>
      <c r="EQ186" s="150"/>
      <c r="ER186" s="150"/>
      <c r="ES186" s="303"/>
      <c r="ET186" s="303"/>
      <c r="EU186" s="150"/>
      <c r="EV186" s="150"/>
      <c r="EW186" s="150"/>
      <c r="EX186" s="150"/>
      <c r="EY186" s="134"/>
      <c r="EZ186" s="134"/>
      <c r="FA186" s="134"/>
      <c r="FB186" s="134"/>
      <c r="FC186" s="135"/>
      <c r="FD186" s="135"/>
      <c r="FE186" s="134"/>
      <c r="FF186" s="134"/>
      <c r="FG186" s="134"/>
      <c r="FH186" s="134"/>
      <c r="FI186" s="134"/>
      <c r="FJ186" s="134"/>
      <c r="FK186" s="134"/>
      <c r="FL186" s="134"/>
      <c r="FM186" s="135"/>
      <c r="FN186" s="135"/>
      <c r="FO186" s="134"/>
      <c r="FP186" s="134"/>
      <c r="FQ186" s="134"/>
      <c r="FR186" s="134"/>
      <c r="FS186" s="134"/>
      <c r="FT186" s="134"/>
      <c r="FU186" s="134"/>
      <c r="FV186" s="134"/>
      <c r="FW186" s="135"/>
      <c r="FX186" s="135"/>
      <c r="FY186" s="134"/>
      <c r="FZ186" s="134"/>
      <c r="GA186" s="134"/>
      <c r="GB186" s="134"/>
      <c r="GC186" s="134"/>
      <c r="GD186" s="134"/>
      <c r="GE186" s="134"/>
      <c r="GF186" s="134"/>
      <c r="GG186" s="135"/>
      <c r="GH186" s="135"/>
      <c r="GI186" s="134"/>
      <c r="GJ186" s="134"/>
      <c r="GK186" s="134"/>
      <c r="GL186" s="134"/>
      <c r="GM186" s="134"/>
      <c r="GN186" s="134"/>
      <c r="GO186" s="134"/>
      <c r="GP186" s="134"/>
      <c r="GQ186" s="135"/>
      <c r="GR186" s="135"/>
      <c r="GS186" s="134"/>
      <c r="GT186" s="134"/>
      <c r="GU186" s="134"/>
      <c r="GV186" s="134"/>
      <c r="GW186" s="134"/>
      <c r="GX186" s="134"/>
      <c r="GY186" s="134"/>
      <c r="GZ186" s="134"/>
      <c r="HA186" s="135"/>
      <c r="HB186" s="135"/>
      <c r="HC186" s="134"/>
      <c r="HD186" s="134"/>
      <c r="HE186" s="134"/>
      <c r="HF186" s="134"/>
      <c r="HG186" s="134"/>
      <c r="HH186" s="134"/>
      <c r="HI186" s="134"/>
      <c r="HJ186" s="134"/>
      <c r="HK186" s="135"/>
      <c r="HL186" s="135"/>
      <c r="HM186" s="134"/>
      <c r="HN186" s="134"/>
      <c r="HO186" s="134"/>
      <c r="HP186" s="134"/>
      <c r="HQ186" s="134"/>
      <c r="HR186" s="134"/>
      <c r="HS186" s="134"/>
      <c r="HT186" s="134"/>
      <c r="HU186" s="135"/>
      <c r="HV186" s="135"/>
      <c r="HW186" s="134"/>
      <c r="HX186" s="134"/>
      <c r="HY186" s="134"/>
      <c r="HZ186" s="134"/>
      <c r="IA186" s="134"/>
      <c r="IB186" s="134"/>
      <c r="IC186" s="134"/>
      <c r="ID186" s="134"/>
      <c r="IE186" s="135"/>
      <c r="IF186" s="135"/>
      <c r="IG186" s="134"/>
      <c r="IH186" s="134"/>
      <c r="II186" s="134"/>
      <c r="IJ186" s="134"/>
      <c r="IK186" s="134"/>
      <c r="IL186" s="134"/>
      <c r="IM186" s="134"/>
      <c r="IN186" s="134"/>
      <c r="IO186" s="135"/>
      <c r="IP186" s="135"/>
      <c r="IQ186" s="134"/>
      <c r="IR186" s="134"/>
      <c r="IS186" s="134"/>
      <c r="IT186" s="134"/>
      <c r="IU186" s="134"/>
      <c r="IV186" s="134"/>
      <c r="IW186" s="134"/>
      <c r="IX186" s="134"/>
      <c r="IY186" s="135"/>
      <c r="IZ186" s="135"/>
    </row>
    <row r="187" spans="1:260" customFormat="1" ht="17" customHeight="1">
      <c r="A187" s="118" t="s">
        <v>148</v>
      </c>
      <c r="B187" s="381">
        <v>113</v>
      </c>
      <c r="C187" s="381">
        <v>26</v>
      </c>
      <c r="D187" s="381"/>
      <c r="E187" s="139" t="s">
        <v>1953</v>
      </c>
      <c r="F187" s="140" t="s">
        <v>2174</v>
      </c>
      <c r="G187" s="141">
        <v>2006</v>
      </c>
      <c r="H187" s="118">
        <v>16891562</v>
      </c>
      <c r="I187" s="118">
        <v>1</v>
      </c>
      <c r="J187" s="118"/>
      <c r="K187" s="118"/>
      <c r="L187" s="118">
        <v>1</v>
      </c>
      <c r="M187" s="118"/>
      <c r="N187" s="118">
        <v>1</v>
      </c>
      <c r="O187" s="142">
        <v>1</v>
      </c>
      <c r="P187" s="118" t="s">
        <v>457</v>
      </c>
      <c r="Q187" s="118" t="s">
        <v>1147</v>
      </c>
      <c r="R187" s="118" t="s">
        <v>459</v>
      </c>
      <c r="S187" s="118">
        <v>0</v>
      </c>
      <c r="T187" s="118"/>
      <c r="U187" s="118"/>
      <c r="V187" s="118"/>
      <c r="W187" s="118" t="s">
        <v>458</v>
      </c>
      <c r="X187" s="118"/>
      <c r="Y187" s="118"/>
      <c r="Z187" s="118"/>
      <c r="AA187" s="118"/>
      <c r="AB187" s="118"/>
      <c r="AC187" s="145"/>
      <c r="AD187" s="573">
        <v>1</v>
      </c>
      <c r="AE187" s="573">
        <v>2</v>
      </c>
      <c r="AF187" s="472" t="s">
        <v>3003</v>
      </c>
      <c r="AG187" s="473" t="s">
        <v>4415</v>
      </c>
      <c r="AH187" s="122" t="s">
        <v>4360</v>
      </c>
      <c r="AI187" s="485"/>
      <c r="AJ187" s="474" t="s">
        <v>4412</v>
      </c>
      <c r="AK187" s="192" t="s">
        <v>4406</v>
      </c>
      <c r="AL187" s="205" t="s">
        <v>24</v>
      </c>
      <c r="AM187" s="475">
        <f>36+26+40</f>
        <v>102</v>
      </c>
      <c r="AN187" s="475">
        <v>36</v>
      </c>
      <c r="AO187" s="475" t="s">
        <v>4393</v>
      </c>
      <c r="AP187" s="122" t="s">
        <v>4362</v>
      </c>
      <c r="AQ187" s="122" t="s">
        <v>4362</v>
      </c>
      <c r="AR187" s="122" t="s">
        <v>4363</v>
      </c>
      <c r="AS187" s="122" t="s">
        <v>4364</v>
      </c>
      <c r="AT187" s="122" t="s">
        <v>4363</v>
      </c>
      <c r="AU187" s="122" t="s">
        <v>4364</v>
      </c>
      <c r="AV187" s="122" t="s">
        <v>4365</v>
      </c>
      <c r="AW187" s="122" t="s">
        <v>24</v>
      </c>
      <c r="AX187" s="122" t="s">
        <v>24</v>
      </c>
      <c r="AY187" s="122" t="s">
        <v>4381</v>
      </c>
      <c r="AZ187" s="122" t="s">
        <v>4375</v>
      </c>
      <c r="BA187" s="475" t="s">
        <v>4366</v>
      </c>
      <c r="BB187" s="475"/>
      <c r="BC187" s="475"/>
      <c r="BD187" s="161"/>
      <c r="BE187" s="161"/>
      <c r="BF187" s="161"/>
      <c r="BG187" s="161"/>
      <c r="BH187" s="161"/>
      <c r="BI187" s="161"/>
      <c r="BJ187" s="161">
        <v>1</v>
      </c>
      <c r="BK187" s="161"/>
      <c r="BL187" s="161"/>
      <c r="BM187" s="161"/>
      <c r="BN187" s="161"/>
      <c r="BO187" s="161"/>
      <c r="BP187" s="161"/>
      <c r="BQ187" s="162" t="s">
        <v>4411</v>
      </c>
      <c r="BR187" s="150" t="s">
        <v>1876</v>
      </c>
      <c r="BS187" s="150">
        <v>3</v>
      </c>
      <c r="BT187" s="150" t="s">
        <v>4409</v>
      </c>
      <c r="BU187" s="150" t="s">
        <v>24</v>
      </c>
      <c r="BV187" s="150" t="s">
        <v>4410</v>
      </c>
      <c r="BW187" s="258" t="s">
        <v>4408</v>
      </c>
      <c r="BX187" s="151" t="s">
        <v>4397</v>
      </c>
      <c r="BY187" s="150">
        <v>5.2309200000000002</v>
      </c>
      <c r="BZ187" s="150" t="s">
        <v>24</v>
      </c>
      <c r="CA187" s="150" t="s">
        <v>24</v>
      </c>
      <c r="CB187" s="151" t="s">
        <v>4396</v>
      </c>
      <c r="CC187" s="150">
        <v>6.6067200000000001</v>
      </c>
      <c r="CD187" s="150" t="s">
        <v>24</v>
      </c>
      <c r="CE187" s="150" t="s">
        <v>24</v>
      </c>
      <c r="CF187" s="290"/>
      <c r="CG187" s="291"/>
      <c r="CH187" s="151" t="s">
        <v>4394</v>
      </c>
      <c r="CI187" s="150">
        <v>7.2181899999999999</v>
      </c>
      <c r="CJ187" s="228" t="s">
        <v>24</v>
      </c>
      <c r="CK187" s="150" t="s">
        <v>24</v>
      </c>
      <c r="CL187" s="151" t="s">
        <v>4395</v>
      </c>
      <c r="CM187" s="150">
        <v>9.3869900000000008</v>
      </c>
      <c r="CN187" s="150" t="s">
        <v>24</v>
      </c>
      <c r="CO187" s="150" t="s">
        <v>24</v>
      </c>
      <c r="CP187" s="290"/>
      <c r="CQ187" s="291"/>
      <c r="CR187" s="278"/>
      <c r="CS187" s="285"/>
      <c r="CT187" s="151" t="s">
        <v>4398</v>
      </c>
      <c r="CU187" s="150">
        <v>11.0304</v>
      </c>
      <c r="CV187" s="150" t="s">
        <v>24</v>
      </c>
      <c r="CW187" s="150" t="s">
        <v>24</v>
      </c>
      <c r="CX187" s="151" t="s">
        <v>4399</v>
      </c>
      <c r="CY187" s="150">
        <v>12.7119</v>
      </c>
      <c r="CZ187" s="150" t="s">
        <v>24</v>
      </c>
      <c r="DA187" s="150" t="s">
        <v>24</v>
      </c>
      <c r="DB187" s="302"/>
      <c r="DC187" s="303"/>
      <c r="DD187" s="150" t="s">
        <v>4400</v>
      </c>
      <c r="DE187" s="150">
        <v>7.7722100000000003</v>
      </c>
      <c r="DF187" s="150" t="s">
        <v>24</v>
      </c>
      <c r="DG187" s="150" t="s">
        <v>24</v>
      </c>
      <c r="DH187" s="150" t="s">
        <v>4401</v>
      </c>
      <c r="DI187" s="150">
        <v>9.1863499999999991</v>
      </c>
      <c r="DJ187" s="150" t="s">
        <v>24</v>
      </c>
      <c r="DK187" s="150" t="s">
        <v>24</v>
      </c>
      <c r="DL187" s="302"/>
      <c r="DM187" s="303"/>
      <c r="DN187" s="278"/>
      <c r="DO187" s="279"/>
      <c r="DP187" s="150" t="s">
        <v>4402</v>
      </c>
      <c r="DQ187" s="150">
        <v>10.523899999999999</v>
      </c>
      <c r="DR187" s="150" t="s">
        <v>24</v>
      </c>
      <c r="DS187" s="150" t="s">
        <v>24</v>
      </c>
      <c r="DT187" s="151" t="s">
        <v>4403</v>
      </c>
      <c r="DU187" s="150">
        <v>8.0302299999999995</v>
      </c>
      <c r="DV187" s="150" t="s">
        <v>24</v>
      </c>
      <c r="DW187" s="150" t="s">
        <v>24</v>
      </c>
      <c r="DX187" s="303"/>
      <c r="DY187" s="303"/>
      <c r="DZ187" s="151" t="s">
        <v>4404</v>
      </c>
      <c r="EA187" s="150">
        <v>9.8646999999999991</v>
      </c>
      <c r="EB187" s="150" t="s">
        <v>24</v>
      </c>
      <c r="EC187" s="150" t="s">
        <v>24</v>
      </c>
      <c r="ED187" s="151" t="s">
        <v>4405</v>
      </c>
      <c r="EE187" s="150">
        <v>10.4762</v>
      </c>
      <c r="EF187" s="150" t="s">
        <v>24</v>
      </c>
      <c r="EG187" s="150" t="s">
        <v>24</v>
      </c>
      <c r="EH187" s="303"/>
      <c r="EI187" s="303"/>
      <c r="EJ187" s="279"/>
      <c r="EK187" s="150"/>
      <c r="EL187" s="150"/>
      <c r="EM187" s="150"/>
      <c r="EN187" s="150"/>
      <c r="EO187" s="150"/>
      <c r="EP187" s="150"/>
      <c r="EQ187" s="150"/>
      <c r="ER187" s="150"/>
      <c r="ES187" s="303"/>
      <c r="ET187" s="303"/>
      <c r="EU187" s="150"/>
      <c r="EV187" s="150"/>
      <c r="EW187" s="150"/>
      <c r="EX187" s="150"/>
      <c r="EY187" s="134"/>
      <c r="EZ187" s="134"/>
      <c r="FA187" s="134"/>
      <c r="FB187" s="134"/>
      <c r="FC187" s="135"/>
      <c r="FD187" s="135"/>
      <c r="FE187" s="134"/>
      <c r="FF187" s="134"/>
      <c r="FG187" s="134"/>
      <c r="FH187" s="134"/>
      <c r="FI187" s="134"/>
      <c r="FJ187" s="134"/>
      <c r="FK187" s="134"/>
      <c r="FL187" s="134"/>
      <c r="FM187" s="135"/>
      <c r="FN187" s="135"/>
      <c r="FO187" s="134"/>
      <c r="FP187" s="134"/>
      <c r="FQ187" s="134"/>
      <c r="FR187" s="134"/>
      <c r="FS187" s="134"/>
      <c r="FT187" s="134"/>
      <c r="FU187" s="134"/>
      <c r="FV187" s="134"/>
      <c r="FW187" s="135"/>
      <c r="FX187" s="135"/>
      <c r="FY187" s="134"/>
      <c r="FZ187" s="134"/>
      <c r="GA187" s="134"/>
      <c r="GB187" s="134"/>
      <c r="GC187" s="134"/>
      <c r="GD187" s="134"/>
      <c r="GE187" s="134"/>
      <c r="GF187" s="134"/>
      <c r="GG187" s="135"/>
      <c r="GH187" s="135"/>
      <c r="GI187" s="134"/>
      <c r="GJ187" s="134"/>
      <c r="GK187" s="134"/>
      <c r="GL187" s="134"/>
      <c r="GM187" s="134"/>
      <c r="GN187" s="134"/>
      <c r="GO187" s="134"/>
      <c r="GP187" s="134"/>
      <c r="GQ187" s="135"/>
      <c r="GR187" s="135"/>
      <c r="GS187" s="134"/>
      <c r="GT187" s="134"/>
      <c r="GU187" s="134"/>
      <c r="GV187" s="134"/>
      <c r="GW187" s="134"/>
      <c r="GX187" s="134"/>
      <c r="GY187" s="134"/>
      <c r="GZ187" s="134"/>
      <c r="HA187" s="135"/>
      <c r="HB187" s="135"/>
      <c r="HC187" s="134"/>
      <c r="HD187" s="134"/>
      <c r="HE187" s="134"/>
      <c r="HF187" s="134"/>
      <c r="HG187" s="134"/>
      <c r="HH187" s="134"/>
      <c r="HI187" s="134"/>
      <c r="HJ187" s="134"/>
      <c r="HK187" s="135"/>
      <c r="HL187" s="135"/>
      <c r="HM187" s="134"/>
      <c r="HN187" s="134"/>
      <c r="HO187" s="134"/>
      <c r="HP187" s="134"/>
      <c r="HQ187" s="134"/>
      <c r="HR187" s="134"/>
      <c r="HS187" s="134"/>
      <c r="HT187" s="134"/>
      <c r="HU187" s="135"/>
      <c r="HV187" s="135"/>
      <c r="HW187" s="134"/>
      <c r="HX187" s="134"/>
      <c r="HY187" s="134"/>
      <c r="HZ187" s="134"/>
      <c r="IA187" s="134"/>
      <c r="IB187" s="134"/>
      <c r="IC187" s="134"/>
      <c r="ID187" s="134"/>
      <c r="IE187" s="135"/>
      <c r="IF187" s="135"/>
      <c r="IG187" s="134"/>
      <c r="IH187" s="134"/>
      <c r="II187" s="134"/>
      <c r="IJ187" s="134"/>
      <c r="IK187" s="134"/>
      <c r="IL187" s="134"/>
      <c r="IM187" s="134"/>
      <c r="IN187" s="134"/>
      <c r="IO187" s="135"/>
      <c r="IP187" s="135"/>
      <c r="IQ187" s="134"/>
      <c r="IR187" s="134"/>
      <c r="IS187" s="134"/>
      <c r="IT187" s="134"/>
      <c r="IU187" s="134"/>
      <c r="IV187" s="134"/>
      <c r="IW187" s="134"/>
      <c r="IX187" s="134"/>
      <c r="IY187" s="135"/>
      <c r="IZ187" s="135"/>
    </row>
    <row r="188" spans="1:260" customFormat="1" ht="17" customHeight="1">
      <c r="A188" s="118" t="s">
        <v>148</v>
      </c>
      <c r="B188" s="381">
        <v>113</v>
      </c>
      <c r="C188" s="381">
        <v>26</v>
      </c>
      <c r="D188" s="381"/>
      <c r="E188" s="139" t="s">
        <v>1953</v>
      </c>
      <c r="F188" s="140" t="s">
        <v>2174</v>
      </c>
      <c r="G188" s="141">
        <v>2006</v>
      </c>
      <c r="H188" s="118">
        <v>16891562</v>
      </c>
      <c r="I188" s="118">
        <v>1</v>
      </c>
      <c r="J188" s="118"/>
      <c r="K188" s="118"/>
      <c r="L188" s="118">
        <v>1</v>
      </c>
      <c r="M188" s="118"/>
      <c r="N188" s="118">
        <v>1</v>
      </c>
      <c r="O188" s="142">
        <v>1</v>
      </c>
      <c r="P188" s="118" t="s">
        <v>457</v>
      </c>
      <c r="Q188" s="118" t="s">
        <v>1147</v>
      </c>
      <c r="R188" s="118" t="s">
        <v>459</v>
      </c>
      <c r="S188" s="118">
        <v>0</v>
      </c>
      <c r="T188" s="118"/>
      <c r="U188" s="118"/>
      <c r="V188" s="118"/>
      <c r="W188" s="118" t="s">
        <v>458</v>
      </c>
      <c r="X188" s="118"/>
      <c r="Y188" s="118"/>
      <c r="Z188" s="118"/>
      <c r="AA188" s="118"/>
      <c r="AB188" s="118"/>
      <c r="AC188" s="145"/>
      <c r="AD188" s="573">
        <v>1</v>
      </c>
      <c r="AE188" s="573">
        <v>2</v>
      </c>
      <c r="AF188" s="472" t="s">
        <v>3003</v>
      </c>
      <c r="AG188" s="473" t="s">
        <v>4415</v>
      </c>
      <c r="AH188" s="122" t="s">
        <v>4367</v>
      </c>
      <c r="AI188" s="485"/>
      <c r="AJ188" s="474" t="s">
        <v>4413</v>
      </c>
      <c r="AK188" s="192" t="s">
        <v>4372</v>
      </c>
      <c r="AL188" s="205" t="s">
        <v>24</v>
      </c>
      <c r="AM188" s="122">
        <f>30+20+15</f>
        <v>65</v>
      </c>
      <c r="AN188" s="122">
        <v>30</v>
      </c>
      <c r="AO188" s="122" t="s">
        <v>4369</v>
      </c>
      <c r="AP188" s="122" t="s">
        <v>4373</v>
      </c>
      <c r="AQ188" s="122" t="s">
        <v>4373</v>
      </c>
      <c r="AR188" s="122" t="s">
        <v>4370</v>
      </c>
      <c r="AS188" s="122" t="s">
        <v>2882</v>
      </c>
      <c r="AT188" s="122" t="s">
        <v>4370</v>
      </c>
      <c r="AU188" s="122" t="s">
        <v>2882</v>
      </c>
      <c r="AV188" s="122" t="s">
        <v>4371</v>
      </c>
      <c r="AW188" s="122" t="s">
        <v>24</v>
      </c>
      <c r="AX188" s="122" t="s">
        <v>24</v>
      </c>
      <c r="AY188" s="122" t="s">
        <v>4374</v>
      </c>
      <c r="AZ188" s="121" t="s">
        <v>5116</v>
      </c>
      <c r="BA188" s="475" t="s">
        <v>4366</v>
      </c>
      <c r="BB188" s="475"/>
      <c r="BC188" s="475"/>
      <c r="BD188" s="161"/>
      <c r="BE188" s="161"/>
      <c r="BF188" s="161"/>
      <c r="BG188" s="161"/>
      <c r="BH188" s="161"/>
      <c r="BI188" s="161"/>
      <c r="BJ188" s="161">
        <v>1</v>
      </c>
      <c r="BK188" s="161"/>
      <c r="BL188" s="161"/>
      <c r="BM188" s="161"/>
      <c r="BN188" s="161"/>
      <c r="BO188" s="161"/>
      <c r="BP188" s="161"/>
      <c r="BQ188" s="162" t="s">
        <v>4378</v>
      </c>
      <c r="BR188" s="150" t="s">
        <v>1876</v>
      </c>
      <c r="BS188" s="150">
        <v>3</v>
      </c>
      <c r="BT188" s="150" t="s">
        <v>4409</v>
      </c>
      <c r="BU188" s="150" t="s">
        <v>24</v>
      </c>
      <c r="BV188" s="150"/>
      <c r="BW188" s="258" t="s">
        <v>24</v>
      </c>
      <c r="BX188" s="151"/>
      <c r="BY188" s="150"/>
      <c r="BZ188" s="150"/>
      <c r="CA188" s="150"/>
      <c r="CB188" s="151"/>
      <c r="CC188" s="150"/>
      <c r="CD188" s="150"/>
      <c r="CE188" s="150"/>
      <c r="CF188" s="290"/>
      <c r="CG188" s="291"/>
      <c r="CH188" s="150"/>
      <c r="CI188" s="150"/>
      <c r="CJ188" s="228"/>
      <c r="CK188" s="150"/>
      <c r="CL188" s="151"/>
      <c r="CM188" s="150"/>
      <c r="CN188" s="150"/>
      <c r="CO188" s="150"/>
      <c r="CP188" s="290"/>
      <c r="CQ188" s="291"/>
      <c r="CR188" s="278"/>
      <c r="CS188" s="285"/>
      <c r="CT188" s="151"/>
      <c r="CU188" s="150"/>
      <c r="CV188" s="150"/>
      <c r="CW188" s="150"/>
      <c r="CX188" s="150"/>
      <c r="CY188" s="150"/>
      <c r="CZ188" s="150"/>
      <c r="DA188" s="150"/>
      <c r="DB188" s="302"/>
      <c r="DC188" s="303"/>
      <c r="DD188" s="150"/>
      <c r="DE188" s="150"/>
      <c r="DF188" s="150"/>
      <c r="DG188" s="150"/>
      <c r="DH188" s="150"/>
      <c r="DI188" s="150"/>
      <c r="DJ188" s="150"/>
      <c r="DK188" s="150"/>
      <c r="DL188" s="302"/>
      <c r="DM188" s="303"/>
      <c r="DN188" s="278"/>
      <c r="DO188" s="279"/>
      <c r="DP188" s="150"/>
      <c r="DQ188" s="150"/>
      <c r="DR188" s="150"/>
      <c r="DS188" s="150"/>
      <c r="DT188" s="151"/>
      <c r="DU188" s="150"/>
      <c r="DV188" s="150"/>
      <c r="DW188" s="150"/>
      <c r="DX188" s="303"/>
      <c r="DY188" s="303"/>
      <c r="DZ188" s="151"/>
      <c r="EA188" s="150"/>
      <c r="EB188" s="150"/>
      <c r="EC188" s="150"/>
      <c r="ED188" s="151"/>
      <c r="EE188" s="150"/>
      <c r="EF188" s="150"/>
      <c r="EG188" s="150"/>
      <c r="EH188" s="303"/>
      <c r="EI188" s="303"/>
      <c r="EJ188" s="279"/>
      <c r="EK188" s="150"/>
      <c r="EL188" s="150"/>
      <c r="EM188" s="150"/>
      <c r="EN188" s="150"/>
      <c r="EO188" s="150"/>
      <c r="EP188" s="150"/>
      <c r="EQ188" s="150"/>
      <c r="ER188" s="150"/>
      <c r="ES188" s="303"/>
      <c r="ET188" s="303"/>
      <c r="EU188" s="150"/>
      <c r="EV188" s="150"/>
      <c r="EW188" s="150"/>
      <c r="EX188" s="150"/>
      <c r="EY188" s="134"/>
      <c r="EZ188" s="134"/>
      <c r="FA188" s="134"/>
      <c r="FB188" s="134"/>
      <c r="FC188" s="135"/>
      <c r="FD188" s="135"/>
      <c r="FE188" s="134"/>
      <c r="FF188" s="134"/>
      <c r="FG188" s="134"/>
      <c r="FH188" s="134"/>
      <c r="FI188" s="134"/>
      <c r="FJ188" s="134"/>
      <c r="FK188" s="134"/>
      <c r="FL188" s="134"/>
      <c r="FM188" s="135"/>
      <c r="FN188" s="135"/>
      <c r="FO188" s="134"/>
      <c r="FP188" s="134"/>
      <c r="FQ188" s="134"/>
      <c r="FR188" s="134"/>
      <c r="FS188" s="134"/>
      <c r="FT188" s="134"/>
      <c r="FU188" s="134"/>
      <c r="FV188" s="134"/>
      <c r="FW188" s="135"/>
      <c r="FX188" s="135"/>
      <c r="FY188" s="134"/>
      <c r="FZ188" s="134"/>
      <c r="GA188" s="134"/>
      <c r="GB188" s="134"/>
      <c r="GC188" s="134"/>
      <c r="GD188" s="134"/>
      <c r="GE188" s="134"/>
      <c r="GF188" s="134"/>
      <c r="GG188" s="135"/>
      <c r="GH188" s="135"/>
      <c r="GI188" s="134"/>
      <c r="GJ188" s="134"/>
      <c r="GK188" s="134"/>
      <c r="GL188" s="134"/>
      <c r="GM188" s="134"/>
      <c r="GN188" s="134"/>
      <c r="GO188" s="134"/>
      <c r="GP188" s="134"/>
      <c r="GQ188" s="135"/>
      <c r="GR188" s="135"/>
      <c r="GS188" s="134"/>
      <c r="GT188" s="134"/>
      <c r="GU188" s="134"/>
      <c r="GV188" s="134"/>
      <c r="GW188" s="134"/>
      <c r="GX188" s="134"/>
      <c r="GY188" s="134"/>
      <c r="GZ188" s="134"/>
      <c r="HA188" s="135"/>
      <c r="HB188" s="135"/>
      <c r="HC188" s="134"/>
      <c r="HD188" s="134"/>
      <c r="HE188" s="134"/>
      <c r="HF188" s="134"/>
      <c r="HG188" s="134"/>
      <c r="HH188" s="134"/>
      <c r="HI188" s="134"/>
      <c r="HJ188" s="134"/>
      <c r="HK188" s="135"/>
      <c r="HL188" s="135"/>
      <c r="HM188" s="134"/>
      <c r="HN188" s="134"/>
      <c r="HO188" s="134"/>
      <c r="HP188" s="134"/>
      <c r="HQ188" s="134"/>
      <c r="HR188" s="134"/>
      <c r="HS188" s="134"/>
      <c r="HT188" s="134"/>
      <c r="HU188" s="135"/>
      <c r="HV188" s="135"/>
      <c r="HW188" s="134"/>
      <c r="HX188" s="134"/>
      <c r="HY188" s="134"/>
      <c r="HZ188" s="134"/>
      <c r="IA188" s="134"/>
      <c r="IB188" s="134"/>
      <c r="IC188" s="134"/>
      <c r="ID188" s="134"/>
      <c r="IE188" s="135"/>
      <c r="IF188" s="135"/>
      <c r="IG188" s="134"/>
      <c r="IH188" s="134"/>
      <c r="II188" s="134"/>
      <c r="IJ188" s="134"/>
      <c r="IK188" s="134"/>
      <c r="IL188" s="134"/>
      <c r="IM188" s="134"/>
      <c r="IN188" s="134"/>
      <c r="IO188" s="135"/>
      <c r="IP188" s="135"/>
      <c r="IQ188" s="134"/>
      <c r="IR188" s="134"/>
      <c r="IS188" s="134"/>
      <c r="IT188" s="134"/>
      <c r="IU188" s="134"/>
      <c r="IV188" s="134"/>
      <c r="IW188" s="134"/>
      <c r="IX188" s="134"/>
      <c r="IY188" s="135"/>
      <c r="IZ188" s="135"/>
    </row>
    <row r="189" spans="1:260" customFormat="1" ht="17" customHeight="1">
      <c r="A189" s="79" t="s">
        <v>1063</v>
      </c>
      <c r="B189" s="117">
        <v>114</v>
      </c>
      <c r="C189" s="117">
        <v>27</v>
      </c>
      <c r="D189" s="117"/>
      <c r="E189" s="123" t="s">
        <v>2071</v>
      </c>
      <c r="F189" s="124" t="s">
        <v>2323</v>
      </c>
      <c r="G189" s="125">
        <v>2012</v>
      </c>
      <c r="H189" s="79">
        <v>22701407</v>
      </c>
      <c r="I189" s="79">
        <v>1</v>
      </c>
      <c r="J189" s="126"/>
      <c r="K189" s="127"/>
      <c r="L189" s="79">
        <v>1</v>
      </c>
      <c r="M189" s="79"/>
      <c r="N189" s="79">
        <v>1</v>
      </c>
      <c r="O189" s="128">
        <v>2</v>
      </c>
      <c r="P189" s="79" t="s">
        <v>1258</v>
      </c>
      <c r="Q189" s="79" t="s">
        <v>1147</v>
      </c>
      <c r="R189" s="79" t="s">
        <v>1321</v>
      </c>
      <c r="S189" s="79"/>
      <c r="T189" s="79" t="s">
        <v>1495</v>
      </c>
      <c r="U189" s="79"/>
      <c r="V189" s="79"/>
      <c r="W189" s="79" t="s">
        <v>1681</v>
      </c>
      <c r="X189" s="79"/>
      <c r="Y189" s="79"/>
      <c r="Z189" s="79"/>
      <c r="AA189" s="79"/>
      <c r="AB189" s="79"/>
      <c r="AC189" s="506"/>
      <c r="AD189" s="573">
        <v>1</v>
      </c>
      <c r="AE189" s="573">
        <v>2</v>
      </c>
      <c r="AF189" s="154">
        <v>1</v>
      </c>
      <c r="AG189" s="155" t="s">
        <v>4474</v>
      </c>
      <c r="AH189" s="121">
        <v>4</v>
      </c>
      <c r="AI189" s="484"/>
      <c r="AJ189" s="202" t="s">
        <v>4431</v>
      </c>
      <c r="AK189" s="192" t="s">
        <v>4435</v>
      </c>
      <c r="AL189" s="203" t="s">
        <v>24</v>
      </c>
      <c r="AM189" s="121">
        <v>31</v>
      </c>
      <c r="AN189" s="121">
        <v>12</v>
      </c>
      <c r="AO189" s="121">
        <f>Table665[[#This Row],[Subjects_n]]-Table665[[#This Row],[Subjects_n_ptsd]]</f>
        <v>19</v>
      </c>
      <c r="AP189" s="121" t="s">
        <v>803</v>
      </c>
      <c r="AQ189" s="121" t="s">
        <v>803</v>
      </c>
      <c r="AR189" s="121" t="s">
        <v>24</v>
      </c>
      <c r="AS189" s="121" t="s">
        <v>24</v>
      </c>
      <c r="AT189" s="121" t="s">
        <v>24</v>
      </c>
      <c r="AU189" s="121" t="s">
        <v>24</v>
      </c>
      <c r="AV189" s="121" t="s">
        <v>4423</v>
      </c>
      <c r="AW189" s="121">
        <v>1</v>
      </c>
      <c r="AX189" s="121">
        <v>1</v>
      </c>
      <c r="AY189" s="121" t="s">
        <v>4422</v>
      </c>
      <c r="AZ189" s="121" t="s">
        <v>1321</v>
      </c>
      <c r="BA189" s="121" t="s">
        <v>4421</v>
      </c>
      <c r="BB189" s="121"/>
      <c r="BC189" s="121"/>
      <c r="BD189" s="156"/>
      <c r="BE189" s="156"/>
      <c r="BF189" s="156"/>
      <c r="BG189" s="156"/>
      <c r="BH189" s="156"/>
      <c r="BI189" s="156"/>
      <c r="BJ189" s="156">
        <v>1</v>
      </c>
      <c r="BK189" s="156"/>
      <c r="BL189" s="156"/>
      <c r="BM189" s="156"/>
      <c r="BN189" s="156"/>
      <c r="BO189" s="156"/>
      <c r="BP189" s="156"/>
      <c r="BQ189" s="157" t="s">
        <v>4417</v>
      </c>
      <c r="BR189" s="134" t="s">
        <v>1876</v>
      </c>
      <c r="BS189" s="134">
        <v>2</v>
      </c>
      <c r="BT189" s="134" t="s">
        <v>4420</v>
      </c>
      <c r="BU189" s="134" t="s">
        <v>4416</v>
      </c>
      <c r="BV189" s="134" t="s">
        <v>4430</v>
      </c>
      <c r="BW189" s="259" t="s">
        <v>4471</v>
      </c>
      <c r="BX189" s="138" t="s">
        <v>4424</v>
      </c>
      <c r="BY189" s="134">
        <v>41.484499999999997</v>
      </c>
      <c r="BZ189" s="134" t="s">
        <v>3228</v>
      </c>
      <c r="CA189" s="134">
        <f>45.1904-Table665[[#This Row],[Outcome1_M]]</f>
        <v>3.7058999999999997</v>
      </c>
      <c r="CB189" s="138" t="s">
        <v>4427</v>
      </c>
      <c r="CC189" s="134">
        <v>41.832000000000001</v>
      </c>
      <c r="CD189" s="134" t="s">
        <v>3228</v>
      </c>
      <c r="CE189" s="134">
        <f>44.6555-Table665[[#This Row],[Outcome2_M]]</f>
        <v>2.8235000000000028</v>
      </c>
      <c r="CF189" s="288" t="s">
        <v>4432</v>
      </c>
      <c r="CG189" s="404" t="s">
        <v>4434</v>
      </c>
      <c r="CH189" s="138" t="s">
        <v>4436</v>
      </c>
      <c r="CI189" s="134">
        <v>5.8052599999999996</v>
      </c>
      <c r="CJ189" s="134"/>
      <c r="CK189" s="134">
        <f>8.16511-Table665[[#This Row],[Outcome3_M]]</f>
        <v>2.3598500000000007</v>
      </c>
      <c r="CL189" s="138" t="s">
        <v>4437</v>
      </c>
      <c r="CM189" s="134">
        <v>6.1040999999999999</v>
      </c>
      <c r="CN189" s="134"/>
      <c r="CO189" s="134">
        <f>7.40207-Table665[[#This Row],[Outcome4_M]]</f>
        <v>1.2979700000000003</v>
      </c>
      <c r="CP189" s="288" t="s">
        <v>24</v>
      </c>
      <c r="CQ189" s="289" t="s">
        <v>24</v>
      </c>
      <c r="CR189" s="276" t="s">
        <v>24</v>
      </c>
      <c r="CS189" s="308" t="s">
        <v>24</v>
      </c>
      <c r="CT189" s="138" t="s">
        <v>4442</v>
      </c>
      <c r="CU189" s="134">
        <v>2.0281799999999999</v>
      </c>
      <c r="CV189" s="134"/>
      <c r="CW189" s="134">
        <f>3.03109-Table665[[#This Row],[Outcome5_M]]</f>
        <v>1.00291</v>
      </c>
      <c r="CX189" s="138" t="s">
        <v>4446</v>
      </c>
      <c r="CY189" s="134">
        <v>3.2709000000000001</v>
      </c>
      <c r="CZ189" s="134"/>
      <c r="DA189" s="134">
        <f>4.45091-Table665[[#This Row],[Outcome6_M]]</f>
        <v>1.1800100000000002</v>
      </c>
      <c r="DB189" s="300" t="s">
        <v>24</v>
      </c>
      <c r="DC189" s="301" t="s">
        <v>24</v>
      </c>
      <c r="DD189" s="138" t="s">
        <v>4448</v>
      </c>
      <c r="DE189" s="134">
        <v>3.3529399999999998</v>
      </c>
      <c r="DF189" s="134"/>
      <c r="DG189" s="134">
        <f>4.41176-Table665[[#This Row],[Outcome7_M]]</f>
        <v>1.0588200000000003</v>
      </c>
      <c r="DH189" s="138" t="s">
        <v>4451</v>
      </c>
      <c r="DI189" s="134">
        <v>3.26471</v>
      </c>
      <c r="DJ189" s="168"/>
      <c r="DK189" s="134">
        <f>4.32353-Table665[[#This Row],[Outcome8_M]]</f>
        <v>1.0588199999999999</v>
      </c>
      <c r="DL189" s="300" t="s">
        <v>24</v>
      </c>
      <c r="DM189" s="301" t="s">
        <v>24</v>
      </c>
      <c r="DN189" s="276" t="s">
        <v>24</v>
      </c>
      <c r="DO189" s="277" t="s">
        <v>24</v>
      </c>
      <c r="DP189" s="138" t="s">
        <v>4454</v>
      </c>
      <c r="DQ189" s="134">
        <v>1.7941199999999999</v>
      </c>
      <c r="DR189" s="134"/>
      <c r="DS189" s="134">
        <f>2.29412-Table665[[#This Row],[Outcome9_M]]</f>
        <v>0.5</v>
      </c>
      <c r="DT189" s="138" t="s">
        <v>4457</v>
      </c>
      <c r="DU189" s="134">
        <v>2.0588199999999999</v>
      </c>
      <c r="DV189" s="134"/>
      <c r="DW189" s="480">
        <f>2.26471-Table665[[#This Row],[Outcome10_M]]</f>
        <v>0.20589000000000013</v>
      </c>
      <c r="DX189" s="408" t="s">
        <v>4461</v>
      </c>
      <c r="DY189" s="408" t="s">
        <v>4462</v>
      </c>
      <c r="DZ189" s="138" t="s">
        <v>4463</v>
      </c>
      <c r="EA189" s="134">
        <v>0.158444</v>
      </c>
      <c r="EB189" s="168"/>
      <c r="EC189" s="134">
        <f>0.352598-Table665[[#This Row],[Outcome11_M]]</f>
        <v>0.19415400000000002</v>
      </c>
      <c r="ED189" s="138" t="s">
        <v>4466</v>
      </c>
      <c r="EE189" s="134">
        <v>0.326683</v>
      </c>
      <c r="EF189" s="134"/>
      <c r="EG189" s="134">
        <f>0.495069-Table665[[#This Row],[Outcome12_M]]</f>
        <v>0.16838599999999998</v>
      </c>
      <c r="EH189" s="301" t="s">
        <v>3229</v>
      </c>
      <c r="EI189" s="301"/>
      <c r="EJ189" s="277"/>
      <c r="EK189" s="134"/>
      <c r="EL189" s="134"/>
      <c r="EM189" s="134"/>
      <c r="EN189" s="134"/>
      <c r="EO189" s="134"/>
      <c r="EP189" s="134"/>
      <c r="EQ189" s="134"/>
      <c r="ER189" s="134"/>
      <c r="ES189" s="301"/>
      <c r="ET189" s="301"/>
      <c r="EU189" s="134"/>
      <c r="EV189" s="134"/>
      <c r="EW189" s="134"/>
      <c r="EX189" s="134"/>
      <c r="EY189" s="134"/>
      <c r="EZ189" s="134"/>
      <c r="FA189" s="134"/>
      <c r="FB189" s="134"/>
      <c r="FC189" s="135"/>
      <c r="FD189" s="135"/>
      <c r="FE189" s="134"/>
      <c r="FF189" s="134"/>
      <c r="FG189" s="134"/>
      <c r="FH189" s="134"/>
      <c r="FI189" s="134"/>
      <c r="FJ189" s="134"/>
      <c r="FK189" s="134"/>
      <c r="FL189" s="134"/>
      <c r="FM189" s="135"/>
      <c r="FN189" s="135"/>
      <c r="FO189" s="134"/>
      <c r="FP189" s="134"/>
      <c r="FQ189" s="134"/>
      <c r="FR189" s="134"/>
      <c r="FS189" s="134"/>
      <c r="FT189" s="134"/>
      <c r="FU189" s="134"/>
      <c r="FV189" s="134"/>
      <c r="FW189" s="135"/>
      <c r="FX189" s="135"/>
      <c r="FY189" s="134"/>
      <c r="FZ189" s="134"/>
      <c r="GA189" s="134"/>
      <c r="GB189" s="134"/>
      <c r="GC189" s="134"/>
      <c r="GD189" s="134"/>
      <c r="GE189" s="134"/>
      <c r="GF189" s="134"/>
      <c r="GG189" s="135"/>
      <c r="GH189" s="135"/>
      <c r="GI189" s="134"/>
      <c r="GJ189" s="134"/>
      <c r="GK189" s="134"/>
      <c r="GL189" s="134"/>
      <c r="GM189" s="134"/>
      <c r="GN189" s="134"/>
      <c r="GO189" s="134"/>
      <c r="GP189" s="134"/>
      <c r="GQ189" s="135"/>
      <c r="GR189" s="135"/>
      <c r="GS189" s="134"/>
      <c r="GT189" s="134"/>
      <c r="GU189" s="134"/>
      <c r="GV189" s="134"/>
      <c r="GW189" s="134"/>
      <c r="GX189" s="134"/>
      <c r="GY189" s="134"/>
      <c r="GZ189" s="134"/>
      <c r="HA189" s="135"/>
      <c r="HB189" s="135"/>
      <c r="HC189" s="134"/>
      <c r="HD189" s="134"/>
      <c r="HE189" s="134"/>
      <c r="HF189" s="134"/>
      <c r="HG189" s="134"/>
      <c r="HH189" s="134"/>
      <c r="HI189" s="134"/>
      <c r="HJ189" s="134"/>
      <c r="HK189" s="135"/>
      <c r="HL189" s="135"/>
      <c r="HM189" s="134"/>
      <c r="HN189" s="134"/>
      <c r="HO189" s="134"/>
      <c r="HP189" s="134"/>
      <c r="HQ189" s="134"/>
      <c r="HR189" s="134"/>
      <c r="HS189" s="134"/>
      <c r="HT189" s="134"/>
      <c r="HU189" s="135"/>
      <c r="HV189" s="135"/>
      <c r="HW189" s="134"/>
      <c r="HX189" s="134"/>
      <c r="HY189" s="134"/>
      <c r="HZ189" s="134"/>
      <c r="IA189" s="134"/>
      <c r="IB189" s="134"/>
      <c r="IC189" s="134"/>
      <c r="ID189" s="134"/>
      <c r="IE189" s="135"/>
      <c r="IF189" s="135"/>
      <c r="IG189" s="134"/>
      <c r="IH189" s="134"/>
      <c r="II189" s="134"/>
      <c r="IJ189" s="134"/>
      <c r="IK189" s="134"/>
      <c r="IL189" s="134"/>
      <c r="IM189" s="134"/>
      <c r="IN189" s="134"/>
      <c r="IO189" s="135"/>
      <c r="IP189" s="135"/>
      <c r="IQ189" s="134"/>
      <c r="IR189" s="134"/>
      <c r="IS189" s="134"/>
      <c r="IT189" s="134"/>
      <c r="IU189" s="134"/>
      <c r="IV189" s="134"/>
      <c r="IW189" s="134"/>
      <c r="IX189" s="134"/>
      <c r="IY189" s="135"/>
      <c r="IZ189" s="135"/>
    </row>
    <row r="190" spans="1:260" customFormat="1" ht="17" customHeight="1">
      <c r="A190" s="118" t="s">
        <v>1063</v>
      </c>
      <c r="B190" s="381">
        <v>114</v>
      </c>
      <c r="C190" s="381">
        <v>27</v>
      </c>
      <c r="D190" s="381"/>
      <c r="E190" s="139" t="s">
        <v>2071</v>
      </c>
      <c r="F190" s="140" t="s">
        <v>2323</v>
      </c>
      <c r="G190" s="141">
        <v>2012</v>
      </c>
      <c r="H190" s="118">
        <v>22701407</v>
      </c>
      <c r="I190" s="118">
        <v>1</v>
      </c>
      <c r="J190" s="118"/>
      <c r="K190" s="118"/>
      <c r="L190" s="118">
        <v>1</v>
      </c>
      <c r="M190" s="118"/>
      <c r="N190" s="118">
        <v>1</v>
      </c>
      <c r="O190" s="142">
        <v>2</v>
      </c>
      <c r="P190" s="118" t="s">
        <v>1258</v>
      </c>
      <c r="Q190" s="118" t="s">
        <v>1147</v>
      </c>
      <c r="R190" s="118" t="s">
        <v>1321</v>
      </c>
      <c r="S190" s="118"/>
      <c r="T190" s="118" t="s">
        <v>1495</v>
      </c>
      <c r="U190" s="118"/>
      <c r="V190" s="118"/>
      <c r="W190" s="118" t="s">
        <v>1681</v>
      </c>
      <c r="X190" s="118"/>
      <c r="Y190" s="118"/>
      <c r="Z190" s="118"/>
      <c r="AA190" s="118"/>
      <c r="AB190" s="118"/>
      <c r="AC190" s="145"/>
      <c r="AD190" s="573">
        <v>1</v>
      </c>
      <c r="AE190" s="573">
        <v>2</v>
      </c>
      <c r="AF190" s="159">
        <v>1</v>
      </c>
      <c r="AG190" s="160" t="s">
        <v>4474</v>
      </c>
      <c r="AH190" s="122">
        <v>4</v>
      </c>
      <c r="AI190" s="485"/>
      <c r="AJ190" s="204" t="s">
        <v>4431</v>
      </c>
      <c r="AK190" s="192" t="s">
        <v>4435</v>
      </c>
      <c r="AL190" s="205" t="s">
        <v>24</v>
      </c>
      <c r="AM190" s="122">
        <v>36</v>
      </c>
      <c r="AN190" s="122">
        <v>9</v>
      </c>
      <c r="AO190" s="122">
        <f>Table665[[#This Row],[Subjects_n]]-Table665[[#This Row],[Subjects_n_ptsd]]</f>
        <v>27</v>
      </c>
      <c r="AP190" s="122" t="s">
        <v>803</v>
      </c>
      <c r="AQ190" s="122" t="s">
        <v>803</v>
      </c>
      <c r="AR190" s="122" t="s">
        <v>24</v>
      </c>
      <c r="AS190" s="122" t="s">
        <v>24</v>
      </c>
      <c r="AT190" s="122" t="s">
        <v>24</v>
      </c>
      <c r="AU190" s="122" t="s">
        <v>24</v>
      </c>
      <c r="AV190" s="122" t="s">
        <v>4423</v>
      </c>
      <c r="AW190" s="122">
        <v>1</v>
      </c>
      <c r="AX190" s="122">
        <v>1</v>
      </c>
      <c r="AY190" s="122" t="s">
        <v>4422</v>
      </c>
      <c r="AZ190" s="122" t="s">
        <v>1321</v>
      </c>
      <c r="BA190" s="122" t="s">
        <v>4421</v>
      </c>
      <c r="BB190" s="122"/>
      <c r="BC190" s="122"/>
      <c r="BD190" s="161"/>
      <c r="BE190" s="161"/>
      <c r="BF190" s="161"/>
      <c r="BG190" s="161"/>
      <c r="BH190" s="161"/>
      <c r="BI190" s="161"/>
      <c r="BJ190" s="161">
        <v>1</v>
      </c>
      <c r="BK190" s="161"/>
      <c r="BL190" s="161"/>
      <c r="BM190" s="161"/>
      <c r="BN190" s="161"/>
      <c r="BO190" s="161"/>
      <c r="BP190" s="161"/>
      <c r="BQ190" s="162" t="s">
        <v>4418</v>
      </c>
      <c r="BR190" s="150" t="s">
        <v>1876</v>
      </c>
      <c r="BS190" s="150">
        <v>2</v>
      </c>
      <c r="BT190" s="150" t="s">
        <v>4537</v>
      </c>
      <c r="BU190" s="150" t="s">
        <v>4416</v>
      </c>
      <c r="BV190" s="150" t="s">
        <v>4430</v>
      </c>
      <c r="BW190" s="258" t="s">
        <v>4472</v>
      </c>
      <c r="BX190" s="151" t="s">
        <v>4425</v>
      </c>
      <c r="BY190" s="150">
        <v>41.153799999999997</v>
      </c>
      <c r="BZ190" s="150" t="s">
        <v>3228</v>
      </c>
      <c r="CA190" s="150">
        <f>47.8596-Table665[[#This Row],[Outcome1_M]]</f>
        <v>6.7058000000000035</v>
      </c>
      <c r="CB190" s="151" t="s">
        <v>4428</v>
      </c>
      <c r="CC190" s="150">
        <v>54.736400000000003</v>
      </c>
      <c r="CD190" s="150" t="s">
        <v>3228</v>
      </c>
      <c r="CE190" s="150">
        <f>58.9717-Table665[[#This Row],[Outcome2_M]]</f>
        <v>4.2352999999999952</v>
      </c>
      <c r="CF190" s="290" t="s">
        <v>4432</v>
      </c>
      <c r="CG190" s="291" t="s">
        <v>4434</v>
      </c>
      <c r="CH190" s="151" t="s">
        <v>4440</v>
      </c>
      <c r="CI190" s="150">
        <v>7.9189400000000001</v>
      </c>
      <c r="CJ190" s="150"/>
      <c r="CK190" s="150">
        <f>10.0134-Table665[[#This Row],[Outcome3_M]]</f>
        <v>2.0944600000000007</v>
      </c>
      <c r="CL190" s="151" t="s">
        <v>4438</v>
      </c>
      <c r="CM190" s="150">
        <v>7.3917900000000003</v>
      </c>
      <c r="CN190" s="150"/>
      <c r="CO190" s="150">
        <f>8.18825-Table665[[#This Row],[Outcome4_M]]</f>
        <v>0.79645999999999972</v>
      </c>
      <c r="CP190" s="290"/>
      <c r="CQ190" s="291"/>
      <c r="CR190" s="278"/>
      <c r="CS190" s="285"/>
      <c r="CT190" s="151" t="s">
        <v>4443</v>
      </c>
      <c r="CU190" s="150">
        <v>3.6993499999999999</v>
      </c>
      <c r="CV190" s="150"/>
      <c r="CW190" s="150">
        <f>4.58427-Table665[[#This Row],[Outcome5_M]]</f>
        <v>0.88492000000000015</v>
      </c>
      <c r="CX190" s="151" t="s">
        <v>4447</v>
      </c>
      <c r="CY190" s="150">
        <v>5.5321400000000001</v>
      </c>
      <c r="CZ190" s="150"/>
      <c r="DA190" s="150">
        <f>6.2991-Table665[[#This Row],[Outcome6_M]]</f>
        <v>0.76696000000000009</v>
      </c>
      <c r="DB190" s="302"/>
      <c r="DC190" s="303"/>
      <c r="DD190" s="151" t="s">
        <v>4449</v>
      </c>
      <c r="DE190" s="150">
        <v>4.0882399999999999</v>
      </c>
      <c r="DF190" s="150"/>
      <c r="DG190" s="150">
        <f>4.67647-Table665[[#This Row],[Outcome7_M]]</f>
        <v>0.58823000000000025</v>
      </c>
      <c r="DH190" s="151" t="s">
        <v>4452</v>
      </c>
      <c r="DI190" s="150">
        <v>4.23529</v>
      </c>
      <c r="DJ190" s="228"/>
      <c r="DK190" s="150">
        <f>4.73529-Table665[[#This Row],[Outcome8_M]]</f>
        <v>0.5</v>
      </c>
      <c r="DL190" s="302"/>
      <c r="DM190" s="303"/>
      <c r="DN190" s="278"/>
      <c r="DO190" s="279"/>
      <c r="DP190" s="151" t="s">
        <v>4455</v>
      </c>
      <c r="DQ190" s="150">
        <v>3.3823500000000002</v>
      </c>
      <c r="DR190" s="150"/>
      <c r="DS190" s="150">
        <f>4.26471-Table665[[#This Row],[Outcome9_M]]</f>
        <v>0.88235999999999981</v>
      </c>
      <c r="DT190" s="151" t="s">
        <v>4458</v>
      </c>
      <c r="DU190" s="150">
        <v>3.5</v>
      </c>
      <c r="DV190" s="150"/>
      <c r="DW190" s="555">
        <f>4.11765-Table665[[#This Row],[Outcome10_M]]</f>
        <v>0.61765000000000025</v>
      </c>
      <c r="DX190" s="303" t="s">
        <v>4461</v>
      </c>
      <c r="DY190" s="303" t="s">
        <v>4460</v>
      </c>
      <c r="DZ190" s="151" t="s">
        <v>4464</v>
      </c>
      <c r="EA190" s="150">
        <v>0.25952799999999998</v>
      </c>
      <c r="EB190" s="150"/>
      <c r="EC190" s="150">
        <f>0.355747-Table665[[#This Row],[Outcome11_M]]</f>
        <v>9.6218999999999999E-2</v>
      </c>
      <c r="ED190" s="151" t="s">
        <v>4467</v>
      </c>
      <c r="EE190" s="150">
        <v>0.25079299999999999</v>
      </c>
      <c r="EF190" s="150"/>
      <c r="EG190" s="150">
        <f>0.33069-Table665[[#This Row],[Outcome12_M]]</f>
        <v>7.9896999999999996E-2</v>
      </c>
      <c r="EH190" s="303" t="s">
        <v>3229</v>
      </c>
      <c r="EI190" s="303"/>
      <c r="EJ190" s="279"/>
      <c r="EK190" s="150"/>
      <c r="EL190" s="150"/>
      <c r="EM190" s="150"/>
      <c r="EN190" s="150"/>
      <c r="EO190" s="150"/>
      <c r="EP190" s="150"/>
      <c r="EQ190" s="150"/>
      <c r="ER190" s="150"/>
      <c r="ES190" s="303"/>
      <c r="ET190" s="303"/>
      <c r="EU190" s="150"/>
      <c r="EV190" s="150"/>
      <c r="EW190" s="150"/>
      <c r="EX190" s="150"/>
      <c r="EY190" s="134"/>
      <c r="EZ190" s="134"/>
      <c r="FA190" s="134"/>
      <c r="FB190" s="134"/>
      <c r="FC190" s="135"/>
      <c r="FD190" s="135"/>
      <c r="FE190" s="134"/>
      <c r="FF190" s="134"/>
      <c r="FG190" s="134"/>
      <c r="FH190" s="134"/>
      <c r="FI190" s="134"/>
      <c r="FJ190" s="134"/>
      <c r="FK190" s="134"/>
      <c r="FL190" s="134"/>
      <c r="FM190" s="135"/>
      <c r="FN190" s="135"/>
      <c r="FO190" s="134"/>
      <c r="FP190" s="134"/>
      <c r="FQ190" s="134"/>
      <c r="FR190" s="134"/>
      <c r="FS190" s="134"/>
      <c r="FT190" s="134"/>
      <c r="FU190" s="134"/>
      <c r="FV190" s="134"/>
      <c r="FW190" s="135"/>
      <c r="FX190" s="135"/>
      <c r="FY190" s="134"/>
      <c r="FZ190" s="134"/>
      <c r="GA190" s="134"/>
      <c r="GB190" s="134"/>
      <c r="GC190" s="134"/>
      <c r="GD190" s="134"/>
      <c r="GE190" s="134"/>
      <c r="GF190" s="134"/>
      <c r="GG190" s="135"/>
      <c r="GH190" s="135"/>
      <c r="GI190" s="134"/>
      <c r="GJ190" s="134"/>
      <c r="GK190" s="134"/>
      <c r="GL190" s="134"/>
      <c r="GM190" s="134"/>
      <c r="GN190" s="134"/>
      <c r="GO190" s="134"/>
      <c r="GP190" s="134"/>
      <c r="GQ190" s="135"/>
      <c r="GR190" s="135"/>
      <c r="GS190" s="134"/>
      <c r="GT190" s="134"/>
      <c r="GU190" s="134"/>
      <c r="GV190" s="134"/>
      <c r="GW190" s="134"/>
      <c r="GX190" s="134"/>
      <c r="GY190" s="134"/>
      <c r="GZ190" s="134"/>
      <c r="HA190" s="135"/>
      <c r="HB190" s="135"/>
      <c r="HC190" s="134"/>
      <c r="HD190" s="134"/>
      <c r="HE190" s="134"/>
      <c r="HF190" s="134"/>
      <c r="HG190" s="134"/>
      <c r="HH190" s="134"/>
      <c r="HI190" s="134"/>
      <c r="HJ190" s="134"/>
      <c r="HK190" s="135"/>
      <c r="HL190" s="135"/>
      <c r="HM190" s="134"/>
      <c r="HN190" s="134"/>
      <c r="HO190" s="134"/>
      <c r="HP190" s="134"/>
      <c r="HQ190" s="134"/>
      <c r="HR190" s="134"/>
      <c r="HS190" s="134"/>
      <c r="HT190" s="134"/>
      <c r="HU190" s="135"/>
      <c r="HV190" s="135"/>
      <c r="HW190" s="134"/>
      <c r="HX190" s="134"/>
      <c r="HY190" s="134"/>
      <c r="HZ190" s="134"/>
      <c r="IA190" s="134"/>
      <c r="IB190" s="134"/>
      <c r="IC190" s="134"/>
      <c r="ID190" s="134"/>
      <c r="IE190" s="135"/>
      <c r="IF190" s="135"/>
      <c r="IG190" s="134"/>
      <c r="IH190" s="134"/>
      <c r="II190" s="134"/>
      <c r="IJ190" s="134"/>
      <c r="IK190" s="134"/>
      <c r="IL190" s="134"/>
      <c r="IM190" s="134"/>
      <c r="IN190" s="134"/>
      <c r="IO190" s="135"/>
      <c r="IP190" s="135"/>
      <c r="IQ190" s="134"/>
      <c r="IR190" s="134"/>
      <c r="IS190" s="134"/>
      <c r="IT190" s="134"/>
      <c r="IU190" s="134"/>
      <c r="IV190" s="134"/>
      <c r="IW190" s="134"/>
      <c r="IX190" s="134"/>
      <c r="IY190" s="135"/>
      <c r="IZ190" s="135"/>
    </row>
    <row r="191" spans="1:260" customFormat="1" ht="17" customHeight="1">
      <c r="A191" s="118" t="s">
        <v>1063</v>
      </c>
      <c r="B191" s="381">
        <v>114</v>
      </c>
      <c r="C191" s="381">
        <v>27</v>
      </c>
      <c r="D191" s="381"/>
      <c r="E191" s="139" t="s">
        <v>2071</v>
      </c>
      <c r="F191" s="140" t="s">
        <v>2323</v>
      </c>
      <c r="G191" s="141">
        <v>2012</v>
      </c>
      <c r="H191" s="118">
        <v>22701407</v>
      </c>
      <c r="I191" s="118">
        <v>1</v>
      </c>
      <c r="J191" s="118"/>
      <c r="K191" s="118"/>
      <c r="L191" s="118">
        <v>1</v>
      </c>
      <c r="M191" s="118"/>
      <c r="N191" s="118">
        <v>1</v>
      </c>
      <c r="O191" s="142">
        <v>2</v>
      </c>
      <c r="P191" s="118" t="s">
        <v>1258</v>
      </c>
      <c r="Q191" s="118" t="s">
        <v>1147</v>
      </c>
      <c r="R191" s="118" t="s">
        <v>1321</v>
      </c>
      <c r="S191" s="118"/>
      <c r="T191" s="118" t="s">
        <v>1495</v>
      </c>
      <c r="U191" s="118"/>
      <c r="V191" s="118"/>
      <c r="W191" s="118" t="s">
        <v>1681</v>
      </c>
      <c r="X191" s="118"/>
      <c r="Y191" s="118"/>
      <c r="Z191" s="118"/>
      <c r="AA191" s="118"/>
      <c r="AB191" s="118"/>
      <c r="AC191" s="145"/>
      <c r="AD191" s="573">
        <v>1</v>
      </c>
      <c r="AE191" s="573">
        <v>2</v>
      </c>
      <c r="AF191" s="159">
        <v>1</v>
      </c>
      <c r="AG191" s="160" t="s">
        <v>4474</v>
      </c>
      <c r="AH191" s="122">
        <v>4</v>
      </c>
      <c r="AI191" s="485"/>
      <c r="AJ191" s="204" t="s">
        <v>4431</v>
      </c>
      <c r="AK191" s="192" t="s">
        <v>4435</v>
      </c>
      <c r="AL191" s="205" t="s">
        <v>24</v>
      </c>
      <c r="AM191" s="122">
        <v>48</v>
      </c>
      <c r="AN191" s="122">
        <v>12</v>
      </c>
      <c r="AO191" s="122">
        <f>Table665[[#This Row],[Subjects_n]]-Table665[[#This Row],[Subjects_n_ptsd]]</f>
        <v>36</v>
      </c>
      <c r="AP191" s="122" t="s">
        <v>803</v>
      </c>
      <c r="AQ191" s="122" t="s">
        <v>803</v>
      </c>
      <c r="AR191" s="122" t="s">
        <v>24</v>
      </c>
      <c r="AS191" s="122" t="s">
        <v>24</v>
      </c>
      <c r="AT191" s="122" t="s">
        <v>24</v>
      </c>
      <c r="AU191" s="122" t="s">
        <v>24</v>
      </c>
      <c r="AV191" s="122" t="s">
        <v>4423</v>
      </c>
      <c r="AW191" s="122">
        <v>1</v>
      </c>
      <c r="AX191" s="122">
        <v>1</v>
      </c>
      <c r="AY191" s="122" t="s">
        <v>4422</v>
      </c>
      <c r="AZ191" s="122" t="s">
        <v>1321</v>
      </c>
      <c r="BA191" s="122" t="s">
        <v>4421</v>
      </c>
      <c r="BB191" s="122"/>
      <c r="BC191" s="122"/>
      <c r="BD191" s="161"/>
      <c r="BE191" s="161"/>
      <c r="BF191" s="161"/>
      <c r="BG191" s="161"/>
      <c r="BH191" s="161"/>
      <c r="BI191" s="161"/>
      <c r="BJ191" s="161">
        <v>1</v>
      </c>
      <c r="BK191" s="161"/>
      <c r="BL191" s="161"/>
      <c r="BM191" s="161"/>
      <c r="BN191" s="161"/>
      <c r="BO191" s="161"/>
      <c r="BP191" s="161"/>
      <c r="BQ191" s="162" t="s">
        <v>4419</v>
      </c>
      <c r="BR191" s="150" t="s">
        <v>1876</v>
      </c>
      <c r="BS191" s="150">
        <v>2</v>
      </c>
      <c r="BT191" s="150" t="s">
        <v>4538</v>
      </c>
      <c r="BU191" s="150" t="s">
        <v>4416</v>
      </c>
      <c r="BV191" s="150" t="s">
        <v>4430</v>
      </c>
      <c r="BW191" s="262" t="s">
        <v>4473</v>
      </c>
      <c r="BX191" s="151" t="s">
        <v>4426</v>
      </c>
      <c r="BY191" s="150">
        <v>51.940300000000001</v>
      </c>
      <c r="BZ191" s="145" t="s">
        <v>3228</v>
      </c>
      <c r="CA191" s="150">
        <f>54.2346-Table665[[#This Row],[Outcome1_M]]</f>
        <v>2.2942999999999998</v>
      </c>
      <c r="CB191" s="151" t="s">
        <v>4429</v>
      </c>
      <c r="CC191" s="150">
        <v>49.993899999999996</v>
      </c>
      <c r="CD191" s="150" t="s">
        <v>3228</v>
      </c>
      <c r="CE191" s="150">
        <f>54.7586-Table665[[#This Row],[Outcome2_M]]</f>
        <v>4.7647000000000048</v>
      </c>
      <c r="CF191" s="290" t="s">
        <v>4432</v>
      </c>
      <c r="CG191" s="291" t="s">
        <v>4434</v>
      </c>
      <c r="CH191" s="151" t="s">
        <v>4441</v>
      </c>
      <c r="CI191" s="150">
        <v>6.9942399999999996</v>
      </c>
      <c r="CJ191" s="150"/>
      <c r="CK191" s="150">
        <f>8.4692-Table665[[#This Row],[Outcome3_M]]</f>
        <v>1.4749600000000012</v>
      </c>
      <c r="CL191" s="151" t="s">
        <v>4439</v>
      </c>
      <c r="CM191" s="150">
        <v>8.3550599999999999</v>
      </c>
      <c r="CN191" s="150"/>
      <c r="CO191" s="150">
        <f>9.00403-Table665[[#This Row],[Outcome4_M]]</f>
        <v>0.64897000000000027</v>
      </c>
      <c r="CP191" s="290" t="s">
        <v>4433</v>
      </c>
      <c r="CQ191" s="291"/>
      <c r="CR191" s="278"/>
      <c r="CS191" s="285"/>
      <c r="CT191" s="151" t="s">
        <v>4444</v>
      </c>
      <c r="CU191" s="150">
        <v>2.2436799999999999</v>
      </c>
      <c r="CV191" s="150"/>
      <c r="CW191" s="150">
        <f>2.86314-Table665[[#This Row],[Outcome5_M]]</f>
        <v>0.61946000000000012</v>
      </c>
      <c r="CX191" s="151" t="s">
        <v>4445</v>
      </c>
      <c r="CY191" s="150">
        <v>3.0440200000000002</v>
      </c>
      <c r="CZ191" s="150"/>
      <c r="DA191" s="150">
        <f>3.63399-Table665[[#This Row],[Outcome6_M]]</f>
        <v>0.58996999999999966</v>
      </c>
      <c r="DB191" s="302"/>
      <c r="DC191" s="303"/>
      <c r="DD191" s="151" t="s">
        <v>4450</v>
      </c>
      <c r="DE191" s="150">
        <v>4.76471</v>
      </c>
      <c r="DF191" s="150"/>
      <c r="DG191" s="150">
        <f>5.55882-Table665[[#This Row],[Outcome7_M]]</f>
        <v>0.79410999999999987</v>
      </c>
      <c r="DH191" s="151" t="s">
        <v>4453</v>
      </c>
      <c r="DI191" s="150">
        <v>3.5</v>
      </c>
      <c r="DJ191" s="228"/>
      <c r="DK191" s="150">
        <f>3.91176-Table665[[#This Row],[Outcome8_M]]</f>
        <v>0.41176000000000013</v>
      </c>
      <c r="DL191" s="302"/>
      <c r="DM191" s="303"/>
      <c r="DN191" s="278"/>
      <c r="DO191" s="279"/>
      <c r="DP191" s="151" t="s">
        <v>4456</v>
      </c>
      <c r="DQ191" s="150">
        <v>2.1764700000000001</v>
      </c>
      <c r="DR191" s="150"/>
      <c r="DS191" s="150">
        <f>2.97059-Table665[[#This Row],[Outcome9_M]]</f>
        <v>0.79411999999999994</v>
      </c>
      <c r="DT191" s="151" t="s">
        <v>4459</v>
      </c>
      <c r="DU191" s="150">
        <v>1.7941199999999999</v>
      </c>
      <c r="DV191" s="150"/>
      <c r="DW191" s="555">
        <f>2.23529-Table665[[#This Row],[Outcome10_M]]</f>
        <v>0.44117000000000006</v>
      </c>
      <c r="DX191" s="303" t="s">
        <v>4461</v>
      </c>
      <c r="DY191" s="303" t="s">
        <v>4460</v>
      </c>
      <c r="DZ191" s="151" t="s">
        <v>4465</v>
      </c>
      <c r="EA191" s="150">
        <v>8.1405599999999995E-2</v>
      </c>
      <c r="EB191" s="150"/>
      <c r="EC191" s="150">
        <f>0.219718-Table665[[#This Row],[Outcome11_M]]</f>
        <v>0.1383124</v>
      </c>
      <c r="ED191" s="151" t="s">
        <v>4468</v>
      </c>
      <c r="EE191" s="150">
        <v>0.38624399999999998</v>
      </c>
      <c r="EF191" s="150"/>
      <c r="EG191" s="150">
        <f>0.443802-Table665[[#This Row],[Outcome12_M]]</f>
        <v>5.7557999999999998E-2</v>
      </c>
      <c r="EH191" s="303" t="s">
        <v>4470</v>
      </c>
      <c r="EI191" s="303" t="s">
        <v>4469</v>
      </c>
      <c r="EJ191" s="279"/>
      <c r="EK191" s="150"/>
      <c r="EL191" s="150"/>
      <c r="EM191" s="150"/>
      <c r="EN191" s="150"/>
      <c r="EO191" s="150"/>
      <c r="EP191" s="150"/>
      <c r="EQ191" s="150"/>
      <c r="ER191" s="150"/>
      <c r="ES191" s="303"/>
      <c r="ET191" s="303"/>
      <c r="EU191" s="150"/>
      <c r="EV191" s="150"/>
      <c r="EW191" s="150"/>
      <c r="EX191" s="150"/>
      <c r="EY191" s="134"/>
      <c r="EZ191" s="134"/>
      <c r="FA191" s="134"/>
      <c r="FB191" s="134"/>
      <c r="FC191" s="135"/>
      <c r="FD191" s="135"/>
      <c r="FE191" s="134"/>
      <c r="FF191" s="134"/>
      <c r="FG191" s="134"/>
      <c r="FH191" s="134"/>
      <c r="FI191" s="134"/>
      <c r="FJ191" s="134"/>
      <c r="FK191" s="134"/>
      <c r="FL191" s="134"/>
      <c r="FM191" s="135"/>
      <c r="FN191" s="135"/>
      <c r="FO191" s="134"/>
      <c r="FP191" s="134"/>
      <c r="FQ191" s="134"/>
      <c r="FR191" s="134"/>
      <c r="FS191" s="134"/>
      <c r="FT191" s="134"/>
      <c r="FU191" s="134"/>
      <c r="FV191" s="134"/>
      <c r="FW191" s="135"/>
      <c r="FX191" s="135"/>
      <c r="FY191" s="134"/>
      <c r="FZ191" s="134"/>
      <c r="GA191" s="134"/>
      <c r="GB191" s="134"/>
      <c r="GC191" s="134"/>
      <c r="GD191" s="134"/>
      <c r="GE191" s="134"/>
      <c r="GF191" s="134"/>
      <c r="GG191" s="135"/>
      <c r="GH191" s="135"/>
      <c r="GI191" s="134"/>
      <c r="GJ191" s="134"/>
      <c r="GK191" s="134"/>
      <c r="GL191" s="134"/>
      <c r="GM191" s="134"/>
      <c r="GN191" s="134"/>
      <c r="GO191" s="134"/>
      <c r="GP191" s="134"/>
      <c r="GQ191" s="135"/>
      <c r="GR191" s="135"/>
      <c r="GS191" s="134"/>
      <c r="GT191" s="134"/>
      <c r="GU191" s="134"/>
      <c r="GV191" s="134"/>
      <c r="GW191" s="134"/>
      <c r="GX191" s="134"/>
      <c r="GY191" s="134"/>
      <c r="GZ191" s="134"/>
      <c r="HA191" s="135"/>
      <c r="HB191" s="135"/>
      <c r="HC191" s="134"/>
      <c r="HD191" s="134"/>
      <c r="HE191" s="134"/>
      <c r="HF191" s="134"/>
      <c r="HG191" s="134"/>
      <c r="HH191" s="134"/>
      <c r="HI191" s="134"/>
      <c r="HJ191" s="134"/>
      <c r="HK191" s="135"/>
      <c r="HL191" s="135"/>
      <c r="HM191" s="134"/>
      <c r="HN191" s="134"/>
      <c r="HO191" s="134"/>
      <c r="HP191" s="134"/>
      <c r="HQ191" s="134"/>
      <c r="HR191" s="134"/>
      <c r="HS191" s="134"/>
      <c r="HT191" s="134"/>
      <c r="HU191" s="135"/>
      <c r="HV191" s="135"/>
      <c r="HW191" s="134"/>
      <c r="HX191" s="134"/>
      <c r="HY191" s="134"/>
      <c r="HZ191" s="134"/>
      <c r="IA191" s="134"/>
      <c r="IB191" s="134"/>
      <c r="IC191" s="134"/>
      <c r="ID191" s="134"/>
      <c r="IE191" s="135"/>
      <c r="IF191" s="135"/>
      <c r="IG191" s="134"/>
      <c r="IH191" s="134"/>
      <c r="II191" s="134"/>
      <c r="IJ191" s="134"/>
      <c r="IK191" s="134"/>
      <c r="IL191" s="134"/>
      <c r="IM191" s="134"/>
      <c r="IN191" s="134"/>
      <c r="IO191" s="135"/>
      <c r="IP191" s="135"/>
      <c r="IQ191" s="134"/>
      <c r="IR191" s="134"/>
      <c r="IS191" s="134"/>
      <c r="IT191" s="134"/>
      <c r="IU191" s="134"/>
      <c r="IV191" s="134"/>
      <c r="IW191" s="134"/>
      <c r="IX191" s="134"/>
      <c r="IY191" s="135"/>
      <c r="IZ191" s="135"/>
    </row>
    <row r="192" spans="1:260" customFormat="1" ht="17" customHeight="1">
      <c r="A192" s="79" t="s">
        <v>151</v>
      </c>
      <c r="B192" s="117">
        <v>115</v>
      </c>
      <c r="C192" s="117">
        <v>28</v>
      </c>
      <c r="D192" s="117"/>
      <c r="E192" s="123" t="s">
        <v>1954</v>
      </c>
      <c r="F192" s="124" t="s">
        <v>2175</v>
      </c>
      <c r="G192" s="125">
        <v>2016</v>
      </c>
      <c r="H192" s="79">
        <v>26220415</v>
      </c>
      <c r="I192" s="79">
        <v>1</v>
      </c>
      <c r="J192" s="126"/>
      <c r="K192" s="127"/>
      <c r="L192" s="79">
        <v>1</v>
      </c>
      <c r="M192" s="79"/>
      <c r="N192" s="79">
        <v>1</v>
      </c>
      <c r="O192" s="128">
        <v>1</v>
      </c>
      <c r="P192" s="79" t="s">
        <v>465</v>
      </c>
      <c r="Q192" s="79" t="s">
        <v>1153</v>
      </c>
      <c r="R192" s="79" t="s">
        <v>466</v>
      </c>
      <c r="S192" s="79">
        <v>1</v>
      </c>
      <c r="T192" s="79"/>
      <c r="U192" s="79"/>
      <c r="V192" s="79"/>
      <c r="W192" s="79" t="s">
        <v>465</v>
      </c>
      <c r="X192" s="79" t="s">
        <v>24</v>
      </c>
      <c r="Y192" s="79"/>
      <c r="Z192" s="79"/>
      <c r="AA192" s="79"/>
      <c r="AB192" s="79" t="s">
        <v>467</v>
      </c>
      <c r="AC192" s="506"/>
      <c r="AD192" s="573">
        <v>1</v>
      </c>
      <c r="AE192" s="573">
        <v>2</v>
      </c>
      <c r="AF192" s="154">
        <v>1</v>
      </c>
      <c r="AG192" s="155"/>
      <c r="AH192" s="121">
        <v>2</v>
      </c>
      <c r="AI192" s="484"/>
      <c r="AJ192" s="202" t="s">
        <v>4480</v>
      </c>
      <c r="AK192" s="192">
        <v>1</v>
      </c>
      <c r="AL192" s="203" t="s">
        <v>24</v>
      </c>
      <c r="AM192" s="121" t="s">
        <v>4477</v>
      </c>
      <c r="AN192" s="121">
        <v>55</v>
      </c>
      <c r="AO192" s="121">
        <v>33</v>
      </c>
      <c r="AP192" s="121" t="s">
        <v>803</v>
      </c>
      <c r="AQ192" s="121" t="s">
        <v>803</v>
      </c>
      <c r="AR192" s="121">
        <v>61</v>
      </c>
      <c r="AS192" s="121">
        <v>4.3</v>
      </c>
      <c r="AT192" s="121">
        <v>66.099999999999994</v>
      </c>
      <c r="AU192" s="121">
        <v>7.2</v>
      </c>
      <c r="AV192" s="121" t="s">
        <v>4475</v>
      </c>
      <c r="AW192" s="121" t="s">
        <v>24</v>
      </c>
      <c r="AX192" s="121" t="s">
        <v>24</v>
      </c>
      <c r="AY192" s="121" t="s">
        <v>4161</v>
      </c>
      <c r="AZ192" s="121" t="s">
        <v>5116</v>
      </c>
      <c r="BA192" s="121" t="s">
        <v>4476</v>
      </c>
      <c r="BB192" s="121"/>
      <c r="BC192" s="121"/>
      <c r="BD192" s="156"/>
      <c r="BE192" s="156"/>
      <c r="BF192" s="156"/>
      <c r="BG192" s="156"/>
      <c r="BH192" s="156"/>
      <c r="BI192" s="156"/>
      <c r="BJ192" s="156">
        <v>1</v>
      </c>
      <c r="BK192" s="156"/>
      <c r="BL192" s="156"/>
      <c r="BM192" s="156"/>
      <c r="BN192" s="156"/>
      <c r="BO192" s="156"/>
      <c r="BP192" s="156"/>
      <c r="BQ192" s="157" t="s">
        <v>4486</v>
      </c>
      <c r="BR192" s="134" t="s">
        <v>1876</v>
      </c>
      <c r="BS192" s="134" t="s">
        <v>4479</v>
      </c>
      <c r="BT192" s="150" t="s">
        <v>4481</v>
      </c>
      <c r="BU192" s="134" t="s">
        <v>24</v>
      </c>
      <c r="BV192" s="134" t="s">
        <v>4482</v>
      </c>
      <c r="BW192" s="259" t="s">
        <v>4499</v>
      </c>
      <c r="BX192" s="138" t="s">
        <v>4489</v>
      </c>
      <c r="BY192" s="134">
        <v>41.4</v>
      </c>
      <c r="BZ192" s="134">
        <v>9.8000000000000007</v>
      </c>
      <c r="CA192" s="134" t="s">
        <v>24</v>
      </c>
      <c r="CB192" s="138" t="s">
        <v>4490</v>
      </c>
      <c r="CC192" s="134">
        <v>42.6</v>
      </c>
      <c r="CD192" s="134">
        <v>6.1</v>
      </c>
      <c r="CE192" s="134" t="s">
        <v>24</v>
      </c>
      <c r="CF192" s="288" t="s">
        <v>4491</v>
      </c>
      <c r="CG192" s="289" t="s">
        <v>4494</v>
      </c>
      <c r="CH192" s="138" t="s">
        <v>4487</v>
      </c>
      <c r="CI192" s="138">
        <v>7.4</v>
      </c>
      <c r="CJ192" s="134">
        <v>2.9</v>
      </c>
      <c r="CK192" s="134" t="s">
        <v>24</v>
      </c>
      <c r="CL192" s="138" t="s">
        <v>4488</v>
      </c>
      <c r="CM192" s="134">
        <v>8.1</v>
      </c>
      <c r="CN192" s="134">
        <v>1.9</v>
      </c>
      <c r="CO192" s="134" t="s">
        <v>24</v>
      </c>
      <c r="CP192" s="288" t="s">
        <v>4492</v>
      </c>
      <c r="CQ192" s="289" t="s">
        <v>4493</v>
      </c>
      <c r="CR192" s="276"/>
      <c r="CS192" s="308"/>
      <c r="CT192" s="138"/>
      <c r="CU192" s="134"/>
      <c r="CV192" s="134"/>
      <c r="CW192" s="134"/>
      <c r="CX192" s="134"/>
      <c r="CY192" s="134"/>
      <c r="CZ192" s="134"/>
      <c r="DA192" s="134"/>
      <c r="DB192" s="300"/>
      <c r="DC192" s="301"/>
      <c r="DD192" s="134"/>
      <c r="DE192" s="134"/>
      <c r="DF192" s="134"/>
      <c r="DG192" s="134"/>
      <c r="DH192" s="134"/>
      <c r="DI192" s="134"/>
      <c r="DJ192" s="134"/>
      <c r="DK192" s="134"/>
      <c r="DL192" s="300"/>
      <c r="DM192" s="301"/>
      <c r="DN192" s="276"/>
      <c r="DO192" s="277"/>
      <c r="DP192" s="134"/>
      <c r="DQ192" s="134"/>
      <c r="DR192" s="134"/>
      <c r="DS192" s="134"/>
      <c r="DT192" s="138"/>
      <c r="DU192" s="134"/>
      <c r="DV192" s="134"/>
      <c r="DW192" s="134"/>
      <c r="DX192" s="301"/>
      <c r="DY192" s="301"/>
      <c r="DZ192" s="138"/>
      <c r="EA192" s="134"/>
      <c r="EB192" s="134"/>
      <c r="EC192" s="134"/>
      <c r="ED192" s="138"/>
      <c r="EE192" s="134"/>
      <c r="EF192" s="134"/>
      <c r="EG192" s="134"/>
      <c r="EH192" s="301"/>
      <c r="EI192" s="301"/>
      <c r="EJ192" s="277"/>
      <c r="EK192" s="134"/>
      <c r="EL192" s="134"/>
      <c r="EM192" s="134"/>
      <c r="EN192" s="134"/>
      <c r="EO192" s="134"/>
      <c r="EP192" s="134"/>
      <c r="EQ192" s="134"/>
      <c r="ER192" s="134"/>
      <c r="ES192" s="301"/>
      <c r="ET192" s="301"/>
      <c r="EU192" s="134"/>
      <c r="EV192" s="134"/>
      <c r="EW192" s="134"/>
      <c r="EX192" s="134"/>
      <c r="EY192" s="134"/>
      <c r="EZ192" s="134"/>
      <c r="FA192" s="134"/>
      <c r="FB192" s="134"/>
      <c r="FC192" s="135"/>
      <c r="FD192" s="135"/>
      <c r="FE192" s="134"/>
      <c r="FF192" s="134"/>
      <c r="FG192" s="134"/>
      <c r="FH192" s="134"/>
      <c r="FI192" s="134"/>
      <c r="FJ192" s="134"/>
      <c r="FK192" s="134"/>
      <c r="FL192" s="134"/>
      <c r="FM192" s="135"/>
      <c r="FN192" s="135"/>
      <c r="FO192" s="134"/>
      <c r="FP192" s="134"/>
      <c r="FQ192" s="134"/>
      <c r="FR192" s="134"/>
      <c r="FS192" s="134"/>
      <c r="FT192" s="134"/>
      <c r="FU192" s="134"/>
      <c r="FV192" s="134"/>
      <c r="FW192" s="135"/>
      <c r="FX192" s="135"/>
      <c r="FY192" s="134"/>
      <c r="FZ192" s="134"/>
      <c r="GA192" s="134"/>
      <c r="GB192" s="134"/>
      <c r="GC192" s="134"/>
      <c r="GD192" s="134"/>
      <c r="GE192" s="134"/>
      <c r="GF192" s="134"/>
      <c r="GG192" s="135"/>
      <c r="GH192" s="135"/>
      <c r="GI192" s="134"/>
      <c r="GJ192" s="134"/>
      <c r="GK192" s="134"/>
      <c r="GL192" s="134"/>
      <c r="GM192" s="134"/>
      <c r="GN192" s="134"/>
      <c r="GO192" s="134"/>
      <c r="GP192" s="134"/>
      <c r="GQ192" s="135"/>
      <c r="GR192" s="135"/>
      <c r="GS192" s="134"/>
      <c r="GT192" s="134"/>
      <c r="GU192" s="134"/>
      <c r="GV192" s="134"/>
      <c r="GW192" s="134"/>
      <c r="GX192" s="134"/>
      <c r="GY192" s="134"/>
      <c r="GZ192" s="134"/>
      <c r="HA192" s="135"/>
      <c r="HB192" s="135"/>
      <c r="HC192" s="134"/>
      <c r="HD192" s="134"/>
      <c r="HE192" s="134"/>
      <c r="HF192" s="134"/>
      <c r="HG192" s="134"/>
      <c r="HH192" s="134"/>
      <c r="HI192" s="134"/>
      <c r="HJ192" s="134"/>
      <c r="HK192" s="135"/>
      <c r="HL192" s="135"/>
      <c r="HM192" s="134"/>
      <c r="HN192" s="134"/>
      <c r="HO192" s="134"/>
      <c r="HP192" s="134"/>
      <c r="HQ192" s="134"/>
      <c r="HR192" s="134"/>
      <c r="HS192" s="134"/>
      <c r="HT192" s="134"/>
      <c r="HU192" s="135"/>
      <c r="HV192" s="135"/>
      <c r="HW192" s="134"/>
      <c r="HX192" s="134"/>
      <c r="HY192" s="134"/>
      <c r="HZ192" s="134"/>
      <c r="IA192" s="134"/>
      <c r="IB192" s="134"/>
      <c r="IC192" s="134"/>
      <c r="ID192" s="134"/>
      <c r="IE192" s="135"/>
      <c r="IF192" s="135"/>
      <c r="IG192" s="134"/>
      <c r="IH192" s="134"/>
      <c r="II192" s="134"/>
      <c r="IJ192" s="134"/>
      <c r="IK192" s="134"/>
      <c r="IL192" s="134"/>
      <c r="IM192" s="134"/>
      <c r="IN192" s="134"/>
      <c r="IO192" s="135"/>
      <c r="IP192" s="135"/>
      <c r="IQ192" s="134"/>
      <c r="IR192" s="134"/>
      <c r="IS192" s="134"/>
      <c r="IT192" s="134"/>
      <c r="IU192" s="134"/>
      <c r="IV192" s="134"/>
      <c r="IW192" s="134"/>
      <c r="IX192" s="134"/>
      <c r="IY192" s="135"/>
      <c r="IZ192" s="135"/>
    </row>
    <row r="193" spans="1:260" customFormat="1" ht="17" customHeight="1">
      <c r="A193" s="118" t="s">
        <v>151</v>
      </c>
      <c r="B193" s="381">
        <v>115</v>
      </c>
      <c r="C193" s="381">
        <v>28</v>
      </c>
      <c r="D193" s="381"/>
      <c r="E193" s="139" t="s">
        <v>1954</v>
      </c>
      <c r="F193" s="140" t="s">
        <v>2175</v>
      </c>
      <c r="G193" s="141">
        <v>2016</v>
      </c>
      <c r="H193" s="118">
        <v>26220415</v>
      </c>
      <c r="I193" s="118">
        <v>1</v>
      </c>
      <c r="J193" s="118"/>
      <c r="K193" s="118"/>
      <c r="L193" s="118">
        <v>1</v>
      </c>
      <c r="M193" s="118"/>
      <c r="N193" s="118">
        <v>1</v>
      </c>
      <c r="O193" s="142">
        <v>1</v>
      </c>
      <c r="P193" s="118" t="s">
        <v>465</v>
      </c>
      <c r="Q193" s="118" t="s">
        <v>1153</v>
      </c>
      <c r="R193" s="118" t="s">
        <v>466</v>
      </c>
      <c r="S193" s="118">
        <v>1</v>
      </c>
      <c r="T193" s="118"/>
      <c r="U193" s="118"/>
      <c r="V193" s="118"/>
      <c r="W193" s="118" t="s">
        <v>465</v>
      </c>
      <c r="X193" s="118" t="s">
        <v>24</v>
      </c>
      <c r="Y193" s="118"/>
      <c r="Z193" s="118"/>
      <c r="AA193" s="118"/>
      <c r="AB193" s="118" t="s">
        <v>467</v>
      </c>
      <c r="AC193" s="145"/>
      <c r="AD193" s="573">
        <v>1</v>
      </c>
      <c r="AE193" s="573">
        <v>2</v>
      </c>
      <c r="AF193" s="159">
        <v>1</v>
      </c>
      <c r="AG193" s="160" t="s">
        <v>4495</v>
      </c>
      <c r="AH193" s="122">
        <v>2</v>
      </c>
      <c r="AI193" s="485"/>
      <c r="AJ193" s="204" t="s">
        <v>4480</v>
      </c>
      <c r="AK193" s="192">
        <v>1</v>
      </c>
      <c r="AL193" s="205" t="s">
        <v>24</v>
      </c>
      <c r="AM193" s="122" t="s">
        <v>4477</v>
      </c>
      <c r="AN193" s="122">
        <v>55</v>
      </c>
      <c r="AO193" s="122">
        <v>33</v>
      </c>
      <c r="AP193" s="122" t="s">
        <v>803</v>
      </c>
      <c r="AQ193" s="122" t="s">
        <v>803</v>
      </c>
      <c r="AR193" s="122">
        <v>61</v>
      </c>
      <c r="AS193" s="122">
        <v>4.3</v>
      </c>
      <c r="AT193" s="122">
        <v>66.099999999999994</v>
      </c>
      <c r="AU193" s="122">
        <v>7.2</v>
      </c>
      <c r="AV193" s="122" t="s">
        <v>4475</v>
      </c>
      <c r="AW193" s="122" t="s">
        <v>24</v>
      </c>
      <c r="AX193" s="122" t="s">
        <v>24</v>
      </c>
      <c r="AY193" s="122" t="s">
        <v>4161</v>
      </c>
      <c r="AZ193" s="121" t="s">
        <v>5116</v>
      </c>
      <c r="BA193" s="122" t="s">
        <v>4476</v>
      </c>
      <c r="BB193" s="122"/>
      <c r="BC193" s="122"/>
      <c r="BD193" s="161"/>
      <c r="BE193" s="161"/>
      <c r="BF193" s="161"/>
      <c r="BG193" s="161"/>
      <c r="BH193" s="161"/>
      <c r="BI193" s="161">
        <v>1</v>
      </c>
      <c r="BJ193" s="161"/>
      <c r="BK193" s="161"/>
      <c r="BL193" s="161"/>
      <c r="BM193" s="161"/>
      <c r="BN193" s="161"/>
      <c r="BO193" s="161"/>
      <c r="BP193" s="161"/>
      <c r="BQ193" s="162" t="s">
        <v>4002</v>
      </c>
      <c r="BR193" s="150" t="s">
        <v>1876</v>
      </c>
      <c r="BS193" s="150" t="s">
        <v>4479</v>
      </c>
      <c r="BT193" s="150" t="s">
        <v>4483</v>
      </c>
      <c r="BU193" s="150" t="s">
        <v>24</v>
      </c>
      <c r="BV193" s="477" t="s">
        <v>4484</v>
      </c>
      <c r="BW193" s="258" t="s">
        <v>4503</v>
      </c>
      <c r="BX193" s="151"/>
      <c r="BY193" s="150"/>
      <c r="BZ193" s="150"/>
      <c r="CA193" s="150"/>
      <c r="CB193" s="151"/>
      <c r="CC193" s="150"/>
      <c r="CD193" s="150"/>
      <c r="CE193" s="150"/>
      <c r="CF193" s="290"/>
      <c r="CG193" s="291"/>
      <c r="CH193" s="151"/>
      <c r="CI193" s="150"/>
      <c r="CJ193" s="150"/>
      <c r="CK193" s="150"/>
      <c r="CL193" s="151"/>
      <c r="CM193" s="150"/>
      <c r="CN193" s="150"/>
      <c r="CO193" s="150"/>
      <c r="CP193" s="290"/>
      <c r="CQ193" s="291"/>
      <c r="CR193" s="278"/>
      <c r="CS193" s="285"/>
      <c r="CT193" s="151"/>
      <c r="CU193" s="150"/>
      <c r="CV193" s="150"/>
      <c r="CW193" s="150"/>
      <c r="CX193" s="150"/>
      <c r="CY193" s="150"/>
      <c r="CZ193" s="150"/>
      <c r="DA193" s="150"/>
      <c r="DB193" s="302"/>
      <c r="DC193" s="303"/>
      <c r="DD193" s="150"/>
      <c r="DE193" s="150"/>
      <c r="DF193" s="150"/>
      <c r="DG193" s="150"/>
      <c r="DH193" s="150"/>
      <c r="DI193" s="150"/>
      <c r="DJ193" s="150"/>
      <c r="DK193" s="150"/>
      <c r="DL193" s="302"/>
      <c r="DM193" s="303"/>
      <c r="DN193" s="278"/>
      <c r="DO193" s="279"/>
      <c r="DP193" s="150"/>
      <c r="DQ193" s="150"/>
      <c r="DR193" s="150"/>
      <c r="DS193" s="150"/>
      <c r="DT193" s="151"/>
      <c r="DU193" s="150"/>
      <c r="DV193" s="150"/>
      <c r="DW193" s="150"/>
      <c r="DX193" s="303"/>
      <c r="DY193" s="303"/>
      <c r="DZ193" s="151"/>
      <c r="EA193" s="150"/>
      <c r="EB193" s="150"/>
      <c r="EC193" s="150"/>
      <c r="ED193" s="151"/>
      <c r="EE193" s="150"/>
      <c r="EF193" s="150"/>
      <c r="EG193" s="150"/>
      <c r="EH193" s="303"/>
      <c r="EI193" s="303"/>
      <c r="EJ193" s="279"/>
      <c r="EK193" s="150"/>
      <c r="EL193" s="150"/>
      <c r="EM193" s="150"/>
      <c r="EN193" s="150"/>
      <c r="EO193" s="150"/>
      <c r="EP193" s="150"/>
      <c r="EQ193" s="150"/>
      <c r="ER193" s="150"/>
      <c r="ES193" s="303"/>
      <c r="ET193" s="303"/>
      <c r="EU193" s="150"/>
      <c r="EV193" s="150"/>
      <c r="EW193" s="150"/>
      <c r="EX193" s="150"/>
      <c r="EY193" s="134"/>
      <c r="EZ193" s="134"/>
      <c r="FA193" s="134"/>
      <c r="FB193" s="134"/>
      <c r="FC193" s="135"/>
      <c r="FD193" s="135"/>
      <c r="FE193" s="134"/>
      <c r="FF193" s="134"/>
      <c r="FG193" s="134"/>
      <c r="FH193" s="134"/>
      <c r="FI193" s="134"/>
      <c r="FJ193" s="134"/>
      <c r="FK193" s="134"/>
      <c r="FL193" s="134"/>
      <c r="FM193" s="135"/>
      <c r="FN193" s="135"/>
      <c r="FO193" s="134"/>
      <c r="FP193" s="134"/>
      <c r="FQ193" s="134"/>
      <c r="FR193" s="134"/>
      <c r="FS193" s="134"/>
      <c r="FT193" s="134"/>
      <c r="FU193" s="134"/>
      <c r="FV193" s="134"/>
      <c r="FW193" s="135"/>
      <c r="FX193" s="135"/>
      <c r="FY193" s="134"/>
      <c r="FZ193" s="134"/>
      <c r="GA193" s="134"/>
      <c r="GB193" s="134"/>
      <c r="GC193" s="134"/>
      <c r="GD193" s="134"/>
      <c r="GE193" s="134"/>
      <c r="GF193" s="134"/>
      <c r="GG193" s="135"/>
      <c r="GH193" s="135"/>
      <c r="GI193" s="134"/>
      <c r="GJ193" s="134"/>
      <c r="GK193" s="134"/>
      <c r="GL193" s="134"/>
      <c r="GM193" s="134"/>
      <c r="GN193" s="134"/>
      <c r="GO193" s="134"/>
      <c r="GP193" s="134"/>
      <c r="GQ193" s="135"/>
      <c r="GR193" s="135"/>
      <c r="GS193" s="134"/>
      <c r="GT193" s="134"/>
      <c r="GU193" s="134"/>
      <c r="GV193" s="134"/>
      <c r="GW193" s="134"/>
      <c r="GX193" s="134"/>
      <c r="GY193" s="134"/>
      <c r="GZ193" s="134"/>
      <c r="HA193" s="135"/>
      <c r="HB193" s="135"/>
      <c r="HC193" s="134"/>
      <c r="HD193" s="134"/>
      <c r="HE193" s="134"/>
      <c r="HF193" s="134"/>
      <c r="HG193" s="134"/>
      <c r="HH193" s="134"/>
      <c r="HI193" s="134"/>
      <c r="HJ193" s="134"/>
      <c r="HK193" s="135"/>
      <c r="HL193" s="135"/>
      <c r="HM193" s="134"/>
      <c r="HN193" s="134"/>
      <c r="HO193" s="134"/>
      <c r="HP193" s="134"/>
      <c r="HQ193" s="134"/>
      <c r="HR193" s="134"/>
      <c r="HS193" s="134"/>
      <c r="HT193" s="134"/>
      <c r="HU193" s="135"/>
      <c r="HV193" s="135"/>
      <c r="HW193" s="134"/>
      <c r="HX193" s="134"/>
      <c r="HY193" s="134"/>
      <c r="HZ193" s="134"/>
      <c r="IA193" s="134"/>
      <c r="IB193" s="134"/>
      <c r="IC193" s="134"/>
      <c r="ID193" s="134"/>
      <c r="IE193" s="135"/>
      <c r="IF193" s="135"/>
      <c r="IG193" s="134"/>
      <c r="IH193" s="134"/>
      <c r="II193" s="134"/>
      <c r="IJ193" s="134"/>
      <c r="IK193" s="134"/>
      <c r="IL193" s="134"/>
      <c r="IM193" s="134"/>
      <c r="IN193" s="134"/>
      <c r="IO193" s="135"/>
      <c r="IP193" s="135"/>
      <c r="IQ193" s="134"/>
      <c r="IR193" s="134"/>
      <c r="IS193" s="134"/>
      <c r="IT193" s="134"/>
      <c r="IU193" s="134"/>
      <c r="IV193" s="134"/>
      <c r="IW193" s="134"/>
      <c r="IX193" s="134"/>
      <c r="IY193" s="135"/>
      <c r="IZ193" s="135"/>
    </row>
    <row r="194" spans="1:260" customFormat="1" ht="17" customHeight="1">
      <c r="A194" s="118" t="s">
        <v>151</v>
      </c>
      <c r="B194" s="381">
        <v>115</v>
      </c>
      <c r="C194" s="381">
        <v>28</v>
      </c>
      <c r="D194" s="381"/>
      <c r="E194" s="139" t="s">
        <v>1954</v>
      </c>
      <c r="F194" s="140" t="s">
        <v>2175</v>
      </c>
      <c r="G194" s="141">
        <v>2016</v>
      </c>
      <c r="H194" s="118">
        <v>26220415</v>
      </c>
      <c r="I194" s="118">
        <v>1</v>
      </c>
      <c r="J194" s="118"/>
      <c r="K194" s="118"/>
      <c r="L194" s="118">
        <v>1</v>
      </c>
      <c r="M194" s="118"/>
      <c r="N194" s="118">
        <v>1</v>
      </c>
      <c r="O194" s="142">
        <v>1</v>
      </c>
      <c r="P194" s="118" t="s">
        <v>465</v>
      </c>
      <c r="Q194" s="118" t="s">
        <v>1153</v>
      </c>
      <c r="R194" s="118" t="s">
        <v>466</v>
      </c>
      <c r="S194" s="118">
        <v>1</v>
      </c>
      <c r="T194" s="118"/>
      <c r="U194" s="118"/>
      <c r="V194" s="118"/>
      <c r="W194" s="118" t="s">
        <v>465</v>
      </c>
      <c r="X194" s="118" t="s">
        <v>24</v>
      </c>
      <c r="Y194" s="118"/>
      <c r="Z194" s="118"/>
      <c r="AA194" s="118"/>
      <c r="AB194" s="118" t="s">
        <v>467</v>
      </c>
      <c r="AC194" s="145"/>
      <c r="AD194" s="573">
        <v>1</v>
      </c>
      <c r="AE194" s="573">
        <v>2</v>
      </c>
      <c r="AF194" s="159">
        <v>1</v>
      </c>
      <c r="AG194" s="160"/>
      <c r="AH194" s="122">
        <v>2</v>
      </c>
      <c r="AI194" s="485"/>
      <c r="AJ194" s="204" t="s">
        <v>4480</v>
      </c>
      <c r="AK194" s="192">
        <v>1</v>
      </c>
      <c r="AL194" s="205" t="s">
        <v>24</v>
      </c>
      <c r="AM194" s="122" t="s">
        <v>4477</v>
      </c>
      <c r="AN194" s="122">
        <v>55</v>
      </c>
      <c r="AO194" s="122">
        <v>33</v>
      </c>
      <c r="AP194" s="122" t="s">
        <v>803</v>
      </c>
      <c r="AQ194" s="122" t="s">
        <v>803</v>
      </c>
      <c r="AR194" s="122">
        <v>61</v>
      </c>
      <c r="AS194" s="122">
        <v>4.3</v>
      </c>
      <c r="AT194" s="122">
        <v>66.099999999999994</v>
      </c>
      <c r="AU194" s="122">
        <v>7.2</v>
      </c>
      <c r="AV194" s="122" t="s">
        <v>4475</v>
      </c>
      <c r="AW194" s="122" t="s">
        <v>24</v>
      </c>
      <c r="AX194" s="122" t="s">
        <v>24</v>
      </c>
      <c r="AY194" s="122" t="s">
        <v>4161</v>
      </c>
      <c r="AZ194" s="121" t="s">
        <v>5116</v>
      </c>
      <c r="BA194" s="122" t="s">
        <v>4476</v>
      </c>
      <c r="BB194" s="122"/>
      <c r="BC194" s="122"/>
      <c r="BD194" s="161"/>
      <c r="BE194" s="161"/>
      <c r="BF194" s="161"/>
      <c r="BG194" s="161"/>
      <c r="BH194" s="161"/>
      <c r="BI194" s="161"/>
      <c r="BJ194" s="161"/>
      <c r="BK194" s="161"/>
      <c r="BL194" s="161" t="s">
        <v>1917</v>
      </c>
      <c r="BM194" s="161"/>
      <c r="BN194" s="161"/>
      <c r="BO194" s="161"/>
      <c r="BP194" s="161"/>
      <c r="BQ194" s="162" t="s">
        <v>4478</v>
      </c>
      <c r="BR194" s="150" t="s">
        <v>1876</v>
      </c>
      <c r="BS194" s="150" t="s">
        <v>4479</v>
      </c>
      <c r="BT194" s="228" t="s">
        <v>4485</v>
      </c>
      <c r="BU194" s="150" t="s">
        <v>24</v>
      </c>
      <c r="BV194" s="150" t="s">
        <v>4496</v>
      </c>
      <c r="BW194" s="258" t="s">
        <v>4502</v>
      </c>
      <c r="BX194" s="151" t="s">
        <v>4497</v>
      </c>
      <c r="BY194" s="150">
        <v>57</v>
      </c>
      <c r="BZ194" s="150">
        <v>13.7</v>
      </c>
      <c r="CA194" s="150" t="s">
        <v>24</v>
      </c>
      <c r="CB194" s="151" t="s">
        <v>4498</v>
      </c>
      <c r="CC194" s="150">
        <v>63.3</v>
      </c>
      <c r="CD194" s="150">
        <v>14.6</v>
      </c>
      <c r="CE194" s="150" t="s">
        <v>24</v>
      </c>
      <c r="CF194" s="290" t="s">
        <v>4500</v>
      </c>
      <c r="CG194" s="291" t="s">
        <v>4501</v>
      </c>
      <c r="CH194" s="151"/>
      <c r="CI194" s="150"/>
      <c r="CJ194" s="150"/>
      <c r="CK194" s="150"/>
      <c r="CL194" s="151"/>
      <c r="CM194" s="150"/>
      <c r="CN194" s="150"/>
      <c r="CO194" s="150"/>
      <c r="CP194" s="290"/>
      <c r="CQ194" s="291"/>
      <c r="CR194" s="278"/>
      <c r="CS194" s="285"/>
      <c r="CT194" s="151"/>
      <c r="CU194" s="150"/>
      <c r="CV194" s="150"/>
      <c r="CW194" s="150"/>
      <c r="CX194" s="150"/>
      <c r="CY194" s="150"/>
      <c r="CZ194" s="150"/>
      <c r="DA194" s="150"/>
      <c r="DB194" s="302"/>
      <c r="DC194" s="303"/>
      <c r="DD194" s="150"/>
      <c r="DE194" s="150"/>
      <c r="DF194" s="150"/>
      <c r="DG194" s="150"/>
      <c r="DH194" s="150"/>
      <c r="DI194" s="150"/>
      <c r="DJ194" s="150"/>
      <c r="DK194" s="150"/>
      <c r="DL194" s="302"/>
      <c r="DM194" s="303"/>
      <c r="DN194" s="278"/>
      <c r="DO194" s="279"/>
      <c r="DP194" s="150"/>
      <c r="DQ194" s="150"/>
      <c r="DR194" s="150"/>
      <c r="DS194" s="150"/>
      <c r="DT194" s="151"/>
      <c r="DU194" s="150"/>
      <c r="DV194" s="150"/>
      <c r="DW194" s="150"/>
      <c r="DX194" s="303"/>
      <c r="DY194" s="303"/>
      <c r="DZ194" s="151"/>
      <c r="EA194" s="150"/>
      <c r="EB194" s="150"/>
      <c r="EC194" s="150"/>
      <c r="ED194" s="151"/>
      <c r="EE194" s="150"/>
      <c r="EF194" s="150"/>
      <c r="EG194" s="150"/>
      <c r="EH194" s="303"/>
      <c r="EI194" s="303"/>
      <c r="EJ194" s="279"/>
      <c r="EK194" s="150"/>
      <c r="EL194" s="150"/>
      <c r="EM194" s="150"/>
      <c r="EN194" s="150"/>
      <c r="EO194" s="150"/>
      <c r="EP194" s="150"/>
      <c r="EQ194" s="150"/>
      <c r="ER194" s="150"/>
      <c r="ES194" s="303"/>
      <c r="ET194" s="303"/>
      <c r="EU194" s="150"/>
      <c r="EV194" s="150"/>
      <c r="EW194" s="150"/>
      <c r="EX194" s="150"/>
      <c r="EY194" s="134"/>
      <c r="EZ194" s="134"/>
      <c r="FA194" s="134"/>
      <c r="FB194" s="134"/>
      <c r="FC194" s="135"/>
      <c r="FD194" s="135"/>
      <c r="FE194" s="134"/>
      <c r="FF194" s="134"/>
      <c r="FG194" s="134"/>
      <c r="FH194" s="134"/>
      <c r="FI194" s="134"/>
      <c r="FJ194" s="134"/>
      <c r="FK194" s="134"/>
      <c r="FL194" s="134"/>
      <c r="FM194" s="135"/>
      <c r="FN194" s="135"/>
      <c r="FO194" s="134"/>
      <c r="FP194" s="134"/>
      <c r="FQ194" s="134"/>
      <c r="FR194" s="134"/>
      <c r="FS194" s="134"/>
      <c r="FT194" s="134"/>
      <c r="FU194" s="134"/>
      <c r="FV194" s="134"/>
      <c r="FW194" s="135"/>
      <c r="FX194" s="135"/>
      <c r="FY194" s="134"/>
      <c r="FZ194" s="134"/>
      <c r="GA194" s="134"/>
      <c r="GB194" s="134"/>
      <c r="GC194" s="134"/>
      <c r="GD194" s="134"/>
      <c r="GE194" s="134"/>
      <c r="GF194" s="134"/>
      <c r="GG194" s="135"/>
      <c r="GH194" s="135"/>
      <c r="GI194" s="134"/>
      <c r="GJ194" s="134"/>
      <c r="GK194" s="134"/>
      <c r="GL194" s="134"/>
      <c r="GM194" s="134"/>
      <c r="GN194" s="134"/>
      <c r="GO194" s="134"/>
      <c r="GP194" s="134"/>
      <c r="GQ194" s="135"/>
      <c r="GR194" s="135"/>
      <c r="GS194" s="134"/>
      <c r="GT194" s="134"/>
      <c r="GU194" s="134"/>
      <c r="GV194" s="134"/>
      <c r="GW194" s="134"/>
      <c r="GX194" s="134"/>
      <c r="GY194" s="134"/>
      <c r="GZ194" s="134"/>
      <c r="HA194" s="135"/>
      <c r="HB194" s="135"/>
      <c r="HC194" s="134"/>
      <c r="HD194" s="134"/>
      <c r="HE194" s="134"/>
      <c r="HF194" s="134"/>
      <c r="HG194" s="134"/>
      <c r="HH194" s="134"/>
      <c r="HI194" s="134"/>
      <c r="HJ194" s="134"/>
      <c r="HK194" s="135"/>
      <c r="HL194" s="135"/>
      <c r="HM194" s="134"/>
      <c r="HN194" s="134"/>
      <c r="HO194" s="134"/>
      <c r="HP194" s="134"/>
      <c r="HQ194" s="134"/>
      <c r="HR194" s="134"/>
      <c r="HS194" s="134"/>
      <c r="HT194" s="134"/>
      <c r="HU194" s="135"/>
      <c r="HV194" s="135"/>
      <c r="HW194" s="134"/>
      <c r="HX194" s="134"/>
      <c r="HY194" s="134"/>
      <c r="HZ194" s="134"/>
      <c r="IA194" s="134"/>
      <c r="IB194" s="134"/>
      <c r="IC194" s="134"/>
      <c r="ID194" s="134"/>
      <c r="IE194" s="135"/>
      <c r="IF194" s="135"/>
      <c r="IG194" s="134"/>
      <c r="IH194" s="134"/>
      <c r="II194" s="134"/>
      <c r="IJ194" s="134"/>
      <c r="IK194" s="134"/>
      <c r="IL194" s="134"/>
      <c r="IM194" s="134"/>
      <c r="IN194" s="134"/>
      <c r="IO194" s="135"/>
      <c r="IP194" s="135"/>
      <c r="IQ194" s="134"/>
      <c r="IR194" s="134"/>
      <c r="IS194" s="134"/>
      <c r="IT194" s="134"/>
      <c r="IU194" s="134"/>
      <c r="IV194" s="134"/>
      <c r="IW194" s="134"/>
      <c r="IX194" s="134"/>
      <c r="IY194" s="135"/>
      <c r="IZ194" s="135"/>
    </row>
    <row r="195" spans="1:260" customFormat="1" ht="17" customHeight="1">
      <c r="A195" s="118" t="s">
        <v>152</v>
      </c>
      <c r="B195" s="363">
        <v>3</v>
      </c>
      <c r="C195" s="363"/>
      <c r="D195" s="363"/>
      <c r="E195" s="139" t="s">
        <v>1955</v>
      </c>
      <c r="F195" s="140" t="s">
        <v>2176</v>
      </c>
      <c r="G195" s="141">
        <v>1999</v>
      </c>
      <c r="H195" s="118">
        <v>10066999</v>
      </c>
      <c r="I195" s="118">
        <v>1</v>
      </c>
      <c r="J195" s="118"/>
      <c r="K195" s="118"/>
      <c r="L195" s="118">
        <v>1</v>
      </c>
      <c r="M195" s="118"/>
      <c r="N195" s="118">
        <v>1</v>
      </c>
      <c r="O195" s="142">
        <v>1</v>
      </c>
      <c r="P195" s="118" t="s">
        <v>11</v>
      </c>
      <c r="Q195" s="118" t="s">
        <v>1162</v>
      </c>
      <c r="R195" s="118" t="s">
        <v>25</v>
      </c>
      <c r="S195" s="118">
        <v>1</v>
      </c>
      <c r="T195" s="118"/>
      <c r="U195" s="118"/>
      <c r="V195" s="118"/>
      <c r="W195" s="118" t="s">
        <v>11</v>
      </c>
      <c r="X195" s="118" t="s">
        <v>24</v>
      </c>
      <c r="Y195" s="118" t="s">
        <v>13</v>
      </c>
      <c r="Z195" s="118"/>
      <c r="AA195" s="118"/>
      <c r="AB195" s="118"/>
      <c r="AC195" s="145"/>
      <c r="AD195" s="573">
        <v>1</v>
      </c>
      <c r="AE195" s="573">
        <v>2</v>
      </c>
      <c r="AF195" s="143">
        <v>1</v>
      </c>
      <c r="AG195" s="144" t="s">
        <v>24</v>
      </c>
      <c r="AH195" s="145">
        <v>2</v>
      </c>
      <c r="AI195" s="488"/>
      <c r="AJ195" s="200"/>
      <c r="AK195" s="192">
        <v>1</v>
      </c>
      <c r="AL195" s="201"/>
      <c r="AM195" s="146">
        <v>24</v>
      </c>
      <c r="AN195" s="146">
        <v>12</v>
      </c>
      <c r="AO195" s="146">
        <v>12</v>
      </c>
      <c r="AP195" s="146" t="s">
        <v>803</v>
      </c>
      <c r="AQ195" s="146" t="s">
        <v>803</v>
      </c>
      <c r="AR195" s="146">
        <v>33.6</v>
      </c>
      <c r="AS195" s="146">
        <v>6.2</v>
      </c>
      <c r="AT195" s="146">
        <v>38.4</v>
      </c>
      <c r="AU195" s="146">
        <v>11.7</v>
      </c>
      <c r="AV195" s="146" t="s">
        <v>1874</v>
      </c>
      <c r="AW195" s="146" t="s">
        <v>24</v>
      </c>
      <c r="AX195" s="146" t="s">
        <v>24</v>
      </c>
      <c r="AY195" s="146" t="s">
        <v>2423</v>
      </c>
      <c r="AZ195" s="146" t="s">
        <v>2605</v>
      </c>
      <c r="BA195" s="146" t="s">
        <v>1875</v>
      </c>
      <c r="BB195" s="146"/>
      <c r="BC195" s="146"/>
      <c r="BD195" s="147">
        <v>1</v>
      </c>
      <c r="BE195" s="147"/>
      <c r="BF195" s="147"/>
      <c r="BG195" s="147"/>
      <c r="BH195" s="147"/>
      <c r="BI195" s="147"/>
      <c r="BJ195" s="147"/>
      <c r="BK195" s="147"/>
      <c r="BL195" s="147"/>
      <c r="BM195" s="147"/>
      <c r="BN195" s="147"/>
      <c r="BO195" s="147"/>
      <c r="BP195" s="147"/>
      <c r="BQ195" s="148" t="s">
        <v>2534</v>
      </c>
      <c r="BR195" s="253" t="s">
        <v>1876</v>
      </c>
      <c r="BS195" s="253">
        <v>2</v>
      </c>
      <c r="BT195" s="253" t="s">
        <v>1488</v>
      </c>
      <c r="BU195" s="253" t="s">
        <v>2470</v>
      </c>
      <c r="BV195" s="150" t="s">
        <v>2400</v>
      </c>
      <c r="BW195" s="258" t="s">
        <v>2546</v>
      </c>
      <c r="BX195" s="151" t="s">
        <v>2457</v>
      </c>
      <c r="BY195" s="150">
        <f>AVERAGE(260.48,172.94)</f>
        <v>216.71</v>
      </c>
      <c r="BZ195" s="150">
        <f>STDEV(260.48,172.94)</f>
        <v>61.900127625070326</v>
      </c>
      <c r="CA195" s="150" t="s">
        <v>24</v>
      </c>
      <c r="CB195" s="151" t="s">
        <v>2456</v>
      </c>
      <c r="CC195" s="150">
        <f>AVERAGE(273.86,190.18)</f>
        <v>232.02</v>
      </c>
      <c r="CD195" s="150">
        <f>STDEV(273.86,190.18)</f>
        <v>59.170695449690392</v>
      </c>
      <c r="CE195" s="150" t="s">
        <v>24</v>
      </c>
      <c r="CF195" s="290"/>
      <c r="CG195" s="291"/>
      <c r="CH195" s="151" t="s">
        <v>2458</v>
      </c>
      <c r="CI195" s="150">
        <f>AVERAGE(267.09,195.19)</f>
        <v>231.14</v>
      </c>
      <c r="CJ195" s="150">
        <f>STDEV(267.09,195.19)</f>
        <v>50.840977567312699</v>
      </c>
      <c r="CK195" s="150" t="s">
        <v>24</v>
      </c>
      <c r="CL195" s="151" t="s">
        <v>2459</v>
      </c>
      <c r="CM195" s="150">
        <f>AVERAGE(241.68,204.87)</f>
        <v>223.27500000000001</v>
      </c>
      <c r="CN195" s="150">
        <f>STDEV(241.68,204.87)</f>
        <v>26.028600615476815</v>
      </c>
      <c r="CO195" s="150" t="s">
        <v>24</v>
      </c>
      <c r="CP195" s="290"/>
      <c r="CQ195" s="291"/>
      <c r="CR195" s="278" t="s">
        <v>2546</v>
      </c>
      <c r="CS195" s="279" t="s">
        <v>2538</v>
      </c>
      <c r="CT195" s="151" t="s">
        <v>24</v>
      </c>
      <c r="CU195" s="150"/>
      <c r="CV195" s="150"/>
      <c r="CW195" s="150"/>
      <c r="CX195" s="151"/>
      <c r="CY195" s="150"/>
      <c r="CZ195" s="150"/>
      <c r="DA195" s="150"/>
      <c r="DB195" s="302"/>
      <c r="DC195" s="303"/>
      <c r="DD195" s="151"/>
      <c r="DE195" s="150"/>
      <c r="DF195" s="150"/>
      <c r="DG195" s="150"/>
      <c r="DH195" s="151"/>
      <c r="DI195" s="150"/>
      <c r="DJ195" s="150"/>
      <c r="DK195" s="150"/>
      <c r="DL195" s="302"/>
      <c r="DM195" s="303"/>
      <c r="DN195" s="278"/>
      <c r="DO195" s="279"/>
      <c r="DP195" s="150"/>
      <c r="DQ195" s="150"/>
      <c r="DR195" s="150"/>
      <c r="DS195" s="150"/>
      <c r="DT195" s="151"/>
      <c r="DU195" s="150"/>
      <c r="DV195" s="150"/>
      <c r="DW195" s="150"/>
      <c r="DX195" s="303"/>
      <c r="DY195" s="303"/>
      <c r="DZ195" s="151"/>
      <c r="EA195" s="150"/>
      <c r="EB195" s="150"/>
      <c r="EC195" s="150"/>
      <c r="ED195" s="151"/>
      <c r="EE195" s="150"/>
      <c r="EF195" s="150"/>
      <c r="EG195" s="150"/>
      <c r="EH195" s="303"/>
      <c r="EI195" s="303"/>
      <c r="EJ195" s="279"/>
      <c r="EK195" s="150"/>
      <c r="EL195" s="150"/>
      <c r="EM195" s="150"/>
      <c r="EN195" s="150"/>
      <c r="EO195" s="150"/>
      <c r="EP195" s="150"/>
      <c r="EQ195" s="150"/>
      <c r="ER195" s="150"/>
      <c r="ES195" s="303"/>
      <c r="ET195" s="303"/>
      <c r="EU195" s="150"/>
      <c r="EV195" s="150"/>
      <c r="EW195" s="150"/>
      <c r="EX195" s="150"/>
      <c r="EY195" s="134"/>
      <c r="EZ195" s="134"/>
      <c r="FA195" s="134"/>
      <c r="FB195" s="134"/>
      <c r="FC195" s="135"/>
      <c r="FD195" s="135"/>
      <c r="FE195" s="134"/>
      <c r="FF195" s="134"/>
      <c r="FG195" s="134"/>
      <c r="FH195" s="134"/>
      <c r="FI195" s="134"/>
      <c r="FJ195" s="134"/>
      <c r="FK195" s="134"/>
      <c r="FL195" s="134"/>
      <c r="FM195" s="135"/>
      <c r="FN195" s="135"/>
      <c r="FO195" s="134"/>
      <c r="FP195" s="134"/>
      <c r="FQ195" s="134"/>
      <c r="FR195" s="134"/>
      <c r="FS195" s="134"/>
      <c r="FT195" s="134"/>
      <c r="FU195" s="134"/>
      <c r="FV195" s="134"/>
      <c r="FW195" s="135"/>
      <c r="FX195" s="135"/>
      <c r="FY195" s="134"/>
      <c r="FZ195" s="134"/>
      <c r="GA195" s="134"/>
      <c r="GB195" s="134"/>
      <c r="GC195" s="134"/>
      <c r="GD195" s="134"/>
      <c r="GE195" s="134"/>
      <c r="GF195" s="134"/>
      <c r="GG195" s="135"/>
      <c r="GH195" s="135"/>
      <c r="GI195" s="134"/>
      <c r="GJ195" s="134"/>
      <c r="GK195" s="134"/>
      <c r="GL195" s="134"/>
      <c r="GM195" s="134"/>
      <c r="GN195" s="134"/>
      <c r="GO195" s="134"/>
      <c r="GP195" s="134"/>
      <c r="GQ195" s="135"/>
      <c r="GR195" s="135"/>
      <c r="GS195" s="134"/>
      <c r="GT195" s="134"/>
      <c r="GU195" s="134"/>
      <c r="GV195" s="134"/>
      <c r="GW195" s="134"/>
      <c r="GX195" s="134"/>
      <c r="GY195" s="134"/>
      <c r="GZ195" s="134"/>
      <c r="HA195" s="135"/>
      <c r="HB195" s="135"/>
      <c r="HC195" s="134"/>
      <c r="HD195" s="134"/>
      <c r="HE195" s="134"/>
      <c r="HF195" s="134"/>
      <c r="HG195" s="134"/>
      <c r="HH195" s="134"/>
      <c r="HI195" s="134"/>
      <c r="HJ195" s="134"/>
      <c r="HK195" s="135"/>
      <c r="HL195" s="135"/>
      <c r="HM195" s="134"/>
      <c r="HN195" s="134"/>
      <c r="HO195" s="134"/>
      <c r="HP195" s="134"/>
      <c r="HQ195" s="134"/>
      <c r="HR195" s="134"/>
      <c r="HS195" s="134"/>
      <c r="HT195" s="134"/>
      <c r="HU195" s="135"/>
      <c r="HV195" s="135"/>
      <c r="HW195" s="134"/>
      <c r="HX195" s="134"/>
      <c r="HY195" s="134"/>
      <c r="HZ195" s="134"/>
      <c r="IA195" s="134"/>
      <c r="IB195" s="134"/>
      <c r="IC195" s="134"/>
      <c r="ID195" s="134"/>
      <c r="IE195" s="135"/>
      <c r="IF195" s="135"/>
      <c r="IG195" s="134"/>
      <c r="IH195" s="134"/>
      <c r="II195" s="134"/>
      <c r="IJ195" s="134"/>
      <c r="IK195" s="134"/>
      <c r="IL195" s="134"/>
      <c r="IM195" s="134"/>
      <c r="IN195" s="134"/>
      <c r="IO195" s="135"/>
      <c r="IP195" s="135"/>
      <c r="IQ195" s="134"/>
      <c r="IR195" s="134"/>
      <c r="IS195" s="134"/>
      <c r="IT195" s="134"/>
      <c r="IU195" s="134"/>
      <c r="IV195" s="134"/>
      <c r="IW195" s="134"/>
      <c r="IX195" s="134"/>
      <c r="IY195" s="135"/>
      <c r="IZ195" s="135"/>
    </row>
    <row r="196" spans="1:260" customFormat="1" ht="17" customHeight="1">
      <c r="A196" s="79" t="s">
        <v>152</v>
      </c>
      <c r="B196" s="363">
        <v>3</v>
      </c>
      <c r="C196" s="363"/>
      <c r="D196" s="363"/>
      <c r="E196" s="123" t="s">
        <v>1955</v>
      </c>
      <c r="F196" s="124" t="s">
        <v>2176</v>
      </c>
      <c r="G196" s="125">
        <v>1999</v>
      </c>
      <c r="H196" s="79">
        <v>10066999</v>
      </c>
      <c r="I196" s="79">
        <v>1</v>
      </c>
      <c r="J196" s="126"/>
      <c r="K196" s="127"/>
      <c r="L196" s="79">
        <v>1</v>
      </c>
      <c r="M196" s="79"/>
      <c r="N196" s="79">
        <v>1</v>
      </c>
      <c r="O196" s="128">
        <v>1</v>
      </c>
      <c r="P196" s="79" t="s">
        <v>11</v>
      </c>
      <c r="Q196" s="79" t="s">
        <v>1162</v>
      </c>
      <c r="R196" s="79" t="s">
        <v>25</v>
      </c>
      <c r="S196" s="79">
        <v>1</v>
      </c>
      <c r="T196" s="79"/>
      <c r="U196" s="79"/>
      <c r="V196" s="79"/>
      <c r="W196" s="79" t="s">
        <v>11</v>
      </c>
      <c r="X196" s="79" t="s">
        <v>24</v>
      </c>
      <c r="Y196" s="79" t="s">
        <v>13</v>
      </c>
      <c r="Z196" s="79"/>
      <c r="AA196" s="79"/>
      <c r="AB196" s="79"/>
      <c r="AC196" s="506"/>
      <c r="AD196" s="573">
        <v>1</v>
      </c>
      <c r="AE196" s="573">
        <v>2</v>
      </c>
      <c r="AF196" s="129">
        <v>1</v>
      </c>
      <c r="AG196" s="130" t="s">
        <v>24</v>
      </c>
      <c r="AH196" s="136">
        <v>2</v>
      </c>
      <c r="AI196" s="489"/>
      <c r="AJ196" s="198"/>
      <c r="AK196" s="192">
        <v>1</v>
      </c>
      <c r="AL196" s="199"/>
      <c r="AM196" s="16">
        <v>24</v>
      </c>
      <c r="AN196" s="16">
        <v>12</v>
      </c>
      <c r="AO196" s="16">
        <v>12</v>
      </c>
      <c r="AP196" s="16" t="s">
        <v>803</v>
      </c>
      <c r="AQ196" s="16" t="s">
        <v>803</v>
      </c>
      <c r="AR196" s="16">
        <v>33.6</v>
      </c>
      <c r="AS196" s="16">
        <v>6.2</v>
      </c>
      <c r="AT196" s="16">
        <v>38.4</v>
      </c>
      <c r="AU196" s="16">
        <v>11.7</v>
      </c>
      <c r="AV196" s="16" t="s">
        <v>1874</v>
      </c>
      <c r="AW196" s="16" t="s">
        <v>24</v>
      </c>
      <c r="AX196" s="16" t="s">
        <v>24</v>
      </c>
      <c r="AY196" s="16" t="s">
        <v>2423</v>
      </c>
      <c r="AZ196" s="16" t="s">
        <v>2605</v>
      </c>
      <c r="BA196" s="16" t="s">
        <v>1875</v>
      </c>
      <c r="BB196" s="16"/>
      <c r="BC196" s="16"/>
      <c r="BD196" s="132">
        <v>1</v>
      </c>
      <c r="BE196" s="132"/>
      <c r="BF196" s="132"/>
      <c r="BG196" s="132"/>
      <c r="BH196" s="132"/>
      <c r="BI196" s="132"/>
      <c r="BJ196" s="132"/>
      <c r="BK196" s="132"/>
      <c r="BL196" s="132"/>
      <c r="BM196" s="132"/>
      <c r="BN196" s="132"/>
      <c r="BO196" s="132"/>
      <c r="BP196" s="132"/>
      <c r="BQ196" s="133" t="s">
        <v>2528</v>
      </c>
      <c r="BR196" s="26" t="s">
        <v>1876</v>
      </c>
      <c r="BS196" s="26">
        <v>2</v>
      </c>
      <c r="BT196" s="26" t="s">
        <v>1488</v>
      </c>
      <c r="BU196" s="26" t="s">
        <v>2470</v>
      </c>
      <c r="BV196" s="134" t="s">
        <v>2400</v>
      </c>
      <c r="BW196" s="255" t="s">
        <v>2533</v>
      </c>
      <c r="BX196" s="264" t="s">
        <v>2448</v>
      </c>
      <c r="BY196" s="134">
        <f>AVERAGE(187.57,247.63)</f>
        <v>217.6</v>
      </c>
      <c r="BZ196" s="134">
        <f>STDEV(187.57,247.63)</f>
        <v>42.468833278064089</v>
      </c>
      <c r="CA196" s="134" t="s">
        <v>24</v>
      </c>
      <c r="CB196" s="519" t="s">
        <v>2449</v>
      </c>
      <c r="CC196" s="134">
        <f>AVERAGE(194.04, 229.522)</f>
        <v>211.78100000000001</v>
      </c>
      <c r="CD196" s="134">
        <f>STDEV(194.04, 229.522)</f>
        <v>25.089562810061079</v>
      </c>
      <c r="CE196" s="134" t="s">
        <v>24</v>
      </c>
      <c r="CF196" s="288" t="s">
        <v>2412</v>
      </c>
      <c r="CG196" s="289" t="s">
        <v>2551</v>
      </c>
      <c r="CH196" s="519" t="s">
        <v>2450</v>
      </c>
      <c r="CI196" s="222">
        <f>AVERAGE(196.09439, 226.00397)</f>
        <v>211.04918000000001</v>
      </c>
      <c r="CJ196" s="222">
        <f>STDEV(196.09439, 226.00397)</f>
        <v>21.149266840441541</v>
      </c>
      <c r="CK196" s="134" t="s">
        <v>24</v>
      </c>
      <c r="CL196" s="264" t="s">
        <v>2451</v>
      </c>
      <c r="CM196" s="134">
        <f>AVERAGE(172.08734, 136.67021)</f>
        <v>154.37877500000002</v>
      </c>
      <c r="CN196" s="134">
        <f>STDEV(172.08734, 136.67021)</f>
        <v>25.043692793165462</v>
      </c>
      <c r="CO196" s="134" t="s">
        <v>24</v>
      </c>
      <c r="CP196" s="288" t="s">
        <v>2411</v>
      </c>
      <c r="CQ196" s="289" t="s">
        <v>2445</v>
      </c>
      <c r="CR196" s="276" t="s">
        <v>2465</v>
      </c>
      <c r="CS196" s="308" t="s">
        <v>2446</v>
      </c>
      <c r="CT196" s="137"/>
      <c r="CU196" s="134"/>
      <c r="CV196" s="168"/>
      <c r="CW196" s="134"/>
      <c r="CX196" s="168"/>
      <c r="CY196" s="134"/>
      <c r="CZ196" s="134"/>
      <c r="DA196" s="134"/>
      <c r="DB196" s="300"/>
      <c r="DC196" s="301" t="s">
        <v>24</v>
      </c>
      <c r="DD196" s="168"/>
      <c r="DE196" s="134"/>
      <c r="DF196" s="168"/>
      <c r="DG196" s="134"/>
      <c r="DH196" s="168"/>
      <c r="DI196" s="134"/>
      <c r="DJ196" s="168"/>
      <c r="DK196" s="134"/>
      <c r="DL196" s="300"/>
      <c r="DM196" s="301"/>
      <c r="DN196" s="276"/>
      <c r="DO196" s="277"/>
      <c r="DP196" s="134"/>
      <c r="DQ196" s="134"/>
      <c r="DR196" s="134"/>
      <c r="DS196" s="134"/>
      <c r="DT196" s="138"/>
      <c r="DU196" s="134"/>
      <c r="DV196" s="134"/>
      <c r="DW196" s="134"/>
      <c r="DX196" s="301"/>
      <c r="DY196" s="301"/>
      <c r="DZ196" s="138"/>
      <c r="EA196" s="134"/>
      <c r="EB196" s="134"/>
      <c r="EC196" s="134"/>
      <c r="ED196" s="138"/>
      <c r="EE196" s="134"/>
      <c r="EF196" s="134"/>
      <c r="EG196" s="134"/>
      <c r="EH196" s="301"/>
      <c r="EI196" s="301"/>
      <c r="EJ196" s="277"/>
      <c r="EK196" s="134"/>
      <c r="EL196" s="134"/>
      <c r="EM196" s="134"/>
      <c r="EN196" s="134"/>
      <c r="EO196" s="134"/>
      <c r="EP196" s="134"/>
      <c r="EQ196" s="134"/>
      <c r="ER196" s="134"/>
      <c r="ES196" s="301"/>
      <c r="ET196" s="301"/>
      <c r="EU196" s="134"/>
      <c r="EV196" s="134"/>
      <c r="EW196" s="134"/>
      <c r="EX196" s="134"/>
      <c r="EY196" s="134"/>
      <c r="EZ196" s="134"/>
      <c r="FA196" s="134"/>
      <c r="FB196" s="134"/>
      <c r="FC196" s="135"/>
      <c r="FD196" s="135"/>
      <c r="FE196" s="134"/>
      <c r="FF196" s="134"/>
      <c r="FG196" s="134"/>
      <c r="FH196" s="134"/>
      <c r="FI196" s="134"/>
      <c r="FJ196" s="134"/>
      <c r="FK196" s="134"/>
      <c r="FL196" s="134"/>
      <c r="FM196" s="135"/>
      <c r="FN196" s="135"/>
      <c r="FO196" s="134"/>
      <c r="FP196" s="134"/>
      <c r="FQ196" s="134"/>
      <c r="FR196" s="134"/>
      <c r="FS196" s="134"/>
      <c r="FT196" s="134"/>
      <c r="FU196" s="134"/>
      <c r="FV196" s="134"/>
      <c r="FW196" s="135"/>
      <c r="FX196" s="135"/>
      <c r="FY196" s="134"/>
      <c r="FZ196" s="134"/>
      <c r="GA196" s="134"/>
      <c r="GB196" s="134"/>
      <c r="GC196" s="134"/>
      <c r="GD196" s="134"/>
      <c r="GE196" s="134"/>
      <c r="GF196" s="134"/>
      <c r="GG196" s="135"/>
      <c r="GH196" s="135"/>
      <c r="GI196" s="134"/>
      <c r="GJ196" s="134"/>
      <c r="GK196" s="134"/>
      <c r="GL196" s="134"/>
      <c r="GM196" s="134"/>
      <c r="GN196" s="134"/>
      <c r="GO196" s="134"/>
      <c r="GP196" s="134"/>
      <c r="GQ196" s="135"/>
      <c r="GR196" s="135"/>
      <c r="GS196" s="134"/>
      <c r="GT196" s="134"/>
      <c r="GU196" s="134"/>
      <c r="GV196" s="134"/>
      <c r="GW196" s="134"/>
      <c r="GX196" s="134"/>
      <c r="GY196" s="134"/>
      <c r="GZ196" s="134"/>
      <c r="HA196" s="135"/>
      <c r="HB196" s="135"/>
      <c r="HC196" s="134"/>
      <c r="HD196" s="134"/>
      <c r="HE196" s="134"/>
      <c r="HF196" s="134"/>
      <c r="HG196" s="134"/>
      <c r="HH196" s="134"/>
      <c r="HI196" s="134"/>
      <c r="HJ196" s="134"/>
      <c r="HK196" s="135"/>
      <c r="HL196" s="135"/>
      <c r="HM196" s="134"/>
      <c r="HN196" s="134"/>
      <c r="HO196" s="134"/>
      <c r="HP196" s="134"/>
      <c r="HQ196" s="134"/>
      <c r="HR196" s="134"/>
      <c r="HS196" s="134"/>
      <c r="HT196" s="134"/>
      <c r="HU196" s="135"/>
      <c r="HV196" s="135"/>
      <c r="HW196" s="134"/>
      <c r="HX196" s="134"/>
      <c r="HY196" s="134"/>
      <c r="HZ196" s="134"/>
      <c r="IA196" s="134"/>
      <c r="IB196" s="134"/>
      <c r="IC196" s="134"/>
      <c r="ID196" s="134"/>
      <c r="IE196" s="135"/>
      <c r="IF196" s="135"/>
      <c r="IG196" s="134"/>
      <c r="IH196" s="134"/>
      <c r="II196" s="134"/>
      <c r="IJ196" s="134"/>
      <c r="IK196" s="134"/>
      <c r="IL196" s="134"/>
      <c r="IM196" s="134"/>
      <c r="IN196" s="134"/>
      <c r="IO196" s="135"/>
      <c r="IP196" s="135"/>
      <c r="IQ196" s="134"/>
      <c r="IR196" s="134"/>
      <c r="IS196" s="134"/>
      <c r="IT196" s="134"/>
      <c r="IU196" s="134"/>
      <c r="IV196" s="134"/>
      <c r="IW196" s="134"/>
      <c r="IX196" s="134"/>
      <c r="IY196" s="135"/>
      <c r="IZ196" s="135"/>
    </row>
    <row r="197" spans="1:260" customFormat="1" ht="17" customHeight="1">
      <c r="A197" s="118" t="s">
        <v>152</v>
      </c>
      <c r="B197" s="363">
        <v>3</v>
      </c>
      <c r="C197" s="363"/>
      <c r="D197" s="363"/>
      <c r="E197" s="139" t="s">
        <v>1955</v>
      </c>
      <c r="F197" s="140" t="s">
        <v>2176</v>
      </c>
      <c r="G197" s="141">
        <v>1999</v>
      </c>
      <c r="H197" s="118">
        <v>10066999</v>
      </c>
      <c r="I197" s="118">
        <v>1</v>
      </c>
      <c r="J197" s="118"/>
      <c r="K197" s="118"/>
      <c r="L197" s="118">
        <v>1</v>
      </c>
      <c r="M197" s="118"/>
      <c r="N197" s="118">
        <v>1</v>
      </c>
      <c r="O197" s="142">
        <v>1</v>
      </c>
      <c r="P197" s="118" t="s">
        <v>11</v>
      </c>
      <c r="Q197" s="118" t="s">
        <v>1162</v>
      </c>
      <c r="R197" s="118" t="s">
        <v>25</v>
      </c>
      <c r="S197" s="118">
        <v>1</v>
      </c>
      <c r="T197" s="118"/>
      <c r="U197" s="118"/>
      <c r="V197" s="118"/>
      <c r="W197" s="118" t="s">
        <v>11</v>
      </c>
      <c r="X197" s="118" t="s">
        <v>24</v>
      </c>
      <c r="Y197" s="118" t="s">
        <v>13</v>
      </c>
      <c r="Z197" s="118"/>
      <c r="AA197" s="118"/>
      <c r="AB197" s="118"/>
      <c r="AC197" s="145"/>
      <c r="AD197" s="573">
        <v>1</v>
      </c>
      <c r="AE197" s="573">
        <v>2</v>
      </c>
      <c r="AF197" s="143">
        <v>1</v>
      </c>
      <c r="AG197" s="144" t="s">
        <v>24</v>
      </c>
      <c r="AH197" s="145">
        <v>2</v>
      </c>
      <c r="AI197" s="488"/>
      <c r="AJ197" s="200"/>
      <c r="AK197" s="192">
        <v>1</v>
      </c>
      <c r="AL197" s="201"/>
      <c r="AM197" s="146">
        <v>24</v>
      </c>
      <c r="AN197" s="146">
        <v>12</v>
      </c>
      <c r="AO197" s="146">
        <v>12</v>
      </c>
      <c r="AP197" s="146" t="s">
        <v>803</v>
      </c>
      <c r="AQ197" s="146" t="s">
        <v>803</v>
      </c>
      <c r="AR197" s="146">
        <v>33.6</v>
      </c>
      <c r="AS197" s="146">
        <v>6.2</v>
      </c>
      <c r="AT197" s="146">
        <v>38.4</v>
      </c>
      <c r="AU197" s="146">
        <v>11.7</v>
      </c>
      <c r="AV197" s="146" t="s">
        <v>1874</v>
      </c>
      <c r="AW197" s="146" t="s">
        <v>24</v>
      </c>
      <c r="AX197" s="146" t="s">
        <v>24</v>
      </c>
      <c r="AY197" s="146" t="s">
        <v>2423</v>
      </c>
      <c r="AZ197" s="146" t="s">
        <v>2605</v>
      </c>
      <c r="BA197" s="146" t="s">
        <v>1875</v>
      </c>
      <c r="BB197" s="146"/>
      <c r="BC197" s="146"/>
      <c r="BD197" s="147">
        <v>1</v>
      </c>
      <c r="BE197" s="147"/>
      <c r="BF197" s="147"/>
      <c r="BG197" s="147"/>
      <c r="BH197" s="147"/>
      <c r="BI197" s="147"/>
      <c r="BJ197" s="147"/>
      <c r="BK197" s="147"/>
      <c r="BL197" s="147"/>
      <c r="BM197" s="147"/>
      <c r="BN197" s="147"/>
      <c r="BO197" s="147"/>
      <c r="BP197" s="147"/>
      <c r="BQ197" s="148" t="s">
        <v>2529</v>
      </c>
      <c r="BR197" s="253" t="s">
        <v>1876</v>
      </c>
      <c r="BS197" s="253">
        <v>2</v>
      </c>
      <c r="BT197" s="253" t="s">
        <v>1488</v>
      </c>
      <c r="BU197" s="253" t="s">
        <v>2470</v>
      </c>
      <c r="BV197" s="150" t="s">
        <v>2400</v>
      </c>
      <c r="BW197" s="258" t="s">
        <v>2532</v>
      </c>
      <c r="BX197" s="151" t="s">
        <v>2452</v>
      </c>
      <c r="BY197" s="150">
        <f>AVERAGE(274.57947, 212.49274, 247.73543)</f>
        <v>244.93588</v>
      </c>
      <c r="BZ197" s="150">
        <f>STDEV(274.57947, 212.49274, 247.73543)</f>
        <v>31.137896856966954</v>
      </c>
      <c r="CA197" s="150" t="s">
        <v>24</v>
      </c>
      <c r="CB197" s="151" t="s">
        <v>2453</v>
      </c>
      <c r="CC197" s="150">
        <f>AVERAGE(219.72,229.35,194.98)</f>
        <v>214.68333333333331</v>
      </c>
      <c r="CD197" s="150">
        <f>STDEV(219.72,229.35,194.98)</f>
        <v>17.729924797734856</v>
      </c>
      <c r="CE197" s="150" t="s">
        <v>24</v>
      </c>
      <c r="CF197" s="290" t="s">
        <v>24</v>
      </c>
      <c r="CG197" s="291"/>
      <c r="CH197" s="151" t="s">
        <v>2454</v>
      </c>
      <c r="CI197" s="150">
        <f>AVERAGE(153.23897, 157.82425, 154.38579)</f>
        <v>155.14966999999999</v>
      </c>
      <c r="CJ197" s="150">
        <f>STDEV(153.23897, 157.82425, 154.38579)</f>
        <v>2.3861753205496106</v>
      </c>
      <c r="CK197" s="150" t="s">
        <v>24</v>
      </c>
      <c r="CL197" s="151" t="s">
        <v>2455</v>
      </c>
      <c r="CM197" s="150">
        <f>AVERAGE(243.01,198.31,196.28)</f>
        <v>212.53333333333333</v>
      </c>
      <c r="CN197" s="150">
        <f>STDEV(243.01,198.31,196.28)</f>
        <v>26.41307693801194</v>
      </c>
      <c r="CO197" s="150" t="s">
        <v>24</v>
      </c>
      <c r="CP197" s="290" t="s">
        <v>24</v>
      </c>
      <c r="CQ197" s="291"/>
      <c r="CR197" s="278"/>
      <c r="CS197" s="285"/>
      <c r="CT197" s="151" t="s">
        <v>24</v>
      </c>
      <c r="CU197" s="150"/>
      <c r="CV197" s="150"/>
      <c r="CW197" s="150"/>
      <c r="CX197" s="151"/>
      <c r="CY197" s="150"/>
      <c r="CZ197" s="150"/>
      <c r="DA197" s="150"/>
      <c r="DB197" s="302"/>
      <c r="DC197" s="303"/>
      <c r="DD197" s="151"/>
      <c r="DE197" s="150"/>
      <c r="DF197" s="150"/>
      <c r="DG197" s="150"/>
      <c r="DH197" s="151"/>
      <c r="DI197" s="150"/>
      <c r="DJ197" s="150"/>
      <c r="DK197" s="150"/>
      <c r="DL197" s="302"/>
      <c r="DM197" s="303"/>
      <c r="DN197" s="278"/>
      <c r="DO197" s="279"/>
      <c r="DP197" s="150"/>
      <c r="DQ197" s="150"/>
      <c r="DR197" s="150"/>
      <c r="DS197" s="150"/>
      <c r="DT197" s="151"/>
      <c r="DU197" s="150"/>
      <c r="DV197" s="150"/>
      <c r="DW197" s="150"/>
      <c r="DX197" s="303"/>
      <c r="DY197" s="303"/>
      <c r="DZ197" s="151"/>
      <c r="EA197" s="150"/>
      <c r="EB197" s="150"/>
      <c r="EC197" s="150"/>
      <c r="ED197" s="151"/>
      <c r="EE197" s="150"/>
      <c r="EF197" s="150"/>
      <c r="EG197" s="150"/>
      <c r="EH197" s="303"/>
      <c r="EI197" s="303"/>
      <c r="EJ197" s="279"/>
      <c r="EK197" s="150"/>
      <c r="EL197" s="150"/>
      <c r="EM197" s="150"/>
      <c r="EN197" s="150"/>
      <c r="EO197" s="150"/>
      <c r="EP197" s="150"/>
      <c r="EQ197" s="150"/>
      <c r="ER197" s="150"/>
      <c r="ES197" s="303"/>
      <c r="ET197" s="303"/>
      <c r="EU197" s="150"/>
      <c r="EV197" s="150"/>
      <c r="EW197" s="150"/>
      <c r="EX197" s="150"/>
      <c r="EY197" s="134"/>
      <c r="EZ197" s="134"/>
      <c r="FA197" s="134"/>
      <c r="FB197" s="134"/>
      <c r="FC197" s="135"/>
      <c r="FD197" s="135"/>
      <c r="FE197" s="134"/>
      <c r="FF197" s="134"/>
      <c r="FG197" s="134"/>
      <c r="FH197" s="134"/>
      <c r="FI197" s="134"/>
      <c r="FJ197" s="134"/>
      <c r="FK197" s="134"/>
      <c r="FL197" s="134"/>
      <c r="FM197" s="135"/>
      <c r="FN197" s="135"/>
      <c r="FO197" s="134"/>
      <c r="FP197" s="134"/>
      <c r="FQ197" s="134"/>
      <c r="FR197" s="134"/>
      <c r="FS197" s="134"/>
      <c r="FT197" s="134"/>
      <c r="FU197" s="134"/>
      <c r="FV197" s="134"/>
      <c r="FW197" s="135"/>
      <c r="FX197" s="135"/>
      <c r="FY197" s="134"/>
      <c r="FZ197" s="134"/>
      <c r="GA197" s="134"/>
      <c r="GB197" s="134"/>
      <c r="GC197" s="134"/>
      <c r="GD197" s="134"/>
      <c r="GE197" s="134"/>
      <c r="GF197" s="134"/>
      <c r="GG197" s="135"/>
      <c r="GH197" s="135"/>
      <c r="GI197" s="134"/>
      <c r="GJ197" s="134"/>
      <c r="GK197" s="134"/>
      <c r="GL197" s="134"/>
      <c r="GM197" s="134"/>
      <c r="GN197" s="134"/>
      <c r="GO197" s="134"/>
      <c r="GP197" s="134"/>
      <c r="GQ197" s="135"/>
      <c r="GR197" s="135"/>
      <c r="GS197" s="134"/>
      <c r="GT197" s="134"/>
      <c r="GU197" s="134"/>
      <c r="GV197" s="134"/>
      <c r="GW197" s="134"/>
      <c r="GX197" s="134"/>
      <c r="GY197" s="134"/>
      <c r="GZ197" s="134"/>
      <c r="HA197" s="135"/>
      <c r="HB197" s="135"/>
      <c r="HC197" s="134"/>
      <c r="HD197" s="134"/>
      <c r="HE197" s="134"/>
      <c r="HF197" s="134"/>
      <c r="HG197" s="134"/>
      <c r="HH197" s="134"/>
      <c r="HI197" s="134"/>
      <c r="HJ197" s="134"/>
      <c r="HK197" s="135"/>
      <c r="HL197" s="135"/>
      <c r="HM197" s="134"/>
      <c r="HN197" s="134"/>
      <c r="HO197" s="134"/>
      <c r="HP197" s="134"/>
      <c r="HQ197" s="134"/>
      <c r="HR197" s="134"/>
      <c r="HS197" s="134"/>
      <c r="HT197" s="134"/>
      <c r="HU197" s="135"/>
      <c r="HV197" s="135"/>
      <c r="HW197" s="134"/>
      <c r="HX197" s="134"/>
      <c r="HY197" s="134"/>
      <c r="HZ197" s="134"/>
      <c r="IA197" s="134"/>
      <c r="IB197" s="134"/>
      <c r="IC197" s="134"/>
      <c r="ID197" s="134"/>
      <c r="IE197" s="135"/>
      <c r="IF197" s="135"/>
      <c r="IG197" s="134"/>
      <c r="IH197" s="134"/>
      <c r="II197" s="134"/>
      <c r="IJ197" s="134"/>
      <c r="IK197" s="134"/>
      <c r="IL197" s="134"/>
      <c r="IM197" s="134"/>
      <c r="IN197" s="134"/>
      <c r="IO197" s="135"/>
      <c r="IP197" s="135"/>
      <c r="IQ197" s="134"/>
      <c r="IR197" s="134"/>
      <c r="IS197" s="134"/>
      <c r="IT197" s="134"/>
      <c r="IU197" s="134"/>
      <c r="IV197" s="134"/>
      <c r="IW197" s="134"/>
      <c r="IX197" s="134"/>
      <c r="IY197" s="135"/>
      <c r="IZ197" s="135"/>
    </row>
    <row r="198" spans="1:260" customFormat="1" ht="17" customHeight="1">
      <c r="A198" s="118" t="s">
        <v>152</v>
      </c>
      <c r="B198" s="363">
        <v>3</v>
      </c>
      <c r="C198" s="363"/>
      <c r="D198" s="363"/>
      <c r="E198" s="139" t="s">
        <v>1955</v>
      </c>
      <c r="F198" s="140" t="s">
        <v>2176</v>
      </c>
      <c r="G198" s="141">
        <v>1999</v>
      </c>
      <c r="H198" s="118">
        <v>10066999</v>
      </c>
      <c r="I198" s="118">
        <v>1</v>
      </c>
      <c r="J198" s="118"/>
      <c r="K198" s="118"/>
      <c r="L198" s="118">
        <v>1</v>
      </c>
      <c r="M198" s="118"/>
      <c r="N198" s="118">
        <v>1</v>
      </c>
      <c r="O198" s="142">
        <v>1</v>
      </c>
      <c r="P198" s="118" t="s">
        <v>11</v>
      </c>
      <c r="Q198" s="118" t="s">
        <v>1162</v>
      </c>
      <c r="R198" s="118" t="s">
        <v>25</v>
      </c>
      <c r="S198" s="118">
        <v>1</v>
      </c>
      <c r="T198" s="118"/>
      <c r="U198" s="118"/>
      <c r="V198" s="118"/>
      <c r="W198" s="118" t="s">
        <v>11</v>
      </c>
      <c r="X198" s="118" t="s">
        <v>24</v>
      </c>
      <c r="Y198" s="118" t="s">
        <v>13</v>
      </c>
      <c r="Z198" s="118"/>
      <c r="AA198" s="118"/>
      <c r="AB198" s="118"/>
      <c r="AC198" s="145"/>
      <c r="AD198" s="573">
        <v>1</v>
      </c>
      <c r="AE198" s="573">
        <v>2</v>
      </c>
      <c r="AF198" s="143">
        <v>1</v>
      </c>
      <c r="AG198" s="144" t="s">
        <v>24</v>
      </c>
      <c r="AH198" s="145">
        <v>2</v>
      </c>
      <c r="AI198" s="488"/>
      <c r="AJ198" s="200"/>
      <c r="AK198" s="192">
        <v>1</v>
      </c>
      <c r="AL198" s="201"/>
      <c r="AM198" s="146">
        <v>24</v>
      </c>
      <c r="AN198" s="146">
        <v>12</v>
      </c>
      <c r="AO198" s="146">
        <v>12</v>
      </c>
      <c r="AP198" s="146" t="s">
        <v>803</v>
      </c>
      <c r="AQ198" s="146" t="s">
        <v>803</v>
      </c>
      <c r="AR198" s="145">
        <v>33.6</v>
      </c>
      <c r="AS198" s="146">
        <v>6.2</v>
      </c>
      <c r="AT198" s="146">
        <v>38.4</v>
      </c>
      <c r="AU198" s="146">
        <v>11.7</v>
      </c>
      <c r="AV198" s="146" t="s">
        <v>1874</v>
      </c>
      <c r="AW198" s="146" t="s">
        <v>24</v>
      </c>
      <c r="AX198" s="146" t="s">
        <v>24</v>
      </c>
      <c r="AY198" s="146" t="s">
        <v>2423</v>
      </c>
      <c r="AZ198" s="146" t="s">
        <v>2605</v>
      </c>
      <c r="BA198" s="146" t="s">
        <v>1875</v>
      </c>
      <c r="BB198" s="146"/>
      <c r="BC198" s="146"/>
      <c r="BD198" s="147">
        <v>1</v>
      </c>
      <c r="BE198" s="147"/>
      <c r="BF198" s="147"/>
      <c r="BG198" s="147"/>
      <c r="BH198" s="147"/>
      <c r="BI198" s="147"/>
      <c r="BJ198" s="147"/>
      <c r="BK198" s="147"/>
      <c r="BL198" s="147"/>
      <c r="BM198" s="147"/>
      <c r="BN198" s="147"/>
      <c r="BO198" s="147"/>
      <c r="BP198" s="147"/>
      <c r="BQ198" s="148" t="s">
        <v>2530</v>
      </c>
      <c r="BR198" s="253" t="s">
        <v>1876</v>
      </c>
      <c r="BS198" s="253">
        <v>2</v>
      </c>
      <c r="BT198" s="253" t="s">
        <v>1488</v>
      </c>
      <c r="BU198" s="253" t="s">
        <v>2470</v>
      </c>
      <c r="BV198" s="150" t="s">
        <v>2400</v>
      </c>
      <c r="BW198" s="258" t="s">
        <v>2531</v>
      </c>
      <c r="BX198" s="151" t="s">
        <v>2460</v>
      </c>
      <c r="BY198" s="228">
        <f>AVERAGE(195.72,224.54)</f>
        <v>210.13</v>
      </c>
      <c r="BZ198" s="150">
        <f>STDEV(195.72,224.54)</f>
        <v>20.378817433796296</v>
      </c>
      <c r="CA198" s="150" t="s">
        <v>24</v>
      </c>
      <c r="CB198" s="151" t="s">
        <v>2461</v>
      </c>
      <c r="CC198" s="150">
        <f>AVERAGE(174.011,132.523)</f>
        <v>153.267</v>
      </c>
      <c r="CD198" s="150">
        <f>STDEV(174.011,132.523)</f>
        <v>29.336446137867533</v>
      </c>
      <c r="CE198" s="150" t="s">
        <v>24</v>
      </c>
      <c r="CF198" s="290"/>
      <c r="CG198" s="291"/>
      <c r="CH198" s="151" t="s">
        <v>2462</v>
      </c>
      <c r="CI198" s="150">
        <f>AVERAGE(183.79,246.16)</f>
        <v>214.97499999999999</v>
      </c>
      <c r="CJ198" s="150">
        <f>STDEV(183.79,246.16)</f>
        <v>44.1022499426049</v>
      </c>
      <c r="CK198" s="150" t="s">
        <v>24</v>
      </c>
      <c r="CL198" s="151" t="s">
        <v>2463</v>
      </c>
      <c r="CM198" s="150">
        <f>AVERAGE(189.84,229.23)</f>
        <v>209.535</v>
      </c>
      <c r="CN198" s="150">
        <f>STDEV(189.84,229.23)</f>
        <v>27.852936110938099</v>
      </c>
      <c r="CO198" s="150" t="s">
        <v>24</v>
      </c>
      <c r="CP198" s="290"/>
      <c r="CQ198" s="291"/>
      <c r="CR198" s="278" t="s">
        <v>2535</v>
      </c>
      <c r="CS198" s="279" t="s">
        <v>2464</v>
      </c>
      <c r="CT198" s="151" t="s">
        <v>24</v>
      </c>
      <c r="CU198" s="150"/>
      <c r="CV198" s="150"/>
      <c r="CW198" s="150"/>
      <c r="CX198" s="151"/>
      <c r="CY198" s="150"/>
      <c r="CZ198" s="150"/>
      <c r="DA198" s="150"/>
      <c r="DB198" s="302"/>
      <c r="DC198" s="303"/>
      <c r="DD198" s="151"/>
      <c r="DE198" s="150"/>
      <c r="DF198" s="150"/>
      <c r="DG198" s="150"/>
      <c r="DH198" s="151"/>
      <c r="DI198" s="150"/>
      <c r="DJ198" s="150"/>
      <c r="DK198" s="150"/>
      <c r="DL198" s="302"/>
      <c r="DM198" s="303"/>
      <c r="DN198" s="278"/>
      <c r="DO198" s="279"/>
      <c r="DP198" s="150"/>
      <c r="DQ198" s="150"/>
      <c r="DR198" s="150"/>
      <c r="DS198" s="150"/>
      <c r="DT198" s="151"/>
      <c r="DU198" s="150"/>
      <c r="DV198" s="150"/>
      <c r="DW198" s="150"/>
      <c r="DX198" s="303"/>
      <c r="DY198" s="303"/>
      <c r="DZ198" s="151"/>
      <c r="EA198" s="150"/>
      <c r="EB198" s="150"/>
      <c r="EC198" s="150"/>
      <c r="ED198" s="151"/>
      <c r="EE198" s="150"/>
      <c r="EF198" s="150"/>
      <c r="EG198" s="150"/>
      <c r="EH198" s="303"/>
      <c r="EI198" s="303"/>
      <c r="EJ198" s="279"/>
      <c r="EK198" s="150"/>
      <c r="EL198" s="150"/>
      <c r="EM198" s="150"/>
      <c r="EN198" s="150"/>
      <c r="EO198" s="150"/>
      <c r="EP198" s="150"/>
      <c r="EQ198" s="150"/>
      <c r="ER198" s="150"/>
      <c r="ES198" s="303"/>
      <c r="ET198" s="303"/>
      <c r="EU198" s="150"/>
      <c r="EV198" s="150"/>
      <c r="EW198" s="150"/>
      <c r="EX198" s="150"/>
      <c r="EY198" s="134"/>
      <c r="EZ198" s="134"/>
      <c r="FA198" s="134"/>
      <c r="FB198" s="134"/>
      <c r="FC198" s="135"/>
      <c r="FD198" s="135"/>
      <c r="FE198" s="134"/>
      <c r="FF198" s="134"/>
      <c r="FG198" s="134"/>
      <c r="FH198" s="134"/>
      <c r="FI198" s="134"/>
      <c r="FJ198" s="134"/>
      <c r="FK198" s="134"/>
      <c r="FL198" s="134"/>
      <c r="FM198" s="135"/>
      <c r="FN198" s="135"/>
      <c r="FO198" s="134"/>
      <c r="FP198" s="134"/>
      <c r="FQ198" s="134"/>
      <c r="FR198" s="134"/>
      <c r="FS198" s="134"/>
      <c r="FT198" s="134"/>
      <c r="FU198" s="134"/>
      <c r="FV198" s="134"/>
      <c r="FW198" s="135"/>
      <c r="FX198" s="135"/>
      <c r="FY198" s="134"/>
      <c r="FZ198" s="134"/>
      <c r="GA198" s="134"/>
      <c r="GB198" s="134"/>
      <c r="GC198" s="134"/>
      <c r="GD198" s="134"/>
      <c r="GE198" s="134"/>
      <c r="GF198" s="134"/>
      <c r="GG198" s="135"/>
      <c r="GH198" s="135"/>
      <c r="GI198" s="134"/>
      <c r="GJ198" s="134"/>
      <c r="GK198" s="134"/>
      <c r="GL198" s="134"/>
      <c r="GM198" s="134"/>
      <c r="GN198" s="134"/>
      <c r="GO198" s="134"/>
      <c r="GP198" s="134"/>
      <c r="GQ198" s="135"/>
      <c r="GR198" s="135"/>
      <c r="GS198" s="134"/>
      <c r="GT198" s="134"/>
      <c r="GU198" s="134"/>
      <c r="GV198" s="134"/>
      <c r="GW198" s="134"/>
      <c r="GX198" s="134"/>
      <c r="GY198" s="134"/>
      <c r="GZ198" s="134"/>
      <c r="HA198" s="135"/>
      <c r="HB198" s="135"/>
      <c r="HC198" s="134"/>
      <c r="HD198" s="134"/>
      <c r="HE198" s="134"/>
      <c r="HF198" s="134"/>
      <c r="HG198" s="134"/>
      <c r="HH198" s="134"/>
      <c r="HI198" s="134"/>
      <c r="HJ198" s="134"/>
      <c r="HK198" s="135"/>
      <c r="HL198" s="135"/>
      <c r="HM198" s="134"/>
      <c r="HN198" s="134"/>
      <c r="HO198" s="134"/>
      <c r="HP198" s="134"/>
      <c r="HQ198" s="134"/>
      <c r="HR198" s="134"/>
      <c r="HS198" s="134"/>
      <c r="HT198" s="134"/>
      <c r="HU198" s="135"/>
      <c r="HV198" s="135"/>
      <c r="HW198" s="134"/>
      <c r="HX198" s="134"/>
      <c r="HY198" s="134"/>
      <c r="HZ198" s="134"/>
      <c r="IA198" s="134"/>
      <c r="IB198" s="134"/>
      <c r="IC198" s="134"/>
      <c r="ID198" s="134"/>
      <c r="IE198" s="135"/>
      <c r="IF198" s="135"/>
      <c r="IG198" s="134"/>
      <c r="IH198" s="134"/>
      <c r="II198" s="134"/>
      <c r="IJ198" s="134"/>
      <c r="IK198" s="134"/>
      <c r="IL198" s="134"/>
      <c r="IM198" s="134"/>
      <c r="IN198" s="134"/>
      <c r="IO198" s="135"/>
      <c r="IP198" s="135"/>
      <c r="IQ198" s="134"/>
      <c r="IR198" s="134"/>
      <c r="IS198" s="134"/>
      <c r="IT198" s="134"/>
      <c r="IU198" s="134"/>
      <c r="IV198" s="134"/>
      <c r="IW198" s="134"/>
      <c r="IX198" s="134"/>
      <c r="IY198" s="135"/>
      <c r="IZ198" s="135"/>
    </row>
    <row r="199" spans="1:260" customFormat="1" ht="17" customHeight="1">
      <c r="A199" s="79" t="s">
        <v>153</v>
      </c>
      <c r="B199" s="363">
        <v>17</v>
      </c>
      <c r="C199" s="363"/>
      <c r="D199" s="363"/>
      <c r="E199" s="123" t="s">
        <v>1955</v>
      </c>
      <c r="F199" s="124" t="s">
        <v>2177</v>
      </c>
      <c r="G199" s="125">
        <v>1998</v>
      </c>
      <c r="H199" s="79">
        <v>9821567</v>
      </c>
      <c r="I199" s="79">
        <v>1</v>
      </c>
      <c r="J199" s="126"/>
      <c r="K199" s="127"/>
      <c r="L199" s="79">
        <v>1</v>
      </c>
      <c r="M199" s="79"/>
      <c r="N199" s="79">
        <v>1</v>
      </c>
      <c r="O199" s="128">
        <v>1</v>
      </c>
      <c r="P199" s="79" t="s">
        <v>468</v>
      </c>
      <c r="Q199" s="79" t="s">
        <v>1162</v>
      </c>
      <c r="R199" s="79" t="s">
        <v>25</v>
      </c>
      <c r="S199" s="79">
        <v>1</v>
      </c>
      <c r="T199" s="79"/>
      <c r="U199" s="79"/>
      <c r="V199" s="79"/>
      <c r="W199" s="79" t="s">
        <v>11</v>
      </c>
      <c r="X199" s="79" t="s">
        <v>24</v>
      </c>
      <c r="Y199" s="79" t="s">
        <v>13</v>
      </c>
      <c r="Z199" s="79"/>
      <c r="AA199" s="79"/>
      <c r="AB199" s="79"/>
      <c r="AC199" s="506"/>
      <c r="AD199" s="573">
        <v>1</v>
      </c>
      <c r="AE199" s="573">
        <v>2</v>
      </c>
      <c r="AF199" s="154">
        <v>1</v>
      </c>
      <c r="AG199" s="155"/>
      <c r="AH199" s="121">
        <v>2</v>
      </c>
      <c r="AI199" s="484"/>
      <c r="AJ199" s="202" t="s">
        <v>2881</v>
      </c>
      <c r="AK199" s="192">
        <v>1</v>
      </c>
      <c r="AL199" s="203">
        <v>0</v>
      </c>
      <c r="AM199" s="121">
        <f>34+17+14</f>
        <v>65</v>
      </c>
      <c r="AN199" s="121">
        <v>34</v>
      </c>
      <c r="AO199" s="121" t="s">
        <v>2873</v>
      </c>
      <c r="AP199" s="121" t="s">
        <v>24</v>
      </c>
      <c r="AQ199" s="121" t="s">
        <v>24</v>
      </c>
      <c r="AR199" s="121">
        <v>46</v>
      </c>
      <c r="AS199" s="121">
        <v>3.4</v>
      </c>
      <c r="AT199" s="121">
        <f>(42.2 + 44.5) / 2</f>
        <v>43.35</v>
      </c>
      <c r="AU199" s="121">
        <f xml:space="preserve"> (4.8+3.9) /2</f>
        <v>4.3499999999999996</v>
      </c>
      <c r="AV199" s="121" t="s">
        <v>1874</v>
      </c>
      <c r="AW199" s="121" t="s">
        <v>24</v>
      </c>
      <c r="AX199" s="121" t="s">
        <v>24</v>
      </c>
      <c r="AY199" s="121" t="s">
        <v>2874</v>
      </c>
      <c r="AZ199" s="121" t="s">
        <v>2875</v>
      </c>
      <c r="BA199" s="121" t="s">
        <v>2876</v>
      </c>
      <c r="BB199" s="121"/>
      <c r="BC199" s="121"/>
      <c r="BD199" s="156">
        <v>1</v>
      </c>
      <c r="BE199" s="156"/>
      <c r="BF199" s="156"/>
      <c r="BG199" s="156"/>
      <c r="BH199" s="156"/>
      <c r="BI199" s="156"/>
      <c r="BJ199" s="156"/>
      <c r="BK199" s="156"/>
      <c r="BL199" s="156"/>
      <c r="BM199" s="156"/>
      <c r="BN199" s="156"/>
      <c r="BO199" s="156"/>
      <c r="BP199" s="156"/>
      <c r="BQ199" s="157" t="s">
        <v>2879</v>
      </c>
      <c r="BR199" s="134" t="s">
        <v>1876</v>
      </c>
      <c r="BS199" s="134">
        <v>3</v>
      </c>
      <c r="BT199" s="134" t="s">
        <v>2877</v>
      </c>
      <c r="BU199" s="134" t="s">
        <v>2470</v>
      </c>
      <c r="BV199" s="134" t="s">
        <v>2878</v>
      </c>
      <c r="BW199" s="259" t="s">
        <v>2906</v>
      </c>
      <c r="BX199" s="138" t="s">
        <v>2884</v>
      </c>
      <c r="BY199" s="134">
        <v>163.935</v>
      </c>
      <c r="BZ199" s="134" t="s">
        <v>2882</v>
      </c>
      <c r="CA199" s="134" t="s">
        <v>2882</v>
      </c>
      <c r="CB199" s="138" t="s">
        <v>2885</v>
      </c>
      <c r="CC199" s="134">
        <v>174.70599999999999</v>
      </c>
      <c r="CD199" s="134" t="s">
        <v>2882</v>
      </c>
      <c r="CE199" s="134" t="s">
        <v>2882</v>
      </c>
      <c r="CF199" s="288" t="s">
        <v>24</v>
      </c>
      <c r="CG199" s="289" t="s">
        <v>24</v>
      </c>
      <c r="CH199" s="138" t="s">
        <v>2886</v>
      </c>
      <c r="CI199" s="134">
        <v>175.476</v>
      </c>
      <c r="CJ199" s="134" t="s">
        <v>2882</v>
      </c>
      <c r="CK199" s="134" t="s">
        <v>2882</v>
      </c>
      <c r="CL199" s="138" t="s">
        <v>24</v>
      </c>
      <c r="CM199" s="134" t="s">
        <v>24</v>
      </c>
      <c r="CN199" s="134" t="s">
        <v>24</v>
      </c>
      <c r="CO199" s="134" t="s">
        <v>24</v>
      </c>
      <c r="CP199" s="288" t="s">
        <v>24</v>
      </c>
      <c r="CQ199" s="289" t="s">
        <v>24</v>
      </c>
      <c r="CR199" s="309" t="s">
        <v>24</v>
      </c>
      <c r="CS199" s="308" t="s">
        <v>24</v>
      </c>
      <c r="CT199" s="138" t="s">
        <v>2887</v>
      </c>
      <c r="CU199" s="134">
        <v>110.187</v>
      </c>
      <c r="CV199" s="134" t="s">
        <v>2882</v>
      </c>
      <c r="CW199" s="134" t="s">
        <v>2882</v>
      </c>
      <c r="CX199" s="138" t="s">
        <v>2888</v>
      </c>
      <c r="CY199" s="134">
        <v>134.80500000000001</v>
      </c>
      <c r="CZ199" s="134" t="s">
        <v>2882</v>
      </c>
      <c r="DA199" s="134" t="s">
        <v>2882</v>
      </c>
      <c r="DB199" s="300" t="s">
        <v>24</v>
      </c>
      <c r="DC199" s="301" t="s">
        <v>24</v>
      </c>
      <c r="DD199" s="138" t="s">
        <v>2889</v>
      </c>
      <c r="DE199" s="134">
        <v>222.495</v>
      </c>
      <c r="DF199" s="134" t="s">
        <v>2882</v>
      </c>
      <c r="DG199" s="134" t="s">
        <v>2882</v>
      </c>
      <c r="DH199" s="138" t="s">
        <v>24</v>
      </c>
      <c r="DI199" s="134" t="s">
        <v>24</v>
      </c>
      <c r="DJ199" s="134" t="s">
        <v>24</v>
      </c>
      <c r="DK199" s="134" t="s">
        <v>24</v>
      </c>
      <c r="DL199" s="300" t="s">
        <v>24</v>
      </c>
      <c r="DM199" s="301" t="s">
        <v>24</v>
      </c>
      <c r="DN199" s="319" t="s">
        <v>2883</v>
      </c>
      <c r="DO199" s="277"/>
      <c r="DP199" s="138" t="s">
        <v>2892</v>
      </c>
      <c r="DQ199" s="134">
        <v>194.131</v>
      </c>
      <c r="DR199" s="134" t="s">
        <v>2882</v>
      </c>
      <c r="DS199" s="134" t="s">
        <v>2882</v>
      </c>
      <c r="DT199" s="138" t="s">
        <v>2891</v>
      </c>
      <c r="DU199" s="134">
        <v>196.43899999999999</v>
      </c>
      <c r="DV199" s="134" t="s">
        <v>2882</v>
      </c>
      <c r="DW199" s="134" t="s">
        <v>2882</v>
      </c>
      <c r="DX199" s="301" t="s">
        <v>24</v>
      </c>
      <c r="DY199" s="301" t="s">
        <v>24</v>
      </c>
      <c r="DZ199" s="138" t="s">
        <v>2890</v>
      </c>
      <c r="EA199" s="134">
        <v>412.01799999999997</v>
      </c>
      <c r="EB199" s="134" t="s">
        <v>2882</v>
      </c>
      <c r="EC199" s="134" t="s">
        <v>2882</v>
      </c>
      <c r="ED199" s="138" t="s">
        <v>24</v>
      </c>
      <c r="EE199" s="134" t="s">
        <v>24</v>
      </c>
      <c r="EF199" s="134" t="s">
        <v>24</v>
      </c>
      <c r="EG199" s="134" t="s">
        <v>24</v>
      </c>
      <c r="EH199" s="301" t="s">
        <v>24</v>
      </c>
      <c r="EI199" s="301" t="s">
        <v>24</v>
      </c>
      <c r="EJ199" s="277" t="s">
        <v>2905</v>
      </c>
      <c r="EK199" s="134"/>
      <c r="EL199" s="134"/>
      <c r="EM199" s="134"/>
      <c r="EN199" s="134"/>
      <c r="EO199" s="134"/>
      <c r="EP199" s="134"/>
      <c r="EQ199" s="134"/>
      <c r="ER199" s="134"/>
      <c r="ES199" s="301"/>
      <c r="ET199" s="301"/>
      <c r="EU199" s="134"/>
      <c r="EV199" s="134"/>
      <c r="EW199" s="134"/>
      <c r="EX199" s="134"/>
      <c r="EY199" s="134"/>
      <c r="EZ199" s="134"/>
      <c r="FA199" s="134"/>
      <c r="FB199" s="134"/>
      <c r="FC199" s="135"/>
      <c r="FD199" s="135"/>
      <c r="FE199" s="134"/>
      <c r="FF199" s="134"/>
      <c r="FG199" s="134"/>
      <c r="FH199" s="134"/>
      <c r="FI199" s="134"/>
      <c r="FJ199" s="134"/>
      <c r="FK199" s="134"/>
      <c r="FL199" s="134"/>
      <c r="FM199" s="135"/>
      <c r="FN199" s="135"/>
      <c r="FO199" s="134"/>
      <c r="FP199" s="134"/>
      <c r="FQ199" s="134"/>
      <c r="FR199" s="134"/>
      <c r="FS199" s="134"/>
      <c r="FT199" s="134"/>
      <c r="FU199" s="134"/>
      <c r="FV199" s="134"/>
      <c r="FW199" s="135"/>
      <c r="FX199" s="135"/>
      <c r="FY199" s="134"/>
      <c r="FZ199" s="134"/>
      <c r="GA199" s="134"/>
      <c r="GB199" s="134"/>
      <c r="GC199" s="134"/>
      <c r="GD199" s="134"/>
      <c r="GE199" s="134"/>
      <c r="GF199" s="134"/>
      <c r="GG199" s="135"/>
      <c r="GH199" s="135"/>
      <c r="GI199" s="134"/>
      <c r="GJ199" s="134"/>
      <c r="GK199" s="134"/>
      <c r="GL199" s="134"/>
      <c r="GM199" s="134"/>
      <c r="GN199" s="134"/>
      <c r="GO199" s="134"/>
      <c r="GP199" s="134"/>
      <c r="GQ199" s="135"/>
      <c r="GR199" s="135"/>
      <c r="GS199" s="134"/>
      <c r="GT199" s="134"/>
      <c r="GU199" s="134"/>
      <c r="GV199" s="134"/>
      <c r="GW199" s="134"/>
      <c r="GX199" s="134"/>
      <c r="GY199" s="134"/>
      <c r="GZ199" s="134"/>
      <c r="HA199" s="135"/>
      <c r="HB199" s="135"/>
      <c r="HC199" s="134"/>
      <c r="HD199" s="134"/>
      <c r="HE199" s="134"/>
      <c r="HF199" s="134"/>
      <c r="HG199" s="134"/>
      <c r="HH199" s="134"/>
      <c r="HI199" s="134"/>
      <c r="HJ199" s="134"/>
      <c r="HK199" s="135"/>
      <c r="HL199" s="135"/>
      <c r="HM199" s="134"/>
      <c r="HN199" s="134"/>
      <c r="HO199" s="134"/>
      <c r="HP199" s="134"/>
      <c r="HQ199" s="134"/>
      <c r="HR199" s="134"/>
      <c r="HS199" s="134"/>
      <c r="HT199" s="134"/>
      <c r="HU199" s="135"/>
      <c r="HV199" s="135"/>
      <c r="HW199" s="134"/>
      <c r="HX199" s="134"/>
      <c r="HY199" s="134"/>
      <c r="HZ199" s="134"/>
      <c r="IA199" s="134"/>
      <c r="IB199" s="134"/>
      <c r="IC199" s="134"/>
      <c r="ID199" s="134"/>
      <c r="IE199" s="135"/>
      <c r="IF199" s="135"/>
      <c r="IG199" s="134"/>
      <c r="IH199" s="134"/>
      <c r="II199" s="134"/>
      <c r="IJ199" s="134"/>
      <c r="IK199" s="134"/>
      <c r="IL199" s="134"/>
      <c r="IM199" s="134"/>
      <c r="IN199" s="134"/>
      <c r="IO199" s="135"/>
      <c r="IP199" s="135"/>
      <c r="IQ199" s="134"/>
      <c r="IR199" s="134"/>
      <c r="IS199" s="134"/>
      <c r="IT199" s="134"/>
      <c r="IU199" s="134"/>
      <c r="IV199" s="134"/>
      <c r="IW199" s="134"/>
      <c r="IX199" s="134"/>
      <c r="IY199" s="135"/>
      <c r="IZ199" s="135"/>
    </row>
    <row r="200" spans="1:260" customFormat="1" ht="17" customHeight="1">
      <c r="A200" s="118" t="s">
        <v>153</v>
      </c>
      <c r="B200" s="363">
        <v>17</v>
      </c>
      <c r="C200" s="363"/>
      <c r="D200" s="363"/>
      <c r="E200" s="139" t="s">
        <v>1955</v>
      </c>
      <c r="F200" s="140" t="s">
        <v>2177</v>
      </c>
      <c r="G200" s="141">
        <v>1998</v>
      </c>
      <c r="H200" s="118">
        <v>9821567</v>
      </c>
      <c r="I200" s="118">
        <v>1</v>
      </c>
      <c r="J200" s="118"/>
      <c r="K200" s="118"/>
      <c r="L200" s="118">
        <v>1</v>
      </c>
      <c r="M200" s="118"/>
      <c r="N200" s="118">
        <v>1</v>
      </c>
      <c r="O200" s="142">
        <v>1</v>
      </c>
      <c r="P200" s="118" t="s">
        <v>468</v>
      </c>
      <c r="Q200" s="118" t="s">
        <v>1162</v>
      </c>
      <c r="R200" s="118" t="s">
        <v>25</v>
      </c>
      <c r="S200" s="118">
        <v>1</v>
      </c>
      <c r="T200" s="118"/>
      <c r="U200" s="118"/>
      <c r="V200" s="118"/>
      <c r="W200" s="118" t="s">
        <v>11</v>
      </c>
      <c r="X200" s="118" t="s">
        <v>24</v>
      </c>
      <c r="Y200" s="118" t="s">
        <v>13</v>
      </c>
      <c r="Z200" s="118"/>
      <c r="AA200" s="118"/>
      <c r="AB200" s="118"/>
      <c r="AC200" s="145"/>
      <c r="AD200" s="573">
        <v>1</v>
      </c>
      <c r="AE200" s="573">
        <v>2</v>
      </c>
      <c r="AF200" s="159">
        <v>1</v>
      </c>
      <c r="AG200" s="160" t="s">
        <v>2910</v>
      </c>
      <c r="AH200" s="122">
        <v>2</v>
      </c>
      <c r="AI200" s="485"/>
      <c r="AJ200" s="204" t="s">
        <v>2909</v>
      </c>
      <c r="AK200" s="192">
        <v>1</v>
      </c>
      <c r="AL200" s="205">
        <v>0</v>
      </c>
      <c r="AM200" s="122">
        <f>34+17+14</f>
        <v>65</v>
      </c>
      <c r="AN200" s="122">
        <v>34</v>
      </c>
      <c r="AO200" s="122" t="s">
        <v>2873</v>
      </c>
      <c r="AP200" s="122" t="s">
        <v>24</v>
      </c>
      <c r="AQ200" s="122" t="s">
        <v>24</v>
      </c>
      <c r="AR200" s="122">
        <v>46</v>
      </c>
      <c r="AS200" s="122">
        <v>3.4</v>
      </c>
      <c r="AT200" s="122">
        <f>(42.2 + 44.5) / 2</f>
        <v>43.35</v>
      </c>
      <c r="AU200" s="122">
        <f xml:space="preserve"> (4.8+3.9) /2</f>
        <v>4.3499999999999996</v>
      </c>
      <c r="AV200" s="122" t="s">
        <v>1874</v>
      </c>
      <c r="AW200" s="122" t="s">
        <v>24</v>
      </c>
      <c r="AX200" s="122" t="s">
        <v>24</v>
      </c>
      <c r="AY200" s="122" t="s">
        <v>2874</v>
      </c>
      <c r="AZ200" s="122" t="s">
        <v>2875</v>
      </c>
      <c r="BA200" s="122" t="s">
        <v>2876</v>
      </c>
      <c r="BB200" s="122"/>
      <c r="BC200" s="122"/>
      <c r="BD200" s="161">
        <v>1</v>
      </c>
      <c r="BE200" s="161"/>
      <c r="BF200" s="161"/>
      <c r="BG200" s="161"/>
      <c r="BH200" s="161"/>
      <c r="BI200" s="161"/>
      <c r="BJ200" s="161"/>
      <c r="BK200" s="161"/>
      <c r="BL200" s="161"/>
      <c r="BM200" s="161"/>
      <c r="BN200" s="161"/>
      <c r="BO200" s="161"/>
      <c r="BP200" s="161"/>
      <c r="BQ200" s="162" t="s">
        <v>2880</v>
      </c>
      <c r="BR200" s="150" t="s">
        <v>1876</v>
      </c>
      <c r="BS200" s="150">
        <v>3</v>
      </c>
      <c r="BT200" s="150" t="s">
        <v>2877</v>
      </c>
      <c r="BU200" s="150" t="s">
        <v>2470</v>
      </c>
      <c r="BV200" s="150" t="s">
        <v>2878</v>
      </c>
      <c r="BW200" s="258" t="s">
        <v>2908</v>
      </c>
      <c r="BX200" s="151" t="s">
        <v>2893</v>
      </c>
      <c r="BY200" s="150">
        <v>245.863</v>
      </c>
      <c r="BZ200" s="150" t="s">
        <v>2882</v>
      </c>
      <c r="CA200" s="150" t="s">
        <v>2882</v>
      </c>
      <c r="CB200" s="151" t="s">
        <v>2894</v>
      </c>
      <c r="CC200" s="150">
        <v>161.15100000000001</v>
      </c>
      <c r="CD200" s="150" t="s">
        <v>2882</v>
      </c>
      <c r="CE200" s="150" t="s">
        <v>2882</v>
      </c>
      <c r="CF200" s="290" t="s">
        <v>24</v>
      </c>
      <c r="CG200" s="291" t="s">
        <v>24</v>
      </c>
      <c r="CH200" s="151" t="s">
        <v>2895</v>
      </c>
      <c r="CI200" s="150">
        <v>225.86500000000001</v>
      </c>
      <c r="CJ200" s="150" t="s">
        <v>2882</v>
      </c>
      <c r="CK200" s="150" t="s">
        <v>2882</v>
      </c>
      <c r="CL200" s="151" t="s">
        <v>2896</v>
      </c>
      <c r="CM200" s="150">
        <v>118.075</v>
      </c>
      <c r="CN200" s="150" t="s">
        <v>2882</v>
      </c>
      <c r="CO200" s="150" t="s">
        <v>2882</v>
      </c>
      <c r="CP200" s="290" t="s">
        <v>24</v>
      </c>
      <c r="CQ200" s="291" t="s">
        <v>24</v>
      </c>
      <c r="CR200" s="278" t="s">
        <v>24</v>
      </c>
      <c r="CS200" s="285" t="s">
        <v>24</v>
      </c>
      <c r="CT200" s="151" t="s">
        <v>2897</v>
      </c>
      <c r="CU200" s="150">
        <v>412.01799999999997</v>
      </c>
      <c r="CV200" s="150" t="s">
        <v>2882</v>
      </c>
      <c r="CW200" s="150" t="s">
        <v>2882</v>
      </c>
      <c r="CX200" s="151" t="s">
        <v>2898</v>
      </c>
      <c r="CY200" s="150">
        <v>280.38200000000001</v>
      </c>
      <c r="CZ200" s="150" t="s">
        <v>2882</v>
      </c>
      <c r="DA200" s="150" t="s">
        <v>2882</v>
      </c>
      <c r="DB200" s="302" t="s">
        <v>24</v>
      </c>
      <c r="DC200" s="303" t="s">
        <v>24</v>
      </c>
      <c r="DD200" s="151" t="s">
        <v>2899</v>
      </c>
      <c r="DE200" s="150">
        <v>169.233</v>
      </c>
      <c r="DF200" s="150" t="s">
        <v>2882</v>
      </c>
      <c r="DG200" s="150" t="s">
        <v>2882</v>
      </c>
      <c r="DH200" s="151" t="s">
        <v>2900</v>
      </c>
      <c r="DI200" s="150">
        <v>94.518799999999999</v>
      </c>
      <c r="DJ200" s="150" t="s">
        <v>2882</v>
      </c>
      <c r="DK200" s="150" t="s">
        <v>2882</v>
      </c>
      <c r="DL200" s="302" t="s">
        <v>24</v>
      </c>
      <c r="DM200" s="303" t="s">
        <v>24</v>
      </c>
      <c r="DN200" s="278" t="s">
        <v>24</v>
      </c>
      <c r="DO200" s="279" t="s">
        <v>24</v>
      </c>
      <c r="DP200" s="151" t="s">
        <v>2901</v>
      </c>
      <c r="DQ200" s="150">
        <v>142.31200000000001</v>
      </c>
      <c r="DR200" s="150" t="s">
        <v>2882</v>
      </c>
      <c r="DS200" s="150" t="s">
        <v>2882</v>
      </c>
      <c r="DT200" s="151" t="s">
        <v>2902</v>
      </c>
      <c r="DU200" s="150">
        <v>62.982300000000002</v>
      </c>
      <c r="DV200" s="150" t="s">
        <v>2882</v>
      </c>
      <c r="DW200" s="150" t="s">
        <v>2882</v>
      </c>
      <c r="DX200" s="303" t="s">
        <v>24</v>
      </c>
      <c r="DY200" s="303" t="s">
        <v>24</v>
      </c>
      <c r="DZ200" s="151" t="s">
        <v>2903</v>
      </c>
      <c r="EA200" s="150">
        <v>316.15499999999997</v>
      </c>
      <c r="EB200" s="150" t="s">
        <v>2882</v>
      </c>
      <c r="EC200" s="150" t="s">
        <v>2882</v>
      </c>
      <c r="ED200" s="151" t="s">
        <v>2904</v>
      </c>
      <c r="EE200" s="150">
        <v>184.51900000000001</v>
      </c>
      <c r="EF200" s="150" t="s">
        <v>2882</v>
      </c>
      <c r="EG200" s="150" t="s">
        <v>2882</v>
      </c>
      <c r="EH200" s="303" t="s">
        <v>24</v>
      </c>
      <c r="EI200" s="303" t="s">
        <v>24</v>
      </c>
      <c r="EJ200" s="278" t="s">
        <v>2907</v>
      </c>
      <c r="EK200" s="150"/>
      <c r="EL200" s="150"/>
      <c r="EM200" s="150"/>
      <c r="EN200" s="150"/>
      <c r="EO200" s="150"/>
      <c r="EP200" s="150"/>
      <c r="EQ200" s="150"/>
      <c r="ER200" s="150"/>
      <c r="ES200" s="303"/>
      <c r="ET200" s="303"/>
      <c r="EU200" s="150"/>
      <c r="EV200" s="150"/>
      <c r="EW200" s="150"/>
      <c r="EX200" s="150"/>
      <c r="EY200" s="134"/>
      <c r="EZ200" s="134"/>
      <c r="FA200" s="134"/>
      <c r="FB200" s="134"/>
      <c r="FC200" s="135"/>
      <c r="FD200" s="135"/>
      <c r="FE200" s="134"/>
      <c r="FF200" s="134"/>
      <c r="FG200" s="134"/>
      <c r="FH200" s="134"/>
      <c r="FI200" s="134"/>
      <c r="FJ200" s="134"/>
      <c r="FK200" s="134"/>
      <c r="FL200" s="134"/>
      <c r="FM200" s="135"/>
      <c r="FN200" s="135"/>
      <c r="FO200" s="134"/>
      <c r="FP200" s="134"/>
      <c r="FQ200" s="134"/>
      <c r="FR200" s="134"/>
      <c r="FS200" s="134"/>
      <c r="FT200" s="134"/>
      <c r="FU200" s="134"/>
      <c r="FV200" s="134"/>
      <c r="FW200" s="135"/>
      <c r="FX200" s="135"/>
      <c r="FY200" s="134"/>
      <c r="FZ200" s="134"/>
      <c r="GA200" s="134"/>
      <c r="GB200" s="134"/>
      <c r="GC200" s="134"/>
      <c r="GD200" s="134"/>
      <c r="GE200" s="134"/>
      <c r="GF200" s="134"/>
      <c r="GG200" s="135"/>
      <c r="GH200" s="135"/>
      <c r="GI200" s="134"/>
      <c r="GJ200" s="134"/>
      <c r="GK200" s="134"/>
      <c r="GL200" s="134"/>
      <c r="GM200" s="134"/>
      <c r="GN200" s="134"/>
      <c r="GO200" s="134"/>
      <c r="GP200" s="134"/>
      <c r="GQ200" s="135"/>
      <c r="GR200" s="135"/>
      <c r="GS200" s="134"/>
      <c r="GT200" s="134"/>
      <c r="GU200" s="134"/>
      <c r="GV200" s="134"/>
      <c r="GW200" s="134"/>
      <c r="GX200" s="134"/>
      <c r="GY200" s="134"/>
      <c r="GZ200" s="134"/>
      <c r="HA200" s="135"/>
      <c r="HB200" s="135"/>
      <c r="HC200" s="134"/>
      <c r="HD200" s="134"/>
      <c r="HE200" s="134"/>
      <c r="HF200" s="134"/>
      <c r="HG200" s="134"/>
      <c r="HH200" s="134"/>
      <c r="HI200" s="134"/>
      <c r="HJ200" s="134"/>
      <c r="HK200" s="135"/>
      <c r="HL200" s="135"/>
      <c r="HM200" s="134"/>
      <c r="HN200" s="134"/>
      <c r="HO200" s="134"/>
      <c r="HP200" s="134"/>
      <c r="HQ200" s="134"/>
      <c r="HR200" s="134"/>
      <c r="HS200" s="134"/>
      <c r="HT200" s="134"/>
      <c r="HU200" s="135"/>
      <c r="HV200" s="135"/>
      <c r="HW200" s="134"/>
      <c r="HX200" s="134"/>
      <c r="HY200" s="134"/>
      <c r="HZ200" s="134"/>
      <c r="IA200" s="134"/>
      <c r="IB200" s="134"/>
      <c r="IC200" s="134"/>
      <c r="ID200" s="134"/>
      <c r="IE200" s="135"/>
      <c r="IF200" s="135"/>
      <c r="IG200" s="134"/>
      <c r="IH200" s="134"/>
      <c r="II200" s="134"/>
      <c r="IJ200" s="134"/>
      <c r="IK200" s="134"/>
      <c r="IL200" s="134"/>
      <c r="IM200" s="134"/>
      <c r="IN200" s="134"/>
      <c r="IO200" s="135"/>
      <c r="IP200" s="135"/>
      <c r="IQ200" s="134"/>
      <c r="IR200" s="134"/>
      <c r="IS200" s="134"/>
      <c r="IT200" s="134"/>
      <c r="IU200" s="134"/>
      <c r="IV200" s="134"/>
      <c r="IW200" s="134"/>
      <c r="IX200" s="134"/>
      <c r="IY200" s="135"/>
      <c r="IZ200" s="135"/>
    </row>
    <row r="201" spans="1:260" customFormat="1" ht="17" customHeight="1">
      <c r="A201" s="79" t="s">
        <v>1060</v>
      </c>
      <c r="B201" s="363">
        <v>18</v>
      </c>
      <c r="C201" s="363"/>
      <c r="D201" s="363"/>
      <c r="E201" s="123" t="s">
        <v>2072</v>
      </c>
      <c r="F201" s="124" t="s">
        <v>2324</v>
      </c>
      <c r="G201" s="125">
        <v>2011</v>
      </c>
      <c r="H201" s="79">
        <v>21285873</v>
      </c>
      <c r="I201" s="79">
        <v>1</v>
      </c>
      <c r="J201" s="126"/>
      <c r="K201" s="127"/>
      <c r="L201" s="79">
        <v>1</v>
      </c>
      <c r="M201" s="79"/>
      <c r="N201" s="79">
        <v>1</v>
      </c>
      <c r="O201" s="128">
        <v>2</v>
      </c>
      <c r="P201" s="79" t="s">
        <v>1329</v>
      </c>
      <c r="Q201" s="79" t="s">
        <v>1169</v>
      </c>
      <c r="R201" s="79" t="s">
        <v>1127</v>
      </c>
      <c r="S201" s="79"/>
      <c r="T201" s="79" t="s">
        <v>1541</v>
      </c>
      <c r="U201" s="79" t="s">
        <v>803</v>
      </c>
      <c r="V201" s="79"/>
      <c r="W201" s="79" t="s">
        <v>1328</v>
      </c>
      <c r="X201" s="79"/>
      <c r="Y201" s="79" t="s">
        <v>1132</v>
      </c>
      <c r="Z201" s="79"/>
      <c r="AA201" s="79"/>
      <c r="AB201" s="79"/>
      <c r="AC201" s="506"/>
      <c r="AD201" s="573">
        <v>1</v>
      </c>
      <c r="AE201" s="573">
        <v>2</v>
      </c>
      <c r="AF201" s="233" t="s">
        <v>1917</v>
      </c>
      <c r="AG201" s="234" t="s">
        <v>3332</v>
      </c>
      <c r="AH201" s="135">
        <v>4</v>
      </c>
      <c r="AI201" s="484"/>
      <c r="AJ201" s="235" t="s">
        <v>2930</v>
      </c>
      <c r="AK201" s="192">
        <v>0</v>
      </c>
      <c r="AL201" s="237">
        <v>1</v>
      </c>
      <c r="AM201" s="135" t="s">
        <v>2929</v>
      </c>
      <c r="AN201" s="135" t="s">
        <v>2928</v>
      </c>
      <c r="AO201" s="135" t="s">
        <v>2928</v>
      </c>
      <c r="AP201" s="135" t="s">
        <v>803</v>
      </c>
      <c r="AQ201" s="135" t="s">
        <v>803</v>
      </c>
      <c r="AR201" s="135" t="s">
        <v>24</v>
      </c>
      <c r="AS201" s="135" t="s">
        <v>24</v>
      </c>
      <c r="AT201" s="135" t="s">
        <v>24</v>
      </c>
      <c r="AU201" s="135" t="s">
        <v>24</v>
      </c>
      <c r="AV201" s="135" t="s">
        <v>2911</v>
      </c>
      <c r="AW201" s="135">
        <v>1</v>
      </c>
      <c r="AX201" s="135" t="s">
        <v>3340</v>
      </c>
      <c r="AY201" s="238" t="s">
        <v>2914</v>
      </c>
      <c r="AZ201" s="135" t="s">
        <v>2912</v>
      </c>
      <c r="BA201" s="135" t="s">
        <v>2554</v>
      </c>
      <c r="BB201" s="135"/>
      <c r="BC201" s="135"/>
      <c r="BD201" s="156">
        <v>1</v>
      </c>
      <c r="BE201" s="156"/>
      <c r="BF201" s="156"/>
      <c r="BG201" s="156"/>
      <c r="BH201" s="156"/>
      <c r="BI201" s="156"/>
      <c r="BJ201" s="156"/>
      <c r="BK201" s="156"/>
      <c r="BL201" s="156"/>
      <c r="BM201" s="156"/>
      <c r="BN201" s="156"/>
      <c r="BO201" s="156"/>
      <c r="BP201" s="156"/>
      <c r="BQ201" s="157" t="s">
        <v>2493</v>
      </c>
      <c r="BR201" s="134" t="s">
        <v>1876</v>
      </c>
      <c r="BS201" s="134" t="s">
        <v>2927</v>
      </c>
      <c r="BT201" s="134" t="s">
        <v>2913</v>
      </c>
      <c r="BU201" s="134" t="s">
        <v>1121</v>
      </c>
      <c r="BV201" s="134" t="s">
        <v>2659</v>
      </c>
      <c r="BW201" s="259" t="s">
        <v>2931</v>
      </c>
      <c r="BX201" s="138" t="s">
        <v>2919</v>
      </c>
      <c r="BY201" s="134">
        <v>2.7356600000000002</v>
      </c>
      <c r="BZ201" s="134" t="s">
        <v>24</v>
      </c>
      <c r="CA201" s="134">
        <f>5.19593-Table665[[#This Row],[Outcome1_M]]</f>
        <v>2.4602699999999995</v>
      </c>
      <c r="CB201" s="138" t="s">
        <v>2920</v>
      </c>
      <c r="CC201" s="134">
        <v>61.8371</v>
      </c>
      <c r="CD201" s="134" t="s">
        <v>24</v>
      </c>
      <c r="CE201" s="134">
        <f>68.1005-Table665[[#This Row],[Outcome2_M]]</f>
        <v>6.2633999999999972</v>
      </c>
      <c r="CF201" s="288" t="s">
        <v>2921</v>
      </c>
      <c r="CG201" s="289" t="s">
        <v>2922</v>
      </c>
      <c r="CH201" s="138" t="s">
        <v>2918</v>
      </c>
      <c r="CI201" s="134">
        <v>0.965001</v>
      </c>
      <c r="CJ201" s="134" t="s">
        <v>24</v>
      </c>
      <c r="CK201" s="134">
        <f>2.22051-Table665[[#This Row],[Outcome3_M]]</f>
        <v>1.255509</v>
      </c>
      <c r="CL201" s="138" t="s">
        <v>2917</v>
      </c>
      <c r="CM201" s="134">
        <v>63.9559</v>
      </c>
      <c r="CN201" s="134" t="s">
        <v>24</v>
      </c>
      <c r="CO201" s="134">
        <f>70.4416-Table665[[#This Row],[Outcome4_M]]</f>
        <v>6.4856999999999942</v>
      </c>
      <c r="CP201" s="288" t="s">
        <v>2923</v>
      </c>
      <c r="CQ201" s="289" t="s">
        <v>2924</v>
      </c>
      <c r="CR201" s="276" t="s">
        <v>24</v>
      </c>
      <c r="CS201" s="308" t="s">
        <v>24</v>
      </c>
      <c r="CT201" s="138" t="s">
        <v>2916</v>
      </c>
      <c r="CU201" s="134">
        <v>3.4542600000000001</v>
      </c>
      <c r="CV201" s="134" t="s">
        <v>24</v>
      </c>
      <c r="CW201" s="134">
        <f>6.36459-Table665[[#This Row],[Outcome5_M]]</f>
        <v>2.9103299999999996</v>
      </c>
      <c r="CX201" s="138" t="s">
        <v>2915</v>
      </c>
      <c r="CY201" s="134">
        <v>69.378</v>
      </c>
      <c r="CZ201" s="134" t="s">
        <v>24</v>
      </c>
      <c r="DA201" s="134">
        <f>72.9123-Table665[[#This Row],[Outcome6_M]]</f>
        <v>3.5343000000000018</v>
      </c>
      <c r="DB201" s="300" t="s">
        <v>2925</v>
      </c>
      <c r="DC201" s="301" t="s">
        <v>2926</v>
      </c>
      <c r="DD201" s="134" t="s">
        <v>24</v>
      </c>
      <c r="DE201" s="134" t="s">
        <v>24</v>
      </c>
      <c r="DF201" s="134"/>
      <c r="DG201" s="134"/>
      <c r="DH201" s="134"/>
      <c r="DI201" s="134"/>
      <c r="DJ201" s="134"/>
      <c r="DK201" s="134"/>
      <c r="DL201" s="300"/>
      <c r="DM201" s="301"/>
      <c r="DN201" s="276"/>
      <c r="DO201" s="277"/>
      <c r="DP201" s="134"/>
      <c r="DQ201" s="134"/>
      <c r="DR201" s="134"/>
      <c r="DS201" s="134"/>
      <c r="DT201" s="138"/>
      <c r="DU201" s="134"/>
      <c r="DV201" s="134"/>
      <c r="DW201" s="134"/>
      <c r="DX201" s="301"/>
      <c r="DY201" s="301"/>
      <c r="DZ201" s="138"/>
      <c r="EA201" s="134"/>
      <c r="EB201" s="134"/>
      <c r="EC201" s="134"/>
      <c r="ED201" s="138"/>
      <c r="EE201" s="134"/>
      <c r="EF201" s="134"/>
      <c r="EG201" s="134"/>
      <c r="EH201" s="301"/>
      <c r="EI201" s="301"/>
      <c r="EJ201" s="277"/>
      <c r="EK201" s="134"/>
      <c r="EL201" s="134"/>
      <c r="EM201" s="134"/>
      <c r="EN201" s="134"/>
      <c r="EO201" s="134"/>
      <c r="EP201" s="134"/>
      <c r="EQ201" s="134"/>
      <c r="ER201" s="134"/>
      <c r="ES201" s="301"/>
      <c r="ET201" s="301"/>
      <c r="EU201" s="134"/>
      <c r="EV201" s="134"/>
      <c r="EW201" s="134"/>
      <c r="EX201" s="134"/>
      <c r="EY201" s="134"/>
      <c r="EZ201" s="134"/>
      <c r="FA201" s="134"/>
      <c r="FB201" s="134"/>
      <c r="FC201" s="135"/>
      <c r="FD201" s="135"/>
      <c r="FE201" s="134"/>
      <c r="FF201" s="134"/>
      <c r="FG201" s="134"/>
      <c r="FH201" s="134"/>
      <c r="FI201" s="134"/>
      <c r="FJ201" s="134"/>
      <c r="FK201" s="134"/>
      <c r="FL201" s="134"/>
      <c r="FM201" s="135"/>
      <c r="FN201" s="135"/>
      <c r="FO201" s="134"/>
      <c r="FP201" s="134"/>
      <c r="FQ201" s="134"/>
      <c r="FR201" s="134"/>
      <c r="FS201" s="134"/>
      <c r="FT201" s="134"/>
      <c r="FU201" s="134"/>
      <c r="FV201" s="134"/>
      <c r="FW201" s="135"/>
      <c r="FX201" s="135"/>
      <c r="FY201" s="134"/>
      <c r="FZ201" s="134"/>
      <c r="GA201" s="134"/>
      <c r="GB201" s="134"/>
      <c r="GC201" s="134"/>
      <c r="GD201" s="134"/>
      <c r="GE201" s="134"/>
      <c r="GF201" s="134"/>
      <c r="GG201" s="135"/>
      <c r="GH201" s="135"/>
      <c r="GI201" s="134"/>
      <c r="GJ201" s="134"/>
      <c r="GK201" s="134"/>
      <c r="GL201" s="134"/>
      <c r="GM201" s="134"/>
      <c r="GN201" s="134"/>
      <c r="GO201" s="134"/>
      <c r="GP201" s="134"/>
      <c r="GQ201" s="135"/>
      <c r="GR201" s="135"/>
      <c r="GS201" s="134"/>
      <c r="GT201" s="134"/>
      <c r="GU201" s="134"/>
      <c r="GV201" s="134"/>
      <c r="GW201" s="134"/>
      <c r="GX201" s="134"/>
      <c r="GY201" s="134"/>
      <c r="GZ201" s="134"/>
      <c r="HA201" s="135"/>
      <c r="HB201" s="135"/>
      <c r="HC201" s="134"/>
      <c r="HD201" s="134"/>
      <c r="HE201" s="134"/>
      <c r="HF201" s="134"/>
      <c r="HG201" s="134"/>
      <c r="HH201" s="134"/>
      <c r="HI201" s="134"/>
      <c r="HJ201" s="134"/>
      <c r="HK201" s="135"/>
      <c r="HL201" s="135"/>
      <c r="HM201" s="134"/>
      <c r="HN201" s="134"/>
      <c r="HO201" s="134"/>
      <c r="HP201" s="134"/>
      <c r="HQ201" s="134"/>
      <c r="HR201" s="134"/>
      <c r="HS201" s="134"/>
      <c r="HT201" s="134"/>
      <c r="HU201" s="135"/>
      <c r="HV201" s="135"/>
      <c r="HW201" s="134"/>
      <c r="HX201" s="134"/>
      <c r="HY201" s="134"/>
      <c r="HZ201" s="134"/>
      <c r="IA201" s="134"/>
      <c r="IB201" s="134"/>
      <c r="IC201" s="134"/>
      <c r="ID201" s="134"/>
      <c r="IE201" s="135"/>
      <c r="IF201" s="135"/>
      <c r="IG201" s="134"/>
      <c r="IH201" s="134"/>
      <c r="II201" s="134"/>
      <c r="IJ201" s="134"/>
      <c r="IK201" s="134"/>
      <c r="IL201" s="134"/>
      <c r="IM201" s="134"/>
      <c r="IN201" s="134"/>
      <c r="IO201" s="135"/>
      <c r="IP201" s="135"/>
      <c r="IQ201" s="134"/>
      <c r="IR201" s="134"/>
      <c r="IS201" s="134"/>
      <c r="IT201" s="134"/>
      <c r="IU201" s="134"/>
      <c r="IV201" s="134"/>
      <c r="IW201" s="134"/>
      <c r="IX201" s="134"/>
      <c r="IY201" s="135"/>
      <c r="IZ201" s="135"/>
    </row>
    <row r="202" spans="1:260" customFormat="1" ht="17" customHeight="1">
      <c r="A202" s="79" t="s">
        <v>1058</v>
      </c>
      <c r="B202" s="117">
        <v>120</v>
      </c>
      <c r="C202" s="117">
        <v>29</v>
      </c>
      <c r="D202" s="117"/>
      <c r="E202" s="123" t="s">
        <v>2073</v>
      </c>
      <c r="F202" s="124" t="s">
        <v>2325</v>
      </c>
      <c r="G202" s="125">
        <v>2004</v>
      </c>
      <c r="H202" s="79">
        <v>15677425</v>
      </c>
      <c r="I202" s="79">
        <v>1</v>
      </c>
      <c r="J202" s="126"/>
      <c r="K202" s="127"/>
      <c r="L202" s="79">
        <v>1</v>
      </c>
      <c r="M202" s="79"/>
      <c r="N202" s="79">
        <v>1</v>
      </c>
      <c r="O202" s="128">
        <v>2</v>
      </c>
      <c r="P202" s="79" t="s">
        <v>1586</v>
      </c>
      <c r="Q202" s="79" t="s">
        <v>1147</v>
      </c>
      <c r="R202" s="79" t="s">
        <v>1127</v>
      </c>
      <c r="S202" s="79"/>
      <c r="T202" s="79" t="s">
        <v>1334</v>
      </c>
      <c r="U202" s="79"/>
      <c r="V202" s="79"/>
      <c r="W202" s="79"/>
      <c r="X202" s="79" t="s">
        <v>1335</v>
      </c>
      <c r="Y202" s="79"/>
      <c r="Z202" s="79"/>
      <c r="AA202" s="79"/>
      <c r="AB202" s="79"/>
      <c r="AC202" s="506"/>
      <c r="AD202" s="573">
        <v>1</v>
      </c>
      <c r="AE202" s="573">
        <v>2</v>
      </c>
      <c r="AF202" s="154">
        <v>1</v>
      </c>
      <c r="AG202" s="155"/>
      <c r="AH202" s="121">
        <v>4</v>
      </c>
      <c r="AI202" s="484"/>
      <c r="AJ202" s="202"/>
      <c r="AK202" s="192">
        <v>0</v>
      </c>
      <c r="AL202" s="203">
        <v>1</v>
      </c>
      <c r="AM202" s="121" t="s">
        <v>4512</v>
      </c>
      <c r="AN202" s="121" t="s">
        <v>4511</v>
      </c>
      <c r="AO202" s="121" t="s">
        <v>4511</v>
      </c>
      <c r="AP202" s="121" t="s">
        <v>4373</v>
      </c>
      <c r="AQ202" s="121" t="s">
        <v>4373</v>
      </c>
      <c r="AR202" s="121" t="s">
        <v>24</v>
      </c>
      <c r="AS202" s="121" t="s">
        <v>24</v>
      </c>
      <c r="AT202" s="121" t="s">
        <v>24</v>
      </c>
      <c r="AU202" s="121" t="s">
        <v>24</v>
      </c>
      <c r="AV202" s="470" t="s">
        <v>4506</v>
      </c>
      <c r="AW202" s="121" t="s">
        <v>4505</v>
      </c>
      <c r="AX202" s="121" t="s">
        <v>4505</v>
      </c>
      <c r="AY202" s="121" t="s">
        <v>2496</v>
      </c>
      <c r="AZ202" s="121" t="s">
        <v>4507</v>
      </c>
      <c r="BA202" s="121" t="s">
        <v>4508</v>
      </c>
      <c r="BB202" s="121"/>
      <c r="BC202" s="121"/>
      <c r="BD202" s="156"/>
      <c r="BE202" s="156"/>
      <c r="BF202" s="156"/>
      <c r="BG202" s="156"/>
      <c r="BH202" s="156"/>
      <c r="BI202" s="156"/>
      <c r="BJ202" s="156">
        <v>1</v>
      </c>
      <c r="BK202" s="156"/>
      <c r="BL202" s="156"/>
      <c r="BM202" s="156"/>
      <c r="BN202" s="156"/>
      <c r="BO202" s="156"/>
      <c r="BP202" s="156"/>
      <c r="BQ202" s="157" t="s">
        <v>1586</v>
      </c>
      <c r="BR202" s="134" t="s">
        <v>1876</v>
      </c>
      <c r="BS202" s="134" t="s">
        <v>4513</v>
      </c>
      <c r="BT202" s="134" t="s">
        <v>4504</v>
      </c>
      <c r="BU202" s="134" t="s">
        <v>4510</v>
      </c>
      <c r="BV202" s="134" t="s">
        <v>4509</v>
      </c>
      <c r="BW202" s="471" t="s">
        <v>4518</v>
      </c>
      <c r="BX202" s="138" t="s">
        <v>4514</v>
      </c>
      <c r="BY202" s="134">
        <v>0.351381</v>
      </c>
      <c r="BZ202" s="134" t="s">
        <v>24</v>
      </c>
      <c r="CA202" s="134">
        <f>0.377901-Table665[[#This Row],[Outcome1_M]]</f>
        <v>2.6519999999999988E-2</v>
      </c>
      <c r="CB202" s="138" t="s">
        <v>4515</v>
      </c>
      <c r="CC202" s="134">
        <v>0.59834299999999996</v>
      </c>
      <c r="CD202" s="134" t="s">
        <v>24</v>
      </c>
      <c r="CE202" s="134">
        <f>0.619889-Table665[[#This Row],[Outcome2_M]]</f>
        <v>2.1546000000000065E-2</v>
      </c>
      <c r="CF202" s="288" t="s">
        <v>4516</v>
      </c>
      <c r="CG202" s="289" t="s">
        <v>4517</v>
      </c>
      <c r="CH202" s="138"/>
      <c r="CI202" s="134"/>
      <c r="CJ202" s="134"/>
      <c r="CK202" s="134"/>
      <c r="CL202" s="138"/>
      <c r="CM202" s="134"/>
      <c r="CN202" s="134"/>
      <c r="CO202" s="134"/>
      <c r="CP202" s="288"/>
      <c r="CQ202" s="289"/>
      <c r="CR202" s="276"/>
      <c r="CS202" s="308"/>
      <c r="CT202" s="138"/>
      <c r="CU202" s="134"/>
      <c r="CV202" s="134"/>
      <c r="CW202" s="134"/>
      <c r="CX202" s="134"/>
      <c r="CY202" s="134"/>
      <c r="CZ202" s="134"/>
      <c r="DA202" s="134"/>
      <c r="DB202" s="300"/>
      <c r="DC202" s="301"/>
      <c r="DD202" s="134"/>
      <c r="DE202" s="134"/>
      <c r="DF202" s="134"/>
      <c r="DG202" s="134"/>
      <c r="DH202" s="134"/>
      <c r="DI202" s="134"/>
      <c r="DJ202" s="134"/>
      <c r="DK202" s="134"/>
      <c r="DL202" s="300"/>
      <c r="DM202" s="301"/>
      <c r="DN202" s="276"/>
      <c r="DO202" s="277"/>
      <c r="DP202" s="134"/>
      <c r="DQ202" s="134"/>
      <c r="DR202" s="134"/>
      <c r="DS202" s="134"/>
      <c r="DT202" s="138"/>
      <c r="DU202" s="134"/>
      <c r="DV202" s="134"/>
      <c r="DW202" s="134"/>
      <c r="DX202" s="301"/>
      <c r="DY202" s="301"/>
      <c r="DZ202" s="138"/>
      <c r="EA202" s="134"/>
      <c r="EB202" s="134"/>
      <c r="EC202" s="134"/>
      <c r="ED202" s="138"/>
      <c r="EE202" s="134"/>
      <c r="EF202" s="134"/>
      <c r="EG202" s="134"/>
      <c r="EH202" s="301"/>
      <c r="EI202" s="301"/>
      <c r="EJ202" s="277"/>
      <c r="EK202" s="134"/>
      <c r="EL202" s="134"/>
      <c r="EM202" s="134"/>
      <c r="EN202" s="134"/>
      <c r="EO202" s="134"/>
      <c r="EP202" s="134"/>
      <c r="EQ202" s="134"/>
      <c r="ER202" s="134"/>
      <c r="ES202" s="301"/>
      <c r="ET202" s="301"/>
      <c r="EU202" s="134"/>
      <c r="EV202" s="134"/>
      <c r="EW202" s="134"/>
      <c r="EX202" s="134"/>
      <c r="EY202" s="134"/>
      <c r="EZ202" s="134"/>
      <c r="FA202" s="134"/>
      <c r="FB202" s="134"/>
      <c r="FC202" s="135"/>
      <c r="FD202" s="135"/>
      <c r="FE202" s="134"/>
      <c r="FF202" s="134"/>
      <c r="FG202" s="134"/>
      <c r="FH202" s="134"/>
      <c r="FI202" s="134"/>
      <c r="FJ202" s="134"/>
      <c r="FK202" s="134"/>
      <c r="FL202" s="134"/>
      <c r="FM202" s="135"/>
      <c r="FN202" s="135"/>
      <c r="FO202" s="134"/>
      <c r="FP202" s="134"/>
      <c r="FQ202" s="134"/>
      <c r="FR202" s="134"/>
      <c r="FS202" s="134"/>
      <c r="FT202" s="134"/>
      <c r="FU202" s="134"/>
      <c r="FV202" s="134"/>
      <c r="FW202" s="135"/>
      <c r="FX202" s="135"/>
      <c r="FY202" s="134"/>
      <c r="FZ202" s="134"/>
      <c r="GA202" s="134"/>
      <c r="GB202" s="134"/>
      <c r="GC202" s="134"/>
      <c r="GD202" s="134"/>
      <c r="GE202" s="134"/>
      <c r="GF202" s="134"/>
      <c r="GG202" s="135"/>
      <c r="GH202" s="135"/>
      <c r="GI202" s="134"/>
      <c r="GJ202" s="134"/>
      <c r="GK202" s="134"/>
      <c r="GL202" s="134"/>
      <c r="GM202" s="134"/>
      <c r="GN202" s="134"/>
      <c r="GO202" s="134"/>
      <c r="GP202" s="134"/>
      <c r="GQ202" s="135"/>
      <c r="GR202" s="135"/>
      <c r="GS202" s="134"/>
      <c r="GT202" s="134"/>
      <c r="GU202" s="134"/>
      <c r="GV202" s="134"/>
      <c r="GW202" s="134"/>
      <c r="GX202" s="134"/>
      <c r="GY202" s="134"/>
      <c r="GZ202" s="134"/>
      <c r="HA202" s="135"/>
      <c r="HB202" s="135"/>
      <c r="HC202" s="134"/>
      <c r="HD202" s="134"/>
      <c r="HE202" s="134"/>
      <c r="HF202" s="134"/>
      <c r="HG202" s="134"/>
      <c r="HH202" s="134"/>
      <c r="HI202" s="134"/>
      <c r="HJ202" s="134"/>
      <c r="HK202" s="135"/>
      <c r="HL202" s="135"/>
      <c r="HM202" s="134"/>
      <c r="HN202" s="134"/>
      <c r="HO202" s="134"/>
      <c r="HP202" s="134"/>
      <c r="HQ202" s="134"/>
      <c r="HR202" s="134"/>
      <c r="HS202" s="134"/>
      <c r="HT202" s="134"/>
      <c r="HU202" s="135"/>
      <c r="HV202" s="135"/>
      <c r="HW202" s="134"/>
      <c r="HX202" s="134"/>
      <c r="HY202" s="134"/>
      <c r="HZ202" s="134"/>
      <c r="IA202" s="134"/>
      <c r="IB202" s="134"/>
      <c r="IC202" s="134"/>
      <c r="ID202" s="134"/>
      <c r="IE202" s="135"/>
      <c r="IF202" s="135"/>
      <c r="IG202" s="134"/>
      <c r="IH202" s="134"/>
      <c r="II202" s="134"/>
      <c r="IJ202" s="134"/>
      <c r="IK202" s="134"/>
      <c r="IL202" s="134"/>
      <c r="IM202" s="134"/>
      <c r="IN202" s="134"/>
      <c r="IO202" s="135"/>
      <c r="IP202" s="135"/>
      <c r="IQ202" s="134"/>
      <c r="IR202" s="134"/>
      <c r="IS202" s="134"/>
      <c r="IT202" s="134"/>
      <c r="IU202" s="134"/>
      <c r="IV202" s="134"/>
      <c r="IW202" s="134"/>
      <c r="IX202" s="134"/>
      <c r="IY202" s="135"/>
      <c r="IZ202" s="135"/>
    </row>
    <row r="203" spans="1:260" customFormat="1" ht="17" customHeight="1">
      <c r="A203" s="79" t="s">
        <v>167</v>
      </c>
      <c r="B203" s="117">
        <v>121</v>
      </c>
      <c r="C203" s="117">
        <v>30</v>
      </c>
      <c r="D203" s="117"/>
      <c r="E203" s="123" t="s">
        <v>1960</v>
      </c>
      <c r="F203" s="124" t="s">
        <v>2182</v>
      </c>
      <c r="G203" s="125">
        <v>2011</v>
      </c>
      <c r="H203" s="79">
        <v>21047644</v>
      </c>
      <c r="I203" s="79">
        <v>1</v>
      </c>
      <c r="J203" s="126"/>
      <c r="K203" s="127"/>
      <c r="L203" s="79">
        <v>1</v>
      </c>
      <c r="M203" s="79"/>
      <c r="N203" s="79">
        <v>1</v>
      </c>
      <c r="O203" s="128">
        <v>1</v>
      </c>
      <c r="P203" s="79" t="s">
        <v>493</v>
      </c>
      <c r="Q203" s="79" t="s">
        <v>1147</v>
      </c>
      <c r="R203" s="79" t="s">
        <v>20</v>
      </c>
      <c r="S203" s="79">
        <v>1</v>
      </c>
      <c r="T203" s="79"/>
      <c r="U203" s="79"/>
      <c r="V203" s="79"/>
      <c r="W203" s="79"/>
      <c r="X203" s="79" t="s">
        <v>56</v>
      </c>
      <c r="Y203" s="79"/>
      <c r="Z203" s="79"/>
      <c r="AA203" s="79"/>
      <c r="AB203" s="79" t="s">
        <v>4541</v>
      </c>
      <c r="AC203" s="506"/>
      <c r="AD203" s="573">
        <v>1</v>
      </c>
      <c r="AE203" s="573">
        <v>2</v>
      </c>
      <c r="AF203" s="154">
        <v>1</v>
      </c>
      <c r="AG203" s="155"/>
      <c r="AH203" s="121">
        <v>2</v>
      </c>
      <c r="AI203" s="484"/>
      <c r="AJ203" s="202" t="s">
        <v>4542</v>
      </c>
      <c r="AK203" s="192">
        <v>0</v>
      </c>
      <c r="AL203" s="203" t="s">
        <v>24</v>
      </c>
      <c r="AM203" s="121">
        <f>Table665[[#This Row],[Subjects_n_ptsd]]+Table665[[#This Row],[Subjects_n_control]]</f>
        <v>29</v>
      </c>
      <c r="AN203" s="121">
        <v>15</v>
      </c>
      <c r="AO203" s="121">
        <v>14</v>
      </c>
      <c r="AP203" s="121" t="s">
        <v>4520</v>
      </c>
      <c r="AQ203" s="121" t="s">
        <v>4519</v>
      </c>
      <c r="AR203" s="121">
        <v>33.93</v>
      </c>
      <c r="AS203" s="121">
        <v>8.23</v>
      </c>
      <c r="AT203" s="121">
        <v>34</v>
      </c>
      <c r="AU203" s="121">
        <v>6.03</v>
      </c>
      <c r="AV203" s="121" t="s">
        <v>1874</v>
      </c>
      <c r="AW203" s="121" t="s">
        <v>24</v>
      </c>
      <c r="AX203" s="121" t="s">
        <v>24</v>
      </c>
      <c r="AY203" s="121" t="s">
        <v>4522</v>
      </c>
      <c r="AZ203" s="121" t="s">
        <v>5116</v>
      </c>
      <c r="BA203" s="121" t="s">
        <v>4521</v>
      </c>
      <c r="BB203" s="121"/>
      <c r="BC203" s="121"/>
      <c r="BD203" s="156"/>
      <c r="BE203" s="156"/>
      <c r="BF203" s="156"/>
      <c r="BG203" s="156"/>
      <c r="BH203" s="156"/>
      <c r="BI203" s="156"/>
      <c r="BJ203" s="156">
        <v>1</v>
      </c>
      <c r="BK203" s="156"/>
      <c r="BL203" s="156"/>
      <c r="BM203" s="156"/>
      <c r="BN203" s="156"/>
      <c r="BO203" s="156"/>
      <c r="BP203" s="156"/>
      <c r="BQ203" s="157" t="s">
        <v>4539</v>
      </c>
      <c r="BR203" s="134" t="s">
        <v>1876</v>
      </c>
      <c r="BS203" s="134">
        <v>2</v>
      </c>
      <c r="BT203" s="134" t="s">
        <v>4523</v>
      </c>
      <c r="BU203" s="134" t="s">
        <v>24</v>
      </c>
      <c r="BV203" s="134" t="s">
        <v>4532</v>
      </c>
      <c r="BW203" s="259" t="s">
        <v>4540</v>
      </c>
      <c r="BX203" s="138" t="s">
        <v>4524</v>
      </c>
      <c r="BY203" s="134">
        <v>0.52320100000000003</v>
      </c>
      <c r="BZ203" s="134" t="s">
        <v>24</v>
      </c>
      <c r="CA203" s="134">
        <f>0.592438-Table665[[#This Row],[Outcome1_M]]</f>
        <v>6.9236999999999993E-2</v>
      </c>
      <c r="CB203" s="138" t="s">
        <v>4525</v>
      </c>
      <c r="CC203" s="134">
        <v>0.48261900000000002</v>
      </c>
      <c r="CD203" s="134" t="s">
        <v>24</v>
      </c>
      <c r="CE203" s="134">
        <f>0.513813-Table665[[#This Row],[Outcome2_M]]</f>
        <v>3.1193999999999944E-2</v>
      </c>
      <c r="CF203" s="288" t="s">
        <v>4534</v>
      </c>
      <c r="CG203" s="289" t="s">
        <v>4535</v>
      </c>
      <c r="CH203" s="138" t="s">
        <v>4526</v>
      </c>
      <c r="CI203" s="134">
        <v>0.45033935000000003</v>
      </c>
      <c r="CJ203" s="134" t="s">
        <v>24</v>
      </c>
      <c r="CK203" s="134">
        <f>0.5051253-Table665[[#This Row],[Outcome3_M]]</f>
        <v>5.4785949999999972E-2</v>
      </c>
      <c r="CL203" s="138" t="s">
        <v>4527</v>
      </c>
      <c r="CM203" s="134">
        <v>0.27660807999999998</v>
      </c>
      <c r="CN203" s="134" t="s">
        <v>24</v>
      </c>
      <c r="CO203" s="134">
        <f>0.32606238-Table665[[#This Row],[Outcome4_M]]</f>
        <v>4.9454300000000007E-2</v>
      </c>
      <c r="CP203" s="288" t="s">
        <v>4533</v>
      </c>
      <c r="CQ203" s="289" t="s">
        <v>4536</v>
      </c>
      <c r="CR203" s="276"/>
      <c r="CS203" s="308"/>
      <c r="CT203" s="138" t="s">
        <v>4528</v>
      </c>
      <c r="CU203" s="134">
        <v>0.29531186999999998</v>
      </c>
      <c r="CV203" s="134" t="s">
        <v>24</v>
      </c>
      <c r="CW203" s="134">
        <f>0.3470469-Table665[[#This Row],[Outcome5_M]]</f>
        <v>5.1735030000000015E-2</v>
      </c>
      <c r="CX203" s="138" t="s">
        <v>4529</v>
      </c>
      <c r="CY203" s="134">
        <v>0.36429440000000002</v>
      </c>
      <c r="CZ203" s="134" t="s">
        <v>24</v>
      </c>
      <c r="DA203" s="134">
        <f>0.40005502-Table665[[#This Row],[Outcome6_M]]</f>
        <v>3.5760619999999965E-2</v>
      </c>
      <c r="DB203" s="300"/>
      <c r="DC203" s="301"/>
      <c r="DD203" s="134" t="s">
        <v>4530</v>
      </c>
      <c r="DE203" s="134">
        <v>0.21712607</v>
      </c>
      <c r="DF203" s="134" t="s">
        <v>24</v>
      </c>
      <c r="DG203" s="134">
        <f>0.25745186-Table665[[#This Row],[Outcome7_M]]</f>
        <v>4.0325789999999972E-2</v>
      </c>
      <c r="DH203" s="134" t="s">
        <v>4531</v>
      </c>
      <c r="DI203" s="134">
        <v>0.16970012000000001</v>
      </c>
      <c r="DJ203" s="134" t="s">
        <v>24</v>
      </c>
      <c r="DK203" s="134">
        <f>0.19937383-Table665[[#This Row],[Outcome8_M]]</f>
        <v>2.9673709999999992E-2</v>
      </c>
      <c r="DL203" s="300"/>
      <c r="DM203" s="301"/>
      <c r="DN203" s="276"/>
      <c r="DO203" s="277"/>
      <c r="DP203" s="134" t="s">
        <v>24</v>
      </c>
      <c r="DQ203" s="134"/>
      <c r="DR203" s="134"/>
      <c r="DS203" s="134"/>
      <c r="DT203" s="138"/>
      <c r="DU203" s="134"/>
      <c r="DV203" s="134"/>
      <c r="DW203" s="134"/>
      <c r="DX203" s="301"/>
      <c r="DY203" s="301"/>
      <c r="DZ203" s="138"/>
      <c r="EA203" s="134"/>
      <c r="EB203" s="134"/>
      <c r="EC203" s="134"/>
      <c r="ED203" s="138"/>
      <c r="EE203" s="134"/>
      <c r="EF203" s="134"/>
      <c r="EG203" s="134"/>
      <c r="EH203" s="301"/>
      <c r="EI203" s="301"/>
      <c r="EJ203" s="277"/>
      <c r="EK203" s="134"/>
      <c r="EL203" s="134"/>
      <c r="EM203" s="134"/>
      <c r="EN203" s="134"/>
      <c r="EO203" s="134"/>
      <c r="EP203" s="134"/>
      <c r="EQ203" s="134"/>
      <c r="ER203" s="134"/>
      <c r="ES203" s="301"/>
      <c r="ET203" s="301"/>
      <c r="EU203" s="134"/>
      <c r="EV203" s="134"/>
      <c r="EW203" s="134"/>
      <c r="EX203" s="134"/>
      <c r="EY203" s="134"/>
      <c r="EZ203" s="134"/>
      <c r="FA203" s="134"/>
      <c r="FB203" s="134"/>
      <c r="FC203" s="135"/>
      <c r="FD203" s="135"/>
      <c r="FE203" s="134"/>
      <c r="FF203" s="134"/>
      <c r="FG203" s="134"/>
      <c r="FH203" s="134"/>
      <c r="FI203" s="134"/>
      <c r="FJ203" s="134"/>
      <c r="FK203" s="134"/>
      <c r="FL203" s="134"/>
      <c r="FM203" s="135"/>
      <c r="FN203" s="135"/>
      <c r="FO203" s="134"/>
      <c r="FP203" s="134"/>
      <c r="FQ203" s="134"/>
      <c r="FR203" s="134"/>
      <c r="FS203" s="134"/>
      <c r="FT203" s="134"/>
      <c r="FU203" s="134"/>
      <c r="FV203" s="134"/>
      <c r="FW203" s="135"/>
      <c r="FX203" s="135"/>
      <c r="FY203" s="134"/>
      <c r="FZ203" s="134"/>
      <c r="GA203" s="134"/>
      <c r="GB203" s="134"/>
      <c r="GC203" s="134"/>
      <c r="GD203" s="134"/>
      <c r="GE203" s="134"/>
      <c r="GF203" s="134"/>
      <c r="GG203" s="135"/>
      <c r="GH203" s="135"/>
      <c r="GI203" s="134"/>
      <c r="GJ203" s="134"/>
      <c r="GK203" s="134"/>
      <c r="GL203" s="134"/>
      <c r="GM203" s="134"/>
      <c r="GN203" s="134"/>
      <c r="GO203" s="134"/>
      <c r="GP203" s="134"/>
      <c r="GQ203" s="135"/>
      <c r="GR203" s="135"/>
      <c r="GS203" s="134"/>
      <c r="GT203" s="134"/>
      <c r="GU203" s="134"/>
      <c r="GV203" s="134"/>
      <c r="GW203" s="134"/>
      <c r="GX203" s="134"/>
      <c r="GY203" s="134"/>
      <c r="GZ203" s="134"/>
      <c r="HA203" s="135"/>
      <c r="HB203" s="135"/>
      <c r="HC203" s="134"/>
      <c r="HD203" s="134"/>
      <c r="HE203" s="134"/>
      <c r="HF203" s="134"/>
      <c r="HG203" s="134"/>
      <c r="HH203" s="134"/>
      <c r="HI203" s="134"/>
      <c r="HJ203" s="134"/>
      <c r="HK203" s="135"/>
      <c r="HL203" s="135"/>
      <c r="HM203" s="134"/>
      <c r="HN203" s="134"/>
      <c r="HO203" s="134"/>
      <c r="HP203" s="134"/>
      <c r="HQ203" s="134"/>
      <c r="HR203" s="134"/>
      <c r="HS203" s="134"/>
      <c r="HT203" s="134"/>
      <c r="HU203" s="135"/>
      <c r="HV203" s="135"/>
      <c r="HW203" s="134"/>
      <c r="HX203" s="134"/>
      <c r="HY203" s="134"/>
      <c r="HZ203" s="134"/>
      <c r="IA203" s="134"/>
      <c r="IB203" s="134"/>
      <c r="IC203" s="134"/>
      <c r="ID203" s="134"/>
      <c r="IE203" s="135"/>
      <c r="IF203" s="135"/>
      <c r="IG203" s="134"/>
      <c r="IH203" s="134"/>
      <c r="II203" s="134"/>
      <c r="IJ203" s="134"/>
      <c r="IK203" s="134"/>
      <c r="IL203" s="134"/>
      <c r="IM203" s="134"/>
      <c r="IN203" s="134"/>
      <c r="IO203" s="135"/>
      <c r="IP203" s="135"/>
      <c r="IQ203" s="134"/>
      <c r="IR203" s="134"/>
      <c r="IS203" s="134"/>
      <c r="IT203" s="134"/>
      <c r="IU203" s="134"/>
      <c r="IV203" s="134"/>
      <c r="IW203" s="134"/>
      <c r="IX203" s="134"/>
      <c r="IY203" s="135"/>
      <c r="IZ203" s="135"/>
    </row>
    <row r="204" spans="1:260" customFormat="1" ht="17" customHeight="1">
      <c r="A204" s="79" t="s">
        <v>166</v>
      </c>
      <c r="B204" s="117">
        <v>122</v>
      </c>
      <c r="C204" s="117">
        <v>31</v>
      </c>
      <c r="D204" s="117"/>
      <c r="E204" s="123" t="s">
        <v>1960</v>
      </c>
      <c r="F204" s="124" t="s">
        <v>2183</v>
      </c>
      <c r="G204" s="125">
        <v>2015</v>
      </c>
      <c r="H204" s="79">
        <v>26106539</v>
      </c>
      <c r="I204" s="79">
        <v>1</v>
      </c>
      <c r="J204" s="126"/>
      <c r="K204" s="127"/>
      <c r="L204" s="79">
        <v>1</v>
      </c>
      <c r="M204" s="79"/>
      <c r="N204" s="79">
        <v>1</v>
      </c>
      <c r="O204" s="128">
        <v>1</v>
      </c>
      <c r="P204" s="79" t="s">
        <v>73</v>
      </c>
      <c r="Q204" s="79" t="s">
        <v>1147</v>
      </c>
      <c r="R204" s="79" t="s">
        <v>391</v>
      </c>
      <c r="S204" s="79">
        <v>1</v>
      </c>
      <c r="T204" s="79"/>
      <c r="U204" s="79"/>
      <c r="V204" s="79"/>
      <c r="W204" s="79" t="s">
        <v>492</v>
      </c>
      <c r="X204" s="79" t="s">
        <v>491</v>
      </c>
      <c r="Y204" s="79"/>
      <c r="Z204" s="79"/>
      <c r="AA204" s="79"/>
      <c r="AB204" s="79"/>
      <c r="AC204" s="506"/>
      <c r="AD204" s="573">
        <v>1</v>
      </c>
      <c r="AE204" s="573">
        <v>2</v>
      </c>
      <c r="AF204" s="165">
        <v>0</v>
      </c>
      <c r="AG204" s="166" t="s">
        <v>4543</v>
      </c>
      <c r="AH204" s="120">
        <v>2</v>
      </c>
      <c r="AI204" s="484"/>
      <c r="AJ204" s="206" t="s">
        <v>24</v>
      </c>
      <c r="AK204" s="372"/>
      <c r="AL204" s="207"/>
      <c r="AM204" s="120"/>
      <c r="AN204" s="120"/>
      <c r="AO204" s="120"/>
      <c r="AP204" s="120"/>
      <c r="AQ204" s="120"/>
      <c r="AR204" s="120"/>
      <c r="AS204" s="120"/>
      <c r="AT204" s="120"/>
      <c r="AU204" s="120"/>
      <c r="AV204" s="120"/>
      <c r="AW204" s="120"/>
      <c r="AX204" s="120"/>
      <c r="AY204" s="120"/>
      <c r="AZ204" s="120"/>
      <c r="BA204" s="120"/>
      <c r="BB204" s="120"/>
      <c r="BC204" s="120"/>
      <c r="BD204" s="373"/>
      <c r="BE204" s="373"/>
      <c r="BF204" s="373"/>
      <c r="BG204" s="373"/>
      <c r="BH204" s="373"/>
      <c r="BI204" s="373"/>
      <c r="BJ204" s="373">
        <v>1</v>
      </c>
      <c r="BK204" s="373"/>
      <c r="BL204" s="373"/>
      <c r="BM204" s="373"/>
      <c r="BN204" s="373"/>
      <c r="BO204" s="373"/>
      <c r="BP204" s="373"/>
      <c r="BQ204" s="374"/>
      <c r="BR204" s="134"/>
      <c r="BS204" s="134"/>
      <c r="BT204" s="134"/>
      <c r="BU204" s="134"/>
      <c r="BV204" s="134"/>
      <c r="BW204" s="259" t="s">
        <v>24</v>
      </c>
      <c r="BX204" s="138"/>
      <c r="BY204" s="134"/>
      <c r="BZ204" s="134"/>
      <c r="CA204" s="134"/>
      <c r="CB204" s="138"/>
      <c r="CC204" s="134"/>
      <c r="CD204" s="134"/>
      <c r="CE204" s="134"/>
      <c r="CF204" s="288"/>
      <c r="CG204" s="289"/>
      <c r="CH204" s="138"/>
      <c r="CI204" s="134"/>
      <c r="CJ204" s="134"/>
      <c r="CK204" s="134"/>
      <c r="CL204" s="138"/>
      <c r="CM204" s="134"/>
      <c r="CN204" s="134"/>
      <c r="CO204" s="134"/>
      <c r="CP204" s="288"/>
      <c r="CQ204" s="289"/>
      <c r="CR204" s="276"/>
      <c r="CS204" s="308"/>
      <c r="CT204" s="138"/>
      <c r="CU204" s="134"/>
      <c r="CV204" s="134"/>
      <c r="CW204" s="134"/>
      <c r="CX204" s="134"/>
      <c r="CY204" s="134"/>
      <c r="CZ204" s="134"/>
      <c r="DA204" s="134"/>
      <c r="DB204" s="300"/>
      <c r="DC204" s="301"/>
      <c r="DD204" s="134"/>
      <c r="DE204" s="134"/>
      <c r="DF204" s="134"/>
      <c r="DG204" s="134"/>
      <c r="DH204" s="134"/>
      <c r="DI204" s="134"/>
      <c r="DJ204" s="134"/>
      <c r="DK204" s="134"/>
      <c r="DL204" s="300"/>
      <c r="DM204" s="301"/>
      <c r="DN204" s="276"/>
      <c r="DO204" s="277"/>
      <c r="DP204" s="134"/>
      <c r="DQ204" s="134"/>
      <c r="DR204" s="134"/>
      <c r="DS204" s="134"/>
      <c r="DT204" s="138"/>
      <c r="DU204" s="134"/>
      <c r="DV204" s="134"/>
      <c r="DW204" s="134"/>
      <c r="DX204" s="301"/>
      <c r="DY204" s="301"/>
      <c r="DZ204" s="138"/>
      <c r="EA204" s="134"/>
      <c r="EB204" s="134"/>
      <c r="EC204" s="134"/>
      <c r="ED204" s="138"/>
      <c r="EE204" s="134"/>
      <c r="EF204" s="134"/>
      <c r="EG204" s="134"/>
      <c r="EH204" s="301"/>
      <c r="EI204" s="301"/>
      <c r="EJ204" s="277"/>
      <c r="EK204" s="134"/>
      <c r="EL204" s="134"/>
      <c r="EM204" s="134"/>
      <c r="EN204" s="134"/>
      <c r="EO204" s="134"/>
      <c r="EP204" s="134"/>
      <c r="EQ204" s="134"/>
      <c r="ER204" s="134"/>
      <c r="ES204" s="301"/>
      <c r="ET204" s="301"/>
      <c r="EU204" s="134"/>
      <c r="EV204" s="134"/>
      <c r="EW204" s="134"/>
      <c r="EX204" s="134"/>
      <c r="EY204" s="134"/>
      <c r="EZ204" s="134"/>
      <c r="FA204" s="134"/>
      <c r="FB204" s="134"/>
      <c r="FC204" s="135"/>
      <c r="FD204" s="135"/>
      <c r="FE204" s="134"/>
      <c r="FF204" s="134"/>
      <c r="FG204" s="134"/>
      <c r="FH204" s="134"/>
      <c r="FI204" s="134"/>
      <c r="FJ204" s="134"/>
      <c r="FK204" s="134"/>
      <c r="FL204" s="134"/>
      <c r="FM204" s="135"/>
      <c r="FN204" s="135"/>
      <c r="FO204" s="134"/>
      <c r="FP204" s="134"/>
      <c r="FQ204" s="134"/>
      <c r="FR204" s="134"/>
      <c r="FS204" s="134"/>
      <c r="FT204" s="134"/>
      <c r="FU204" s="134"/>
      <c r="FV204" s="134"/>
      <c r="FW204" s="135"/>
      <c r="FX204" s="135"/>
      <c r="FY204" s="134"/>
      <c r="FZ204" s="134"/>
      <c r="GA204" s="134"/>
      <c r="GB204" s="134"/>
      <c r="GC204" s="134"/>
      <c r="GD204" s="134"/>
      <c r="GE204" s="134"/>
      <c r="GF204" s="134"/>
      <c r="GG204" s="135"/>
      <c r="GH204" s="135"/>
      <c r="GI204" s="134"/>
      <c r="GJ204" s="134"/>
      <c r="GK204" s="134"/>
      <c r="GL204" s="134"/>
      <c r="GM204" s="134"/>
      <c r="GN204" s="134"/>
      <c r="GO204" s="134"/>
      <c r="GP204" s="134"/>
      <c r="GQ204" s="135"/>
      <c r="GR204" s="135"/>
      <c r="GS204" s="134"/>
      <c r="GT204" s="134"/>
      <c r="GU204" s="134"/>
      <c r="GV204" s="134"/>
      <c r="GW204" s="134"/>
      <c r="GX204" s="134"/>
      <c r="GY204" s="134"/>
      <c r="GZ204" s="134"/>
      <c r="HA204" s="135"/>
      <c r="HB204" s="135"/>
      <c r="HC204" s="134"/>
      <c r="HD204" s="134"/>
      <c r="HE204" s="134"/>
      <c r="HF204" s="134"/>
      <c r="HG204" s="134"/>
      <c r="HH204" s="134"/>
      <c r="HI204" s="134"/>
      <c r="HJ204" s="134"/>
      <c r="HK204" s="135"/>
      <c r="HL204" s="135"/>
      <c r="HM204" s="134"/>
      <c r="HN204" s="134"/>
      <c r="HO204" s="134"/>
      <c r="HP204" s="134"/>
      <c r="HQ204" s="134"/>
      <c r="HR204" s="134"/>
      <c r="HS204" s="134"/>
      <c r="HT204" s="134"/>
      <c r="HU204" s="135"/>
      <c r="HV204" s="135"/>
      <c r="HW204" s="134"/>
      <c r="HX204" s="134"/>
      <c r="HY204" s="134"/>
      <c r="HZ204" s="134"/>
      <c r="IA204" s="134"/>
      <c r="IB204" s="134"/>
      <c r="IC204" s="134"/>
      <c r="ID204" s="134"/>
      <c r="IE204" s="135"/>
      <c r="IF204" s="135"/>
      <c r="IG204" s="134"/>
      <c r="IH204" s="134"/>
      <c r="II204" s="134"/>
      <c r="IJ204" s="134"/>
      <c r="IK204" s="134"/>
      <c r="IL204" s="134"/>
      <c r="IM204" s="134"/>
      <c r="IN204" s="134"/>
      <c r="IO204" s="135"/>
      <c r="IP204" s="135"/>
      <c r="IQ204" s="134"/>
      <c r="IR204" s="134"/>
      <c r="IS204" s="134"/>
      <c r="IT204" s="134"/>
      <c r="IU204" s="134"/>
      <c r="IV204" s="134"/>
      <c r="IW204" s="134"/>
      <c r="IX204" s="134"/>
      <c r="IY204" s="135"/>
      <c r="IZ204" s="135"/>
    </row>
    <row r="205" spans="1:260" customFormat="1" ht="17" customHeight="1">
      <c r="A205" s="79" t="s">
        <v>1055</v>
      </c>
      <c r="B205" s="117">
        <v>124</v>
      </c>
      <c r="C205" s="117">
        <v>32</v>
      </c>
      <c r="D205" s="117"/>
      <c r="E205" s="123" t="s">
        <v>2074</v>
      </c>
      <c r="F205" s="124" t="s">
        <v>2327</v>
      </c>
      <c r="G205" s="125">
        <v>2010</v>
      </c>
      <c r="H205" s="79">
        <v>20700523</v>
      </c>
      <c r="I205" s="79">
        <v>1</v>
      </c>
      <c r="J205" s="126"/>
      <c r="K205" s="127"/>
      <c r="L205" s="79">
        <v>1</v>
      </c>
      <c r="M205" s="79"/>
      <c r="N205" s="79">
        <v>1</v>
      </c>
      <c r="O205" s="128">
        <v>2</v>
      </c>
      <c r="P205" s="79" t="s">
        <v>1342</v>
      </c>
      <c r="Q205" s="79" t="s">
        <v>1224</v>
      </c>
      <c r="R205" s="79" t="s">
        <v>1127</v>
      </c>
      <c r="S205" s="79"/>
      <c r="T205" s="79" t="s">
        <v>1498</v>
      </c>
      <c r="U205" s="79" t="s">
        <v>803</v>
      </c>
      <c r="V205" s="79"/>
      <c r="W205" s="79" t="s">
        <v>1341</v>
      </c>
      <c r="X205" s="79"/>
      <c r="Y205" s="79"/>
      <c r="Z205" s="79"/>
      <c r="AA205" s="79"/>
      <c r="AB205" s="79"/>
      <c r="AC205" s="506"/>
      <c r="AD205" s="573">
        <v>1</v>
      </c>
      <c r="AE205" s="573">
        <v>2</v>
      </c>
      <c r="AF205" s="154">
        <v>1</v>
      </c>
      <c r="AG205" s="155"/>
      <c r="AH205" s="121">
        <v>4</v>
      </c>
      <c r="AI205" s="484"/>
      <c r="AJ205" s="202" t="s">
        <v>4573</v>
      </c>
      <c r="AK205" s="192">
        <v>1</v>
      </c>
      <c r="AL205" s="203" t="s">
        <v>4572</v>
      </c>
      <c r="AM205" s="121">
        <f>Table665[[#This Row],[Subjects_n_ptsd]]+Table665[[#This Row],[Subjects_n_control]]</f>
        <v>24</v>
      </c>
      <c r="AN205" s="121">
        <v>12</v>
      </c>
      <c r="AO205" s="121">
        <v>12</v>
      </c>
      <c r="AP205" s="121" t="s">
        <v>803</v>
      </c>
      <c r="AQ205" s="121" t="s">
        <v>803</v>
      </c>
      <c r="AR205" s="121" t="s">
        <v>4544</v>
      </c>
      <c r="AS205" s="121" t="s">
        <v>24</v>
      </c>
      <c r="AT205" s="121" t="s">
        <v>4544</v>
      </c>
      <c r="AU205" s="121" t="s">
        <v>24</v>
      </c>
      <c r="AV205" s="121" t="s">
        <v>4561</v>
      </c>
      <c r="AW205" s="121">
        <v>1</v>
      </c>
      <c r="AX205" s="121" t="s">
        <v>4545</v>
      </c>
      <c r="AY205" s="121" t="s">
        <v>4546</v>
      </c>
      <c r="AZ205" s="121" t="s">
        <v>1130</v>
      </c>
      <c r="BA205" s="121" t="s">
        <v>3279</v>
      </c>
      <c r="BB205" s="121"/>
      <c r="BC205" s="121"/>
      <c r="BD205" s="156">
        <v>1</v>
      </c>
      <c r="BE205" s="156" t="s">
        <v>1917</v>
      </c>
      <c r="BF205" s="156"/>
      <c r="BG205" s="156"/>
      <c r="BH205" s="156"/>
      <c r="BI205" s="156"/>
      <c r="BJ205" s="156"/>
      <c r="BK205" s="156"/>
      <c r="BL205" s="156"/>
      <c r="BM205" s="156"/>
      <c r="BN205" s="156"/>
      <c r="BO205" s="156"/>
      <c r="BP205" s="156"/>
      <c r="BQ205" s="157" t="s">
        <v>2493</v>
      </c>
      <c r="BR205" s="134" t="s">
        <v>1876</v>
      </c>
      <c r="BS205" s="134" t="s">
        <v>4547</v>
      </c>
      <c r="BT205" s="134" t="s">
        <v>4562</v>
      </c>
      <c r="BU205" s="134" t="s">
        <v>4549</v>
      </c>
      <c r="BV205" s="134" t="s">
        <v>4548</v>
      </c>
      <c r="BW205" s="259" t="s">
        <v>4560</v>
      </c>
      <c r="BX205" s="138" t="s">
        <v>4550</v>
      </c>
      <c r="BY205" s="134">
        <v>64.948499999999996</v>
      </c>
      <c r="BZ205" s="134" t="s">
        <v>24</v>
      </c>
      <c r="CA205" s="134">
        <f>91.2371-Table665[[#This Row],[Outcome1_M]]</f>
        <v>26.288600000000002</v>
      </c>
      <c r="CB205" s="138" t="s">
        <v>4551</v>
      </c>
      <c r="CC205" s="134">
        <v>10.051500000000001</v>
      </c>
      <c r="CD205" s="134" t="s">
        <v>24</v>
      </c>
      <c r="CE205" s="134">
        <f>13.9175-Table665[[#This Row],[Outcome2_M]]</f>
        <v>3.8659999999999997</v>
      </c>
      <c r="CF205" s="288" t="s">
        <v>4559</v>
      </c>
      <c r="CG205" s="289" t="s">
        <v>2480</v>
      </c>
      <c r="CH205" s="138" t="s">
        <v>4552</v>
      </c>
      <c r="CI205" s="134">
        <v>274.61099999999999</v>
      </c>
      <c r="CJ205" s="134" t="s">
        <v>24</v>
      </c>
      <c r="CK205" s="134">
        <f>284.974-Table665[[#This Row],[Outcome3_M]]</f>
        <v>10.363</v>
      </c>
      <c r="CL205" s="138" t="s">
        <v>4553</v>
      </c>
      <c r="CM205" s="134">
        <v>20.7254</v>
      </c>
      <c r="CN205" s="134" t="s">
        <v>24</v>
      </c>
      <c r="CO205" s="134">
        <f>24.8705-Table665[[#This Row],[Outcome4_M]]</f>
        <v>4.1450999999999993</v>
      </c>
      <c r="CP205" s="288" t="s">
        <v>4557</v>
      </c>
      <c r="CQ205" s="288" t="s">
        <v>4558</v>
      </c>
      <c r="CR205" s="276"/>
      <c r="CS205" s="308"/>
      <c r="CT205" s="138" t="s">
        <v>4554</v>
      </c>
      <c r="CU205" s="134">
        <v>2.9072200000000001</v>
      </c>
      <c r="CV205" s="134" t="s">
        <v>24</v>
      </c>
      <c r="CW205" s="134">
        <f>3.29897-Table665[[#This Row],[Outcome5_M]]</f>
        <v>0.39175000000000004</v>
      </c>
      <c r="CX205" s="138" t="s">
        <v>4555</v>
      </c>
      <c r="CY205" s="134">
        <v>5.1546399999999997</v>
      </c>
      <c r="CZ205" s="134" t="s">
        <v>24</v>
      </c>
      <c r="DA205" s="134">
        <f>6.20619-Table665[[#This Row],[Outcome6_M]]</f>
        <v>1.0515500000000007</v>
      </c>
      <c r="DB205" s="300" t="s">
        <v>4556</v>
      </c>
      <c r="DC205" s="301" t="s">
        <v>2480</v>
      </c>
      <c r="DD205" s="134"/>
      <c r="DE205" s="134"/>
      <c r="DF205" s="134"/>
      <c r="DG205" s="134"/>
      <c r="DH205" s="134"/>
      <c r="DI205" s="134"/>
      <c r="DJ205" s="134"/>
      <c r="DK205" s="134"/>
      <c r="DL205" s="300"/>
      <c r="DM205" s="301"/>
      <c r="DN205" s="276"/>
      <c r="DO205" s="277"/>
      <c r="DP205" s="134"/>
      <c r="DQ205" s="134"/>
      <c r="DR205" s="134"/>
      <c r="DS205" s="134"/>
      <c r="DT205" s="138"/>
      <c r="DU205" s="134"/>
      <c r="DV205" s="134"/>
      <c r="DW205" s="134"/>
      <c r="DX205" s="301"/>
      <c r="DY205" s="301"/>
      <c r="DZ205" s="138"/>
      <c r="EA205" s="134"/>
      <c r="EB205" s="134"/>
      <c r="EC205" s="134"/>
      <c r="ED205" s="138"/>
      <c r="EE205" s="134"/>
      <c r="EF205" s="134"/>
      <c r="EG205" s="134"/>
      <c r="EH205" s="301"/>
      <c r="EI205" s="301"/>
      <c r="EJ205" s="277"/>
      <c r="EK205" s="134"/>
      <c r="EL205" s="134"/>
      <c r="EM205" s="134"/>
      <c r="EN205" s="134"/>
      <c r="EO205" s="134"/>
      <c r="EP205" s="134"/>
      <c r="EQ205" s="134"/>
      <c r="ER205" s="134"/>
      <c r="ES205" s="301"/>
      <c r="ET205" s="301"/>
      <c r="EU205" s="134"/>
      <c r="EV205" s="134"/>
      <c r="EW205" s="134"/>
      <c r="EX205" s="134"/>
      <c r="EY205" s="134"/>
      <c r="EZ205" s="134"/>
      <c r="FA205" s="134"/>
      <c r="FB205" s="134"/>
      <c r="FC205" s="135"/>
      <c r="FD205" s="135"/>
      <c r="FE205" s="134"/>
      <c r="FF205" s="134"/>
      <c r="FG205" s="134"/>
      <c r="FH205" s="134"/>
      <c r="FI205" s="134"/>
      <c r="FJ205" s="134"/>
      <c r="FK205" s="134"/>
      <c r="FL205" s="134"/>
      <c r="FM205" s="135"/>
      <c r="FN205" s="135"/>
      <c r="FO205" s="134"/>
      <c r="FP205" s="134"/>
      <c r="FQ205" s="134"/>
      <c r="FR205" s="134"/>
      <c r="FS205" s="134"/>
      <c r="FT205" s="134"/>
      <c r="FU205" s="134"/>
      <c r="FV205" s="134"/>
      <c r="FW205" s="135"/>
      <c r="FX205" s="135"/>
      <c r="FY205" s="134"/>
      <c r="FZ205" s="134"/>
      <c r="GA205" s="134"/>
      <c r="GB205" s="134"/>
      <c r="GC205" s="134"/>
      <c r="GD205" s="134"/>
      <c r="GE205" s="134"/>
      <c r="GF205" s="134"/>
      <c r="GG205" s="135"/>
      <c r="GH205" s="135"/>
      <c r="GI205" s="134"/>
      <c r="GJ205" s="134"/>
      <c r="GK205" s="134"/>
      <c r="GL205" s="134"/>
      <c r="GM205" s="134"/>
      <c r="GN205" s="134"/>
      <c r="GO205" s="134"/>
      <c r="GP205" s="134"/>
      <c r="GQ205" s="135"/>
      <c r="GR205" s="135"/>
      <c r="GS205" s="134"/>
      <c r="GT205" s="134"/>
      <c r="GU205" s="134"/>
      <c r="GV205" s="134"/>
      <c r="GW205" s="134"/>
      <c r="GX205" s="134"/>
      <c r="GY205" s="134"/>
      <c r="GZ205" s="134"/>
      <c r="HA205" s="135"/>
      <c r="HB205" s="135"/>
      <c r="HC205" s="134"/>
      <c r="HD205" s="134"/>
      <c r="HE205" s="134"/>
      <c r="HF205" s="134"/>
      <c r="HG205" s="134"/>
      <c r="HH205" s="134"/>
      <c r="HI205" s="134"/>
      <c r="HJ205" s="134"/>
      <c r="HK205" s="135"/>
      <c r="HL205" s="135"/>
      <c r="HM205" s="134"/>
      <c r="HN205" s="134"/>
      <c r="HO205" s="134"/>
      <c r="HP205" s="134"/>
      <c r="HQ205" s="134"/>
      <c r="HR205" s="134"/>
      <c r="HS205" s="134"/>
      <c r="HT205" s="134"/>
      <c r="HU205" s="135"/>
      <c r="HV205" s="135"/>
      <c r="HW205" s="134"/>
      <c r="HX205" s="134"/>
      <c r="HY205" s="134"/>
      <c r="HZ205" s="134"/>
      <c r="IA205" s="134"/>
      <c r="IB205" s="134"/>
      <c r="IC205" s="134"/>
      <c r="ID205" s="134"/>
      <c r="IE205" s="135"/>
      <c r="IF205" s="135"/>
      <c r="IG205" s="134"/>
      <c r="IH205" s="134"/>
      <c r="II205" s="134"/>
      <c r="IJ205" s="134"/>
      <c r="IK205" s="134"/>
      <c r="IL205" s="134"/>
      <c r="IM205" s="134"/>
      <c r="IN205" s="134"/>
      <c r="IO205" s="135"/>
      <c r="IP205" s="135"/>
      <c r="IQ205" s="134"/>
      <c r="IR205" s="134"/>
      <c r="IS205" s="134"/>
      <c r="IT205" s="134"/>
      <c r="IU205" s="134"/>
      <c r="IV205" s="134"/>
      <c r="IW205" s="134"/>
      <c r="IX205" s="134"/>
      <c r="IY205" s="135"/>
      <c r="IZ205" s="135"/>
    </row>
    <row r="206" spans="1:260" customFormat="1" ht="17" customHeight="1">
      <c r="A206" s="79" t="s">
        <v>1055</v>
      </c>
      <c r="B206" s="117">
        <v>124</v>
      </c>
      <c r="C206" s="117">
        <v>32</v>
      </c>
      <c r="D206" s="117"/>
      <c r="E206" s="123" t="s">
        <v>2074</v>
      </c>
      <c r="F206" s="124" t="s">
        <v>2327</v>
      </c>
      <c r="G206" s="125">
        <v>2010</v>
      </c>
      <c r="H206" s="79">
        <v>20700523</v>
      </c>
      <c r="I206" s="79">
        <v>1</v>
      </c>
      <c r="J206" s="126"/>
      <c r="K206" s="127"/>
      <c r="L206" s="79">
        <v>1</v>
      </c>
      <c r="M206" s="79"/>
      <c r="N206" s="79">
        <v>1</v>
      </c>
      <c r="O206" s="128">
        <v>2</v>
      </c>
      <c r="P206" s="79" t="s">
        <v>1342</v>
      </c>
      <c r="Q206" s="79" t="s">
        <v>1224</v>
      </c>
      <c r="R206" s="79" t="s">
        <v>1127</v>
      </c>
      <c r="S206" s="79"/>
      <c r="T206" s="79" t="s">
        <v>1498</v>
      </c>
      <c r="U206" s="79" t="s">
        <v>803</v>
      </c>
      <c r="V206" s="79"/>
      <c r="W206" s="79" t="s">
        <v>1341</v>
      </c>
      <c r="X206" s="79"/>
      <c r="Y206" s="79"/>
      <c r="Z206" s="79"/>
      <c r="AA206" s="79"/>
      <c r="AB206" s="79"/>
      <c r="AC206" s="506"/>
      <c r="AD206" s="573">
        <v>1</v>
      </c>
      <c r="AE206" s="573">
        <v>2</v>
      </c>
      <c r="AF206" s="154">
        <v>1</v>
      </c>
      <c r="AG206" s="155"/>
      <c r="AH206" s="121">
        <v>4</v>
      </c>
      <c r="AI206" s="484"/>
      <c r="AJ206" s="202" t="s">
        <v>4573</v>
      </c>
      <c r="AK206" s="192">
        <v>1</v>
      </c>
      <c r="AL206" s="203" t="s">
        <v>4572</v>
      </c>
      <c r="AM206" s="121">
        <f>Table665[[#This Row],[Subjects_n_ptsd]]+Table665[[#This Row],[Subjects_n_control]]</f>
        <v>24</v>
      </c>
      <c r="AN206" s="121">
        <v>12</v>
      </c>
      <c r="AO206" s="121">
        <v>12</v>
      </c>
      <c r="AP206" s="121" t="s">
        <v>803</v>
      </c>
      <c r="AQ206" s="121" t="s">
        <v>803</v>
      </c>
      <c r="AR206" s="121" t="s">
        <v>4544</v>
      </c>
      <c r="AS206" s="121" t="s">
        <v>24</v>
      </c>
      <c r="AT206" s="121" t="s">
        <v>4544</v>
      </c>
      <c r="AU206" s="121" t="s">
        <v>24</v>
      </c>
      <c r="AV206" s="121" t="s">
        <v>4563</v>
      </c>
      <c r="AW206" s="121">
        <v>1</v>
      </c>
      <c r="AX206" s="121" t="s">
        <v>4564</v>
      </c>
      <c r="AY206" s="121" t="s">
        <v>4546</v>
      </c>
      <c r="AZ206" s="121" t="s">
        <v>1130</v>
      </c>
      <c r="BA206" s="121" t="s">
        <v>3279</v>
      </c>
      <c r="BB206" s="121"/>
      <c r="BC206" s="121"/>
      <c r="BD206" s="478">
        <v>1</v>
      </c>
      <c r="BE206" s="156"/>
      <c r="BF206" s="463"/>
      <c r="BG206" s="156"/>
      <c r="BH206" s="156"/>
      <c r="BI206" s="156"/>
      <c r="BJ206" s="463"/>
      <c r="BK206" s="156"/>
      <c r="BL206" s="156"/>
      <c r="BM206" s="156"/>
      <c r="BN206" s="156"/>
      <c r="BO206" s="156"/>
      <c r="BP206" s="463"/>
      <c r="BQ206" s="157" t="s">
        <v>2978</v>
      </c>
      <c r="BR206" s="134" t="s">
        <v>1876</v>
      </c>
      <c r="BS206" s="134" t="s">
        <v>4547</v>
      </c>
      <c r="BT206" s="134" t="s">
        <v>4565</v>
      </c>
      <c r="BU206" s="134" t="s">
        <v>4549</v>
      </c>
      <c r="BV206" s="134" t="s">
        <v>4566</v>
      </c>
      <c r="BW206" s="471" t="s">
        <v>4571</v>
      </c>
      <c r="BX206" s="138" t="s">
        <v>4567</v>
      </c>
      <c r="BY206" s="134">
        <v>90.530299999999997</v>
      </c>
      <c r="BZ206" s="134" t="s">
        <v>24</v>
      </c>
      <c r="CA206" s="134">
        <f>98.8636-Table665[[#This Row],[Outcome1_M]]</f>
        <v>8.3333000000000084</v>
      </c>
      <c r="CB206" s="138" t="s">
        <v>4568</v>
      </c>
      <c r="CC206" s="134">
        <v>40.909100000000002</v>
      </c>
      <c r="CD206" s="134" t="s">
        <v>24</v>
      </c>
      <c r="CE206" s="134">
        <f>46.2121-Table665[[#This Row],[Outcome2_M]]</f>
        <v>5.3029999999999973</v>
      </c>
      <c r="CF206" s="288" t="s">
        <v>4569</v>
      </c>
      <c r="CG206" s="289" t="s">
        <v>4570</v>
      </c>
      <c r="CH206" s="134" t="s">
        <v>24</v>
      </c>
      <c r="CI206" s="134"/>
      <c r="CJ206" s="134"/>
      <c r="CK206" s="134"/>
      <c r="CL206" s="134"/>
      <c r="CM206" s="134"/>
      <c r="CN206" s="134"/>
      <c r="CO206" s="134"/>
      <c r="CP206" s="288"/>
      <c r="CQ206" s="289"/>
      <c r="CR206" s="276"/>
      <c r="CS206" s="308"/>
      <c r="CT206" s="138"/>
      <c r="CU206" s="134"/>
      <c r="CV206" s="134"/>
      <c r="CW206" s="134"/>
      <c r="CX206" s="134"/>
      <c r="CY206" s="134"/>
      <c r="CZ206" s="134"/>
      <c r="DA206" s="134"/>
      <c r="DB206" s="300"/>
      <c r="DC206" s="301"/>
      <c r="DD206" s="134"/>
      <c r="DE206" s="134"/>
      <c r="DF206" s="134"/>
      <c r="DG206" s="134"/>
      <c r="DH206" s="134"/>
      <c r="DI206" s="134"/>
      <c r="DJ206" s="134"/>
      <c r="DK206" s="134"/>
      <c r="DL206" s="300"/>
      <c r="DM206" s="301"/>
      <c r="DN206" s="276"/>
      <c r="DO206" s="277"/>
      <c r="DP206" s="134"/>
      <c r="DQ206" s="134"/>
      <c r="DR206" s="134"/>
      <c r="DS206" s="480"/>
      <c r="DT206" s="134"/>
      <c r="DU206" s="134"/>
      <c r="DV206" s="134"/>
      <c r="DW206" s="480"/>
      <c r="DX206" s="301"/>
      <c r="DY206" s="301"/>
      <c r="DZ206" s="134"/>
      <c r="EA206" s="134"/>
      <c r="EB206" s="134"/>
      <c r="EC206" s="480"/>
      <c r="ED206" s="134"/>
      <c r="EE206" s="134"/>
      <c r="EF206" s="134"/>
      <c r="EG206" s="480"/>
      <c r="EH206" s="301"/>
      <c r="EI206" s="301"/>
      <c r="EJ206" s="277"/>
      <c r="EK206" s="134"/>
      <c r="EL206" s="134"/>
      <c r="EM206" s="134"/>
      <c r="EN206" s="480"/>
      <c r="EO206" s="134"/>
      <c r="EP206" s="134"/>
      <c r="EQ206" s="134"/>
      <c r="ER206" s="480"/>
      <c r="ES206" s="301"/>
      <c r="ET206" s="301"/>
      <c r="EU206" s="134"/>
      <c r="EV206" s="134"/>
      <c r="EW206" s="134"/>
      <c r="EX206" s="480"/>
      <c r="EY206" s="480"/>
      <c r="EZ206" s="480"/>
      <c r="FA206" s="480"/>
      <c r="FB206" s="480"/>
      <c r="FC206" s="482"/>
      <c r="FD206" s="482"/>
      <c r="FE206" s="480"/>
      <c r="FF206" s="480"/>
      <c r="FG206" s="480"/>
      <c r="FH206" s="480"/>
      <c r="FI206" s="480"/>
      <c r="FJ206" s="480"/>
      <c r="FK206" s="480"/>
      <c r="FL206" s="480"/>
      <c r="FM206" s="482"/>
      <c r="FN206" s="482"/>
      <c r="FO206" s="480"/>
      <c r="FP206" s="480"/>
      <c r="FQ206" s="480"/>
      <c r="FR206" s="480"/>
      <c r="FS206" s="480"/>
      <c r="FT206" s="480"/>
      <c r="FU206" s="480"/>
      <c r="FV206" s="480"/>
      <c r="FW206" s="482"/>
      <c r="FX206" s="482"/>
      <c r="FY206" s="480"/>
      <c r="FZ206" s="480"/>
      <c r="GA206" s="480"/>
      <c r="GB206" s="480"/>
      <c r="GC206" s="480"/>
      <c r="GD206" s="480"/>
      <c r="GE206" s="480"/>
      <c r="GF206" s="480"/>
      <c r="GG206" s="482"/>
      <c r="GH206" s="482"/>
      <c r="GI206" s="480"/>
      <c r="GJ206" s="480"/>
      <c r="GK206" s="480"/>
      <c r="GL206" s="480"/>
      <c r="GM206" s="480"/>
      <c r="GN206" s="480"/>
      <c r="GO206" s="480"/>
      <c r="GP206" s="480"/>
      <c r="GQ206" s="482"/>
      <c r="GR206" s="482"/>
      <c r="GS206" s="480"/>
      <c r="GT206" s="480"/>
      <c r="GU206" s="480"/>
      <c r="GV206" s="480"/>
      <c r="GW206" s="480"/>
      <c r="GX206" s="480"/>
      <c r="GY206" s="480"/>
      <c r="GZ206" s="480"/>
      <c r="HA206" s="482"/>
      <c r="HB206" s="482"/>
      <c r="HC206" s="480"/>
      <c r="HD206" s="480"/>
      <c r="HE206" s="480"/>
      <c r="HF206" s="480"/>
      <c r="HG206" s="480"/>
      <c r="HH206" s="480"/>
      <c r="HI206" s="480"/>
      <c r="HJ206" s="480"/>
      <c r="HK206" s="482"/>
      <c r="HL206" s="482"/>
      <c r="HM206" s="480"/>
      <c r="HN206" s="480"/>
      <c r="HO206" s="134"/>
      <c r="HP206" s="134"/>
      <c r="HQ206" s="134"/>
      <c r="HR206" s="134"/>
      <c r="HS206" s="134"/>
      <c r="HT206" s="134"/>
      <c r="HU206" s="135"/>
      <c r="HV206" s="135"/>
      <c r="HW206" s="134"/>
      <c r="HX206" s="134"/>
      <c r="HY206" s="134"/>
      <c r="HZ206" s="134"/>
      <c r="IA206" s="134"/>
      <c r="IB206" s="134"/>
      <c r="IC206" s="134"/>
      <c r="ID206" s="134"/>
      <c r="IE206" s="135"/>
      <c r="IF206" s="135"/>
      <c r="IG206" s="134"/>
      <c r="IH206" s="134"/>
      <c r="II206" s="134"/>
      <c r="IJ206" s="134"/>
      <c r="IK206" s="134"/>
      <c r="IL206" s="134"/>
      <c r="IM206" s="134"/>
      <c r="IN206" s="134"/>
      <c r="IO206" s="135"/>
      <c r="IP206" s="135"/>
      <c r="IQ206" s="134"/>
      <c r="IR206" s="134"/>
      <c r="IS206" s="134"/>
      <c r="IT206" s="134"/>
      <c r="IU206" s="134"/>
      <c r="IV206" s="134"/>
      <c r="IW206" s="134"/>
      <c r="IX206" s="134"/>
      <c r="IY206" s="135"/>
      <c r="IZ206" s="135"/>
    </row>
    <row r="207" spans="1:260" customFormat="1" ht="17" customHeight="1">
      <c r="A207" s="79" t="s">
        <v>1053</v>
      </c>
      <c r="B207" s="117">
        <v>127</v>
      </c>
      <c r="C207" s="117">
        <v>33</v>
      </c>
      <c r="D207" s="117"/>
      <c r="E207" s="123" t="s">
        <v>2075</v>
      </c>
      <c r="F207" s="124" t="s">
        <v>2328</v>
      </c>
      <c r="G207" s="125">
        <v>2016</v>
      </c>
      <c r="H207" s="79">
        <v>26655446</v>
      </c>
      <c r="I207" s="79">
        <v>1</v>
      </c>
      <c r="J207" s="126" t="s">
        <v>1843</v>
      </c>
      <c r="K207" s="127"/>
      <c r="L207" s="79">
        <v>0</v>
      </c>
      <c r="M207" s="79"/>
      <c r="N207" s="79">
        <v>0</v>
      </c>
      <c r="O207" s="128">
        <v>2</v>
      </c>
      <c r="P207" s="79" t="s">
        <v>1346</v>
      </c>
      <c r="Q207" s="79"/>
      <c r="R207" s="79" t="s">
        <v>1138</v>
      </c>
      <c r="S207" s="79"/>
      <c r="T207" s="79" t="s">
        <v>1493</v>
      </c>
      <c r="U207" s="79" t="s">
        <v>23</v>
      </c>
      <c r="V207" s="79" t="s">
        <v>23</v>
      </c>
      <c r="W207" s="79"/>
      <c r="X207" s="79" t="s">
        <v>1345</v>
      </c>
      <c r="Y207" s="79"/>
      <c r="Z207" s="79"/>
      <c r="AA207" s="79"/>
      <c r="AB207" s="79" t="s">
        <v>1344</v>
      </c>
      <c r="AC207" s="506"/>
      <c r="AD207" s="573">
        <v>1</v>
      </c>
      <c r="AE207" s="573">
        <v>2</v>
      </c>
      <c r="AF207" s="233">
        <v>0</v>
      </c>
      <c r="AG207" s="234" t="s">
        <v>4580</v>
      </c>
      <c r="AH207" s="121">
        <v>5</v>
      </c>
      <c r="AI207" s="484"/>
      <c r="AJ207" s="202" t="s">
        <v>4576</v>
      </c>
      <c r="AK207" s="192"/>
      <c r="AL207" s="203"/>
      <c r="AM207" s="121"/>
      <c r="AN207" s="121"/>
      <c r="AO207" s="121"/>
      <c r="AP207" s="121"/>
      <c r="AQ207" s="121"/>
      <c r="AR207" s="121"/>
      <c r="AS207" s="121"/>
      <c r="AT207" s="121"/>
      <c r="AU207" s="121"/>
      <c r="AV207" s="121" t="s">
        <v>4579</v>
      </c>
      <c r="AW207" s="121" t="s">
        <v>4574</v>
      </c>
      <c r="AX207" s="121" t="s">
        <v>4575</v>
      </c>
      <c r="AY207" s="121" t="s">
        <v>4577</v>
      </c>
      <c r="AZ207" s="121" t="s">
        <v>789</v>
      </c>
      <c r="BA207" s="121" t="s">
        <v>4578</v>
      </c>
      <c r="BB207" s="121"/>
      <c r="BC207" s="121"/>
      <c r="BD207" s="156"/>
      <c r="BE207" s="156"/>
      <c r="BF207" s="156"/>
      <c r="BG207" s="156"/>
      <c r="BH207" s="156"/>
      <c r="BI207" s="156"/>
      <c r="BJ207" s="156">
        <v>1</v>
      </c>
      <c r="BK207" s="156"/>
      <c r="BL207" s="156"/>
      <c r="BM207" s="156"/>
      <c r="BN207" s="156"/>
      <c r="BO207" s="156"/>
      <c r="BP207" s="156"/>
      <c r="BQ207" s="157"/>
      <c r="BR207" s="134"/>
      <c r="BS207" s="134"/>
      <c r="BT207" s="134"/>
      <c r="BU207" s="134"/>
      <c r="BV207" s="134"/>
      <c r="BW207" s="259" t="s">
        <v>24</v>
      </c>
      <c r="BX207" s="138"/>
      <c r="BY207" s="134"/>
      <c r="BZ207" s="134"/>
      <c r="CA207" s="134"/>
      <c r="CB207" s="138"/>
      <c r="CC207" s="134"/>
      <c r="CD207" s="134"/>
      <c r="CE207" s="134"/>
      <c r="CF207" s="288"/>
      <c r="CG207" s="289"/>
      <c r="CH207" s="138"/>
      <c r="CI207" s="134"/>
      <c r="CJ207" s="134"/>
      <c r="CK207" s="134"/>
      <c r="CL207" s="138"/>
      <c r="CM207" s="134"/>
      <c r="CN207" s="134"/>
      <c r="CO207" s="134"/>
      <c r="CP207" s="288"/>
      <c r="CQ207" s="289"/>
      <c r="CR207" s="276"/>
      <c r="CS207" s="308"/>
      <c r="CT207" s="138"/>
      <c r="CU207" s="134"/>
      <c r="CV207" s="134"/>
      <c r="CW207" s="134"/>
      <c r="CX207" s="134"/>
      <c r="CY207" s="134"/>
      <c r="CZ207" s="134"/>
      <c r="DA207" s="134"/>
      <c r="DB207" s="300"/>
      <c r="DC207" s="301"/>
      <c r="DD207" s="134"/>
      <c r="DE207" s="134"/>
      <c r="DF207" s="134"/>
      <c r="DG207" s="134"/>
      <c r="DH207" s="134"/>
      <c r="DI207" s="134"/>
      <c r="DJ207" s="134"/>
      <c r="DK207" s="134"/>
      <c r="DL207" s="300"/>
      <c r="DM207" s="301"/>
      <c r="DN207" s="276"/>
      <c r="DO207" s="277"/>
      <c r="DP207" s="134"/>
      <c r="DQ207" s="134"/>
      <c r="DR207" s="134"/>
      <c r="DS207" s="134"/>
      <c r="DT207" s="138"/>
      <c r="DU207" s="134"/>
      <c r="DV207" s="134"/>
      <c r="DW207" s="134"/>
      <c r="DX207" s="301"/>
      <c r="DY207" s="301"/>
      <c r="DZ207" s="138"/>
      <c r="EA207" s="134"/>
      <c r="EB207" s="134"/>
      <c r="EC207" s="134"/>
      <c r="ED207" s="138"/>
      <c r="EE207" s="134"/>
      <c r="EF207" s="134"/>
      <c r="EG207" s="134"/>
      <c r="EH207" s="301"/>
      <c r="EI207" s="301"/>
      <c r="EJ207" s="277"/>
      <c r="EK207" s="134"/>
      <c r="EL207" s="134"/>
      <c r="EM207" s="134"/>
      <c r="EN207" s="134"/>
      <c r="EO207" s="134"/>
      <c r="EP207" s="134"/>
      <c r="EQ207" s="134"/>
      <c r="ER207" s="134"/>
      <c r="ES207" s="301"/>
      <c r="ET207" s="301"/>
      <c r="EU207" s="134"/>
      <c r="EV207" s="134"/>
      <c r="EW207" s="134"/>
      <c r="EX207" s="134"/>
      <c r="EY207" s="134"/>
      <c r="EZ207" s="134"/>
      <c r="FA207" s="134"/>
      <c r="FB207" s="134"/>
      <c r="FC207" s="135"/>
      <c r="FD207" s="135"/>
      <c r="FE207" s="134"/>
      <c r="FF207" s="134"/>
      <c r="FG207" s="134"/>
      <c r="FH207" s="134"/>
      <c r="FI207" s="134"/>
      <c r="FJ207" s="134"/>
      <c r="FK207" s="134"/>
      <c r="FL207" s="134"/>
      <c r="FM207" s="135"/>
      <c r="FN207" s="135"/>
      <c r="FO207" s="134"/>
      <c r="FP207" s="134"/>
      <c r="FQ207" s="134"/>
      <c r="FR207" s="134"/>
      <c r="FS207" s="134"/>
      <c r="FT207" s="134"/>
      <c r="FU207" s="134"/>
      <c r="FV207" s="134"/>
      <c r="FW207" s="135"/>
      <c r="FX207" s="135"/>
      <c r="FY207" s="134"/>
      <c r="FZ207" s="134"/>
      <c r="GA207" s="134"/>
      <c r="GB207" s="134"/>
      <c r="GC207" s="134"/>
      <c r="GD207" s="134"/>
      <c r="GE207" s="134"/>
      <c r="GF207" s="134"/>
      <c r="GG207" s="135"/>
      <c r="GH207" s="135"/>
      <c r="GI207" s="134"/>
      <c r="GJ207" s="134"/>
      <c r="GK207" s="134"/>
      <c r="GL207" s="134"/>
      <c r="GM207" s="134"/>
      <c r="GN207" s="134"/>
      <c r="GO207" s="134"/>
      <c r="GP207" s="134"/>
      <c r="GQ207" s="135"/>
      <c r="GR207" s="135"/>
      <c r="GS207" s="134"/>
      <c r="GT207" s="134"/>
      <c r="GU207" s="134"/>
      <c r="GV207" s="134"/>
      <c r="GW207" s="134"/>
      <c r="GX207" s="134"/>
      <c r="GY207" s="134"/>
      <c r="GZ207" s="134"/>
      <c r="HA207" s="135"/>
      <c r="HB207" s="135"/>
      <c r="HC207" s="134"/>
      <c r="HD207" s="134"/>
      <c r="HE207" s="134"/>
      <c r="HF207" s="134"/>
      <c r="HG207" s="134"/>
      <c r="HH207" s="134"/>
      <c r="HI207" s="134"/>
      <c r="HJ207" s="134"/>
      <c r="HK207" s="135"/>
      <c r="HL207" s="135"/>
      <c r="HM207" s="134"/>
      <c r="HN207" s="134"/>
      <c r="HO207" s="134"/>
      <c r="HP207" s="134"/>
      <c r="HQ207" s="134"/>
      <c r="HR207" s="134"/>
      <c r="HS207" s="134"/>
      <c r="HT207" s="134"/>
      <c r="HU207" s="135"/>
      <c r="HV207" s="135"/>
      <c r="HW207" s="134"/>
      <c r="HX207" s="134"/>
      <c r="HY207" s="134"/>
      <c r="HZ207" s="134"/>
      <c r="IA207" s="134"/>
      <c r="IB207" s="134"/>
      <c r="IC207" s="134"/>
      <c r="ID207" s="134"/>
      <c r="IE207" s="135"/>
      <c r="IF207" s="135"/>
      <c r="IG207" s="134"/>
      <c r="IH207" s="134"/>
      <c r="II207" s="134"/>
      <c r="IJ207" s="134"/>
      <c r="IK207" s="134"/>
      <c r="IL207" s="134"/>
      <c r="IM207" s="134"/>
      <c r="IN207" s="134"/>
      <c r="IO207" s="135"/>
      <c r="IP207" s="135"/>
      <c r="IQ207" s="134"/>
      <c r="IR207" s="134"/>
      <c r="IS207" s="134"/>
      <c r="IT207" s="134"/>
      <c r="IU207" s="134"/>
      <c r="IV207" s="134"/>
      <c r="IW207" s="134"/>
      <c r="IX207" s="134"/>
      <c r="IY207" s="135"/>
      <c r="IZ207" s="135"/>
    </row>
    <row r="208" spans="1:260" customFormat="1" ht="17" customHeight="1">
      <c r="A208" s="79" t="s">
        <v>1052</v>
      </c>
      <c r="B208" s="363">
        <v>19</v>
      </c>
      <c r="C208" s="363"/>
      <c r="D208" s="363"/>
      <c r="E208" s="123" t="s">
        <v>2075</v>
      </c>
      <c r="F208" s="124" t="s">
        <v>2329</v>
      </c>
      <c r="G208" s="125">
        <v>2014</v>
      </c>
      <c r="H208" s="79">
        <v>24335837</v>
      </c>
      <c r="I208" s="79">
        <v>1</v>
      </c>
      <c r="J208" s="126">
        <v>1</v>
      </c>
      <c r="K208" s="127"/>
      <c r="L208" s="79">
        <v>1</v>
      </c>
      <c r="M208" s="79"/>
      <c r="N208" s="79">
        <v>1</v>
      </c>
      <c r="O208" s="128">
        <v>2</v>
      </c>
      <c r="P208" s="79" t="s">
        <v>1347</v>
      </c>
      <c r="Q208" s="79" t="s">
        <v>1224</v>
      </c>
      <c r="R208" s="79" t="s">
        <v>1138</v>
      </c>
      <c r="S208" s="79"/>
      <c r="T208" s="79" t="s">
        <v>1499</v>
      </c>
      <c r="U208" s="79" t="s">
        <v>803</v>
      </c>
      <c r="V208" s="79" t="s">
        <v>23</v>
      </c>
      <c r="W208" s="79" t="s">
        <v>1692</v>
      </c>
      <c r="X208" s="79" t="s">
        <v>1348</v>
      </c>
      <c r="Y208" s="79" t="s">
        <v>1349</v>
      </c>
      <c r="Z208" s="79"/>
      <c r="AA208" s="79" t="s">
        <v>1350</v>
      </c>
      <c r="AB208" s="79"/>
      <c r="AC208" s="506"/>
      <c r="AD208" s="573">
        <v>1</v>
      </c>
      <c r="AE208" s="573">
        <v>2</v>
      </c>
      <c r="AF208" s="154">
        <v>1</v>
      </c>
      <c r="AG208" s="155" t="s">
        <v>2960</v>
      </c>
      <c r="AH208" s="121">
        <v>5</v>
      </c>
      <c r="AI208" s="484"/>
      <c r="AJ208" s="202" t="s">
        <v>2933</v>
      </c>
      <c r="AK208" s="192">
        <v>1</v>
      </c>
      <c r="AL208" s="203" t="s">
        <v>2934</v>
      </c>
      <c r="AM208" s="121">
        <v>24</v>
      </c>
      <c r="AN208" s="121">
        <v>12</v>
      </c>
      <c r="AO208" s="121">
        <v>12</v>
      </c>
      <c r="AP208" s="121" t="s">
        <v>803</v>
      </c>
      <c r="AQ208" s="121" t="s">
        <v>803</v>
      </c>
      <c r="AR208" s="121" t="s">
        <v>24</v>
      </c>
      <c r="AS208" s="121" t="s">
        <v>24</v>
      </c>
      <c r="AT208" s="121" t="s">
        <v>24</v>
      </c>
      <c r="AU208" s="121" t="s">
        <v>24</v>
      </c>
      <c r="AV208" s="121" t="s">
        <v>2944</v>
      </c>
      <c r="AW208" s="121">
        <v>1</v>
      </c>
      <c r="AX208" s="121">
        <v>1</v>
      </c>
      <c r="AY208" s="121" t="s">
        <v>2941</v>
      </c>
      <c r="AZ208" s="121" t="s">
        <v>2932</v>
      </c>
      <c r="BA208" s="121" t="s">
        <v>2554</v>
      </c>
      <c r="BB208" s="121"/>
      <c r="BC208" s="121"/>
      <c r="BD208" s="156">
        <v>1</v>
      </c>
      <c r="BE208" s="156"/>
      <c r="BF208" s="156"/>
      <c r="BG208" s="156"/>
      <c r="BH208" s="156"/>
      <c r="BI208" s="156"/>
      <c r="BJ208" s="156"/>
      <c r="BK208" s="156"/>
      <c r="BL208" s="156"/>
      <c r="BM208" s="156"/>
      <c r="BN208" s="156"/>
      <c r="BO208" s="156"/>
      <c r="BP208" s="156"/>
      <c r="BQ208" s="157" t="s">
        <v>2961</v>
      </c>
      <c r="BR208" s="134" t="s">
        <v>1876</v>
      </c>
      <c r="BS208" s="134" t="s">
        <v>2942</v>
      </c>
      <c r="BT208" s="134" t="s">
        <v>2943</v>
      </c>
      <c r="BU208" s="134" t="s">
        <v>2471</v>
      </c>
      <c r="BV208" s="134" t="s">
        <v>2945</v>
      </c>
      <c r="BW208" s="259" t="s">
        <v>2949</v>
      </c>
      <c r="BX208" s="138" t="s">
        <v>2952</v>
      </c>
      <c r="BY208" s="134">
        <v>22.13</v>
      </c>
      <c r="BZ208" s="134">
        <f>36.5472-Table665[[#This Row],[Outcome1_M]]</f>
        <v>14.417199999999998</v>
      </c>
      <c r="CA208" s="134" t="s">
        <v>24</v>
      </c>
      <c r="CB208" s="138" t="s">
        <v>2953</v>
      </c>
      <c r="CC208" s="134">
        <v>67.2667</v>
      </c>
      <c r="CD208" s="134">
        <f>84.4451-Table665[[#This Row],[Outcome2_M]]</f>
        <v>17.178399999999996</v>
      </c>
      <c r="CE208" s="134" t="s">
        <v>24</v>
      </c>
      <c r="CF208" s="288" t="s">
        <v>2946</v>
      </c>
      <c r="CG208" s="289" t="s">
        <v>2555</v>
      </c>
      <c r="CH208" s="138" t="s">
        <v>2954</v>
      </c>
      <c r="CI208" s="134">
        <v>21.192699999999999</v>
      </c>
      <c r="CJ208" s="134">
        <f>34.6789-Table665[[#This Row],[Outcome3_M]]</f>
        <v>13.4862</v>
      </c>
      <c r="CK208" s="134" t="s">
        <v>24</v>
      </c>
      <c r="CL208" s="138" t="s">
        <v>2955</v>
      </c>
      <c r="CM208" s="134">
        <v>46.452599999999997</v>
      </c>
      <c r="CN208" s="134">
        <f>60.581-Table665[[#This Row],[Outcome4_M]]</f>
        <v>14.128400000000006</v>
      </c>
      <c r="CO208" s="134" t="s">
        <v>24</v>
      </c>
      <c r="CP208" s="288" t="s">
        <v>2947</v>
      </c>
      <c r="CQ208" s="289" t="s">
        <v>2555</v>
      </c>
      <c r="CR208" s="276" t="s">
        <v>2948</v>
      </c>
      <c r="CS208" s="308" t="s">
        <v>3018</v>
      </c>
      <c r="CT208" s="138"/>
      <c r="CU208" s="134"/>
      <c r="CV208" s="134"/>
      <c r="CW208" s="134"/>
      <c r="CX208" s="134"/>
      <c r="CY208" s="134"/>
      <c r="CZ208" s="134"/>
      <c r="DA208" s="134"/>
      <c r="DB208" s="300"/>
      <c r="DC208" s="301"/>
      <c r="DD208" s="134"/>
      <c r="DE208" s="134"/>
      <c r="DF208" s="134"/>
      <c r="DG208" s="134"/>
      <c r="DH208" s="134"/>
      <c r="DI208" s="134"/>
      <c r="DJ208" s="134"/>
      <c r="DK208" s="134"/>
      <c r="DL208" s="300"/>
      <c r="DM208" s="301"/>
      <c r="DN208" s="276"/>
      <c r="DO208" s="277"/>
      <c r="DP208" s="134"/>
      <c r="DQ208" s="134"/>
      <c r="DR208" s="134"/>
      <c r="DS208" s="134"/>
      <c r="DT208" s="138"/>
      <c r="DU208" s="134"/>
      <c r="DV208" s="134"/>
      <c r="DW208" s="134"/>
      <c r="DX208" s="301"/>
      <c r="DY208" s="301"/>
      <c r="DZ208" s="138"/>
      <c r="EA208" s="134"/>
      <c r="EB208" s="134"/>
      <c r="EC208" s="134"/>
      <c r="ED208" s="138"/>
      <c r="EE208" s="134"/>
      <c r="EF208" s="134"/>
      <c r="EG208" s="134"/>
      <c r="EH208" s="301"/>
      <c r="EI208" s="301"/>
      <c r="EJ208" s="277"/>
      <c r="EK208" s="134"/>
      <c r="EL208" s="134"/>
      <c r="EM208" s="134"/>
      <c r="EN208" s="134"/>
      <c r="EO208" s="134"/>
      <c r="EP208" s="134"/>
      <c r="EQ208" s="134"/>
      <c r="ER208" s="134"/>
      <c r="ES208" s="301"/>
      <c r="ET208" s="301"/>
      <c r="EU208" s="134"/>
      <c r="EV208" s="134"/>
      <c r="EW208" s="134"/>
      <c r="EX208" s="134"/>
      <c r="EY208" s="134"/>
      <c r="EZ208" s="134"/>
      <c r="FA208" s="134"/>
      <c r="FB208" s="134"/>
      <c r="FC208" s="135"/>
      <c r="FD208" s="135"/>
      <c r="FE208" s="134"/>
      <c r="FF208" s="134"/>
      <c r="FG208" s="134"/>
      <c r="FH208" s="134"/>
      <c r="FI208" s="134"/>
      <c r="FJ208" s="134"/>
      <c r="FK208" s="134"/>
      <c r="FL208" s="134"/>
      <c r="FM208" s="135"/>
      <c r="FN208" s="135"/>
      <c r="FO208" s="134"/>
      <c r="FP208" s="134"/>
      <c r="FQ208" s="134"/>
      <c r="FR208" s="134"/>
      <c r="FS208" s="134"/>
      <c r="FT208" s="134"/>
      <c r="FU208" s="134"/>
      <c r="FV208" s="134"/>
      <c r="FW208" s="135"/>
      <c r="FX208" s="135"/>
      <c r="FY208" s="134"/>
      <c r="FZ208" s="134"/>
      <c r="GA208" s="134"/>
      <c r="GB208" s="134"/>
      <c r="GC208" s="134"/>
      <c r="GD208" s="134"/>
      <c r="GE208" s="134"/>
      <c r="GF208" s="134"/>
      <c r="GG208" s="135"/>
      <c r="GH208" s="135"/>
      <c r="GI208" s="134"/>
      <c r="GJ208" s="134"/>
      <c r="GK208" s="134"/>
      <c r="GL208" s="134"/>
      <c r="GM208" s="134"/>
      <c r="GN208" s="134"/>
      <c r="GO208" s="134"/>
      <c r="GP208" s="134"/>
      <c r="GQ208" s="135"/>
      <c r="GR208" s="135"/>
      <c r="GS208" s="134"/>
      <c r="GT208" s="134"/>
      <c r="GU208" s="134"/>
      <c r="GV208" s="134"/>
      <c r="GW208" s="134"/>
      <c r="GX208" s="134"/>
      <c r="GY208" s="134"/>
      <c r="GZ208" s="134"/>
      <c r="HA208" s="135"/>
      <c r="HB208" s="135"/>
      <c r="HC208" s="134"/>
      <c r="HD208" s="134"/>
      <c r="HE208" s="134"/>
      <c r="HF208" s="134"/>
      <c r="HG208" s="134"/>
      <c r="HH208" s="134"/>
      <c r="HI208" s="134"/>
      <c r="HJ208" s="134"/>
      <c r="HK208" s="135"/>
      <c r="HL208" s="135"/>
      <c r="HM208" s="134"/>
      <c r="HN208" s="134"/>
      <c r="HO208" s="134"/>
      <c r="HP208" s="134"/>
      <c r="HQ208" s="134"/>
      <c r="HR208" s="134"/>
      <c r="HS208" s="134"/>
      <c r="HT208" s="134"/>
      <c r="HU208" s="135"/>
      <c r="HV208" s="135"/>
      <c r="HW208" s="134"/>
      <c r="HX208" s="134"/>
      <c r="HY208" s="134"/>
      <c r="HZ208" s="134"/>
      <c r="IA208" s="134"/>
      <c r="IB208" s="134"/>
      <c r="IC208" s="134"/>
      <c r="ID208" s="134"/>
      <c r="IE208" s="135"/>
      <c r="IF208" s="135"/>
      <c r="IG208" s="134"/>
      <c r="IH208" s="134"/>
      <c r="II208" s="134"/>
      <c r="IJ208" s="134"/>
      <c r="IK208" s="134"/>
      <c r="IL208" s="134"/>
      <c r="IM208" s="134"/>
      <c r="IN208" s="134"/>
      <c r="IO208" s="135"/>
      <c r="IP208" s="135"/>
      <c r="IQ208" s="134"/>
      <c r="IR208" s="134"/>
      <c r="IS208" s="134"/>
      <c r="IT208" s="134"/>
      <c r="IU208" s="134"/>
      <c r="IV208" s="134"/>
      <c r="IW208" s="134"/>
      <c r="IX208" s="134"/>
      <c r="IY208" s="135"/>
      <c r="IZ208" s="135"/>
    </row>
    <row r="209" spans="1:260" customFormat="1" ht="17" customHeight="1">
      <c r="A209" s="118" t="s">
        <v>1052</v>
      </c>
      <c r="B209" s="363">
        <v>19</v>
      </c>
      <c r="C209" s="363"/>
      <c r="D209" s="363"/>
      <c r="E209" s="139" t="s">
        <v>2075</v>
      </c>
      <c r="F209" s="140" t="s">
        <v>2329</v>
      </c>
      <c r="G209" s="141">
        <v>2014</v>
      </c>
      <c r="H209" s="118">
        <v>24335837</v>
      </c>
      <c r="I209" s="118">
        <v>1</v>
      </c>
      <c r="J209" s="118">
        <v>1</v>
      </c>
      <c r="K209" s="118"/>
      <c r="L209" s="118">
        <v>1</v>
      </c>
      <c r="M209" s="118"/>
      <c r="N209" s="118">
        <v>1</v>
      </c>
      <c r="O209" s="142">
        <v>2</v>
      </c>
      <c r="P209" s="118" t="s">
        <v>1347</v>
      </c>
      <c r="Q209" s="118" t="s">
        <v>1224</v>
      </c>
      <c r="R209" s="118" t="s">
        <v>1138</v>
      </c>
      <c r="S209" s="118"/>
      <c r="T209" s="118" t="s">
        <v>1499</v>
      </c>
      <c r="U209" s="118" t="s">
        <v>803</v>
      </c>
      <c r="V209" s="118" t="s">
        <v>23</v>
      </c>
      <c r="W209" s="118" t="s">
        <v>1692</v>
      </c>
      <c r="X209" s="118" t="s">
        <v>1348</v>
      </c>
      <c r="Y209" s="118" t="s">
        <v>1349</v>
      </c>
      <c r="Z209" s="118"/>
      <c r="AA209" s="118" t="s">
        <v>1350</v>
      </c>
      <c r="AB209" s="118"/>
      <c r="AC209" s="145"/>
      <c r="AD209" s="573">
        <v>1</v>
      </c>
      <c r="AE209" s="573">
        <v>2</v>
      </c>
      <c r="AF209" s="159">
        <v>1</v>
      </c>
      <c r="AG209" s="155" t="s">
        <v>2960</v>
      </c>
      <c r="AH209" s="122">
        <v>5</v>
      </c>
      <c r="AI209" s="485"/>
      <c r="AJ209" s="204" t="s">
        <v>2933</v>
      </c>
      <c r="AK209" s="192">
        <v>1</v>
      </c>
      <c r="AL209" s="205" t="s">
        <v>2934</v>
      </c>
      <c r="AM209" s="122">
        <v>24</v>
      </c>
      <c r="AN209" s="122">
        <v>12</v>
      </c>
      <c r="AO209" s="122">
        <v>12</v>
      </c>
      <c r="AP209" s="122" t="s">
        <v>803</v>
      </c>
      <c r="AQ209" s="122" t="s">
        <v>803</v>
      </c>
      <c r="AR209" s="122" t="s">
        <v>24</v>
      </c>
      <c r="AS209" s="122" t="s">
        <v>24</v>
      </c>
      <c r="AT209" s="122" t="s">
        <v>24</v>
      </c>
      <c r="AU209" s="122" t="s">
        <v>24</v>
      </c>
      <c r="AV209" s="122" t="s">
        <v>2944</v>
      </c>
      <c r="AW209" s="122">
        <v>1</v>
      </c>
      <c r="AX209" s="122">
        <v>1</v>
      </c>
      <c r="AY209" s="122" t="s">
        <v>2941</v>
      </c>
      <c r="AZ209" s="122" t="s">
        <v>2932</v>
      </c>
      <c r="BA209" s="122" t="s">
        <v>2554</v>
      </c>
      <c r="BB209" s="122"/>
      <c r="BC209" s="122"/>
      <c r="BD209" s="161"/>
      <c r="BE209" s="161"/>
      <c r="BF209" s="161"/>
      <c r="BG209" s="161"/>
      <c r="BH209" s="161"/>
      <c r="BI209" s="161"/>
      <c r="BJ209" s="161">
        <v>1</v>
      </c>
      <c r="BK209" s="161"/>
      <c r="BL209" s="161"/>
      <c r="BM209" s="161"/>
      <c r="BN209" s="161"/>
      <c r="BO209" s="161"/>
      <c r="BP209" s="161"/>
      <c r="BQ209" s="162" t="s">
        <v>2962</v>
      </c>
      <c r="BR209" s="150" t="s">
        <v>1876</v>
      </c>
      <c r="BS209" s="150" t="s">
        <v>2942</v>
      </c>
      <c r="BT209" s="150" t="s">
        <v>2951</v>
      </c>
      <c r="BU209" s="150" t="s">
        <v>2471</v>
      </c>
      <c r="BV209" s="150" t="s">
        <v>2950</v>
      </c>
      <c r="BW209" s="258" t="s">
        <v>2959</v>
      </c>
      <c r="BX209" s="151" t="s">
        <v>2957</v>
      </c>
      <c r="BY209" s="150">
        <v>71.692300000000003</v>
      </c>
      <c r="BZ209" s="150">
        <f>82.7692-Table665[[#This Row],[Outcome1_M]]</f>
        <v>11.076899999999995</v>
      </c>
      <c r="CA209" s="150" t="s">
        <v>24</v>
      </c>
      <c r="CB209" s="151" t="s">
        <v>2956</v>
      </c>
      <c r="CC209" s="150">
        <v>48.307699999999997</v>
      </c>
      <c r="CD209" s="150">
        <f>58.4615-Table665[[#This Row],[Outcome2_M]]</f>
        <v>10.153800000000004</v>
      </c>
      <c r="CE209" s="150" t="s">
        <v>24</v>
      </c>
      <c r="CF209" s="290" t="s">
        <v>2958</v>
      </c>
      <c r="CG209" s="291" t="s">
        <v>2555</v>
      </c>
      <c r="CH209" s="151" t="s">
        <v>24</v>
      </c>
      <c r="CI209" s="150" t="s">
        <v>24</v>
      </c>
      <c r="CJ209" s="150" t="s">
        <v>24</v>
      </c>
      <c r="CK209" s="150" t="s">
        <v>24</v>
      </c>
      <c r="CL209" s="151"/>
      <c r="CM209" s="150"/>
      <c r="CN209" s="150"/>
      <c r="CO209" s="150"/>
      <c r="CP209" s="290"/>
      <c r="CQ209" s="291"/>
      <c r="CR209" s="278"/>
      <c r="CS209" s="285"/>
      <c r="CT209" s="151"/>
      <c r="CU209" s="150"/>
      <c r="CV209" s="150"/>
      <c r="CW209" s="150"/>
      <c r="CX209" s="150"/>
      <c r="CY209" s="150"/>
      <c r="CZ209" s="150"/>
      <c r="DA209" s="150"/>
      <c r="DB209" s="302"/>
      <c r="DC209" s="303"/>
      <c r="DD209" s="150"/>
      <c r="DE209" s="150"/>
      <c r="DF209" s="150"/>
      <c r="DG209" s="150"/>
      <c r="DH209" s="150"/>
      <c r="DI209" s="150"/>
      <c r="DJ209" s="150"/>
      <c r="DK209" s="150"/>
      <c r="DL209" s="302"/>
      <c r="DM209" s="303"/>
      <c r="DN209" s="278"/>
      <c r="DO209" s="279"/>
      <c r="DP209" s="150"/>
      <c r="DQ209" s="150"/>
      <c r="DR209" s="150"/>
      <c r="DS209" s="150"/>
      <c r="DT209" s="151"/>
      <c r="DU209" s="150"/>
      <c r="DV209" s="150"/>
      <c r="DW209" s="150"/>
      <c r="DX209" s="303"/>
      <c r="DY209" s="303"/>
      <c r="DZ209" s="151"/>
      <c r="EA209" s="150"/>
      <c r="EB209" s="150"/>
      <c r="EC209" s="150"/>
      <c r="ED209" s="151"/>
      <c r="EE209" s="150"/>
      <c r="EF209" s="150"/>
      <c r="EG209" s="150"/>
      <c r="EH209" s="303"/>
      <c r="EI209" s="303"/>
      <c r="EJ209" s="279"/>
      <c r="EK209" s="150"/>
      <c r="EL209" s="150"/>
      <c r="EM209" s="150"/>
      <c r="EN209" s="150"/>
      <c r="EO209" s="150"/>
      <c r="EP209" s="150"/>
      <c r="EQ209" s="150"/>
      <c r="ER209" s="150"/>
      <c r="ES209" s="303"/>
      <c r="ET209" s="303"/>
      <c r="EU209" s="150"/>
      <c r="EV209" s="150"/>
      <c r="EW209" s="150"/>
      <c r="EX209" s="150"/>
      <c r="EY209" s="134"/>
      <c r="EZ209" s="134"/>
      <c r="FA209" s="134"/>
      <c r="FB209" s="134"/>
      <c r="FC209" s="135"/>
      <c r="FD209" s="135"/>
      <c r="FE209" s="134"/>
      <c r="FF209" s="134"/>
      <c r="FG209" s="134"/>
      <c r="FH209" s="134"/>
      <c r="FI209" s="134"/>
      <c r="FJ209" s="134"/>
      <c r="FK209" s="134"/>
      <c r="FL209" s="134"/>
      <c r="FM209" s="135"/>
      <c r="FN209" s="135"/>
      <c r="FO209" s="134"/>
      <c r="FP209" s="134"/>
      <c r="FQ209" s="134"/>
      <c r="FR209" s="134"/>
      <c r="FS209" s="134"/>
      <c r="FT209" s="134"/>
      <c r="FU209" s="134"/>
      <c r="FV209" s="134"/>
      <c r="FW209" s="135"/>
      <c r="FX209" s="135"/>
      <c r="FY209" s="134"/>
      <c r="FZ209" s="134"/>
      <c r="GA209" s="134"/>
      <c r="GB209" s="134"/>
      <c r="GC209" s="134"/>
      <c r="GD209" s="134"/>
      <c r="GE209" s="134"/>
      <c r="GF209" s="134"/>
      <c r="GG209" s="135"/>
      <c r="GH209" s="135"/>
      <c r="GI209" s="134"/>
      <c r="GJ209" s="134"/>
      <c r="GK209" s="134"/>
      <c r="GL209" s="134"/>
      <c r="GM209" s="134"/>
      <c r="GN209" s="134"/>
      <c r="GO209" s="134"/>
      <c r="GP209" s="134"/>
      <c r="GQ209" s="135"/>
      <c r="GR209" s="135"/>
      <c r="GS209" s="134"/>
      <c r="GT209" s="134"/>
      <c r="GU209" s="134"/>
      <c r="GV209" s="134"/>
      <c r="GW209" s="134"/>
      <c r="GX209" s="134"/>
      <c r="GY209" s="134"/>
      <c r="GZ209" s="134"/>
      <c r="HA209" s="135"/>
      <c r="HB209" s="135"/>
      <c r="HC209" s="134"/>
      <c r="HD209" s="134"/>
      <c r="HE209" s="134"/>
      <c r="HF209" s="134"/>
      <c r="HG209" s="134"/>
      <c r="HH209" s="134"/>
      <c r="HI209" s="134"/>
      <c r="HJ209" s="134"/>
      <c r="HK209" s="135"/>
      <c r="HL209" s="135"/>
      <c r="HM209" s="134"/>
      <c r="HN209" s="134"/>
      <c r="HO209" s="134"/>
      <c r="HP209" s="134"/>
      <c r="HQ209" s="134"/>
      <c r="HR209" s="134"/>
      <c r="HS209" s="134"/>
      <c r="HT209" s="134"/>
      <c r="HU209" s="135"/>
      <c r="HV209" s="135"/>
      <c r="HW209" s="134"/>
      <c r="HX209" s="134"/>
      <c r="HY209" s="134"/>
      <c r="HZ209" s="134"/>
      <c r="IA209" s="134"/>
      <c r="IB209" s="134"/>
      <c r="IC209" s="134"/>
      <c r="ID209" s="134"/>
      <c r="IE209" s="135"/>
      <c r="IF209" s="135"/>
      <c r="IG209" s="134"/>
      <c r="IH209" s="134"/>
      <c r="II209" s="134"/>
      <c r="IJ209" s="134"/>
      <c r="IK209" s="134"/>
      <c r="IL209" s="134"/>
      <c r="IM209" s="134"/>
      <c r="IN209" s="134"/>
      <c r="IO209" s="135"/>
      <c r="IP209" s="135"/>
      <c r="IQ209" s="134"/>
      <c r="IR209" s="134"/>
      <c r="IS209" s="134"/>
      <c r="IT209" s="134"/>
      <c r="IU209" s="134"/>
      <c r="IV209" s="134"/>
      <c r="IW209" s="134"/>
      <c r="IX209" s="134"/>
      <c r="IY209" s="135"/>
      <c r="IZ209" s="135"/>
    </row>
    <row r="210" spans="1:260" customFormat="1" ht="17" customHeight="1">
      <c r="A210" s="79" t="s">
        <v>173</v>
      </c>
      <c r="B210" s="117">
        <v>128</v>
      </c>
      <c r="C210" s="117">
        <v>34</v>
      </c>
      <c r="D210" s="117"/>
      <c r="E210" s="123" t="s">
        <v>1963</v>
      </c>
      <c r="F210" s="124" t="s">
        <v>2186</v>
      </c>
      <c r="G210" s="125">
        <v>2010</v>
      </c>
      <c r="H210" s="79">
        <v>20494591</v>
      </c>
      <c r="I210" s="79">
        <v>1</v>
      </c>
      <c r="J210" s="126"/>
      <c r="K210" s="127"/>
      <c r="L210" s="79">
        <v>1</v>
      </c>
      <c r="M210" s="79"/>
      <c r="N210" s="79">
        <v>1</v>
      </c>
      <c r="O210" s="128">
        <v>1</v>
      </c>
      <c r="P210" s="79" t="s">
        <v>505</v>
      </c>
      <c r="Q210" s="79" t="s">
        <v>1147</v>
      </c>
      <c r="R210" s="79" t="s">
        <v>503</v>
      </c>
      <c r="S210" s="79">
        <v>0</v>
      </c>
      <c r="T210" s="79"/>
      <c r="U210" s="79"/>
      <c r="V210" s="79"/>
      <c r="W210" s="79"/>
      <c r="X210" s="79"/>
      <c r="Y210" s="79"/>
      <c r="Z210" s="79"/>
      <c r="AA210" s="79"/>
      <c r="AB210" s="79" t="s">
        <v>504</v>
      </c>
      <c r="AC210" s="506"/>
      <c r="AD210" s="573">
        <v>1</v>
      </c>
      <c r="AE210" s="573">
        <v>2</v>
      </c>
      <c r="AF210" s="233" t="s">
        <v>1917</v>
      </c>
      <c r="AG210" s="234" t="s">
        <v>4646</v>
      </c>
      <c r="AH210" s="121" t="s">
        <v>4583</v>
      </c>
      <c r="AI210" s="484"/>
      <c r="AJ210" s="202" t="s">
        <v>4645</v>
      </c>
      <c r="AK210" s="192">
        <v>1</v>
      </c>
      <c r="AL210" s="203" t="s">
        <v>24</v>
      </c>
      <c r="AM210" s="121">
        <f>30+56+28</f>
        <v>114</v>
      </c>
      <c r="AN210" s="121" t="s">
        <v>4581</v>
      </c>
      <c r="AO210" s="121" t="s">
        <v>4582</v>
      </c>
      <c r="AP210" s="121" t="s">
        <v>4584</v>
      </c>
      <c r="AQ210" s="121" t="s">
        <v>4584</v>
      </c>
      <c r="AR210" s="121">
        <v>67</v>
      </c>
      <c r="AS210" s="121">
        <v>9</v>
      </c>
      <c r="AT210" s="121" t="s">
        <v>4596</v>
      </c>
      <c r="AU210" s="121" t="s">
        <v>4585</v>
      </c>
      <c r="AV210" s="121" t="s">
        <v>4586</v>
      </c>
      <c r="AW210" s="121" t="s">
        <v>24</v>
      </c>
      <c r="AX210" s="121" t="s">
        <v>24</v>
      </c>
      <c r="AY210" s="121" t="s">
        <v>4597</v>
      </c>
      <c r="AZ210" s="121" t="s">
        <v>4587</v>
      </c>
      <c r="BA210" s="121" t="s">
        <v>4588</v>
      </c>
      <c r="BB210" s="121"/>
      <c r="BC210" s="121"/>
      <c r="BD210" s="156"/>
      <c r="BE210" s="156"/>
      <c r="BF210" s="156"/>
      <c r="BG210" s="156"/>
      <c r="BH210" s="156"/>
      <c r="BI210" s="156"/>
      <c r="BJ210" s="156">
        <v>1</v>
      </c>
      <c r="BK210" s="156"/>
      <c r="BL210" s="156"/>
      <c r="BM210" s="156"/>
      <c r="BN210" s="156"/>
      <c r="BO210" s="156"/>
      <c r="BP210" s="156"/>
      <c r="BQ210" s="157" t="s">
        <v>4590</v>
      </c>
      <c r="BR210" s="134" t="s">
        <v>1876</v>
      </c>
      <c r="BS210" s="134" t="s">
        <v>4598</v>
      </c>
      <c r="BT210" s="134" t="s">
        <v>4595</v>
      </c>
      <c r="BU210" s="134" t="s">
        <v>24</v>
      </c>
      <c r="BV210" s="134" t="s">
        <v>4641</v>
      </c>
      <c r="BW210" s="259" t="s">
        <v>4643</v>
      </c>
      <c r="BX210" s="138" t="s">
        <v>4593</v>
      </c>
      <c r="BY210" s="134">
        <v>18</v>
      </c>
      <c r="BZ210" s="134">
        <v>7</v>
      </c>
      <c r="CA210" s="134" t="s">
        <v>24</v>
      </c>
      <c r="CB210" s="138" t="s">
        <v>4599</v>
      </c>
      <c r="CC210" s="134">
        <v>21</v>
      </c>
      <c r="CD210" s="134">
        <v>7</v>
      </c>
      <c r="CE210" s="134" t="s">
        <v>24</v>
      </c>
      <c r="CF210" s="288" t="s">
        <v>4602</v>
      </c>
      <c r="CG210" s="289" t="s">
        <v>4603</v>
      </c>
      <c r="CH210" s="138" t="s">
        <v>4600</v>
      </c>
      <c r="CI210" s="134">
        <v>15</v>
      </c>
      <c r="CJ210" s="134">
        <v>7</v>
      </c>
      <c r="CK210" s="134" t="s">
        <v>24</v>
      </c>
      <c r="CL210" s="138" t="s">
        <v>4601</v>
      </c>
      <c r="CM210" s="134">
        <v>18</v>
      </c>
      <c r="CN210" s="134">
        <v>6</v>
      </c>
      <c r="CO210" s="134" t="s">
        <v>24</v>
      </c>
      <c r="CP210" s="288"/>
      <c r="CQ210" s="289"/>
      <c r="CR210" s="276"/>
      <c r="CS210" s="308"/>
      <c r="CT210" s="138" t="s">
        <v>4605</v>
      </c>
      <c r="CU210" s="134">
        <v>7</v>
      </c>
      <c r="CV210" s="134">
        <v>3</v>
      </c>
      <c r="CW210" s="134" t="s">
        <v>24</v>
      </c>
      <c r="CX210" s="138" t="s">
        <v>4606</v>
      </c>
      <c r="CY210" s="138">
        <v>8</v>
      </c>
      <c r="CZ210" s="134">
        <v>3</v>
      </c>
      <c r="DA210" s="134" t="s">
        <v>24</v>
      </c>
      <c r="DB210" s="300" t="s">
        <v>4609</v>
      </c>
      <c r="DC210" s="301" t="s">
        <v>4603</v>
      </c>
      <c r="DD210" s="138" t="s">
        <v>4607</v>
      </c>
      <c r="DE210" s="134">
        <v>5</v>
      </c>
      <c r="DF210" s="134">
        <v>3</v>
      </c>
      <c r="DG210" s="134" t="s">
        <v>24</v>
      </c>
      <c r="DH210" s="138" t="s">
        <v>4608</v>
      </c>
      <c r="DI210" s="134">
        <v>7</v>
      </c>
      <c r="DJ210" s="134">
        <v>3</v>
      </c>
      <c r="DK210" s="134" t="s">
        <v>24</v>
      </c>
      <c r="DL210" s="300"/>
      <c r="DM210" s="301"/>
      <c r="DN210" s="276"/>
      <c r="DO210" s="277"/>
      <c r="DP210" s="134"/>
      <c r="DQ210" s="134"/>
      <c r="DR210" s="134"/>
      <c r="DS210" s="134"/>
      <c r="DT210" s="138"/>
      <c r="DU210" s="134"/>
      <c r="DV210" s="134"/>
      <c r="DW210" s="134"/>
      <c r="DX210" s="301"/>
      <c r="DY210" s="301"/>
      <c r="DZ210" s="138"/>
      <c r="EA210" s="134"/>
      <c r="EB210" s="134"/>
      <c r="EC210" s="134"/>
      <c r="ED210" s="138"/>
      <c r="EE210" s="134"/>
      <c r="EF210" s="134"/>
      <c r="EG210" s="134"/>
      <c r="EH210" s="301"/>
      <c r="EI210" s="301"/>
      <c r="EJ210" s="277"/>
      <c r="EK210" s="134"/>
      <c r="EL210" s="134"/>
      <c r="EM210" s="134"/>
      <c r="EN210" s="134"/>
      <c r="EO210" s="134"/>
      <c r="EP210" s="134"/>
      <c r="EQ210" s="134"/>
      <c r="ER210" s="134"/>
      <c r="ES210" s="301"/>
      <c r="ET210" s="301"/>
      <c r="EU210" s="134"/>
      <c r="EV210" s="134"/>
      <c r="EW210" s="134"/>
      <c r="EX210" s="134"/>
      <c r="EY210" s="134"/>
      <c r="EZ210" s="134"/>
      <c r="FA210" s="134"/>
      <c r="FB210" s="134"/>
      <c r="FC210" s="135"/>
      <c r="FD210" s="135"/>
      <c r="FE210" s="134"/>
      <c r="FF210" s="134"/>
      <c r="FG210" s="134"/>
      <c r="FH210" s="134"/>
      <c r="FI210" s="134"/>
      <c r="FJ210" s="134"/>
      <c r="FK210" s="134"/>
      <c r="FL210" s="134"/>
      <c r="FM210" s="135"/>
      <c r="FN210" s="135"/>
      <c r="FO210" s="134"/>
      <c r="FP210" s="134"/>
      <c r="FQ210" s="134"/>
      <c r="FR210" s="134"/>
      <c r="FS210" s="134"/>
      <c r="FT210" s="134"/>
      <c r="FU210" s="134"/>
      <c r="FV210" s="134"/>
      <c r="FW210" s="135"/>
      <c r="FX210" s="135"/>
      <c r="FY210" s="134"/>
      <c r="FZ210" s="134"/>
      <c r="GA210" s="134"/>
      <c r="GB210" s="134"/>
      <c r="GC210" s="134"/>
      <c r="GD210" s="134"/>
      <c r="GE210" s="134"/>
      <c r="GF210" s="134"/>
      <c r="GG210" s="135"/>
      <c r="GH210" s="135"/>
      <c r="GI210" s="134"/>
      <c r="GJ210" s="134"/>
      <c r="GK210" s="134"/>
      <c r="GL210" s="134"/>
      <c r="GM210" s="134"/>
      <c r="GN210" s="134"/>
      <c r="GO210" s="134"/>
      <c r="GP210" s="134"/>
      <c r="GQ210" s="135"/>
      <c r="GR210" s="135"/>
      <c r="GS210" s="134"/>
      <c r="GT210" s="134"/>
      <c r="GU210" s="134"/>
      <c r="GV210" s="134"/>
      <c r="GW210" s="134"/>
      <c r="GX210" s="134"/>
      <c r="GY210" s="134"/>
      <c r="GZ210" s="134"/>
      <c r="HA210" s="135"/>
      <c r="HB210" s="135"/>
      <c r="HC210" s="134"/>
      <c r="HD210" s="134"/>
      <c r="HE210" s="134"/>
      <c r="HF210" s="134"/>
      <c r="HG210" s="134"/>
      <c r="HH210" s="134"/>
      <c r="HI210" s="134"/>
      <c r="HJ210" s="134"/>
      <c r="HK210" s="135"/>
      <c r="HL210" s="135"/>
      <c r="HM210" s="134"/>
      <c r="HN210" s="134"/>
      <c r="HO210" s="134"/>
      <c r="HP210" s="134"/>
      <c r="HQ210" s="134"/>
      <c r="HR210" s="134"/>
      <c r="HS210" s="134"/>
      <c r="HT210" s="134"/>
      <c r="HU210" s="135"/>
      <c r="HV210" s="135"/>
      <c r="HW210" s="134"/>
      <c r="HX210" s="134"/>
      <c r="HY210" s="134"/>
      <c r="HZ210" s="134"/>
      <c r="IA210" s="134"/>
      <c r="IB210" s="134"/>
      <c r="IC210" s="134"/>
      <c r="ID210" s="134"/>
      <c r="IE210" s="135"/>
      <c r="IF210" s="135"/>
      <c r="IG210" s="134"/>
      <c r="IH210" s="134"/>
      <c r="II210" s="134"/>
      <c r="IJ210" s="134"/>
      <c r="IK210" s="134"/>
      <c r="IL210" s="134"/>
      <c r="IM210" s="134"/>
      <c r="IN210" s="134"/>
      <c r="IO210" s="135"/>
      <c r="IP210" s="135"/>
      <c r="IQ210" s="134"/>
      <c r="IR210" s="134"/>
      <c r="IS210" s="134"/>
      <c r="IT210" s="134"/>
      <c r="IU210" s="134"/>
      <c r="IV210" s="134"/>
      <c r="IW210" s="134"/>
      <c r="IX210" s="134"/>
      <c r="IY210" s="135"/>
      <c r="IZ210" s="135"/>
    </row>
    <row r="211" spans="1:260" customFormat="1" ht="17" customHeight="1">
      <c r="A211" s="79" t="s">
        <v>173</v>
      </c>
      <c r="B211" s="117">
        <v>128</v>
      </c>
      <c r="C211" s="117">
        <v>34</v>
      </c>
      <c r="D211" s="117"/>
      <c r="E211" s="123" t="s">
        <v>1963</v>
      </c>
      <c r="F211" s="124" t="s">
        <v>2186</v>
      </c>
      <c r="G211" s="125">
        <v>2010</v>
      </c>
      <c r="H211" s="79">
        <v>20494591</v>
      </c>
      <c r="I211" s="79">
        <v>1</v>
      </c>
      <c r="J211" s="126"/>
      <c r="K211" s="127"/>
      <c r="L211" s="79">
        <v>1</v>
      </c>
      <c r="M211" s="79"/>
      <c r="N211" s="79">
        <v>1</v>
      </c>
      <c r="O211" s="128">
        <v>1</v>
      </c>
      <c r="P211" s="79" t="s">
        <v>505</v>
      </c>
      <c r="Q211" s="79" t="s">
        <v>1147</v>
      </c>
      <c r="R211" s="79" t="s">
        <v>503</v>
      </c>
      <c r="S211" s="79">
        <v>0</v>
      </c>
      <c r="T211" s="79"/>
      <c r="U211" s="79"/>
      <c r="V211" s="79"/>
      <c r="W211" s="79"/>
      <c r="X211" s="79"/>
      <c r="Y211" s="79"/>
      <c r="Z211" s="79"/>
      <c r="AA211" s="79"/>
      <c r="AB211" s="79" t="s">
        <v>504</v>
      </c>
      <c r="AC211" s="506"/>
      <c r="AD211" s="573">
        <v>1</v>
      </c>
      <c r="AE211" s="573">
        <v>2</v>
      </c>
      <c r="AF211" s="233" t="s">
        <v>1917</v>
      </c>
      <c r="AG211" s="234" t="s">
        <v>4646</v>
      </c>
      <c r="AH211" s="121" t="s">
        <v>4583</v>
      </c>
      <c r="AI211" s="484"/>
      <c r="AJ211" s="202" t="s">
        <v>4645</v>
      </c>
      <c r="AK211" s="192">
        <v>1</v>
      </c>
      <c r="AL211" s="203" t="s">
        <v>24</v>
      </c>
      <c r="AM211" s="121">
        <f>30+56+28</f>
        <v>114</v>
      </c>
      <c r="AN211" s="121" t="s">
        <v>4581</v>
      </c>
      <c r="AO211" s="121" t="s">
        <v>4582</v>
      </c>
      <c r="AP211" s="121" t="s">
        <v>4584</v>
      </c>
      <c r="AQ211" s="121" t="s">
        <v>4584</v>
      </c>
      <c r="AR211" s="121">
        <v>67</v>
      </c>
      <c r="AS211" s="121">
        <v>9</v>
      </c>
      <c r="AT211" s="121" t="s">
        <v>4596</v>
      </c>
      <c r="AU211" s="121" t="s">
        <v>4585</v>
      </c>
      <c r="AV211" s="121" t="s">
        <v>4586</v>
      </c>
      <c r="AW211" s="121" t="s">
        <v>24</v>
      </c>
      <c r="AX211" s="121" t="s">
        <v>24</v>
      </c>
      <c r="AY211" s="121" t="s">
        <v>4597</v>
      </c>
      <c r="AZ211" s="121" t="s">
        <v>4587</v>
      </c>
      <c r="BA211" s="121" t="s">
        <v>4588</v>
      </c>
      <c r="BB211" s="121"/>
      <c r="BC211" s="121"/>
      <c r="BD211" s="156"/>
      <c r="BE211" s="156"/>
      <c r="BF211" s="156"/>
      <c r="BG211" s="156"/>
      <c r="BH211" s="156"/>
      <c r="BI211" s="156"/>
      <c r="BJ211" s="156">
        <v>1</v>
      </c>
      <c r="BK211" s="156"/>
      <c r="BL211" s="156"/>
      <c r="BM211" s="156"/>
      <c r="BN211" s="156"/>
      <c r="BO211" s="156"/>
      <c r="BP211" s="156"/>
      <c r="BQ211" s="157" t="s">
        <v>4591</v>
      </c>
      <c r="BR211" s="134" t="s">
        <v>1876</v>
      </c>
      <c r="BS211" s="134" t="s">
        <v>4598</v>
      </c>
      <c r="BT211" s="168" t="s">
        <v>4594</v>
      </c>
      <c r="BU211" s="134" t="s">
        <v>24</v>
      </c>
      <c r="BV211" s="134" t="s">
        <v>4642</v>
      </c>
      <c r="BW211" s="259" t="s">
        <v>4644</v>
      </c>
      <c r="BX211" s="138" t="s">
        <v>4610</v>
      </c>
      <c r="BY211" s="134">
        <v>17</v>
      </c>
      <c r="BZ211" s="134">
        <v>5</v>
      </c>
      <c r="CA211" s="134" t="s">
        <v>24</v>
      </c>
      <c r="CB211" s="138" t="s">
        <v>4611</v>
      </c>
      <c r="CC211" s="134">
        <v>18</v>
      </c>
      <c r="CD211" s="134">
        <v>5</v>
      </c>
      <c r="CE211" s="134" t="s">
        <v>24</v>
      </c>
      <c r="CF211" s="288" t="s">
        <v>4612</v>
      </c>
      <c r="CG211" s="289" t="s">
        <v>4613</v>
      </c>
      <c r="CH211" s="138" t="s">
        <v>4614</v>
      </c>
      <c r="CI211" s="134">
        <v>14</v>
      </c>
      <c r="CJ211" s="134">
        <v>6</v>
      </c>
      <c r="CK211" s="134" t="s">
        <v>24</v>
      </c>
      <c r="CL211" s="138" t="s">
        <v>4615</v>
      </c>
      <c r="CM211" s="134">
        <v>18</v>
      </c>
      <c r="CN211" s="134">
        <v>5</v>
      </c>
      <c r="CO211" s="134" t="s">
        <v>24</v>
      </c>
      <c r="CP211" s="288"/>
      <c r="CQ211" s="289"/>
      <c r="CR211" s="276"/>
      <c r="CS211" s="308"/>
      <c r="CT211" s="138" t="s">
        <v>4616</v>
      </c>
      <c r="CU211" s="134">
        <v>8</v>
      </c>
      <c r="CV211" s="134">
        <v>3</v>
      </c>
      <c r="CW211" s="134" t="s">
        <v>24</v>
      </c>
      <c r="CX211" s="138" t="s">
        <v>4617</v>
      </c>
      <c r="CY211" s="134">
        <v>9</v>
      </c>
      <c r="CZ211" s="134">
        <v>2</v>
      </c>
      <c r="DA211" s="134" t="s">
        <v>24</v>
      </c>
      <c r="DB211" s="300" t="s">
        <v>4638</v>
      </c>
      <c r="DC211" s="301" t="s">
        <v>4639</v>
      </c>
      <c r="DD211" s="138" t="s">
        <v>4618</v>
      </c>
      <c r="DE211" s="134">
        <v>7</v>
      </c>
      <c r="DF211" s="134">
        <v>4</v>
      </c>
      <c r="DG211" s="134" t="s">
        <v>24</v>
      </c>
      <c r="DH211" s="138" t="s">
        <v>4619</v>
      </c>
      <c r="DI211" s="134">
        <v>9</v>
      </c>
      <c r="DJ211" s="134">
        <v>3</v>
      </c>
      <c r="DK211" s="134" t="s">
        <v>24</v>
      </c>
      <c r="DL211" s="300"/>
      <c r="DM211" s="301"/>
      <c r="DN211" s="276"/>
      <c r="DO211" s="277"/>
      <c r="DP211" s="138" t="s">
        <v>4620</v>
      </c>
      <c r="DQ211" s="134">
        <v>23</v>
      </c>
      <c r="DR211" s="134">
        <v>7</v>
      </c>
      <c r="DS211" s="134" t="s">
        <v>24</v>
      </c>
      <c r="DT211" s="138" t="s">
        <v>4621</v>
      </c>
      <c r="DU211" s="134">
        <v>27</v>
      </c>
      <c r="DV211" s="134">
        <v>7</v>
      </c>
      <c r="DW211" s="134" t="s">
        <v>24</v>
      </c>
      <c r="DX211" s="301" t="s">
        <v>4636</v>
      </c>
      <c r="DY211" s="301" t="s">
        <v>4637</v>
      </c>
      <c r="DZ211" s="134" t="s">
        <v>4622</v>
      </c>
      <c r="EA211" s="134">
        <v>20</v>
      </c>
      <c r="EB211" s="134">
        <v>7</v>
      </c>
      <c r="EC211" s="134" t="s">
        <v>24</v>
      </c>
      <c r="ED211" s="134" t="s">
        <v>4623</v>
      </c>
      <c r="EE211" s="134">
        <v>25</v>
      </c>
      <c r="EF211" s="134">
        <v>7</v>
      </c>
      <c r="EG211" s="134" t="s">
        <v>24</v>
      </c>
      <c r="EH211" s="301"/>
      <c r="EI211" s="301"/>
      <c r="EJ211" s="277"/>
      <c r="EK211" s="134" t="s">
        <v>4624</v>
      </c>
      <c r="EL211" s="134">
        <v>4</v>
      </c>
      <c r="EM211" s="134">
        <v>3</v>
      </c>
      <c r="EN211" s="134" t="s">
        <v>24</v>
      </c>
      <c r="EO211" s="138" t="s">
        <v>4625</v>
      </c>
      <c r="EP211" s="134">
        <v>6</v>
      </c>
      <c r="EQ211" s="134">
        <v>3</v>
      </c>
      <c r="ER211" s="134" t="s">
        <v>24</v>
      </c>
      <c r="ES211" s="301" t="s">
        <v>4634</v>
      </c>
      <c r="ET211" s="301" t="s">
        <v>4635</v>
      </c>
      <c r="EU211" s="138" t="s">
        <v>4626</v>
      </c>
      <c r="EV211" s="134">
        <v>3</v>
      </c>
      <c r="EW211" s="134">
        <v>2</v>
      </c>
      <c r="EX211" s="134" t="s">
        <v>24</v>
      </c>
      <c r="EY211" s="138" t="s">
        <v>4633</v>
      </c>
      <c r="EZ211" s="134">
        <v>5</v>
      </c>
      <c r="FA211" s="134">
        <v>3</v>
      </c>
      <c r="FB211" s="134" t="s">
        <v>24</v>
      </c>
      <c r="FC211" s="135"/>
      <c r="FD211" s="135"/>
      <c r="FE211" s="134"/>
      <c r="FF211" s="134"/>
      <c r="FG211" s="134"/>
      <c r="FH211" s="134"/>
      <c r="FI211" s="134"/>
      <c r="FJ211" s="134"/>
      <c r="FK211" s="134"/>
      <c r="FL211" s="134"/>
      <c r="FM211" s="135"/>
      <c r="FN211" s="135"/>
      <c r="FO211" s="134"/>
      <c r="FP211" s="134"/>
      <c r="FQ211" s="134"/>
      <c r="FR211" s="134"/>
      <c r="FS211" s="134"/>
      <c r="FT211" s="134"/>
      <c r="FU211" s="134"/>
      <c r="FV211" s="134"/>
      <c r="FW211" s="135"/>
      <c r="FX211" s="135"/>
      <c r="FY211" s="134"/>
      <c r="FZ211" s="134"/>
      <c r="GA211" s="134"/>
      <c r="GB211" s="134"/>
      <c r="GC211" s="134"/>
      <c r="GD211" s="134"/>
      <c r="GE211" s="134"/>
      <c r="GF211" s="134"/>
      <c r="GG211" s="135"/>
      <c r="GH211" s="135"/>
      <c r="GI211" s="134"/>
      <c r="GJ211" s="134"/>
      <c r="GK211" s="134"/>
      <c r="GL211" s="134"/>
      <c r="GM211" s="134"/>
      <c r="GN211" s="134"/>
      <c r="GO211" s="134"/>
      <c r="GP211" s="134"/>
      <c r="GQ211" s="135"/>
      <c r="GR211" s="135"/>
      <c r="GS211" s="134"/>
      <c r="GT211" s="134"/>
      <c r="GU211" s="134"/>
      <c r="GV211" s="134"/>
      <c r="GW211" s="134"/>
      <c r="GX211" s="134"/>
      <c r="GY211" s="134"/>
      <c r="GZ211" s="134"/>
      <c r="HA211" s="135"/>
      <c r="HB211" s="135"/>
      <c r="HC211" s="134"/>
      <c r="HD211" s="134"/>
      <c r="HE211" s="134"/>
      <c r="HF211" s="134"/>
      <c r="HG211" s="134"/>
      <c r="HH211" s="134"/>
      <c r="HI211" s="134"/>
      <c r="HJ211" s="134"/>
      <c r="HK211" s="135"/>
      <c r="HL211" s="135"/>
      <c r="HM211" s="134"/>
      <c r="HN211" s="134"/>
      <c r="HO211" s="134"/>
      <c r="HP211" s="134"/>
      <c r="HQ211" s="134"/>
      <c r="HR211" s="134"/>
      <c r="HS211" s="134"/>
      <c r="HT211" s="134"/>
      <c r="HU211" s="135"/>
      <c r="HV211" s="135"/>
      <c r="HW211" s="134"/>
      <c r="HX211" s="134"/>
      <c r="HY211" s="134"/>
      <c r="HZ211" s="134"/>
      <c r="IA211" s="134"/>
      <c r="IB211" s="134"/>
      <c r="IC211" s="134"/>
      <c r="ID211" s="134"/>
      <c r="IE211" s="135"/>
      <c r="IF211" s="135"/>
      <c r="IG211" s="134"/>
      <c r="IH211" s="134"/>
      <c r="II211" s="134"/>
      <c r="IJ211" s="134"/>
      <c r="IK211" s="134"/>
      <c r="IL211" s="134"/>
      <c r="IM211" s="134"/>
      <c r="IN211" s="134"/>
      <c r="IO211" s="135"/>
      <c r="IP211" s="135"/>
      <c r="IQ211" s="134"/>
      <c r="IR211" s="134"/>
      <c r="IS211" s="134"/>
      <c r="IT211" s="134"/>
      <c r="IU211" s="134"/>
      <c r="IV211" s="134"/>
      <c r="IW211" s="134"/>
      <c r="IX211" s="134"/>
      <c r="IY211" s="135"/>
      <c r="IZ211" s="135"/>
    </row>
    <row r="212" spans="1:260" customFormat="1" ht="17" customHeight="1">
      <c r="A212" s="118" t="s">
        <v>173</v>
      </c>
      <c r="B212" s="381">
        <v>128</v>
      </c>
      <c r="C212" s="381">
        <v>34</v>
      </c>
      <c r="D212" s="381"/>
      <c r="E212" s="139" t="s">
        <v>1963</v>
      </c>
      <c r="F212" s="140" t="s">
        <v>2186</v>
      </c>
      <c r="G212" s="141">
        <v>2010</v>
      </c>
      <c r="H212" s="118">
        <v>20494591</v>
      </c>
      <c r="I212" s="118">
        <v>1</v>
      </c>
      <c r="J212" s="118"/>
      <c r="K212" s="118"/>
      <c r="L212" s="118">
        <v>1</v>
      </c>
      <c r="M212" s="118"/>
      <c r="N212" s="118">
        <v>1</v>
      </c>
      <c r="O212" s="142">
        <v>1</v>
      </c>
      <c r="P212" s="118" t="s">
        <v>505</v>
      </c>
      <c r="Q212" s="118" t="s">
        <v>1147</v>
      </c>
      <c r="R212" s="118" t="s">
        <v>503</v>
      </c>
      <c r="S212" s="118">
        <v>0</v>
      </c>
      <c r="T212" s="118"/>
      <c r="U212" s="118"/>
      <c r="V212" s="118"/>
      <c r="W212" s="118"/>
      <c r="X212" s="118"/>
      <c r="Y212" s="118"/>
      <c r="Z212" s="118"/>
      <c r="AA212" s="118"/>
      <c r="AB212" s="118" t="s">
        <v>504</v>
      </c>
      <c r="AC212" s="145"/>
      <c r="AD212" s="573">
        <v>1</v>
      </c>
      <c r="AE212" s="573">
        <v>2</v>
      </c>
      <c r="AF212" s="159" t="s">
        <v>1917</v>
      </c>
      <c r="AG212" s="160" t="s">
        <v>4495</v>
      </c>
      <c r="AH212" s="122" t="s">
        <v>4583</v>
      </c>
      <c r="AI212" s="485"/>
      <c r="AJ212" s="204" t="s">
        <v>4589</v>
      </c>
      <c r="AK212" s="192">
        <v>1</v>
      </c>
      <c r="AL212" s="205" t="s">
        <v>24</v>
      </c>
      <c r="AM212" s="122">
        <f>30+56+28</f>
        <v>114</v>
      </c>
      <c r="AN212" s="122" t="s">
        <v>4581</v>
      </c>
      <c r="AO212" s="122" t="s">
        <v>4582</v>
      </c>
      <c r="AP212" s="122" t="s">
        <v>4584</v>
      </c>
      <c r="AQ212" s="122" t="s">
        <v>4584</v>
      </c>
      <c r="AR212" s="122">
        <v>67</v>
      </c>
      <c r="AS212" s="122">
        <v>9</v>
      </c>
      <c r="AT212" s="121" t="s">
        <v>4596</v>
      </c>
      <c r="AU212" s="122" t="s">
        <v>4585</v>
      </c>
      <c r="AV212" s="122" t="s">
        <v>4586</v>
      </c>
      <c r="AW212" s="122" t="s">
        <v>24</v>
      </c>
      <c r="AX212" s="122" t="s">
        <v>24</v>
      </c>
      <c r="AY212" s="121" t="s">
        <v>4597</v>
      </c>
      <c r="AZ212" s="122" t="s">
        <v>4587</v>
      </c>
      <c r="BA212" s="122" t="s">
        <v>4588</v>
      </c>
      <c r="BB212" s="122"/>
      <c r="BC212" s="122"/>
      <c r="BD212" s="161"/>
      <c r="BE212" s="161"/>
      <c r="BF212" s="161"/>
      <c r="BG212" s="161"/>
      <c r="BH212" s="161"/>
      <c r="BI212" s="161">
        <v>1</v>
      </c>
      <c r="BJ212" s="161"/>
      <c r="BK212" s="161"/>
      <c r="BL212" s="161"/>
      <c r="BM212" s="161"/>
      <c r="BN212" s="161"/>
      <c r="BO212" s="161"/>
      <c r="BP212" s="161"/>
      <c r="BQ212" s="162" t="s">
        <v>4640</v>
      </c>
      <c r="BR212" s="150" t="s">
        <v>1876</v>
      </c>
      <c r="BS212" s="134" t="s">
        <v>4598</v>
      </c>
      <c r="BT212" s="168" t="s">
        <v>4592</v>
      </c>
      <c r="BU212" s="150" t="s">
        <v>24</v>
      </c>
      <c r="BV212" s="150" t="s">
        <v>4604</v>
      </c>
      <c r="BW212" s="258"/>
      <c r="BX212" s="151"/>
      <c r="BY212" s="150"/>
      <c r="BZ212" s="150"/>
      <c r="CA212" s="150"/>
      <c r="CB212" s="151"/>
      <c r="CC212" s="150"/>
      <c r="CD212" s="150"/>
      <c r="CE212" s="150"/>
      <c r="CF212" s="290"/>
      <c r="CG212" s="291"/>
      <c r="CH212" s="151"/>
      <c r="CI212" s="150"/>
      <c r="CJ212" s="150"/>
      <c r="CK212" s="150"/>
      <c r="CL212" s="151"/>
      <c r="CM212" s="150"/>
      <c r="CN212" s="150"/>
      <c r="CO212" s="150"/>
      <c r="CP212" s="290"/>
      <c r="CQ212" s="291"/>
      <c r="CR212" s="278"/>
      <c r="CS212" s="285"/>
      <c r="CT212" s="151"/>
      <c r="CU212" s="150"/>
      <c r="CV212" s="150"/>
      <c r="CW212" s="150"/>
      <c r="CX212" s="150"/>
      <c r="CY212" s="150"/>
      <c r="CZ212" s="150"/>
      <c r="DA212" s="150"/>
      <c r="DB212" s="302"/>
      <c r="DC212" s="303"/>
      <c r="DD212" s="150"/>
      <c r="DE212" s="150"/>
      <c r="DF212" s="150"/>
      <c r="DG212" s="150"/>
      <c r="DH212" s="150"/>
      <c r="DI212" s="150"/>
      <c r="DJ212" s="150"/>
      <c r="DK212" s="150"/>
      <c r="DL212" s="302"/>
      <c r="DM212" s="303"/>
      <c r="DN212" s="278"/>
      <c r="DO212" s="279"/>
      <c r="DP212" s="150"/>
      <c r="DQ212" s="150"/>
      <c r="DR212" s="150"/>
      <c r="DS212" s="150"/>
      <c r="DT212" s="151"/>
      <c r="DU212" s="150"/>
      <c r="DV212" s="150"/>
      <c r="DW212" s="150"/>
      <c r="DX212" s="303"/>
      <c r="DY212" s="303"/>
      <c r="DZ212" s="151"/>
      <c r="EA212" s="150"/>
      <c r="EB212" s="150"/>
      <c r="EC212" s="150"/>
      <c r="ED212" s="151"/>
      <c r="EE212" s="150"/>
      <c r="EF212" s="150"/>
      <c r="EG212" s="150"/>
      <c r="EH212" s="303"/>
      <c r="EI212" s="303"/>
      <c r="EJ212" s="279"/>
      <c r="EK212" s="150"/>
      <c r="EL212" s="150"/>
      <c r="EM212" s="150"/>
      <c r="EN212" s="150"/>
      <c r="EO212" s="150"/>
      <c r="EP212" s="150"/>
      <c r="EQ212" s="150"/>
      <c r="ER212" s="150"/>
      <c r="ES212" s="303"/>
      <c r="ET212" s="303"/>
      <c r="EU212" s="150"/>
      <c r="EV212" s="150"/>
      <c r="EW212" s="150"/>
      <c r="EX212" s="150"/>
      <c r="EY212" s="134"/>
      <c r="EZ212" s="134"/>
      <c r="FA212" s="134"/>
      <c r="FB212" s="134"/>
      <c r="FC212" s="135"/>
      <c r="FD212" s="135"/>
      <c r="FE212" s="134"/>
      <c r="FF212" s="134"/>
      <c r="FG212" s="134"/>
      <c r="FH212" s="134"/>
      <c r="FI212" s="134"/>
      <c r="FJ212" s="134"/>
      <c r="FK212" s="134"/>
      <c r="FL212" s="134"/>
      <c r="FM212" s="135"/>
      <c r="FN212" s="135"/>
      <c r="FO212" s="134"/>
      <c r="FP212" s="134"/>
      <c r="FQ212" s="134"/>
      <c r="FR212" s="134"/>
      <c r="FS212" s="134"/>
      <c r="FT212" s="134"/>
      <c r="FU212" s="134"/>
      <c r="FV212" s="134"/>
      <c r="FW212" s="135"/>
      <c r="FX212" s="135"/>
      <c r="FY212" s="134"/>
      <c r="FZ212" s="134"/>
      <c r="GA212" s="134"/>
      <c r="GB212" s="134"/>
      <c r="GC212" s="134"/>
      <c r="GD212" s="134"/>
      <c r="GE212" s="134"/>
      <c r="GF212" s="134"/>
      <c r="GG212" s="135"/>
      <c r="GH212" s="135"/>
      <c r="GI212" s="134"/>
      <c r="GJ212" s="134"/>
      <c r="GK212" s="134"/>
      <c r="GL212" s="134"/>
      <c r="GM212" s="134"/>
      <c r="GN212" s="134"/>
      <c r="GO212" s="134"/>
      <c r="GP212" s="134"/>
      <c r="GQ212" s="135"/>
      <c r="GR212" s="135"/>
      <c r="GS212" s="134"/>
      <c r="GT212" s="134"/>
      <c r="GU212" s="134"/>
      <c r="GV212" s="134"/>
      <c r="GW212" s="134"/>
      <c r="GX212" s="134"/>
      <c r="GY212" s="134"/>
      <c r="GZ212" s="134"/>
      <c r="HA212" s="135"/>
      <c r="HB212" s="135"/>
      <c r="HC212" s="134"/>
      <c r="HD212" s="134"/>
      <c r="HE212" s="134"/>
      <c r="HF212" s="134"/>
      <c r="HG212" s="134"/>
      <c r="HH212" s="134"/>
      <c r="HI212" s="134"/>
      <c r="HJ212" s="134"/>
      <c r="HK212" s="135"/>
      <c r="HL212" s="135"/>
      <c r="HM212" s="134"/>
      <c r="HN212" s="134"/>
      <c r="HO212" s="134"/>
      <c r="HP212" s="134"/>
      <c r="HQ212" s="134"/>
      <c r="HR212" s="134"/>
      <c r="HS212" s="134"/>
      <c r="HT212" s="134"/>
      <c r="HU212" s="135"/>
      <c r="HV212" s="135"/>
      <c r="HW212" s="134"/>
      <c r="HX212" s="134"/>
      <c r="HY212" s="134"/>
      <c r="HZ212" s="134"/>
      <c r="IA212" s="134"/>
      <c r="IB212" s="134"/>
      <c r="IC212" s="134"/>
      <c r="ID212" s="134"/>
      <c r="IE212" s="135"/>
      <c r="IF212" s="135"/>
      <c r="IG212" s="134"/>
      <c r="IH212" s="134"/>
      <c r="II212" s="134"/>
      <c r="IJ212" s="134"/>
      <c r="IK212" s="134"/>
      <c r="IL212" s="134"/>
      <c r="IM212" s="134"/>
      <c r="IN212" s="134"/>
      <c r="IO212" s="135"/>
      <c r="IP212" s="135"/>
      <c r="IQ212" s="134"/>
      <c r="IR212" s="134"/>
      <c r="IS212" s="134"/>
      <c r="IT212" s="134"/>
      <c r="IU212" s="134"/>
      <c r="IV212" s="134"/>
      <c r="IW212" s="134"/>
      <c r="IX212" s="134"/>
      <c r="IY212" s="135"/>
      <c r="IZ212" s="135"/>
    </row>
    <row r="213" spans="1:260" customFormat="1" ht="17" customHeight="1">
      <c r="A213" s="79" t="s">
        <v>1051</v>
      </c>
      <c r="B213" s="117">
        <v>129</v>
      </c>
      <c r="C213" s="117">
        <v>35</v>
      </c>
      <c r="D213" s="117"/>
      <c r="E213" s="123" t="s">
        <v>2076</v>
      </c>
      <c r="F213" s="124" t="s">
        <v>2330</v>
      </c>
      <c r="G213" s="125">
        <v>2006</v>
      </c>
      <c r="H213" s="79">
        <v>16860405</v>
      </c>
      <c r="I213" s="79">
        <v>1</v>
      </c>
      <c r="J213" s="126">
        <v>1</v>
      </c>
      <c r="K213" s="127"/>
      <c r="L213" s="79">
        <v>1</v>
      </c>
      <c r="M213" s="79"/>
      <c r="N213" s="79">
        <v>1</v>
      </c>
      <c r="O213" s="128">
        <v>2</v>
      </c>
      <c r="P213" s="79" t="s">
        <v>1352</v>
      </c>
      <c r="Q213" s="79" t="s">
        <v>1224</v>
      </c>
      <c r="R213" s="79" t="s">
        <v>1127</v>
      </c>
      <c r="S213" s="79"/>
      <c r="T213" s="79" t="s">
        <v>1487</v>
      </c>
      <c r="U213" s="79" t="s">
        <v>23</v>
      </c>
      <c r="V213" s="79" t="s">
        <v>23</v>
      </c>
      <c r="W213" s="79" t="s">
        <v>1691</v>
      </c>
      <c r="X213" s="79"/>
      <c r="Y213" s="79"/>
      <c r="Z213" s="79"/>
      <c r="AA213" s="79"/>
      <c r="AB213" s="79" t="s">
        <v>1351</v>
      </c>
      <c r="AC213" s="506"/>
      <c r="AD213" s="573">
        <v>1</v>
      </c>
      <c r="AE213" s="573">
        <v>2</v>
      </c>
      <c r="AF213" s="154">
        <v>1</v>
      </c>
      <c r="AG213" s="155" t="s">
        <v>4661</v>
      </c>
      <c r="AH213" s="121">
        <v>4</v>
      </c>
      <c r="AI213" s="484"/>
      <c r="AJ213" s="202" t="s">
        <v>4647</v>
      </c>
      <c r="AK213" s="192">
        <v>0</v>
      </c>
      <c r="AL213" s="203">
        <v>0</v>
      </c>
      <c r="AM213" s="121">
        <f>Table665[[#This Row],[Subjects_n_ptsd]]+Table665[[#This Row],[Subjects_n_control]]</f>
        <v>23</v>
      </c>
      <c r="AN213" s="121">
        <v>11</v>
      </c>
      <c r="AO213" s="121">
        <v>12</v>
      </c>
      <c r="AP213" s="121" t="s">
        <v>803</v>
      </c>
      <c r="AQ213" s="121" t="s">
        <v>803</v>
      </c>
      <c r="AR213" s="121" t="s">
        <v>4648</v>
      </c>
      <c r="AS213" s="121" t="s">
        <v>24</v>
      </c>
      <c r="AT213" s="121" t="s">
        <v>4649</v>
      </c>
      <c r="AU213" s="121" t="s">
        <v>24</v>
      </c>
      <c r="AV213" s="121" t="s">
        <v>4650</v>
      </c>
      <c r="AW213" s="121">
        <v>1</v>
      </c>
      <c r="AX213" s="121">
        <v>1</v>
      </c>
      <c r="AY213" s="121" t="s">
        <v>4651</v>
      </c>
      <c r="AZ213" s="121" t="s">
        <v>1130</v>
      </c>
      <c r="BA213" s="121" t="s">
        <v>4508</v>
      </c>
      <c r="BB213" s="121"/>
      <c r="BC213" s="121"/>
      <c r="BD213" s="156">
        <v>1</v>
      </c>
      <c r="BE213" s="156"/>
      <c r="BF213" s="156"/>
      <c r="BG213" s="156"/>
      <c r="BH213" s="156"/>
      <c r="BI213" s="156"/>
      <c r="BJ213" s="156"/>
      <c r="BK213" s="156"/>
      <c r="BL213" s="156"/>
      <c r="BM213" s="156"/>
      <c r="BN213" s="156"/>
      <c r="BO213" s="156"/>
      <c r="BP213" s="156"/>
      <c r="BQ213" s="157" t="s">
        <v>2879</v>
      </c>
      <c r="BR213" s="134" t="s">
        <v>1876</v>
      </c>
      <c r="BS213" s="134" t="s">
        <v>4652</v>
      </c>
      <c r="BT213" s="134" t="s">
        <v>4654</v>
      </c>
      <c r="BU213" s="134" t="s">
        <v>4653</v>
      </c>
      <c r="BV213" s="134" t="s">
        <v>4655</v>
      </c>
      <c r="BW213" s="259" t="s">
        <v>4659</v>
      </c>
      <c r="BX213" s="138" t="s">
        <v>4656</v>
      </c>
      <c r="BY213" s="134">
        <v>110.364</v>
      </c>
      <c r="BZ213" s="134" t="s">
        <v>24</v>
      </c>
      <c r="CA213" s="134">
        <f>119.639-Table665[[#This Row],[Outcome1_M]]</f>
        <v>9.2749999999999915</v>
      </c>
      <c r="CB213" s="138" t="s">
        <v>4657</v>
      </c>
      <c r="CC213" s="134">
        <v>77.115899999999996</v>
      </c>
      <c r="CD213" s="134" t="s">
        <v>24</v>
      </c>
      <c r="CE213" s="134">
        <f>83.7406-Table665[[#This Row],[Outcome2_M]]</f>
        <v>6.6247000000000043</v>
      </c>
      <c r="CF213" s="288" t="s">
        <v>4658</v>
      </c>
      <c r="CG213" s="289" t="s">
        <v>4660</v>
      </c>
      <c r="CH213" s="138" t="s">
        <v>24</v>
      </c>
      <c r="CI213" s="134"/>
      <c r="CJ213" s="134"/>
      <c r="CK213" s="134"/>
      <c r="CL213" s="138"/>
      <c r="CM213" s="134"/>
      <c r="CN213" s="134"/>
      <c r="CO213" s="134"/>
      <c r="CP213" s="288"/>
      <c r="CQ213" s="289"/>
      <c r="CR213" s="276"/>
      <c r="CS213" s="308"/>
      <c r="CT213" s="138"/>
      <c r="CU213" s="134"/>
      <c r="CV213" s="134"/>
      <c r="CW213" s="134"/>
      <c r="CX213" s="134"/>
      <c r="CY213" s="134"/>
      <c r="CZ213" s="134"/>
      <c r="DA213" s="134"/>
      <c r="DB213" s="300"/>
      <c r="DC213" s="301"/>
      <c r="DD213" s="134"/>
      <c r="DE213" s="134"/>
      <c r="DF213" s="134"/>
      <c r="DG213" s="134"/>
      <c r="DH213" s="134"/>
      <c r="DI213" s="134"/>
      <c r="DJ213" s="134"/>
      <c r="DK213" s="134"/>
      <c r="DL213" s="300"/>
      <c r="DM213" s="301"/>
      <c r="DN213" s="276"/>
      <c r="DO213" s="277"/>
      <c r="DP213" s="134"/>
      <c r="DQ213" s="134"/>
      <c r="DR213" s="134"/>
      <c r="DS213" s="134"/>
      <c r="DT213" s="138"/>
      <c r="DU213" s="134"/>
      <c r="DV213" s="134"/>
      <c r="DW213" s="134"/>
      <c r="DX213" s="301"/>
      <c r="DY213" s="301"/>
      <c r="DZ213" s="138"/>
      <c r="EA213" s="134"/>
      <c r="EB213" s="134"/>
      <c r="EC213" s="134"/>
      <c r="ED213" s="138"/>
      <c r="EE213" s="134"/>
      <c r="EF213" s="134"/>
      <c r="EG213" s="134"/>
      <c r="EH213" s="301"/>
      <c r="EI213" s="301"/>
      <c r="EJ213" s="277"/>
      <c r="EK213" s="134"/>
      <c r="EL213" s="134"/>
      <c r="EM213" s="134"/>
      <c r="EN213" s="134"/>
      <c r="EO213" s="134"/>
      <c r="EP213" s="134"/>
      <c r="EQ213" s="134"/>
      <c r="ER213" s="134"/>
      <c r="ES213" s="301"/>
      <c r="ET213" s="301"/>
      <c r="EU213" s="134"/>
      <c r="EV213" s="134"/>
      <c r="EW213" s="134"/>
      <c r="EX213" s="134"/>
      <c r="EY213" s="134"/>
      <c r="EZ213" s="134"/>
      <c r="FA213" s="134"/>
      <c r="FB213" s="134"/>
      <c r="FC213" s="135"/>
      <c r="FD213" s="135"/>
      <c r="FE213" s="134"/>
      <c r="FF213" s="134"/>
      <c r="FG213" s="134"/>
      <c r="FH213" s="134"/>
      <c r="FI213" s="134"/>
      <c r="FJ213" s="134"/>
      <c r="FK213" s="134"/>
      <c r="FL213" s="134"/>
      <c r="FM213" s="135"/>
      <c r="FN213" s="135"/>
      <c r="FO213" s="134"/>
      <c r="FP213" s="134"/>
      <c r="FQ213" s="134"/>
      <c r="FR213" s="134"/>
      <c r="FS213" s="134"/>
      <c r="FT213" s="134"/>
      <c r="FU213" s="134"/>
      <c r="FV213" s="134"/>
      <c r="FW213" s="135"/>
      <c r="FX213" s="135"/>
      <c r="FY213" s="134"/>
      <c r="FZ213" s="134"/>
      <c r="GA213" s="134"/>
      <c r="GB213" s="134"/>
      <c r="GC213" s="134"/>
      <c r="GD213" s="134"/>
      <c r="GE213" s="134"/>
      <c r="GF213" s="134"/>
      <c r="GG213" s="135"/>
      <c r="GH213" s="135"/>
      <c r="GI213" s="134"/>
      <c r="GJ213" s="134"/>
      <c r="GK213" s="134"/>
      <c r="GL213" s="134"/>
      <c r="GM213" s="134"/>
      <c r="GN213" s="134"/>
      <c r="GO213" s="134"/>
      <c r="GP213" s="134"/>
      <c r="GQ213" s="135"/>
      <c r="GR213" s="135"/>
      <c r="GS213" s="134"/>
      <c r="GT213" s="134"/>
      <c r="GU213" s="134"/>
      <c r="GV213" s="134"/>
      <c r="GW213" s="134"/>
      <c r="GX213" s="134"/>
      <c r="GY213" s="134"/>
      <c r="GZ213" s="134"/>
      <c r="HA213" s="135"/>
      <c r="HB213" s="135"/>
      <c r="HC213" s="134"/>
      <c r="HD213" s="134"/>
      <c r="HE213" s="134"/>
      <c r="HF213" s="134"/>
      <c r="HG213" s="134"/>
      <c r="HH213" s="134"/>
      <c r="HI213" s="134"/>
      <c r="HJ213" s="134"/>
      <c r="HK213" s="135"/>
      <c r="HL213" s="135"/>
      <c r="HM213" s="134"/>
      <c r="HN213" s="134"/>
      <c r="HO213" s="134"/>
      <c r="HP213" s="134"/>
      <c r="HQ213" s="134"/>
      <c r="HR213" s="134"/>
      <c r="HS213" s="134"/>
      <c r="HT213" s="134"/>
      <c r="HU213" s="135"/>
      <c r="HV213" s="135"/>
      <c r="HW213" s="134"/>
      <c r="HX213" s="134"/>
      <c r="HY213" s="134"/>
      <c r="HZ213" s="134"/>
      <c r="IA213" s="134"/>
      <c r="IB213" s="134"/>
      <c r="IC213" s="134"/>
      <c r="ID213" s="134"/>
      <c r="IE213" s="135"/>
      <c r="IF213" s="135"/>
      <c r="IG213" s="134"/>
      <c r="IH213" s="134"/>
      <c r="II213" s="134"/>
      <c r="IJ213" s="134"/>
      <c r="IK213" s="134"/>
      <c r="IL213" s="134"/>
      <c r="IM213" s="134"/>
      <c r="IN213" s="134"/>
      <c r="IO213" s="135"/>
      <c r="IP213" s="135"/>
      <c r="IQ213" s="134"/>
      <c r="IR213" s="134"/>
      <c r="IS213" s="134"/>
      <c r="IT213" s="134"/>
      <c r="IU213" s="134"/>
      <c r="IV213" s="134"/>
      <c r="IW213" s="134"/>
      <c r="IX213" s="134"/>
      <c r="IY213" s="135"/>
      <c r="IZ213" s="135"/>
    </row>
    <row r="214" spans="1:260" customFormat="1" ht="17" customHeight="1">
      <c r="A214" s="79" t="s">
        <v>1050</v>
      </c>
      <c r="B214" s="363">
        <v>20</v>
      </c>
      <c r="C214" s="363"/>
      <c r="D214" s="363"/>
      <c r="E214" s="123" t="s">
        <v>2077</v>
      </c>
      <c r="F214" s="124" t="s">
        <v>2331</v>
      </c>
      <c r="G214" s="125">
        <v>2007</v>
      </c>
      <c r="H214" s="79">
        <v>17267088</v>
      </c>
      <c r="I214" s="79">
        <v>1</v>
      </c>
      <c r="J214" s="126"/>
      <c r="K214" s="127"/>
      <c r="L214" s="79">
        <v>1</v>
      </c>
      <c r="M214" s="79"/>
      <c r="N214" s="79">
        <v>1</v>
      </c>
      <c r="O214" s="128">
        <v>2</v>
      </c>
      <c r="P214" s="79" t="s">
        <v>1353</v>
      </c>
      <c r="Q214" s="79" t="s">
        <v>1216</v>
      </c>
      <c r="R214" s="79" t="s">
        <v>1127</v>
      </c>
      <c r="S214" s="79"/>
      <c r="T214" s="79" t="s">
        <v>1487</v>
      </c>
      <c r="U214" s="79" t="s">
        <v>803</v>
      </c>
      <c r="V214" s="79" t="s">
        <v>23</v>
      </c>
      <c r="W214" s="79" t="s">
        <v>1337</v>
      </c>
      <c r="X214" s="79" t="s">
        <v>1354</v>
      </c>
      <c r="Y214" s="79"/>
      <c r="Z214" s="79"/>
      <c r="AA214" s="79"/>
      <c r="AB214" s="79"/>
      <c r="AC214" s="506"/>
      <c r="AD214" s="573">
        <v>1</v>
      </c>
      <c r="AE214" s="573">
        <v>2</v>
      </c>
      <c r="AF214" s="154">
        <v>1</v>
      </c>
      <c r="AG214" s="155" t="s">
        <v>2979</v>
      </c>
      <c r="AH214" s="121">
        <v>4</v>
      </c>
      <c r="AI214" s="484"/>
      <c r="AJ214" s="202" t="s">
        <v>2966</v>
      </c>
      <c r="AK214" s="192">
        <v>0</v>
      </c>
      <c r="AL214" s="203">
        <v>0</v>
      </c>
      <c r="AM214" s="121">
        <v>16</v>
      </c>
      <c r="AN214" s="121">
        <v>8</v>
      </c>
      <c r="AO214" s="121">
        <v>8</v>
      </c>
      <c r="AP214" s="121" t="s">
        <v>803</v>
      </c>
      <c r="AQ214" s="121" t="s">
        <v>803</v>
      </c>
      <c r="AR214" s="121" t="s">
        <v>2667</v>
      </c>
      <c r="AS214" s="121" t="s">
        <v>24</v>
      </c>
      <c r="AT214" s="121" t="s">
        <v>2667</v>
      </c>
      <c r="AU214" s="121" t="s">
        <v>24</v>
      </c>
      <c r="AV214" s="121" t="s">
        <v>2963</v>
      </c>
      <c r="AW214" s="121">
        <v>1</v>
      </c>
      <c r="AX214" s="121">
        <v>1</v>
      </c>
      <c r="AY214" s="121" t="s">
        <v>2964</v>
      </c>
      <c r="AZ214" s="121" t="s">
        <v>1130</v>
      </c>
      <c r="BA214" s="121" t="s">
        <v>2798</v>
      </c>
      <c r="BB214" s="121"/>
      <c r="BC214" s="121"/>
      <c r="BD214" s="156">
        <v>1</v>
      </c>
      <c r="BE214" s="156"/>
      <c r="BF214" s="156"/>
      <c r="BG214" s="156"/>
      <c r="BH214" s="156"/>
      <c r="BI214" s="156"/>
      <c r="BJ214" s="156"/>
      <c r="BK214" s="156"/>
      <c r="BL214" s="156"/>
      <c r="BM214" s="156"/>
      <c r="BN214" s="156"/>
      <c r="BO214" s="156"/>
      <c r="BP214" s="156"/>
      <c r="BQ214" s="157" t="s">
        <v>2967</v>
      </c>
      <c r="BR214" s="134" t="s">
        <v>1876</v>
      </c>
      <c r="BS214" s="134">
        <v>2</v>
      </c>
      <c r="BT214" s="134" t="s">
        <v>2965</v>
      </c>
      <c r="BU214" s="134" t="s">
        <v>23</v>
      </c>
      <c r="BV214" s="134" t="s">
        <v>2945</v>
      </c>
      <c r="BW214" s="259" t="s">
        <v>2971</v>
      </c>
      <c r="BX214" s="138" t="s">
        <v>2969</v>
      </c>
      <c r="BY214" s="134">
        <v>83.8</v>
      </c>
      <c r="BZ214" s="134" t="s">
        <v>24</v>
      </c>
      <c r="CA214" s="134">
        <v>8.8000000000000007</v>
      </c>
      <c r="CB214" s="138" t="s">
        <v>2968</v>
      </c>
      <c r="CC214" s="134">
        <v>125.1</v>
      </c>
      <c r="CD214" s="168" t="s">
        <v>24</v>
      </c>
      <c r="CE214" s="134">
        <v>6.2</v>
      </c>
      <c r="CF214" s="288" t="s">
        <v>2970</v>
      </c>
      <c r="CG214" s="289" t="s">
        <v>2972</v>
      </c>
      <c r="CH214" s="138" t="s">
        <v>24</v>
      </c>
      <c r="CI214" s="134"/>
      <c r="CJ214" s="134"/>
      <c r="CK214" s="134"/>
      <c r="CL214" s="138"/>
      <c r="CM214" s="134"/>
      <c r="CN214" s="134"/>
      <c r="CO214" s="134"/>
      <c r="CP214" s="288"/>
      <c r="CQ214" s="289"/>
      <c r="CR214" s="276"/>
      <c r="CS214" s="308"/>
      <c r="CT214" s="138"/>
      <c r="CU214" s="134"/>
      <c r="CV214" s="134"/>
      <c r="CW214" s="134"/>
      <c r="CX214" s="134"/>
      <c r="CY214" s="134"/>
      <c r="CZ214" s="134"/>
      <c r="DA214" s="134"/>
      <c r="DB214" s="300"/>
      <c r="DC214" s="301"/>
      <c r="DD214" s="134"/>
      <c r="DE214" s="134"/>
      <c r="DF214" s="134"/>
      <c r="DG214" s="134"/>
      <c r="DH214" s="134"/>
      <c r="DI214" s="134"/>
      <c r="DJ214" s="134"/>
      <c r="DK214" s="134"/>
      <c r="DL214" s="300"/>
      <c r="DM214" s="301"/>
      <c r="DN214" s="276"/>
      <c r="DO214" s="277"/>
      <c r="DP214" s="134"/>
      <c r="DQ214" s="134"/>
      <c r="DR214" s="134"/>
      <c r="DS214" s="134"/>
      <c r="DT214" s="138"/>
      <c r="DU214" s="134"/>
      <c r="DV214" s="134"/>
      <c r="DW214" s="134"/>
      <c r="DX214" s="301"/>
      <c r="DY214" s="301"/>
      <c r="DZ214" s="138"/>
      <c r="EA214" s="134"/>
      <c r="EB214" s="134"/>
      <c r="EC214" s="134"/>
      <c r="ED214" s="138"/>
      <c r="EE214" s="134"/>
      <c r="EF214" s="134"/>
      <c r="EG214" s="134"/>
      <c r="EH214" s="301"/>
      <c r="EI214" s="301"/>
      <c r="EJ214" s="277"/>
      <c r="EK214" s="134"/>
      <c r="EL214" s="134"/>
      <c r="EM214" s="134"/>
      <c r="EN214" s="134"/>
      <c r="EO214" s="134"/>
      <c r="EP214" s="134"/>
      <c r="EQ214" s="134"/>
      <c r="ER214" s="134"/>
      <c r="ES214" s="301"/>
      <c r="ET214" s="301"/>
      <c r="EU214" s="134"/>
      <c r="EV214" s="134"/>
      <c r="EW214" s="134"/>
      <c r="EX214" s="134"/>
      <c r="EY214" s="134"/>
      <c r="EZ214" s="134"/>
      <c r="FA214" s="134"/>
      <c r="FB214" s="134"/>
      <c r="FC214" s="135"/>
      <c r="FD214" s="135"/>
      <c r="FE214" s="134"/>
      <c r="FF214" s="134"/>
      <c r="FG214" s="134"/>
      <c r="FH214" s="134"/>
      <c r="FI214" s="134"/>
      <c r="FJ214" s="134"/>
      <c r="FK214" s="134"/>
      <c r="FL214" s="134"/>
      <c r="FM214" s="135"/>
      <c r="FN214" s="135"/>
      <c r="FO214" s="134"/>
      <c r="FP214" s="134"/>
      <c r="FQ214" s="134"/>
      <c r="FR214" s="134"/>
      <c r="FS214" s="134"/>
      <c r="FT214" s="134"/>
      <c r="FU214" s="134"/>
      <c r="FV214" s="134"/>
      <c r="FW214" s="135"/>
      <c r="FX214" s="135"/>
      <c r="FY214" s="134"/>
      <c r="FZ214" s="134"/>
      <c r="GA214" s="134"/>
      <c r="GB214" s="134"/>
      <c r="GC214" s="134"/>
      <c r="GD214" s="134"/>
      <c r="GE214" s="134"/>
      <c r="GF214" s="134"/>
      <c r="GG214" s="135"/>
      <c r="GH214" s="135"/>
      <c r="GI214" s="134"/>
      <c r="GJ214" s="134"/>
      <c r="GK214" s="134"/>
      <c r="GL214" s="134"/>
      <c r="GM214" s="134"/>
      <c r="GN214" s="134"/>
      <c r="GO214" s="134"/>
      <c r="GP214" s="134"/>
      <c r="GQ214" s="135"/>
      <c r="GR214" s="135"/>
      <c r="GS214" s="134"/>
      <c r="GT214" s="134"/>
      <c r="GU214" s="134"/>
      <c r="GV214" s="134"/>
      <c r="GW214" s="134"/>
      <c r="GX214" s="134"/>
      <c r="GY214" s="134"/>
      <c r="GZ214" s="134"/>
      <c r="HA214" s="135"/>
      <c r="HB214" s="135"/>
      <c r="HC214" s="134"/>
      <c r="HD214" s="134"/>
      <c r="HE214" s="134"/>
      <c r="HF214" s="134"/>
      <c r="HG214" s="134"/>
      <c r="HH214" s="134"/>
      <c r="HI214" s="134"/>
      <c r="HJ214" s="134"/>
      <c r="HK214" s="135"/>
      <c r="HL214" s="135"/>
      <c r="HM214" s="134"/>
      <c r="HN214" s="134"/>
      <c r="HO214" s="134"/>
      <c r="HP214" s="134"/>
      <c r="HQ214" s="134"/>
      <c r="HR214" s="134"/>
      <c r="HS214" s="134"/>
      <c r="HT214" s="134"/>
      <c r="HU214" s="135"/>
      <c r="HV214" s="135"/>
      <c r="HW214" s="134"/>
      <c r="HX214" s="134"/>
      <c r="HY214" s="134"/>
      <c r="HZ214" s="134"/>
      <c r="IA214" s="134"/>
      <c r="IB214" s="134"/>
      <c r="IC214" s="134"/>
      <c r="ID214" s="134"/>
      <c r="IE214" s="135"/>
      <c r="IF214" s="135"/>
      <c r="IG214" s="134"/>
      <c r="IH214" s="134"/>
      <c r="II214" s="134"/>
      <c r="IJ214" s="134"/>
      <c r="IK214" s="134"/>
      <c r="IL214" s="134"/>
      <c r="IM214" s="134"/>
      <c r="IN214" s="134"/>
      <c r="IO214" s="135"/>
      <c r="IP214" s="135"/>
      <c r="IQ214" s="134"/>
      <c r="IR214" s="134"/>
      <c r="IS214" s="134"/>
      <c r="IT214" s="134"/>
      <c r="IU214" s="134"/>
      <c r="IV214" s="134"/>
      <c r="IW214" s="134"/>
      <c r="IX214" s="134"/>
      <c r="IY214" s="135"/>
      <c r="IZ214" s="135"/>
    </row>
    <row r="215" spans="1:260" customFormat="1" ht="17" customHeight="1">
      <c r="A215" s="79" t="s">
        <v>1049</v>
      </c>
      <c r="B215" s="363">
        <v>21</v>
      </c>
      <c r="C215" s="363"/>
      <c r="D215" s="363"/>
      <c r="E215" s="123" t="s">
        <v>2078</v>
      </c>
      <c r="F215" s="124" t="s">
        <v>2332</v>
      </c>
      <c r="G215" s="125">
        <v>2016</v>
      </c>
      <c r="H215" s="79">
        <v>27740964</v>
      </c>
      <c r="I215" s="79">
        <v>1</v>
      </c>
      <c r="J215" s="126"/>
      <c r="K215" s="127"/>
      <c r="L215" s="79">
        <v>1</v>
      </c>
      <c r="M215" s="79"/>
      <c r="N215" s="79">
        <v>1</v>
      </c>
      <c r="O215" s="128">
        <v>2</v>
      </c>
      <c r="P215" s="79" t="s">
        <v>1327</v>
      </c>
      <c r="Q215" s="79" t="s">
        <v>1224</v>
      </c>
      <c r="R215" s="79" t="s">
        <v>1225</v>
      </c>
      <c r="S215" s="79"/>
      <c r="T215" s="79" t="s">
        <v>1541</v>
      </c>
      <c r="U215" s="79"/>
      <c r="V215" s="79"/>
      <c r="W215" s="79" t="s">
        <v>1355</v>
      </c>
      <c r="X215" s="79"/>
      <c r="Y215" s="79"/>
      <c r="Z215" s="79"/>
      <c r="AA215" s="79" t="s">
        <v>1356</v>
      </c>
      <c r="AB215" s="79"/>
      <c r="AC215" s="506"/>
      <c r="AD215" s="573">
        <v>1</v>
      </c>
      <c r="AE215" s="573">
        <v>2</v>
      </c>
      <c r="AF215" s="211">
        <v>1</v>
      </c>
      <c r="AG215" s="212" t="s">
        <v>3313</v>
      </c>
      <c r="AH215" s="134">
        <v>4</v>
      </c>
      <c r="AI215" s="484"/>
      <c r="AJ215" s="213" t="s">
        <v>3310</v>
      </c>
      <c r="AK215" s="192">
        <v>1</v>
      </c>
      <c r="AL215" s="215">
        <v>0</v>
      </c>
      <c r="AM215" s="134">
        <f>Table665[[#This Row],[Subjects_n_ptsd]]+Table665[[#This Row],[Subjects_n_control]]</f>
        <v>24</v>
      </c>
      <c r="AN215" s="134">
        <v>14</v>
      </c>
      <c r="AO215" s="134">
        <v>10</v>
      </c>
      <c r="AP215" s="134" t="s">
        <v>803</v>
      </c>
      <c r="AQ215" s="134" t="s">
        <v>803</v>
      </c>
      <c r="AR215" s="134" t="s">
        <v>2468</v>
      </c>
      <c r="AS215" s="134" t="s">
        <v>24</v>
      </c>
      <c r="AT215" s="134" t="s">
        <v>2468</v>
      </c>
      <c r="AU215" s="134" t="s">
        <v>24</v>
      </c>
      <c r="AV215" s="134" t="s">
        <v>2974</v>
      </c>
      <c r="AW215" s="134">
        <v>1</v>
      </c>
      <c r="AX215" s="134" t="s">
        <v>3328</v>
      </c>
      <c r="AY215" s="134" t="s">
        <v>2975</v>
      </c>
      <c r="AZ215" s="134" t="s">
        <v>1130</v>
      </c>
      <c r="BA215" s="134" t="s">
        <v>2554</v>
      </c>
      <c r="BB215" s="134"/>
      <c r="BC215" s="134"/>
      <c r="BD215" s="156">
        <v>1</v>
      </c>
      <c r="BE215" s="156"/>
      <c r="BF215" s="156"/>
      <c r="BG215" s="156"/>
      <c r="BH215" s="156"/>
      <c r="BI215" s="156"/>
      <c r="BJ215" s="156"/>
      <c r="BK215" s="156"/>
      <c r="BL215" s="156"/>
      <c r="BM215" s="156"/>
      <c r="BN215" s="156"/>
      <c r="BO215" s="156"/>
      <c r="BP215" s="156"/>
      <c r="BQ215" s="157" t="s">
        <v>2977</v>
      </c>
      <c r="BR215" s="134" t="s">
        <v>1876</v>
      </c>
      <c r="BS215" s="134">
        <v>2</v>
      </c>
      <c r="BT215" s="134" t="s">
        <v>2976</v>
      </c>
      <c r="BU215" s="134" t="s">
        <v>1121</v>
      </c>
      <c r="BV215" s="134" t="s">
        <v>2989</v>
      </c>
      <c r="BW215" s="259" t="s">
        <v>3326</v>
      </c>
      <c r="BX215" s="138" t="s">
        <v>2980</v>
      </c>
      <c r="BY215" s="134">
        <v>5.5387599999999999</v>
      </c>
      <c r="BZ215" s="134" t="s">
        <v>24</v>
      </c>
      <c r="CA215" s="134">
        <f>6.2663-Table665[[#This Row],[Outcome1_M]]</f>
        <v>0.7275400000000003</v>
      </c>
      <c r="CB215" s="138" t="s">
        <v>2981</v>
      </c>
      <c r="CC215" s="134">
        <v>1.85799</v>
      </c>
      <c r="CD215" s="134" t="s">
        <v>24</v>
      </c>
      <c r="CE215" s="134">
        <f>2.16665-Table665[[#This Row],[Outcome2_M]]</f>
        <v>0.30866000000000016</v>
      </c>
      <c r="CF215" s="288" t="s">
        <v>2986</v>
      </c>
      <c r="CG215" s="289" t="s">
        <v>2990</v>
      </c>
      <c r="CH215" s="138" t="s">
        <v>2982</v>
      </c>
      <c r="CI215" s="134">
        <v>4.1132499999999999</v>
      </c>
      <c r="CJ215" s="134" t="s">
        <v>24</v>
      </c>
      <c r="CK215" s="134">
        <f>4.71954-Table665[[#This Row],[Outcome3_M]]</f>
        <v>0.60629000000000044</v>
      </c>
      <c r="CL215" s="138" t="s">
        <v>2983</v>
      </c>
      <c r="CM215" s="134">
        <v>1.2261899999999999</v>
      </c>
      <c r="CN215" s="134" t="s">
        <v>24</v>
      </c>
      <c r="CO215" s="134">
        <f>1.67816-Table665[[#This Row],[Outcome4_M]]</f>
        <v>0.4519700000000002</v>
      </c>
      <c r="CP215" s="288" t="s">
        <v>2987</v>
      </c>
      <c r="CQ215" s="289" t="s">
        <v>2991</v>
      </c>
      <c r="CR215" s="276"/>
      <c r="CS215" s="308"/>
      <c r="CT215" s="138" t="s">
        <v>2984</v>
      </c>
      <c r="CU215" s="134">
        <v>3.5365799999999998</v>
      </c>
      <c r="CV215" s="134" t="s">
        <v>24</v>
      </c>
      <c r="CW215" s="134">
        <f>3.9665-Table665[[#This Row],[Outcome5_M]]</f>
        <v>0.42992000000000008</v>
      </c>
      <c r="CX215" s="138" t="s">
        <v>2985</v>
      </c>
      <c r="CY215" s="134">
        <v>0.94716500000000003</v>
      </c>
      <c r="CZ215" s="134" t="s">
        <v>24</v>
      </c>
      <c r="DA215" s="134">
        <f>1.13454-Table665[[#This Row],[Outcome6_M]]</f>
        <v>0.18737500000000007</v>
      </c>
      <c r="DB215" s="300" t="s">
        <v>2988</v>
      </c>
      <c r="DC215" s="301" t="s">
        <v>2992</v>
      </c>
      <c r="DD215" s="134"/>
      <c r="DE215" s="134"/>
      <c r="DF215" s="134"/>
      <c r="DG215" s="134"/>
      <c r="DH215" s="134"/>
      <c r="DI215" s="134"/>
      <c r="DJ215" s="134"/>
      <c r="DK215" s="134"/>
      <c r="DL215" s="300"/>
      <c r="DM215" s="301"/>
      <c r="DN215" s="276"/>
      <c r="DO215" s="277"/>
      <c r="DP215" s="134"/>
      <c r="DQ215" s="134"/>
      <c r="DR215" s="134"/>
      <c r="DS215" s="134"/>
      <c r="DT215" s="138"/>
      <c r="DU215" s="134"/>
      <c r="DV215" s="134"/>
      <c r="DW215" s="134"/>
      <c r="DX215" s="301"/>
      <c r="DY215" s="301"/>
      <c r="DZ215" s="138"/>
      <c r="EA215" s="134"/>
      <c r="EB215" s="134"/>
      <c r="EC215" s="134"/>
      <c r="ED215" s="138"/>
      <c r="EE215" s="134"/>
      <c r="EF215" s="134"/>
      <c r="EG215" s="134"/>
      <c r="EH215" s="301"/>
      <c r="EI215" s="301"/>
      <c r="EJ215" s="277"/>
      <c r="EK215" s="134"/>
      <c r="EL215" s="134"/>
      <c r="EM215" s="134"/>
      <c r="EN215" s="134"/>
      <c r="EO215" s="134"/>
      <c r="EP215" s="134"/>
      <c r="EQ215" s="134"/>
      <c r="ER215" s="134"/>
      <c r="ES215" s="301"/>
      <c r="ET215" s="301"/>
      <c r="EU215" s="134"/>
      <c r="EV215" s="134"/>
      <c r="EW215" s="134"/>
      <c r="EX215" s="134"/>
      <c r="EY215" s="134"/>
      <c r="EZ215" s="134"/>
      <c r="FA215" s="134"/>
      <c r="FB215" s="134"/>
      <c r="FC215" s="135"/>
      <c r="FD215" s="135"/>
      <c r="FE215" s="134"/>
      <c r="FF215" s="134"/>
      <c r="FG215" s="134"/>
      <c r="FH215" s="134"/>
      <c r="FI215" s="134"/>
      <c r="FJ215" s="134"/>
      <c r="FK215" s="134"/>
      <c r="FL215" s="134"/>
      <c r="FM215" s="135"/>
      <c r="FN215" s="135"/>
      <c r="FO215" s="134"/>
      <c r="FP215" s="134"/>
      <c r="FQ215" s="134"/>
      <c r="FR215" s="134"/>
      <c r="FS215" s="134"/>
      <c r="FT215" s="134"/>
      <c r="FU215" s="134"/>
      <c r="FV215" s="134"/>
      <c r="FW215" s="135"/>
      <c r="FX215" s="135"/>
      <c r="FY215" s="134"/>
      <c r="FZ215" s="134"/>
      <c r="GA215" s="134"/>
      <c r="GB215" s="134"/>
      <c r="GC215" s="134"/>
      <c r="GD215" s="134"/>
      <c r="GE215" s="134"/>
      <c r="GF215" s="134"/>
      <c r="GG215" s="135"/>
      <c r="GH215" s="135"/>
      <c r="GI215" s="134"/>
      <c r="GJ215" s="134"/>
      <c r="GK215" s="134"/>
      <c r="GL215" s="134"/>
      <c r="GM215" s="134"/>
      <c r="GN215" s="134"/>
      <c r="GO215" s="134"/>
      <c r="GP215" s="134"/>
      <c r="GQ215" s="135"/>
      <c r="GR215" s="135"/>
      <c r="GS215" s="134"/>
      <c r="GT215" s="134"/>
      <c r="GU215" s="134"/>
      <c r="GV215" s="134"/>
      <c r="GW215" s="134"/>
      <c r="GX215" s="134"/>
      <c r="GY215" s="134"/>
      <c r="GZ215" s="134"/>
      <c r="HA215" s="135"/>
      <c r="HB215" s="135"/>
      <c r="HC215" s="134"/>
      <c r="HD215" s="134"/>
      <c r="HE215" s="134"/>
      <c r="HF215" s="134"/>
      <c r="HG215" s="134"/>
      <c r="HH215" s="134"/>
      <c r="HI215" s="134"/>
      <c r="HJ215" s="134"/>
      <c r="HK215" s="135"/>
      <c r="HL215" s="135"/>
      <c r="HM215" s="134"/>
      <c r="HN215" s="134"/>
      <c r="HO215" s="134"/>
      <c r="HP215" s="134"/>
      <c r="HQ215" s="134"/>
      <c r="HR215" s="134"/>
      <c r="HS215" s="134"/>
      <c r="HT215" s="134"/>
      <c r="HU215" s="135"/>
      <c r="HV215" s="135"/>
      <c r="HW215" s="134"/>
      <c r="HX215" s="134"/>
      <c r="HY215" s="134"/>
      <c r="HZ215" s="134"/>
      <c r="IA215" s="134"/>
      <c r="IB215" s="134"/>
      <c r="IC215" s="134"/>
      <c r="ID215" s="134"/>
      <c r="IE215" s="135"/>
      <c r="IF215" s="135"/>
      <c r="IG215" s="134"/>
      <c r="IH215" s="134"/>
      <c r="II215" s="134"/>
      <c r="IJ215" s="134"/>
      <c r="IK215" s="134"/>
      <c r="IL215" s="134"/>
      <c r="IM215" s="134"/>
      <c r="IN215" s="134"/>
      <c r="IO215" s="135"/>
      <c r="IP215" s="135"/>
      <c r="IQ215" s="134"/>
      <c r="IR215" s="134"/>
      <c r="IS215" s="134"/>
      <c r="IT215" s="134"/>
      <c r="IU215" s="134"/>
      <c r="IV215" s="134"/>
      <c r="IW215" s="134"/>
      <c r="IX215" s="134"/>
      <c r="IY215" s="135"/>
      <c r="IZ215" s="135"/>
    </row>
    <row r="216" spans="1:260" customFormat="1" ht="17" customHeight="1">
      <c r="A216" s="118" t="s">
        <v>1049</v>
      </c>
      <c r="B216" s="363">
        <v>21</v>
      </c>
      <c r="C216" s="363"/>
      <c r="D216" s="363"/>
      <c r="E216" s="139" t="s">
        <v>2078</v>
      </c>
      <c r="F216" s="140" t="s">
        <v>2332</v>
      </c>
      <c r="G216" s="141">
        <v>2016</v>
      </c>
      <c r="H216" s="118">
        <v>27740964</v>
      </c>
      <c r="I216" s="118">
        <v>1</v>
      </c>
      <c r="J216" s="118"/>
      <c r="K216" s="118"/>
      <c r="L216" s="118">
        <v>1</v>
      </c>
      <c r="M216" s="118"/>
      <c r="N216" s="118">
        <v>1</v>
      </c>
      <c r="O216" s="142">
        <v>2</v>
      </c>
      <c r="P216" s="118" t="s">
        <v>1327</v>
      </c>
      <c r="Q216" s="118" t="s">
        <v>1224</v>
      </c>
      <c r="R216" s="118" t="s">
        <v>1225</v>
      </c>
      <c r="S216" s="118"/>
      <c r="T216" s="118" t="s">
        <v>1541</v>
      </c>
      <c r="U216" s="118"/>
      <c r="V216" s="118"/>
      <c r="W216" s="118" t="s">
        <v>1355</v>
      </c>
      <c r="X216" s="118"/>
      <c r="Y216" s="118"/>
      <c r="Z216" s="118"/>
      <c r="AA216" s="118" t="s">
        <v>1356</v>
      </c>
      <c r="AB216" s="118"/>
      <c r="AC216" s="145"/>
      <c r="AD216" s="573">
        <v>1</v>
      </c>
      <c r="AE216" s="573">
        <v>2</v>
      </c>
      <c r="AF216" s="216">
        <v>1</v>
      </c>
      <c r="AG216" s="212" t="s">
        <v>3313</v>
      </c>
      <c r="AH216" s="150">
        <v>4</v>
      </c>
      <c r="AI216" s="485"/>
      <c r="AJ216" s="213" t="s">
        <v>2973</v>
      </c>
      <c r="AK216" s="192">
        <v>1</v>
      </c>
      <c r="AL216" s="215">
        <v>0</v>
      </c>
      <c r="AM216" s="134">
        <f>Table665[[#This Row],[Subjects_n_ptsd]]+Table665[[#This Row],[Subjects_n_control]]</f>
        <v>22</v>
      </c>
      <c r="AN216" s="150">
        <v>13</v>
      </c>
      <c r="AO216" s="150">
        <v>9</v>
      </c>
      <c r="AP216" s="150" t="s">
        <v>803</v>
      </c>
      <c r="AQ216" s="150" t="s">
        <v>803</v>
      </c>
      <c r="AR216" s="150" t="s">
        <v>2468</v>
      </c>
      <c r="AS216" s="150" t="s">
        <v>24</v>
      </c>
      <c r="AT216" s="150" t="s">
        <v>2468</v>
      </c>
      <c r="AU216" s="150" t="s">
        <v>24</v>
      </c>
      <c r="AV216" s="150" t="s">
        <v>2974</v>
      </c>
      <c r="AW216" s="150">
        <v>1</v>
      </c>
      <c r="AX216" s="150" t="s">
        <v>3329</v>
      </c>
      <c r="AY216" s="150" t="s">
        <v>2975</v>
      </c>
      <c r="AZ216" s="150" t="s">
        <v>1130</v>
      </c>
      <c r="BA216" s="150" t="s">
        <v>2554</v>
      </c>
      <c r="BB216" s="150"/>
      <c r="BC216" s="150"/>
      <c r="BD216" s="161">
        <v>1</v>
      </c>
      <c r="BE216" s="161"/>
      <c r="BF216" s="161"/>
      <c r="BG216" s="161"/>
      <c r="BH216" s="161"/>
      <c r="BI216" s="161"/>
      <c r="BJ216" s="161"/>
      <c r="BK216" s="161"/>
      <c r="BL216" s="161"/>
      <c r="BM216" s="161"/>
      <c r="BN216" s="161"/>
      <c r="BO216" s="161"/>
      <c r="BP216" s="161"/>
      <c r="BQ216" s="162" t="s">
        <v>2978</v>
      </c>
      <c r="BR216" s="150" t="s">
        <v>1876</v>
      </c>
      <c r="BS216" s="150">
        <v>2</v>
      </c>
      <c r="BT216" s="150" t="s">
        <v>3327</v>
      </c>
      <c r="BU216" s="150" t="s">
        <v>1121</v>
      </c>
      <c r="BV216" s="150" t="s">
        <v>2993</v>
      </c>
      <c r="BW216" s="258" t="s">
        <v>3325</v>
      </c>
      <c r="BX216" s="151" t="s">
        <v>2994</v>
      </c>
      <c r="BY216" s="150">
        <v>7.1981599999999997</v>
      </c>
      <c r="BZ216" s="150" t="s">
        <v>24</v>
      </c>
      <c r="CA216" s="150">
        <f>9.38507-Table665[[#This Row],[Outcome1_M]]</f>
        <v>2.186910000000001</v>
      </c>
      <c r="CB216" s="151" t="s">
        <v>2995</v>
      </c>
      <c r="CC216" s="150">
        <v>23.608599999999999</v>
      </c>
      <c r="CD216" s="150" t="s">
        <v>24</v>
      </c>
      <c r="CE216" s="150">
        <f>32.9704-Table665[[#This Row],[Outcome2_M]]</f>
        <v>9.3617999999999988</v>
      </c>
      <c r="CF216" s="290" t="s">
        <v>2997</v>
      </c>
      <c r="CG216" s="291" t="s">
        <v>2996</v>
      </c>
      <c r="CH216" s="151" t="s">
        <v>24</v>
      </c>
      <c r="CI216" s="150" t="s">
        <v>24</v>
      </c>
      <c r="CJ216" s="150"/>
      <c r="CK216" s="150"/>
      <c r="CL216" s="151"/>
      <c r="CM216" s="150"/>
      <c r="CN216" s="150"/>
      <c r="CO216" s="150"/>
      <c r="CP216" s="290"/>
      <c r="CQ216" s="291"/>
      <c r="CR216" s="278"/>
      <c r="CS216" s="285"/>
      <c r="CT216" s="151"/>
      <c r="CU216" s="150"/>
      <c r="CV216" s="150"/>
      <c r="CW216" s="150"/>
      <c r="CX216" s="150"/>
      <c r="CY216" s="150"/>
      <c r="CZ216" s="150"/>
      <c r="DA216" s="150"/>
      <c r="DB216" s="302"/>
      <c r="DC216" s="303"/>
      <c r="DD216" s="150"/>
      <c r="DE216" s="150"/>
      <c r="DF216" s="150"/>
      <c r="DG216" s="150"/>
      <c r="DH216" s="150"/>
      <c r="DI216" s="150"/>
      <c r="DJ216" s="150"/>
      <c r="DK216" s="150"/>
      <c r="DL216" s="302"/>
      <c r="DM216" s="303"/>
      <c r="DN216" s="278"/>
      <c r="DO216" s="279"/>
      <c r="DP216" s="150"/>
      <c r="DQ216" s="150"/>
      <c r="DR216" s="150"/>
      <c r="DS216" s="150"/>
      <c r="DT216" s="151"/>
      <c r="DU216" s="150"/>
      <c r="DV216" s="150"/>
      <c r="DW216" s="150"/>
      <c r="DX216" s="303"/>
      <c r="DY216" s="303"/>
      <c r="DZ216" s="151"/>
      <c r="EA216" s="150"/>
      <c r="EB216" s="150"/>
      <c r="EC216" s="150"/>
      <c r="ED216" s="151"/>
      <c r="EE216" s="150"/>
      <c r="EF216" s="150"/>
      <c r="EG216" s="150"/>
      <c r="EH216" s="303"/>
      <c r="EI216" s="303"/>
      <c r="EJ216" s="279"/>
      <c r="EK216" s="150"/>
      <c r="EL216" s="150"/>
      <c r="EM216" s="150"/>
      <c r="EN216" s="150"/>
      <c r="EO216" s="150"/>
      <c r="EP216" s="150"/>
      <c r="EQ216" s="150"/>
      <c r="ER216" s="150"/>
      <c r="ES216" s="303"/>
      <c r="ET216" s="303"/>
      <c r="EU216" s="150"/>
      <c r="EV216" s="150"/>
      <c r="EW216" s="150"/>
      <c r="EX216" s="150"/>
      <c r="EY216" s="134"/>
      <c r="EZ216" s="134"/>
      <c r="FA216" s="134"/>
      <c r="FB216" s="134"/>
      <c r="FC216" s="135"/>
      <c r="FD216" s="135"/>
      <c r="FE216" s="134"/>
      <c r="FF216" s="134"/>
      <c r="FG216" s="134"/>
      <c r="FH216" s="134"/>
      <c r="FI216" s="134"/>
      <c r="FJ216" s="134"/>
      <c r="FK216" s="134"/>
      <c r="FL216" s="134"/>
      <c r="FM216" s="135"/>
      <c r="FN216" s="135"/>
      <c r="FO216" s="134"/>
      <c r="FP216" s="134"/>
      <c r="FQ216" s="134"/>
      <c r="FR216" s="134"/>
      <c r="FS216" s="134"/>
      <c r="FT216" s="134"/>
      <c r="FU216" s="134"/>
      <c r="FV216" s="134"/>
      <c r="FW216" s="135"/>
      <c r="FX216" s="135"/>
      <c r="FY216" s="134"/>
      <c r="FZ216" s="134"/>
      <c r="GA216" s="134"/>
      <c r="GB216" s="134"/>
      <c r="GC216" s="134"/>
      <c r="GD216" s="134"/>
      <c r="GE216" s="134"/>
      <c r="GF216" s="134"/>
      <c r="GG216" s="135"/>
      <c r="GH216" s="135"/>
      <c r="GI216" s="134"/>
      <c r="GJ216" s="134"/>
      <c r="GK216" s="134"/>
      <c r="GL216" s="134"/>
      <c r="GM216" s="134"/>
      <c r="GN216" s="134"/>
      <c r="GO216" s="134"/>
      <c r="GP216" s="134"/>
      <c r="GQ216" s="135"/>
      <c r="GR216" s="135"/>
      <c r="GS216" s="134"/>
      <c r="GT216" s="134"/>
      <c r="GU216" s="134"/>
      <c r="GV216" s="134"/>
      <c r="GW216" s="134"/>
      <c r="GX216" s="134"/>
      <c r="GY216" s="134"/>
      <c r="GZ216" s="134"/>
      <c r="HA216" s="135"/>
      <c r="HB216" s="135"/>
      <c r="HC216" s="134"/>
      <c r="HD216" s="134"/>
      <c r="HE216" s="134"/>
      <c r="HF216" s="134"/>
      <c r="HG216" s="134"/>
      <c r="HH216" s="134"/>
      <c r="HI216" s="134"/>
      <c r="HJ216" s="134"/>
      <c r="HK216" s="135"/>
      <c r="HL216" s="135"/>
      <c r="HM216" s="134"/>
      <c r="HN216" s="134"/>
      <c r="HO216" s="134"/>
      <c r="HP216" s="134"/>
      <c r="HQ216" s="134"/>
      <c r="HR216" s="134"/>
      <c r="HS216" s="134"/>
      <c r="HT216" s="134"/>
      <c r="HU216" s="135"/>
      <c r="HV216" s="135"/>
      <c r="HW216" s="134"/>
      <c r="HX216" s="134"/>
      <c r="HY216" s="134"/>
      <c r="HZ216" s="134"/>
      <c r="IA216" s="134"/>
      <c r="IB216" s="134"/>
      <c r="IC216" s="134"/>
      <c r="ID216" s="134"/>
      <c r="IE216" s="135"/>
      <c r="IF216" s="135"/>
      <c r="IG216" s="134"/>
      <c r="IH216" s="134"/>
      <c r="II216" s="134"/>
      <c r="IJ216" s="134"/>
      <c r="IK216" s="134"/>
      <c r="IL216" s="134"/>
      <c r="IM216" s="134"/>
      <c r="IN216" s="134"/>
      <c r="IO216" s="135"/>
      <c r="IP216" s="135"/>
      <c r="IQ216" s="134"/>
      <c r="IR216" s="134"/>
      <c r="IS216" s="134"/>
      <c r="IT216" s="134"/>
      <c r="IU216" s="134"/>
      <c r="IV216" s="134"/>
      <c r="IW216" s="134"/>
      <c r="IX216" s="134"/>
      <c r="IY216" s="135"/>
      <c r="IZ216" s="135"/>
    </row>
    <row r="217" spans="1:260" customFormat="1" ht="17" customHeight="1">
      <c r="A217" s="79" t="s">
        <v>176</v>
      </c>
      <c r="B217" s="117">
        <v>130</v>
      </c>
      <c r="C217" s="117">
        <v>36</v>
      </c>
      <c r="D217" s="117"/>
      <c r="E217" s="123" t="s">
        <v>1964</v>
      </c>
      <c r="F217" s="124" t="s">
        <v>2187</v>
      </c>
      <c r="G217" s="125">
        <v>1998</v>
      </c>
      <c r="H217" s="79">
        <v>9464211</v>
      </c>
      <c r="I217" s="79">
        <v>1</v>
      </c>
      <c r="J217" s="126"/>
      <c r="K217" s="127"/>
      <c r="L217" s="79">
        <v>1</v>
      </c>
      <c r="M217" s="79"/>
      <c r="N217" s="79">
        <v>1</v>
      </c>
      <c r="O217" s="128">
        <v>1</v>
      </c>
      <c r="P217" s="79" t="s">
        <v>73</v>
      </c>
      <c r="Q217" s="79" t="s">
        <v>1147</v>
      </c>
      <c r="R217" s="79" t="s">
        <v>518</v>
      </c>
      <c r="S217" s="79">
        <v>0</v>
      </c>
      <c r="T217" s="79"/>
      <c r="U217" s="79"/>
      <c r="V217" s="79"/>
      <c r="W217" s="79" t="s">
        <v>519</v>
      </c>
      <c r="X217" s="79"/>
      <c r="Y217" s="79"/>
      <c r="Z217" s="79" t="s">
        <v>520</v>
      </c>
      <c r="AA217" s="79"/>
      <c r="AB217" s="79"/>
      <c r="AC217" s="506"/>
      <c r="AD217" s="573">
        <v>1</v>
      </c>
      <c r="AE217" s="573">
        <v>2</v>
      </c>
      <c r="AF217" s="233" t="s">
        <v>1917</v>
      </c>
      <c r="AG217" s="234" t="s">
        <v>4675</v>
      </c>
      <c r="AH217" s="121" t="s">
        <v>4662</v>
      </c>
      <c r="AI217" s="484"/>
      <c r="AJ217" s="202" t="s">
        <v>4666</v>
      </c>
      <c r="AK217" s="192">
        <v>0</v>
      </c>
      <c r="AL217" s="203" t="s">
        <v>24</v>
      </c>
      <c r="AM217" s="121">
        <f>15+16+16</f>
        <v>47</v>
      </c>
      <c r="AN217" s="121">
        <v>15</v>
      </c>
      <c r="AO217" s="121" t="s">
        <v>4663</v>
      </c>
      <c r="AP217" s="121" t="s">
        <v>4667</v>
      </c>
      <c r="AQ217" s="121" t="s">
        <v>4667</v>
      </c>
      <c r="AR217" s="121" t="s">
        <v>4669</v>
      </c>
      <c r="AS217" s="121" t="s">
        <v>4668</v>
      </c>
      <c r="AT217" s="121" t="s">
        <v>4669</v>
      </c>
      <c r="AU217" s="121" t="s">
        <v>4668</v>
      </c>
      <c r="AV217" s="121" t="s">
        <v>4673</v>
      </c>
      <c r="AW217" s="121" t="s">
        <v>24</v>
      </c>
      <c r="AX217" s="121" t="s">
        <v>24</v>
      </c>
      <c r="AY217" s="121" t="s">
        <v>4665</v>
      </c>
      <c r="AZ217" s="121"/>
      <c r="BA217" s="121" t="s">
        <v>4664</v>
      </c>
      <c r="BB217" s="121"/>
      <c r="BC217" s="121"/>
      <c r="BD217" s="156"/>
      <c r="BE217" s="156"/>
      <c r="BF217" s="156"/>
      <c r="BG217" s="156"/>
      <c r="BH217" s="156"/>
      <c r="BI217" s="156"/>
      <c r="BJ217" s="156">
        <v>1</v>
      </c>
      <c r="BK217" s="156"/>
      <c r="BL217" s="156"/>
      <c r="BM217" s="156"/>
      <c r="BN217" s="156"/>
      <c r="BO217" s="156"/>
      <c r="BP217" s="156"/>
      <c r="BQ217" s="157" t="s">
        <v>4208</v>
      </c>
      <c r="BR217" s="134" t="s">
        <v>1876</v>
      </c>
      <c r="BS217" s="134" t="s">
        <v>4670</v>
      </c>
      <c r="BT217" s="134" t="s">
        <v>4671</v>
      </c>
      <c r="BU217" s="134" t="s">
        <v>24</v>
      </c>
      <c r="BV217" s="134" t="s">
        <v>4672</v>
      </c>
      <c r="BW217" s="259" t="s">
        <v>4674</v>
      </c>
      <c r="BX217" s="138"/>
      <c r="BY217" s="134"/>
      <c r="BZ217" s="134"/>
      <c r="CA217" s="134"/>
      <c r="CB217" s="138"/>
      <c r="CC217" s="134"/>
      <c r="CD217" s="134"/>
      <c r="CE217" s="134"/>
      <c r="CF217" s="288"/>
      <c r="CG217" s="289"/>
      <c r="CH217" s="138"/>
      <c r="CI217" s="134"/>
      <c r="CJ217" s="134"/>
      <c r="CK217" s="134"/>
      <c r="CL217" s="138"/>
      <c r="CM217" s="134"/>
      <c r="CN217" s="134"/>
      <c r="CO217" s="134"/>
      <c r="CP217" s="288"/>
      <c r="CQ217" s="289"/>
      <c r="CR217" s="276"/>
      <c r="CS217" s="308"/>
      <c r="CT217" s="138"/>
      <c r="CU217" s="134"/>
      <c r="CV217" s="134"/>
      <c r="CW217" s="134"/>
      <c r="CX217" s="134"/>
      <c r="CY217" s="134"/>
      <c r="CZ217" s="134"/>
      <c r="DA217" s="134"/>
      <c r="DB217" s="300"/>
      <c r="DC217" s="301"/>
      <c r="DD217" s="134"/>
      <c r="DE217" s="134"/>
      <c r="DF217" s="134"/>
      <c r="DG217" s="134"/>
      <c r="DH217" s="134"/>
      <c r="DI217" s="134"/>
      <c r="DJ217" s="134"/>
      <c r="DK217" s="134"/>
      <c r="DL217" s="300"/>
      <c r="DM217" s="301"/>
      <c r="DN217" s="276"/>
      <c r="DO217" s="277"/>
      <c r="DP217" s="134"/>
      <c r="DQ217" s="134"/>
      <c r="DR217" s="134"/>
      <c r="DS217" s="134"/>
      <c r="DT217" s="138"/>
      <c r="DU217" s="134"/>
      <c r="DV217" s="134"/>
      <c r="DW217" s="134"/>
      <c r="DX217" s="301"/>
      <c r="DY217" s="301"/>
      <c r="DZ217" s="138"/>
      <c r="EA217" s="134"/>
      <c r="EB217" s="134"/>
      <c r="EC217" s="134"/>
      <c r="ED217" s="138"/>
      <c r="EE217" s="134"/>
      <c r="EF217" s="134"/>
      <c r="EG217" s="134"/>
      <c r="EH217" s="301"/>
      <c r="EI217" s="301"/>
      <c r="EJ217" s="277"/>
      <c r="EK217" s="134"/>
      <c r="EL217" s="134"/>
      <c r="EM217" s="134"/>
      <c r="EN217" s="134"/>
      <c r="EO217" s="134"/>
      <c r="EP217" s="134"/>
      <c r="EQ217" s="134"/>
      <c r="ER217" s="134"/>
      <c r="ES217" s="301"/>
      <c r="ET217" s="301"/>
      <c r="EU217" s="134"/>
      <c r="EV217" s="134"/>
      <c r="EW217" s="134"/>
      <c r="EX217" s="134"/>
      <c r="EY217" s="134"/>
      <c r="EZ217" s="134"/>
      <c r="FA217" s="134"/>
      <c r="FB217" s="134"/>
      <c r="FC217" s="135"/>
      <c r="FD217" s="135"/>
      <c r="FE217" s="134"/>
      <c r="FF217" s="134"/>
      <c r="FG217" s="134"/>
      <c r="FH217" s="134"/>
      <c r="FI217" s="134"/>
      <c r="FJ217" s="134"/>
      <c r="FK217" s="134"/>
      <c r="FL217" s="134"/>
      <c r="FM217" s="135"/>
      <c r="FN217" s="135"/>
      <c r="FO217" s="134"/>
      <c r="FP217" s="134"/>
      <c r="FQ217" s="134"/>
      <c r="FR217" s="134"/>
      <c r="FS217" s="134"/>
      <c r="FT217" s="134"/>
      <c r="FU217" s="134"/>
      <c r="FV217" s="134"/>
      <c r="FW217" s="135"/>
      <c r="FX217" s="135"/>
      <c r="FY217" s="134"/>
      <c r="FZ217" s="134"/>
      <c r="GA217" s="134"/>
      <c r="GB217" s="134"/>
      <c r="GC217" s="134"/>
      <c r="GD217" s="134"/>
      <c r="GE217" s="134"/>
      <c r="GF217" s="134"/>
      <c r="GG217" s="135"/>
      <c r="GH217" s="135"/>
      <c r="GI217" s="134"/>
      <c r="GJ217" s="134"/>
      <c r="GK217" s="134"/>
      <c r="GL217" s="134"/>
      <c r="GM217" s="134"/>
      <c r="GN217" s="134"/>
      <c r="GO217" s="134"/>
      <c r="GP217" s="134"/>
      <c r="GQ217" s="135"/>
      <c r="GR217" s="135"/>
      <c r="GS217" s="134"/>
      <c r="GT217" s="134"/>
      <c r="GU217" s="134"/>
      <c r="GV217" s="134"/>
      <c r="GW217" s="134"/>
      <c r="GX217" s="134"/>
      <c r="GY217" s="134"/>
      <c r="GZ217" s="134"/>
      <c r="HA217" s="135"/>
      <c r="HB217" s="135"/>
      <c r="HC217" s="134"/>
      <c r="HD217" s="134"/>
      <c r="HE217" s="134"/>
      <c r="HF217" s="134"/>
      <c r="HG217" s="134"/>
      <c r="HH217" s="134"/>
      <c r="HI217" s="134"/>
      <c r="HJ217" s="134"/>
      <c r="HK217" s="135"/>
      <c r="HL217" s="135"/>
      <c r="HM217" s="134"/>
      <c r="HN217" s="134"/>
      <c r="HO217" s="134"/>
      <c r="HP217" s="134"/>
      <c r="HQ217" s="134"/>
      <c r="HR217" s="134"/>
      <c r="HS217" s="134"/>
      <c r="HT217" s="134"/>
      <c r="HU217" s="135"/>
      <c r="HV217" s="135"/>
      <c r="HW217" s="134"/>
      <c r="HX217" s="134"/>
      <c r="HY217" s="134"/>
      <c r="HZ217" s="134"/>
      <c r="IA217" s="134"/>
      <c r="IB217" s="134"/>
      <c r="IC217" s="134"/>
      <c r="ID217" s="134"/>
      <c r="IE217" s="135"/>
      <c r="IF217" s="135"/>
      <c r="IG217" s="134"/>
      <c r="IH217" s="134"/>
      <c r="II217" s="134"/>
      <c r="IJ217" s="134"/>
      <c r="IK217" s="134"/>
      <c r="IL217" s="134"/>
      <c r="IM217" s="134"/>
      <c r="IN217" s="134"/>
      <c r="IO217" s="135"/>
      <c r="IP217" s="135"/>
      <c r="IQ217" s="134"/>
      <c r="IR217" s="134"/>
      <c r="IS217" s="134"/>
      <c r="IT217" s="134"/>
      <c r="IU217" s="134"/>
      <c r="IV217" s="134"/>
      <c r="IW217" s="134"/>
      <c r="IX217" s="134"/>
      <c r="IY217" s="135"/>
      <c r="IZ217" s="135"/>
    </row>
    <row r="218" spans="1:260" customFormat="1" ht="17" customHeight="1">
      <c r="A218" s="79" t="s">
        <v>180</v>
      </c>
      <c r="B218" s="117">
        <v>133</v>
      </c>
      <c r="C218" s="117">
        <v>37</v>
      </c>
      <c r="D218" s="117"/>
      <c r="E218" s="123" t="s">
        <v>1965</v>
      </c>
      <c r="F218" s="124" t="s">
        <v>2188</v>
      </c>
      <c r="G218" s="125">
        <v>2013</v>
      </c>
      <c r="H218" s="79">
        <v>24005546</v>
      </c>
      <c r="I218" s="79">
        <v>1</v>
      </c>
      <c r="J218" s="126"/>
      <c r="K218" s="127"/>
      <c r="L218" s="79">
        <v>1</v>
      </c>
      <c r="M218" s="79"/>
      <c r="N218" s="79">
        <v>1</v>
      </c>
      <c r="O218" s="128">
        <v>1</v>
      </c>
      <c r="P218" s="79" t="s">
        <v>528</v>
      </c>
      <c r="Q218" s="79" t="s">
        <v>1176</v>
      </c>
      <c r="R218" s="79" t="s">
        <v>25</v>
      </c>
      <c r="S218" s="79">
        <v>1</v>
      </c>
      <c r="T218" s="79"/>
      <c r="U218" s="79"/>
      <c r="V218" s="79"/>
      <c r="W218" s="79" t="s">
        <v>529</v>
      </c>
      <c r="X218" s="79" t="s">
        <v>24</v>
      </c>
      <c r="Y218" s="79" t="s">
        <v>530</v>
      </c>
      <c r="Z218" s="79"/>
      <c r="AA218" s="79"/>
      <c r="AB218" s="79" t="s">
        <v>531</v>
      </c>
      <c r="AC218" s="506"/>
      <c r="AD218" s="573">
        <v>1</v>
      </c>
      <c r="AE218" s="573">
        <v>2</v>
      </c>
      <c r="AF218" s="165">
        <v>0</v>
      </c>
      <c r="AG218" s="166" t="s">
        <v>4683</v>
      </c>
      <c r="AH218" s="120">
        <v>2</v>
      </c>
      <c r="AI218" s="484"/>
      <c r="AJ218" s="206" t="s">
        <v>4676</v>
      </c>
      <c r="AK218" s="372" t="s">
        <v>24</v>
      </c>
      <c r="AL218" s="207"/>
      <c r="AM218" s="120"/>
      <c r="AN218" s="120"/>
      <c r="AO218" s="120"/>
      <c r="AP218" s="120"/>
      <c r="AQ218" s="120"/>
      <c r="AR218" s="120"/>
      <c r="AS218" s="120"/>
      <c r="AT218" s="120"/>
      <c r="AU218" s="120"/>
      <c r="AV218" s="120"/>
      <c r="AW218" s="120"/>
      <c r="AX218" s="120"/>
      <c r="AY218" s="120" t="s">
        <v>24</v>
      </c>
      <c r="AZ218" s="120"/>
      <c r="BA218" s="120"/>
      <c r="BB218" s="120"/>
      <c r="BC218" s="120"/>
      <c r="BD218" s="373"/>
      <c r="BE218" s="373"/>
      <c r="BF218" s="373"/>
      <c r="BG218" s="373">
        <v>1</v>
      </c>
      <c r="BH218" s="373"/>
      <c r="BI218" s="373"/>
      <c r="BJ218" s="373">
        <v>1</v>
      </c>
      <c r="BK218" s="373"/>
      <c r="BL218" s="373">
        <v>1</v>
      </c>
      <c r="BM218" s="373"/>
      <c r="BN218" s="373"/>
      <c r="BO218" s="373"/>
      <c r="BP218" s="373"/>
      <c r="BQ218" s="374"/>
      <c r="BR218" s="134"/>
      <c r="BS218" s="134"/>
      <c r="BT218" s="134" t="s">
        <v>24</v>
      </c>
      <c r="BU218" s="134"/>
      <c r="BV218" s="134" t="s">
        <v>24</v>
      </c>
      <c r="BW218" s="259" t="s">
        <v>24</v>
      </c>
      <c r="BX218" s="138"/>
      <c r="BY218" s="134"/>
      <c r="BZ218" s="134"/>
      <c r="CA218" s="134"/>
      <c r="CB218" s="138"/>
      <c r="CC218" s="134"/>
      <c r="CD218" s="134"/>
      <c r="CE218" s="134"/>
      <c r="CF218" s="288"/>
      <c r="CG218" s="289"/>
      <c r="CH218" s="138"/>
      <c r="CI218" s="134"/>
      <c r="CJ218" s="134"/>
      <c r="CK218" s="134"/>
      <c r="CL218" s="138"/>
      <c r="CM218" s="134"/>
      <c r="CN218" s="134"/>
      <c r="CO218" s="134"/>
      <c r="CP218" s="288"/>
      <c r="CQ218" s="289"/>
      <c r="CR218" s="276"/>
      <c r="CS218" s="308"/>
      <c r="CT218" s="138"/>
      <c r="CU218" s="134"/>
      <c r="CV218" s="134"/>
      <c r="CW218" s="134"/>
      <c r="CX218" s="134"/>
      <c r="CY218" s="134"/>
      <c r="CZ218" s="134"/>
      <c r="DA218" s="134"/>
      <c r="DB218" s="300"/>
      <c r="DC218" s="301"/>
      <c r="DD218" s="134"/>
      <c r="DE218" s="134"/>
      <c r="DF218" s="134"/>
      <c r="DG218" s="134"/>
      <c r="DH218" s="134"/>
      <c r="DI218" s="134"/>
      <c r="DJ218" s="134"/>
      <c r="DK218" s="134"/>
      <c r="DL218" s="300"/>
      <c r="DM218" s="301"/>
      <c r="DN218" s="276"/>
      <c r="DO218" s="277"/>
      <c r="DP218" s="134"/>
      <c r="DQ218" s="134"/>
      <c r="DR218" s="134"/>
      <c r="DS218" s="134"/>
      <c r="DT218" s="138"/>
      <c r="DU218" s="134"/>
      <c r="DV218" s="134"/>
      <c r="DW218" s="134"/>
      <c r="DX218" s="301"/>
      <c r="DY218" s="301"/>
      <c r="DZ218" s="138"/>
      <c r="EA218" s="134"/>
      <c r="EB218" s="134"/>
      <c r="EC218" s="134"/>
      <c r="ED218" s="138"/>
      <c r="EE218" s="134"/>
      <c r="EF218" s="134"/>
      <c r="EG218" s="134"/>
      <c r="EH218" s="301"/>
      <c r="EI218" s="301"/>
      <c r="EJ218" s="277"/>
      <c r="EK218" s="134"/>
      <c r="EL218" s="134"/>
      <c r="EM218" s="134"/>
      <c r="EN218" s="134"/>
      <c r="EO218" s="134"/>
      <c r="EP218" s="134"/>
      <c r="EQ218" s="134"/>
      <c r="ER218" s="134"/>
      <c r="ES218" s="301"/>
      <c r="ET218" s="301"/>
      <c r="EU218" s="134"/>
      <c r="EV218" s="134"/>
      <c r="EW218" s="134"/>
      <c r="EX218" s="134"/>
      <c r="EY218" s="134"/>
      <c r="EZ218" s="134"/>
      <c r="FA218" s="134"/>
      <c r="FB218" s="134"/>
      <c r="FC218" s="135"/>
      <c r="FD218" s="135"/>
      <c r="FE218" s="134"/>
      <c r="FF218" s="134"/>
      <c r="FG218" s="134"/>
      <c r="FH218" s="134"/>
      <c r="FI218" s="134"/>
      <c r="FJ218" s="134"/>
      <c r="FK218" s="134"/>
      <c r="FL218" s="134"/>
      <c r="FM218" s="135"/>
      <c r="FN218" s="135"/>
      <c r="FO218" s="134"/>
      <c r="FP218" s="134"/>
      <c r="FQ218" s="134"/>
      <c r="FR218" s="134"/>
      <c r="FS218" s="134"/>
      <c r="FT218" s="134"/>
      <c r="FU218" s="134"/>
      <c r="FV218" s="134"/>
      <c r="FW218" s="135"/>
      <c r="FX218" s="135"/>
      <c r="FY218" s="134"/>
      <c r="FZ218" s="134"/>
      <c r="GA218" s="134"/>
      <c r="GB218" s="134"/>
      <c r="GC218" s="134"/>
      <c r="GD218" s="134"/>
      <c r="GE218" s="134"/>
      <c r="GF218" s="134"/>
      <c r="GG218" s="135"/>
      <c r="GH218" s="135"/>
      <c r="GI218" s="134"/>
      <c r="GJ218" s="134"/>
      <c r="GK218" s="134"/>
      <c r="GL218" s="134"/>
      <c r="GM218" s="134"/>
      <c r="GN218" s="134"/>
      <c r="GO218" s="134"/>
      <c r="GP218" s="134"/>
      <c r="GQ218" s="135"/>
      <c r="GR218" s="135"/>
      <c r="GS218" s="134"/>
      <c r="GT218" s="134"/>
      <c r="GU218" s="134"/>
      <c r="GV218" s="134"/>
      <c r="GW218" s="134"/>
      <c r="GX218" s="134"/>
      <c r="GY218" s="134"/>
      <c r="GZ218" s="134"/>
      <c r="HA218" s="135"/>
      <c r="HB218" s="135"/>
      <c r="HC218" s="134"/>
      <c r="HD218" s="134"/>
      <c r="HE218" s="134"/>
      <c r="HF218" s="134"/>
      <c r="HG218" s="134"/>
      <c r="HH218" s="134"/>
      <c r="HI218" s="134"/>
      <c r="HJ218" s="134"/>
      <c r="HK218" s="135"/>
      <c r="HL218" s="135"/>
      <c r="HM218" s="134"/>
      <c r="HN218" s="134"/>
      <c r="HO218" s="134"/>
      <c r="HP218" s="134"/>
      <c r="HQ218" s="134"/>
      <c r="HR218" s="134"/>
      <c r="HS218" s="134"/>
      <c r="HT218" s="134"/>
      <c r="HU218" s="135"/>
      <c r="HV218" s="135"/>
      <c r="HW218" s="134"/>
      <c r="HX218" s="134"/>
      <c r="HY218" s="134"/>
      <c r="HZ218" s="134"/>
      <c r="IA218" s="134"/>
      <c r="IB218" s="134"/>
      <c r="IC218" s="134"/>
      <c r="ID218" s="134"/>
      <c r="IE218" s="135"/>
      <c r="IF218" s="135"/>
      <c r="IG218" s="134"/>
      <c r="IH218" s="134"/>
      <c r="II218" s="134"/>
      <c r="IJ218" s="134"/>
      <c r="IK218" s="134"/>
      <c r="IL218" s="134"/>
      <c r="IM218" s="134"/>
      <c r="IN218" s="134"/>
      <c r="IO218" s="135"/>
      <c r="IP218" s="135"/>
      <c r="IQ218" s="134"/>
      <c r="IR218" s="134"/>
      <c r="IS218" s="134"/>
      <c r="IT218" s="134"/>
      <c r="IU218" s="134"/>
      <c r="IV218" s="134"/>
      <c r="IW218" s="134"/>
      <c r="IX218" s="134"/>
      <c r="IY218" s="135"/>
      <c r="IZ218" s="135"/>
    </row>
    <row r="219" spans="1:260" customFormat="1" ht="17" customHeight="1">
      <c r="A219" s="79" t="s">
        <v>181</v>
      </c>
      <c r="B219" s="117">
        <v>134</v>
      </c>
      <c r="C219" s="117">
        <v>38</v>
      </c>
      <c r="D219" s="117"/>
      <c r="E219" s="123" t="s">
        <v>1965</v>
      </c>
      <c r="F219" s="124" t="s">
        <v>2189</v>
      </c>
      <c r="G219" s="125">
        <v>2014</v>
      </c>
      <c r="H219" s="79">
        <v>24717141</v>
      </c>
      <c r="I219" s="79">
        <v>1</v>
      </c>
      <c r="J219" s="126"/>
      <c r="K219" s="127"/>
      <c r="L219" s="79">
        <v>1</v>
      </c>
      <c r="M219" s="79"/>
      <c r="N219" s="79">
        <v>1</v>
      </c>
      <c r="O219" s="128">
        <v>1</v>
      </c>
      <c r="P219" s="79" t="s">
        <v>528</v>
      </c>
      <c r="Q219" s="79" t="s">
        <v>1175</v>
      </c>
      <c r="R219" s="79" t="s">
        <v>25</v>
      </c>
      <c r="S219" s="79">
        <v>1</v>
      </c>
      <c r="T219" s="79"/>
      <c r="U219" s="79"/>
      <c r="V219" s="79"/>
      <c r="W219" s="79" t="s">
        <v>532</v>
      </c>
      <c r="X219" s="79" t="s">
        <v>24</v>
      </c>
      <c r="Y219" s="79" t="s">
        <v>530</v>
      </c>
      <c r="Z219" s="79"/>
      <c r="AA219" s="79"/>
      <c r="AB219" s="79" t="s">
        <v>533</v>
      </c>
      <c r="AC219" s="506"/>
      <c r="AD219" s="573">
        <v>1</v>
      </c>
      <c r="AE219" s="573">
        <v>2</v>
      </c>
      <c r="AF219" s="165">
        <v>0</v>
      </c>
      <c r="AG219" s="166" t="s">
        <v>4682</v>
      </c>
      <c r="AH219" s="120">
        <v>2</v>
      </c>
      <c r="AI219" s="484"/>
      <c r="AJ219" s="206" t="s">
        <v>4677</v>
      </c>
      <c r="AK219" s="372" t="s">
        <v>24</v>
      </c>
      <c r="AL219" s="207"/>
      <c r="AM219" s="120"/>
      <c r="AN219" s="120"/>
      <c r="AO219" s="120"/>
      <c r="AP219" s="120"/>
      <c r="AQ219" s="120"/>
      <c r="AR219" s="120"/>
      <c r="AS219" s="120"/>
      <c r="AT219" s="120"/>
      <c r="AU219" s="120"/>
      <c r="AV219" s="120"/>
      <c r="AW219" s="120"/>
      <c r="AX219" s="120"/>
      <c r="AY219" s="120" t="s">
        <v>24</v>
      </c>
      <c r="AZ219" s="120"/>
      <c r="BA219" s="120"/>
      <c r="BB219" s="120"/>
      <c r="BC219" s="120"/>
      <c r="BD219" s="373"/>
      <c r="BE219" s="373"/>
      <c r="BF219" s="373"/>
      <c r="BG219" s="373">
        <v>1</v>
      </c>
      <c r="BH219" s="373"/>
      <c r="BI219" s="373"/>
      <c r="BJ219" s="373">
        <v>1</v>
      </c>
      <c r="BK219" s="373"/>
      <c r="BL219" s="373"/>
      <c r="BM219" s="373"/>
      <c r="BN219" s="373"/>
      <c r="BO219" s="373"/>
      <c r="BP219" s="373"/>
      <c r="BQ219" s="374"/>
      <c r="BR219" s="134"/>
      <c r="BS219" s="134"/>
      <c r="BT219" s="134" t="s">
        <v>24</v>
      </c>
      <c r="BU219" s="134"/>
      <c r="BV219" s="134" t="s">
        <v>24</v>
      </c>
      <c r="BW219" s="259" t="s">
        <v>24</v>
      </c>
      <c r="BX219" s="138"/>
      <c r="BY219" s="134"/>
      <c r="BZ219" s="134"/>
      <c r="CA219" s="134"/>
      <c r="CB219" s="138"/>
      <c r="CC219" s="134"/>
      <c r="CD219" s="134"/>
      <c r="CE219" s="134"/>
      <c r="CF219" s="288"/>
      <c r="CG219" s="289"/>
      <c r="CH219" s="138"/>
      <c r="CI219" s="134"/>
      <c r="CJ219" s="134"/>
      <c r="CK219" s="134"/>
      <c r="CL219" s="138"/>
      <c r="CM219" s="134"/>
      <c r="CN219" s="134"/>
      <c r="CO219" s="134"/>
      <c r="CP219" s="288"/>
      <c r="CQ219" s="289"/>
      <c r="CR219" s="276"/>
      <c r="CS219" s="308"/>
      <c r="CT219" s="138"/>
      <c r="CU219" s="134"/>
      <c r="CV219" s="134"/>
      <c r="CW219" s="134"/>
      <c r="CX219" s="134"/>
      <c r="CY219" s="134"/>
      <c r="CZ219" s="134"/>
      <c r="DA219" s="134"/>
      <c r="DB219" s="300"/>
      <c r="DC219" s="301"/>
      <c r="DD219" s="134"/>
      <c r="DE219" s="134"/>
      <c r="DF219" s="134"/>
      <c r="DG219" s="134"/>
      <c r="DH219" s="134"/>
      <c r="DI219" s="134"/>
      <c r="DJ219" s="134"/>
      <c r="DK219" s="134"/>
      <c r="DL219" s="300"/>
      <c r="DM219" s="301"/>
      <c r="DN219" s="276"/>
      <c r="DO219" s="277"/>
      <c r="DP219" s="134"/>
      <c r="DQ219" s="134"/>
      <c r="DR219" s="134"/>
      <c r="DS219" s="134"/>
      <c r="DT219" s="138"/>
      <c r="DU219" s="134"/>
      <c r="DV219" s="134"/>
      <c r="DW219" s="134"/>
      <c r="DX219" s="301"/>
      <c r="DY219" s="301"/>
      <c r="DZ219" s="138"/>
      <c r="EA219" s="134"/>
      <c r="EB219" s="134"/>
      <c r="EC219" s="134"/>
      <c r="ED219" s="138"/>
      <c r="EE219" s="134"/>
      <c r="EF219" s="134"/>
      <c r="EG219" s="134"/>
      <c r="EH219" s="301"/>
      <c r="EI219" s="301"/>
      <c r="EJ219" s="277"/>
      <c r="EK219" s="134"/>
      <c r="EL219" s="134"/>
      <c r="EM219" s="134"/>
      <c r="EN219" s="134"/>
      <c r="EO219" s="134"/>
      <c r="EP219" s="134"/>
      <c r="EQ219" s="134"/>
      <c r="ER219" s="134"/>
      <c r="ES219" s="301"/>
      <c r="ET219" s="301"/>
      <c r="EU219" s="134"/>
      <c r="EV219" s="134"/>
      <c r="EW219" s="134"/>
      <c r="EX219" s="134"/>
      <c r="EY219" s="134"/>
      <c r="EZ219" s="134"/>
      <c r="FA219" s="134"/>
      <c r="FB219" s="134"/>
      <c r="FC219" s="135"/>
      <c r="FD219" s="135"/>
      <c r="FE219" s="134"/>
      <c r="FF219" s="134"/>
      <c r="FG219" s="134"/>
      <c r="FH219" s="134"/>
      <c r="FI219" s="134"/>
      <c r="FJ219" s="134"/>
      <c r="FK219" s="134"/>
      <c r="FL219" s="134"/>
      <c r="FM219" s="135"/>
      <c r="FN219" s="135"/>
      <c r="FO219" s="134"/>
      <c r="FP219" s="134"/>
      <c r="FQ219" s="134"/>
      <c r="FR219" s="134"/>
      <c r="FS219" s="134"/>
      <c r="FT219" s="134"/>
      <c r="FU219" s="134"/>
      <c r="FV219" s="134"/>
      <c r="FW219" s="135"/>
      <c r="FX219" s="135"/>
      <c r="FY219" s="134"/>
      <c r="FZ219" s="134"/>
      <c r="GA219" s="134"/>
      <c r="GB219" s="134"/>
      <c r="GC219" s="134"/>
      <c r="GD219" s="134"/>
      <c r="GE219" s="134"/>
      <c r="GF219" s="134"/>
      <c r="GG219" s="135"/>
      <c r="GH219" s="135"/>
      <c r="GI219" s="134"/>
      <c r="GJ219" s="134"/>
      <c r="GK219" s="134"/>
      <c r="GL219" s="134"/>
      <c r="GM219" s="134"/>
      <c r="GN219" s="134"/>
      <c r="GO219" s="134"/>
      <c r="GP219" s="134"/>
      <c r="GQ219" s="135"/>
      <c r="GR219" s="135"/>
      <c r="GS219" s="134"/>
      <c r="GT219" s="134"/>
      <c r="GU219" s="134"/>
      <c r="GV219" s="134"/>
      <c r="GW219" s="134"/>
      <c r="GX219" s="134"/>
      <c r="GY219" s="134"/>
      <c r="GZ219" s="134"/>
      <c r="HA219" s="135"/>
      <c r="HB219" s="135"/>
      <c r="HC219" s="134"/>
      <c r="HD219" s="134"/>
      <c r="HE219" s="134"/>
      <c r="HF219" s="134"/>
      <c r="HG219" s="134"/>
      <c r="HH219" s="134"/>
      <c r="HI219" s="134"/>
      <c r="HJ219" s="134"/>
      <c r="HK219" s="135"/>
      <c r="HL219" s="135"/>
      <c r="HM219" s="134"/>
      <c r="HN219" s="134"/>
      <c r="HO219" s="134"/>
      <c r="HP219" s="134"/>
      <c r="HQ219" s="134"/>
      <c r="HR219" s="134"/>
      <c r="HS219" s="134"/>
      <c r="HT219" s="134"/>
      <c r="HU219" s="135"/>
      <c r="HV219" s="135"/>
      <c r="HW219" s="134"/>
      <c r="HX219" s="134"/>
      <c r="HY219" s="134"/>
      <c r="HZ219" s="134"/>
      <c r="IA219" s="134"/>
      <c r="IB219" s="134"/>
      <c r="IC219" s="134"/>
      <c r="ID219" s="134"/>
      <c r="IE219" s="135"/>
      <c r="IF219" s="135"/>
      <c r="IG219" s="134"/>
      <c r="IH219" s="134"/>
      <c r="II219" s="134"/>
      <c r="IJ219" s="134"/>
      <c r="IK219" s="134"/>
      <c r="IL219" s="134"/>
      <c r="IM219" s="134"/>
      <c r="IN219" s="134"/>
      <c r="IO219" s="135"/>
      <c r="IP219" s="135"/>
      <c r="IQ219" s="134"/>
      <c r="IR219" s="134"/>
      <c r="IS219" s="134"/>
      <c r="IT219" s="134"/>
      <c r="IU219" s="134"/>
      <c r="IV219" s="134"/>
      <c r="IW219" s="134"/>
      <c r="IX219" s="134"/>
      <c r="IY219" s="135"/>
      <c r="IZ219" s="135"/>
    </row>
    <row r="220" spans="1:260" customFormat="1" ht="17" customHeight="1">
      <c r="A220" s="79" t="s">
        <v>190</v>
      </c>
      <c r="B220" s="117">
        <v>136</v>
      </c>
      <c r="C220" s="117">
        <v>39</v>
      </c>
      <c r="D220" s="117"/>
      <c r="E220" s="123" t="s">
        <v>1967</v>
      </c>
      <c r="F220" s="124" t="s">
        <v>2191</v>
      </c>
      <c r="G220" s="125">
        <v>2011</v>
      </c>
      <c r="H220" s="79">
        <v>21898603</v>
      </c>
      <c r="I220" s="79">
        <v>1</v>
      </c>
      <c r="J220" s="126"/>
      <c r="K220" s="127"/>
      <c r="L220" s="79">
        <v>1</v>
      </c>
      <c r="M220" s="79"/>
      <c r="N220" s="79">
        <v>1</v>
      </c>
      <c r="O220" s="128">
        <v>1</v>
      </c>
      <c r="P220" s="79" t="s">
        <v>551</v>
      </c>
      <c r="Q220" s="79" t="s">
        <v>1172</v>
      </c>
      <c r="R220" s="79" t="s">
        <v>25</v>
      </c>
      <c r="S220" s="79">
        <v>1</v>
      </c>
      <c r="T220" s="79"/>
      <c r="U220" s="79"/>
      <c r="V220" s="79"/>
      <c r="W220" s="79" t="s">
        <v>492</v>
      </c>
      <c r="X220" s="79" t="s">
        <v>24</v>
      </c>
      <c r="Y220" s="79" t="s">
        <v>24</v>
      </c>
      <c r="Z220" s="79" t="s">
        <v>552</v>
      </c>
      <c r="AA220" s="79"/>
      <c r="AB220" s="79" t="s">
        <v>553</v>
      </c>
      <c r="AC220" s="506"/>
      <c r="AD220" s="573">
        <v>1</v>
      </c>
      <c r="AE220" s="573">
        <v>2</v>
      </c>
      <c r="AF220" s="165" t="s">
        <v>3003</v>
      </c>
      <c r="AG220" s="166" t="s">
        <v>4684</v>
      </c>
      <c r="AH220" s="120">
        <v>2</v>
      </c>
      <c r="AI220" s="484"/>
      <c r="AJ220" s="206" t="s">
        <v>4681</v>
      </c>
      <c r="AK220" s="372" t="s">
        <v>24</v>
      </c>
      <c r="AL220" s="207"/>
      <c r="AM220" s="120"/>
      <c r="AN220" s="120"/>
      <c r="AO220" s="120"/>
      <c r="AP220" s="120"/>
      <c r="AQ220" s="120"/>
      <c r="AR220" s="120"/>
      <c r="AS220" s="120"/>
      <c r="AT220" s="120"/>
      <c r="AU220" s="120"/>
      <c r="AV220" s="120"/>
      <c r="AW220" s="120"/>
      <c r="AX220" s="120"/>
      <c r="AY220" s="120" t="s">
        <v>24</v>
      </c>
      <c r="AZ220" s="120"/>
      <c r="BA220" s="120"/>
      <c r="BB220" s="120"/>
      <c r="BC220" s="120"/>
      <c r="BD220" s="373"/>
      <c r="BE220" s="373"/>
      <c r="BF220" s="373"/>
      <c r="BG220" s="373"/>
      <c r="BH220" s="373"/>
      <c r="BI220" s="373"/>
      <c r="BJ220" s="373">
        <v>1</v>
      </c>
      <c r="BK220" s="373"/>
      <c r="BL220" s="373"/>
      <c r="BM220" s="373"/>
      <c r="BN220" s="373"/>
      <c r="BO220" s="373"/>
      <c r="BP220" s="373"/>
      <c r="BQ220" s="374"/>
      <c r="BR220" s="134"/>
      <c r="BS220" s="134"/>
      <c r="BT220" s="134" t="s">
        <v>24</v>
      </c>
      <c r="BU220" s="134"/>
      <c r="BV220" s="134" t="s">
        <v>24</v>
      </c>
      <c r="BW220" s="259" t="s">
        <v>24</v>
      </c>
      <c r="BX220" s="138"/>
      <c r="BY220" s="134"/>
      <c r="BZ220" s="134"/>
      <c r="CA220" s="134"/>
      <c r="CB220" s="138"/>
      <c r="CC220" s="134"/>
      <c r="CD220" s="134"/>
      <c r="CE220" s="134"/>
      <c r="CF220" s="288"/>
      <c r="CG220" s="289"/>
      <c r="CH220" s="138"/>
      <c r="CI220" s="134"/>
      <c r="CJ220" s="134"/>
      <c r="CK220" s="134"/>
      <c r="CL220" s="138"/>
      <c r="CM220" s="134"/>
      <c r="CN220" s="134"/>
      <c r="CO220" s="134"/>
      <c r="CP220" s="288"/>
      <c r="CQ220" s="289"/>
      <c r="CR220" s="276"/>
      <c r="CS220" s="308"/>
      <c r="CT220" s="138"/>
      <c r="CU220" s="134"/>
      <c r="CV220" s="134"/>
      <c r="CW220" s="134"/>
      <c r="CX220" s="134"/>
      <c r="CY220" s="134"/>
      <c r="CZ220" s="134"/>
      <c r="DA220" s="134"/>
      <c r="DB220" s="300"/>
      <c r="DC220" s="301"/>
      <c r="DD220" s="134"/>
      <c r="DE220" s="134"/>
      <c r="DF220" s="134"/>
      <c r="DG220" s="134"/>
      <c r="DH220" s="134"/>
      <c r="DI220" s="134"/>
      <c r="DJ220" s="134"/>
      <c r="DK220" s="134"/>
      <c r="DL220" s="300"/>
      <c r="DM220" s="301"/>
      <c r="DN220" s="276"/>
      <c r="DO220" s="277"/>
      <c r="DP220" s="134"/>
      <c r="DQ220" s="134"/>
      <c r="DR220" s="134"/>
      <c r="DS220" s="134"/>
      <c r="DT220" s="138"/>
      <c r="DU220" s="134"/>
      <c r="DV220" s="134"/>
      <c r="DW220" s="134"/>
      <c r="DX220" s="301"/>
      <c r="DY220" s="301"/>
      <c r="DZ220" s="138"/>
      <c r="EA220" s="134"/>
      <c r="EB220" s="134"/>
      <c r="EC220" s="134"/>
      <c r="ED220" s="138"/>
      <c r="EE220" s="134"/>
      <c r="EF220" s="134"/>
      <c r="EG220" s="134"/>
      <c r="EH220" s="301"/>
      <c r="EI220" s="301"/>
      <c r="EJ220" s="277"/>
      <c r="EK220" s="134"/>
      <c r="EL220" s="134"/>
      <c r="EM220" s="134"/>
      <c r="EN220" s="134"/>
      <c r="EO220" s="134"/>
      <c r="EP220" s="134"/>
      <c r="EQ220" s="134"/>
      <c r="ER220" s="134"/>
      <c r="ES220" s="301"/>
      <c r="ET220" s="301"/>
      <c r="EU220" s="134"/>
      <c r="EV220" s="134"/>
      <c r="EW220" s="134"/>
      <c r="EX220" s="134"/>
      <c r="EY220" s="134"/>
      <c r="EZ220" s="134"/>
      <c r="FA220" s="134"/>
      <c r="FB220" s="134"/>
      <c r="FC220" s="135"/>
      <c r="FD220" s="135"/>
      <c r="FE220" s="134"/>
      <c r="FF220" s="134"/>
      <c r="FG220" s="134"/>
      <c r="FH220" s="134"/>
      <c r="FI220" s="134"/>
      <c r="FJ220" s="134"/>
      <c r="FK220" s="134"/>
      <c r="FL220" s="134"/>
      <c r="FM220" s="135"/>
      <c r="FN220" s="135"/>
      <c r="FO220" s="134"/>
      <c r="FP220" s="134"/>
      <c r="FQ220" s="134"/>
      <c r="FR220" s="134"/>
      <c r="FS220" s="134"/>
      <c r="FT220" s="134"/>
      <c r="FU220" s="134"/>
      <c r="FV220" s="134"/>
      <c r="FW220" s="135"/>
      <c r="FX220" s="135"/>
      <c r="FY220" s="134"/>
      <c r="FZ220" s="134"/>
      <c r="GA220" s="134"/>
      <c r="GB220" s="134"/>
      <c r="GC220" s="134"/>
      <c r="GD220" s="134"/>
      <c r="GE220" s="134"/>
      <c r="GF220" s="134"/>
      <c r="GG220" s="135"/>
      <c r="GH220" s="135"/>
      <c r="GI220" s="134"/>
      <c r="GJ220" s="134"/>
      <c r="GK220" s="134"/>
      <c r="GL220" s="134"/>
      <c r="GM220" s="134"/>
      <c r="GN220" s="134"/>
      <c r="GO220" s="134"/>
      <c r="GP220" s="134"/>
      <c r="GQ220" s="135"/>
      <c r="GR220" s="135"/>
      <c r="GS220" s="134"/>
      <c r="GT220" s="134"/>
      <c r="GU220" s="134"/>
      <c r="GV220" s="134"/>
      <c r="GW220" s="134"/>
      <c r="GX220" s="134"/>
      <c r="GY220" s="134"/>
      <c r="GZ220" s="134"/>
      <c r="HA220" s="135"/>
      <c r="HB220" s="135"/>
      <c r="HC220" s="134"/>
      <c r="HD220" s="134"/>
      <c r="HE220" s="134"/>
      <c r="HF220" s="134"/>
      <c r="HG220" s="134"/>
      <c r="HH220" s="134"/>
      <c r="HI220" s="134"/>
      <c r="HJ220" s="134"/>
      <c r="HK220" s="135"/>
      <c r="HL220" s="135"/>
      <c r="HM220" s="134"/>
      <c r="HN220" s="134"/>
      <c r="HO220" s="134"/>
      <c r="HP220" s="134"/>
      <c r="HQ220" s="134"/>
      <c r="HR220" s="134"/>
      <c r="HS220" s="134"/>
      <c r="HT220" s="134"/>
      <c r="HU220" s="135"/>
      <c r="HV220" s="135"/>
      <c r="HW220" s="134"/>
      <c r="HX220" s="134"/>
      <c r="HY220" s="134"/>
      <c r="HZ220" s="134"/>
      <c r="IA220" s="134"/>
      <c r="IB220" s="134"/>
      <c r="IC220" s="134"/>
      <c r="ID220" s="134"/>
      <c r="IE220" s="135"/>
      <c r="IF220" s="135"/>
      <c r="IG220" s="134"/>
      <c r="IH220" s="134"/>
      <c r="II220" s="134"/>
      <c r="IJ220" s="134"/>
      <c r="IK220" s="134"/>
      <c r="IL220" s="134"/>
      <c r="IM220" s="134"/>
      <c r="IN220" s="134"/>
      <c r="IO220" s="135"/>
      <c r="IP220" s="135"/>
      <c r="IQ220" s="134"/>
      <c r="IR220" s="134"/>
      <c r="IS220" s="134"/>
      <c r="IT220" s="134"/>
      <c r="IU220" s="134"/>
      <c r="IV220" s="134"/>
      <c r="IW220" s="134"/>
      <c r="IX220" s="134"/>
      <c r="IY220" s="135"/>
      <c r="IZ220" s="135"/>
    </row>
    <row r="221" spans="1:260" customFormat="1" ht="17" customHeight="1">
      <c r="A221" s="79" t="s">
        <v>193</v>
      </c>
      <c r="B221" s="117">
        <v>139</v>
      </c>
      <c r="C221" s="117">
        <v>40</v>
      </c>
      <c r="D221" s="117"/>
      <c r="E221" s="123" t="s">
        <v>1970</v>
      </c>
      <c r="F221" s="124" t="s">
        <v>2194</v>
      </c>
      <c r="G221" s="125">
        <v>2012</v>
      </c>
      <c r="H221" s="79">
        <v>22193972</v>
      </c>
      <c r="I221" s="79">
        <v>1</v>
      </c>
      <c r="J221" s="126"/>
      <c r="K221" s="127"/>
      <c r="L221" s="79">
        <v>1</v>
      </c>
      <c r="M221" s="79"/>
      <c r="N221" s="79">
        <v>1</v>
      </c>
      <c r="O221" s="128">
        <v>1</v>
      </c>
      <c r="P221" s="79" t="s">
        <v>558</v>
      </c>
      <c r="Q221" s="79" t="s">
        <v>1165</v>
      </c>
      <c r="R221" s="79" t="s">
        <v>25</v>
      </c>
      <c r="S221" s="79">
        <v>1</v>
      </c>
      <c r="T221" s="79"/>
      <c r="U221" s="79"/>
      <c r="V221" s="79"/>
      <c r="W221" s="79" t="s">
        <v>1187</v>
      </c>
      <c r="X221" s="79" t="s">
        <v>24</v>
      </c>
      <c r="Y221" s="79" t="s">
        <v>559</v>
      </c>
      <c r="Z221" s="79"/>
      <c r="AA221" s="79"/>
      <c r="AB221" s="79"/>
      <c r="AC221" s="506"/>
      <c r="AD221" s="573">
        <v>1</v>
      </c>
      <c r="AE221" s="573">
        <v>2</v>
      </c>
      <c r="AF221" s="165" t="s">
        <v>3003</v>
      </c>
      <c r="AG221" s="166" t="s">
        <v>4686</v>
      </c>
      <c r="AH221" s="120">
        <v>2</v>
      </c>
      <c r="AI221" s="484"/>
      <c r="AJ221" s="206" t="s">
        <v>4685</v>
      </c>
      <c r="AK221" s="372" t="s">
        <v>24</v>
      </c>
      <c r="AL221" s="207"/>
      <c r="AM221" s="120"/>
      <c r="AN221" s="120"/>
      <c r="AO221" s="120"/>
      <c r="AP221" s="120"/>
      <c r="AQ221" s="120"/>
      <c r="AR221" s="120"/>
      <c r="AS221" s="120"/>
      <c r="AT221" s="120"/>
      <c r="AU221" s="120"/>
      <c r="AV221" s="120"/>
      <c r="AW221" s="120"/>
      <c r="AX221" s="120"/>
      <c r="AY221" s="120" t="s">
        <v>24</v>
      </c>
      <c r="AZ221" s="120"/>
      <c r="BA221" s="120"/>
      <c r="BB221" s="120"/>
      <c r="BC221" s="120"/>
      <c r="BD221" s="373"/>
      <c r="BE221" s="373"/>
      <c r="BF221" s="373"/>
      <c r="BG221" s="373">
        <v>1</v>
      </c>
      <c r="BH221" s="373"/>
      <c r="BI221" s="373"/>
      <c r="BJ221" s="373">
        <v>1</v>
      </c>
      <c r="BK221" s="373"/>
      <c r="BL221" s="373"/>
      <c r="BM221" s="373"/>
      <c r="BN221" s="373"/>
      <c r="BO221" s="373"/>
      <c r="BP221" s="373"/>
      <c r="BQ221" s="374"/>
      <c r="BR221" s="134"/>
      <c r="BS221" s="134"/>
      <c r="BT221" s="134" t="s">
        <v>24</v>
      </c>
      <c r="BU221" s="134"/>
      <c r="BV221" s="134" t="s">
        <v>24</v>
      </c>
      <c r="BW221" s="259" t="s">
        <v>24</v>
      </c>
      <c r="BX221" s="138"/>
      <c r="BY221" s="134"/>
      <c r="BZ221" s="134"/>
      <c r="CA221" s="134"/>
      <c r="CB221" s="138"/>
      <c r="CC221" s="134"/>
      <c r="CD221" s="134"/>
      <c r="CE221" s="134"/>
      <c r="CF221" s="288"/>
      <c r="CG221" s="289"/>
      <c r="CH221" s="138"/>
      <c r="CI221" s="134"/>
      <c r="CJ221" s="134"/>
      <c r="CK221" s="134"/>
      <c r="CL221" s="138"/>
      <c r="CM221" s="134"/>
      <c r="CN221" s="134"/>
      <c r="CO221" s="134"/>
      <c r="CP221" s="288"/>
      <c r="CQ221" s="289"/>
      <c r="CR221" s="276"/>
      <c r="CS221" s="308"/>
      <c r="CT221" s="138"/>
      <c r="CU221" s="134"/>
      <c r="CV221" s="134"/>
      <c r="CW221" s="134"/>
      <c r="CX221" s="134"/>
      <c r="CY221" s="134"/>
      <c r="CZ221" s="134"/>
      <c r="DA221" s="134"/>
      <c r="DB221" s="300"/>
      <c r="DC221" s="301"/>
      <c r="DD221" s="134"/>
      <c r="DE221" s="134"/>
      <c r="DF221" s="134"/>
      <c r="DG221" s="134"/>
      <c r="DH221" s="134"/>
      <c r="DI221" s="134"/>
      <c r="DJ221" s="134"/>
      <c r="DK221" s="134"/>
      <c r="DL221" s="300"/>
      <c r="DM221" s="301"/>
      <c r="DN221" s="276"/>
      <c r="DO221" s="277"/>
      <c r="DP221" s="134"/>
      <c r="DQ221" s="134"/>
      <c r="DR221" s="134"/>
      <c r="DS221" s="134"/>
      <c r="DT221" s="138"/>
      <c r="DU221" s="134"/>
      <c r="DV221" s="134"/>
      <c r="DW221" s="134"/>
      <c r="DX221" s="301"/>
      <c r="DY221" s="301"/>
      <c r="DZ221" s="138"/>
      <c r="EA221" s="134"/>
      <c r="EB221" s="134"/>
      <c r="EC221" s="134"/>
      <c r="ED221" s="138"/>
      <c r="EE221" s="134"/>
      <c r="EF221" s="134"/>
      <c r="EG221" s="134"/>
      <c r="EH221" s="301"/>
      <c r="EI221" s="301"/>
      <c r="EJ221" s="277"/>
      <c r="EK221" s="134"/>
      <c r="EL221" s="134"/>
      <c r="EM221" s="134"/>
      <c r="EN221" s="134"/>
      <c r="EO221" s="134"/>
      <c r="EP221" s="134"/>
      <c r="EQ221" s="134"/>
      <c r="ER221" s="134"/>
      <c r="ES221" s="301"/>
      <c r="ET221" s="301"/>
      <c r="EU221" s="134"/>
      <c r="EV221" s="134"/>
      <c r="EW221" s="134"/>
      <c r="EX221" s="134"/>
      <c r="EY221" s="134"/>
      <c r="EZ221" s="134"/>
      <c r="FA221" s="134"/>
      <c r="FB221" s="134"/>
      <c r="FC221" s="135"/>
      <c r="FD221" s="135"/>
      <c r="FE221" s="134"/>
      <c r="FF221" s="134"/>
      <c r="FG221" s="134"/>
      <c r="FH221" s="134"/>
      <c r="FI221" s="134"/>
      <c r="FJ221" s="134"/>
      <c r="FK221" s="134"/>
      <c r="FL221" s="134"/>
      <c r="FM221" s="135"/>
      <c r="FN221" s="135"/>
      <c r="FO221" s="134"/>
      <c r="FP221" s="134"/>
      <c r="FQ221" s="134"/>
      <c r="FR221" s="134"/>
      <c r="FS221" s="134"/>
      <c r="FT221" s="134"/>
      <c r="FU221" s="134"/>
      <c r="FV221" s="134"/>
      <c r="FW221" s="135"/>
      <c r="FX221" s="135"/>
      <c r="FY221" s="134"/>
      <c r="FZ221" s="134"/>
      <c r="GA221" s="134"/>
      <c r="GB221" s="134"/>
      <c r="GC221" s="134"/>
      <c r="GD221" s="134"/>
      <c r="GE221" s="134"/>
      <c r="GF221" s="134"/>
      <c r="GG221" s="135"/>
      <c r="GH221" s="135"/>
      <c r="GI221" s="134"/>
      <c r="GJ221" s="134"/>
      <c r="GK221" s="134"/>
      <c r="GL221" s="134"/>
      <c r="GM221" s="134"/>
      <c r="GN221" s="134"/>
      <c r="GO221" s="134"/>
      <c r="GP221" s="134"/>
      <c r="GQ221" s="135"/>
      <c r="GR221" s="135"/>
      <c r="GS221" s="134"/>
      <c r="GT221" s="134"/>
      <c r="GU221" s="134"/>
      <c r="GV221" s="134"/>
      <c r="GW221" s="134"/>
      <c r="GX221" s="134"/>
      <c r="GY221" s="134"/>
      <c r="GZ221" s="134"/>
      <c r="HA221" s="135"/>
      <c r="HB221" s="135"/>
      <c r="HC221" s="134"/>
      <c r="HD221" s="134"/>
      <c r="HE221" s="134"/>
      <c r="HF221" s="134"/>
      <c r="HG221" s="134"/>
      <c r="HH221" s="134"/>
      <c r="HI221" s="134"/>
      <c r="HJ221" s="134"/>
      <c r="HK221" s="135"/>
      <c r="HL221" s="135"/>
      <c r="HM221" s="134"/>
      <c r="HN221" s="134"/>
      <c r="HO221" s="134"/>
      <c r="HP221" s="134"/>
      <c r="HQ221" s="134"/>
      <c r="HR221" s="134"/>
      <c r="HS221" s="134"/>
      <c r="HT221" s="134"/>
      <c r="HU221" s="135"/>
      <c r="HV221" s="135"/>
      <c r="HW221" s="134"/>
      <c r="HX221" s="134"/>
      <c r="HY221" s="134"/>
      <c r="HZ221" s="134"/>
      <c r="IA221" s="134"/>
      <c r="IB221" s="134"/>
      <c r="IC221" s="134"/>
      <c r="ID221" s="134"/>
      <c r="IE221" s="135"/>
      <c r="IF221" s="135"/>
      <c r="IG221" s="134"/>
      <c r="IH221" s="134"/>
      <c r="II221" s="134"/>
      <c r="IJ221" s="134"/>
      <c r="IK221" s="134"/>
      <c r="IL221" s="134"/>
      <c r="IM221" s="134"/>
      <c r="IN221" s="134"/>
      <c r="IO221" s="135"/>
      <c r="IP221" s="135"/>
      <c r="IQ221" s="134"/>
      <c r="IR221" s="134"/>
      <c r="IS221" s="134"/>
      <c r="IT221" s="134"/>
      <c r="IU221" s="134"/>
      <c r="IV221" s="134"/>
      <c r="IW221" s="134"/>
      <c r="IX221" s="134"/>
      <c r="IY221" s="135"/>
      <c r="IZ221" s="135"/>
    </row>
    <row r="222" spans="1:260" customFormat="1" ht="17" customHeight="1">
      <c r="A222" s="79" t="s">
        <v>194</v>
      </c>
      <c r="B222" s="117">
        <v>140</v>
      </c>
      <c r="C222" s="117">
        <v>41</v>
      </c>
      <c r="D222" s="117"/>
      <c r="E222" s="123" t="s">
        <v>1971</v>
      </c>
      <c r="F222" s="124" t="s">
        <v>2195</v>
      </c>
      <c r="G222" s="125">
        <v>2003</v>
      </c>
      <c r="H222" s="79">
        <v>12775293</v>
      </c>
      <c r="I222" s="79">
        <v>1</v>
      </c>
      <c r="J222" s="126"/>
      <c r="K222" s="127"/>
      <c r="L222" s="79">
        <v>1</v>
      </c>
      <c r="M222" s="79"/>
      <c r="N222" s="79">
        <v>1</v>
      </c>
      <c r="O222" s="128">
        <v>1</v>
      </c>
      <c r="P222" s="79" t="s">
        <v>562</v>
      </c>
      <c r="Q222" s="79" t="s">
        <v>1147</v>
      </c>
      <c r="R222" s="79" t="s">
        <v>560</v>
      </c>
      <c r="S222" s="79">
        <v>0</v>
      </c>
      <c r="T222" s="79"/>
      <c r="U222" s="79"/>
      <c r="V222" s="79"/>
      <c r="W222" s="79" t="s">
        <v>561</v>
      </c>
      <c r="X222" s="79" t="s">
        <v>24</v>
      </c>
      <c r="Y222" s="79"/>
      <c r="Z222" s="79"/>
      <c r="AA222" s="79"/>
      <c r="AB222" s="79"/>
      <c r="AC222" s="506"/>
      <c r="AD222" s="573">
        <v>1</v>
      </c>
      <c r="AE222" s="573">
        <v>2</v>
      </c>
      <c r="AF222" s="154">
        <v>1</v>
      </c>
      <c r="AG222" s="155"/>
      <c r="AH222" s="121" t="s">
        <v>4692</v>
      </c>
      <c r="AI222" s="484" t="s">
        <v>4710</v>
      </c>
      <c r="AJ222" s="202" t="s">
        <v>4706</v>
      </c>
      <c r="AK222" s="192" t="s">
        <v>24</v>
      </c>
      <c r="AL222" s="203" t="s">
        <v>24</v>
      </c>
      <c r="AM222" s="121">
        <v>34</v>
      </c>
      <c r="AN222" s="121" t="s">
        <v>4695</v>
      </c>
      <c r="AO222" s="121">
        <v>13</v>
      </c>
      <c r="AP222" s="424" t="s">
        <v>4694</v>
      </c>
      <c r="AQ222" s="424" t="s">
        <v>4694</v>
      </c>
      <c r="AR222" s="424" t="s">
        <v>4694</v>
      </c>
      <c r="AS222" s="121" t="s">
        <v>24</v>
      </c>
      <c r="AT222" s="424" t="s">
        <v>4694</v>
      </c>
      <c r="AU222" s="121" t="s">
        <v>24</v>
      </c>
      <c r="AV222" s="121" t="s">
        <v>4690</v>
      </c>
      <c r="AW222" s="121" t="s">
        <v>24</v>
      </c>
      <c r="AX222" s="121" t="s">
        <v>24</v>
      </c>
      <c r="AY222" s="121" t="s">
        <v>4689</v>
      </c>
      <c r="AZ222" s="121" t="s">
        <v>4688</v>
      </c>
      <c r="BA222" s="121" t="s">
        <v>4687</v>
      </c>
      <c r="BB222" s="121"/>
      <c r="BC222" s="121"/>
      <c r="BD222" s="156"/>
      <c r="BE222" s="156"/>
      <c r="BF222" s="156"/>
      <c r="BG222" s="156"/>
      <c r="BH222" s="156"/>
      <c r="BI222" s="156" t="s">
        <v>4696</v>
      </c>
      <c r="BJ222" s="156">
        <v>1</v>
      </c>
      <c r="BK222" s="156"/>
      <c r="BL222" s="156"/>
      <c r="BM222" s="156"/>
      <c r="BN222" s="156"/>
      <c r="BO222" s="156"/>
      <c r="BP222" s="156" t="s">
        <v>4696</v>
      </c>
      <c r="BQ222" s="157" t="s">
        <v>4691</v>
      </c>
      <c r="BR222" s="134" t="s">
        <v>1876</v>
      </c>
      <c r="BS222" s="134">
        <v>2</v>
      </c>
      <c r="BT222" s="134" t="s">
        <v>4705</v>
      </c>
      <c r="BU222" s="134" t="s">
        <v>24</v>
      </c>
      <c r="BV222" s="134" t="s">
        <v>4693</v>
      </c>
      <c r="BW222" s="259" t="s">
        <v>4709</v>
      </c>
      <c r="BX222" s="138" t="s">
        <v>4697</v>
      </c>
      <c r="BY222" s="134">
        <v>6.3</v>
      </c>
      <c r="BZ222" s="168">
        <v>1.9</v>
      </c>
      <c r="CA222" s="134" t="s">
        <v>24</v>
      </c>
      <c r="CB222" s="138" t="s">
        <v>4698</v>
      </c>
      <c r="CC222" s="134">
        <v>7.2</v>
      </c>
      <c r="CD222" s="134">
        <v>1.4</v>
      </c>
      <c r="CE222" s="134" t="s">
        <v>24</v>
      </c>
      <c r="CF222" s="288" t="s">
        <v>4707</v>
      </c>
      <c r="CG222" s="289" t="s">
        <v>4703</v>
      </c>
      <c r="CH222" s="138" t="s">
        <v>4699</v>
      </c>
      <c r="CI222" s="134">
        <v>20</v>
      </c>
      <c r="CJ222" s="134">
        <v>5.7</v>
      </c>
      <c r="CK222" s="134" t="s">
        <v>24</v>
      </c>
      <c r="CL222" s="138" t="s">
        <v>4700</v>
      </c>
      <c r="CM222" s="134">
        <v>22.6</v>
      </c>
      <c r="CN222" s="134">
        <v>3.6</v>
      </c>
      <c r="CO222" s="134" t="s">
        <v>24</v>
      </c>
      <c r="CP222" s="288" t="s">
        <v>4708</v>
      </c>
      <c r="CQ222" s="289" t="s">
        <v>4701</v>
      </c>
      <c r="CR222" s="276" t="s">
        <v>4702</v>
      </c>
      <c r="CS222" s="308" t="s">
        <v>2480</v>
      </c>
      <c r="CT222" s="138"/>
      <c r="CU222" s="134"/>
      <c r="CV222" s="134"/>
      <c r="CW222" s="134"/>
      <c r="CX222" s="134"/>
      <c r="CY222" s="134"/>
      <c r="CZ222" s="134"/>
      <c r="DA222" s="134"/>
      <c r="DB222" s="300"/>
      <c r="DC222" s="301"/>
      <c r="DD222" s="134"/>
      <c r="DE222" s="134"/>
      <c r="DF222" s="134"/>
      <c r="DG222" s="134"/>
      <c r="DH222" s="134"/>
      <c r="DI222" s="134"/>
      <c r="DJ222" s="134"/>
      <c r="DK222" s="134"/>
      <c r="DL222" s="300"/>
      <c r="DM222" s="301"/>
      <c r="DN222" s="276"/>
      <c r="DO222" s="277"/>
      <c r="DP222" s="134"/>
      <c r="DQ222" s="134"/>
      <c r="DR222" s="134"/>
      <c r="DS222" s="134"/>
      <c r="DT222" s="138"/>
      <c r="DU222" s="134"/>
      <c r="DV222" s="134"/>
      <c r="DW222" s="134"/>
      <c r="DX222" s="301"/>
      <c r="DY222" s="301"/>
      <c r="DZ222" s="138"/>
      <c r="EA222" s="134"/>
      <c r="EB222" s="134"/>
      <c r="EC222" s="134"/>
      <c r="ED222" s="138"/>
      <c r="EE222" s="134"/>
      <c r="EF222" s="134"/>
      <c r="EG222" s="134"/>
      <c r="EH222" s="301"/>
      <c r="EI222" s="301"/>
      <c r="EJ222" s="277"/>
      <c r="EK222" s="134"/>
      <c r="EL222" s="134"/>
      <c r="EM222" s="134"/>
      <c r="EN222" s="134"/>
      <c r="EO222" s="134"/>
      <c r="EP222" s="134"/>
      <c r="EQ222" s="134"/>
      <c r="ER222" s="134"/>
      <c r="ES222" s="301"/>
      <c r="ET222" s="301"/>
      <c r="EU222" s="134"/>
      <c r="EV222" s="134"/>
      <c r="EW222" s="134"/>
      <c r="EX222" s="134"/>
      <c r="EY222" s="134"/>
      <c r="EZ222" s="134"/>
      <c r="FA222" s="134"/>
      <c r="FB222" s="134"/>
      <c r="FC222" s="135"/>
      <c r="FD222" s="135"/>
      <c r="FE222" s="134"/>
      <c r="FF222" s="134"/>
      <c r="FG222" s="134"/>
      <c r="FH222" s="134"/>
      <c r="FI222" s="134"/>
      <c r="FJ222" s="134"/>
      <c r="FK222" s="134"/>
      <c r="FL222" s="134"/>
      <c r="FM222" s="135"/>
      <c r="FN222" s="135"/>
      <c r="FO222" s="134"/>
      <c r="FP222" s="134"/>
      <c r="FQ222" s="134"/>
      <c r="FR222" s="134"/>
      <c r="FS222" s="134"/>
      <c r="FT222" s="134"/>
      <c r="FU222" s="134"/>
      <c r="FV222" s="134"/>
      <c r="FW222" s="135"/>
      <c r="FX222" s="135"/>
      <c r="FY222" s="134"/>
      <c r="FZ222" s="134"/>
      <c r="GA222" s="134"/>
      <c r="GB222" s="134"/>
      <c r="GC222" s="134"/>
      <c r="GD222" s="134"/>
      <c r="GE222" s="134"/>
      <c r="GF222" s="134"/>
      <c r="GG222" s="135"/>
      <c r="GH222" s="135"/>
      <c r="GI222" s="134"/>
      <c r="GJ222" s="134"/>
      <c r="GK222" s="134"/>
      <c r="GL222" s="134"/>
      <c r="GM222" s="134"/>
      <c r="GN222" s="134"/>
      <c r="GO222" s="134"/>
      <c r="GP222" s="134"/>
      <c r="GQ222" s="135"/>
      <c r="GR222" s="135"/>
      <c r="GS222" s="134"/>
      <c r="GT222" s="134"/>
      <c r="GU222" s="134"/>
      <c r="GV222" s="134"/>
      <c r="GW222" s="134"/>
      <c r="GX222" s="134"/>
      <c r="GY222" s="134"/>
      <c r="GZ222" s="134"/>
      <c r="HA222" s="135"/>
      <c r="HB222" s="135"/>
      <c r="HC222" s="134"/>
      <c r="HD222" s="134"/>
      <c r="HE222" s="134"/>
      <c r="HF222" s="134"/>
      <c r="HG222" s="134"/>
      <c r="HH222" s="134"/>
      <c r="HI222" s="134"/>
      <c r="HJ222" s="134"/>
      <c r="HK222" s="135"/>
      <c r="HL222" s="135"/>
      <c r="HM222" s="134"/>
      <c r="HN222" s="134"/>
      <c r="HO222" s="134"/>
      <c r="HP222" s="134"/>
      <c r="HQ222" s="134"/>
      <c r="HR222" s="134"/>
      <c r="HS222" s="134"/>
      <c r="HT222" s="134"/>
      <c r="HU222" s="135"/>
      <c r="HV222" s="135"/>
      <c r="HW222" s="134"/>
      <c r="HX222" s="134"/>
      <c r="HY222" s="134"/>
      <c r="HZ222" s="134"/>
      <c r="IA222" s="134"/>
      <c r="IB222" s="134"/>
      <c r="IC222" s="134"/>
      <c r="ID222" s="134"/>
      <c r="IE222" s="135"/>
      <c r="IF222" s="135"/>
      <c r="IG222" s="134"/>
      <c r="IH222" s="134"/>
      <c r="II222" s="134"/>
      <c r="IJ222" s="134"/>
      <c r="IK222" s="134"/>
      <c r="IL222" s="134"/>
      <c r="IM222" s="134"/>
      <c r="IN222" s="134"/>
      <c r="IO222" s="135"/>
      <c r="IP222" s="135"/>
      <c r="IQ222" s="134"/>
      <c r="IR222" s="134"/>
      <c r="IS222" s="134"/>
      <c r="IT222" s="134"/>
      <c r="IU222" s="134"/>
      <c r="IV222" s="134"/>
      <c r="IW222" s="134"/>
      <c r="IX222" s="134"/>
      <c r="IY222" s="135"/>
      <c r="IZ222" s="135"/>
    </row>
    <row r="223" spans="1:260" customFormat="1" ht="17" customHeight="1">
      <c r="A223" s="79" t="s">
        <v>197</v>
      </c>
      <c r="B223" s="117">
        <v>143</v>
      </c>
      <c r="C223" s="117">
        <v>42</v>
      </c>
      <c r="D223" s="117"/>
      <c r="E223" s="123" t="s">
        <v>1973</v>
      </c>
      <c r="F223" s="124" t="s">
        <v>2197</v>
      </c>
      <c r="G223" s="125">
        <v>2006</v>
      </c>
      <c r="H223" s="79">
        <v>16139487</v>
      </c>
      <c r="I223" s="79">
        <v>1</v>
      </c>
      <c r="J223" s="126"/>
      <c r="K223" s="127"/>
      <c r="L223" s="79">
        <v>1</v>
      </c>
      <c r="M223" s="79"/>
      <c r="N223" s="79">
        <v>1</v>
      </c>
      <c r="O223" s="128">
        <v>1</v>
      </c>
      <c r="P223" s="79" t="s">
        <v>566</v>
      </c>
      <c r="Q223" s="79" t="s">
        <v>569</v>
      </c>
      <c r="R223" s="79" t="s">
        <v>567</v>
      </c>
      <c r="S223" s="79">
        <v>1</v>
      </c>
      <c r="T223" s="79"/>
      <c r="U223" s="79"/>
      <c r="V223" s="79"/>
      <c r="W223" s="79" t="s">
        <v>568</v>
      </c>
      <c r="X223" s="79" t="s">
        <v>24</v>
      </c>
      <c r="Y223" s="79"/>
      <c r="Z223" s="79"/>
      <c r="AA223" s="79"/>
      <c r="AB223" s="79"/>
      <c r="AC223" s="506"/>
      <c r="AD223" s="573">
        <v>1</v>
      </c>
      <c r="AE223" s="573">
        <v>2</v>
      </c>
      <c r="AF223" s="154">
        <v>1</v>
      </c>
      <c r="AG223" s="155"/>
      <c r="AH223" s="121">
        <v>2</v>
      </c>
      <c r="AI223" s="484" t="s">
        <v>4716</v>
      </c>
      <c r="AJ223" s="202"/>
      <c r="AK223" s="192">
        <v>1</v>
      </c>
      <c r="AL223" s="203"/>
      <c r="AM223" s="121">
        <v>40</v>
      </c>
      <c r="AN223" s="121">
        <v>20</v>
      </c>
      <c r="AO223" s="121">
        <v>20</v>
      </c>
      <c r="AP223" s="121" t="s">
        <v>803</v>
      </c>
      <c r="AQ223" s="121" t="s">
        <v>803</v>
      </c>
      <c r="AR223" s="121">
        <v>47</v>
      </c>
      <c r="AS223" s="121">
        <v>4</v>
      </c>
      <c r="AT223" s="121">
        <v>47</v>
      </c>
      <c r="AU223" s="121">
        <v>5</v>
      </c>
      <c r="AV223" s="121" t="s">
        <v>4711</v>
      </c>
      <c r="AW223" s="121" t="s">
        <v>24</v>
      </c>
      <c r="AX223" s="121" t="s">
        <v>24</v>
      </c>
      <c r="AY223" s="121" t="s">
        <v>4713</v>
      </c>
      <c r="AZ223" s="121" t="s">
        <v>5116</v>
      </c>
      <c r="BA223" s="121" t="s">
        <v>4712</v>
      </c>
      <c r="BB223" s="121"/>
      <c r="BC223" s="121"/>
      <c r="BD223" s="156"/>
      <c r="BE223" s="156"/>
      <c r="BF223" s="156" t="s">
        <v>4727</v>
      </c>
      <c r="BG223" s="156"/>
      <c r="BH223" s="156"/>
      <c r="BI223" s="156" t="s">
        <v>4727</v>
      </c>
      <c r="BJ223" s="156">
        <v>1</v>
      </c>
      <c r="BK223" s="156"/>
      <c r="BL223" s="491" t="s">
        <v>4727</v>
      </c>
      <c r="BM223" s="156"/>
      <c r="BN223" s="491" t="s">
        <v>4727</v>
      </c>
      <c r="BO223" s="156"/>
      <c r="BP223" s="156"/>
      <c r="BQ223" s="157" t="s">
        <v>4721</v>
      </c>
      <c r="BR223" s="134" t="s">
        <v>1876</v>
      </c>
      <c r="BS223" s="134">
        <v>2</v>
      </c>
      <c r="BT223" s="134" t="s">
        <v>4720</v>
      </c>
      <c r="BU223" s="134" t="s">
        <v>24</v>
      </c>
      <c r="BV223" s="134" t="s">
        <v>4722</v>
      </c>
      <c r="BW223" s="259" t="s">
        <v>4717</v>
      </c>
      <c r="BX223" s="138" t="s">
        <v>4714</v>
      </c>
      <c r="BY223" s="134">
        <v>13.1</v>
      </c>
      <c r="BZ223" s="134">
        <v>5.4</v>
      </c>
      <c r="CA223" s="134" t="s">
        <v>4716</v>
      </c>
      <c r="CB223" s="138" t="s">
        <v>4715</v>
      </c>
      <c r="CC223" s="134">
        <v>22.7</v>
      </c>
      <c r="CD223" s="134">
        <v>1.3</v>
      </c>
      <c r="CE223" s="134" t="s">
        <v>4716</v>
      </c>
      <c r="CF223" s="288" t="s">
        <v>4719</v>
      </c>
      <c r="CG223" s="546" t="s">
        <v>4718</v>
      </c>
      <c r="CH223" s="138"/>
      <c r="CI223" s="134"/>
      <c r="CJ223" s="134"/>
      <c r="CK223" s="134"/>
      <c r="CL223" s="138"/>
      <c r="CM223" s="134"/>
      <c r="CN223" s="134"/>
      <c r="CO223" s="134"/>
      <c r="CP223" s="288"/>
      <c r="CQ223" s="289"/>
      <c r="CR223" s="276"/>
      <c r="CS223" s="308"/>
      <c r="CT223" s="138"/>
      <c r="CU223" s="134"/>
      <c r="CV223" s="134"/>
      <c r="CW223" s="134"/>
      <c r="CX223" s="134"/>
      <c r="CY223" s="134"/>
      <c r="CZ223" s="134"/>
      <c r="DA223" s="134"/>
      <c r="DB223" s="300"/>
      <c r="DC223" s="301"/>
      <c r="DD223" s="134"/>
      <c r="DE223" s="134"/>
      <c r="DF223" s="134"/>
      <c r="DG223" s="134"/>
      <c r="DH223" s="134"/>
      <c r="DI223" s="134"/>
      <c r="DJ223" s="134"/>
      <c r="DK223" s="134"/>
      <c r="DL223" s="300"/>
      <c r="DM223" s="301"/>
      <c r="DN223" s="276"/>
      <c r="DO223" s="277"/>
      <c r="DP223" s="134"/>
      <c r="DQ223" s="134"/>
      <c r="DR223" s="134"/>
      <c r="DS223" s="134"/>
      <c r="DT223" s="138"/>
      <c r="DU223" s="134"/>
      <c r="DV223" s="134"/>
      <c r="DW223" s="134"/>
      <c r="DX223" s="301"/>
      <c r="DY223" s="301"/>
      <c r="DZ223" s="138"/>
      <c r="EA223" s="134"/>
      <c r="EB223" s="134"/>
      <c r="EC223" s="134"/>
      <c r="ED223" s="138"/>
      <c r="EE223" s="134"/>
      <c r="EF223" s="134"/>
      <c r="EG223" s="134"/>
      <c r="EH223" s="301"/>
      <c r="EI223" s="301"/>
      <c r="EJ223" s="277"/>
      <c r="EK223" s="134"/>
      <c r="EL223" s="134"/>
      <c r="EM223" s="134"/>
      <c r="EN223" s="134"/>
      <c r="EO223" s="134"/>
      <c r="EP223" s="134"/>
      <c r="EQ223" s="134"/>
      <c r="ER223" s="134"/>
      <c r="ES223" s="301"/>
      <c r="ET223" s="301"/>
      <c r="EU223" s="134"/>
      <c r="EV223" s="134"/>
      <c r="EW223" s="134"/>
      <c r="EX223" s="134"/>
      <c r="EY223" s="134"/>
      <c r="EZ223" s="134"/>
      <c r="FA223" s="134"/>
      <c r="FB223" s="134"/>
      <c r="FC223" s="135"/>
      <c r="FD223" s="135"/>
      <c r="FE223" s="134"/>
      <c r="FF223" s="134"/>
      <c r="FG223" s="134"/>
      <c r="FH223" s="134"/>
      <c r="FI223" s="134"/>
      <c r="FJ223" s="134"/>
      <c r="FK223" s="134"/>
      <c r="FL223" s="134"/>
      <c r="FM223" s="135"/>
      <c r="FN223" s="135"/>
      <c r="FO223" s="134"/>
      <c r="FP223" s="134"/>
      <c r="FQ223" s="134"/>
      <c r="FR223" s="134"/>
      <c r="FS223" s="134"/>
      <c r="FT223" s="134"/>
      <c r="FU223" s="134"/>
      <c r="FV223" s="134"/>
      <c r="FW223" s="135"/>
      <c r="FX223" s="135"/>
      <c r="FY223" s="134"/>
      <c r="FZ223" s="134"/>
      <c r="GA223" s="134"/>
      <c r="GB223" s="134"/>
      <c r="GC223" s="134"/>
      <c r="GD223" s="134"/>
      <c r="GE223" s="134"/>
      <c r="GF223" s="134"/>
      <c r="GG223" s="135"/>
      <c r="GH223" s="135"/>
      <c r="GI223" s="134"/>
      <c r="GJ223" s="134"/>
      <c r="GK223" s="134"/>
      <c r="GL223" s="134"/>
      <c r="GM223" s="134"/>
      <c r="GN223" s="134"/>
      <c r="GO223" s="134"/>
      <c r="GP223" s="134"/>
      <c r="GQ223" s="135"/>
      <c r="GR223" s="135"/>
      <c r="GS223" s="134"/>
      <c r="GT223" s="134"/>
      <c r="GU223" s="134"/>
      <c r="GV223" s="134"/>
      <c r="GW223" s="134"/>
      <c r="GX223" s="134"/>
      <c r="GY223" s="134"/>
      <c r="GZ223" s="134"/>
      <c r="HA223" s="135"/>
      <c r="HB223" s="135"/>
      <c r="HC223" s="134"/>
      <c r="HD223" s="134"/>
      <c r="HE223" s="134"/>
      <c r="HF223" s="134"/>
      <c r="HG223" s="134"/>
      <c r="HH223" s="134"/>
      <c r="HI223" s="134"/>
      <c r="HJ223" s="134"/>
      <c r="HK223" s="135"/>
      <c r="HL223" s="135"/>
      <c r="HM223" s="134"/>
      <c r="HN223" s="134"/>
      <c r="HO223" s="134"/>
      <c r="HP223" s="134"/>
      <c r="HQ223" s="134"/>
      <c r="HR223" s="134"/>
      <c r="HS223" s="134"/>
      <c r="HT223" s="134"/>
      <c r="HU223" s="135"/>
      <c r="HV223" s="135"/>
      <c r="HW223" s="134"/>
      <c r="HX223" s="134"/>
      <c r="HY223" s="134"/>
      <c r="HZ223" s="134"/>
      <c r="IA223" s="134"/>
      <c r="IB223" s="134"/>
      <c r="IC223" s="134"/>
      <c r="ID223" s="134"/>
      <c r="IE223" s="135"/>
      <c r="IF223" s="135"/>
      <c r="IG223" s="134"/>
      <c r="IH223" s="134"/>
      <c r="II223" s="134"/>
      <c r="IJ223" s="134"/>
      <c r="IK223" s="134"/>
      <c r="IL223" s="134"/>
      <c r="IM223" s="134"/>
      <c r="IN223" s="134"/>
      <c r="IO223" s="135"/>
      <c r="IP223" s="135"/>
      <c r="IQ223" s="134"/>
      <c r="IR223" s="134"/>
      <c r="IS223" s="134"/>
      <c r="IT223" s="134"/>
      <c r="IU223" s="134"/>
      <c r="IV223" s="134"/>
      <c r="IW223" s="134"/>
      <c r="IX223" s="134"/>
      <c r="IY223" s="135"/>
      <c r="IZ223" s="135"/>
    </row>
    <row r="224" spans="1:260" customFormat="1" ht="17" customHeight="1">
      <c r="A224" s="118" t="s">
        <v>197</v>
      </c>
      <c r="B224" s="381">
        <v>143</v>
      </c>
      <c r="C224" s="381">
        <v>42</v>
      </c>
      <c r="D224" s="381"/>
      <c r="E224" s="139" t="s">
        <v>1973</v>
      </c>
      <c r="F224" s="140" t="s">
        <v>2197</v>
      </c>
      <c r="G224" s="141">
        <v>2006</v>
      </c>
      <c r="H224" s="118">
        <v>16139487</v>
      </c>
      <c r="I224" s="118">
        <v>1</v>
      </c>
      <c r="J224" s="118"/>
      <c r="K224" s="118"/>
      <c r="L224" s="118">
        <v>1</v>
      </c>
      <c r="M224" s="118"/>
      <c r="N224" s="118">
        <v>1</v>
      </c>
      <c r="O224" s="142">
        <v>1</v>
      </c>
      <c r="P224" s="118" t="s">
        <v>566</v>
      </c>
      <c r="Q224" s="118" t="s">
        <v>569</v>
      </c>
      <c r="R224" s="118" t="s">
        <v>567</v>
      </c>
      <c r="S224" s="118">
        <v>1</v>
      </c>
      <c r="T224" s="118"/>
      <c r="U224" s="118"/>
      <c r="V224" s="118"/>
      <c r="W224" s="118" t="s">
        <v>568</v>
      </c>
      <c r="X224" s="118" t="s">
        <v>24</v>
      </c>
      <c r="Y224" s="118"/>
      <c r="Z224" s="118"/>
      <c r="AA224" s="118"/>
      <c r="AB224" s="118"/>
      <c r="AC224" s="145"/>
      <c r="AD224" s="573">
        <v>1</v>
      </c>
      <c r="AE224" s="573">
        <v>2</v>
      </c>
      <c r="AF224" s="159">
        <v>1</v>
      </c>
      <c r="AG224" s="160"/>
      <c r="AH224" s="122">
        <v>2</v>
      </c>
      <c r="AI224" s="485" t="s">
        <v>4726</v>
      </c>
      <c r="AJ224" s="204"/>
      <c r="AK224" s="192">
        <v>1</v>
      </c>
      <c r="AL224" s="205"/>
      <c r="AM224" s="122">
        <v>40</v>
      </c>
      <c r="AN224" s="122">
        <v>20</v>
      </c>
      <c r="AO224" s="122">
        <v>20</v>
      </c>
      <c r="AP224" s="122" t="s">
        <v>803</v>
      </c>
      <c r="AQ224" s="122" t="s">
        <v>803</v>
      </c>
      <c r="AR224" s="122">
        <v>47</v>
      </c>
      <c r="AS224" s="122">
        <v>4</v>
      </c>
      <c r="AT224" s="122">
        <v>47</v>
      </c>
      <c r="AU224" s="122">
        <v>5</v>
      </c>
      <c r="AV224" s="122" t="s">
        <v>4711</v>
      </c>
      <c r="AW224" s="122" t="s">
        <v>24</v>
      </c>
      <c r="AX224" s="122" t="s">
        <v>24</v>
      </c>
      <c r="AY224" s="122" t="s">
        <v>4713</v>
      </c>
      <c r="AZ224" s="121" t="s">
        <v>5116</v>
      </c>
      <c r="BA224" s="122" t="s">
        <v>4712</v>
      </c>
      <c r="BB224" s="122"/>
      <c r="BC224" s="122"/>
      <c r="BD224" s="161"/>
      <c r="BE224" s="161"/>
      <c r="BF224" s="161" t="s">
        <v>4727</v>
      </c>
      <c r="BG224" s="161"/>
      <c r="BH224" s="161"/>
      <c r="BI224" s="492" t="s">
        <v>4727</v>
      </c>
      <c r="BJ224" s="161">
        <v>1</v>
      </c>
      <c r="BK224" s="161"/>
      <c r="BL224" s="492" t="s">
        <v>4727</v>
      </c>
      <c r="BM224" s="161"/>
      <c r="BN224" s="492" t="s">
        <v>4727</v>
      </c>
      <c r="BO224" s="161"/>
      <c r="BP224" s="161"/>
      <c r="BQ224" s="162" t="s">
        <v>4723</v>
      </c>
      <c r="BR224" s="150" t="s">
        <v>1876</v>
      </c>
      <c r="BS224" s="150">
        <v>2</v>
      </c>
      <c r="BT224" s="150" t="s">
        <v>4725</v>
      </c>
      <c r="BU224" s="150" t="s">
        <v>24</v>
      </c>
      <c r="BV224" s="150" t="s">
        <v>4728</v>
      </c>
      <c r="BW224" s="258" t="s">
        <v>4750</v>
      </c>
      <c r="BX224" s="151" t="s">
        <v>4730</v>
      </c>
      <c r="BY224" s="150">
        <v>0.6</v>
      </c>
      <c r="BZ224" s="150">
        <v>0.9</v>
      </c>
      <c r="CA224" s="150" t="s">
        <v>24</v>
      </c>
      <c r="CB224" s="151" t="s">
        <v>4731</v>
      </c>
      <c r="CC224" s="150">
        <v>1.8</v>
      </c>
      <c r="CD224" s="150">
        <v>0.6</v>
      </c>
      <c r="CE224" s="150" t="s">
        <v>24</v>
      </c>
      <c r="CF224" s="290" t="s">
        <v>4742</v>
      </c>
      <c r="CG224" s="291" t="s">
        <v>4743</v>
      </c>
      <c r="CH224" s="151" t="s">
        <v>4732</v>
      </c>
      <c r="CI224" s="150">
        <v>0.8</v>
      </c>
      <c r="CJ224" s="150">
        <v>0.8</v>
      </c>
      <c r="CK224" s="150" t="s">
        <v>24</v>
      </c>
      <c r="CL224" s="151" t="s">
        <v>4733</v>
      </c>
      <c r="CM224" s="150">
        <v>1.9</v>
      </c>
      <c r="CN224" s="150">
        <v>0.3</v>
      </c>
      <c r="CO224" s="150" t="s">
        <v>24</v>
      </c>
      <c r="CP224" s="290" t="s">
        <v>4744</v>
      </c>
      <c r="CQ224" s="291" t="s">
        <v>4745</v>
      </c>
      <c r="CR224" s="278" t="s">
        <v>24</v>
      </c>
      <c r="CS224" s="285" t="s">
        <v>24</v>
      </c>
      <c r="CT224" s="151" t="s">
        <v>4734</v>
      </c>
      <c r="CU224" s="150">
        <v>1</v>
      </c>
      <c r="CV224" s="150">
        <v>0.8</v>
      </c>
      <c r="CW224" s="150" t="s">
        <v>24</v>
      </c>
      <c r="CX224" s="151" t="s">
        <v>4735</v>
      </c>
      <c r="CY224" s="150">
        <v>1.9</v>
      </c>
      <c r="CZ224" s="150">
        <v>0.3</v>
      </c>
      <c r="DA224" s="150" t="s">
        <v>24</v>
      </c>
      <c r="DB224" s="302" t="s">
        <v>4742</v>
      </c>
      <c r="DC224" s="303" t="s">
        <v>4761</v>
      </c>
      <c r="DD224" s="151" t="s">
        <v>4736</v>
      </c>
      <c r="DE224" s="150">
        <v>1.3</v>
      </c>
      <c r="DF224" s="150">
        <v>0.7</v>
      </c>
      <c r="DG224" s="150" t="s">
        <v>24</v>
      </c>
      <c r="DH224" s="151" t="s">
        <v>4737</v>
      </c>
      <c r="DI224" s="150">
        <v>1.9</v>
      </c>
      <c r="DJ224" s="150">
        <v>0.2</v>
      </c>
      <c r="DK224" s="150" t="s">
        <v>24</v>
      </c>
      <c r="DL224" s="302" t="s">
        <v>4746</v>
      </c>
      <c r="DM224" s="303" t="s">
        <v>4747</v>
      </c>
      <c r="DN224" s="278" t="s">
        <v>24</v>
      </c>
      <c r="DO224" s="279" t="s">
        <v>24</v>
      </c>
      <c r="DP224" s="150" t="s">
        <v>4738</v>
      </c>
      <c r="DQ224" s="150">
        <v>1.6</v>
      </c>
      <c r="DR224" s="150">
        <v>0.8</v>
      </c>
      <c r="DS224" s="150" t="s">
        <v>24</v>
      </c>
      <c r="DT224" s="150" t="s">
        <v>4739</v>
      </c>
      <c r="DU224" s="150">
        <v>1.9</v>
      </c>
      <c r="DV224" s="150">
        <v>0.2</v>
      </c>
      <c r="DW224" s="150" t="s">
        <v>24</v>
      </c>
      <c r="DX224" s="303" t="s">
        <v>4742</v>
      </c>
      <c r="DY224" s="303" t="s">
        <v>4748</v>
      </c>
      <c r="DZ224" s="151" t="s">
        <v>4740</v>
      </c>
      <c r="EA224" s="150">
        <v>1.4</v>
      </c>
      <c r="EB224" s="150">
        <v>0.8</v>
      </c>
      <c r="EC224" s="150" t="s">
        <v>24</v>
      </c>
      <c r="ED224" s="151" t="s">
        <v>4741</v>
      </c>
      <c r="EE224" s="150">
        <v>1.9</v>
      </c>
      <c r="EF224" s="150">
        <v>0.5</v>
      </c>
      <c r="EG224" s="150" t="s">
        <v>24</v>
      </c>
      <c r="EH224" s="303" t="s">
        <v>4742</v>
      </c>
      <c r="EI224" s="303" t="s">
        <v>4749</v>
      </c>
      <c r="EJ224" s="279" t="s">
        <v>24</v>
      </c>
      <c r="EK224" s="150" t="s">
        <v>24</v>
      </c>
      <c r="EL224" s="150"/>
      <c r="EM224" s="150"/>
      <c r="EN224" s="150"/>
      <c r="EO224" s="150"/>
      <c r="EP224" s="150"/>
      <c r="EQ224" s="150"/>
      <c r="ER224" s="150"/>
      <c r="ES224" s="303"/>
      <c r="ET224" s="303"/>
      <c r="EU224" s="150"/>
      <c r="EV224" s="150"/>
      <c r="EW224" s="150"/>
      <c r="EX224" s="150"/>
      <c r="EY224" s="150"/>
      <c r="EZ224" s="150"/>
      <c r="FA224" s="150"/>
      <c r="FB224" s="150"/>
      <c r="FC224" s="152"/>
      <c r="FD224" s="152"/>
      <c r="FE224" s="134"/>
      <c r="FF224" s="134"/>
      <c r="FG224" s="134"/>
      <c r="FH224" s="134"/>
      <c r="FI224" s="134"/>
      <c r="FJ224" s="134"/>
      <c r="FK224" s="134"/>
      <c r="FL224" s="134"/>
      <c r="FM224" s="135"/>
      <c r="FN224" s="135"/>
      <c r="FO224" s="134"/>
      <c r="FP224" s="134"/>
      <c r="FQ224" s="134"/>
      <c r="FR224" s="134"/>
      <c r="FS224" s="134"/>
      <c r="FT224" s="134"/>
      <c r="FU224" s="134"/>
      <c r="FV224" s="134"/>
      <c r="FW224" s="135"/>
      <c r="FX224" s="135"/>
      <c r="FY224" s="134"/>
      <c r="FZ224" s="134"/>
      <c r="GA224" s="134"/>
      <c r="GB224" s="134"/>
      <c r="GC224" s="134"/>
      <c r="GD224" s="134"/>
      <c r="GE224" s="134"/>
      <c r="GF224" s="134"/>
      <c r="GG224" s="135"/>
      <c r="GH224" s="135"/>
      <c r="GI224" s="134"/>
      <c r="GJ224" s="134"/>
      <c r="GK224" s="134"/>
      <c r="GL224" s="134"/>
      <c r="GM224" s="134"/>
      <c r="GN224" s="134"/>
      <c r="GO224" s="134"/>
      <c r="GP224" s="134"/>
      <c r="GQ224" s="135"/>
      <c r="GR224" s="135"/>
      <c r="GS224" s="134"/>
      <c r="GT224" s="134"/>
      <c r="GU224" s="134"/>
      <c r="GV224" s="134"/>
      <c r="GW224" s="134"/>
      <c r="GX224" s="134"/>
      <c r="GY224" s="134"/>
      <c r="GZ224" s="134"/>
      <c r="HA224" s="135"/>
      <c r="HB224" s="135"/>
      <c r="HC224" s="134"/>
      <c r="HD224" s="134"/>
      <c r="HE224" s="134"/>
      <c r="HF224" s="134"/>
      <c r="HG224" s="134"/>
      <c r="HH224" s="134"/>
      <c r="HI224" s="134"/>
      <c r="HJ224" s="134"/>
      <c r="HK224" s="135"/>
      <c r="HL224" s="135"/>
      <c r="HM224" s="134"/>
      <c r="HN224" s="134"/>
      <c r="HO224" s="134"/>
      <c r="HP224" s="134"/>
      <c r="HQ224" s="134"/>
      <c r="HR224" s="134"/>
      <c r="HS224" s="134"/>
      <c r="HT224" s="134"/>
      <c r="HU224" s="135"/>
      <c r="HV224" s="135"/>
      <c r="HW224" s="134"/>
      <c r="HX224" s="134"/>
      <c r="HY224" s="134"/>
      <c r="HZ224" s="134"/>
      <c r="IA224" s="134"/>
      <c r="IB224" s="134"/>
      <c r="IC224" s="134"/>
      <c r="ID224" s="134"/>
      <c r="IE224" s="135"/>
      <c r="IF224" s="135"/>
      <c r="IG224" s="134"/>
      <c r="IH224" s="134"/>
      <c r="II224" s="134"/>
      <c r="IJ224" s="134"/>
      <c r="IK224" s="134"/>
      <c r="IL224" s="134"/>
      <c r="IM224" s="134"/>
      <c r="IN224" s="134"/>
      <c r="IO224" s="135"/>
      <c r="IP224" s="135"/>
      <c r="IQ224" s="134"/>
      <c r="IR224" s="134"/>
      <c r="IS224" s="134"/>
      <c r="IT224" s="134"/>
      <c r="IU224" s="134"/>
      <c r="IV224" s="134"/>
      <c r="IW224" s="134"/>
      <c r="IX224" s="134"/>
      <c r="IY224" s="135"/>
      <c r="IZ224" s="135"/>
    </row>
    <row r="225" spans="1:260" customFormat="1" ht="17" customHeight="1">
      <c r="A225" s="118" t="s">
        <v>197</v>
      </c>
      <c r="B225" s="381">
        <v>143</v>
      </c>
      <c r="C225" s="381">
        <v>42</v>
      </c>
      <c r="D225" s="381"/>
      <c r="E225" s="139" t="s">
        <v>1973</v>
      </c>
      <c r="F225" s="140" t="s">
        <v>2197</v>
      </c>
      <c r="G225" s="141">
        <v>2006</v>
      </c>
      <c r="H225" s="118">
        <v>16139487</v>
      </c>
      <c r="I225" s="118">
        <v>1</v>
      </c>
      <c r="J225" s="118"/>
      <c r="K225" s="118"/>
      <c r="L225" s="118">
        <v>1</v>
      </c>
      <c r="M225" s="118"/>
      <c r="N225" s="118">
        <v>1</v>
      </c>
      <c r="O225" s="142">
        <v>1</v>
      </c>
      <c r="P225" s="118" t="s">
        <v>566</v>
      </c>
      <c r="Q225" s="118" t="s">
        <v>569</v>
      </c>
      <c r="R225" s="118" t="s">
        <v>567</v>
      </c>
      <c r="S225" s="118">
        <v>1</v>
      </c>
      <c r="T225" s="118"/>
      <c r="U225" s="118"/>
      <c r="V225" s="118"/>
      <c r="W225" s="118" t="s">
        <v>568</v>
      </c>
      <c r="X225" s="118" t="s">
        <v>24</v>
      </c>
      <c r="Y225" s="118"/>
      <c r="Z225" s="118"/>
      <c r="AA225" s="118"/>
      <c r="AB225" s="118"/>
      <c r="AC225" s="145"/>
      <c r="AD225" s="573">
        <v>1</v>
      </c>
      <c r="AE225" s="573">
        <v>2</v>
      </c>
      <c r="AF225" s="159">
        <v>1</v>
      </c>
      <c r="AG225" s="160"/>
      <c r="AH225" s="122">
        <v>2</v>
      </c>
      <c r="AI225" s="485" t="s">
        <v>4726</v>
      </c>
      <c r="AJ225" s="204"/>
      <c r="AK225" s="192">
        <v>1</v>
      </c>
      <c r="AL225" s="205"/>
      <c r="AM225" s="122">
        <v>40</v>
      </c>
      <c r="AN225" s="122">
        <v>20</v>
      </c>
      <c r="AO225" s="122">
        <v>20</v>
      </c>
      <c r="AP225" s="122" t="s">
        <v>803</v>
      </c>
      <c r="AQ225" s="122" t="s">
        <v>803</v>
      </c>
      <c r="AR225" s="122">
        <v>47</v>
      </c>
      <c r="AS225" s="122">
        <v>4</v>
      </c>
      <c r="AT225" s="122">
        <v>47</v>
      </c>
      <c r="AU225" s="122">
        <v>5</v>
      </c>
      <c r="AV225" s="122" t="s">
        <v>4711</v>
      </c>
      <c r="AW225" s="122" t="s">
        <v>24</v>
      </c>
      <c r="AX225" s="122" t="s">
        <v>24</v>
      </c>
      <c r="AY225" s="122" t="s">
        <v>4713</v>
      </c>
      <c r="AZ225" s="121" t="s">
        <v>5116</v>
      </c>
      <c r="BA225" s="122" t="s">
        <v>4712</v>
      </c>
      <c r="BB225" s="122"/>
      <c r="BC225" s="122"/>
      <c r="BD225" s="161"/>
      <c r="BE225" s="161"/>
      <c r="BF225" s="161" t="s">
        <v>4727</v>
      </c>
      <c r="BG225" s="161"/>
      <c r="BH225" s="161"/>
      <c r="BI225" s="492" t="s">
        <v>4727</v>
      </c>
      <c r="BJ225" s="161">
        <v>1</v>
      </c>
      <c r="BK225" s="161"/>
      <c r="BL225" s="492" t="s">
        <v>4727</v>
      </c>
      <c r="BM225" s="161"/>
      <c r="BN225" s="492" t="s">
        <v>4727</v>
      </c>
      <c r="BO225" s="161"/>
      <c r="BP225" s="161"/>
      <c r="BQ225" s="162" t="s">
        <v>4755</v>
      </c>
      <c r="BR225" s="150" t="s">
        <v>1876</v>
      </c>
      <c r="BS225" s="150">
        <v>2</v>
      </c>
      <c r="BT225" s="150" t="s">
        <v>4724</v>
      </c>
      <c r="BU225" s="150" t="s">
        <v>24</v>
      </c>
      <c r="BV225" s="150" t="s">
        <v>4729</v>
      </c>
      <c r="BW225" s="258" t="s">
        <v>4771</v>
      </c>
      <c r="BX225" s="151" t="s">
        <v>4751</v>
      </c>
      <c r="BY225" s="150">
        <v>0.9</v>
      </c>
      <c r="BZ225" s="150">
        <v>0.9</v>
      </c>
      <c r="CA225" s="150" t="s">
        <v>24</v>
      </c>
      <c r="CB225" s="151" t="s">
        <v>4752</v>
      </c>
      <c r="CC225" s="150">
        <v>2</v>
      </c>
      <c r="CD225" s="150">
        <v>0</v>
      </c>
      <c r="CE225" s="150" t="s">
        <v>24</v>
      </c>
      <c r="CF225" s="290" t="s">
        <v>4742</v>
      </c>
      <c r="CG225" s="291" t="s">
        <v>4753</v>
      </c>
      <c r="CH225" s="151" t="s">
        <v>4754</v>
      </c>
      <c r="CI225" s="150">
        <v>1.25</v>
      </c>
      <c r="CJ225" s="150">
        <v>0.9</v>
      </c>
      <c r="CK225" s="150" t="s">
        <v>24</v>
      </c>
      <c r="CL225" s="151" t="s">
        <v>4756</v>
      </c>
      <c r="CM225" s="150">
        <v>2</v>
      </c>
      <c r="CN225" s="150">
        <v>0</v>
      </c>
      <c r="CO225" s="150" t="s">
        <v>24</v>
      </c>
      <c r="CP225" s="290" t="s">
        <v>4744</v>
      </c>
      <c r="CQ225" s="291" t="s">
        <v>4759</v>
      </c>
      <c r="CR225" s="278" t="s">
        <v>24</v>
      </c>
      <c r="CS225" s="285" t="s">
        <v>24</v>
      </c>
      <c r="CT225" s="151" t="s">
        <v>4757</v>
      </c>
      <c r="CU225" s="150">
        <v>1</v>
      </c>
      <c r="CV225" s="150">
        <v>0.8</v>
      </c>
      <c r="CW225" s="150" t="s">
        <v>24</v>
      </c>
      <c r="CX225" s="151" t="s">
        <v>4758</v>
      </c>
      <c r="CY225" s="150">
        <v>1.6</v>
      </c>
      <c r="CZ225" s="150">
        <v>0.5</v>
      </c>
      <c r="DA225" s="150" t="s">
        <v>24</v>
      </c>
      <c r="DB225" s="302" t="s">
        <v>4742</v>
      </c>
      <c r="DC225" s="303" t="s">
        <v>4760</v>
      </c>
      <c r="DD225" s="150" t="s">
        <v>4762</v>
      </c>
      <c r="DE225" s="150">
        <v>1.3</v>
      </c>
      <c r="DF225" s="150">
        <v>0.7</v>
      </c>
      <c r="DG225" s="150" t="s">
        <v>24</v>
      </c>
      <c r="DH225" s="150" t="s">
        <v>4763</v>
      </c>
      <c r="DI225" s="150">
        <v>2</v>
      </c>
      <c r="DJ225" s="150">
        <v>0</v>
      </c>
      <c r="DK225" s="150" t="s">
        <v>24</v>
      </c>
      <c r="DL225" s="302" t="s">
        <v>4744</v>
      </c>
      <c r="DM225" s="303" t="s">
        <v>4766</v>
      </c>
      <c r="DN225" s="278" t="s">
        <v>24</v>
      </c>
      <c r="DO225" s="279" t="s">
        <v>24</v>
      </c>
      <c r="DP225" s="150" t="s">
        <v>4764</v>
      </c>
      <c r="DQ225" s="150">
        <v>1.1000000000000001</v>
      </c>
      <c r="DR225" s="150">
        <v>0.7</v>
      </c>
      <c r="DS225" s="150" t="s">
        <v>24</v>
      </c>
      <c r="DT225" s="150" t="s">
        <v>4765</v>
      </c>
      <c r="DU225" s="150">
        <v>1.9</v>
      </c>
      <c r="DV225" s="150">
        <v>0.2</v>
      </c>
      <c r="DW225" s="150" t="s">
        <v>24</v>
      </c>
      <c r="DX225" s="303" t="s">
        <v>4742</v>
      </c>
      <c r="DY225" s="303" t="s">
        <v>4767</v>
      </c>
      <c r="DZ225" s="151" t="s">
        <v>4768</v>
      </c>
      <c r="EA225" s="150">
        <v>1.1000000000000001</v>
      </c>
      <c r="EB225" s="150">
        <v>0.9</v>
      </c>
      <c r="EC225" s="150" t="s">
        <v>24</v>
      </c>
      <c r="ED225" s="151" t="s">
        <v>4769</v>
      </c>
      <c r="EE225" s="150">
        <v>1.9</v>
      </c>
      <c r="EF225" s="150">
        <v>0.4</v>
      </c>
      <c r="EG225" s="150" t="s">
        <v>24</v>
      </c>
      <c r="EH225" s="303" t="s">
        <v>4742</v>
      </c>
      <c r="EI225" s="303" t="s">
        <v>4770</v>
      </c>
      <c r="EJ225" s="279" t="s">
        <v>24</v>
      </c>
      <c r="EK225" s="150" t="s">
        <v>24</v>
      </c>
      <c r="EL225" s="150"/>
      <c r="EM225" s="150"/>
      <c r="EN225" s="150"/>
      <c r="EO225" s="150"/>
      <c r="EP225" s="150"/>
      <c r="EQ225" s="150"/>
      <c r="ER225" s="150"/>
      <c r="ES225" s="303"/>
      <c r="ET225" s="303"/>
      <c r="EU225" s="150"/>
      <c r="EV225" s="150"/>
      <c r="EW225" s="150"/>
      <c r="EX225" s="150"/>
      <c r="EY225" s="150"/>
      <c r="EZ225" s="150"/>
      <c r="FA225" s="150"/>
      <c r="FB225" s="150"/>
      <c r="FC225" s="152"/>
      <c r="FD225" s="152"/>
      <c r="FE225" s="134"/>
      <c r="FF225" s="134"/>
      <c r="FG225" s="134"/>
      <c r="FH225" s="134"/>
      <c r="FI225" s="134"/>
      <c r="FJ225" s="134"/>
      <c r="FK225" s="134"/>
      <c r="FL225" s="134"/>
      <c r="FM225" s="135"/>
      <c r="FN225" s="135"/>
      <c r="FO225" s="134"/>
      <c r="FP225" s="134"/>
      <c r="FQ225" s="134"/>
      <c r="FR225" s="134"/>
      <c r="FS225" s="134"/>
      <c r="FT225" s="134"/>
      <c r="FU225" s="134"/>
      <c r="FV225" s="134"/>
      <c r="FW225" s="135"/>
      <c r="FX225" s="135"/>
      <c r="FY225" s="134"/>
      <c r="FZ225" s="134"/>
      <c r="GA225" s="134"/>
      <c r="GB225" s="134"/>
      <c r="GC225" s="134"/>
      <c r="GD225" s="134"/>
      <c r="GE225" s="134"/>
      <c r="GF225" s="134"/>
      <c r="GG225" s="135"/>
      <c r="GH225" s="135"/>
      <c r="GI225" s="134"/>
      <c r="GJ225" s="134"/>
      <c r="GK225" s="134"/>
      <c r="GL225" s="134"/>
      <c r="GM225" s="134"/>
      <c r="GN225" s="134"/>
      <c r="GO225" s="134"/>
      <c r="GP225" s="134"/>
      <c r="GQ225" s="135"/>
      <c r="GR225" s="135"/>
      <c r="GS225" s="134"/>
      <c r="GT225" s="134"/>
      <c r="GU225" s="134"/>
      <c r="GV225" s="134"/>
      <c r="GW225" s="134"/>
      <c r="GX225" s="134"/>
      <c r="GY225" s="134"/>
      <c r="GZ225" s="134"/>
      <c r="HA225" s="135"/>
      <c r="HB225" s="135"/>
      <c r="HC225" s="134"/>
      <c r="HD225" s="134"/>
      <c r="HE225" s="134"/>
      <c r="HF225" s="134"/>
      <c r="HG225" s="134"/>
      <c r="HH225" s="134"/>
      <c r="HI225" s="134"/>
      <c r="HJ225" s="134"/>
      <c r="HK225" s="135"/>
      <c r="HL225" s="135"/>
      <c r="HM225" s="134"/>
      <c r="HN225" s="134"/>
      <c r="HO225" s="134"/>
      <c r="HP225" s="134"/>
      <c r="HQ225" s="134"/>
      <c r="HR225" s="134"/>
      <c r="HS225" s="134"/>
      <c r="HT225" s="134"/>
      <c r="HU225" s="135"/>
      <c r="HV225" s="135"/>
      <c r="HW225" s="134"/>
      <c r="HX225" s="134"/>
      <c r="HY225" s="134"/>
      <c r="HZ225" s="134"/>
      <c r="IA225" s="134"/>
      <c r="IB225" s="134"/>
      <c r="IC225" s="134"/>
      <c r="ID225" s="134"/>
      <c r="IE225" s="135"/>
      <c r="IF225" s="135"/>
      <c r="IG225" s="134"/>
      <c r="IH225" s="134"/>
      <c r="II225" s="134"/>
      <c r="IJ225" s="134"/>
      <c r="IK225" s="134"/>
      <c r="IL225" s="134"/>
      <c r="IM225" s="134"/>
      <c r="IN225" s="134"/>
      <c r="IO225" s="135"/>
      <c r="IP225" s="135"/>
      <c r="IQ225" s="134"/>
      <c r="IR225" s="134"/>
      <c r="IS225" s="134"/>
      <c r="IT225" s="134"/>
      <c r="IU225" s="134"/>
      <c r="IV225" s="134"/>
      <c r="IW225" s="134"/>
      <c r="IX225" s="134"/>
      <c r="IY225" s="135"/>
      <c r="IZ225" s="135"/>
    </row>
    <row r="226" spans="1:260" customFormat="1" ht="17" customHeight="1">
      <c r="A226" s="79" t="s">
        <v>198</v>
      </c>
      <c r="B226" s="117">
        <v>144</v>
      </c>
      <c r="C226" s="117">
        <v>43</v>
      </c>
      <c r="D226" s="117"/>
      <c r="E226" s="123" t="s">
        <v>1974</v>
      </c>
      <c r="F226" s="124" t="s">
        <v>2198</v>
      </c>
      <c r="G226" s="125">
        <v>2014</v>
      </c>
      <c r="H226" s="79">
        <v>25470729</v>
      </c>
      <c r="I226" s="79">
        <v>1</v>
      </c>
      <c r="J226" s="126"/>
      <c r="K226" s="127"/>
      <c r="L226" s="79">
        <v>1</v>
      </c>
      <c r="M226" s="79"/>
      <c r="N226" s="173">
        <v>1</v>
      </c>
      <c r="O226" s="128">
        <v>1</v>
      </c>
      <c r="P226" s="79" t="s">
        <v>570</v>
      </c>
      <c r="Q226" s="79" t="s">
        <v>1147</v>
      </c>
      <c r="R226" s="79" t="s">
        <v>25</v>
      </c>
      <c r="S226" s="79">
        <v>1</v>
      </c>
      <c r="T226" s="79"/>
      <c r="U226" s="79"/>
      <c r="V226" s="79"/>
      <c r="W226" s="79"/>
      <c r="X226" s="79"/>
      <c r="Y226" s="79"/>
      <c r="Z226" s="79"/>
      <c r="AA226" s="79"/>
      <c r="AB226" s="79"/>
      <c r="AC226" s="506"/>
      <c r="AD226" s="573">
        <v>1</v>
      </c>
      <c r="AE226" s="573">
        <v>2</v>
      </c>
      <c r="AF226" s="233" t="s">
        <v>3003</v>
      </c>
      <c r="AG226" s="234" t="s">
        <v>4773</v>
      </c>
      <c r="AH226" s="121">
        <v>2</v>
      </c>
      <c r="AI226" s="484"/>
      <c r="AJ226" s="202" t="s">
        <v>4772</v>
      </c>
      <c r="AK226" s="192"/>
      <c r="AL226" s="203"/>
      <c r="AM226" s="121"/>
      <c r="AN226" s="121"/>
      <c r="AO226" s="121"/>
      <c r="AP226" s="121"/>
      <c r="AQ226" s="121"/>
      <c r="AR226" s="121"/>
      <c r="AS226" s="121"/>
      <c r="AT226" s="121"/>
      <c r="AU226" s="121"/>
      <c r="AV226" s="121"/>
      <c r="AW226" s="121"/>
      <c r="AX226" s="121"/>
      <c r="AY226" s="121"/>
      <c r="AZ226" s="121"/>
      <c r="BA226" s="121"/>
      <c r="BB226" s="121"/>
      <c r="BC226" s="121"/>
      <c r="BD226" s="156"/>
      <c r="BE226" s="156"/>
      <c r="BF226" s="156"/>
      <c r="BG226" s="156"/>
      <c r="BH226" s="156"/>
      <c r="BI226" s="156"/>
      <c r="BJ226" s="156">
        <v>1</v>
      </c>
      <c r="BK226" s="156"/>
      <c r="BL226" s="156"/>
      <c r="BM226" s="156"/>
      <c r="BN226" s="156"/>
      <c r="BO226" s="156"/>
      <c r="BP226" s="156"/>
      <c r="BQ226" s="374"/>
      <c r="BR226" s="134"/>
      <c r="BS226" s="134"/>
      <c r="BT226" s="134"/>
      <c r="BU226" s="134"/>
      <c r="BV226" s="134"/>
      <c r="BW226" s="259" t="s">
        <v>24</v>
      </c>
      <c r="BX226" s="138"/>
      <c r="BY226" s="134"/>
      <c r="BZ226" s="134"/>
      <c r="CA226" s="134"/>
      <c r="CB226" s="138"/>
      <c r="CC226" s="134"/>
      <c r="CD226" s="134"/>
      <c r="CE226" s="134"/>
      <c r="CF226" s="288"/>
      <c r="CG226" s="289"/>
      <c r="CH226" s="138"/>
      <c r="CI226" s="134"/>
      <c r="CJ226" s="134"/>
      <c r="CK226" s="134"/>
      <c r="CL226" s="138"/>
      <c r="CM226" s="134"/>
      <c r="CN226" s="134"/>
      <c r="CO226" s="134"/>
      <c r="CP226" s="288"/>
      <c r="CQ226" s="289"/>
      <c r="CR226" s="276"/>
      <c r="CS226" s="308"/>
      <c r="CT226" s="138"/>
      <c r="CU226" s="134"/>
      <c r="CV226" s="134"/>
      <c r="CW226" s="134"/>
      <c r="CX226" s="134"/>
      <c r="CY226" s="134"/>
      <c r="CZ226" s="134"/>
      <c r="DA226" s="134"/>
      <c r="DB226" s="300"/>
      <c r="DC226" s="301"/>
      <c r="DD226" s="134"/>
      <c r="DE226" s="134"/>
      <c r="DF226" s="134"/>
      <c r="DG226" s="134"/>
      <c r="DH226" s="134"/>
      <c r="DI226" s="134"/>
      <c r="DJ226" s="134"/>
      <c r="DK226" s="134"/>
      <c r="DL226" s="300"/>
      <c r="DM226" s="301"/>
      <c r="DN226" s="276"/>
      <c r="DO226" s="277"/>
      <c r="DP226" s="134"/>
      <c r="DQ226" s="134"/>
      <c r="DR226" s="134"/>
      <c r="DS226" s="134"/>
      <c r="DT226" s="138"/>
      <c r="DU226" s="134"/>
      <c r="DV226" s="134"/>
      <c r="DW226" s="134"/>
      <c r="DX226" s="301"/>
      <c r="DY226" s="301"/>
      <c r="DZ226" s="138"/>
      <c r="EA226" s="134"/>
      <c r="EB226" s="134"/>
      <c r="EC226" s="134"/>
      <c r="ED226" s="138"/>
      <c r="EE226" s="134"/>
      <c r="EF226" s="134"/>
      <c r="EG226" s="134"/>
      <c r="EH226" s="301"/>
      <c r="EI226" s="301"/>
      <c r="EJ226" s="277"/>
      <c r="EK226" s="134"/>
      <c r="EL226" s="134"/>
      <c r="EM226" s="134"/>
      <c r="EN226" s="134"/>
      <c r="EO226" s="134"/>
      <c r="EP226" s="134"/>
      <c r="EQ226" s="134"/>
      <c r="ER226" s="134"/>
      <c r="ES226" s="301"/>
      <c r="ET226" s="301"/>
      <c r="EU226" s="134"/>
      <c r="EV226" s="134"/>
      <c r="EW226" s="134"/>
      <c r="EX226" s="134"/>
      <c r="EY226" s="134"/>
      <c r="EZ226" s="134"/>
      <c r="FA226" s="134"/>
      <c r="FB226" s="134"/>
      <c r="FC226" s="135"/>
      <c r="FD226" s="135"/>
      <c r="FE226" s="134"/>
      <c r="FF226" s="134"/>
      <c r="FG226" s="134"/>
      <c r="FH226" s="134"/>
      <c r="FI226" s="134"/>
      <c r="FJ226" s="134"/>
      <c r="FK226" s="134"/>
      <c r="FL226" s="134"/>
      <c r="FM226" s="135"/>
      <c r="FN226" s="135"/>
      <c r="FO226" s="134"/>
      <c r="FP226" s="134"/>
      <c r="FQ226" s="134"/>
      <c r="FR226" s="134"/>
      <c r="FS226" s="134"/>
      <c r="FT226" s="134"/>
      <c r="FU226" s="134"/>
      <c r="FV226" s="134"/>
      <c r="FW226" s="135"/>
      <c r="FX226" s="135"/>
      <c r="FY226" s="134"/>
      <c r="FZ226" s="134"/>
      <c r="GA226" s="134"/>
      <c r="GB226" s="134"/>
      <c r="GC226" s="134"/>
      <c r="GD226" s="134"/>
      <c r="GE226" s="134"/>
      <c r="GF226" s="134"/>
      <c r="GG226" s="135"/>
      <c r="GH226" s="135"/>
      <c r="GI226" s="134"/>
      <c r="GJ226" s="134"/>
      <c r="GK226" s="134"/>
      <c r="GL226" s="134"/>
      <c r="GM226" s="134"/>
      <c r="GN226" s="134"/>
      <c r="GO226" s="134"/>
      <c r="GP226" s="134"/>
      <c r="GQ226" s="135"/>
      <c r="GR226" s="135"/>
      <c r="GS226" s="134"/>
      <c r="GT226" s="134"/>
      <c r="GU226" s="134"/>
      <c r="GV226" s="134"/>
      <c r="GW226" s="134"/>
      <c r="GX226" s="134"/>
      <c r="GY226" s="134"/>
      <c r="GZ226" s="134"/>
      <c r="HA226" s="135"/>
      <c r="HB226" s="135"/>
      <c r="HC226" s="134"/>
      <c r="HD226" s="134"/>
      <c r="HE226" s="134"/>
      <c r="HF226" s="134"/>
      <c r="HG226" s="134"/>
      <c r="HH226" s="134"/>
      <c r="HI226" s="134"/>
      <c r="HJ226" s="134"/>
      <c r="HK226" s="135"/>
      <c r="HL226" s="135"/>
      <c r="HM226" s="134"/>
      <c r="HN226" s="134"/>
      <c r="HO226" s="134"/>
      <c r="HP226" s="134"/>
      <c r="HQ226" s="134"/>
      <c r="HR226" s="134"/>
      <c r="HS226" s="134"/>
      <c r="HT226" s="134"/>
      <c r="HU226" s="135"/>
      <c r="HV226" s="135"/>
      <c r="HW226" s="134"/>
      <c r="HX226" s="134"/>
      <c r="HY226" s="134"/>
      <c r="HZ226" s="134"/>
      <c r="IA226" s="134"/>
      <c r="IB226" s="134"/>
      <c r="IC226" s="134"/>
      <c r="ID226" s="134"/>
      <c r="IE226" s="135"/>
      <c r="IF226" s="135"/>
      <c r="IG226" s="134"/>
      <c r="IH226" s="134"/>
      <c r="II226" s="134"/>
      <c r="IJ226" s="134"/>
      <c r="IK226" s="134"/>
      <c r="IL226" s="134"/>
      <c r="IM226" s="134"/>
      <c r="IN226" s="134"/>
      <c r="IO226" s="135"/>
      <c r="IP226" s="135"/>
      <c r="IQ226" s="134"/>
      <c r="IR226" s="134"/>
      <c r="IS226" s="134"/>
      <c r="IT226" s="134"/>
      <c r="IU226" s="134"/>
      <c r="IV226" s="134"/>
      <c r="IW226" s="134"/>
      <c r="IX226" s="134"/>
      <c r="IY226" s="135"/>
      <c r="IZ226" s="135"/>
    </row>
    <row r="227" spans="1:260" customFormat="1" ht="17" customHeight="1">
      <c r="A227" s="79" t="s">
        <v>200</v>
      </c>
      <c r="B227" s="117">
        <v>146</v>
      </c>
      <c r="C227" s="117">
        <v>44</v>
      </c>
      <c r="D227" s="117"/>
      <c r="E227" s="123" t="s">
        <v>1975</v>
      </c>
      <c r="F227" s="124" t="s">
        <v>2199</v>
      </c>
      <c r="G227" s="125">
        <v>2012</v>
      </c>
      <c r="H227" s="79">
        <v>21443892</v>
      </c>
      <c r="I227" s="79">
        <v>1</v>
      </c>
      <c r="J227" s="126"/>
      <c r="K227" s="127"/>
      <c r="L227" s="79">
        <v>1</v>
      </c>
      <c r="M227" s="79"/>
      <c r="N227" s="164">
        <v>1</v>
      </c>
      <c r="O227" s="128">
        <v>1</v>
      </c>
      <c r="P227" s="79" t="s">
        <v>574</v>
      </c>
      <c r="Q227" s="79" t="s">
        <v>1147</v>
      </c>
      <c r="R227" s="79" t="s">
        <v>575</v>
      </c>
      <c r="S227" s="79">
        <v>0</v>
      </c>
      <c r="T227" s="79"/>
      <c r="U227" s="79"/>
      <c r="V227" s="79"/>
      <c r="W227" s="79" t="s">
        <v>23</v>
      </c>
      <c r="X227" s="79" t="s">
        <v>573</v>
      </c>
      <c r="Y227" s="79"/>
      <c r="Z227" s="79"/>
      <c r="AA227" s="79"/>
      <c r="AB227" s="79" t="s">
        <v>576</v>
      </c>
      <c r="AC227" s="506"/>
      <c r="AD227" s="573">
        <v>1</v>
      </c>
      <c r="AE227" s="573">
        <v>2</v>
      </c>
      <c r="AF227" s="165">
        <v>0</v>
      </c>
      <c r="AG227" s="166" t="s">
        <v>4774</v>
      </c>
      <c r="AH227" s="120"/>
      <c r="AI227" s="120"/>
      <c r="AJ227" s="206"/>
      <c r="AK227" s="372"/>
      <c r="AL227" s="207"/>
      <c r="AM227" s="120"/>
      <c r="AN227" s="120"/>
      <c r="AO227" s="120"/>
      <c r="AP227" s="120"/>
      <c r="AQ227" s="120"/>
      <c r="AR227" s="120"/>
      <c r="AS227" s="120"/>
      <c r="AT227" s="120"/>
      <c r="AU227" s="120"/>
      <c r="AV227" s="120"/>
      <c r="AW227" s="120"/>
      <c r="AX227" s="120"/>
      <c r="AY227" s="120"/>
      <c r="AZ227" s="120"/>
      <c r="BA227" s="120"/>
      <c r="BB227" s="120"/>
      <c r="BC227" s="120"/>
      <c r="BD227" s="373"/>
      <c r="BE227" s="373"/>
      <c r="BF227" s="373"/>
      <c r="BG227" s="373"/>
      <c r="BH227" s="373"/>
      <c r="BI227" s="373"/>
      <c r="BJ227" s="373">
        <v>1</v>
      </c>
      <c r="BK227" s="373"/>
      <c r="BL227" s="373"/>
      <c r="BM227" s="373"/>
      <c r="BN227" s="373"/>
      <c r="BO227" s="373"/>
      <c r="BP227" s="373"/>
      <c r="BQ227" s="374"/>
      <c r="BR227" s="134"/>
      <c r="BS227" s="134"/>
      <c r="BT227" s="134"/>
      <c r="BU227" s="134"/>
      <c r="BV227" s="134"/>
      <c r="BW227" s="259" t="s">
        <v>24</v>
      </c>
      <c r="BX227" s="138"/>
      <c r="BY227" s="134"/>
      <c r="BZ227" s="134"/>
      <c r="CA227" s="134"/>
      <c r="CB227" s="138"/>
      <c r="CC227" s="134"/>
      <c r="CD227" s="134"/>
      <c r="CE227" s="134"/>
      <c r="CF227" s="288"/>
      <c r="CG227" s="289"/>
      <c r="CH227" s="138"/>
      <c r="CI227" s="134"/>
      <c r="CJ227" s="134"/>
      <c r="CK227" s="134"/>
      <c r="CL227" s="138"/>
      <c r="CM227" s="134"/>
      <c r="CN227" s="134"/>
      <c r="CO227" s="134"/>
      <c r="CP227" s="288"/>
      <c r="CQ227" s="289"/>
      <c r="CR227" s="276"/>
      <c r="CS227" s="308"/>
      <c r="CT227" s="138"/>
      <c r="CU227" s="134"/>
      <c r="CV227" s="134"/>
      <c r="CW227" s="134"/>
      <c r="CX227" s="134"/>
      <c r="CY227" s="134"/>
      <c r="CZ227" s="134"/>
      <c r="DA227" s="134"/>
      <c r="DB227" s="300"/>
      <c r="DC227" s="301"/>
      <c r="DD227" s="134"/>
      <c r="DE227" s="134"/>
      <c r="DF227" s="134"/>
      <c r="DG227" s="134"/>
      <c r="DH227" s="134"/>
      <c r="DI227" s="134"/>
      <c r="DJ227" s="134"/>
      <c r="DK227" s="134"/>
      <c r="DL227" s="300"/>
      <c r="DM227" s="301"/>
      <c r="DN227" s="276"/>
      <c r="DO227" s="277"/>
      <c r="DP227" s="134"/>
      <c r="DQ227" s="134"/>
      <c r="DR227" s="134"/>
      <c r="DS227" s="134"/>
      <c r="DT227" s="138"/>
      <c r="DU227" s="134"/>
      <c r="DV227" s="134"/>
      <c r="DW227" s="134"/>
      <c r="DX227" s="301"/>
      <c r="DY227" s="301"/>
      <c r="DZ227" s="138"/>
      <c r="EA227" s="134"/>
      <c r="EB227" s="134"/>
      <c r="EC227" s="134"/>
      <c r="ED227" s="138"/>
      <c r="EE227" s="134"/>
      <c r="EF227" s="134"/>
      <c r="EG227" s="134"/>
      <c r="EH227" s="301"/>
      <c r="EI227" s="301"/>
      <c r="EJ227" s="277"/>
      <c r="EK227" s="134"/>
      <c r="EL227" s="134"/>
      <c r="EM227" s="134"/>
      <c r="EN227" s="134"/>
      <c r="EO227" s="134"/>
      <c r="EP227" s="134"/>
      <c r="EQ227" s="134"/>
      <c r="ER227" s="134"/>
      <c r="ES227" s="301"/>
      <c r="ET227" s="301"/>
      <c r="EU227" s="134"/>
      <c r="EV227" s="134"/>
      <c r="EW227" s="134"/>
      <c r="EX227" s="134"/>
      <c r="EY227" s="134"/>
      <c r="EZ227" s="134"/>
      <c r="FA227" s="134"/>
      <c r="FB227" s="134"/>
      <c r="FC227" s="135"/>
      <c r="FD227" s="135"/>
      <c r="FE227" s="134"/>
      <c r="FF227" s="134"/>
      <c r="FG227" s="134"/>
      <c r="FH227" s="134"/>
      <c r="FI227" s="134"/>
      <c r="FJ227" s="134"/>
      <c r="FK227" s="134"/>
      <c r="FL227" s="134"/>
      <c r="FM227" s="135"/>
      <c r="FN227" s="135"/>
      <c r="FO227" s="134"/>
      <c r="FP227" s="134"/>
      <c r="FQ227" s="134"/>
      <c r="FR227" s="134"/>
      <c r="FS227" s="134"/>
      <c r="FT227" s="134"/>
      <c r="FU227" s="134"/>
      <c r="FV227" s="134"/>
      <c r="FW227" s="135"/>
      <c r="FX227" s="135"/>
      <c r="FY227" s="134"/>
      <c r="FZ227" s="134"/>
      <c r="GA227" s="134"/>
      <c r="GB227" s="134"/>
      <c r="GC227" s="134"/>
      <c r="GD227" s="134"/>
      <c r="GE227" s="134"/>
      <c r="GF227" s="134"/>
      <c r="GG227" s="135"/>
      <c r="GH227" s="135"/>
      <c r="GI227" s="134"/>
      <c r="GJ227" s="134"/>
      <c r="GK227" s="134"/>
      <c r="GL227" s="134"/>
      <c r="GM227" s="134"/>
      <c r="GN227" s="134"/>
      <c r="GO227" s="134"/>
      <c r="GP227" s="134"/>
      <c r="GQ227" s="135"/>
      <c r="GR227" s="135"/>
      <c r="GS227" s="134"/>
      <c r="GT227" s="134"/>
      <c r="GU227" s="134"/>
      <c r="GV227" s="134"/>
      <c r="GW227" s="134"/>
      <c r="GX227" s="134"/>
      <c r="GY227" s="134"/>
      <c r="GZ227" s="134"/>
      <c r="HA227" s="135"/>
      <c r="HB227" s="135"/>
      <c r="HC227" s="134"/>
      <c r="HD227" s="134"/>
      <c r="HE227" s="134"/>
      <c r="HF227" s="134"/>
      <c r="HG227" s="134"/>
      <c r="HH227" s="134"/>
      <c r="HI227" s="134"/>
      <c r="HJ227" s="134"/>
      <c r="HK227" s="135"/>
      <c r="HL227" s="135"/>
      <c r="HM227" s="134"/>
      <c r="HN227" s="134"/>
      <c r="HO227" s="134"/>
      <c r="HP227" s="134"/>
      <c r="HQ227" s="134"/>
      <c r="HR227" s="134"/>
      <c r="HS227" s="134"/>
      <c r="HT227" s="134"/>
      <c r="HU227" s="135"/>
      <c r="HV227" s="135"/>
      <c r="HW227" s="134"/>
      <c r="HX227" s="134"/>
      <c r="HY227" s="134"/>
      <c r="HZ227" s="134"/>
      <c r="IA227" s="134"/>
      <c r="IB227" s="134"/>
      <c r="IC227" s="134"/>
      <c r="ID227" s="134"/>
      <c r="IE227" s="135"/>
      <c r="IF227" s="135"/>
      <c r="IG227" s="134"/>
      <c r="IH227" s="134"/>
      <c r="II227" s="134"/>
      <c r="IJ227" s="134"/>
      <c r="IK227" s="134"/>
      <c r="IL227" s="134"/>
      <c r="IM227" s="134"/>
      <c r="IN227" s="134"/>
      <c r="IO227" s="135"/>
      <c r="IP227" s="135"/>
      <c r="IQ227" s="134"/>
      <c r="IR227" s="134"/>
      <c r="IS227" s="134"/>
      <c r="IT227" s="134"/>
      <c r="IU227" s="134"/>
      <c r="IV227" s="134"/>
      <c r="IW227" s="134"/>
      <c r="IX227" s="134"/>
      <c r="IY227" s="135"/>
      <c r="IZ227" s="135"/>
    </row>
    <row r="228" spans="1:260" customFormat="1" ht="17" customHeight="1">
      <c r="A228" s="79" t="s">
        <v>1036</v>
      </c>
      <c r="B228" s="117">
        <v>147</v>
      </c>
      <c r="C228" s="117">
        <v>45</v>
      </c>
      <c r="D228" s="117"/>
      <c r="E228" s="123" t="s">
        <v>2083</v>
      </c>
      <c r="F228" s="124" t="s">
        <v>2337</v>
      </c>
      <c r="G228" s="125">
        <v>2013</v>
      </c>
      <c r="H228" s="79">
        <v>23891637</v>
      </c>
      <c r="I228" s="79">
        <v>1</v>
      </c>
      <c r="J228" s="126">
        <v>1</v>
      </c>
      <c r="K228" s="127"/>
      <c r="L228" s="79">
        <v>1</v>
      </c>
      <c r="M228" s="79"/>
      <c r="N228" s="79">
        <v>1</v>
      </c>
      <c r="O228" s="128">
        <v>2</v>
      </c>
      <c r="P228" s="79" t="s">
        <v>1347</v>
      </c>
      <c r="Q228" s="79" t="s">
        <v>1216</v>
      </c>
      <c r="R228" s="79" t="s">
        <v>1127</v>
      </c>
      <c r="S228" s="79"/>
      <c r="T228" s="79" t="s">
        <v>1714</v>
      </c>
      <c r="U228" s="79" t="s">
        <v>803</v>
      </c>
      <c r="V228" s="79"/>
      <c r="W228" s="79" t="s">
        <v>1383</v>
      </c>
      <c r="X228" s="79" t="s">
        <v>1384</v>
      </c>
      <c r="Y228" s="79" t="s">
        <v>1385</v>
      </c>
      <c r="Z228" s="79"/>
      <c r="AA228" s="79"/>
      <c r="AB228" s="79"/>
      <c r="AC228" s="506"/>
      <c r="AD228" s="573">
        <v>1</v>
      </c>
      <c r="AE228" s="573">
        <v>2</v>
      </c>
      <c r="AF228" s="154">
        <v>1</v>
      </c>
      <c r="AG228" s="155"/>
      <c r="AH228" s="121">
        <v>4</v>
      </c>
      <c r="AI228" s="484" t="s">
        <v>4897</v>
      </c>
      <c r="AJ228" s="202" t="s">
        <v>4859</v>
      </c>
      <c r="AK228" s="192">
        <v>0</v>
      </c>
      <c r="AL228" s="203">
        <v>0</v>
      </c>
      <c r="AM228" s="121" t="s">
        <v>4147</v>
      </c>
      <c r="AN228" s="121">
        <v>5</v>
      </c>
      <c r="AO228" s="121">
        <v>5</v>
      </c>
      <c r="AP228" s="121" t="s">
        <v>803</v>
      </c>
      <c r="AQ228" s="121" t="s">
        <v>803</v>
      </c>
      <c r="AR228" s="121" t="s">
        <v>4775</v>
      </c>
      <c r="AS228" s="121" t="s">
        <v>24</v>
      </c>
      <c r="AT228" s="121" t="s">
        <v>4775</v>
      </c>
      <c r="AU228" s="121" t="s">
        <v>24</v>
      </c>
      <c r="AV228" s="121" t="s">
        <v>4778</v>
      </c>
      <c r="AW228" s="121" t="s">
        <v>4777</v>
      </c>
      <c r="AX228" s="121" t="s">
        <v>4776</v>
      </c>
      <c r="AY228" s="121" t="s">
        <v>4779</v>
      </c>
      <c r="AZ228" s="121" t="s">
        <v>4780</v>
      </c>
      <c r="BA228" s="121" t="s">
        <v>4781</v>
      </c>
      <c r="BB228" s="121"/>
      <c r="BC228" s="121"/>
      <c r="BD228" s="156"/>
      <c r="BE228" s="156"/>
      <c r="BF228" s="156"/>
      <c r="BG228" s="156"/>
      <c r="BH228" s="156"/>
      <c r="BI228" s="156"/>
      <c r="BJ228" s="156">
        <v>1</v>
      </c>
      <c r="BK228" s="156"/>
      <c r="BL228" s="156"/>
      <c r="BM228" s="156"/>
      <c r="BN228" s="156"/>
      <c r="BO228" s="156"/>
      <c r="BP228" s="156"/>
      <c r="BQ228" s="157" t="s">
        <v>3563</v>
      </c>
      <c r="BR228" s="134" t="s">
        <v>1876</v>
      </c>
      <c r="BS228" s="134" t="s">
        <v>4782</v>
      </c>
      <c r="BT228" s="134" t="s">
        <v>4785</v>
      </c>
      <c r="BU228" s="134" t="s">
        <v>4783</v>
      </c>
      <c r="BV228" s="134" t="s">
        <v>4784</v>
      </c>
      <c r="BW228" s="259" t="s">
        <v>4858</v>
      </c>
      <c r="BX228" s="138" t="s">
        <v>4786</v>
      </c>
      <c r="BY228" s="134">
        <v>31.865300000000001</v>
      </c>
      <c r="BZ228" s="134" t="s">
        <v>24</v>
      </c>
      <c r="CA228" s="134">
        <f>35.3627-Table665[[#This Row],[Outcome1_M]]</f>
        <v>3.4973999999999954</v>
      </c>
      <c r="CB228" s="138" t="s">
        <v>4787</v>
      </c>
      <c r="CC228" s="134">
        <v>35.233199999999997</v>
      </c>
      <c r="CD228" s="134" t="s">
        <v>24</v>
      </c>
      <c r="CE228" s="134">
        <f>37.0466-Table665[[#This Row],[Outcome2_M]]</f>
        <v>1.8134000000000015</v>
      </c>
      <c r="CF228" s="288" t="s">
        <v>4791</v>
      </c>
      <c r="CG228" s="289" t="s">
        <v>2480</v>
      </c>
      <c r="CH228" s="138" t="s">
        <v>4788</v>
      </c>
      <c r="CI228" s="134">
        <v>28.238299999999999</v>
      </c>
      <c r="CJ228" s="134" t="s">
        <v>24</v>
      </c>
      <c r="CK228" s="134">
        <f>30.5699-Table665[[#This Row],[Outcome3_M]]</f>
        <v>2.3316000000000017</v>
      </c>
      <c r="CL228" s="138" t="s">
        <v>4789</v>
      </c>
      <c r="CM228" s="134">
        <v>46.373100000000001</v>
      </c>
      <c r="CN228" s="134" t="s">
        <v>24</v>
      </c>
      <c r="CO228" s="134">
        <f>48.4456-Table665[[#This Row],[Outcome4_M]]</f>
        <v>2.072499999999998</v>
      </c>
      <c r="CP228" s="288" t="s">
        <v>4790</v>
      </c>
      <c r="CQ228" s="289" t="s">
        <v>2555</v>
      </c>
      <c r="CR228" s="276" t="s">
        <v>4792</v>
      </c>
      <c r="CS228" s="308" t="s">
        <v>24</v>
      </c>
      <c r="CT228" s="138" t="s">
        <v>4793</v>
      </c>
      <c r="CU228" s="134">
        <v>45.930700000000002</v>
      </c>
      <c r="CV228" s="134" t="s">
        <v>24</v>
      </c>
      <c r="CW228" s="134">
        <f>52.4857-Table665[[#This Row],[Outcome5_M]]</f>
        <v>6.5549999999999997</v>
      </c>
      <c r="CX228" s="138" t="s">
        <v>4794</v>
      </c>
      <c r="CY228" s="134">
        <v>24.104700000000001</v>
      </c>
      <c r="CZ228" s="134" t="s">
        <v>24</v>
      </c>
      <c r="DA228" s="134">
        <f>26.2414-Table665[[#This Row],[Outcome6_M]]</f>
        <v>2.1366999999999976</v>
      </c>
      <c r="DB228" s="300" t="s">
        <v>4853</v>
      </c>
      <c r="DC228" s="301" t="s">
        <v>2555</v>
      </c>
      <c r="DD228" s="138" t="s">
        <v>4795</v>
      </c>
      <c r="DE228" s="134">
        <v>26.9087</v>
      </c>
      <c r="DF228" s="134" t="s">
        <v>24</v>
      </c>
      <c r="DG228" s="134">
        <f>29.331-Table665[[#This Row],[Outcome7_M]]</f>
        <v>2.4222999999999999</v>
      </c>
      <c r="DH228" s="138" t="s">
        <v>4796</v>
      </c>
      <c r="DI228" s="134">
        <v>43.4099</v>
      </c>
      <c r="DJ228" s="134" t="s">
        <v>24</v>
      </c>
      <c r="DK228" s="134">
        <f>44.1223-Table665[[#This Row],[Outcome8_M]]</f>
        <v>0.71240000000000236</v>
      </c>
      <c r="DL228" s="300" t="s">
        <v>4855</v>
      </c>
      <c r="DM228" s="301" t="s">
        <v>2555</v>
      </c>
      <c r="DN228" s="276"/>
      <c r="DO228" s="277"/>
      <c r="DP228" s="138" t="s">
        <v>4797</v>
      </c>
      <c r="DQ228" s="134">
        <v>45.478000000000002</v>
      </c>
      <c r="DR228" s="134" t="s">
        <v>24</v>
      </c>
      <c r="DS228" s="134">
        <f>52.1576-Table665[[#This Row],[Outcome9_M]]</f>
        <v>6.6796000000000006</v>
      </c>
      <c r="DT228" s="138" t="s">
        <v>4798</v>
      </c>
      <c r="DU228" s="134">
        <v>24.1602</v>
      </c>
      <c r="DV228" s="134" t="s">
        <v>24</v>
      </c>
      <c r="DW228" s="134">
        <f>26.292-Table665[[#This Row],[Outcome10_M]]</f>
        <v>2.1318000000000019</v>
      </c>
      <c r="DX228" s="301" t="s">
        <v>4853</v>
      </c>
      <c r="DY228" s="301" t="s">
        <v>2555</v>
      </c>
      <c r="DZ228" s="138" t="s">
        <v>4799</v>
      </c>
      <c r="EA228" s="134">
        <v>24.444400000000002</v>
      </c>
      <c r="EB228" s="134" t="s">
        <v>24</v>
      </c>
      <c r="EC228" s="134">
        <f>27.4289-Table665[[#This Row],[Outcome11_M]]</f>
        <v>2.984499999999997</v>
      </c>
      <c r="ED228" s="138" t="s">
        <v>4800</v>
      </c>
      <c r="EE228" s="134">
        <v>39.366900000000001</v>
      </c>
      <c r="EF228" s="134" t="s">
        <v>24</v>
      </c>
      <c r="EG228" s="134">
        <f>40.3618-Table665[[#This Row],[Outcome12_M]]</f>
        <v>0.99490000000000123</v>
      </c>
      <c r="EH228" s="301" t="s">
        <v>4854</v>
      </c>
      <c r="EI228" s="301" t="s">
        <v>2555</v>
      </c>
      <c r="EJ228" s="277" t="s">
        <v>24</v>
      </c>
      <c r="EK228" s="138" t="s">
        <v>4801</v>
      </c>
      <c r="EL228" s="134">
        <v>47.826599999999999</v>
      </c>
      <c r="EM228" s="134" t="s">
        <v>24</v>
      </c>
      <c r="EN228" s="134">
        <f>54.6661-Table665[[#This Row],[Outcome13_M]]</f>
        <v>6.839500000000001</v>
      </c>
      <c r="EO228" s="138" t="s">
        <v>4802</v>
      </c>
      <c r="EP228" s="134">
        <v>23.629200000000001</v>
      </c>
      <c r="EQ228" s="134" t="s">
        <v>24</v>
      </c>
      <c r="ER228" s="134">
        <f>25.9091-Table665[[#This Row],[Outcome14_M]]</f>
        <v>2.2798999999999978</v>
      </c>
      <c r="ES228" s="301" t="s">
        <v>4853</v>
      </c>
      <c r="ET228" s="301" t="s">
        <v>2555</v>
      </c>
      <c r="EU228" s="138" t="s">
        <v>4803</v>
      </c>
      <c r="EV228" s="134">
        <v>27.521799999999999</v>
      </c>
      <c r="EW228" s="134" t="s">
        <v>24</v>
      </c>
      <c r="EX228" s="134">
        <f>29.3742-Table665[[#This Row],[Outcome15_M]]</f>
        <v>1.8523999999999994</v>
      </c>
      <c r="EY228" s="138" t="s">
        <v>4804</v>
      </c>
      <c r="EZ228" s="134">
        <v>44.647100000000002</v>
      </c>
      <c r="FA228" s="134" t="s">
        <v>24</v>
      </c>
      <c r="FB228" s="134">
        <f>45.2171-Table665[[#This Row],[Outcome16_M]]</f>
        <v>0.57000000000000028</v>
      </c>
      <c r="FC228" s="135" t="s">
        <v>4855</v>
      </c>
      <c r="FD228" s="135" t="s">
        <v>2555</v>
      </c>
      <c r="FE228" s="138" t="s">
        <v>4805</v>
      </c>
      <c r="FF228" s="134">
        <v>45.787799999999997</v>
      </c>
      <c r="FG228" s="134" t="s">
        <v>24</v>
      </c>
      <c r="FH228" s="134">
        <f>51.9153-Table665[[#This Row],[Outcome17_M]]</f>
        <v>6.1275000000000048</v>
      </c>
      <c r="FI228" s="138" t="s">
        <v>4806</v>
      </c>
      <c r="FJ228" s="134">
        <v>24.673200000000001</v>
      </c>
      <c r="FK228" s="134" t="s">
        <v>24</v>
      </c>
      <c r="FL228" s="134">
        <f>26.5244-Table665[[#This Row],[Outcome18_M]]</f>
        <v>1.8511999999999986</v>
      </c>
      <c r="FM228" s="135" t="s">
        <v>4856</v>
      </c>
      <c r="FN228" s="135" t="s">
        <v>2555</v>
      </c>
      <c r="FO228" s="138" t="s">
        <v>4807</v>
      </c>
      <c r="FP228" s="134">
        <v>26.909400000000002</v>
      </c>
      <c r="FQ228" s="134" t="s">
        <v>24</v>
      </c>
      <c r="FR228" s="134">
        <f>29.3323-Table665[[#This Row],[Outcome19_M]]</f>
        <v>2.4228999999999985</v>
      </c>
      <c r="FS228" s="138" t="s">
        <v>4808</v>
      </c>
      <c r="FT228" s="134">
        <v>40.417999999999999</v>
      </c>
      <c r="FU228" s="134" t="s">
        <v>24</v>
      </c>
      <c r="FV228" s="134">
        <f>41.701-Table665[[#This Row],[Outcome20_M]]</f>
        <v>1.2830000000000013</v>
      </c>
      <c r="FW228" s="135" t="s">
        <v>4857</v>
      </c>
      <c r="FX228" s="135" t="s">
        <v>2555</v>
      </c>
      <c r="FY228" s="138" t="s">
        <v>4809</v>
      </c>
      <c r="FZ228" s="134">
        <v>46.45</v>
      </c>
      <c r="GA228" s="134" t="s">
        <v>24</v>
      </c>
      <c r="GB228" s="134">
        <f>52.7521-Table665[[#This Row],[Outcome21_M]]</f>
        <v>6.3020999999999958</v>
      </c>
      <c r="GC228" s="138" t="s">
        <v>4810</v>
      </c>
      <c r="GD228" s="134">
        <v>24.874500000000001</v>
      </c>
      <c r="GE228" s="134" t="s">
        <v>24</v>
      </c>
      <c r="GF228" s="134">
        <f>26.5945-Table665[[#This Row],[Outcome22_M]]</f>
        <v>1.7199999999999989</v>
      </c>
      <c r="GG228" s="135" t="s">
        <v>4853</v>
      </c>
      <c r="GH228" s="135" t="s">
        <v>2555</v>
      </c>
      <c r="GI228" s="138" t="s">
        <v>4811</v>
      </c>
      <c r="GJ228" s="134">
        <v>26.5412</v>
      </c>
      <c r="GK228" s="134" t="s">
        <v>24</v>
      </c>
      <c r="GL228" s="134">
        <f>28.6896-Table665[[#This Row],[Outcome23_M]]</f>
        <v>2.1483999999999988</v>
      </c>
      <c r="GM228" s="138" t="s">
        <v>4812</v>
      </c>
      <c r="GN228" s="134">
        <v>42.206400000000002</v>
      </c>
      <c r="GO228" s="134" t="s">
        <v>24</v>
      </c>
      <c r="GP228" s="134">
        <f>43.4955-Table665[[#This Row],[Outcome24_M]]</f>
        <v>1.2890999999999977</v>
      </c>
      <c r="GQ228" s="135" t="s">
        <v>4855</v>
      </c>
      <c r="GR228" s="135" t="s">
        <v>2555</v>
      </c>
      <c r="GS228" s="134"/>
      <c r="GT228" s="134"/>
      <c r="GU228" s="134"/>
      <c r="GV228" s="134"/>
      <c r="GW228" s="134"/>
      <c r="GX228" s="134"/>
      <c r="GY228" s="134"/>
      <c r="GZ228" s="134"/>
      <c r="HA228" s="135"/>
      <c r="HB228" s="135"/>
      <c r="HC228" s="134"/>
      <c r="HD228" s="134"/>
      <c r="HE228" s="134"/>
      <c r="HF228" s="134"/>
      <c r="HG228" s="134"/>
      <c r="HH228" s="134"/>
      <c r="HI228" s="134"/>
      <c r="HJ228" s="134"/>
      <c r="HK228" s="135"/>
      <c r="HL228" s="135"/>
      <c r="HM228" s="134"/>
      <c r="HN228" s="134"/>
      <c r="HO228" s="134"/>
      <c r="HP228" s="134"/>
      <c r="HQ228" s="134"/>
      <c r="HR228" s="134"/>
      <c r="HS228" s="134"/>
      <c r="HT228" s="134"/>
      <c r="HU228" s="135"/>
      <c r="HV228" s="135"/>
      <c r="HW228" s="134"/>
      <c r="HX228" s="134"/>
      <c r="HY228" s="134"/>
      <c r="HZ228" s="134"/>
      <c r="IA228" s="134"/>
      <c r="IB228" s="134"/>
      <c r="IC228" s="134"/>
      <c r="ID228" s="134"/>
      <c r="IE228" s="135"/>
      <c r="IF228" s="135"/>
      <c r="IG228" s="134"/>
      <c r="IH228" s="134"/>
      <c r="II228" s="134"/>
      <c r="IJ228" s="134"/>
      <c r="IK228" s="134"/>
      <c r="IL228" s="134"/>
      <c r="IM228" s="134"/>
      <c r="IN228" s="134"/>
      <c r="IO228" s="135"/>
      <c r="IP228" s="135"/>
      <c r="IQ228" s="134"/>
      <c r="IR228" s="134"/>
      <c r="IS228" s="134"/>
      <c r="IT228" s="134"/>
      <c r="IU228" s="134"/>
      <c r="IV228" s="134"/>
      <c r="IW228" s="134"/>
      <c r="IX228" s="134"/>
      <c r="IY228" s="135"/>
      <c r="IZ228" s="135"/>
    </row>
    <row r="229" spans="1:260" customFormat="1" ht="17" customHeight="1">
      <c r="A229" s="79" t="s">
        <v>203</v>
      </c>
      <c r="B229" s="117">
        <v>148</v>
      </c>
      <c r="C229" s="117">
        <v>46</v>
      </c>
      <c r="D229" s="117"/>
      <c r="E229" s="123" t="s">
        <v>1976</v>
      </c>
      <c r="F229" s="124" t="s">
        <v>2200</v>
      </c>
      <c r="G229" s="125">
        <v>2013</v>
      </c>
      <c r="H229" s="79">
        <v>23978082</v>
      </c>
      <c r="I229" s="79">
        <v>1</v>
      </c>
      <c r="J229" s="126"/>
      <c r="K229" s="127"/>
      <c r="L229" s="79">
        <v>1</v>
      </c>
      <c r="M229" s="79"/>
      <c r="N229" s="79">
        <v>1</v>
      </c>
      <c r="O229" s="128">
        <v>1</v>
      </c>
      <c r="P229" s="79" t="s">
        <v>581</v>
      </c>
      <c r="Q229" s="79" t="s">
        <v>1147</v>
      </c>
      <c r="R229" s="79" t="s">
        <v>567</v>
      </c>
      <c r="S229" s="79">
        <v>1</v>
      </c>
      <c r="T229" s="79"/>
      <c r="U229" s="79"/>
      <c r="V229" s="79"/>
      <c r="W229" s="79" t="s">
        <v>580</v>
      </c>
      <c r="X229" s="79"/>
      <c r="Y229" s="79"/>
      <c r="Z229" s="79"/>
      <c r="AA229" s="79"/>
      <c r="AB229" s="79"/>
      <c r="AC229" s="506"/>
      <c r="AD229" s="573">
        <v>1</v>
      </c>
      <c r="AE229" s="573">
        <v>2</v>
      </c>
      <c r="AF229" s="154">
        <v>1</v>
      </c>
      <c r="AG229" s="155"/>
      <c r="AH229" s="121">
        <v>2</v>
      </c>
      <c r="AI229" s="484" t="s">
        <v>4870</v>
      </c>
      <c r="AJ229" s="202" t="s">
        <v>4869</v>
      </c>
      <c r="AK229" s="192">
        <v>0</v>
      </c>
      <c r="AL229" s="203" t="s">
        <v>24</v>
      </c>
      <c r="AM229" s="121">
        <v>205</v>
      </c>
      <c r="AN229" s="121">
        <v>68</v>
      </c>
      <c r="AO229" s="121">
        <v>137</v>
      </c>
      <c r="AP229" s="121" t="s">
        <v>4862</v>
      </c>
      <c r="AQ229" s="121" t="s">
        <v>4863</v>
      </c>
      <c r="AR229" s="121">
        <v>49.6</v>
      </c>
      <c r="AS229" s="121">
        <v>10.3</v>
      </c>
      <c r="AT229" s="121">
        <v>52</v>
      </c>
      <c r="AU229" s="121">
        <v>13.1</v>
      </c>
      <c r="AV229" s="121" t="s">
        <v>1874</v>
      </c>
      <c r="AW229" s="121" t="s">
        <v>24</v>
      </c>
      <c r="AX229" s="121" t="s">
        <v>24</v>
      </c>
      <c r="AY229" s="121" t="s">
        <v>2423</v>
      </c>
      <c r="AZ229" s="121" t="s">
        <v>5116</v>
      </c>
      <c r="BA229" s="121" t="s">
        <v>4860</v>
      </c>
      <c r="BB229" s="121"/>
      <c r="BC229" s="121"/>
      <c r="BD229" s="156"/>
      <c r="BE229" s="156"/>
      <c r="BF229" s="156" t="s">
        <v>4727</v>
      </c>
      <c r="BG229" s="156"/>
      <c r="BH229" s="156"/>
      <c r="BI229" s="156" t="s">
        <v>4727</v>
      </c>
      <c r="BJ229" s="156">
        <v>1</v>
      </c>
      <c r="BK229" s="156"/>
      <c r="BL229" s="156"/>
      <c r="BM229" s="156"/>
      <c r="BN229" s="156" t="s">
        <v>4727</v>
      </c>
      <c r="BO229" s="156" t="s">
        <v>4727</v>
      </c>
      <c r="BP229" s="156"/>
      <c r="BQ229" s="157" t="s">
        <v>1893</v>
      </c>
      <c r="BR229" s="134" t="s">
        <v>1876</v>
      </c>
      <c r="BS229" s="134" t="s">
        <v>4864</v>
      </c>
      <c r="BT229" s="134" t="s">
        <v>4861</v>
      </c>
      <c r="BU229" s="134" t="s">
        <v>24</v>
      </c>
      <c r="BV229" s="134" t="s">
        <v>4868</v>
      </c>
      <c r="BW229" s="259" t="s">
        <v>4896</v>
      </c>
      <c r="BX229" s="138" t="s">
        <v>4866</v>
      </c>
      <c r="BY229" s="134">
        <v>39.5</v>
      </c>
      <c r="BZ229" s="134">
        <v>10</v>
      </c>
      <c r="CA229" s="134" t="s">
        <v>24</v>
      </c>
      <c r="CB229" s="138" t="s">
        <v>4865</v>
      </c>
      <c r="CC229" s="134">
        <v>43</v>
      </c>
      <c r="CD229" s="134">
        <v>10.3</v>
      </c>
      <c r="CE229" s="134" t="s">
        <v>24</v>
      </c>
      <c r="CF229" s="288" t="s">
        <v>4297</v>
      </c>
      <c r="CG229" s="289" t="s">
        <v>4867</v>
      </c>
      <c r="CH229" s="138"/>
      <c r="CI229" s="134"/>
      <c r="CJ229" s="134"/>
      <c r="CK229" s="134"/>
      <c r="CL229" s="138"/>
      <c r="CM229" s="134"/>
      <c r="CN229" s="134"/>
      <c r="CO229" s="134"/>
      <c r="CP229" s="288"/>
      <c r="CQ229" s="289"/>
      <c r="CR229" s="276"/>
      <c r="CS229" s="308"/>
      <c r="CT229" s="137"/>
      <c r="CU229" s="134"/>
      <c r="CV229" s="168"/>
      <c r="CW229" s="134"/>
      <c r="CX229" s="134"/>
      <c r="CY229" s="134"/>
      <c r="CZ229" s="134"/>
      <c r="DA229" s="134"/>
      <c r="DB229" s="300"/>
      <c r="DC229" s="301"/>
      <c r="DD229" s="134"/>
      <c r="DE229" s="134"/>
      <c r="DF229" s="134"/>
      <c r="DG229" s="134"/>
      <c r="DH229" s="134"/>
      <c r="DI229" s="134"/>
      <c r="DJ229" s="134"/>
      <c r="DK229" s="134"/>
      <c r="DL229" s="300"/>
      <c r="DM229" s="301"/>
      <c r="DN229" s="276"/>
      <c r="DO229" s="277"/>
      <c r="DP229" s="134"/>
      <c r="DQ229" s="134"/>
      <c r="DR229" s="134"/>
      <c r="DS229" s="480"/>
      <c r="DT229" s="138"/>
      <c r="DU229" s="134"/>
      <c r="DV229" s="134"/>
      <c r="DW229" s="134"/>
      <c r="DX229" s="301"/>
      <c r="DY229" s="301"/>
      <c r="DZ229" s="138"/>
      <c r="EA229" s="134"/>
      <c r="EB229" s="134"/>
      <c r="EC229" s="134"/>
      <c r="ED229" s="138"/>
      <c r="EE229" s="134"/>
      <c r="EF229" s="134"/>
      <c r="EG229" s="134"/>
      <c r="EH229" s="301"/>
      <c r="EI229" s="301"/>
      <c r="EJ229" s="277"/>
      <c r="EK229" s="134"/>
      <c r="EL229" s="134"/>
      <c r="EM229" s="134"/>
      <c r="EN229" s="480"/>
      <c r="EO229" s="138"/>
      <c r="EP229" s="134"/>
      <c r="EQ229" s="134"/>
      <c r="ER229" s="134"/>
      <c r="ES229" s="301"/>
      <c r="ET229" s="301"/>
      <c r="EU229" s="134"/>
      <c r="EV229" s="134"/>
      <c r="EW229" s="134"/>
      <c r="EX229" s="134"/>
      <c r="EY229" s="134"/>
      <c r="EZ229" s="134"/>
      <c r="FA229" s="134"/>
      <c r="FB229" s="134"/>
      <c r="FC229" s="135"/>
      <c r="FD229" s="135"/>
      <c r="FE229" s="134"/>
      <c r="FF229" s="134"/>
      <c r="FG229" s="134"/>
      <c r="FH229" s="134"/>
      <c r="FI229" s="134"/>
      <c r="FJ229" s="134"/>
      <c r="FK229" s="134"/>
      <c r="FL229" s="134"/>
      <c r="FM229" s="135"/>
      <c r="FN229" s="135"/>
      <c r="FO229" s="134"/>
      <c r="FP229" s="134"/>
      <c r="FQ229" s="134"/>
      <c r="FR229" s="134"/>
      <c r="FS229" s="134"/>
      <c r="FT229" s="134"/>
      <c r="FU229" s="134"/>
      <c r="FV229" s="134"/>
      <c r="FW229" s="135"/>
      <c r="FX229" s="135"/>
      <c r="FY229" s="134"/>
      <c r="FZ229" s="134"/>
      <c r="GA229" s="134"/>
      <c r="GB229" s="134"/>
      <c r="GC229" s="134"/>
      <c r="GD229" s="134"/>
      <c r="GE229" s="134"/>
      <c r="GF229" s="134"/>
      <c r="GG229" s="135"/>
      <c r="GH229" s="135"/>
      <c r="GI229" s="134"/>
      <c r="GJ229" s="134"/>
      <c r="GK229" s="134"/>
      <c r="GL229" s="134"/>
      <c r="GM229" s="134"/>
      <c r="GN229" s="134"/>
      <c r="GO229" s="134"/>
      <c r="GP229" s="134"/>
      <c r="GQ229" s="135"/>
      <c r="GR229" s="135"/>
      <c r="GS229" s="134"/>
      <c r="GT229" s="134"/>
      <c r="GU229" s="134"/>
      <c r="GV229" s="134"/>
      <c r="GW229" s="134"/>
      <c r="GX229" s="134"/>
      <c r="GY229" s="134"/>
      <c r="GZ229" s="134"/>
      <c r="HA229" s="135"/>
      <c r="HB229" s="135"/>
      <c r="HC229" s="134"/>
      <c r="HD229" s="134"/>
      <c r="HE229" s="134"/>
      <c r="HF229" s="134"/>
      <c r="HG229" s="134"/>
      <c r="HH229" s="134"/>
      <c r="HI229" s="134"/>
      <c r="HJ229" s="134"/>
      <c r="HK229" s="135"/>
      <c r="HL229" s="135"/>
      <c r="HM229" s="134"/>
      <c r="HN229" s="134"/>
      <c r="HO229" s="134"/>
      <c r="HP229" s="134"/>
      <c r="HQ229" s="134"/>
      <c r="HR229" s="134"/>
      <c r="HS229" s="134"/>
      <c r="HT229" s="134"/>
      <c r="HU229" s="135"/>
      <c r="HV229" s="135"/>
      <c r="HW229" s="134"/>
      <c r="HX229" s="134"/>
      <c r="HY229" s="134"/>
      <c r="HZ229" s="134"/>
      <c r="IA229" s="134"/>
      <c r="IB229" s="134"/>
      <c r="IC229" s="134"/>
      <c r="ID229" s="134"/>
      <c r="IE229" s="135"/>
      <c r="IF229" s="135"/>
      <c r="IG229" s="134"/>
      <c r="IH229" s="134"/>
      <c r="II229" s="134"/>
      <c r="IJ229" s="134"/>
      <c r="IK229" s="134"/>
      <c r="IL229" s="134"/>
      <c r="IM229" s="134"/>
      <c r="IN229" s="134"/>
      <c r="IO229" s="135"/>
      <c r="IP229" s="135"/>
      <c r="IQ229" s="134"/>
      <c r="IR229" s="134"/>
      <c r="IS229" s="134"/>
      <c r="IT229" s="134"/>
      <c r="IU229" s="134"/>
      <c r="IV229" s="134"/>
      <c r="IW229" s="134"/>
      <c r="IX229" s="134"/>
      <c r="IY229" s="135"/>
      <c r="IZ229" s="135"/>
    </row>
    <row r="230" spans="1:260" customFormat="1" ht="17" customHeight="1">
      <c r="A230" s="79" t="s">
        <v>1032</v>
      </c>
      <c r="B230" s="363">
        <v>22</v>
      </c>
      <c r="C230" s="363"/>
      <c r="D230" s="363"/>
      <c r="E230" s="123" t="s">
        <v>2084</v>
      </c>
      <c r="F230" s="124" t="s">
        <v>2338</v>
      </c>
      <c r="G230" s="125">
        <v>2016</v>
      </c>
      <c r="H230" s="79">
        <v>26642920</v>
      </c>
      <c r="I230" s="79">
        <v>1</v>
      </c>
      <c r="J230" s="126">
        <v>1</v>
      </c>
      <c r="K230" s="127"/>
      <c r="L230" s="79">
        <v>1</v>
      </c>
      <c r="M230" s="79"/>
      <c r="N230" s="153">
        <v>1</v>
      </c>
      <c r="O230" s="128">
        <v>2</v>
      </c>
      <c r="P230" s="79" t="s">
        <v>1220</v>
      </c>
      <c r="Q230" s="79" t="s">
        <v>1216</v>
      </c>
      <c r="R230" s="79" t="s">
        <v>1389</v>
      </c>
      <c r="S230" s="79"/>
      <c r="T230" s="79" t="s">
        <v>1488</v>
      </c>
      <c r="U230" s="79"/>
      <c r="V230" s="79"/>
      <c r="W230" s="79" t="s">
        <v>1715</v>
      </c>
      <c r="X230" s="79"/>
      <c r="Y230" s="79"/>
      <c r="Z230" s="79"/>
      <c r="AA230" s="79"/>
      <c r="AB230" s="79"/>
      <c r="AC230" s="506"/>
      <c r="AD230" s="573">
        <v>1</v>
      </c>
      <c r="AE230" s="573">
        <v>2</v>
      </c>
      <c r="AF230" s="165" t="s">
        <v>3003</v>
      </c>
      <c r="AG230" s="166" t="s">
        <v>3341</v>
      </c>
      <c r="AH230" s="120">
        <v>5</v>
      </c>
      <c r="AI230" s="484"/>
      <c r="AJ230" s="206"/>
      <c r="AK230" s="192">
        <v>0</v>
      </c>
      <c r="AL230" s="207"/>
      <c r="AM230" s="120"/>
      <c r="AN230" s="120"/>
      <c r="AO230" s="120"/>
      <c r="AP230" s="120" t="s">
        <v>803</v>
      </c>
      <c r="AQ230" s="120" t="s">
        <v>803</v>
      </c>
      <c r="AR230" s="120" t="s">
        <v>2998</v>
      </c>
      <c r="AS230" s="120" t="s">
        <v>24</v>
      </c>
      <c r="AT230" s="120" t="s">
        <v>2998</v>
      </c>
      <c r="AU230" s="120"/>
      <c r="AV230" s="120" t="s">
        <v>3000</v>
      </c>
      <c r="AW230" s="120">
        <v>1</v>
      </c>
      <c r="AX230" s="120" t="s">
        <v>3330</v>
      </c>
      <c r="AY230" s="120" t="s">
        <v>24</v>
      </c>
      <c r="AZ230" s="120" t="s">
        <v>3001</v>
      </c>
      <c r="BA230" s="120"/>
      <c r="BB230" s="120"/>
      <c r="BC230" s="120"/>
      <c r="BD230" s="156">
        <v>1</v>
      </c>
      <c r="BE230" s="156"/>
      <c r="BF230" s="156"/>
      <c r="BG230" s="156"/>
      <c r="BH230" s="156"/>
      <c r="BI230" s="156"/>
      <c r="BJ230" s="156"/>
      <c r="BK230" s="156"/>
      <c r="BL230" s="156"/>
      <c r="BM230" s="156"/>
      <c r="BN230" s="156"/>
      <c r="BO230" s="156"/>
      <c r="BP230" s="156"/>
      <c r="BQ230" s="157" t="s">
        <v>2999</v>
      </c>
      <c r="BR230" s="134" t="s">
        <v>1876</v>
      </c>
      <c r="BS230" s="134"/>
      <c r="BT230" s="134" t="s">
        <v>3002</v>
      </c>
      <c r="BU230" s="134" t="s">
        <v>2471</v>
      </c>
      <c r="BV230" s="134" t="s">
        <v>2659</v>
      </c>
      <c r="BW230" s="259" t="s">
        <v>24</v>
      </c>
      <c r="BX230" s="138"/>
      <c r="BY230" s="134"/>
      <c r="BZ230" s="134"/>
      <c r="CA230" s="134"/>
      <c r="CB230" s="138"/>
      <c r="CC230" s="134"/>
      <c r="CD230" s="134"/>
      <c r="CE230" s="134"/>
      <c r="CF230" s="288"/>
      <c r="CG230" s="289"/>
      <c r="CH230" s="138"/>
      <c r="CI230" s="134"/>
      <c r="CJ230" s="134"/>
      <c r="CK230" s="134"/>
      <c r="CL230" s="138"/>
      <c r="CM230" s="134"/>
      <c r="CN230" s="134"/>
      <c r="CO230" s="134"/>
      <c r="CP230" s="288"/>
      <c r="CQ230" s="289"/>
      <c r="CR230" s="276"/>
      <c r="CS230" s="308"/>
      <c r="CT230" s="138"/>
      <c r="CU230" s="134"/>
      <c r="CV230" s="134"/>
      <c r="CW230" s="134"/>
      <c r="CX230" s="134"/>
      <c r="CY230" s="134"/>
      <c r="CZ230" s="134"/>
      <c r="DA230" s="134"/>
      <c r="DB230" s="300"/>
      <c r="DC230" s="301"/>
      <c r="DD230" s="134"/>
      <c r="DE230" s="134"/>
      <c r="DF230" s="134"/>
      <c r="DG230" s="134"/>
      <c r="DH230" s="134"/>
      <c r="DI230" s="134"/>
      <c r="DJ230" s="134"/>
      <c r="DK230" s="134"/>
      <c r="DL230" s="300"/>
      <c r="DM230" s="301"/>
      <c r="DN230" s="276"/>
      <c r="DO230" s="277"/>
      <c r="DP230" s="134"/>
      <c r="DQ230" s="134"/>
      <c r="DR230" s="134"/>
      <c r="DS230" s="134"/>
      <c r="DT230" s="138"/>
      <c r="DU230" s="134"/>
      <c r="DV230" s="134"/>
      <c r="DW230" s="134"/>
      <c r="DX230" s="301"/>
      <c r="DY230" s="301"/>
      <c r="DZ230" s="138"/>
      <c r="EA230" s="134"/>
      <c r="EB230" s="134"/>
      <c r="EC230" s="134"/>
      <c r="ED230" s="138"/>
      <c r="EE230" s="134"/>
      <c r="EF230" s="134"/>
      <c r="EG230" s="134"/>
      <c r="EH230" s="301"/>
      <c r="EI230" s="301"/>
      <c r="EJ230" s="277"/>
      <c r="EK230" s="134"/>
      <c r="EL230" s="134"/>
      <c r="EM230" s="134"/>
      <c r="EN230" s="134"/>
      <c r="EO230" s="134"/>
      <c r="EP230" s="134"/>
      <c r="EQ230" s="134"/>
      <c r="ER230" s="134"/>
      <c r="ES230" s="301"/>
      <c r="ET230" s="301"/>
      <c r="EU230" s="134"/>
      <c r="EV230" s="134"/>
      <c r="EW230" s="134"/>
      <c r="EX230" s="134"/>
      <c r="EY230" s="134"/>
      <c r="EZ230" s="134"/>
      <c r="FA230" s="134"/>
      <c r="FB230" s="134"/>
      <c r="FC230" s="135"/>
      <c r="FD230" s="135"/>
      <c r="FE230" s="134"/>
      <c r="FF230" s="134"/>
      <c r="FG230" s="134"/>
      <c r="FH230" s="134"/>
      <c r="FI230" s="134"/>
      <c r="FJ230" s="134"/>
      <c r="FK230" s="134"/>
      <c r="FL230" s="134"/>
      <c r="FM230" s="135"/>
      <c r="FN230" s="135"/>
      <c r="FO230" s="134"/>
      <c r="FP230" s="134"/>
      <c r="FQ230" s="134"/>
      <c r="FR230" s="134"/>
      <c r="FS230" s="134"/>
      <c r="FT230" s="134"/>
      <c r="FU230" s="134"/>
      <c r="FV230" s="134"/>
      <c r="FW230" s="135"/>
      <c r="FX230" s="135"/>
      <c r="FY230" s="134"/>
      <c r="FZ230" s="134"/>
      <c r="GA230" s="134"/>
      <c r="GB230" s="134"/>
      <c r="GC230" s="134"/>
      <c r="GD230" s="134"/>
      <c r="GE230" s="134"/>
      <c r="GF230" s="134"/>
      <c r="GG230" s="135"/>
      <c r="GH230" s="135"/>
      <c r="GI230" s="134"/>
      <c r="GJ230" s="134"/>
      <c r="GK230" s="134"/>
      <c r="GL230" s="134"/>
      <c r="GM230" s="134"/>
      <c r="GN230" s="134"/>
      <c r="GO230" s="134"/>
      <c r="GP230" s="134"/>
      <c r="GQ230" s="135"/>
      <c r="GR230" s="135"/>
      <c r="GS230" s="134"/>
      <c r="GT230" s="134"/>
      <c r="GU230" s="134"/>
      <c r="GV230" s="134"/>
      <c r="GW230" s="134"/>
      <c r="GX230" s="134"/>
      <c r="GY230" s="134"/>
      <c r="GZ230" s="134"/>
      <c r="HA230" s="135"/>
      <c r="HB230" s="135"/>
      <c r="HC230" s="134"/>
      <c r="HD230" s="134"/>
      <c r="HE230" s="134"/>
      <c r="HF230" s="134"/>
      <c r="HG230" s="134"/>
      <c r="HH230" s="134"/>
      <c r="HI230" s="134"/>
      <c r="HJ230" s="134"/>
      <c r="HK230" s="135"/>
      <c r="HL230" s="135"/>
      <c r="HM230" s="134"/>
      <c r="HN230" s="134"/>
      <c r="HO230" s="134"/>
      <c r="HP230" s="134"/>
      <c r="HQ230" s="134"/>
      <c r="HR230" s="134"/>
      <c r="HS230" s="134"/>
      <c r="HT230" s="134"/>
      <c r="HU230" s="135"/>
      <c r="HV230" s="135"/>
      <c r="HW230" s="134"/>
      <c r="HX230" s="134"/>
      <c r="HY230" s="134"/>
      <c r="HZ230" s="134"/>
      <c r="IA230" s="134"/>
      <c r="IB230" s="134"/>
      <c r="IC230" s="134"/>
      <c r="ID230" s="134"/>
      <c r="IE230" s="135"/>
      <c r="IF230" s="135"/>
      <c r="IG230" s="134"/>
      <c r="IH230" s="134"/>
      <c r="II230" s="134"/>
      <c r="IJ230" s="134"/>
      <c r="IK230" s="134"/>
      <c r="IL230" s="134"/>
      <c r="IM230" s="134"/>
      <c r="IN230" s="134"/>
      <c r="IO230" s="135"/>
      <c r="IP230" s="135"/>
      <c r="IQ230" s="134"/>
      <c r="IR230" s="134"/>
      <c r="IS230" s="134"/>
      <c r="IT230" s="134"/>
      <c r="IU230" s="134"/>
      <c r="IV230" s="134"/>
      <c r="IW230" s="134"/>
      <c r="IX230" s="134"/>
      <c r="IY230" s="135"/>
      <c r="IZ230" s="135"/>
    </row>
    <row r="231" spans="1:260" customFormat="1" ht="17" customHeight="1">
      <c r="A231" s="79" t="s">
        <v>1029</v>
      </c>
      <c r="B231" s="117">
        <v>151</v>
      </c>
      <c r="C231" s="117">
        <v>47</v>
      </c>
      <c r="D231" s="117"/>
      <c r="E231" s="123" t="s">
        <v>2086</v>
      </c>
      <c r="F231" s="124" t="s">
        <v>2340</v>
      </c>
      <c r="G231" s="125">
        <v>2015</v>
      </c>
      <c r="H231" s="79">
        <v>25882722</v>
      </c>
      <c r="I231" s="79">
        <v>1</v>
      </c>
      <c r="J231" s="126" t="s">
        <v>1847</v>
      </c>
      <c r="K231" s="127"/>
      <c r="L231" s="79">
        <v>1</v>
      </c>
      <c r="M231" s="79"/>
      <c r="N231" s="79">
        <v>1</v>
      </c>
      <c r="O231" s="128">
        <v>2</v>
      </c>
      <c r="P231" s="79" t="s">
        <v>1398</v>
      </c>
      <c r="Q231" s="79" t="s">
        <v>1216</v>
      </c>
      <c r="R231" s="79" t="s">
        <v>1396</v>
      </c>
      <c r="S231" s="79"/>
      <c r="T231" s="79" t="s">
        <v>1498</v>
      </c>
      <c r="U231" s="79" t="s">
        <v>803</v>
      </c>
      <c r="V231" s="79" t="s">
        <v>23</v>
      </c>
      <c r="W231" s="79" t="s">
        <v>1518</v>
      </c>
      <c r="X231" s="79"/>
      <c r="Y231" s="79" t="s">
        <v>1397</v>
      </c>
      <c r="Z231" s="79"/>
      <c r="AA231" s="79"/>
      <c r="AB231" s="79"/>
      <c r="AC231" s="506"/>
      <c r="AD231" s="573">
        <v>1</v>
      </c>
      <c r="AE231" s="573">
        <v>2</v>
      </c>
      <c r="AF231" s="154">
        <v>1</v>
      </c>
      <c r="AG231" s="155"/>
      <c r="AH231" s="121">
        <v>4</v>
      </c>
      <c r="AI231" s="484"/>
      <c r="AJ231" s="202" t="s">
        <v>4898</v>
      </c>
      <c r="AK231" s="192">
        <v>0</v>
      </c>
      <c r="AL231" s="203" t="s">
        <v>4874</v>
      </c>
      <c r="AM231" s="121" t="s">
        <v>4871</v>
      </c>
      <c r="AN231" s="121">
        <v>16</v>
      </c>
      <c r="AO231" s="121">
        <v>16</v>
      </c>
      <c r="AP231" s="121" t="s">
        <v>803</v>
      </c>
      <c r="AQ231" s="121" t="s">
        <v>803</v>
      </c>
      <c r="AR231" s="121" t="s">
        <v>4872</v>
      </c>
      <c r="AS231" s="121" t="s">
        <v>24</v>
      </c>
      <c r="AT231" s="121" t="s">
        <v>4872</v>
      </c>
      <c r="AU231" s="121" t="s">
        <v>24</v>
      </c>
      <c r="AV231" s="121" t="s">
        <v>4873</v>
      </c>
      <c r="AW231" s="121">
        <v>1</v>
      </c>
      <c r="AX231" s="121" t="s">
        <v>4875</v>
      </c>
      <c r="AY231" s="121" t="s">
        <v>3515</v>
      </c>
      <c r="AZ231" s="121" t="s">
        <v>2912</v>
      </c>
      <c r="BA231" s="121" t="s">
        <v>4508</v>
      </c>
      <c r="BB231" s="121"/>
      <c r="BC231" s="121"/>
      <c r="BD231" s="156"/>
      <c r="BE231" s="156"/>
      <c r="BF231" s="156"/>
      <c r="BG231" s="156"/>
      <c r="BH231" s="156"/>
      <c r="BI231" s="156"/>
      <c r="BJ231" s="156">
        <v>1</v>
      </c>
      <c r="BK231" s="156"/>
      <c r="BL231" s="156"/>
      <c r="BM231" s="156"/>
      <c r="BN231" s="156"/>
      <c r="BO231" s="156"/>
      <c r="BP231" s="156"/>
      <c r="BQ231" s="157" t="s">
        <v>4877</v>
      </c>
      <c r="BR231" s="134" t="s">
        <v>1876</v>
      </c>
      <c r="BS231" s="134" t="s">
        <v>4878</v>
      </c>
      <c r="BT231" s="134" t="s">
        <v>4879</v>
      </c>
      <c r="BU231" s="134" t="s">
        <v>4876</v>
      </c>
      <c r="BV231" s="134" t="s">
        <v>4880</v>
      </c>
      <c r="BW231" s="259" t="s">
        <v>4895</v>
      </c>
      <c r="BX231" s="138" t="s">
        <v>4881</v>
      </c>
      <c r="BY231" s="134">
        <v>0.22741900000000001</v>
      </c>
      <c r="BZ231" s="134" t="s">
        <v>24</v>
      </c>
      <c r="CA231" s="134">
        <f>0.262903-Table665[[#This Row],[Outcome1_M]]</f>
        <v>3.5483999999999988E-2</v>
      </c>
      <c r="CB231" s="138" t="s">
        <v>4882</v>
      </c>
      <c r="CC231" s="134">
        <v>0.4</v>
      </c>
      <c r="CD231" s="134" t="s">
        <v>24</v>
      </c>
      <c r="CE231" s="134">
        <f>0.424194-Table665[[#This Row],[Outcome2_M]]</f>
        <v>2.4193999999999993E-2</v>
      </c>
      <c r="CF231" s="288" t="s">
        <v>4887</v>
      </c>
      <c r="CG231" s="289" t="s">
        <v>4890</v>
      </c>
      <c r="CH231" s="138" t="s">
        <v>4883</v>
      </c>
      <c r="CI231" s="134">
        <v>0.20474000000000001</v>
      </c>
      <c r="CJ231" s="134" t="s">
        <v>24</v>
      </c>
      <c r="CK231" s="134">
        <f>0.227169-Table665[[#This Row],[Outcome3_M]]</f>
        <v>2.2429000000000004E-2</v>
      </c>
      <c r="CL231" s="138" t="s">
        <v>4884</v>
      </c>
      <c r="CM231" s="134">
        <v>0.42828500000000003</v>
      </c>
      <c r="CN231" s="134" t="s">
        <v>24</v>
      </c>
      <c r="CO231" s="134">
        <f>0.442707-Table665[[#This Row],[Outcome4_M]]</f>
        <v>1.442199999999999E-2</v>
      </c>
      <c r="CP231" s="288" t="s">
        <v>4888</v>
      </c>
      <c r="CQ231" s="289" t="s">
        <v>4891</v>
      </c>
      <c r="CR231" s="276" t="s">
        <v>4892</v>
      </c>
      <c r="CS231" s="308" t="s">
        <v>4893</v>
      </c>
      <c r="CT231" s="138" t="s">
        <v>4885</v>
      </c>
      <c r="CU231" s="134">
        <v>0.39549800000000002</v>
      </c>
      <c r="CV231" s="134" t="s">
        <v>24</v>
      </c>
      <c r="CW231" s="134">
        <f>0.442122-Table665[[#This Row],[Outcome5_M]]</f>
        <v>4.6623999999999999E-2</v>
      </c>
      <c r="CX231" s="138" t="s">
        <v>4886</v>
      </c>
      <c r="CY231" s="134">
        <v>0.451768</v>
      </c>
      <c r="CZ231" s="134" t="s">
        <v>24</v>
      </c>
      <c r="DA231" s="134">
        <f>0.46463-Table665[[#This Row],[Outcome6_M]]</f>
        <v>1.2861999999999985E-2</v>
      </c>
      <c r="DB231" s="300" t="s">
        <v>4889</v>
      </c>
      <c r="DC231" s="301" t="s">
        <v>4894</v>
      </c>
      <c r="DD231" s="134" t="s">
        <v>24</v>
      </c>
      <c r="DE231" s="134"/>
      <c r="DF231" s="134"/>
      <c r="DG231" s="134"/>
      <c r="DH231" s="134"/>
      <c r="DI231" s="134"/>
      <c r="DJ231" s="134"/>
      <c r="DK231" s="134"/>
      <c r="DL231" s="300"/>
      <c r="DM231" s="301"/>
      <c r="DN231" s="276"/>
      <c r="DO231" s="277"/>
      <c r="DP231" s="134"/>
      <c r="DQ231" s="134"/>
      <c r="DR231" s="134"/>
      <c r="DS231" s="480"/>
      <c r="DT231" s="134"/>
      <c r="DU231" s="134"/>
      <c r="DV231" s="134"/>
      <c r="DW231" s="134"/>
      <c r="DX231" s="301"/>
      <c r="DY231" s="301"/>
      <c r="DZ231" s="138"/>
      <c r="EA231" s="134"/>
      <c r="EB231" s="134"/>
      <c r="EC231" s="134"/>
      <c r="ED231" s="138"/>
      <c r="EE231" s="134"/>
      <c r="EF231" s="134"/>
      <c r="EG231" s="134"/>
      <c r="EH231" s="301"/>
      <c r="EI231" s="301"/>
      <c r="EJ231" s="277"/>
      <c r="EK231" s="134"/>
      <c r="EL231" s="134"/>
      <c r="EM231" s="134"/>
      <c r="EN231" s="480"/>
      <c r="EO231" s="138"/>
      <c r="EP231" s="134"/>
      <c r="EQ231" s="134"/>
      <c r="ER231" s="134"/>
      <c r="ES231" s="301"/>
      <c r="ET231" s="301"/>
      <c r="EU231" s="134"/>
      <c r="EV231" s="134"/>
      <c r="EW231" s="134"/>
      <c r="EX231" s="480"/>
      <c r="EY231" s="134"/>
      <c r="EZ231" s="134"/>
      <c r="FA231" s="134"/>
      <c r="FB231" s="134"/>
      <c r="FC231" s="135"/>
      <c r="FD231" s="135"/>
      <c r="FE231" s="134"/>
      <c r="FF231" s="134"/>
      <c r="FG231" s="134"/>
      <c r="FH231" s="134"/>
      <c r="FI231" s="134"/>
      <c r="FJ231" s="134"/>
      <c r="FK231" s="134"/>
      <c r="FL231" s="134"/>
      <c r="FM231" s="135"/>
      <c r="FN231" s="135"/>
      <c r="FO231" s="134"/>
      <c r="FP231" s="134"/>
      <c r="FQ231" s="134"/>
      <c r="FR231" s="134"/>
      <c r="FS231" s="134"/>
      <c r="FT231" s="134"/>
      <c r="FU231" s="134"/>
      <c r="FV231" s="134"/>
      <c r="FW231" s="135"/>
      <c r="FX231" s="135"/>
      <c r="FY231" s="134"/>
      <c r="FZ231" s="134"/>
      <c r="GA231" s="134"/>
      <c r="GB231" s="134"/>
      <c r="GC231" s="134"/>
      <c r="GD231" s="134"/>
      <c r="GE231" s="134"/>
      <c r="GF231" s="134"/>
      <c r="GG231" s="135"/>
      <c r="GH231" s="135"/>
      <c r="GI231" s="134"/>
      <c r="GJ231" s="134"/>
      <c r="GK231" s="134"/>
      <c r="GL231" s="134"/>
      <c r="GM231" s="134"/>
      <c r="GN231" s="134"/>
      <c r="GO231" s="134"/>
      <c r="GP231" s="134"/>
      <c r="GQ231" s="135"/>
      <c r="GR231" s="135"/>
      <c r="GS231" s="134"/>
      <c r="GT231" s="134"/>
      <c r="GU231" s="134"/>
      <c r="GV231" s="134"/>
      <c r="GW231" s="134"/>
      <c r="GX231" s="134"/>
      <c r="GY231" s="134"/>
      <c r="GZ231" s="134"/>
      <c r="HA231" s="135"/>
      <c r="HB231" s="135"/>
      <c r="HC231" s="134"/>
      <c r="HD231" s="134"/>
      <c r="HE231" s="134"/>
      <c r="HF231" s="134"/>
      <c r="HG231" s="134"/>
      <c r="HH231" s="134"/>
      <c r="HI231" s="134"/>
      <c r="HJ231" s="134"/>
      <c r="HK231" s="135"/>
      <c r="HL231" s="135"/>
      <c r="HM231" s="134"/>
      <c r="HN231" s="134"/>
      <c r="HO231" s="134"/>
      <c r="HP231" s="134"/>
      <c r="HQ231" s="134"/>
      <c r="HR231" s="134"/>
      <c r="HS231" s="134"/>
      <c r="HT231" s="134"/>
      <c r="HU231" s="135"/>
      <c r="HV231" s="135"/>
      <c r="HW231" s="134"/>
      <c r="HX231" s="134"/>
      <c r="HY231" s="134"/>
      <c r="HZ231" s="134"/>
      <c r="IA231" s="134"/>
      <c r="IB231" s="134"/>
      <c r="IC231" s="134"/>
      <c r="ID231" s="134"/>
      <c r="IE231" s="135"/>
      <c r="IF231" s="135"/>
      <c r="IG231" s="134"/>
      <c r="IH231" s="134"/>
      <c r="II231" s="134"/>
      <c r="IJ231" s="134"/>
      <c r="IK231" s="134"/>
      <c r="IL231" s="134"/>
      <c r="IM231" s="134"/>
      <c r="IN231" s="134"/>
      <c r="IO231" s="135"/>
      <c r="IP231" s="135"/>
      <c r="IQ231" s="134"/>
      <c r="IR231" s="134"/>
      <c r="IS231" s="134"/>
      <c r="IT231" s="134"/>
      <c r="IU231" s="134"/>
      <c r="IV231" s="134"/>
      <c r="IW231" s="134"/>
      <c r="IX231" s="134"/>
      <c r="IY231" s="135"/>
      <c r="IZ231" s="135"/>
    </row>
    <row r="232" spans="1:260" customFormat="1" ht="17" customHeight="1">
      <c r="A232" s="79" t="s">
        <v>1028</v>
      </c>
      <c r="B232" s="117">
        <v>152</v>
      </c>
      <c r="C232" s="117">
        <v>48</v>
      </c>
      <c r="D232" s="117"/>
      <c r="E232" s="123" t="s">
        <v>2086</v>
      </c>
      <c r="F232" s="124" t="s">
        <v>2341</v>
      </c>
      <c r="G232" s="125">
        <v>2015</v>
      </c>
      <c r="H232" s="79">
        <v>25976074</v>
      </c>
      <c r="I232" s="79">
        <v>1</v>
      </c>
      <c r="J232" s="126"/>
      <c r="K232" s="127"/>
      <c r="L232" s="79">
        <v>1</v>
      </c>
      <c r="M232" s="79"/>
      <c r="N232" s="79">
        <v>1</v>
      </c>
      <c r="O232" s="128">
        <v>2</v>
      </c>
      <c r="P232" s="79" t="s">
        <v>1399</v>
      </c>
      <c r="Q232" s="79" t="s">
        <v>1216</v>
      </c>
      <c r="R232" s="79" t="s">
        <v>1127</v>
      </c>
      <c r="S232" s="79"/>
      <c r="T232" s="79" t="s">
        <v>1487</v>
      </c>
      <c r="U232" s="79" t="s">
        <v>803</v>
      </c>
      <c r="V232" s="79" t="s">
        <v>23</v>
      </c>
      <c r="W232" s="79" t="s">
        <v>1677</v>
      </c>
      <c r="X232" s="79" t="s">
        <v>1400</v>
      </c>
      <c r="Y232" s="79"/>
      <c r="Z232" s="79"/>
      <c r="AA232" s="79"/>
      <c r="AB232" s="79"/>
      <c r="AC232" s="506"/>
      <c r="AD232" s="573">
        <v>1</v>
      </c>
      <c r="AE232" s="573">
        <v>2</v>
      </c>
      <c r="AF232" s="154">
        <v>1</v>
      </c>
      <c r="AG232" s="155"/>
      <c r="AH232" s="121">
        <v>4</v>
      </c>
      <c r="AI232" s="484"/>
      <c r="AJ232" s="202" t="s">
        <v>4922</v>
      </c>
      <c r="AK232" s="192">
        <v>0</v>
      </c>
      <c r="AL232" s="203">
        <v>0</v>
      </c>
      <c r="AM232" s="121" t="s">
        <v>4899</v>
      </c>
      <c r="AN232" s="121">
        <f>120/5</f>
        <v>24</v>
      </c>
      <c r="AO232" s="121">
        <f>120/5</f>
        <v>24</v>
      </c>
      <c r="AP232" s="121" t="s">
        <v>803</v>
      </c>
      <c r="AQ232" s="121" t="s">
        <v>803</v>
      </c>
      <c r="AR232" s="121" t="s">
        <v>3633</v>
      </c>
      <c r="AS232" s="121" t="s">
        <v>24</v>
      </c>
      <c r="AT232" s="121" t="s">
        <v>3633</v>
      </c>
      <c r="AU232" s="121" t="s">
        <v>24</v>
      </c>
      <c r="AV232" s="121" t="s">
        <v>4900</v>
      </c>
      <c r="AW232" s="121">
        <v>1</v>
      </c>
      <c r="AX232" s="121">
        <v>1</v>
      </c>
      <c r="AY232" s="121" t="s">
        <v>4901</v>
      </c>
      <c r="AZ232" s="121" t="s">
        <v>2912</v>
      </c>
      <c r="BA232" s="121" t="s">
        <v>4508</v>
      </c>
      <c r="BB232" s="121"/>
      <c r="BC232" s="121"/>
      <c r="BD232" s="156"/>
      <c r="BE232" s="156"/>
      <c r="BF232" s="156"/>
      <c r="BG232" s="156"/>
      <c r="BH232" s="156"/>
      <c r="BI232" s="156"/>
      <c r="BJ232" s="156">
        <v>1</v>
      </c>
      <c r="BK232" s="156"/>
      <c r="BL232" s="156"/>
      <c r="BM232" s="156"/>
      <c r="BN232" s="156"/>
      <c r="BO232" s="156"/>
      <c r="BP232" s="156"/>
      <c r="BQ232" s="157" t="s">
        <v>4906</v>
      </c>
      <c r="BR232" s="134" t="s">
        <v>1876</v>
      </c>
      <c r="BS232" s="134" t="s">
        <v>4904</v>
      </c>
      <c r="BT232" s="134" t="s">
        <v>4902</v>
      </c>
      <c r="BU232" s="134" t="s">
        <v>4905</v>
      </c>
      <c r="BV232" s="134" t="s">
        <v>4903</v>
      </c>
      <c r="BW232" s="259" t="s">
        <v>4921</v>
      </c>
      <c r="BX232" s="138" t="s">
        <v>4907</v>
      </c>
      <c r="BY232" s="134">
        <v>48.7059</v>
      </c>
      <c r="BZ232" s="134">
        <f>50.6184-Table665[[#This Row],[Outcome1_M]]</f>
        <v>1.9125000000000014</v>
      </c>
      <c r="CA232" s="134" t="s">
        <v>24</v>
      </c>
      <c r="CB232" s="138" t="s">
        <v>4908</v>
      </c>
      <c r="CC232" s="134">
        <v>52.088200000000001</v>
      </c>
      <c r="CD232" s="134">
        <f>53.4118-Table665[[#This Row],[Outcome2_M]]</f>
        <v>1.323599999999999</v>
      </c>
      <c r="CE232" s="134" t="s">
        <v>24</v>
      </c>
      <c r="CF232" s="544" t="s">
        <v>4919</v>
      </c>
      <c r="CG232" s="544" t="s">
        <v>2555</v>
      </c>
      <c r="CH232" s="138" t="s">
        <v>4909</v>
      </c>
      <c r="CI232" s="134">
        <v>33.808700000000002</v>
      </c>
      <c r="CJ232" s="134">
        <f>36.0146-Table665[[#This Row],[Outcome3_M]]</f>
        <v>2.2058999999999997</v>
      </c>
      <c r="CK232" s="134" t="s">
        <v>24</v>
      </c>
      <c r="CL232" s="138" t="s">
        <v>4910</v>
      </c>
      <c r="CM232" s="134">
        <v>48.808599999999998</v>
      </c>
      <c r="CN232" s="134">
        <f>50.1321-Table665[[#This Row],[Outcome4_M]]</f>
        <v>1.3235000000000028</v>
      </c>
      <c r="CO232" s="134" t="s">
        <v>24</v>
      </c>
      <c r="CP232" s="544" t="s">
        <v>4919</v>
      </c>
      <c r="CQ232" s="544" t="s">
        <v>2588</v>
      </c>
      <c r="CR232" s="276" t="s">
        <v>24</v>
      </c>
      <c r="CS232" s="308" t="s">
        <v>24</v>
      </c>
      <c r="CT232" s="138" t="s">
        <v>4911</v>
      </c>
      <c r="CU232" s="134">
        <v>24.647200000000002</v>
      </c>
      <c r="CV232" s="134">
        <f>26.2648-Table665[[#This Row],[Outcome5_M]]</f>
        <v>1.6175999999999995</v>
      </c>
      <c r="CW232" s="134" t="s">
        <v>24</v>
      </c>
      <c r="CX232" s="138" t="s">
        <v>4912</v>
      </c>
      <c r="CY232" s="134">
        <v>44.058399999999999</v>
      </c>
      <c r="CZ232" s="134">
        <f>45.3819-Table665[[#This Row],[Outcome6_M]]</f>
        <v>1.3235000000000028</v>
      </c>
      <c r="DA232" s="134" t="s">
        <v>24</v>
      </c>
      <c r="DB232" s="550" t="s">
        <v>4919</v>
      </c>
      <c r="DC232" s="550" t="s">
        <v>2588</v>
      </c>
      <c r="DD232" s="138" t="s">
        <v>4913</v>
      </c>
      <c r="DE232" s="134">
        <v>16.809100000000001</v>
      </c>
      <c r="DF232" s="134">
        <f>17.8381-Table665[[#This Row],[Outcome7_M]]</f>
        <v>1.0289999999999999</v>
      </c>
      <c r="DG232" s="134" t="s">
        <v>24</v>
      </c>
      <c r="DH232" s="138" t="s">
        <v>4914</v>
      </c>
      <c r="DI232" s="134">
        <v>37.543900000000001</v>
      </c>
      <c r="DJ232" s="134">
        <f>38.8674-Table665[[#This Row],[Outcome8_M]]</f>
        <v>1.3235000000000028</v>
      </c>
      <c r="DK232" s="134" t="s">
        <v>24</v>
      </c>
      <c r="DL232" s="301" t="s">
        <v>4919</v>
      </c>
      <c r="DM232" s="301" t="s">
        <v>2588</v>
      </c>
      <c r="DN232" s="276" t="s">
        <v>24</v>
      </c>
      <c r="DO232" s="277" t="s">
        <v>24</v>
      </c>
      <c r="DP232" s="138" t="s">
        <v>4915</v>
      </c>
      <c r="DQ232" s="134">
        <v>14.264799999999999</v>
      </c>
      <c r="DR232" s="134">
        <f>15.5883-Table665[[#This Row],[Outcome9_M]]</f>
        <v>1.323500000000001</v>
      </c>
      <c r="DS232" s="134" t="s">
        <v>24</v>
      </c>
      <c r="DT232" s="138" t="s">
        <v>4916</v>
      </c>
      <c r="DU232" s="134">
        <v>33.2348</v>
      </c>
      <c r="DV232" s="134">
        <f>34.1172-Table665[[#This Row],[Outcome10_M]]</f>
        <v>0.88239999999999696</v>
      </c>
      <c r="DW232" s="134" t="s">
        <v>24</v>
      </c>
      <c r="DX232" s="301" t="s">
        <v>4919</v>
      </c>
      <c r="DY232" s="301" t="s">
        <v>2588</v>
      </c>
      <c r="DZ232" s="138" t="s">
        <v>4917</v>
      </c>
      <c r="EA232" s="134">
        <v>12.8094</v>
      </c>
      <c r="EB232" s="134">
        <f>13.8614-Table665[[#This Row],[Outcome11_M]]</f>
        <v>1.0519999999999996</v>
      </c>
      <c r="EC232" s="134" t="s">
        <v>24</v>
      </c>
      <c r="ED232" s="138" t="s">
        <v>4918</v>
      </c>
      <c r="EE232" s="134">
        <v>19.616299999999999</v>
      </c>
      <c r="EF232" s="134">
        <f>21.7822-Table665[[#This Row],[Outcome12_M]]</f>
        <v>2.1659000000000006</v>
      </c>
      <c r="EG232" s="134" t="s">
        <v>24</v>
      </c>
      <c r="EH232" s="301" t="s">
        <v>4920</v>
      </c>
      <c r="EI232" s="301" t="s">
        <v>2588</v>
      </c>
      <c r="EJ232" s="277"/>
      <c r="EK232" s="134"/>
      <c r="EL232" s="134"/>
      <c r="EM232" s="134"/>
      <c r="EN232" s="480"/>
      <c r="EO232" s="138"/>
      <c r="EP232" s="134"/>
      <c r="EQ232" s="134"/>
      <c r="ER232" s="134"/>
      <c r="ES232" s="301"/>
      <c r="ET232" s="301"/>
      <c r="EU232" s="134"/>
      <c r="EV232" s="134"/>
      <c r="EW232" s="134"/>
      <c r="EX232" s="480"/>
      <c r="EY232" s="134"/>
      <c r="EZ232" s="134"/>
      <c r="FA232" s="134"/>
      <c r="FB232" s="134"/>
      <c r="FC232" s="135"/>
      <c r="FD232" s="135"/>
      <c r="FE232" s="134"/>
      <c r="FF232" s="134"/>
      <c r="FG232" s="134"/>
      <c r="FH232" s="134"/>
      <c r="FI232" s="134"/>
      <c r="FJ232" s="134"/>
      <c r="FK232" s="134"/>
      <c r="FL232" s="134"/>
      <c r="FM232" s="135"/>
      <c r="FN232" s="135"/>
      <c r="FO232" s="134"/>
      <c r="FP232" s="134"/>
      <c r="FQ232" s="134"/>
      <c r="FR232" s="134"/>
      <c r="FS232" s="134"/>
      <c r="FT232" s="134"/>
      <c r="FU232" s="134"/>
      <c r="FV232" s="134"/>
      <c r="FW232" s="135"/>
      <c r="FX232" s="135"/>
      <c r="FY232" s="134"/>
      <c r="FZ232" s="134"/>
      <c r="GA232" s="134"/>
      <c r="GB232" s="134"/>
      <c r="GC232" s="134"/>
      <c r="GD232" s="134"/>
      <c r="GE232" s="134"/>
      <c r="GF232" s="134"/>
      <c r="GG232" s="135"/>
      <c r="GH232" s="135"/>
      <c r="GI232" s="134"/>
      <c r="GJ232" s="134"/>
      <c r="GK232" s="134"/>
      <c r="GL232" s="134"/>
      <c r="GM232" s="134"/>
      <c r="GN232" s="134"/>
      <c r="GO232" s="134"/>
      <c r="GP232" s="134"/>
      <c r="GQ232" s="135"/>
      <c r="GR232" s="135"/>
      <c r="GS232" s="134"/>
      <c r="GT232" s="134"/>
      <c r="GU232" s="134"/>
      <c r="GV232" s="134"/>
      <c r="GW232" s="134"/>
      <c r="GX232" s="134"/>
      <c r="GY232" s="134"/>
      <c r="GZ232" s="134"/>
      <c r="HA232" s="135"/>
      <c r="HB232" s="135"/>
      <c r="HC232" s="134"/>
      <c r="HD232" s="134"/>
      <c r="HE232" s="134"/>
      <c r="HF232" s="134"/>
      <c r="HG232" s="134"/>
      <c r="HH232" s="134"/>
      <c r="HI232" s="134"/>
      <c r="HJ232" s="134"/>
      <c r="HK232" s="135"/>
      <c r="HL232" s="135"/>
      <c r="HM232" s="134"/>
      <c r="HN232" s="134"/>
      <c r="HO232" s="134"/>
      <c r="HP232" s="134"/>
      <c r="HQ232" s="134"/>
      <c r="HR232" s="134"/>
      <c r="HS232" s="134"/>
      <c r="HT232" s="134"/>
      <c r="HU232" s="135"/>
      <c r="HV232" s="135"/>
      <c r="HW232" s="134"/>
      <c r="HX232" s="134"/>
      <c r="HY232" s="134"/>
      <c r="HZ232" s="134"/>
      <c r="IA232" s="134"/>
      <c r="IB232" s="134"/>
      <c r="IC232" s="134"/>
      <c r="ID232" s="134"/>
      <c r="IE232" s="135"/>
      <c r="IF232" s="135"/>
      <c r="IG232" s="134"/>
      <c r="IH232" s="134"/>
      <c r="II232" s="134"/>
      <c r="IJ232" s="134"/>
      <c r="IK232" s="134"/>
      <c r="IL232" s="134"/>
      <c r="IM232" s="134"/>
      <c r="IN232" s="134"/>
      <c r="IO232" s="135"/>
      <c r="IP232" s="135"/>
      <c r="IQ232" s="134"/>
      <c r="IR232" s="134"/>
      <c r="IS232" s="134"/>
      <c r="IT232" s="134"/>
      <c r="IU232" s="134"/>
      <c r="IV232" s="134"/>
      <c r="IW232" s="134"/>
      <c r="IX232" s="134"/>
      <c r="IY232" s="135"/>
      <c r="IZ232" s="135"/>
    </row>
    <row r="233" spans="1:260" customFormat="1" ht="17" customHeight="1">
      <c r="A233" s="79" t="s">
        <v>1027</v>
      </c>
      <c r="B233" s="363">
        <v>23</v>
      </c>
      <c r="C233" s="363"/>
      <c r="D233" s="363"/>
      <c r="E233" s="123" t="s">
        <v>2087</v>
      </c>
      <c r="F233" s="124" t="s">
        <v>2342</v>
      </c>
      <c r="G233" s="125">
        <v>2015</v>
      </c>
      <c r="H233" s="79">
        <v>26650043</v>
      </c>
      <c r="I233" s="79">
        <v>1</v>
      </c>
      <c r="J233" s="126">
        <v>1</v>
      </c>
      <c r="K233" s="127"/>
      <c r="L233" s="79">
        <v>1</v>
      </c>
      <c r="M233" s="79"/>
      <c r="N233" s="79">
        <v>1</v>
      </c>
      <c r="O233" s="128">
        <v>2</v>
      </c>
      <c r="P233" s="79" t="s">
        <v>1401</v>
      </c>
      <c r="Q233" s="79" t="s">
        <v>1169</v>
      </c>
      <c r="R233" s="79" t="s">
        <v>1127</v>
      </c>
      <c r="S233" s="79"/>
      <c r="T233" s="79" t="s">
        <v>1487</v>
      </c>
      <c r="U233" s="79"/>
      <c r="V233" s="79"/>
      <c r="W233" s="79" t="s">
        <v>1676</v>
      </c>
      <c r="X233" s="79" t="s">
        <v>1402</v>
      </c>
      <c r="Y233" s="79"/>
      <c r="Z233" s="79"/>
      <c r="AA233" s="79"/>
      <c r="AB233" s="79"/>
      <c r="AC233" s="506"/>
      <c r="AD233" s="573">
        <v>1</v>
      </c>
      <c r="AE233" s="573">
        <v>2</v>
      </c>
      <c r="AF233" s="154">
        <v>1</v>
      </c>
      <c r="AG233" s="155"/>
      <c r="AH233" s="121">
        <v>4</v>
      </c>
      <c r="AI233" s="484"/>
      <c r="AJ233" s="202" t="s">
        <v>3030</v>
      </c>
      <c r="AK233" s="192">
        <v>0</v>
      </c>
      <c r="AL233" s="203">
        <v>1</v>
      </c>
      <c r="AM233" s="121" t="s">
        <v>3029</v>
      </c>
      <c r="AN233" s="121" t="s">
        <v>3028</v>
      </c>
      <c r="AO233" s="121" t="s">
        <v>3028</v>
      </c>
      <c r="AP233" s="121" t="s">
        <v>803</v>
      </c>
      <c r="AQ233" s="121" t="s">
        <v>803</v>
      </c>
      <c r="AR233" s="121" t="s">
        <v>24</v>
      </c>
      <c r="AS233" s="121" t="s">
        <v>24</v>
      </c>
      <c r="AT233" s="121" t="s">
        <v>24</v>
      </c>
      <c r="AU233" s="121" t="s">
        <v>24</v>
      </c>
      <c r="AV233" s="121" t="s">
        <v>2963</v>
      </c>
      <c r="AW233" s="121">
        <v>1</v>
      </c>
      <c r="AX233" s="121">
        <v>1</v>
      </c>
      <c r="AY233" s="121" t="s">
        <v>3004</v>
      </c>
      <c r="AZ233" s="121" t="s">
        <v>1130</v>
      </c>
      <c r="BA233" s="121" t="s">
        <v>3005</v>
      </c>
      <c r="BB233" s="121"/>
      <c r="BC233" s="121"/>
      <c r="BD233" s="156">
        <v>1</v>
      </c>
      <c r="BE233" s="156"/>
      <c r="BF233" s="156"/>
      <c r="BG233" s="156"/>
      <c r="BH233" s="156"/>
      <c r="BI233" s="156"/>
      <c r="BJ233" s="156"/>
      <c r="BK233" s="156"/>
      <c r="BL233" s="156"/>
      <c r="BM233" s="156"/>
      <c r="BN233" s="156"/>
      <c r="BO233" s="156"/>
      <c r="BP233" s="156"/>
      <c r="BQ233" s="157" t="s">
        <v>2999</v>
      </c>
      <c r="BR233" s="134" t="s">
        <v>1876</v>
      </c>
      <c r="BS233" s="134" t="s">
        <v>2942</v>
      </c>
      <c r="BT233" s="134" t="s">
        <v>3006</v>
      </c>
      <c r="BU233" s="134" t="s">
        <v>2606</v>
      </c>
      <c r="BV233" s="134" t="s">
        <v>2659</v>
      </c>
      <c r="BW233" s="259" t="s">
        <v>3027</v>
      </c>
      <c r="BX233" s="138" t="s">
        <v>3007</v>
      </c>
      <c r="BY233" s="134">
        <v>33.960299999999997</v>
      </c>
      <c r="BZ233" s="134" t="s">
        <v>24</v>
      </c>
      <c r="CA233" s="134">
        <f>37.1059-Table665[[#This Row],[Outcome1_M]]</f>
        <v>3.1456000000000017</v>
      </c>
      <c r="CB233" s="138" t="s">
        <v>3008</v>
      </c>
      <c r="CC233" s="134">
        <v>67.106700000000004</v>
      </c>
      <c r="CD233" s="134" t="s">
        <v>24</v>
      </c>
      <c r="CE233" s="134">
        <f>68.9045-Table665[[#This Row],[Outcome2_M]]</f>
        <v>1.7977999999999952</v>
      </c>
      <c r="CF233" s="288" t="s">
        <v>3015</v>
      </c>
      <c r="CG233" s="293" t="s">
        <v>3019</v>
      </c>
      <c r="CH233" s="138" t="s">
        <v>3009</v>
      </c>
      <c r="CI233" s="134">
        <v>34.791899999999998</v>
      </c>
      <c r="CJ233" s="134" t="s">
        <v>24</v>
      </c>
      <c r="CK233" s="134">
        <f>37.1522-Table665[[#This Row],[Outcome3_M]]</f>
        <v>2.3603000000000023</v>
      </c>
      <c r="CL233" s="138" t="s">
        <v>3010</v>
      </c>
      <c r="CM233" s="134">
        <v>66.252300000000005</v>
      </c>
      <c r="CN233" s="134" t="s">
        <v>24</v>
      </c>
      <c r="CO233" s="134">
        <f>68.2748-Table665[[#This Row],[Outcome4_M]]</f>
        <v>2.0224999999999937</v>
      </c>
      <c r="CP233" s="288" t="s">
        <v>3016</v>
      </c>
      <c r="CQ233" s="293" t="s">
        <v>3020</v>
      </c>
      <c r="CR233" s="276" t="s">
        <v>3017</v>
      </c>
      <c r="CS233" s="308" t="s">
        <v>3018</v>
      </c>
      <c r="CT233" s="138" t="s">
        <v>3011</v>
      </c>
      <c r="CU233" s="134">
        <v>33.061500000000002</v>
      </c>
      <c r="CV233" s="134" t="s">
        <v>24</v>
      </c>
      <c r="CW233" s="134">
        <f>35.3086-Table665[[#This Row],[Outcome5_M]]</f>
        <v>2.2470999999999961</v>
      </c>
      <c r="CX233" s="138" t="s">
        <v>3012</v>
      </c>
      <c r="CY233" s="134">
        <v>64.409400000000005</v>
      </c>
      <c r="CZ233" s="134" t="s">
        <v>24</v>
      </c>
      <c r="DA233" s="134">
        <f>68.2296-Table665[[#This Row],[Outcome6_M]]</f>
        <v>3.8201999999999998</v>
      </c>
      <c r="DB233" s="300" t="s">
        <v>3023</v>
      </c>
      <c r="DC233" s="314" t="s">
        <v>3021</v>
      </c>
      <c r="DD233" s="138" t="s">
        <v>3013</v>
      </c>
      <c r="DE233" s="134">
        <v>37.150399999999998</v>
      </c>
      <c r="DF233" s="134" t="s">
        <v>24</v>
      </c>
      <c r="DG233" s="134">
        <f>40.2965-Table665[[#This Row],[Outcome7_M]]</f>
        <v>3.1461000000000041</v>
      </c>
      <c r="DH233" s="138" t="s">
        <v>3014</v>
      </c>
      <c r="DI233" s="134">
        <v>62.430599999999998</v>
      </c>
      <c r="DJ233" s="134" t="s">
        <v>24</v>
      </c>
      <c r="DK233" s="134">
        <f>65.3519-Table665[[#This Row],[Outcome8_M]]</f>
        <v>2.9213000000000022</v>
      </c>
      <c r="DL233" s="300" t="s">
        <v>3024</v>
      </c>
      <c r="DM233" s="314" t="s">
        <v>3022</v>
      </c>
      <c r="DN233" s="276" t="s">
        <v>3025</v>
      </c>
      <c r="DO233" s="277" t="s">
        <v>3026</v>
      </c>
      <c r="DP233" s="134"/>
      <c r="DQ233" s="134"/>
      <c r="DR233" s="134"/>
      <c r="DS233" s="134"/>
      <c r="DT233" s="138"/>
      <c r="DU233" s="134"/>
      <c r="DV233" s="134"/>
      <c r="DW233" s="134"/>
      <c r="DX233" s="301"/>
      <c r="DY233" s="301"/>
      <c r="DZ233" s="138"/>
      <c r="EA233" s="134"/>
      <c r="EB233" s="134"/>
      <c r="EC233" s="134"/>
      <c r="ED233" s="138"/>
      <c r="EE233" s="134"/>
      <c r="EF233" s="134"/>
      <c r="EG233" s="134"/>
      <c r="EH233" s="301"/>
      <c r="EI233" s="301"/>
      <c r="EJ233" s="277"/>
      <c r="EK233" s="134"/>
      <c r="EL233" s="134"/>
      <c r="EM233" s="134"/>
      <c r="EN233" s="134"/>
      <c r="EO233" s="134"/>
      <c r="EP233" s="134"/>
      <c r="EQ233" s="134"/>
      <c r="ER233" s="134"/>
      <c r="ES233" s="301"/>
      <c r="ET233" s="301"/>
      <c r="EU233" s="134"/>
      <c r="EV233" s="134"/>
      <c r="EW233" s="134"/>
      <c r="EX233" s="134"/>
      <c r="EY233" s="134"/>
      <c r="EZ233" s="134"/>
      <c r="FA233" s="134"/>
      <c r="FB233" s="134"/>
      <c r="FC233" s="135"/>
      <c r="FD233" s="135"/>
      <c r="FE233" s="134"/>
      <c r="FF233" s="134"/>
      <c r="FG233" s="134"/>
      <c r="FH233" s="134"/>
      <c r="FI233" s="134"/>
      <c r="FJ233" s="134"/>
      <c r="FK233" s="134"/>
      <c r="FL233" s="134"/>
      <c r="FM233" s="135"/>
      <c r="FN233" s="135"/>
      <c r="FO233" s="134"/>
      <c r="FP233" s="134"/>
      <c r="FQ233" s="134"/>
      <c r="FR233" s="134"/>
      <c r="FS233" s="134"/>
      <c r="FT233" s="134"/>
      <c r="FU233" s="134"/>
      <c r="FV233" s="134"/>
      <c r="FW233" s="135"/>
      <c r="FX233" s="135"/>
      <c r="FY233" s="134"/>
      <c r="FZ233" s="134"/>
      <c r="GA233" s="134"/>
      <c r="GB233" s="134"/>
      <c r="GC233" s="134"/>
      <c r="GD233" s="134"/>
      <c r="GE233" s="134"/>
      <c r="GF233" s="134"/>
      <c r="GG233" s="135"/>
      <c r="GH233" s="135"/>
      <c r="GI233" s="134"/>
      <c r="GJ233" s="134"/>
      <c r="GK233" s="134"/>
      <c r="GL233" s="134"/>
      <c r="GM233" s="134"/>
      <c r="GN233" s="134"/>
      <c r="GO233" s="134"/>
      <c r="GP233" s="134"/>
      <c r="GQ233" s="135"/>
      <c r="GR233" s="135"/>
      <c r="GS233" s="134"/>
      <c r="GT233" s="134"/>
      <c r="GU233" s="134"/>
      <c r="GV233" s="134"/>
      <c r="GW233" s="134"/>
      <c r="GX233" s="134"/>
      <c r="GY233" s="134"/>
      <c r="GZ233" s="134"/>
      <c r="HA233" s="135"/>
      <c r="HB233" s="135"/>
      <c r="HC233" s="134"/>
      <c r="HD233" s="134"/>
      <c r="HE233" s="134"/>
      <c r="HF233" s="134"/>
      <c r="HG233" s="134"/>
      <c r="HH233" s="134"/>
      <c r="HI233" s="134"/>
      <c r="HJ233" s="134"/>
      <c r="HK233" s="135"/>
      <c r="HL233" s="135"/>
      <c r="HM233" s="134"/>
      <c r="HN233" s="134"/>
      <c r="HO233" s="134"/>
      <c r="HP233" s="134"/>
      <c r="HQ233" s="134"/>
      <c r="HR233" s="134"/>
      <c r="HS233" s="134"/>
      <c r="HT233" s="134"/>
      <c r="HU233" s="135"/>
      <c r="HV233" s="135"/>
      <c r="HW233" s="134"/>
      <c r="HX233" s="134"/>
      <c r="HY233" s="134"/>
      <c r="HZ233" s="134"/>
      <c r="IA233" s="134"/>
      <c r="IB233" s="134"/>
      <c r="IC233" s="134"/>
      <c r="ID233" s="134"/>
      <c r="IE233" s="135"/>
      <c r="IF233" s="135"/>
      <c r="IG233" s="134"/>
      <c r="IH233" s="134"/>
      <c r="II233" s="134"/>
      <c r="IJ233" s="134"/>
      <c r="IK233" s="134"/>
      <c r="IL233" s="134"/>
      <c r="IM233" s="134"/>
      <c r="IN233" s="134"/>
      <c r="IO233" s="135"/>
      <c r="IP233" s="135"/>
      <c r="IQ233" s="134"/>
      <c r="IR233" s="134"/>
      <c r="IS233" s="134"/>
      <c r="IT233" s="134"/>
      <c r="IU233" s="134"/>
      <c r="IV233" s="134"/>
      <c r="IW233" s="134"/>
      <c r="IX233" s="134"/>
      <c r="IY233" s="135"/>
      <c r="IZ233" s="135"/>
    </row>
    <row r="234" spans="1:260" customFormat="1" ht="17" customHeight="1">
      <c r="A234" s="79" t="s">
        <v>208</v>
      </c>
      <c r="B234" s="117">
        <v>154</v>
      </c>
      <c r="C234" s="117">
        <v>49</v>
      </c>
      <c r="D234" s="117"/>
      <c r="E234" s="123" t="s">
        <v>1979</v>
      </c>
      <c r="F234" s="124" t="s">
        <v>2203</v>
      </c>
      <c r="G234" s="125">
        <v>2013</v>
      </c>
      <c r="H234" s="79">
        <v>23445934</v>
      </c>
      <c r="I234" s="79">
        <v>1</v>
      </c>
      <c r="J234" s="126"/>
      <c r="K234" s="127"/>
      <c r="L234" s="79">
        <v>1</v>
      </c>
      <c r="M234" s="79"/>
      <c r="N234" s="79">
        <v>1</v>
      </c>
      <c r="O234" s="128">
        <v>1</v>
      </c>
      <c r="P234" s="79" t="s">
        <v>596</v>
      </c>
      <c r="Q234" s="79" t="s">
        <v>1168</v>
      </c>
      <c r="R234" s="79" t="s">
        <v>594</v>
      </c>
      <c r="S234" s="79">
        <v>0</v>
      </c>
      <c r="T234" s="79"/>
      <c r="U234" s="79"/>
      <c r="V234" s="79"/>
      <c r="W234" s="79" t="s">
        <v>597</v>
      </c>
      <c r="X234" s="79" t="s">
        <v>595</v>
      </c>
      <c r="Y234" s="79"/>
      <c r="Z234" s="79"/>
      <c r="AA234" s="79"/>
      <c r="AB234" s="79"/>
      <c r="AC234" s="506"/>
      <c r="AD234" s="573">
        <v>1</v>
      </c>
      <c r="AE234" s="573">
        <v>2</v>
      </c>
      <c r="AF234" s="154">
        <v>1</v>
      </c>
      <c r="AG234" s="155"/>
      <c r="AH234" s="121" t="s">
        <v>4923</v>
      </c>
      <c r="AI234" s="484" t="s">
        <v>4927</v>
      </c>
      <c r="AJ234" s="498" t="s">
        <v>4926</v>
      </c>
      <c r="AK234" s="192">
        <v>1</v>
      </c>
      <c r="AL234" s="203" t="s">
        <v>24</v>
      </c>
      <c r="AM234" s="121">
        <f>Table665[[#This Row],[Subjects_n_ptsd]]+Table665[[#This Row],[Subjects_n_control]]</f>
        <v>241</v>
      </c>
      <c r="AN234" s="121">
        <f>34+81+76+28</f>
        <v>219</v>
      </c>
      <c r="AO234" s="121">
        <v>22</v>
      </c>
      <c r="AP234" s="121" t="s">
        <v>4925</v>
      </c>
      <c r="AQ234" s="121" t="s">
        <v>4925</v>
      </c>
      <c r="AR234" s="121">
        <f>AVERAGE(58.3,55.5,50.7,50.7)</f>
        <v>53.8</v>
      </c>
      <c r="AS234" s="121">
        <f>AVERAGE(6.3, 6.5, 8, 6.3)</f>
        <v>6.7750000000000004</v>
      </c>
      <c r="AT234" s="121">
        <v>49.3</v>
      </c>
      <c r="AU234" s="121">
        <v>6</v>
      </c>
      <c r="AV234" s="121" t="s">
        <v>4987</v>
      </c>
      <c r="AW234" s="121" t="s">
        <v>24</v>
      </c>
      <c r="AX234" s="121" t="s">
        <v>24</v>
      </c>
      <c r="AY234" s="121" t="s">
        <v>4924</v>
      </c>
      <c r="AZ234" s="121" t="s">
        <v>4986</v>
      </c>
      <c r="BA234" s="121" t="s">
        <v>4928</v>
      </c>
      <c r="BB234" s="121"/>
      <c r="BC234" s="121"/>
      <c r="BD234" s="156"/>
      <c r="BE234" s="156"/>
      <c r="BF234" s="156"/>
      <c r="BG234" s="156"/>
      <c r="BH234" s="156"/>
      <c r="BI234" s="156"/>
      <c r="BJ234" s="156">
        <v>1</v>
      </c>
      <c r="BK234" s="156"/>
      <c r="BL234" s="156"/>
      <c r="BM234" s="156"/>
      <c r="BN234" s="156"/>
      <c r="BO234" s="156"/>
      <c r="BP234" s="156"/>
      <c r="BQ234" s="157" t="s">
        <v>4984</v>
      </c>
      <c r="BR234" s="134" t="s">
        <v>1876</v>
      </c>
      <c r="BS234" s="134" t="s">
        <v>4931</v>
      </c>
      <c r="BT234" s="134" t="s">
        <v>4932</v>
      </c>
      <c r="BU234" s="134" t="s">
        <v>24</v>
      </c>
      <c r="BV234" s="134" t="s">
        <v>4934</v>
      </c>
      <c r="BW234" s="259" t="s">
        <v>4983</v>
      </c>
      <c r="BX234" s="138" t="s">
        <v>4947</v>
      </c>
      <c r="BY234" s="134">
        <v>32.1</v>
      </c>
      <c r="BZ234" s="134">
        <v>6.2</v>
      </c>
      <c r="CA234" s="134" t="s">
        <v>24</v>
      </c>
      <c r="CB234" s="138" t="s">
        <v>4948</v>
      </c>
      <c r="CC234" s="134">
        <v>27.5</v>
      </c>
      <c r="CD234" s="134">
        <v>8.6999999999999993</v>
      </c>
      <c r="CE234" s="134" t="s">
        <v>24</v>
      </c>
      <c r="CF234" s="288" t="s">
        <v>4967</v>
      </c>
      <c r="CG234" s="289" t="s">
        <v>2555</v>
      </c>
      <c r="CH234" s="427" t="s">
        <v>4949</v>
      </c>
      <c r="CI234" s="134">
        <v>35.299999999999997</v>
      </c>
      <c r="CJ234" s="134">
        <v>8.8000000000000007</v>
      </c>
      <c r="CK234" s="134" t="s">
        <v>24</v>
      </c>
      <c r="CL234" s="427" t="s">
        <v>4950</v>
      </c>
      <c r="CM234" s="134">
        <v>32.1</v>
      </c>
      <c r="CN234" s="134">
        <v>3.7</v>
      </c>
      <c r="CO234" s="134" t="s">
        <v>24</v>
      </c>
      <c r="CP234" s="288" t="s">
        <v>4969</v>
      </c>
      <c r="CQ234" s="289" t="s">
        <v>4968</v>
      </c>
      <c r="CR234" s="276" t="s">
        <v>4970</v>
      </c>
      <c r="CS234" s="308" t="s">
        <v>4971</v>
      </c>
      <c r="CT234" s="138" t="s">
        <v>4951</v>
      </c>
      <c r="CU234" s="134">
        <v>41.7</v>
      </c>
      <c r="CV234" s="168">
        <v>5.4</v>
      </c>
      <c r="CW234" s="134" t="s">
        <v>24</v>
      </c>
      <c r="CX234" s="138" t="s">
        <v>4952</v>
      </c>
      <c r="CY234" s="134">
        <v>3.2</v>
      </c>
      <c r="CZ234" s="134">
        <v>1.9</v>
      </c>
      <c r="DA234" s="134" t="s">
        <v>24</v>
      </c>
      <c r="DB234" s="300" t="s">
        <v>4972</v>
      </c>
      <c r="DC234" s="301" t="s">
        <v>2480</v>
      </c>
      <c r="DD234" s="138" t="s">
        <v>4953</v>
      </c>
      <c r="DE234" s="134">
        <v>3</v>
      </c>
      <c r="DF234" s="134">
        <v>1.2</v>
      </c>
      <c r="DG234" s="134" t="s">
        <v>24</v>
      </c>
      <c r="DH234" s="427" t="s">
        <v>4954</v>
      </c>
      <c r="DI234" s="134">
        <v>3.8</v>
      </c>
      <c r="DJ234" s="134">
        <v>1.4</v>
      </c>
      <c r="DK234" s="134" t="s">
        <v>24</v>
      </c>
      <c r="DL234" s="300" t="s">
        <v>4973</v>
      </c>
      <c r="DM234" s="301" t="s">
        <v>2410</v>
      </c>
      <c r="DN234" s="276" t="s">
        <v>24</v>
      </c>
      <c r="DO234" s="277" t="s">
        <v>24</v>
      </c>
      <c r="DP234" s="427" t="s">
        <v>4955</v>
      </c>
      <c r="DQ234" s="134">
        <v>3.8</v>
      </c>
      <c r="DR234" s="134">
        <v>0.9</v>
      </c>
      <c r="DS234" s="480" t="s">
        <v>24</v>
      </c>
      <c r="DT234" s="138" t="s">
        <v>4956</v>
      </c>
      <c r="DU234" s="134">
        <v>5</v>
      </c>
      <c r="DV234" s="134">
        <v>1.2</v>
      </c>
      <c r="DW234" s="134" t="s">
        <v>24</v>
      </c>
      <c r="DX234" s="301" t="s">
        <v>4974</v>
      </c>
      <c r="DY234" s="301" t="s">
        <v>4975</v>
      </c>
      <c r="DZ234" s="138" t="s">
        <v>4957</v>
      </c>
      <c r="EA234" s="134">
        <v>6.5</v>
      </c>
      <c r="EB234" s="134">
        <v>2.1</v>
      </c>
      <c r="EC234" s="134" t="s">
        <v>24</v>
      </c>
      <c r="ED234" s="138" t="s">
        <v>4958</v>
      </c>
      <c r="EE234" s="134">
        <v>5.0999999999999996</v>
      </c>
      <c r="EF234" s="134">
        <v>1.8</v>
      </c>
      <c r="EG234" s="134" t="s">
        <v>24</v>
      </c>
      <c r="EH234" s="301" t="s">
        <v>4976</v>
      </c>
      <c r="EI234" s="301" t="s">
        <v>3526</v>
      </c>
      <c r="EJ234" s="277" t="s">
        <v>24</v>
      </c>
      <c r="EK234" s="427" t="s">
        <v>4959</v>
      </c>
      <c r="EL234" s="134">
        <v>7</v>
      </c>
      <c r="EM234" s="134">
        <v>2.4</v>
      </c>
      <c r="EN234" s="134" t="s">
        <v>24</v>
      </c>
      <c r="EO234" s="427" t="s">
        <v>4960</v>
      </c>
      <c r="EP234" s="134">
        <v>6.5</v>
      </c>
      <c r="EQ234" s="134">
        <v>1.3</v>
      </c>
      <c r="ER234" s="134" t="s">
        <v>24</v>
      </c>
      <c r="ES234" s="301" t="s">
        <v>4977</v>
      </c>
      <c r="ET234" s="301" t="s">
        <v>4978</v>
      </c>
      <c r="EU234" s="138" t="s">
        <v>4961</v>
      </c>
      <c r="EV234" s="134">
        <v>8.1999999999999993</v>
      </c>
      <c r="EW234" s="134">
        <v>1.8</v>
      </c>
      <c r="EX234" s="134" t="s">
        <v>24</v>
      </c>
      <c r="EY234" s="138" t="s">
        <v>4962</v>
      </c>
      <c r="EZ234" s="134">
        <v>1.4</v>
      </c>
      <c r="FA234" s="134">
        <v>1.6</v>
      </c>
      <c r="FB234" s="134" t="s">
        <v>24</v>
      </c>
      <c r="FC234" s="135" t="s">
        <v>4979</v>
      </c>
      <c r="FD234" s="135" t="s">
        <v>2480</v>
      </c>
      <c r="FE234" s="138" t="s">
        <v>4963</v>
      </c>
      <c r="FF234" s="134">
        <v>2</v>
      </c>
      <c r="FG234" s="134">
        <v>1.2</v>
      </c>
      <c r="FH234" s="134" t="s">
        <v>24</v>
      </c>
      <c r="FI234" s="427" t="s">
        <v>4964</v>
      </c>
      <c r="FJ234" s="134">
        <v>1.9</v>
      </c>
      <c r="FK234" s="134">
        <v>1.7</v>
      </c>
      <c r="FL234" s="134" t="s">
        <v>24</v>
      </c>
      <c r="FM234" s="135" t="s">
        <v>4980</v>
      </c>
      <c r="FN234" s="135" t="s">
        <v>2480</v>
      </c>
      <c r="FO234" s="427" t="s">
        <v>4965</v>
      </c>
      <c r="FP234" s="134">
        <v>2.7</v>
      </c>
      <c r="FQ234" s="134">
        <v>0.6</v>
      </c>
      <c r="FR234" s="134" t="s">
        <v>24</v>
      </c>
      <c r="FS234" s="138" t="s">
        <v>4966</v>
      </c>
      <c r="FT234" s="134">
        <v>2.4</v>
      </c>
      <c r="FU234" s="134">
        <v>1.4</v>
      </c>
      <c r="FV234" s="134" t="s">
        <v>24</v>
      </c>
      <c r="FW234" s="135" t="s">
        <v>4981</v>
      </c>
      <c r="FX234" s="135" t="s">
        <v>4982</v>
      </c>
      <c r="FY234" s="134" t="s">
        <v>24</v>
      </c>
      <c r="FZ234" s="134" t="s">
        <v>24</v>
      </c>
      <c r="GA234" s="134" t="s">
        <v>24</v>
      </c>
      <c r="GB234" s="134" t="s">
        <v>24</v>
      </c>
      <c r="GC234" s="134"/>
      <c r="GD234" s="134"/>
      <c r="GE234" s="134"/>
      <c r="GF234" s="134"/>
      <c r="GG234" s="135"/>
      <c r="GH234" s="135"/>
      <c r="GI234" s="134"/>
      <c r="GJ234" s="134"/>
      <c r="GK234" s="134"/>
      <c r="GL234" s="134"/>
      <c r="GM234" s="134"/>
      <c r="GN234" s="134"/>
      <c r="GO234" s="134"/>
      <c r="GP234" s="134"/>
      <c r="GQ234" s="135"/>
      <c r="GR234" s="135"/>
      <c r="GS234" s="134"/>
      <c r="GT234" s="134"/>
      <c r="GU234" s="134"/>
      <c r="GV234" s="134"/>
      <c r="GW234" s="134"/>
      <c r="GX234" s="134"/>
      <c r="GY234" s="134"/>
      <c r="GZ234" s="134"/>
      <c r="HA234" s="135"/>
      <c r="HB234" s="135"/>
      <c r="HC234" s="134"/>
      <c r="HD234" s="134"/>
      <c r="HE234" s="134"/>
      <c r="HF234" s="134"/>
      <c r="HG234" s="134"/>
      <c r="HH234" s="134"/>
      <c r="HI234" s="134"/>
      <c r="HJ234" s="134"/>
      <c r="HK234" s="135"/>
      <c r="HL234" s="135"/>
      <c r="HM234" s="134"/>
      <c r="HN234" s="134"/>
      <c r="HO234" s="134"/>
      <c r="HP234" s="134"/>
      <c r="HQ234" s="134"/>
      <c r="HR234" s="134"/>
      <c r="HS234" s="134"/>
      <c r="HT234" s="134"/>
      <c r="HU234" s="135"/>
      <c r="HV234" s="135"/>
      <c r="HW234" s="134"/>
      <c r="HX234" s="134"/>
      <c r="HY234" s="134"/>
      <c r="HZ234" s="134"/>
      <c r="IA234" s="134"/>
      <c r="IB234" s="134"/>
      <c r="IC234" s="134"/>
      <c r="ID234" s="134"/>
      <c r="IE234" s="135"/>
      <c r="IF234" s="135"/>
      <c r="IG234" s="134"/>
      <c r="IH234" s="134"/>
      <c r="II234" s="134"/>
      <c r="IJ234" s="134"/>
      <c r="IK234" s="134"/>
      <c r="IL234" s="134"/>
      <c r="IM234" s="134"/>
      <c r="IN234" s="134"/>
      <c r="IO234" s="135"/>
      <c r="IP234" s="135"/>
      <c r="IQ234" s="134"/>
      <c r="IR234" s="134"/>
      <c r="IS234" s="134"/>
      <c r="IT234" s="134"/>
      <c r="IU234" s="134"/>
      <c r="IV234" s="134"/>
      <c r="IW234" s="134"/>
      <c r="IX234" s="134"/>
      <c r="IY234" s="135"/>
      <c r="IZ234" s="135"/>
    </row>
    <row r="235" spans="1:260" customFormat="1" ht="17" customHeight="1">
      <c r="A235" s="118" t="s">
        <v>208</v>
      </c>
      <c r="B235" s="381">
        <v>154</v>
      </c>
      <c r="C235" s="381">
        <v>49</v>
      </c>
      <c r="D235" s="381"/>
      <c r="E235" s="139" t="s">
        <v>1979</v>
      </c>
      <c r="F235" s="140" t="s">
        <v>2203</v>
      </c>
      <c r="G235" s="141">
        <v>2013</v>
      </c>
      <c r="H235" s="118">
        <v>23445934</v>
      </c>
      <c r="I235" s="118">
        <v>1</v>
      </c>
      <c r="J235" s="118"/>
      <c r="K235" s="118"/>
      <c r="L235" s="118">
        <v>1</v>
      </c>
      <c r="M235" s="118"/>
      <c r="N235" s="118">
        <v>1</v>
      </c>
      <c r="O235" s="142">
        <v>1</v>
      </c>
      <c r="P235" s="118" t="s">
        <v>596</v>
      </c>
      <c r="Q235" s="118" t="s">
        <v>1168</v>
      </c>
      <c r="R235" s="118" t="s">
        <v>594</v>
      </c>
      <c r="S235" s="118">
        <v>0</v>
      </c>
      <c r="T235" s="118"/>
      <c r="U235" s="118"/>
      <c r="V235" s="118"/>
      <c r="W235" s="118" t="s">
        <v>597</v>
      </c>
      <c r="X235" s="118" t="s">
        <v>595</v>
      </c>
      <c r="Y235" s="118"/>
      <c r="Z235" s="118"/>
      <c r="AA235" s="118"/>
      <c r="AB235" s="118"/>
      <c r="AC235" s="145"/>
      <c r="AD235" s="573">
        <v>1</v>
      </c>
      <c r="AE235" s="573">
        <v>2</v>
      </c>
      <c r="AF235" s="159">
        <v>1</v>
      </c>
      <c r="AG235" s="160"/>
      <c r="AH235" s="122" t="s">
        <v>4923</v>
      </c>
      <c r="AI235" s="485" t="s">
        <v>4927</v>
      </c>
      <c r="AJ235" s="499" t="s">
        <v>4926</v>
      </c>
      <c r="AK235" s="192">
        <v>1</v>
      </c>
      <c r="AL235" s="205" t="s">
        <v>24</v>
      </c>
      <c r="AM235" s="122">
        <f>Table665[[#This Row],[Subjects_n_ptsd]]+Table665[[#This Row],[Subjects_n_control]]</f>
        <v>241</v>
      </c>
      <c r="AN235" s="122">
        <f>34+81+76+28</f>
        <v>219</v>
      </c>
      <c r="AO235" s="122">
        <v>22</v>
      </c>
      <c r="AP235" s="122" t="s">
        <v>4925</v>
      </c>
      <c r="AQ235" s="122" t="s">
        <v>4925</v>
      </c>
      <c r="AR235" s="122">
        <f>AVERAGE(58.3,55.5,50.7,50.7)</f>
        <v>53.8</v>
      </c>
      <c r="AS235" s="122">
        <f>AVERAGE(6.3, 6.5, 8, 6.3)</f>
        <v>6.7750000000000004</v>
      </c>
      <c r="AT235" s="122">
        <v>49.3</v>
      </c>
      <c r="AU235" s="122">
        <v>6</v>
      </c>
      <c r="AV235" s="122" t="s">
        <v>4987</v>
      </c>
      <c r="AW235" s="122" t="s">
        <v>24</v>
      </c>
      <c r="AX235" s="122" t="s">
        <v>24</v>
      </c>
      <c r="AY235" s="122" t="s">
        <v>4924</v>
      </c>
      <c r="AZ235" s="122" t="s">
        <v>4986</v>
      </c>
      <c r="BA235" s="122" t="s">
        <v>4928</v>
      </c>
      <c r="BB235" s="122"/>
      <c r="BC235" s="122"/>
      <c r="BD235" s="161"/>
      <c r="BE235" s="161"/>
      <c r="BF235" s="161" t="s">
        <v>4929</v>
      </c>
      <c r="BG235" s="161"/>
      <c r="BH235" s="161"/>
      <c r="BI235" s="161"/>
      <c r="BJ235" s="161">
        <v>1</v>
      </c>
      <c r="BK235" s="161"/>
      <c r="BL235" s="161"/>
      <c r="BM235" s="161"/>
      <c r="BN235" s="161"/>
      <c r="BO235" s="161"/>
      <c r="BP235" s="161"/>
      <c r="BQ235" s="162" t="s">
        <v>4930</v>
      </c>
      <c r="BR235" s="150" t="s">
        <v>1876</v>
      </c>
      <c r="BS235" s="150" t="s">
        <v>4931</v>
      </c>
      <c r="BT235" s="150" t="s">
        <v>4933</v>
      </c>
      <c r="BU235" s="150" t="s">
        <v>24</v>
      </c>
      <c r="BV235" s="150" t="s">
        <v>4935</v>
      </c>
      <c r="BW235" s="258" t="s">
        <v>4946</v>
      </c>
      <c r="BX235" s="151" t="s">
        <v>4936</v>
      </c>
      <c r="BY235" s="150">
        <v>8.1999999999999993</v>
      </c>
      <c r="BZ235" s="150">
        <v>4.3</v>
      </c>
      <c r="CA235" s="150" t="s">
        <v>24</v>
      </c>
      <c r="CB235" s="151" t="s">
        <v>4937</v>
      </c>
      <c r="CC235" s="150">
        <v>7.2</v>
      </c>
      <c r="CD235" s="150">
        <v>3.2</v>
      </c>
      <c r="CE235" s="150" t="s">
        <v>24</v>
      </c>
      <c r="CF235" s="290" t="s">
        <v>4941</v>
      </c>
      <c r="CG235" s="291" t="s">
        <v>2480</v>
      </c>
      <c r="CH235" s="151" t="s">
        <v>4938</v>
      </c>
      <c r="CI235" s="150">
        <v>4.9000000000000004</v>
      </c>
      <c r="CJ235" s="150">
        <v>2.9</v>
      </c>
      <c r="CK235" s="150" t="s">
        <v>24</v>
      </c>
      <c r="CL235" s="151" t="s">
        <v>4939</v>
      </c>
      <c r="CM235" s="150">
        <v>2.7</v>
      </c>
      <c r="CN235" s="150">
        <v>2.2999999999999998</v>
      </c>
      <c r="CO235" s="150" t="s">
        <v>24</v>
      </c>
      <c r="CP235" s="290" t="s">
        <v>4942</v>
      </c>
      <c r="CQ235" s="291" t="s">
        <v>4943</v>
      </c>
      <c r="CR235" s="278" t="s">
        <v>24</v>
      </c>
      <c r="CS235" s="285" t="s">
        <v>24</v>
      </c>
      <c r="CT235" s="167" t="s">
        <v>4940</v>
      </c>
      <c r="CU235" s="150">
        <v>1.9</v>
      </c>
      <c r="CV235" s="228">
        <v>1.9</v>
      </c>
      <c r="CW235" s="150" t="s">
        <v>24</v>
      </c>
      <c r="CX235" s="150" t="s">
        <v>24</v>
      </c>
      <c r="CY235" s="150" t="s">
        <v>24</v>
      </c>
      <c r="CZ235" s="150" t="s">
        <v>24</v>
      </c>
      <c r="DA235" s="150" t="s">
        <v>24</v>
      </c>
      <c r="DB235" s="302" t="s">
        <v>4944</v>
      </c>
      <c r="DC235" s="303" t="s">
        <v>4945</v>
      </c>
      <c r="DD235" s="150" t="s">
        <v>24</v>
      </c>
      <c r="DE235" s="150"/>
      <c r="DF235" s="150"/>
      <c r="DG235" s="150"/>
      <c r="DH235" s="150"/>
      <c r="DI235" s="150"/>
      <c r="DJ235" s="150"/>
      <c r="DK235" s="150"/>
      <c r="DL235" s="302"/>
      <c r="DM235" s="303"/>
      <c r="DN235" s="278"/>
      <c r="DO235" s="279"/>
      <c r="DP235" s="150"/>
      <c r="DQ235" s="150"/>
      <c r="DR235" s="150"/>
      <c r="DS235" s="555"/>
      <c r="DT235" s="150"/>
      <c r="DU235" s="150"/>
      <c r="DV235" s="150"/>
      <c r="DW235" s="150"/>
      <c r="DX235" s="303"/>
      <c r="DY235" s="303"/>
      <c r="DZ235" s="151"/>
      <c r="EA235" s="150"/>
      <c r="EB235" s="150"/>
      <c r="EC235" s="150"/>
      <c r="ED235" s="151"/>
      <c r="EE235" s="150"/>
      <c r="EF235" s="150"/>
      <c r="EG235" s="150"/>
      <c r="EH235" s="303"/>
      <c r="EI235" s="303"/>
      <c r="EJ235" s="279"/>
      <c r="EK235" s="150"/>
      <c r="EL235" s="150"/>
      <c r="EM235" s="150"/>
      <c r="EN235" s="150"/>
      <c r="EO235" s="150"/>
      <c r="EP235" s="150"/>
      <c r="EQ235" s="150"/>
      <c r="ER235" s="150"/>
      <c r="ES235" s="303"/>
      <c r="ET235" s="303"/>
      <c r="EU235" s="150"/>
      <c r="EV235" s="150"/>
      <c r="EW235" s="150"/>
      <c r="EX235" s="150"/>
      <c r="EY235" s="150"/>
      <c r="EZ235" s="150"/>
      <c r="FA235" s="150"/>
      <c r="FB235" s="150"/>
      <c r="FC235" s="152"/>
      <c r="FD235" s="152"/>
      <c r="FE235" s="150"/>
      <c r="FF235" s="150"/>
      <c r="FG235" s="150"/>
      <c r="FH235" s="150"/>
      <c r="FI235" s="150"/>
      <c r="FJ235" s="150"/>
      <c r="FK235" s="150"/>
      <c r="FL235" s="150"/>
      <c r="FM235" s="152"/>
      <c r="FN235" s="152"/>
      <c r="FO235" s="150"/>
      <c r="FP235" s="150"/>
      <c r="FQ235" s="150"/>
      <c r="FR235" s="150"/>
      <c r="FS235" s="150"/>
      <c r="FT235" s="150"/>
      <c r="FU235" s="150"/>
      <c r="FV235" s="150"/>
      <c r="FW235" s="152"/>
      <c r="FX235" s="152"/>
      <c r="FY235" s="150"/>
      <c r="FZ235" s="150"/>
      <c r="GA235" s="150"/>
      <c r="GB235" s="150"/>
      <c r="GC235" s="150"/>
      <c r="GD235" s="150"/>
      <c r="GE235" s="150"/>
      <c r="GF235" s="150"/>
      <c r="GG235" s="152"/>
      <c r="GH235" s="152"/>
      <c r="GI235" s="150"/>
      <c r="GJ235" s="150"/>
      <c r="GK235" s="150"/>
      <c r="GL235" s="150"/>
      <c r="GM235" s="150"/>
      <c r="GN235" s="150"/>
      <c r="GO235" s="150"/>
      <c r="GP235" s="150"/>
      <c r="GQ235" s="152"/>
      <c r="GR235" s="152"/>
      <c r="GS235" s="134"/>
      <c r="GT235" s="134"/>
      <c r="GU235" s="134"/>
      <c r="GV235" s="134"/>
      <c r="GW235" s="134"/>
      <c r="GX235" s="134"/>
      <c r="GY235" s="134"/>
      <c r="GZ235" s="134"/>
      <c r="HA235" s="135"/>
      <c r="HB235" s="135"/>
      <c r="HC235" s="134"/>
      <c r="HD235" s="134"/>
      <c r="HE235" s="134"/>
      <c r="HF235" s="134"/>
      <c r="HG235" s="134"/>
      <c r="HH235" s="134"/>
      <c r="HI235" s="134"/>
      <c r="HJ235" s="134"/>
      <c r="HK235" s="135"/>
      <c r="HL235" s="135"/>
      <c r="HM235" s="134"/>
      <c r="HN235" s="134"/>
      <c r="HO235" s="134"/>
      <c r="HP235" s="134"/>
      <c r="HQ235" s="134"/>
      <c r="HR235" s="134"/>
      <c r="HS235" s="134"/>
      <c r="HT235" s="134"/>
      <c r="HU235" s="135"/>
      <c r="HV235" s="135"/>
      <c r="HW235" s="134"/>
      <c r="HX235" s="134"/>
      <c r="HY235" s="134"/>
      <c r="HZ235" s="134"/>
      <c r="IA235" s="134"/>
      <c r="IB235" s="134"/>
      <c r="IC235" s="134"/>
      <c r="ID235" s="134"/>
      <c r="IE235" s="135"/>
      <c r="IF235" s="135"/>
      <c r="IG235" s="134"/>
      <c r="IH235" s="134"/>
      <c r="II235" s="134"/>
      <c r="IJ235" s="134"/>
      <c r="IK235" s="134"/>
      <c r="IL235" s="134"/>
      <c r="IM235" s="134"/>
      <c r="IN235" s="134"/>
      <c r="IO235" s="135"/>
      <c r="IP235" s="135"/>
      <c r="IQ235" s="134"/>
      <c r="IR235" s="134"/>
      <c r="IS235" s="134"/>
      <c r="IT235" s="134"/>
      <c r="IU235" s="134"/>
      <c r="IV235" s="134"/>
      <c r="IW235" s="134"/>
      <c r="IX235" s="134"/>
      <c r="IY235" s="135"/>
      <c r="IZ235" s="135"/>
    </row>
    <row r="236" spans="1:260" customFormat="1" ht="17" customHeight="1">
      <c r="A236" s="79" t="s">
        <v>1026</v>
      </c>
      <c r="B236" s="363">
        <v>24</v>
      </c>
      <c r="C236" s="363"/>
      <c r="D236" s="363"/>
      <c r="E236" s="180" t="s">
        <v>2088</v>
      </c>
      <c r="F236" s="181" t="s">
        <v>2343</v>
      </c>
      <c r="G236" s="182">
        <v>2012</v>
      </c>
      <c r="H236" s="79">
        <v>22176467</v>
      </c>
      <c r="I236" s="79">
        <v>1</v>
      </c>
      <c r="J236" s="79" t="s">
        <v>1855</v>
      </c>
      <c r="K236" s="79"/>
      <c r="L236" s="79">
        <v>0</v>
      </c>
      <c r="M236" s="79"/>
      <c r="N236" s="153">
        <v>0</v>
      </c>
      <c r="O236" s="128">
        <v>2</v>
      </c>
      <c r="P236" s="79" t="s">
        <v>1404</v>
      </c>
      <c r="Q236" s="79" t="s">
        <v>1212</v>
      </c>
      <c r="R236" s="79" t="s">
        <v>1127</v>
      </c>
      <c r="S236" s="79"/>
      <c r="T236" s="79" t="s">
        <v>1488</v>
      </c>
      <c r="U236" s="79" t="s">
        <v>803</v>
      </c>
      <c r="V236" s="79"/>
      <c r="W236" s="79" t="s">
        <v>1403</v>
      </c>
      <c r="X236" s="79"/>
      <c r="Y236" s="79"/>
      <c r="Z236" s="79"/>
      <c r="AA236" s="79"/>
      <c r="AB236" s="79"/>
      <c r="AC236" s="506"/>
      <c r="AD236" s="573">
        <v>1</v>
      </c>
      <c r="AE236" s="573">
        <v>2</v>
      </c>
      <c r="AF236" s="230" t="s">
        <v>3003</v>
      </c>
      <c r="AG236" s="231" t="s">
        <v>5328</v>
      </c>
      <c r="AH236" s="187">
        <v>4</v>
      </c>
      <c r="AI236" s="487"/>
      <c r="AJ236" s="240" t="s">
        <v>3049</v>
      </c>
      <c r="AK236" s="192">
        <v>1</v>
      </c>
      <c r="AL236" s="241">
        <v>0</v>
      </c>
      <c r="AM236" s="187" t="s">
        <v>3047</v>
      </c>
      <c r="AN236" s="187">
        <f>8+8</f>
        <v>16</v>
      </c>
      <c r="AO236" s="187" t="s">
        <v>24</v>
      </c>
      <c r="AP236" s="187" t="s">
        <v>803</v>
      </c>
      <c r="AQ236" s="187" t="s">
        <v>24</v>
      </c>
      <c r="AR236" s="187" t="s">
        <v>3031</v>
      </c>
      <c r="AS236" s="187" t="s">
        <v>24</v>
      </c>
      <c r="AT236" s="187" t="s">
        <v>24</v>
      </c>
      <c r="AU236" s="187" t="s">
        <v>24</v>
      </c>
      <c r="AV236" s="187" t="s">
        <v>3033</v>
      </c>
      <c r="AW236" s="187">
        <v>1</v>
      </c>
      <c r="AX236" s="187" t="s">
        <v>3331</v>
      </c>
      <c r="AY236" s="187" t="s">
        <v>24</v>
      </c>
      <c r="AZ236" s="187" t="s">
        <v>2730</v>
      </c>
      <c r="BA236" s="187" t="s">
        <v>3045</v>
      </c>
      <c r="BB236" s="187"/>
      <c r="BC236" s="187"/>
      <c r="BD236" s="184">
        <v>1</v>
      </c>
      <c r="BE236" s="184"/>
      <c r="BF236" s="184"/>
      <c r="BG236" s="184"/>
      <c r="BH236" s="184"/>
      <c r="BI236" s="184"/>
      <c r="BJ236" s="184"/>
      <c r="BK236" s="184"/>
      <c r="BL236" s="184"/>
      <c r="BM236" s="184"/>
      <c r="BN236" s="184"/>
      <c r="BO236" s="184"/>
      <c r="BP236" s="184"/>
      <c r="BQ236" s="185" t="s">
        <v>2977</v>
      </c>
      <c r="BR236" s="186" t="s">
        <v>1876</v>
      </c>
      <c r="BS236" s="186" t="s">
        <v>3046</v>
      </c>
      <c r="BT236" s="186" t="s">
        <v>3053</v>
      </c>
      <c r="BU236" s="186" t="s">
        <v>2471</v>
      </c>
      <c r="BV236" s="186" t="s">
        <v>2659</v>
      </c>
      <c r="BW236" s="261" t="s">
        <v>3094</v>
      </c>
      <c r="BX236" s="267" t="s">
        <v>3084</v>
      </c>
      <c r="BY236" s="186">
        <v>38.994799999999998</v>
      </c>
      <c r="BZ236" s="186" t="s">
        <v>24</v>
      </c>
      <c r="CA236" s="186">
        <f>52.4035-Table665[[#This Row],[Outcome1_M]]</f>
        <v>13.408700000000003</v>
      </c>
      <c r="CB236" s="267" t="s">
        <v>3085</v>
      </c>
      <c r="CC236" s="186">
        <v>78.896699999999996</v>
      </c>
      <c r="CD236" s="186" t="s">
        <v>24</v>
      </c>
      <c r="CE236" s="186">
        <f>86.1664-Table665[[#This Row],[Outcome2_M]]</f>
        <v>7.2697000000000003</v>
      </c>
      <c r="CF236" s="294"/>
      <c r="CG236" s="295"/>
      <c r="CH236" s="267" t="s">
        <v>3086</v>
      </c>
      <c r="CI236" s="186">
        <v>28.292400000000001</v>
      </c>
      <c r="CJ236" s="272" t="s">
        <v>24</v>
      </c>
      <c r="CK236" s="186">
        <f>35.3994-Table665[[#This Row],[Outcome3_M]]</f>
        <v>7.1069999999999993</v>
      </c>
      <c r="CL236" s="267" t="s">
        <v>3087</v>
      </c>
      <c r="CM236" s="186">
        <v>64.316400000000002</v>
      </c>
      <c r="CN236" s="186" t="s">
        <v>24</v>
      </c>
      <c r="CO236" s="186">
        <f>76.5942-Table665[[#This Row],[Outcome4_M]]</f>
        <v>12.277799999999999</v>
      </c>
      <c r="CP236" s="294"/>
      <c r="CQ236" s="295"/>
      <c r="CR236" s="280"/>
      <c r="CS236" s="310"/>
      <c r="CT236" s="267" t="s">
        <v>3088</v>
      </c>
      <c r="CU236" s="186">
        <v>28.090699999999998</v>
      </c>
      <c r="CV236" s="272" t="s">
        <v>24</v>
      </c>
      <c r="CW236" s="186">
        <f>33.2597-Table665[[#This Row],[Outcome5_M]]</f>
        <v>5.169000000000004</v>
      </c>
      <c r="CX236" s="267" t="s">
        <v>3089</v>
      </c>
      <c r="CY236" s="186">
        <v>58.301400000000001</v>
      </c>
      <c r="CZ236" s="186" t="s">
        <v>24</v>
      </c>
      <c r="DA236" s="186">
        <f>69.7702-Table665[[#This Row],[Outcome6_M]]</f>
        <v>11.468800000000002</v>
      </c>
      <c r="DB236" s="305"/>
      <c r="DC236" s="315"/>
      <c r="DD236" s="267" t="s">
        <v>3090</v>
      </c>
      <c r="DE236" s="186">
        <v>13.6714</v>
      </c>
      <c r="DF236" s="272" t="s">
        <v>24</v>
      </c>
      <c r="DG236" s="186">
        <f>17.5486-Table665[[#This Row],[Outcome7_M]]</f>
        <v>3.8772000000000002</v>
      </c>
      <c r="DH236" s="267" t="s">
        <v>3091</v>
      </c>
      <c r="DI236" s="186">
        <v>44.365499999999997</v>
      </c>
      <c r="DJ236" s="186" t="s">
        <v>24</v>
      </c>
      <c r="DK236" s="186">
        <f>54.8663-Table665[[#This Row],[Outcome8_M]]</f>
        <v>10.500800000000005</v>
      </c>
      <c r="DL236" s="305"/>
      <c r="DM236" s="315"/>
      <c r="DN236" s="280"/>
      <c r="DO236" s="281"/>
      <c r="DP236" s="267" t="s">
        <v>3092</v>
      </c>
      <c r="DQ236" s="186">
        <v>9.4297699999999995</v>
      </c>
      <c r="DR236" s="272" t="s">
        <v>24</v>
      </c>
      <c r="DS236" s="186">
        <f>10.7234-Table665[[#This Row],[Outcome9_M]]</f>
        <v>1.2936300000000003</v>
      </c>
      <c r="DT236" s="267" t="s">
        <v>3093</v>
      </c>
      <c r="DU236" s="186">
        <v>29.9467</v>
      </c>
      <c r="DV236" s="186" t="s">
        <v>24</v>
      </c>
      <c r="DW236" s="186">
        <f>39.8019-Table665[[#This Row],[Outcome10_M]]</f>
        <v>9.8552000000000035</v>
      </c>
      <c r="DX236" s="315"/>
      <c r="DY236" s="315"/>
      <c r="DZ236" s="267" t="s">
        <v>24</v>
      </c>
      <c r="EA236" s="186"/>
      <c r="EB236" s="186"/>
      <c r="EC236" s="186"/>
      <c r="ED236" s="267"/>
      <c r="EE236" s="186"/>
      <c r="EF236" s="186"/>
      <c r="EG236" s="186"/>
      <c r="EH236" s="315"/>
      <c r="EI236" s="315"/>
      <c r="EJ236" s="281"/>
      <c r="EK236" s="186"/>
      <c r="EL236" s="186"/>
      <c r="EM236" s="186"/>
      <c r="EN236" s="186"/>
      <c r="EO236" s="186"/>
      <c r="EP236" s="186"/>
      <c r="EQ236" s="186"/>
      <c r="ER236" s="186"/>
      <c r="ES236" s="315"/>
      <c r="ET236" s="315"/>
      <c r="EU236" s="186"/>
      <c r="EV236" s="186"/>
      <c r="EW236" s="186"/>
      <c r="EX236" s="186"/>
      <c r="EY236" s="134"/>
      <c r="EZ236" s="134"/>
      <c r="FA236" s="134"/>
      <c r="FB236" s="134"/>
      <c r="FC236" s="135"/>
      <c r="FD236" s="135"/>
      <c r="FE236" s="134"/>
      <c r="FF236" s="134"/>
      <c r="FG236" s="134"/>
      <c r="FH236" s="134"/>
      <c r="FI236" s="134"/>
      <c r="FJ236" s="134"/>
      <c r="FK236" s="134"/>
      <c r="FL236" s="134"/>
      <c r="FM236" s="135"/>
      <c r="FN236" s="135"/>
      <c r="FO236" s="134"/>
      <c r="FP236" s="134"/>
      <c r="FQ236" s="134"/>
      <c r="FR236" s="134"/>
      <c r="FS236" s="134"/>
      <c r="FT236" s="134"/>
      <c r="FU236" s="134"/>
      <c r="FV236" s="134"/>
      <c r="FW236" s="135"/>
      <c r="FX236" s="135"/>
      <c r="FY236" s="134"/>
      <c r="FZ236" s="134"/>
      <c r="GA236" s="134"/>
      <c r="GB236" s="134"/>
      <c r="GC236" s="134"/>
      <c r="GD236" s="134"/>
      <c r="GE236" s="134"/>
      <c r="GF236" s="134"/>
      <c r="GG236" s="135"/>
      <c r="GH236" s="135"/>
      <c r="GI236" s="134"/>
      <c r="GJ236" s="134"/>
      <c r="GK236" s="134"/>
      <c r="GL236" s="134"/>
      <c r="GM236" s="134"/>
      <c r="GN236" s="134"/>
      <c r="GO236" s="134"/>
      <c r="GP236" s="134"/>
      <c r="GQ236" s="135"/>
      <c r="GR236" s="135"/>
      <c r="GS236" s="134"/>
      <c r="GT236" s="134"/>
      <c r="GU236" s="134"/>
      <c r="GV236" s="134"/>
      <c r="GW236" s="134"/>
      <c r="GX236" s="134"/>
      <c r="GY236" s="134"/>
      <c r="GZ236" s="134"/>
      <c r="HA236" s="135"/>
      <c r="HB236" s="135"/>
      <c r="HC236" s="134"/>
      <c r="HD236" s="134"/>
      <c r="HE236" s="134"/>
      <c r="HF236" s="134"/>
      <c r="HG236" s="134"/>
      <c r="HH236" s="134"/>
      <c r="HI236" s="134"/>
      <c r="HJ236" s="134"/>
      <c r="HK236" s="135"/>
      <c r="HL236" s="135"/>
      <c r="HM236" s="134"/>
      <c r="HN236" s="134"/>
      <c r="HO236" s="134"/>
      <c r="HP236" s="134"/>
      <c r="HQ236" s="134"/>
      <c r="HR236" s="134"/>
      <c r="HS236" s="134"/>
      <c r="HT236" s="134"/>
      <c r="HU236" s="135"/>
      <c r="HV236" s="135"/>
      <c r="HW236" s="134"/>
      <c r="HX236" s="134"/>
      <c r="HY236" s="134"/>
      <c r="HZ236" s="134"/>
      <c r="IA236" s="134"/>
      <c r="IB236" s="134"/>
      <c r="IC236" s="134"/>
      <c r="ID236" s="134"/>
      <c r="IE236" s="135"/>
      <c r="IF236" s="135"/>
      <c r="IG236" s="134"/>
      <c r="IH236" s="134"/>
      <c r="II236" s="134"/>
      <c r="IJ236" s="134"/>
      <c r="IK236" s="134"/>
      <c r="IL236" s="134"/>
      <c r="IM236" s="134"/>
      <c r="IN236" s="134"/>
      <c r="IO236" s="135"/>
      <c r="IP236" s="135"/>
      <c r="IQ236" s="134"/>
      <c r="IR236" s="134"/>
      <c r="IS236" s="134"/>
      <c r="IT236" s="134"/>
      <c r="IU236" s="134"/>
      <c r="IV236" s="134"/>
      <c r="IW236" s="134"/>
      <c r="IX236" s="134"/>
      <c r="IY236" s="135"/>
      <c r="IZ236" s="135"/>
    </row>
    <row r="237" spans="1:260" customFormat="1" ht="17" customHeight="1">
      <c r="A237" s="118" t="s">
        <v>1026</v>
      </c>
      <c r="B237" s="363">
        <v>24</v>
      </c>
      <c r="C237" s="363"/>
      <c r="D237" s="363"/>
      <c r="E237" s="139" t="s">
        <v>2088</v>
      </c>
      <c r="F237" s="140" t="s">
        <v>2343</v>
      </c>
      <c r="G237" s="141">
        <v>2012</v>
      </c>
      <c r="H237" s="118">
        <v>22176467</v>
      </c>
      <c r="I237" s="118">
        <v>1</v>
      </c>
      <c r="J237" s="118" t="s">
        <v>1855</v>
      </c>
      <c r="K237" s="118"/>
      <c r="L237" s="118">
        <v>0</v>
      </c>
      <c r="M237" s="118"/>
      <c r="N237" s="158">
        <v>0</v>
      </c>
      <c r="O237" s="142">
        <v>2</v>
      </c>
      <c r="P237" s="118" t="s">
        <v>1404</v>
      </c>
      <c r="Q237" s="118" t="s">
        <v>1212</v>
      </c>
      <c r="R237" s="118" t="s">
        <v>1127</v>
      </c>
      <c r="S237" s="118"/>
      <c r="T237" s="118" t="s">
        <v>1488</v>
      </c>
      <c r="U237" s="118" t="s">
        <v>803</v>
      </c>
      <c r="V237" s="118"/>
      <c r="W237" s="118" t="s">
        <v>1403</v>
      </c>
      <c r="X237" s="118"/>
      <c r="Y237" s="118"/>
      <c r="Z237" s="118"/>
      <c r="AA237" s="118"/>
      <c r="AB237" s="118"/>
      <c r="AC237" s="145"/>
      <c r="AD237" s="573">
        <v>1</v>
      </c>
      <c r="AE237" s="573">
        <v>2</v>
      </c>
      <c r="AF237" s="230" t="s">
        <v>3003</v>
      </c>
      <c r="AG237" s="231" t="s">
        <v>5329</v>
      </c>
      <c r="AH237" s="152">
        <v>4</v>
      </c>
      <c r="AI237" s="485"/>
      <c r="AJ237" s="242" t="s">
        <v>3051</v>
      </c>
      <c r="AK237" s="192">
        <v>1</v>
      </c>
      <c r="AL237" s="243">
        <v>0</v>
      </c>
      <c r="AM237" s="152" t="s">
        <v>3048</v>
      </c>
      <c r="AN237" s="152">
        <f>12+12</f>
        <v>24</v>
      </c>
      <c r="AO237" s="152" t="s">
        <v>24</v>
      </c>
      <c r="AP237" s="152" t="s">
        <v>803</v>
      </c>
      <c r="AQ237" s="152" t="s">
        <v>24</v>
      </c>
      <c r="AR237" s="152" t="s">
        <v>3031</v>
      </c>
      <c r="AS237" s="152" t="s">
        <v>24</v>
      </c>
      <c r="AT237" s="152" t="s">
        <v>24</v>
      </c>
      <c r="AU237" s="152" t="s">
        <v>24</v>
      </c>
      <c r="AV237" s="152" t="s">
        <v>3033</v>
      </c>
      <c r="AW237" s="152">
        <v>1</v>
      </c>
      <c r="AX237" s="187" t="s">
        <v>3331</v>
      </c>
      <c r="AY237" s="152" t="s">
        <v>24</v>
      </c>
      <c r="AZ237" s="152" t="s">
        <v>2730</v>
      </c>
      <c r="BA237" s="152" t="s">
        <v>3045</v>
      </c>
      <c r="BB237" s="152"/>
      <c r="BC237" s="152"/>
      <c r="BD237" s="161">
        <v>1</v>
      </c>
      <c r="BE237" s="161"/>
      <c r="BF237" s="161"/>
      <c r="BG237" s="161"/>
      <c r="BH237" s="161"/>
      <c r="BI237" s="161"/>
      <c r="BJ237" s="161"/>
      <c r="BK237" s="161"/>
      <c r="BL237" s="161"/>
      <c r="BM237" s="161"/>
      <c r="BN237" s="161"/>
      <c r="BO237" s="161"/>
      <c r="BP237" s="161"/>
      <c r="BQ237" s="162" t="s">
        <v>2977</v>
      </c>
      <c r="BR237" s="150" t="s">
        <v>1876</v>
      </c>
      <c r="BS237" s="150" t="s">
        <v>3046</v>
      </c>
      <c r="BT237" s="150" t="s">
        <v>3054</v>
      </c>
      <c r="BU237" s="150" t="s">
        <v>2471</v>
      </c>
      <c r="BV237" s="150" t="s">
        <v>2659</v>
      </c>
      <c r="BW237" s="258" t="s">
        <v>3094</v>
      </c>
      <c r="BX237" s="151" t="s">
        <v>3084</v>
      </c>
      <c r="BY237" s="150">
        <v>66.630300000000005</v>
      </c>
      <c r="BZ237" s="150" t="s">
        <v>24</v>
      </c>
      <c r="CA237" s="150">
        <f>73.4839-Table665[[#This Row],[Outcome1_M]]</f>
        <v>6.8536000000000001</v>
      </c>
      <c r="CB237" s="151" t="s">
        <v>3085</v>
      </c>
      <c r="CC237" s="150">
        <v>82.447500000000005</v>
      </c>
      <c r="CD237" s="150" t="s">
        <v>24</v>
      </c>
      <c r="CE237" s="150">
        <f>85.7864-Table665[[#This Row],[Outcome2_M]]</f>
        <v>3.3388999999999953</v>
      </c>
      <c r="CF237" s="290"/>
      <c r="CG237" s="291"/>
      <c r="CH237" s="151" t="s">
        <v>3086</v>
      </c>
      <c r="CI237" s="150">
        <v>45.409599999999998</v>
      </c>
      <c r="CJ237" s="228" t="s">
        <v>24</v>
      </c>
      <c r="CK237" s="150">
        <f>52.4392-Table665[[#This Row],[Outcome3_M]]</f>
        <v>7.0296000000000021</v>
      </c>
      <c r="CL237" s="151" t="s">
        <v>3087</v>
      </c>
      <c r="CM237" s="150">
        <v>78.800899999999999</v>
      </c>
      <c r="CN237" s="150" t="s">
        <v>24</v>
      </c>
      <c r="CO237" s="150">
        <f>84.952-Table665[[#This Row],[Outcome4_M]]</f>
        <v>6.1510999999999996</v>
      </c>
      <c r="CP237" s="290"/>
      <c r="CQ237" s="291"/>
      <c r="CR237" s="278"/>
      <c r="CS237" s="285"/>
      <c r="CT237" s="151" t="s">
        <v>3088</v>
      </c>
      <c r="CU237" s="150">
        <v>35.787599999999998</v>
      </c>
      <c r="CV237" s="228" t="s">
        <v>24</v>
      </c>
      <c r="CW237" s="150">
        <f>40.1812-Table665[[#This Row],[Outcome5_M]]</f>
        <v>4.3935999999999993</v>
      </c>
      <c r="CX237" s="151" t="s">
        <v>3089</v>
      </c>
      <c r="CY237" s="150">
        <v>60.216299999999997</v>
      </c>
      <c r="CZ237" s="150" t="s">
        <v>24</v>
      </c>
      <c r="DA237" s="150">
        <f>69.7061-Table665[[#This Row],[Outcome6_M]]</f>
        <v>9.4898000000000096</v>
      </c>
      <c r="DB237" s="302"/>
      <c r="DC237" s="303"/>
      <c r="DD237" s="151" t="s">
        <v>3090</v>
      </c>
      <c r="DE237" s="150">
        <v>21.069199999999999</v>
      </c>
      <c r="DF237" s="228" t="s">
        <v>24</v>
      </c>
      <c r="DG237" s="150">
        <f>23.7051-Table665[[#This Row],[Outcome7_M]]</f>
        <v>2.635900000000003</v>
      </c>
      <c r="DH237" s="151" t="s">
        <v>3091</v>
      </c>
      <c r="DI237" s="150">
        <v>41.104300000000002</v>
      </c>
      <c r="DJ237" s="150" t="s">
        <v>24</v>
      </c>
      <c r="DK237" s="150">
        <f>47.2554-Table665[[#This Row],[Outcome8_M]]</f>
        <v>6.1510999999999996</v>
      </c>
      <c r="DL237" s="302"/>
      <c r="DM237" s="303"/>
      <c r="DN237" s="278"/>
      <c r="DO237" s="279"/>
      <c r="DP237" s="151" t="s">
        <v>3092</v>
      </c>
      <c r="DQ237" s="150">
        <v>17.775300000000001</v>
      </c>
      <c r="DR237" s="228" t="s">
        <v>24</v>
      </c>
      <c r="DS237" s="150">
        <f>20.7625-Table665[[#This Row],[Outcome9_M]]</f>
        <v>2.9871999999999979</v>
      </c>
      <c r="DT237" s="151" t="s">
        <v>3093</v>
      </c>
      <c r="DU237" s="150">
        <v>24.804400000000001</v>
      </c>
      <c r="DV237" s="150" t="s">
        <v>24</v>
      </c>
      <c r="DW237" s="150">
        <f>28.4951-Table665[[#This Row],[Outcome10_M]]</f>
        <v>3.6906999999999996</v>
      </c>
      <c r="DX237" s="303"/>
      <c r="DY237" s="303"/>
      <c r="DZ237" s="151" t="s">
        <v>24</v>
      </c>
      <c r="EA237" s="150"/>
      <c r="EB237" s="150"/>
      <c r="EC237" s="150"/>
      <c r="ED237" s="151"/>
      <c r="EE237" s="150"/>
      <c r="EF237" s="150"/>
      <c r="EG237" s="150"/>
      <c r="EH237" s="303"/>
      <c r="EI237" s="303"/>
      <c r="EJ237" s="279"/>
      <c r="EK237" s="150"/>
      <c r="EL237" s="150"/>
      <c r="EM237" s="150"/>
      <c r="EN237" s="150"/>
      <c r="EO237" s="150"/>
      <c r="EP237" s="150"/>
      <c r="EQ237" s="150"/>
      <c r="ER237" s="150"/>
      <c r="ES237" s="303"/>
      <c r="ET237" s="303"/>
      <c r="EU237" s="150"/>
      <c r="EV237" s="150"/>
      <c r="EW237" s="150"/>
      <c r="EX237" s="150"/>
      <c r="EY237" s="134"/>
      <c r="EZ237" s="134"/>
      <c r="FA237" s="134"/>
      <c r="FB237" s="134"/>
      <c r="FC237" s="135"/>
      <c r="FD237" s="135"/>
      <c r="FE237" s="134"/>
      <c r="FF237" s="134"/>
      <c r="FG237" s="134"/>
      <c r="FH237" s="134"/>
      <c r="FI237" s="134"/>
      <c r="FJ237" s="134"/>
      <c r="FK237" s="134"/>
      <c r="FL237" s="134"/>
      <c r="FM237" s="135"/>
      <c r="FN237" s="135"/>
      <c r="FO237" s="134"/>
      <c r="FP237" s="134"/>
      <c r="FQ237" s="134"/>
      <c r="FR237" s="134"/>
      <c r="FS237" s="134"/>
      <c r="FT237" s="134"/>
      <c r="FU237" s="134"/>
      <c r="FV237" s="134"/>
      <c r="FW237" s="135"/>
      <c r="FX237" s="135"/>
      <c r="FY237" s="134"/>
      <c r="FZ237" s="134"/>
      <c r="GA237" s="134"/>
      <c r="GB237" s="134"/>
      <c r="GC237" s="134"/>
      <c r="GD237" s="134"/>
      <c r="GE237" s="134"/>
      <c r="GF237" s="134"/>
      <c r="GG237" s="135"/>
      <c r="GH237" s="135"/>
      <c r="GI237" s="134"/>
      <c r="GJ237" s="134"/>
      <c r="GK237" s="134"/>
      <c r="GL237" s="134"/>
      <c r="GM237" s="134"/>
      <c r="GN237" s="134"/>
      <c r="GO237" s="134"/>
      <c r="GP237" s="134"/>
      <c r="GQ237" s="135"/>
      <c r="GR237" s="135"/>
      <c r="GS237" s="134"/>
      <c r="GT237" s="134"/>
      <c r="GU237" s="134"/>
      <c r="GV237" s="134"/>
      <c r="GW237" s="134"/>
      <c r="GX237" s="134"/>
      <c r="GY237" s="134"/>
      <c r="GZ237" s="134"/>
      <c r="HA237" s="135"/>
      <c r="HB237" s="135"/>
      <c r="HC237" s="134"/>
      <c r="HD237" s="134"/>
      <c r="HE237" s="134"/>
      <c r="HF237" s="134"/>
      <c r="HG237" s="134"/>
      <c r="HH237" s="134"/>
      <c r="HI237" s="134"/>
      <c r="HJ237" s="134"/>
      <c r="HK237" s="135"/>
      <c r="HL237" s="135"/>
      <c r="HM237" s="134"/>
      <c r="HN237" s="134"/>
      <c r="HO237" s="134"/>
      <c r="HP237" s="134"/>
      <c r="HQ237" s="134"/>
      <c r="HR237" s="134"/>
      <c r="HS237" s="134"/>
      <c r="HT237" s="134"/>
      <c r="HU237" s="135"/>
      <c r="HV237" s="135"/>
      <c r="HW237" s="134"/>
      <c r="HX237" s="134"/>
      <c r="HY237" s="134"/>
      <c r="HZ237" s="134"/>
      <c r="IA237" s="134"/>
      <c r="IB237" s="134"/>
      <c r="IC237" s="134"/>
      <c r="ID237" s="134"/>
      <c r="IE237" s="135"/>
      <c r="IF237" s="135"/>
      <c r="IG237" s="134"/>
      <c r="IH237" s="134"/>
      <c r="II237" s="134"/>
      <c r="IJ237" s="134"/>
      <c r="IK237" s="134"/>
      <c r="IL237" s="134"/>
      <c r="IM237" s="134"/>
      <c r="IN237" s="134"/>
      <c r="IO237" s="135"/>
      <c r="IP237" s="135"/>
      <c r="IQ237" s="134"/>
      <c r="IR237" s="134"/>
      <c r="IS237" s="134"/>
      <c r="IT237" s="134"/>
      <c r="IU237" s="134"/>
      <c r="IV237" s="134"/>
      <c r="IW237" s="134"/>
      <c r="IX237" s="134"/>
      <c r="IY237" s="135"/>
      <c r="IZ237" s="135"/>
    </row>
    <row r="238" spans="1:260" customFormat="1" ht="17" customHeight="1">
      <c r="A238" s="118" t="s">
        <v>1026</v>
      </c>
      <c r="B238" s="363">
        <v>24</v>
      </c>
      <c r="C238" s="363"/>
      <c r="D238" s="363"/>
      <c r="E238" s="139" t="s">
        <v>2088</v>
      </c>
      <c r="F238" s="140" t="s">
        <v>2343</v>
      </c>
      <c r="G238" s="141">
        <v>2012</v>
      </c>
      <c r="H238" s="118">
        <v>22176467</v>
      </c>
      <c r="I238" s="118">
        <v>1</v>
      </c>
      <c r="J238" s="118" t="s">
        <v>1855</v>
      </c>
      <c r="K238" s="118"/>
      <c r="L238" s="118">
        <v>0</v>
      </c>
      <c r="M238" s="118"/>
      <c r="N238" s="158">
        <v>0</v>
      </c>
      <c r="O238" s="142">
        <v>2</v>
      </c>
      <c r="P238" s="118" t="s">
        <v>1404</v>
      </c>
      <c r="Q238" s="118" t="s">
        <v>1212</v>
      </c>
      <c r="R238" s="118" t="s">
        <v>1127</v>
      </c>
      <c r="S238" s="118"/>
      <c r="T238" s="118" t="s">
        <v>1488</v>
      </c>
      <c r="U238" s="118" t="s">
        <v>803</v>
      </c>
      <c r="V238" s="118"/>
      <c r="W238" s="118" t="s">
        <v>1403</v>
      </c>
      <c r="X238" s="118"/>
      <c r="Y238" s="118"/>
      <c r="Z238" s="118"/>
      <c r="AA238" s="118"/>
      <c r="AB238" s="118"/>
      <c r="AC238" s="145"/>
      <c r="AD238" s="573">
        <v>1</v>
      </c>
      <c r="AE238" s="573">
        <v>2</v>
      </c>
      <c r="AF238" s="230" t="s">
        <v>1917</v>
      </c>
      <c r="AG238" s="231" t="s">
        <v>3333</v>
      </c>
      <c r="AH238" s="152">
        <v>4</v>
      </c>
      <c r="AI238" s="485"/>
      <c r="AJ238" s="242" t="s">
        <v>3050</v>
      </c>
      <c r="AK238" s="192">
        <v>1</v>
      </c>
      <c r="AL238" s="243">
        <v>0</v>
      </c>
      <c r="AM238" s="152">
        <f>Table665[[#This Row],[Subjects_n_ptsd]]+Table665[[#This Row],[Subjects_n_control]]</f>
        <v>15</v>
      </c>
      <c r="AN238" s="152">
        <v>7</v>
      </c>
      <c r="AO238" s="152">
        <v>8</v>
      </c>
      <c r="AP238" s="152" t="s">
        <v>803</v>
      </c>
      <c r="AQ238" s="152" t="s">
        <v>803</v>
      </c>
      <c r="AR238" s="152" t="s">
        <v>3031</v>
      </c>
      <c r="AS238" s="152" t="s">
        <v>24</v>
      </c>
      <c r="AT238" s="152" t="s">
        <v>3031</v>
      </c>
      <c r="AU238" s="152" t="s">
        <v>24</v>
      </c>
      <c r="AV238" s="152" t="s">
        <v>3033</v>
      </c>
      <c r="AW238" s="152">
        <v>1</v>
      </c>
      <c r="AX238" s="187" t="s">
        <v>3331</v>
      </c>
      <c r="AY238" s="152" t="s">
        <v>3032</v>
      </c>
      <c r="AZ238" s="152" t="s">
        <v>2730</v>
      </c>
      <c r="BA238" s="152" t="s">
        <v>2554</v>
      </c>
      <c r="BB238" s="152"/>
      <c r="BC238" s="152"/>
      <c r="BD238" s="161">
        <v>1</v>
      </c>
      <c r="BE238" s="161"/>
      <c r="BF238" s="161"/>
      <c r="BG238" s="161"/>
      <c r="BH238" s="161"/>
      <c r="BI238" s="161"/>
      <c r="BJ238" s="161"/>
      <c r="BK238" s="161"/>
      <c r="BL238" s="161"/>
      <c r="BM238" s="161"/>
      <c r="BN238" s="161"/>
      <c r="BO238" s="161"/>
      <c r="BP238" s="161"/>
      <c r="BQ238" s="162" t="s">
        <v>3039</v>
      </c>
      <c r="BR238" s="150" t="s">
        <v>1876</v>
      </c>
      <c r="BS238" s="150" t="s">
        <v>3041</v>
      </c>
      <c r="BT238" s="150" t="s">
        <v>3034</v>
      </c>
      <c r="BU238" s="150" t="s">
        <v>2471</v>
      </c>
      <c r="BV238" s="150" t="s">
        <v>2659</v>
      </c>
      <c r="BW238" s="258" t="s">
        <v>3065</v>
      </c>
      <c r="BX238" s="151" t="s">
        <v>3057</v>
      </c>
      <c r="BY238" s="150">
        <v>0.51838200000000001</v>
      </c>
      <c r="BZ238" s="228" t="s">
        <v>24</v>
      </c>
      <c r="CA238" s="150">
        <f>1.01811-Table665[[#This Row],[Outcome1_M]]</f>
        <v>0.49972800000000006</v>
      </c>
      <c r="CB238" s="151" t="s">
        <v>3058</v>
      </c>
      <c r="CC238" s="150">
        <v>11.914</v>
      </c>
      <c r="CD238" s="150" t="s">
        <v>24</v>
      </c>
      <c r="CE238" s="150">
        <f>15.7476-Table665[[#This Row],[Outcome2_M]]</f>
        <v>3.8336000000000006</v>
      </c>
      <c r="CF238" s="290" t="s">
        <v>3059</v>
      </c>
      <c r="CG238" s="291" t="s">
        <v>3060</v>
      </c>
      <c r="CH238" s="151" t="s">
        <v>3035</v>
      </c>
      <c r="CI238" s="150">
        <v>26.8781</v>
      </c>
      <c r="CJ238" s="150" t="s">
        <v>24</v>
      </c>
      <c r="CK238" s="150">
        <f>33.2117-Table665[[#This Row],[Outcome3_M]]</f>
        <v>6.3336000000000006</v>
      </c>
      <c r="CL238" s="151" t="s">
        <v>3036</v>
      </c>
      <c r="CM238" s="150">
        <v>87.4405</v>
      </c>
      <c r="CN238" s="150" t="s">
        <v>24</v>
      </c>
      <c r="CO238" s="150">
        <f>89.1072-Table665[[#This Row],[Outcome4_M]]</f>
        <v>1.6667000000000058</v>
      </c>
      <c r="CP238" s="290" t="s">
        <v>3061</v>
      </c>
      <c r="CQ238" s="291" t="s">
        <v>3062</v>
      </c>
      <c r="CR238" s="278" t="s">
        <v>3064</v>
      </c>
      <c r="CS238" s="285"/>
      <c r="CT238" s="151" t="s">
        <v>3038</v>
      </c>
      <c r="CU238" s="150">
        <v>22.278099999999998</v>
      </c>
      <c r="CV238" s="150" t="s">
        <v>24</v>
      </c>
      <c r="CW238" s="150">
        <f>30.1733-Table665[[#This Row],[Outcome5_M]]</f>
        <v>7.8952000000000027</v>
      </c>
      <c r="CX238" s="151" t="s">
        <v>3037</v>
      </c>
      <c r="CY238" s="150">
        <v>83.581699999999998</v>
      </c>
      <c r="CZ238" s="150" t="s">
        <v>24</v>
      </c>
      <c r="DA238" s="150">
        <f>87.1702-Table665[[#This Row],[Outcome6_M]]</f>
        <v>3.5884999999999962</v>
      </c>
      <c r="DB238" s="302" t="s">
        <v>3063</v>
      </c>
      <c r="DC238" s="303" t="s">
        <v>3060</v>
      </c>
      <c r="DD238" s="150" t="s">
        <v>24</v>
      </c>
      <c r="DE238" s="150" t="s">
        <v>24</v>
      </c>
      <c r="DF238" s="150" t="s">
        <v>24</v>
      </c>
      <c r="DG238" s="150" t="s">
        <v>24</v>
      </c>
      <c r="DH238" s="150"/>
      <c r="DI238" s="150"/>
      <c r="DJ238" s="150"/>
      <c r="DK238" s="150"/>
      <c r="DL238" s="302"/>
      <c r="DM238" s="303"/>
      <c r="DN238" s="278"/>
      <c r="DO238" s="279"/>
      <c r="DP238" s="150"/>
      <c r="DQ238" s="150"/>
      <c r="DR238" s="150"/>
      <c r="DS238" s="150"/>
      <c r="DT238" s="151"/>
      <c r="DU238" s="150"/>
      <c r="DV238" s="150"/>
      <c r="DW238" s="150"/>
      <c r="DX238" s="303"/>
      <c r="DY238" s="303"/>
      <c r="DZ238" s="151"/>
      <c r="EA238" s="150"/>
      <c r="EB238" s="150"/>
      <c r="EC238" s="150"/>
      <c r="ED238" s="151"/>
      <c r="EE238" s="150"/>
      <c r="EF238" s="150"/>
      <c r="EG238" s="150"/>
      <c r="EH238" s="303"/>
      <c r="EI238" s="303"/>
      <c r="EJ238" s="279"/>
      <c r="EK238" s="150"/>
      <c r="EL238" s="150"/>
      <c r="EM238" s="150"/>
      <c r="EN238" s="150"/>
      <c r="EO238" s="150"/>
      <c r="EP238" s="150"/>
      <c r="EQ238" s="150"/>
      <c r="ER238" s="150"/>
      <c r="ES238" s="303"/>
      <c r="ET238" s="303"/>
      <c r="EU238" s="150"/>
      <c r="EV238" s="150"/>
      <c r="EW238" s="150"/>
      <c r="EX238" s="150"/>
      <c r="EY238" s="134"/>
      <c r="EZ238" s="134"/>
      <c r="FA238" s="134"/>
      <c r="FB238" s="134"/>
      <c r="FC238" s="135"/>
      <c r="FD238" s="135"/>
      <c r="FE238" s="134"/>
      <c r="FF238" s="134"/>
      <c r="FG238" s="134"/>
      <c r="FH238" s="134"/>
      <c r="FI238" s="134"/>
      <c r="FJ238" s="134"/>
      <c r="FK238" s="134"/>
      <c r="FL238" s="134"/>
      <c r="FM238" s="135"/>
      <c r="FN238" s="135"/>
      <c r="FO238" s="134"/>
      <c r="FP238" s="134"/>
      <c r="FQ238" s="134"/>
      <c r="FR238" s="134"/>
      <c r="FS238" s="134"/>
      <c r="FT238" s="134"/>
      <c r="FU238" s="134"/>
      <c r="FV238" s="134"/>
      <c r="FW238" s="135"/>
      <c r="FX238" s="135"/>
      <c r="FY238" s="134"/>
      <c r="FZ238" s="134"/>
      <c r="GA238" s="134"/>
      <c r="GB238" s="134"/>
      <c r="GC238" s="134"/>
      <c r="GD238" s="134"/>
      <c r="GE238" s="134"/>
      <c r="GF238" s="134"/>
      <c r="GG238" s="135"/>
      <c r="GH238" s="135"/>
      <c r="GI238" s="134"/>
      <c r="GJ238" s="134"/>
      <c r="GK238" s="134"/>
      <c r="GL238" s="134"/>
      <c r="GM238" s="134"/>
      <c r="GN238" s="134"/>
      <c r="GO238" s="134"/>
      <c r="GP238" s="134"/>
      <c r="GQ238" s="135"/>
      <c r="GR238" s="135"/>
      <c r="GS238" s="134"/>
      <c r="GT238" s="134"/>
      <c r="GU238" s="134"/>
      <c r="GV238" s="134"/>
      <c r="GW238" s="134"/>
      <c r="GX238" s="134"/>
      <c r="GY238" s="134"/>
      <c r="GZ238" s="134"/>
      <c r="HA238" s="135"/>
      <c r="HB238" s="135"/>
      <c r="HC238" s="134"/>
      <c r="HD238" s="134"/>
      <c r="HE238" s="134"/>
      <c r="HF238" s="134"/>
      <c r="HG238" s="134"/>
      <c r="HH238" s="134"/>
      <c r="HI238" s="134"/>
      <c r="HJ238" s="134"/>
      <c r="HK238" s="135"/>
      <c r="HL238" s="135"/>
      <c r="HM238" s="134"/>
      <c r="HN238" s="134"/>
      <c r="HO238" s="134"/>
      <c r="HP238" s="134"/>
      <c r="HQ238" s="134"/>
      <c r="HR238" s="134"/>
      <c r="HS238" s="134"/>
      <c r="HT238" s="134"/>
      <c r="HU238" s="135"/>
      <c r="HV238" s="135"/>
      <c r="HW238" s="134"/>
      <c r="HX238" s="134"/>
      <c r="HY238" s="134"/>
      <c r="HZ238" s="134"/>
      <c r="IA238" s="134"/>
      <c r="IB238" s="134"/>
      <c r="IC238" s="134"/>
      <c r="ID238" s="134"/>
      <c r="IE238" s="135"/>
      <c r="IF238" s="135"/>
      <c r="IG238" s="134"/>
      <c r="IH238" s="134"/>
      <c r="II238" s="134"/>
      <c r="IJ238" s="134"/>
      <c r="IK238" s="134"/>
      <c r="IL238" s="134"/>
      <c r="IM238" s="134"/>
      <c r="IN238" s="134"/>
      <c r="IO238" s="135"/>
      <c r="IP238" s="135"/>
      <c r="IQ238" s="134"/>
      <c r="IR238" s="134"/>
      <c r="IS238" s="134"/>
      <c r="IT238" s="134"/>
      <c r="IU238" s="134"/>
      <c r="IV238" s="134"/>
      <c r="IW238" s="134"/>
      <c r="IX238" s="134"/>
      <c r="IY238" s="135"/>
      <c r="IZ238" s="135"/>
    </row>
    <row r="239" spans="1:260" customFormat="1" ht="17" customHeight="1">
      <c r="A239" s="118" t="s">
        <v>1026</v>
      </c>
      <c r="B239" s="363">
        <v>24</v>
      </c>
      <c r="C239" s="363"/>
      <c r="D239" s="363"/>
      <c r="E239" s="139" t="s">
        <v>2088</v>
      </c>
      <c r="F239" s="140" t="s">
        <v>2343</v>
      </c>
      <c r="G239" s="141">
        <v>2012</v>
      </c>
      <c r="H239" s="118">
        <v>22176467</v>
      </c>
      <c r="I239" s="118">
        <v>1</v>
      </c>
      <c r="J239" s="118" t="s">
        <v>1855</v>
      </c>
      <c r="K239" s="118"/>
      <c r="L239" s="118">
        <v>0</v>
      </c>
      <c r="M239" s="118"/>
      <c r="N239" s="158">
        <v>0</v>
      </c>
      <c r="O239" s="142">
        <v>2</v>
      </c>
      <c r="P239" s="118" t="s">
        <v>1404</v>
      </c>
      <c r="Q239" s="118" t="s">
        <v>1212</v>
      </c>
      <c r="R239" s="118" t="s">
        <v>1127</v>
      </c>
      <c r="S239" s="118"/>
      <c r="T239" s="118" t="s">
        <v>1488</v>
      </c>
      <c r="U239" s="118" t="s">
        <v>803</v>
      </c>
      <c r="V239" s="118"/>
      <c r="W239" s="118" t="s">
        <v>1403</v>
      </c>
      <c r="X239" s="118"/>
      <c r="Y239" s="118"/>
      <c r="Z239" s="118"/>
      <c r="AA239" s="118"/>
      <c r="AB239" s="118"/>
      <c r="AC239" s="145"/>
      <c r="AD239" s="573">
        <v>1</v>
      </c>
      <c r="AE239" s="573">
        <v>2</v>
      </c>
      <c r="AF239" s="230" t="s">
        <v>1917</v>
      </c>
      <c r="AG239" s="231" t="s">
        <v>3333</v>
      </c>
      <c r="AH239" s="152">
        <v>4</v>
      </c>
      <c r="AI239" s="485"/>
      <c r="AJ239" s="242" t="s">
        <v>3050</v>
      </c>
      <c r="AK239" s="192">
        <v>1</v>
      </c>
      <c r="AL239" s="243">
        <v>0</v>
      </c>
      <c r="AM239" s="152">
        <f>Table665[[#This Row],[Subjects_n_ptsd]]+Table665[[#This Row],[Subjects_n_control]]</f>
        <v>15</v>
      </c>
      <c r="AN239" s="152">
        <v>7</v>
      </c>
      <c r="AO239" s="152">
        <v>8</v>
      </c>
      <c r="AP239" s="152" t="s">
        <v>803</v>
      </c>
      <c r="AQ239" s="152" t="s">
        <v>803</v>
      </c>
      <c r="AR239" s="152" t="s">
        <v>3031</v>
      </c>
      <c r="AS239" s="152" t="s">
        <v>24</v>
      </c>
      <c r="AT239" s="152" t="s">
        <v>3031</v>
      </c>
      <c r="AU239" s="152" t="s">
        <v>24</v>
      </c>
      <c r="AV239" s="152" t="s">
        <v>3033</v>
      </c>
      <c r="AW239" s="152">
        <v>1</v>
      </c>
      <c r="AX239" s="187" t="s">
        <v>3331</v>
      </c>
      <c r="AY239" s="152" t="s">
        <v>3032</v>
      </c>
      <c r="AZ239" s="152" t="s">
        <v>2730</v>
      </c>
      <c r="BA239" s="152" t="s">
        <v>2554</v>
      </c>
      <c r="BB239" s="152"/>
      <c r="BC239" s="152"/>
      <c r="BD239" s="161">
        <v>1</v>
      </c>
      <c r="BE239" s="161"/>
      <c r="BF239" s="161"/>
      <c r="BG239" s="161"/>
      <c r="BH239" s="161"/>
      <c r="BI239" s="161"/>
      <c r="BJ239" s="161"/>
      <c r="BK239" s="161"/>
      <c r="BL239" s="161"/>
      <c r="BM239" s="161"/>
      <c r="BN239" s="161"/>
      <c r="BO239" s="161"/>
      <c r="BP239" s="161"/>
      <c r="BQ239" s="162" t="s">
        <v>3040</v>
      </c>
      <c r="BR239" s="150" t="s">
        <v>1876</v>
      </c>
      <c r="BS239" s="150" t="s">
        <v>3041</v>
      </c>
      <c r="BT239" s="150" t="s">
        <v>3042</v>
      </c>
      <c r="BU239" s="150" t="s">
        <v>2471</v>
      </c>
      <c r="BV239" s="150" t="s">
        <v>2659</v>
      </c>
      <c r="BW239" s="258" t="s">
        <v>3073</v>
      </c>
      <c r="BX239" s="151" t="s">
        <v>3066</v>
      </c>
      <c r="BY239" s="150">
        <v>19.359400000000001</v>
      </c>
      <c r="BZ239" s="150" t="s">
        <v>24</v>
      </c>
      <c r="CA239" s="150">
        <f>26.9314-Table665[[#This Row],[Outcome1_M]]</f>
        <v>7.5719999999999992</v>
      </c>
      <c r="CB239" s="151" t="s">
        <v>3067</v>
      </c>
      <c r="CC239" s="150">
        <v>79.832700000000003</v>
      </c>
      <c r="CD239" s="150" t="s">
        <v>24</v>
      </c>
      <c r="CE239" s="150">
        <f>90.6966-Table665[[#This Row],[Outcome2_M]]</f>
        <v>10.863900000000001</v>
      </c>
      <c r="CF239" s="290" t="s">
        <v>3070</v>
      </c>
      <c r="CG239" s="291" t="s">
        <v>2555</v>
      </c>
      <c r="CH239" s="151" t="s">
        <v>3068</v>
      </c>
      <c r="CI239" s="150">
        <v>4.7354900000000004</v>
      </c>
      <c r="CJ239" s="150" t="s">
        <v>24</v>
      </c>
      <c r="CK239" s="150">
        <f>7.2049-Table665[[#This Row],[Outcome3_M]]</f>
        <v>2.4694099999999999</v>
      </c>
      <c r="CL239" s="151" t="s">
        <v>3069</v>
      </c>
      <c r="CM239" s="150">
        <v>70.147000000000006</v>
      </c>
      <c r="CN239" s="150" t="s">
        <v>24</v>
      </c>
      <c r="CO239" s="150">
        <f>74.7563-Table665[[#This Row],[Outcome4_M]]</f>
        <v>4.6092999999999904</v>
      </c>
      <c r="CP239" s="290" t="s">
        <v>3071</v>
      </c>
      <c r="CQ239" s="291" t="s">
        <v>3060</v>
      </c>
      <c r="CR239" s="278" t="s">
        <v>3072</v>
      </c>
      <c r="CS239" s="285"/>
      <c r="CT239" s="151" t="s">
        <v>24</v>
      </c>
      <c r="CU239" s="150" t="s">
        <v>24</v>
      </c>
      <c r="CV239" s="150" t="s">
        <v>24</v>
      </c>
      <c r="CW239" s="150" t="s">
        <v>24</v>
      </c>
      <c r="CX239" s="150"/>
      <c r="CY239" s="150"/>
      <c r="CZ239" s="150"/>
      <c r="DA239" s="150"/>
      <c r="DB239" s="302"/>
      <c r="DC239" s="303"/>
      <c r="DD239" s="150"/>
      <c r="DE239" s="150"/>
      <c r="DF239" s="150"/>
      <c r="DG239" s="150"/>
      <c r="DH239" s="150"/>
      <c r="DI239" s="150"/>
      <c r="DJ239" s="150"/>
      <c r="DK239" s="150"/>
      <c r="DL239" s="302"/>
      <c r="DM239" s="303"/>
      <c r="DN239" s="278"/>
      <c r="DO239" s="279"/>
      <c r="DP239" s="150"/>
      <c r="DQ239" s="150"/>
      <c r="DR239" s="150"/>
      <c r="DS239" s="150"/>
      <c r="DT239" s="151"/>
      <c r="DU239" s="150"/>
      <c r="DV239" s="150"/>
      <c r="DW239" s="150"/>
      <c r="DX239" s="303"/>
      <c r="DY239" s="303"/>
      <c r="DZ239" s="151"/>
      <c r="EA239" s="150"/>
      <c r="EB239" s="150"/>
      <c r="EC239" s="150"/>
      <c r="ED239" s="151"/>
      <c r="EE239" s="150"/>
      <c r="EF239" s="150"/>
      <c r="EG239" s="150"/>
      <c r="EH239" s="303"/>
      <c r="EI239" s="303"/>
      <c r="EJ239" s="279"/>
      <c r="EK239" s="150"/>
      <c r="EL239" s="150"/>
      <c r="EM239" s="150"/>
      <c r="EN239" s="150"/>
      <c r="EO239" s="150"/>
      <c r="EP239" s="150"/>
      <c r="EQ239" s="150"/>
      <c r="ER239" s="150"/>
      <c r="ES239" s="303"/>
      <c r="ET239" s="303"/>
      <c r="EU239" s="150"/>
      <c r="EV239" s="150"/>
      <c r="EW239" s="150"/>
      <c r="EX239" s="150"/>
      <c r="EY239" s="134"/>
      <c r="EZ239" s="134"/>
      <c r="FA239" s="134"/>
      <c r="FB239" s="134"/>
      <c r="FC239" s="135"/>
      <c r="FD239" s="135"/>
      <c r="FE239" s="134"/>
      <c r="FF239" s="134"/>
      <c r="FG239" s="134"/>
      <c r="FH239" s="134"/>
      <c r="FI239" s="134"/>
      <c r="FJ239" s="134"/>
      <c r="FK239" s="134"/>
      <c r="FL239" s="134"/>
      <c r="FM239" s="135"/>
      <c r="FN239" s="135"/>
      <c r="FO239" s="134"/>
      <c r="FP239" s="134"/>
      <c r="FQ239" s="134"/>
      <c r="FR239" s="134"/>
      <c r="FS239" s="134"/>
      <c r="FT239" s="134"/>
      <c r="FU239" s="134"/>
      <c r="FV239" s="134"/>
      <c r="FW239" s="135"/>
      <c r="FX239" s="135"/>
      <c r="FY239" s="134"/>
      <c r="FZ239" s="134"/>
      <c r="GA239" s="134"/>
      <c r="GB239" s="134"/>
      <c r="GC239" s="134"/>
      <c r="GD239" s="134"/>
      <c r="GE239" s="134"/>
      <c r="GF239" s="134"/>
      <c r="GG239" s="135"/>
      <c r="GH239" s="135"/>
      <c r="GI239" s="134"/>
      <c r="GJ239" s="134"/>
      <c r="GK239" s="134"/>
      <c r="GL239" s="134"/>
      <c r="GM239" s="134"/>
      <c r="GN239" s="134"/>
      <c r="GO239" s="134"/>
      <c r="GP239" s="134"/>
      <c r="GQ239" s="135"/>
      <c r="GR239" s="135"/>
      <c r="GS239" s="134"/>
      <c r="GT239" s="134"/>
      <c r="GU239" s="134"/>
      <c r="GV239" s="134"/>
      <c r="GW239" s="134"/>
      <c r="GX239" s="134"/>
      <c r="GY239" s="134"/>
      <c r="GZ239" s="134"/>
      <c r="HA239" s="135"/>
      <c r="HB239" s="135"/>
      <c r="HC239" s="134"/>
      <c r="HD239" s="134"/>
      <c r="HE239" s="134"/>
      <c r="HF239" s="134"/>
      <c r="HG239" s="134"/>
      <c r="HH239" s="134"/>
      <c r="HI239" s="134"/>
      <c r="HJ239" s="134"/>
      <c r="HK239" s="135"/>
      <c r="HL239" s="135"/>
      <c r="HM239" s="134"/>
      <c r="HN239" s="134"/>
      <c r="HO239" s="134"/>
      <c r="HP239" s="134"/>
      <c r="HQ239" s="134"/>
      <c r="HR239" s="134"/>
      <c r="HS239" s="134"/>
      <c r="HT239" s="134"/>
      <c r="HU239" s="135"/>
      <c r="HV239" s="135"/>
      <c r="HW239" s="134"/>
      <c r="HX239" s="134"/>
      <c r="HY239" s="134"/>
      <c r="HZ239" s="134"/>
      <c r="IA239" s="134"/>
      <c r="IB239" s="134"/>
      <c r="IC239" s="134"/>
      <c r="ID239" s="134"/>
      <c r="IE239" s="135"/>
      <c r="IF239" s="135"/>
      <c r="IG239" s="134"/>
      <c r="IH239" s="134"/>
      <c r="II239" s="134"/>
      <c r="IJ239" s="134"/>
      <c r="IK239" s="134"/>
      <c r="IL239" s="134"/>
      <c r="IM239" s="134"/>
      <c r="IN239" s="134"/>
      <c r="IO239" s="135"/>
      <c r="IP239" s="135"/>
      <c r="IQ239" s="134"/>
      <c r="IR239" s="134"/>
      <c r="IS239" s="134"/>
      <c r="IT239" s="134"/>
      <c r="IU239" s="134"/>
      <c r="IV239" s="134"/>
      <c r="IW239" s="134"/>
      <c r="IX239" s="134"/>
      <c r="IY239" s="135"/>
      <c r="IZ239" s="135"/>
    </row>
    <row r="240" spans="1:260" customFormat="1" ht="17" customHeight="1">
      <c r="A240" s="118" t="s">
        <v>1026</v>
      </c>
      <c r="B240" s="363">
        <v>24</v>
      </c>
      <c r="C240" s="363"/>
      <c r="D240" s="363"/>
      <c r="E240" s="139" t="s">
        <v>2088</v>
      </c>
      <c r="F240" s="140" t="s">
        <v>2343</v>
      </c>
      <c r="G240" s="141">
        <v>2012</v>
      </c>
      <c r="H240" s="118">
        <v>22176467</v>
      </c>
      <c r="I240" s="118">
        <v>1</v>
      </c>
      <c r="J240" s="118" t="s">
        <v>1855</v>
      </c>
      <c r="K240" s="118"/>
      <c r="L240" s="118">
        <v>0</v>
      </c>
      <c r="M240" s="118"/>
      <c r="N240" s="158">
        <v>0</v>
      </c>
      <c r="O240" s="142">
        <v>2</v>
      </c>
      <c r="P240" s="118" t="s">
        <v>1404</v>
      </c>
      <c r="Q240" s="118" t="s">
        <v>1212</v>
      </c>
      <c r="R240" s="118" t="s">
        <v>1127</v>
      </c>
      <c r="S240" s="118"/>
      <c r="T240" s="118" t="s">
        <v>1488</v>
      </c>
      <c r="U240" s="118" t="s">
        <v>803</v>
      </c>
      <c r="V240" s="118"/>
      <c r="W240" s="118" t="s">
        <v>1403</v>
      </c>
      <c r="X240" s="118"/>
      <c r="Y240" s="118"/>
      <c r="Z240" s="118"/>
      <c r="AA240" s="118"/>
      <c r="AB240" s="118"/>
      <c r="AC240" s="145"/>
      <c r="AD240" s="573">
        <v>1</v>
      </c>
      <c r="AE240" s="573">
        <v>2</v>
      </c>
      <c r="AF240" s="230" t="s">
        <v>1917</v>
      </c>
      <c r="AG240" s="231" t="s">
        <v>3334</v>
      </c>
      <c r="AH240" s="152">
        <v>4</v>
      </c>
      <c r="AI240" s="485"/>
      <c r="AJ240" s="242" t="s">
        <v>3052</v>
      </c>
      <c r="AK240" s="192">
        <v>1</v>
      </c>
      <c r="AL240" s="243">
        <v>0</v>
      </c>
      <c r="AM240" s="152">
        <f>Table665[[#This Row],[Subjects_n_ptsd]]+Table665[[#This Row],[Subjects_n_control]]</f>
        <v>24</v>
      </c>
      <c r="AN240" s="152">
        <v>12</v>
      </c>
      <c r="AO240" s="152">
        <v>12</v>
      </c>
      <c r="AP240" s="152" t="s">
        <v>803</v>
      </c>
      <c r="AQ240" s="152" t="s">
        <v>803</v>
      </c>
      <c r="AR240" s="152" t="s">
        <v>3031</v>
      </c>
      <c r="AS240" s="152" t="s">
        <v>24</v>
      </c>
      <c r="AT240" s="152" t="s">
        <v>3031</v>
      </c>
      <c r="AU240" s="152" t="s">
        <v>24</v>
      </c>
      <c r="AV240" s="152" t="s">
        <v>3033</v>
      </c>
      <c r="AW240" s="152">
        <v>1</v>
      </c>
      <c r="AX240" s="187" t="s">
        <v>3331</v>
      </c>
      <c r="AY240" s="152" t="s">
        <v>3032</v>
      </c>
      <c r="AZ240" s="152" t="s">
        <v>2730</v>
      </c>
      <c r="BA240" s="152" t="s">
        <v>2554</v>
      </c>
      <c r="BB240" s="152"/>
      <c r="BC240" s="152"/>
      <c r="BD240" s="161">
        <v>1</v>
      </c>
      <c r="BE240" s="161"/>
      <c r="BF240" s="161"/>
      <c r="BG240" s="161"/>
      <c r="BH240" s="161"/>
      <c r="BI240" s="161"/>
      <c r="BJ240" s="161"/>
      <c r="BK240" s="161"/>
      <c r="BL240" s="161"/>
      <c r="BM240" s="161"/>
      <c r="BN240" s="161"/>
      <c r="BO240" s="161"/>
      <c r="BP240" s="161"/>
      <c r="BQ240" s="162" t="s">
        <v>3044</v>
      </c>
      <c r="BR240" s="150" t="s">
        <v>1876</v>
      </c>
      <c r="BS240" s="150" t="s">
        <v>3041</v>
      </c>
      <c r="BT240" s="150" t="s">
        <v>3055</v>
      </c>
      <c r="BU240" s="150" t="s">
        <v>2471</v>
      </c>
      <c r="BV240" s="150" t="s">
        <v>2659</v>
      </c>
      <c r="BW240" s="258" t="s">
        <v>3077</v>
      </c>
      <c r="BX240" s="151" t="s">
        <v>3074</v>
      </c>
      <c r="BY240" s="150">
        <v>1.9553100000000001</v>
      </c>
      <c r="BZ240" s="150" t="s">
        <v>24</v>
      </c>
      <c r="CA240" s="150">
        <f>2.70019-Table665[[#This Row],[Outcome1_M]]</f>
        <v>0.74487999999999999</v>
      </c>
      <c r="CB240" s="151" t="s">
        <v>3075</v>
      </c>
      <c r="CC240" s="150">
        <v>67.877099999999999</v>
      </c>
      <c r="CD240" s="150" t="s">
        <v>24</v>
      </c>
      <c r="CE240" s="150">
        <f>78.6778-Table665[[#This Row],[Outcome2_M]]</f>
        <v>10.800700000000006</v>
      </c>
      <c r="CF240" s="290" t="s">
        <v>3076</v>
      </c>
      <c r="CG240" s="291" t="s">
        <v>3060</v>
      </c>
      <c r="CH240" s="151" t="s">
        <v>24</v>
      </c>
      <c r="CI240" s="150"/>
      <c r="CJ240" s="150"/>
      <c r="CK240" s="150"/>
      <c r="CL240" s="151"/>
      <c r="CM240" s="150"/>
      <c r="CN240" s="150"/>
      <c r="CO240" s="150"/>
      <c r="CP240" s="290"/>
      <c r="CQ240" s="291"/>
      <c r="CR240" s="278"/>
      <c r="CS240" s="285"/>
      <c r="CT240" s="151" t="s">
        <v>24</v>
      </c>
      <c r="CU240" s="150" t="s">
        <v>24</v>
      </c>
      <c r="CV240" s="150" t="s">
        <v>24</v>
      </c>
      <c r="CW240" s="150" t="s">
        <v>24</v>
      </c>
      <c r="CX240" s="150"/>
      <c r="CY240" s="150"/>
      <c r="CZ240" s="150"/>
      <c r="DA240" s="150"/>
      <c r="DB240" s="302"/>
      <c r="DC240" s="303"/>
      <c r="DD240" s="150"/>
      <c r="DE240" s="150"/>
      <c r="DF240" s="150"/>
      <c r="DG240" s="150"/>
      <c r="DH240" s="150"/>
      <c r="DI240" s="150"/>
      <c r="DJ240" s="150"/>
      <c r="DK240" s="150"/>
      <c r="DL240" s="302"/>
      <c r="DM240" s="303"/>
      <c r="DN240" s="278"/>
      <c r="DO240" s="279"/>
      <c r="DP240" s="150"/>
      <c r="DQ240" s="150"/>
      <c r="DR240" s="150"/>
      <c r="DS240" s="150"/>
      <c r="DT240" s="151"/>
      <c r="DU240" s="150"/>
      <c r="DV240" s="150"/>
      <c r="DW240" s="150"/>
      <c r="DX240" s="303"/>
      <c r="DY240" s="303"/>
      <c r="DZ240" s="151"/>
      <c r="EA240" s="150"/>
      <c r="EB240" s="150"/>
      <c r="EC240" s="150"/>
      <c r="ED240" s="151"/>
      <c r="EE240" s="150"/>
      <c r="EF240" s="150"/>
      <c r="EG240" s="150"/>
      <c r="EH240" s="303"/>
      <c r="EI240" s="303"/>
      <c r="EJ240" s="279"/>
      <c r="EK240" s="150"/>
      <c r="EL240" s="150"/>
      <c r="EM240" s="150"/>
      <c r="EN240" s="150"/>
      <c r="EO240" s="150"/>
      <c r="EP240" s="150"/>
      <c r="EQ240" s="150"/>
      <c r="ER240" s="150"/>
      <c r="ES240" s="303"/>
      <c r="ET240" s="303"/>
      <c r="EU240" s="150"/>
      <c r="EV240" s="150"/>
      <c r="EW240" s="150"/>
      <c r="EX240" s="150"/>
      <c r="EY240" s="134"/>
      <c r="EZ240" s="134"/>
      <c r="FA240" s="134"/>
      <c r="FB240" s="134"/>
      <c r="FC240" s="135"/>
      <c r="FD240" s="135"/>
      <c r="FE240" s="134"/>
      <c r="FF240" s="134"/>
      <c r="FG240" s="134"/>
      <c r="FH240" s="134"/>
      <c r="FI240" s="134"/>
      <c r="FJ240" s="134"/>
      <c r="FK240" s="134"/>
      <c r="FL240" s="134"/>
      <c r="FM240" s="135"/>
      <c r="FN240" s="135"/>
      <c r="FO240" s="134"/>
      <c r="FP240" s="134"/>
      <c r="FQ240" s="134"/>
      <c r="FR240" s="134"/>
      <c r="FS240" s="134"/>
      <c r="FT240" s="134"/>
      <c r="FU240" s="134"/>
      <c r="FV240" s="134"/>
      <c r="FW240" s="135"/>
      <c r="FX240" s="135"/>
      <c r="FY240" s="134"/>
      <c r="FZ240" s="134"/>
      <c r="GA240" s="134"/>
      <c r="GB240" s="134"/>
      <c r="GC240" s="134"/>
      <c r="GD240" s="134"/>
      <c r="GE240" s="134"/>
      <c r="GF240" s="134"/>
      <c r="GG240" s="135"/>
      <c r="GH240" s="135"/>
      <c r="GI240" s="134"/>
      <c r="GJ240" s="134"/>
      <c r="GK240" s="134"/>
      <c r="GL240" s="134"/>
      <c r="GM240" s="134"/>
      <c r="GN240" s="134"/>
      <c r="GO240" s="134"/>
      <c r="GP240" s="134"/>
      <c r="GQ240" s="135"/>
      <c r="GR240" s="135"/>
      <c r="GS240" s="134"/>
      <c r="GT240" s="134"/>
      <c r="GU240" s="134"/>
      <c r="GV240" s="134"/>
      <c r="GW240" s="134"/>
      <c r="GX240" s="134"/>
      <c r="GY240" s="134"/>
      <c r="GZ240" s="134"/>
      <c r="HA240" s="135"/>
      <c r="HB240" s="135"/>
      <c r="HC240" s="134"/>
      <c r="HD240" s="134"/>
      <c r="HE240" s="134"/>
      <c r="HF240" s="134"/>
      <c r="HG240" s="134"/>
      <c r="HH240" s="134"/>
      <c r="HI240" s="134"/>
      <c r="HJ240" s="134"/>
      <c r="HK240" s="135"/>
      <c r="HL240" s="135"/>
      <c r="HM240" s="134"/>
      <c r="HN240" s="134"/>
      <c r="HO240" s="134"/>
      <c r="HP240" s="134"/>
      <c r="HQ240" s="134"/>
      <c r="HR240" s="134"/>
      <c r="HS240" s="134"/>
      <c r="HT240" s="134"/>
      <c r="HU240" s="135"/>
      <c r="HV240" s="135"/>
      <c r="HW240" s="134"/>
      <c r="HX240" s="134"/>
      <c r="HY240" s="134"/>
      <c r="HZ240" s="134"/>
      <c r="IA240" s="134"/>
      <c r="IB240" s="134"/>
      <c r="IC240" s="134"/>
      <c r="ID240" s="134"/>
      <c r="IE240" s="135"/>
      <c r="IF240" s="135"/>
      <c r="IG240" s="134"/>
      <c r="IH240" s="134"/>
      <c r="II240" s="134"/>
      <c r="IJ240" s="134"/>
      <c r="IK240" s="134"/>
      <c r="IL240" s="134"/>
      <c r="IM240" s="134"/>
      <c r="IN240" s="134"/>
      <c r="IO240" s="135"/>
      <c r="IP240" s="135"/>
      <c r="IQ240" s="134"/>
      <c r="IR240" s="134"/>
      <c r="IS240" s="134"/>
      <c r="IT240" s="134"/>
      <c r="IU240" s="134"/>
      <c r="IV240" s="134"/>
      <c r="IW240" s="134"/>
      <c r="IX240" s="134"/>
      <c r="IY240" s="135"/>
      <c r="IZ240" s="135"/>
    </row>
    <row r="241" spans="1:260" customFormat="1" ht="17" customHeight="1">
      <c r="A241" s="118" t="s">
        <v>1026</v>
      </c>
      <c r="B241" s="363">
        <v>24</v>
      </c>
      <c r="C241" s="363"/>
      <c r="D241" s="363"/>
      <c r="E241" s="139" t="s">
        <v>2088</v>
      </c>
      <c r="F241" s="140" t="s">
        <v>2343</v>
      </c>
      <c r="G241" s="141">
        <v>2012</v>
      </c>
      <c r="H241" s="118">
        <v>22176467</v>
      </c>
      <c r="I241" s="118">
        <v>1</v>
      </c>
      <c r="J241" s="118" t="s">
        <v>1855</v>
      </c>
      <c r="K241" s="118"/>
      <c r="L241" s="118">
        <v>0</v>
      </c>
      <c r="M241" s="118"/>
      <c r="N241" s="158">
        <v>0</v>
      </c>
      <c r="O241" s="142">
        <v>2</v>
      </c>
      <c r="P241" s="118" t="s">
        <v>1404</v>
      </c>
      <c r="Q241" s="118" t="s">
        <v>1212</v>
      </c>
      <c r="R241" s="118" t="s">
        <v>1127</v>
      </c>
      <c r="S241" s="118"/>
      <c r="T241" s="118" t="s">
        <v>1488</v>
      </c>
      <c r="U241" s="118" t="s">
        <v>803</v>
      </c>
      <c r="V241" s="118"/>
      <c r="W241" s="118" t="s">
        <v>1403</v>
      </c>
      <c r="X241" s="118"/>
      <c r="Y241" s="118"/>
      <c r="Z241" s="118"/>
      <c r="AA241" s="118"/>
      <c r="AB241" s="118"/>
      <c r="AC241" s="145"/>
      <c r="AD241" s="573">
        <v>1</v>
      </c>
      <c r="AE241" s="573">
        <v>2</v>
      </c>
      <c r="AF241" s="230" t="s">
        <v>1917</v>
      </c>
      <c r="AG241" s="231" t="s">
        <v>3334</v>
      </c>
      <c r="AH241" s="152">
        <v>4</v>
      </c>
      <c r="AI241" s="485"/>
      <c r="AJ241" s="242" t="s">
        <v>3052</v>
      </c>
      <c r="AK241" s="192">
        <v>1</v>
      </c>
      <c r="AL241" s="243">
        <v>0</v>
      </c>
      <c r="AM241" s="152">
        <f>Table665[[#This Row],[Subjects_n_ptsd]]+Table665[[#This Row],[Subjects_n_control]]</f>
        <v>24</v>
      </c>
      <c r="AN241" s="152">
        <v>12</v>
      </c>
      <c r="AO241" s="152">
        <v>12</v>
      </c>
      <c r="AP241" s="152" t="s">
        <v>803</v>
      </c>
      <c r="AQ241" s="152" t="s">
        <v>803</v>
      </c>
      <c r="AR241" s="152" t="s">
        <v>3031</v>
      </c>
      <c r="AS241" s="152" t="s">
        <v>24</v>
      </c>
      <c r="AT241" s="152" t="s">
        <v>3031</v>
      </c>
      <c r="AU241" s="152" t="s">
        <v>24</v>
      </c>
      <c r="AV241" s="152" t="s">
        <v>3033</v>
      </c>
      <c r="AW241" s="152">
        <v>1</v>
      </c>
      <c r="AX241" s="187" t="s">
        <v>3331</v>
      </c>
      <c r="AY241" s="152" t="s">
        <v>3032</v>
      </c>
      <c r="AZ241" s="152" t="s">
        <v>2730</v>
      </c>
      <c r="BA241" s="152" t="s">
        <v>2554</v>
      </c>
      <c r="BB241" s="152"/>
      <c r="BC241" s="152"/>
      <c r="BD241" s="161">
        <v>1</v>
      </c>
      <c r="BE241" s="161"/>
      <c r="BF241" s="161"/>
      <c r="BG241" s="161"/>
      <c r="BH241" s="161"/>
      <c r="BI241" s="161"/>
      <c r="BJ241" s="161"/>
      <c r="BK241" s="161"/>
      <c r="BL241" s="161"/>
      <c r="BM241" s="161"/>
      <c r="BN241" s="161"/>
      <c r="BO241" s="161"/>
      <c r="BP241" s="161"/>
      <c r="BQ241" s="183" t="s">
        <v>3043</v>
      </c>
      <c r="BR241" s="150" t="s">
        <v>1876</v>
      </c>
      <c r="BS241" s="150" t="s">
        <v>3041</v>
      </c>
      <c r="BT241" s="150" t="s">
        <v>3056</v>
      </c>
      <c r="BU241" s="150" t="s">
        <v>2471</v>
      </c>
      <c r="BV241" s="150" t="s">
        <v>2659</v>
      </c>
      <c r="BW241" s="258" t="s">
        <v>3083</v>
      </c>
      <c r="BX241" s="151" t="s">
        <v>3057</v>
      </c>
      <c r="BY241" s="150" t="s">
        <v>3078</v>
      </c>
      <c r="BZ241" s="150" t="s">
        <v>24</v>
      </c>
      <c r="CA241" s="150" t="s">
        <v>3078</v>
      </c>
      <c r="CB241" s="151" t="s">
        <v>3058</v>
      </c>
      <c r="CC241" s="150">
        <v>3.4817499999999999</v>
      </c>
      <c r="CD241" s="150" t="s">
        <v>24</v>
      </c>
      <c r="CE241" s="150">
        <f>6.66587-Table665[[#This Row],[Outcome2_M]]</f>
        <v>3.1841200000000001</v>
      </c>
      <c r="CF241" s="290" t="s">
        <v>3079</v>
      </c>
      <c r="CG241" s="291" t="s">
        <v>24</v>
      </c>
      <c r="CH241" s="151" t="s">
        <v>3035</v>
      </c>
      <c r="CI241" s="150">
        <v>16.767199999999999</v>
      </c>
      <c r="CJ241" s="150" t="s">
        <v>24</v>
      </c>
      <c r="CK241" s="150">
        <f>21.5434-Table665[[#This Row],[Outcome3_M]]</f>
        <v>4.7761999999999993</v>
      </c>
      <c r="CL241" s="151" t="s">
        <v>3036</v>
      </c>
      <c r="CM241" s="150">
        <v>67.587800000000001</v>
      </c>
      <c r="CN241" s="150" t="s">
        <v>24</v>
      </c>
      <c r="CO241" s="150">
        <f>75.7474-Table665[[#This Row],[Outcome4_M]]</f>
        <v>8.1595999999999975</v>
      </c>
      <c r="CP241" s="290" t="s">
        <v>3080</v>
      </c>
      <c r="CQ241" s="291" t="s">
        <v>3060</v>
      </c>
      <c r="CR241" s="278" t="s">
        <v>3081</v>
      </c>
      <c r="CS241" s="285" t="s">
        <v>3060</v>
      </c>
      <c r="CT241" s="151" t="s">
        <v>3038</v>
      </c>
      <c r="CU241" s="150">
        <v>16.545500000000001</v>
      </c>
      <c r="CV241" s="150" t="s">
        <v>24</v>
      </c>
      <c r="CW241" s="150">
        <f>21.1383-Table665[[#This Row],[Outcome5_M]]</f>
        <v>4.5928000000000004</v>
      </c>
      <c r="CX241" s="151" t="s">
        <v>3037</v>
      </c>
      <c r="CY241" s="150">
        <v>67.379199999999997</v>
      </c>
      <c r="CZ241" s="150" t="s">
        <v>24</v>
      </c>
      <c r="DA241" s="150">
        <f>75.1041-Table665[[#This Row],[Outcome6_M]]</f>
        <v>7.7249000000000052</v>
      </c>
      <c r="DB241" s="302" t="s">
        <v>3082</v>
      </c>
      <c r="DC241" s="303" t="s">
        <v>3060</v>
      </c>
      <c r="DD241" s="150"/>
      <c r="DE241" s="150"/>
      <c r="DF241" s="150"/>
      <c r="DG241" s="150"/>
      <c r="DH241" s="150"/>
      <c r="DI241" s="150"/>
      <c r="DJ241" s="150"/>
      <c r="DK241" s="150"/>
      <c r="DL241" s="302"/>
      <c r="DM241" s="303"/>
      <c r="DN241" s="278"/>
      <c r="DO241" s="279"/>
      <c r="DP241" s="150"/>
      <c r="DQ241" s="150"/>
      <c r="DR241" s="150"/>
      <c r="DS241" s="150"/>
      <c r="DT241" s="151"/>
      <c r="DU241" s="150"/>
      <c r="DV241" s="150"/>
      <c r="DW241" s="150"/>
      <c r="DX241" s="303"/>
      <c r="DY241" s="303"/>
      <c r="DZ241" s="151"/>
      <c r="EA241" s="150"/>
      <c r="EB241" s="150"/>
      <c r="EC241" s="150"/>
      <c r="ED241" s="151"/>
      <c r="EE241" s="150"/>
      <c r="EF241" s="150"/>
      <c r="EG241" s="150"/>
      <c r="EH241" s="303"/>
      <c r="EI241" s="303"/>
      <c r="EJ241" s="279"/>
      <c r="EK241" s="150"/>
      <c r="EL241" s="150"/>
      <c r="EM241" s="150"/>
      <c r="EN241" s="150"/>
      <c r="EO241" s="150"/>
      <c r="EP241" s="150"/>
      <c r="EQ241" s="150"/>
      <c r="ER241" s="150"/>
      <c r="ES241" s="303"/>
      <c r="ET241" s="303"/>
      <c r="EU241" s="150"/>
      <c r="EV241" s="150"/>
      <c r="EW241" s="150"/>
      <c r="EX241" s="150"/>
      <c r="EY241" s="134"/>
      <c r="EZ241" s="134"/>
      <c r="FA241" s="134"/>
      <c r="FB241" s="134"/>
      <c r="FC241" s="135"/>
      <c r="FD241" s="135"/>
      <c r="FE241" s="134"/>
      <c r="FF241" s="134"/>
      <c r="FG241" s="134"/>
      <c r="FH241" s="134"/>
      <c r="FI241" s="134"/>
      <c r="FJ241" s="134"/>
      <c r="FK241" s="134"/>
      <c r="FL241" s="134"/>
      <c r="FM241" s="135"/>
      <c r="FN241" s="135"/>
      <c r="FO241" s="134"/>
      <c r="FP241" s="134"/>
      <c r="FQ241" s="134"/>
      <c r="FR241" s="134"/>
      <c r="FS241" s="134"/>
      <c r="FT241" s="134"/>
      <c r="FU241" s="134"/>
      <c r="FV241" s="134"/>
      <c r="FW241" s="135"/>
      <c r="FX241" s="135"/>
      <c r="FY241" s="134"/>
      <c r="FZ241" s="134"/>
      <c r="GA241" s="134"/>
      <c r="GB241" s="134"/>
      <c r="GC241" s="134"/>
      <c r="GD241" s="134"/>
      <c r="GE241" s="134"/>
      <c r="GF241" s="134"/>
      <c r="GG241" s="135"/>
      <c r="GH241" s="135"/>
      <c r="GI241" s="134"/>
      <c r="GJ241" s="134"/>
      <c r="GK241" s="134"/>
      <c r="GL241" s="134"/>
      <c r="GM241" s="134"/>
      <c r="GN241" s="134"/>
      <c r="GO241" s="134"/>
      <c r="GP241" s="134"/>
      <c r="GQ241" s="135"/>
      <c r="GR241" s="135"/>
      <c r="GS241" s="134"/>
      <c r="GT241" s="134"/>
      <c r="GU241" s="134"/>
      <c r="GV241" s="134"/>
      <c r="GW241" s="134"/>
      <c r="GX241" s="134"/>
      <c r="GY241" s="134"/>
      <c r="GZ241" s="134"/>
      <c r="HA241" s="135"/>
      <c r="HB241" s="135"/>
      <c r="HC241" s="134"/>
      <c r="HD241" s="134"/>
      <c r="HE241" s="134"/>
      <c r="HF241" s="134"/>
      <c r="HG241" s="134"/>
      <c r="HH241" s="134"/>
      <c r="HI241" s="134"/>
      <c r="HJ241" s="134"/>
      <c r="HK241" s="135"/>
      <c r="HL241" s="135"/>
      <c r="HM241" s="134"/>
      <c r="HN241" s="134"/>
      <c r="HO241" s="134"/>
      <c r="HP241" s="134"/>
      <c r="HQ241" s="134"/>
      <c r="HR241" s="134"/>
      <c r="HS241" s="134"/>
      <c r="HT241" s="134"/>
      <c r="HU241" s="135"/>
      <c r="HV241" s="135"/>
      <c r="HW241" s="134"/>
      <c r="HX241" s="134"/>
      <c r="HY241" s="134"/>
      <c r="HZ241" s="134"/>
      <c r="IA241" s="134"/>
      <c r="IB241" s="134"/>
      <c r="IC241" s="134"/>
      <c r="ID241" s="134"/>
      <c r="IE241" s="135"/>
      <c r="IF241" s="135"/>
      <c r="IG241" s="134"/>
      <c r="IH241" s="134"/>
      <c r="II241" s="134"/>
      <c r="IJ241" s="134"/>
      <c r="IK241" s="134"/>
      <c r="IL241" s="134"/>
      <c r="IM241" s="134"/>
      <c r="IN241" s="134"/>
      <c r="IO241" s="135"/>
      <c r="IP241" s="135"/>
      <c r="IQ241" s="134"/>
      <c r="IR241" s="134"/>
      <c r="IS241" s="134"/>
      <c r="IT241" s="134"/>
      <c r="IU241" s="134"/>
      <c r="IV241" s="134"/>
      <c r="IW241" s="134"/>
      <c r="IX241" s="134"/>
      <c r="IY241" s="135"/>
      <c r="IZ241" s="135"/>
    </row>
    <row r="242" spans="1:260" customFormat="1" ht="17" customHeight="1">
      <c r="A242" s="79" t="s">
        <v>1025</v>
      </c>
      <c r="B242" s="363">
        <v>25</v>
      </c>
      <c r="C242" s="363"/>
      <c r="D242" s="363"/>
      <c r="E242" s="123" t="s">
        <v>2089</v>
      </c>
      <c r="F242" s="124" t="s">
        <v>2344</v>
      </c>
      <c r="G242" s="125">
        <v>2001</v>
      </c>
      <c r="H242" s="79">
        <v>11331084</v>
      </c>
      <c r="I242" s="79">
        <v>1</v>
      </c>
      <c r="J242" s="126"/>
      <c r="K242" s="127"/>
      <c r="L242" s="79">
        <v>1</v>
      </c>
      <c r="M242" s="79"/>
      <c r="N242" s="164">
        <v>1</v>
      </c>
      <c r="O242" s="128">
        <v>2</v>
      </c>
      <c r="P242" s="79" t="s">
        <v>1405</v>
      </c>
      <c r="Q242" s="79" t="s">
        <v>1216</v>
      </c>
      <c r="R242" s="79" t="s">
        <v>1127</v>
      </c>
      <c r="S242" s="79"/>
      <c r="T242" s="79" t="s">
        <v>1498</v>
      </c>
      <c r="U242" s="79" t="s">
        <v>803</v>
      </c>
      <c r="V242" s="79" t="s">
        <v>23</v>
      </c>
      <c r="W242" s="79" t="s">
        <v>1406</v>
      </c>
      <c r="X242" s="79"/>
      <c r="Y242" s="79"/>
      <c r="Z242" s="79"/>
      <c r="AA242" s="79"/>
      <c r="AB242" s="79"/>
      <c r="AC242" s="506"/>
      <c r="AD242" s="573">
        <v>1</v>
      </c>
      <c r="AE242" s="573">
        <v>2</v>
      </c>
      <c r="AF242" s="165">
        <v>0</v>
      </c>
      <c r="AG242" s="166" t="s">
        <v>3335</v>
      </c>
      <c r="AH242" s="120">
        <v>4</v>
      </c>
      <c r="AI242" s="484"/>
      <c r="AJ242" s="206" t="s">
        <v>3098</v>
      </c>
      <c r="AK242" s="192">
        <v>0</v>
      </c>
      <c r="AL242" s="207"/>
      <c r="AM242" s="120" t="s">
        <v>3095</v>
      </c>
      <c r="AN242" s="120"/>
      <c r="AO242" s="120"/>
      <c r="AP242" s="120" t="s">
        <v>803</v>
      </c>
      <c r="AQ242" s="120"/>
      <c r="AR242" s="120" t="s">
        <v>3031</v>
      </c>
      <c r="AS242" s="120"/>
      <c r="AT242" s="120"/>
      <c r="AU242" s="120"/>
      <c r="AV242" s="120" t="s">
        <v>3096</v>
      </c>
      <c r="AW242" s="120">
        <v>1</v>
      </c>
      <c r="AX242" s="120"/>
      <c r="AY242" s="120" t="s">
        <v>3097</v>
      </c>
      <c r="AZ242" s="120" t="s">
        <v>1130</v>
      </c>
      <c r="BA242" s="120"/>
      <c r="BB242" s="120"/>
      <c r="BC242" s="120"/>
      <c r="BD242" s="156"/>
      <c r="BE242" s="156"/>
      <c r="BF242" s="156"/>
      <c r="BG242" s="156"/>
      <c r="BH242" s="156"/>
      <c r="BI242" s="156"/>
      <c r="BJ242" s="156"/>
      <c r="BK242" s="156"/>
      <c r="BL242" s="156"/>
      <c r="BM242" s="156"/>
      <c r="BN242" s="156"/>
      <c r="BO242" s="156"/>
      <c r="BP242" s="156"/>
      <c r="BQ242" s="157" t="s">
        <v>3100</v>
      </c>
      <c r="BR242" s="134"/>
      <c r="BS242" s="134" t="s">
        <v>1349</v>
      </c>
      <c r="BT242" s="134"/>
      <c r="BU242" s="134" t="s">
        <v>2471</v>
      </c>
      <c r="BV242" s="134"/>
      <c r="BW242" s="259"/>
      <c r="BX242" s="138"/>
      <c r="BY242" s="134"/>
      <c r="BZ242" s="134"/>
      <c r="CA242" s="134"/>
      <c r="CB242" s="138"/>
      <c r="CC242" s="134"/>
      <c r="CD242" s="134"/>
      <c r="CE242" s="134"/>
      <c r="CF242" s="288"/>
      <c r="CG242" s="289"/>
      <c r="CH242" s="138"/>
      <c r="CI242" s="134"/>
      <c r="CJ242" s="134"/>
      <c r="CK242" s="134"/>
      <c r="CL242" s="138"/>
      <c r="CM242" s="134"/>
      <c r="CN242" s="134"/>
      <c r="CO242" s="134"/>
      <c r="CP242" s="288"/>
      <c r="CQ242" s="289"/>
      <c r="CR242" s="276"/>
      <c r="CS242" s="308"/>
      <c r="CT242" s="138"/>
      <c r="CU242" s="134"/>
      <c r="CV242" s="134"/>
      <c r="CW242" s="134"/>
      <c r="CX242" s="134"/>
      <c r="CY242" s="134"/>
      <c r="CZ242" s="134"/>
      <c r="DA242" s="134"/>
      <c r="DB242" s="300"/>
      <c r="DC242" s="301"/>
      <c r="DD242" s="134"/>
      <c r="DE242" s="134"/>
      <c r="DF242" s="134"/>
      <c r="DG242" s="134"/>
      <c r="DH242" s="134"/>
      <c r="DI242" s="134"/>
      <c r="DJ242" s="134"/>
      <c r="DK242" s="134"/>
      <c r="DL242" s="300"/>
      <c r="DM242" s="301"/>
      <c r="DN242" s="276"/>
      <c r="DO242" s="277"/>
      <c r="DP242" s="134"/>
      <c r="DQ242" s="134"/>
      <c r="DR242" s="134"/>
      <c r="DS242" s="134"/>
      <c r="DT242" s="138"/>
      <c r="DU242" s="134"/>
      <c r="DV242" s="134"/>
      <c r="DW242" s="134"/>
      <c r="DX242" s="301"/>
      <c r="DY242" s="301"/>
      <c r="DZ242" s="138"/>
      <c r="EA242" s="134"/>
      <c r="EB242" s="134"/>
      <c r="EC242" s="134"/>
      <c r="ED242" s="138"/>
      <c r="EE242" s="134"/>
      <c r="EF242" s="134"/>
      <c r="EG242" s="134"/>
      <c r="EH242" s="301"/>
      <c r="EI242" s="301"/>
      <c r="EJ242" s="277"/>
      <c r="EK242" s="134"/>
      <c r="EL242" s="134"/>
      <c r="EM242" s="134"/>
      <c r="EN242" s="134"/>
      <c r="EO242" s="134"/>
      <c r="EP242" s="134"/>
      <c r="EQ242" s="134"/>
      <c r="ER242" s="134"/>
      <c r="ES242" s="301"/>
      <c r="ET242" s="301"/>
      <c r="EU242" s="134"/>
      <c r="EV242" s="134"/>
      <c r="EW242" s="134"/>
      <c r="EX242" s="134"/>
      <c r="EY242" s="134"/>
      <c r="EZ242" s="134"/>
      <c r="FA242" s="134"/>
      <c r="FB242" s="134"/>
      <c r="FC242" s="135"/>
      <c r="FD242" s="135"/>
      <c r="FE242" s="134"/>
      <c r="FF242" s="134"/>
      <c r="FG242" s="134"/>
      <c r="FH242" s="134"/>
      <c r="FI242" s="134"/>
      <c r="FJ242" s="134"/>
      <c r="FK242" s="134"/>
      <c r="FL242" s="134"/>
      <c r="FM242" s="135"/>
      <c r="FN242" s="135"/>
      <c r="FO242" s="134"/>
      <c r="FP242" s="134"/>
      <c r="FQ242" s="134"/>
      <c r="FR242" s="134"/>
      <c r="FS242" s="134"/>
      <c r="FT242" s="134"/>
      <c r="FU242" s="134"/>
      <c r="FV242" s="134"/>
      <c r="FW242" s="135"/>
      <c r="FX242" s="135"/>
      <c r="FY242" s="134"/>
      <c r="FZ242" s="134"/>
      <c r="GA242" s="134"/>
      <c r="GB242" s="134"/>
      <c r="GC242" s="134"/>
      <c r="GD242" s="134"/>
      <c r="GE242" s="134"/>
      <c r="GF242" s="134"/>
      <c r="GG242" s="135"/>
      <c r="GH242" s="135"/>
      <c r="GI242" s="134"/>
      <c r="GJ242" s="134"/>
      <c r="GK242" s="134"/>
      <c r="GL242" s="134"/>
      <c r="GM242" s="134"/>
      <c r="GN242" s="134"/>
      <c r="GO242" s="134"/>
      <c r="GP242" s="134"/>
      <c r="GQ242" s="135"/>
      <c r="GR242" s="135"/>
      <c r="GS242" s="134"/>
      <c r="GT242" s="134"/>
      <c r="GU242" s="134"/>
      <c r="GV242" s="134"/>
      <c r="GW242" s="134"/>
      <c r="GX242" s="134"/>
      <c r="GY242" s="134"/>
      <c r="GZ242" s="134"/>
      <c r="HA242" s="135"/>
      <c r="HB242" s="135"/>
      <c r="HC242" s="134"/>
      <c r="HD242" s="134"/>
      <c r="HE242" s="134"/>
      <c r="HF242" s="134"/>
      <c r="HG242" s="134"/>
      <c r="HH242" s="134"/>
      <c r="HI242" s="134"/>
      <c r="HJ242" s="134"/>
      <c r="HK242" s="135"/>
      <c r="HL242" s="135"/>
      <c r="HM242" s="134"/>
      <c r="HN242" s="134"/>
      <c r="HO242" s="134"/>
      <c r="HP242" s="134"/>
      <c r="HQ242" s="134"/>
      <c r="HR242" s="134"/>
      <c r="HS242" s="134"/>
      <c r="HT242" s="134"/>
      <c r="HU242" s="135"/>
      <c r="HV242" s="135"/>
      <c r="HW242" s="134"/>
      <c r="HX242" s="134"/>
      <c r="HY242" s="134"/>
      <c r="HZ242" s="134"/>
      <c r="IA242" s="134"/>
      <c r="IB242" s="134"/>
      <c r="IC242" s="134"/>
      <c r="ID242" s="134"/>
      <c r="IE242" s="135"/>
      <c r="IF242" s="135"/>
      <c r="IG242" s="134"/>
      <c r="IH242" s="134"/>
      <c r="II242" s="134"/>
      <c r="IJ242" s="134"/>
      <c r="IK242" s="134"/>
      <c r="IL242" s="134"/>
      <c r="IM242" s="134"/>
      <c r="IN242" s="134"/>
      <c r="IO242" s="135"/>
      <c r="IP242" s="135"/>
      <c r="IQ242" s="134"/>
      <c r="IR242" s="134"/>
      <c r="IS242" s="134"/>
      <c r="IT242" s="134"/>
      <c r="IU242" s="134"/>
      <c r="IV242" s="134"/>
      <c r="IW242" s="134"/>
      <c r="IX242" s="134"/>
      <c r="IY242" s="135"/>
      <c r="IZ242" s="135"/>
    </row>
    <row r="243" spans="1:260" customFormat="1" ht="17" customHeight="1">
      <c r="A243" s="79" t="s">
        <v>1023</v>
      </c>
      <c r="B243" s="117">
        <v>158</v>
      </c>
      <c r="C243" s="117">
        <v>50</v>
      </c>
      <c r="D243" s="117"/>
      <c r="E243" s="123" t="s">
        <v>2091</v>
      </c>
      <c r="F243" s="124" t="s">
        <v>2346</v>
      </c>
      <c r="G243" s="125">
        <v>2009</v>
      </c>
      <c r="H243" s="79">
        <v>17886167</v>
      </c>
      <c r="I243" s="79">
        <v>1</v>
      </c>
      <c r="J243" s="126"/>
      <c r="K243" s="127"/>
      <c r="L243" s="79">
        <v>1</v>
      </c>
      <c r="M243" s="79"/>
      <c r="N243" s="171">
        <v>1</v>
      </c>
      <c r="O243" s="128">
        <v>2</v>
      </c>
      <c r="P243" s="79" t="s">
        <v>1347</v>
      </c>
      <c r="Q243" s="79" t="s">
        <v>1216</v>
      </c>
      <c r="R243" s="79" t="s">
        <v>1127</v>
      </c>
      <c r="S243" s="79"/>
      <c r="T243" s="79" t="s">
        <v>1507</v>
      </c>
      <c r="U243" s="79" t="s">
        <v>1539</v>
      </c>
      <c r="V243" s="79"/>
      <c r="W243" s="79" t="s">
        <v>1409</v>
      </c>
      <c r="X243" s="79"/>
      <c r="Y243" s="79"/>
      <c r="Z243" s="79"/>
      <c r="AA243" s="79"/>
      <c r="AB243" s="79"/>
      <c r="AC243" s="506"/>
      <c r="AD243" s="573">
        <v>1</v>
      </c>
      <c r="AE243" s="573">
        <v>2</v>
      </c>
      <c r="AF243" s="154">
        <v>1</v>
      </c>
      <c r="AG243" s="155" t="s">
        <v>5006</v>
      </c>
      <c r="AH243" s="121">
        <v>4</v>
      </c>
      <c r="AI243" s="484" t="s">
        <v>5002</v>
      </c>
      <c r="AJ243" s="202" t="s">
        <v>4993</v>
      </c>
      <c r="AK243" s="192">
        <v>0</v>
      </c>
      <c r="AL243" s="203">
        <v>0</v>
      </c>
      <c r="AM243" s="121" t="s">
        <v>4990</v>
      </c>
      <c r="AN243" s="121">
        <f>6+7+6+6+20</f>
        <v>45</v>
      </c>
      <c r="AO243" s="121">
        <f>7+7+6+8+20</f>
        <v>48</v>
      </c>
      <c r="AP243" s="121" t="s">
        <v>4988</v>
      </c>
      <c r="AQ243" s="121" t="s">
        <v>4989</v>
      </c>
      <c r="AR243" s="121" t="s">
        <v>2494</v>
      </c>
      <c r="AS243" s="121" t="s">
        <v>24</v>
      </c>
      <c r="AT243" s="121" t="s">
        <v>2494</v>
      </c>
      <c r="AU243" s="121" t="s">
        <v>24</v>
      </c>
      <c r="AV243" s="121" t="s">
        <v>4991</v>
      </c>
      <c r="AW243" s="121">
        <v>1</v>
      </c>
      <c r="AX243" s="121">
        <v>1</v>
      </c>
      <c r="AY243" s="121" t="s">
        <v>4992</v>
      </c>
      <c r="AZ243" s="121" t="s">
        <v>3698</v>
      </c>
      <c r="BA243" s="121" t="s">
        <v>5001</v>
      </c>
      <c r="BB243" s="121"/>
      <c r="BC243" s="121"/>
      <c r="BD243" s="156"/>
      <c r="BE243" s="156"/>
      <c r="BF243" s="156"/>
      <c r="BG243" s="156"/>
      <c r="BH243" s="156"/>
      <c r="BI243" s="156"/>
      <c r="BJ243" s="156">
        <v>1</v>
      </c>
      <c r="BK243" s="156"/>
      <c r="BL243" s="156"/>
      <c r="BM243" s="156"/>
      <c r="BN243" s="156"/>
      <c r="BO243" s="156"/>
      <c r="BP243" s="156"/>
      <c r="BQ243" s="157" t="s">
        <v>3282</v>
      </c>
      <c r="BR243" s="134" t="s">
        <v>1876</v>
      </c>
      <c r="BS243" s="134" t="s">
        <v>4996</v>
      </c>
      <c r="BT243" s="134" t="s">
        <v>4995</v>
      </c>
      <c r="BU243" s="134" t="s">
        <v>4985</v>
      </c>
      <c r="BV243" s="134" t="s">
        <v>4994</v>
      </c>
      <c r="BW243" s="259" t="s">
        <v>5005</v>
      </c>
      <c r="BX243" s="138" t="s">
        <v>4997</v>
      </c>
      <c r="BY243" s="134">
        <v>68.334199999999996</v>
      </c>
      <c r="BZ243" s="134" t="s">
        <v>24</v>
      </c>
      <c r="CA243" s="134">
        <f>75.0186-Table665[[#This Row],[Outcome1_M]]</f>
        <v>6.6844000000000108</v>
      </c>
      <c r="CB243" s="138" t="s">
        <v>4998</v>
      </c>
      <c r="CC243" s="134">
        <v>62.056699999999999</v>
      </c>
      <c r="CD243" s="168" t="s">
        <v>24</v>
      </c>
      <c r="CE243" s="134">
        <f>68.4397-Table665[[#This Row],[Outcome2_M]]</f>
        <v>6.3830000000000027</v>
      </c>
      <c r="CF243" s="288" t="s">
        <v>24</v>
      </c>
      <c r="CG243" s="289" t="s">
        <v>24</v>
      </c>
      <c r="CH243" s="138" t="s">
        <v>4999</v>
      </c>
      <c r="CI243" s="134">
        <v>42.701500000000003</v>
      </c>
      <c r="CJ243" s="134" t="s">
        <v>24</v>
      </c>
      <c r="CK243" s="134">
        <f>46.7121-Table665[[#This Row],[Outcome3_M]]</f>
        <v>4.0105999999999966</v>
      </c>
      <c r="CL243" s="138" t="s">
        <v>5000</v>
      </c>
      <c r="CM243" s="134">
        <v>66.666700000000006</v>
      </c>
      <c r="CN243" s="168" t="s">
        <v>24</v>
      </c>
      <c r="CO243" s="134">
        <f>70.5674-Table665[[#This Row],[Outcome4_M]]</f>
        <v>3.9007000000000005</v>
      </c>
      <c r="CP243" s="288" t="s">
        <v>24</v>
      </c>
      <c r="CQ243" s="289" t="s">
        <v>24</v>
      </c>
      <c r="CR243" s="276" t="s">
        <v>5003</v>
      </c>
      <c r="CS243" s="308" t="s">
        <v>5004</v>
      </c>
      <c r="CT243" s="137"/>
      <c r="CU243" s="134"/>
      <c r="CV243" s="168"/>
      <c r="CW243" s="134"/>
      <c r="CX243" s="134"/>
      <c r="CY243" s="134"/>
      <c r="CZ243" s="134"/>
      <c r="DA243" s="134"/>
      <c r="DB243" s="300"/>
      <c r="DC243" s="301"/>
      <c r="DD243" s="134"/>
      <c r="DE243" s="134"/>
      <c r="DF243" s="134"/>
      <c r="DG243" s="134"/>
      <c r="DH243" s="134"/>
      <c r="DI243" s="134"/>
      <c r="DJ243" s="134"/>
      <c r="DK243" s="134"/>
      <c r="DL243" s="300"/>
      <c r="DM243" s="301"/>
      <c r="DN243" s="276"/>
      <c r="DO243" s="277"/>
      <c r="DP243" s="134"/>
      <c r="DQ243" s="137"/>
      <c r="DR243" s="134"/>
      <c r="DS243" s="480"/>
      <c r="DT243" s="134"/>
      <c r="DU243" s="134"/>
      <c r="DV243" s="134"/>
      <c r="DW243" s="134"/>
      <c r="DX243" s="301"/>
      <c r="DY243" s="301"/>
      <c r="DZ243" s="134"/>
      <c r="EA243" s="134"/>
      <c r="EB243" s="134"/>
      <c r="EC243" s="480"/>
      <c r="ED243" s="134"/>
      <c r="EE243" s="134"/>
      <c r="EF243" s="134"/>
      <c r="EG243" s="134"/>
      <c r="EH243" s="301"/>
      <c r="EI243" s="301"/>
      <c r="EJ243" s="277"/>
      <c r="EK243" s="134"/>
      <c r="EL243" s="134"/>
      <c r="EM243" s="134"/>
      <c r="EN243" s="480"/>
      <c r="EO243" s="134"/>
      <c r="EP243" s="134"/>
      <c r="EQ243" s="134"/>
      <c r="ER243" s="134"/>
      <c r="ES243" s="301"/>
      <c r="ET243" s="301"/>
      <c r="EU243" s="134"/>
      <c r="EV243" s="134"/>
      <c r="EW243" s="134"/>
      <c r="EX243" s="134"/>
      <c r="EY243" s="480"/>
      <c r="EZ243" s="134"/>
      <c r="FA243" s="134"/>
      <c r="FB243" s="134"/>
      <c r="FC243" s="135"/>
      <c r="FD243" s="135"/>
      <c r="FE243" s="134"/>
      <c r="FF243" s="134"/>
      <c r="FG243" s="134"/>
      <c r="FH243" s="134"/>
      <c r="FI243" s="134"/>
      <c r="FJ243" s="134"/>
      <c r="FK243" s="134"/>
      <c r="FL243" s="134"/>
      <c r="FM243" s="135"/>
      <c r="FN243" s="135"/>
      <c r="FO243" s="134"/>
      <c r="FP243" s="134"/>
      <c r="FQ243" s="134"/>
      <c r="FR243" s="134"/>
      <c r="FS243" s="134"/>
      <c r="FT243" s="134"/>
      <c r="FU243" s="134"/>
      <c r="FV243" s="134"/>
      <c r="FW243" s="135"/>
      <c r="FX243" s="135"/>
      <c r="FY243" s="134"/>
      <c r="FZ243" s="134"/>
      <c r="GA243" s="134"/>
      <c r="GB243" s="134"/>
      <c r="GC243" s="134"/>
      <c r="GD243" s="134"/>
      <c r="GE243" s="134"/>
      <c r="GF243" s="134"/>
      <c r="GG243" s="135"/>
      <c r="GH243" s="135"/>
      <c r="GI243" s="134"/>
      <c r="GJ243" s="134"/>
      <c r="GK243" s="134"/>
      <c r="GL243" s="134"/>
      <c r="GM243" s="134"/>
      <c r="GN243" s="134"/>
      <c r="GO243" s="134"/>
      <c r="GP243" s="134"/>
      <c r="GQ243" s="135"/>
      <c r="GR243" s="135"/>
      <c r="GS243" s="134"/>
      <c r="GT243" s="134"/>
      <c r="GU243" s="134"/>
      <c r="GV243" s="134"/>
      <c r="GW243" s="134"/>
      <c r="GX243" s="134"/>
      <c r="GY243" s="134"/>
      <c r="GZ243" s="134"/>
      <c r="HA243" s="135"/>
      <c r="HB243" s="135"/>
      <c r="HC243" s="134"/>
      <c r="HD243" s="134"/>
      <c r="HE243" s="134"/>
      <c r="HF243" s="134"/>
      <c r="HG243" s="134"/>
      <c r="HH243" s="134"/>
      <c r="HI243" s="134"/>
      <c r="HJ243" s="134"/>
      <c r="HK243" s="135"/>
      <c r="HL243" s="135"/>
      <c r="HM243" s="134"/>
      <c r="HN243" s="134"/>
      <c r="HO243" s="134"/>
      <c r="HP243" s="134"/>
      <c r="HQ243" s="134"/>
      <c r="HR243" s="134"/>
      <c r="HS243" s="134"/>
      <c r="HT243" s="134"/>
      <c r="HU243" s="135"/>
      <c r="HV243" s="135"/>
      <c r="HW243" s="134"/>
      <c r="HX243" s="134"/>
      <c r="HY243" s="134"/>
      <c r="HZ243" s="134"/>
      <c r="IA243" s="134"/>
      <c r="IB243" s="134"/>
      <c r="IC243" s="134"/>
      <c r="ID243" s="134"/>
      <c r="IE243" s="135"/>
      <c r="IF243" s="135"/>
      <c r="IG243" s="134"/>
      <c r="IH243" s="134"/>
      <c r="II243" s="134"/>
      <c r="IJ243" s="134"/>
      <c r="IK243" s="134"/>
      <c r="IL243" s="134"/>
      <c r="IM243" s="134"/>
      <c r="IN243" s="134"/>
      <c r="IO243" s="135"/>
      <c r="IP243" s="135"/>
      <c r="IQ243" s="134"/>
      <c r="IR243" s="134"/>
      <c r="IS243" s="134"/>
      <c r="IT243" s="134"/>
      <c r="IU243" s="134"/>
      <c r="IV243" s="134"/>
      <c r="IW243" s="134"/>
      <c r="IX243" s="134"/>
      <c r="IY243" s="135"/>
      <c r="IZ243" s="135"/>
    </row>
    <row r="244" spans="1:260" customFormat="1" ht="17" customHeight="1">
      <c r="A244" s="79" t="s">
        <v>214</v>
      </c>
      <c r="B244" s="117">
        <v>159</v>
      </c>
      <c r="C244" s="117">
        <v>51</v>
      </c>
      <c r="D244" s="117"/>
      <c r="E244" s="123" t="s">
        <v>1982</v>
      </c>
      <c r="F244" s="124" t="s">
        <v>2206</v>
      </c>
      <c r="G244" s="125">
        <v>2013</v>
      </c>
      <c r="H244" s="79">
        <v>23877970</v>
      </c>
      <c r="I244" s="79">
        <v>1</v>
      </c>
      <c r="J244" s="126"/>
      <c r="K244" s="127"/>
      <c r="L244" s="79">
        <v>1</v>
      </c>
      <c r="M244" s="79"/>
      <c r="N244" s="79">
        <v>1</v>
      </c>
      <c r="O244" s="128">
        <v>1</v>
      </c>
      <c r="P244" s="79" t="s">
        <v>493</v>
      </c>
      <c r="Q244" s="79" t="s">
        <v>1147</v>
      </c>
      <c r="R244" s="79" t="s">
        <v>376</v>
      </c>
      <c r="S244" s="79">
        <v>1</v>
      </c>
      <c r="T244" s="79"/>
      <c r="U244" s="79"/>
      <c r="V244" s="79"/>
      <c r="W244" s="79" t="s">
        <v>606</v>
      </c>
      <c r="X244" s="79" t="s">
        <v>24</v>
      </c>
      <c r="Y244" s="79" t="s">
        <v>24</v>
      </c>
      <c r="Z244" s="79" t="s">
        <v>607</v>
      </c>
      <c r="AA244" s="79"/>
      <c r="AB244" s="79"/>
      <c r="AC244" s="506"/>
      <c r="AD244" s="573">
        <v>1</v>
      </c>
      <c r="AE244" s="573">
        <v>2</v>
      </c>
      <c r="AF244" s="165" t="s">
        <v>3003</v>
      </c>
      <c r="AG244" s="166" t="s">
        <v>5017</v>
      </c>
      <c r="AH244" s="120" t="s">
        <v>3099</v>
      </c>
      <c r="AI244" s="120"/>
      <c r="AJ244" s="206" t="s">
        <v>5013</v>
      </c>
      <c r="AK244" s="372"/>
      <c r="AL244" s="207" t="s">
        <v>24</v>
      </c>
      <c r="AM244" s="120" t="s">
        <v>5009</v>
      </c>
      <c r="AN244" s="120">
        <v>89</v>
      </c>
      <c r="AO244" s="120">
        <v>125</v>
      </c>
      <c r="AP244" s="120" t="s">
        <v>5010</v>
      </c>
      <c r="AQ244" s="120" t="s">
        <v>5010</v>
      </c>
      <c r="AR244" s="120" t="s">
        <v>5014</v>
      </c>
      <c r="AS244" s="120" t="s">
        <v>5015</v>
      </c>
      <c r="AT244" s="120" t="s">
        <v>5014</v>
      </c>
      <c r="AU244" s="120" t="s">
        <v>5015</v>
      </c>
      <c r="AV244" s="120" t="s">
        <v>1874</v>
      </c>
      <c r="AW244" s="120" t="s">
        <v>24</v>
      </c>
      <c r="AX244" s="120" t="s">
        <v>24</v>
      </c>
      <c r="AY244" s="120" t="s">
        <v>2423</v>
      </c>
      <c r="AZ244" s="120" t="s">
        <v>5008</v>
      </c>
      <c r="BA244" s="509" t="s">
        <v>5007</v>
      </c>
      <c r="BB244" s="509"/>
      <c r="BC244" s="509"/>
      <c r="BD244" s="511"/>
      <c r="BE244" s="511"/>
      <c r="BF244" s="511"/>
      <c r="BG244" s="511"/>
      <c r="BH244" s="511"/>
      <c r="BI244" s="511"/>
      <c r="BJ244" s="511">
        <v>1</v>
      </c>
      <c r="BK244" s="511"/>
      <c r="BL244" s="511"/>
      <c r="BM244" s="511"/>
      <c r="BN244" s="511"/>
      <c r="BO244" s="511"/>
      <c r="BP244" s="511"/>
      <c r="BQ244" s="510" t="s">
        <v>5016</v>
      </c>
      <c r="BR244" s="134"/>
      <c r="BS244" s="134"/>
      <c r="BT244" s="134" t="s">
        <v>5011</v>
      </c>
      <c r="BU244" s="134" t="s">
        <v>24</v>
      </c>
      <c r="BV244" s="134" t="s">
        <v>5012</v>
      </c>
      <c r="BW244" s="259"/>
      <c r="BX244" s="137"/>
      <c r="BY244" s="134"/>
      <c r="BZ244" s="168"/>
      <c r="CA244" s="134"/>
      <c r="CB244" s="138"/>
      <c r="CC244" s="134"/>
      <c r="CD244" s="134"/>
      <c r="CE244" s="134"/>
      <c r="CF244" s="288"/>
      <c r="CG244" s="289"/>
      <c r="CH244" s="134"/>
      <c r="CI244" s="134"/>
      <c r="CJ244" s="168"/>
      <c r="CK244" s="134"/>
      <c r="CL244" s="134"/>
      <c r="CM244" s="134"/>
      <c r="CN244" s="134"/>
      <c r="CO244" s="134"/>
      <c r="CP244" s="288"/>
      <c r="CQ244" s="289"/>
      <c r="CR244" s="276"/>
      <c r="CS244" s="308"/>
      <c r="CT244" s="168"/>
      <c r="CU244" s="134"/>
      <c r="CV244" s="168"/>
      <c r="CW244" s="134"/>
      <c r="CX244" s="168"/>
      <c r="CY244" s="134"/>
      <c r="CZ244" s="134"/>
      <c r="DA244" s="134"/>
      <c r="DB244" s="300"/>
      <c r="DC244" s="301"/>
      <c r="DD244" s="134"/>
      <c r="DE244" s="134"/>
      <c r="DF244" s="134"/>
      <c r="DG244" s="134"/>
      <c r="DH244" s="134"/>
      <c r="DI244" s="134"/>
      <c r="DJ244" s="134"/>
      <c r="DK244" s="134"/>
      <c r="DL244" s="300"/>
      <c r="DM244" s="301"/>
      <c r="DN244" s="276"/>
      <c r="DO244" s="277"/>
      <c r="DP244" s="134"/>
      <c r="DQ244" s="134"/>
      <c r="DR244" s="134"/>
      <c r="DS244" s="480"/>
      <c r="DT244" s="134"/>
      <c r="DU244" s="134"/>
      <c r="DV244" s="134"/>
      <c r="DW244" s="134"/>
      <c r="DX244" s="301"/>
      <c r="DY244" s="301"/>
      <c r="DZ244" s="134"/>
      <c r="EA244" s="134"/>
      <c r="EB244" s="134"/>
      <c r="EC244" s="480"/>
      <c r="ED244" s="134"/>
      <c r="EE244" s="134"/>
      <c r="EF244" s="134"/>
      <c r="EG244" s="134"/>
      <c r="EH244" s="301"/>
      <c r="EI244" s="301"/>
      <c r="EJ244" s="277"/>
      <c r="EK244" s="134"/>
      <c r="EL244" s="134"/>
      <c r="EM244" s="134"/>
      <c r="EN244" s="480"/>
      <c r="EO244" s="134"/>
      <c r="EP244" s="134"/>
      <c r="EQ244" s="134"/>
      <c r="ER244" s="134"/>
      <c r="ES244" s="301"/>
      <c r="ET244" s="301"/>
      <c r="EU244" s="134"/>
      <c r="EV244" s="134"/>
      <c r="EW244" s="134"/>
      <c r="EX244" s="480"/>
      <c r="EY244" s="134"/>
      <c r="EZ244" s="134"/>
      <c r="FA244" s="134"/>
      <c r="FB244" s="134"/>
      <c r="FC244" s="135"/>
      <c r="FD244" s="135"/>
      <c r="FE244" s="134"/>
      <c r="FF244" s="134"/>
      <c r="FG244" s="134"/>
      <c r="FH244" s="134"/>
      <c r="FI244" s="134"/>
      <c r="FJ244" s="134"/>
      <c r="FK244" s="134"/>
      <c r="FL244" s="134"/>
      <c r="FM244" s="135"/>
      <c r="FN244" s="135"/>
      <c r="FO244" s="134"/>
      <c r="FP244" s="134"/>
      <c r="FQ244" s="134"/>
      <c r="FR244" s="480"/>
      <c r="FS244" s="134"/>
      <c r="FT244" s="134"/>
      <c r="FU244" s="134"/>
      <c r="FV244" s="134"/>
      <c r="FW244" s="135"/>
      <c r="FX244" s="135"/>
      <c r="FY244" s="134"/>
      <c r="FZ244" s="134"/>
      <c r="GA244" s="134"/>
      <c r="GB244" s="134"/>
      <c r="GC244" s="134"/>
      <c r="GD244" s="134"/>
      <c r="GE244" s="134"/>
      <c r="GF244" s="134"/>
      <c r="GG244" s="135"/>
      <c r="GH244" s="135"/>
      <c r="GI244" s="134"/>
      <c r="GJ244" s="134"/>
      <c r="GK244" s="134"/>
      <c r="GL244" s="134"/>
      <c r="GM244" s="134"/>
      <c r="GN244" s="134"/>
      <c r="GO244" s="134"/>
      <c r="GP244" s="134"/>
      <c r="GQ244" s="135"/>
      <c r="GR244" s="135"/>
      <c r="GS244" s="134"/>
      <c r="GT244" s="134"/>
      <c r="GU244" s="134"/>
      <c r="GV244" s="134"/>
      <c r="GW244" s="134"/>
      <c r="GX244" s="134"/>
      <c r="GY244" s="134"/>
      <c r="GZ244" s="134"/>
      <c r="HA244" s="135"/>
      <c r="HB244" s="135"/>
      <c r="HC244" s="134"/>
      <c r="HD244" s="134"/>
      <c r="HE244" s="134"/>
      <c r="HF244" s="134"/>
      <c r="HG244" s="134"/>
      <c r="HH244" s="134"/>
      <c r="HI244" s="134"/>
      <c r="HJ244" s="134"/>
      <c r="HK244" s="135"/>
      <c r="HL244" s="135"/>
      <c r="HM244" s="134"/>
      <c r="HN244" s="134"/>
      <c r="HO244" s="134"/>
      <c r="HP244" s="134"/>
      <c r="HQ244" s="134"/>
      <c r="HR244" s="134"/>
      <c r="HS244" s="134"/>
      <c r="HT244" s="134"/>
      <c r="HU244" s="135"/>
      <c r="HV244" s="135"/>
      <c r="HW244" s="134"/>
      <c r="HX244" s="134"/>
      <c r="HY244" s="134"/>
      <c r="HZ244" s="134"/>
      <c r="IA244" s="134"/>
      <c r="IB244" s="134"/>
      <c r="IC244" s="134"/>
      <c r="ID244" s="134"/>
      <c r="IE244" s="135"/>
      <c r="IF244" s="135"/>
      <c r="IG244" s="134"/>
      <c r="IH244" s="134"/>
      <c r="II244" s="134"/>
      <c r="IJ244" s="134"/>
      <c r="IK244" s="134"/>
      <c r="IL244" s="134"/>
      <c r="IM244" s="134"/>
      <c r="IN244" s="134"/>
      <c r="IO244" s="135"/>
      <c r="IP244" s="135"/>
      <c r="IQ244" s="134"/>
      <c r="IR244" s="134"/>
      <c r="IS244" s="134"/>
      <c r="IT244" s="134"/>
      <c r="IU244" s="134"/>
      <c r="IV244" s="134"/>
      <c r="IW244" s="134"/>
      <c r="IX244" s="134"/>
      <c r="IY244" s="135"/>
      <c r="IZ244" s="135"/>
    </row>
    <row r="245" spans="1:260" customFormat="1" ht="17" customHeight="1">
      <c r="A245" s="79" t="s">
        <v>217</v>
      </c>
      <c r="B245" s="117">
        <v>162</v>
      </c>
      <c r="C245" s="117">
        <v>52</v>
      </c>
      <c r="D245" s="117"/>
      <c r="E245" s="123" t="s">
        <v>1984</v>
      </c>
      <c r="F245" s="124" t="s">
        <v>2209</v>
      </c>
      <c r="G245" s="125">
        <v>2016</v>
      </c>
      <c r="H245" s="79">
        <v>26691304</v>
      </c>
      <c r="I245" s="79">
        <v>1</v>
      </c>
      <c r="J245" s="126"/>
      <c r="K245" s="127"/>
      <c r="L245" s="79">
        <v>1</v>
      </c>
      <c r="M245" s="79"/>
      <c r="N245" s="79">
        <v>1</v>
      </c>
      <c r="O245" s="128">
        <v>1</v>
      </c>
      <c r="P245" s="79" t="s">
        <v>612</v>
      </c>
      <c r="Q245" s="79" t="s">
        <v>1147</v>
      </c>
      <c r="R245" s="79" t="s">
        <v>376</v>
      </c>
      <c r="S245" s="79">
        <v>1</v>
      </c>
      <c r="T245" s="79"/>
      <c r="U245" s="79"/>
      <c r="V245" s="79"/>
      <c r="W245" s="79" t="s">
        <v>613</v>
      </c>
      <c r="X245" s="79"/>
      <c r="Y245" s="79"/>
      <c r="Z245" s="79"/>
      <c r="AA245" s="79"/>
      <c r="AB245" s="79"/>
      <c r="AC245" s="506"/>
      <c r="AD245" s="573">
        <v>1</v>
      </c>
      <c r="AE245" s="573">
        <v>2</v>
      </c>
      <c r="AF245" s="233" t="s">
        <v>3003</v>
      </c>
      <c r="AG245" s="234" t="s">
        <v>5020</v>
      </c>
      <c r="AH245" s="121">
        <v>2</v>
      </c>
      <c r="AI245" s="484"/>
      <c r="AJ245" s="202" t="s">
        <v>5019</v>
      </c>
      <c r="AK245" s="192">
        <v>0</v>
      </c>
      <c r="AL245" s="203" t="s">
        <v>24</v>
      </c>
      <c r="AM245" s="121">
        <v>40</v>
      </c>
      <c r="AN245" s="134"/>
      <c r="AO245" s="121"/>
      <c r="AP245" s="121"/>
      <c r="AQ245" s="121"/>
      <c r="AR245" s="121"/>
      <c r="AS245" s="121"/>
      <c r="AT245" s="121"/>
      <c r="AU245" s="121"/>
      <c r="AV245" s="121" t="s">
        <v>1874</v>
      </c>
      <c r="AW245" s="121" t="s">
        <v>24</v>
      </c>
      <c r="AX245" s="121" t="s">
        <v>24</v>
      </c>
      <c r="AY245" s="121"/>
      <c r="AZ245" s="121" t="s">
        <v>5116</v>
      </c>
      <c r="BA245" s="121" t="s">
        <v>5018</v>
      </c>
      <c r="BB245" s="121"/>
      <c r="BC245" s="121"/>
      <c r="BD245" s="156"/>
      <c r="BE245" s="156"/>
      <c r="BF245" s="156"/>
      <c r="BG245" s="156"/>
      <c r="BH245" s="156"/>
      <c r="BI245" s="156"/>
      <c r="BJ245" s="156">
        <v>1</v>
      </c>
      <c r="BK245" s="156"/>
      <c r="BL245" s="156"/>
      <c r="BM245" s="156"/>
      <c r="BN245" s="156"/>
      <c r="BO245" s="156"/>
      <c r="BP245" s="156"/>
      <c r="BQ245" s="374"/>
      <c r="BR245" s="134"/>
      <c r="BS245" s="134"/>
      <c r="BT245" s="134"/>
      <c r="BU245" s="134"/>
      <c r="BV245" s="134"/>
      <c r="BW245" s="259"/>
      <c r="BX245" s="137"/>
      <c r="BY245" s="134"/>
      <c r="BZ245" s="168"/>
      <c r="CA245" s="134"/>
      <c r="CB245" s="138"/>
      <c r="CC245" s="134"/>
      <c r="CD245" s="134"/>
      <c r="CE245" s="134"/>
      <c r="CF245" s="288"/>
      <c r="CG245" s="289"/>
      <c r="CH245" s="134"/>
      <c r="CI245" s="134"/>
      <c r="CJ245" s="168"/>
      <c r="CK245" s="134"/>
      <c r="CL245" s="134"/>
      <c r="CM245" s="134"/>
      <c r="CN245" s="134"/>
      <c r="CO245" s="134"/>
      <c r="CP245" s="288"/>
      <c r="CQ245" s="289"/>
      <c r="CR245" s="276"/>
      <c r="CS245" s="308"/>
      <c r="CT245" s="137"/>
      <c r="CU245" s="134"/>
      <c r="CV245" s="168"/>
      <c r="CW245" s="134"/>
      <c r="CX245" s="168"/>
      <c r="CY245" s="134"/>
      <c r="CZ245" s="134"/>
      <c r="DA245" s="134"/>
      <c r="DB245" s="300"/>
      <c r="DC245" s="301"/>
      <c r="DD245" s="134"/>
      <c r="DE245" s="134"/>
      <c r="DF245" s="134"/>
      <c r="DG245" s="134"/>
      <c r="DH245" s="134"/>
      <c r="DI245" s="134"/>
      <c r="DJ245" s="134"/>
      <c r="DK245" s="134"/>
      <c r="DL245" s="300"/>
      <c r="DM245" s="301"/>
      <c r="DN245" s="276"/>
      <c r="DO245" s="277"/>
      <c r="DP245" s="134"/>
      <c r="DQ245" s="134"/>
      <c r="DR245" s="134"/>
      <c r="DS245" s="480"/>
      <c r="DT245" s="134"/>
      <c r="DU245" s="134"/>
      <c r="DV245" s="134"/>
      <c r="DW245" s="134"/>
      <c r="DX245" s="301"/>
      <c r="DY245" s="301"/>
      <c r="DZ245" s="138"/>
      <c r="EA245" s="134"/>
      <c r="EB245" s="134"/>
      <c r="EC245" s="134"/>
      <c r="ED245" s="138"/>
      <c r="EE245" s="134"/>
      <c r="EF245" s="134"/>
      <c r="EG245" s="134"/>
      <c r="EH245" s="301"/>
      <c r="EI245" s="301"/>
      <c r="EJ245" s="277"/>
      <c r="EK245" s="134"/>
      <c r="EL245" s="134"/>
      <c r="EM245" s="134"/>
      <c r="EN245" s="134"/>
      <c r="EO245" s="134"/>
      <c r="EP245" s="134"/>
      <c r="EQ245" s="134"/>
      <c r="ER245" s="134"/>
      <c r="ES245" s="301"/>
      <c r="ET245" s="301"/>
      <c r="EU245" s="134"/>
      <c r="EV245" s="134"/>
      <c r="EW245" s="134"/>
      <c r="EX245" s="134"/>
      <c r="EY245" s="134"/>
      <c r="EZ245" s="134"/>
      <c r="FA245" s="134"/>
      <c r="FB245" s="134"/>
      <c r="FC245" s="135"/>
      <c r="FD245" s="135"/>
      <c r="FE245" s="134"/>
      <c r="FF245" s="134"/>
      <c r="FG245" s="134"/>
      <c r="FH245" s="134"/>
      <c r="FI245" s="134"/>
      <c r="FJ245" s="134"/>
      <c r="FK245" s="134"/>
      <c r="FL245" s="134"/>
      <c r="FM245" s="135"/>
      <c r="FN245" s="135"/>
      <c r="FO245" s="134"/>
      <c r="FP245" s="134"/>
      <c r="FQ245" s="134"/>
      <c r="FR245" s="134"/>
      <c r="FS245" s="134"/>
      <c r="FT245" s="134"/>
      <c r="FU245" s="134"/>
      <c r="FV245" s="134"/>
      <c r="FW245" s="135"/>
      <c r="FX245" s="135"/>
      <c r="FY245" s="134"/>
      <c r="FZ245" s="134"/>
      <c r="GA245" s="134"/>
      <c r="GB245" s="134"/>
      <c r="GC245" s="134"/>
      <c r="GD245" s="134"/>
      <c r="GE245" s="134"/>
      <c r="GF245" s="134"/>
      <c r="GG245" s="135"/>
      <c r="GH245" s="135"/>
      <c r="GI245" s="134"/>
      <c r="GJ245" s="134"/>
      <c r="GK245" s="134"/>
      <c r="GL245" s="134"/>
      <c r="GM245" s="134"/>
      <c r="GN245" s="134"/>
      <c r="GO245" s="134"/>
      <c r="GP245" s="134"/>
      <c r="GQ245" s="135"/>
      <c r="GR245" s="135"/>
      <c r="GS245" s="134"/>
      <c r="GT245" s="134"/>
      <c r="GU245" s="134"/>
      <c r="GV245" s="134"/>
      <c r="GW245" s="134"/>
      <c r="GX245" s="134"/>
      <c r="GY245" s="134"/>
      <c r="GZ245" s="134"/>
      <c r="HA245" s="135"/>
      <c r="HB245" s="135"/>
      <c r="HC245" s="134"/>
      <c r="HD245" s="134"/>
      <c r="HE245" s="134"/>
      <c r="HF245" s="134"/>
      <c r="HG245" s="134"/>
      <c r="HH245" s="134"/>
      <c r="HI245" s="134"/>
      <c r="HJ245" s="134"/>
      <c r="HK245" s="135"/>
      <c r="HL245" s="135"/>
      <c r="HM245" s="134"/>
      <c r="HN245" s="134"/>
      <c r="HO245" s="134"/>
      <c r="HP245" s="134"/>
      <c r="HQ245" s="134"/>
      <c r="HR245" s="134"/>
      <c r="HS245" s="134"/>
      <c r="HT245" s="134"/>
      <c r="HU245" s="135"/>
      <c r="HV245" s="135"/>
      <c r="HW245" s="134"/>
      <c r="HX245" s="134"/>
      <c r="HY245" s="134"/>
      <c r="HZ245" s="134"/>
      <c r="IA245" s="134"/>
      <c r="IB245" s="134"/>
      <c r="IC245" s="134"/>
      <c r="ID245" s="134"/>
      <c r="IE245" s="135"/>
      <c r="IF245" s="135"/>
      <c r="IG245" s="134"/>
      <c r="IH245" s="134"/>
      <c r="II245" s="134"/>
      <c r="IJ245" s="134"/>
      <c r="IK245" s="134"/>
      <c r="IL245" s="134"/>
      <c r="IM245" s="134"/>
      <c r="IN245" s="134"/>
      <c r="IO245" s="135"/>
      <c r="IP245" s="135"/>
      <c r="IQ245" s="134"/>
      <c r="IR245" s="134"/>
      <c r="IS245" s="134"/>
      <c r="IT245" s="134"/>
      <c r="IU245" s="134"/>
      <c r="IV245" s="134"/>
      <c r="IW245" s="134"/>
      <c r="IX245" s="134"/>
      <c r="IY245" s="135"/>
      <c r="IZ245" s="135"/>
    </row>
    <row r="246" spans="1:260" customFormat="1" ht="17" customHeight="1">
      <c r="A246" s="79" t="s">
        <v>218</v>
      </c>
      <c r="B246" s="363">
        <v>26</v>
      </c>
      <c r="C246" s="363"/>
      <c r="D246" s="363"/>
      <c r="E246" s="123" t="s">
        <v>1985</v>
      </c>
      <c r="F246" s="124" t="s">
        <v>2210</v>
      </c>
      <c r="G246" s="125">
        <v>2014</v>
      </c>
      <c r="H246" s="79">
        <v>24625622</v>
      </c>
      <c r="I246" s="79">
        <v>1</v>
      </c>
      <c r="J246" s="126"/>
      <c r="K246" s="127"/>
      <c r="L246" s="79">
        <v>1</v>
      </c>
      <c r="M246" s="79"/>
      <c r="N246" s="79">
        <v>1</v>
      </c>
      <c r="O246" s="128">
        <v>1</v>
      </c>
      <c r="P246" s="79" t="s">
        <v>614</v>
      </c>
      <c r="Q246" s="79" t="s">
        <v>1142</v>
      </c>
      <c r="R246" s="79" t="s">
        <v>615</v>
      </c>
      <c r="S246" s="79">
        <v>1</v>
      </c>
      <c r="T246" s="79"/>
      <c r="U246" s="79"/>
      <c r="V246" s="79"/>
      <c r="W246" s="79" t="s">
        <v>11</v>
      </c>
      <c r="X246" s="79"/>
      <c r="Y246" s="79" t="s">
        <v>13</v>
      </c>
      <c r="Z246" s="79"/>
      <c r="AA246" s="79"/>
      <c r="AB246" s="79"/>
      <c r="AC246" s="506"/>
      <c r="AD246" s="573">
        <v>1</v>
      </c>
      <c r="AE246" s="573">
        <v>2</v>
      </c>
      <c r="AF246" s="154">
        <v>1</v>
      </c>
      <c r="AG246" s="155"/>
      <c r="AH246" s="121" t="s">
        <v>3099</v>
      </c>
      <c r="AI246" s="484"/>
      <c r="AJ246" s="202"/>
      <c r="AK246" s="192">
        <v>0</v>
      </c>
      <c r="AL246" s="203" t="s">
        <v>24</v>
      </c>
      <c r="AM246" s="121">
        <f>Table665[[#This Row],[Subjects_n_ptsd]]+Table665[[#This Row],[Subjects_n_control]]</f>
        <v>50</v>
      </c>
      <c r="AN246" s="121">
        <v>25</v>
      </c>
      <c r="AO246" s="121">
        <v>25</v>
      </c>
      <c r="AP246" s="121" t="s">
        <v>3101</v>
      </c>
      <c r="AQ246" s="121" t="s">
        <v>3102</v>
      </c>
      <c r="AR246" s="121">
        <v>37.299999999999997</v>
      </c>
      <c r="AS246" s="121" t="s">
        <v>3103</v>
      </c>
      <c r="AT246" s="121">
        <v>37.6</v>
      </c>
      <c r="AU246" s="121" t="s">
        <v>3104</v>
      </c>
      <c r="AV246" s="121" t="s">
        <v>1874</v>
      </c>
      <c r="AW246" s="121" t="s">
        <v>24</v>
      </c>
      <c r="AX246" s="121" t="s">
        <v>24</v>
      </c>
      <c r="AY246" s="121" t="s">
        <v>2423</v>
      </c>
      <c r="AZ246" s="121" t="s">
        <v>2605</v>
      </c>
      <c r="BA246" s="121" t="s">
        <v>1875</v>
      </c>
      <c r="BB246" s="121"/>
      <c r="BC246" s="121"/>
      <c r="BD246" s="156">
        <v>1</v>
      </c>
      <c r="BE246" s="156"/>
      <c r="BF246" s="156"/>
      <c r="BG246" s="156"/>
      <c r="BH246" s="156"/>
      <c r="BI246" s="156"/>
      <c r="BJ246" s="156"/>
      <c r="BK246" s="156"/>
      <c r="BL246" s="156"/>
      <c r="BM246" s="156"/>
      <c r="BN246" s="156"/>
      <c r="BO246" s="156"/>
      <c r="BP246" s="156"/>
      <c r="BQ246" s="157" t="s">
        <v>3107</v>
      </c>
      <c r="BR246" s="134" t="s">
        <v>1876</v>
      </c>
      <c r="BS246" s="134" t="s">
        <v>3105</v>
      </c>
      <c r="BT246" s="134" t="s">
        <v>3106</v>
      </c>
      <c r="BU246" s="134" t="s">
        <v>2470</v>
      </c>
      <c r="BV246" s="134" t="s">
        <v>2400</v>
      </c>
      <c r="BW246" s="259" t="s">
        <v>3122</v>
      </c>
      <c r="BX246" s="138" t="s">
        <v>3108</v>
      </c>
      <c r="BY246" s="134">
        <v>58.22</v>
      </c>
      <c r="BZ246" s="134" t="s">
        <v>24</v>
      </c>
      <c r="CA246" s="134">
        <v>3.86</v>
      </c>
      <c r="CB246" s="138" t="s">
        <v>3109</v>
      </c>
      <c r="CC246" s="134">
        <v>38.67</v>
      </c>
      <c r="CD246" s="134"/>
      <c r="CE246" s="134">
        <v>4.1100000000000003</v>
      </c>
      <c r="CF246" s="288" t="s">
        <v>3113</v>
      </c>
      <c r="CG246" s="289" t="s">
        <v>3060</v>
      </c>
      <c r="CH246" s="138" t="s">
        <v>3112</v>
      </c>
      <c r="CI246" s="134">
        <v>46.22</v>
      </c>
      <c r="CJ246" s="134" t="s">
        <v>24</v>
      </c>
      <c r="CK246" s="134" t="s">
        <v>3114</v>
      </c>
      <c r="CL246" s="138" t="s">
        <v>3111</v>
      </c>
      <c r="CM246" s="134">
        <v>37.78</v>
      </c>
      <c r="CN246" s="134" t="s">
        <v>24</v>
      </c>
      <c r="CO246" s="134">
        <v>5.52</v>
      </c>
      <c r="CP246" s="288" t="s">
        <v>3115</v>
      </c>
      <c r="CQ246" s="289" t="s">
        <v>2480</v>
      </c>
      <c r="CR246" s="276"/>
      <c r="CS246" s="308"/>
      <c r="CT246" s="138" t="s">
        <v>3110</v>
      </c>
      <c r="CU246" s="134">
        <v>53.33</v>
      </c>
      <c r="CV246" s="134" t="s">
        <v>24</v>
      </c>
      <c r="CW246" s="134">
        <v>3.14</v>
      </c>
      <c r="CX246" s="138" t="s">
        <v>3116</v>
      </c>
      <c r="CY246" s="134">
        <v>44</v>
      </c>
      <c r="CZ246" s="134" t="s">
        <v>24</v>
      </c>
      <c r="DA246" s="134">
        <v>4.78</v>
      </c>
      <c r="DB246" s="300" t="s">
        <v>3119</v>
      </c>
      <c r="DC246" s="301" t="s">
        <v>3120</v>
      </c>
      <c r="DD246" s="138" t="s">
        <v>3117</v>
      </c>
      <c r="DE246" s="134">
        <v>49.33</v>
      </c>
      <c r="DF246" s="134" t="s">
        <v>24</v>
      </c>
      <c r="DG246" s="134">
        <v>5.63</v>
      </c>
      <c r="DH246" s="138" t="s">
        <v>3118</v>
      </c>
      <c r="DI246" s="134">
        <v>33.33</v>
      </c>
      <c r="DJ246" s="134" t="s">
        <v>24</v>
      </c>
      <c r="DK246" s="134">
        <v>3.95</v>
      </c>
      <c r="DL246" s="300" t="s">
        <v>3121</v>
      </c>
      <c r="DM246" s="301" t="s">
        <v>2415</v>
      </c>
      <c r="DN246" s="276"/>
      <c r="DO246" s="277"/>
      <c r="DP246" s="134"/>
      <c r="DQ246" s="134"/>
      <c r="DR246" s="134"/>
      <c r="DS246" s="134"/>
      <c r="DT246" s="138"/>
      <c r="DU246" s="134"/>
      <c r="DV246" s="134"/>
      <c r="DW246" s="134"/>
      <c r="DX246" s="301"/>
      <c r="DY246" s="301"/>
      <c r="DZ246" s="138"/>
      <c r="EA246" s="134"/>
      <c r="EB246" s="134"/>
      <c r="EC246" s="134"/>
      <c r="ED246" s="138"/>
      <c r="EE246" s="134"/>
      <c r="EF246" s="134"/>
      <c r="EG246" s="134"/>
      <c r="EH246" s="301"/>
      <c r="EI246" s="301"/>
      <c r="EJ246" s="277"/>
      <c r="EK246" s="134"/>
      <c r="EL246" s="134"/>
      <c r="EM246" s="134"/>
      <c r="EN246" s="134"/>
      <c r="EO246" s="134"/>
      <c r="EP246" s="134"/>
      <c r="EQ246" s="134"/>
      <c r="ER246" s="134"/>
      <c r="ES246" s="301"/>
      <c r="ET246" s="301"/>
      <c r="EU246" s="134"/>
      <c r="EV246" s="134"/>
      <c r="EW246" s="134"/>
      <c r="EX246" s="134"/>
      <c r="EY246" s="134"/>
      <c r="EZ246" s="134"/>
      <c r="FA246" s="134"/>
      <c r="FB246" s="134"/>
      <c r="FC246" s="135"/>
      <c r="FD246" s="135"/>
      <c r="FE246" s="134"/>
      <c r="FF246" s="134"/>
      <c r="FG246" s="134"/>
      <c r="FH246" s="134"/>
      <c r="FI246" s="134"/>
      <c r="FJ246" s="134"/>
      <c r="FK246" s="134"/>
      <c r="FL246" s="134"/>
      <c r="FM246" s="135"/>
      <c r="FN246" s="135"/>
      <c r="FO246" s="134"/>
      <c r="FP246" s="134"/>
      <c r="FQ246" s="134"/>
      <c r="FR246" s="134"/>
      <c r="FS246" s="134"/>
      <c r="FT246" s="134"/>
      <c r="FU246" s="134"/>
      <c r="FV246" s="134"/>
      <c r="FW246" s="135"/>
      <c r="FX246" s="135"/>
      <c r="FY246" s="134"/>
      <c r="FZ246" s="134"/>
      <c r="GA246" s="134"/>
      <c r="GB246" s="134"/>
      <c r="GC246" s="134"/>
      <c r="GD246" s="134"/>
      <c r="GE246" s="134"/>
      <c r="GF246" s="134"/>
      <c r="GG246" s="135"/>
      <c r="GH246" s="135"/>
      <c r="GI246" s="134"/>
      <c r="GJ246" s="134"/>
      <c r="GK246" s="134"/>
      <c r="GL246" s="134"/>
      <c r="GM246" s="134"/>
      <c r="GN246" s="134"/>
      <c r="GO246" s="134"/>
      <c r="GP246" s="134"/>
      <c r="GQ246" s="135"/>
      <c r="GR246" s="135"/>
      <c r="GS246" s="134"/>
      <c r="GT246" s="134"/>
      <c r="GU246" s="134"/>
      <c r="GV246" s="134"/>
      <c r="GW246" s="134"/>
      <c r="GX246" s="134"/>
      <c r="GY246" s="134"/>
      <c r="GZ246" s="134"/>
      <c r="HA246" s="135"/>
      <c r="HB246" s="135"/>
      <c r="HC246" s="134"/>
      <c r="HD246" s="134"/>
      <c r="HE246" s="134"/>
      <c r="HF246" s="134"/>
      <c r="HG246" s="134"/>
      <c r="HH246" s="134"/>
      <c r="HI246" s="134"/>
      <c r="HJ246" s="134"/>
      <c r="HK246" s="135"/>
      <c r="HL246" s="135"/>
      <c r="HM246" s="134"/>
      <c r="HN246" s="134"/>
      <c r="HO246" s="134"/>
      <c r="HP246" s="134"/>
      <c r="HQ246" s="134"/>
      <c r="HR246" s="134"/>
      <c r="HS246" s="134"/>
      <c r="HT246" s="134"/>
      <c r="HU246" s="135"/>
      <c r="HV246" s="135"/>
      <c r="HW246" s="134"/>
      <c r="HX246" s="134"/>
      <c r="HY246" s="134"/>
      <c r="HZ246" s="134"/>
      <c r="IA246" s="134"/>
      <c r="IB246" s="134"/>
      <c r="IC246" s="134"/>
      <c r="ID246" s="134"/>
      <c r="IE246" s="135"/>
      <c r="IF246" s="135"/>
      <c r="IG246" s="134"/>
      <c r="IH246" s="134"/>
      <c r="II246" s="134"/>
      <c r="IJ246" s="134"/>
      <c r="IK246" s="134"/>
      <c r="IL246" s="134"/>
      <c r="IM246" s="134"/>
      <c r="IN246" s="134"/>
      <c r="IO246" s="135"/>
      <c r="IP246" s="135"/>
      <c r="IQ246" s="134"/>
      <c r="IR246" s="134"/>
      <c r="IS246" s="134"/>
      <c r="IT246" s="134"/>
      <c r="IU246" s="134"/>
      <c r="IV246" s="134"/>
      <c r="IW246" s="134"/>
      <c r="IX246" s="134"/>
      <c r="IY246" s="135"/>
      <c r="IZ246" s="135"/>
    </row>
    <row r="247" spans="1:260" customFormat="1" ht="17" customHeight="1">
      <c r="A247" s="79" t="s">
        <v>221</v>
      </c>
      <c r="B247" s="117">
        <v>163</v>
      </c>
      <c r="C247" s="117">
        <v>53</v>
      </c>
      <c r="D247" s="117"/>
      <c r="E247" s="123" t="s">
        <v>1986</v>
      </c>
      <c r="F247" s="124" t="s">
        <v>2211</v>
      </c>
      <c r="G247" s="125">
        <v>1990</v>
      </c>
      <c r="H247" s="79">
        <v>2266215</v>
      </c>
      <c r="I247" s="79">
        <v>1</v>
      </c>
      <c r="J247" s="126"/>
      <c r="K247" s="127"/>
      <c r="L247" s="79">
        <v>1</v>
      </c>
      <c r="M247" s="79"/>
      <c r="N247" s="79">
        <v>1</v>
      </c>
      <c r="O247" s="128">
        <v>1</v>
      </c>
      <c r="P247" s="79" t="s">
        <v>620</v>
      </c>
      <c r="Q247" s="79" t="s">
        <v>1163</v>
      </c>
      <c r="R247" s="79" t="s">
        <v>591</v>
      </c>
      <c r="S247" s="79">
        <v>1</v>
      </c>
      <c r="T247" s="79"/>
      <c r="U247" s="79"/>
      <c r="V247" s="79"/>
      <c r="W247" s="79" t="s">
        <v>619</v>
      </c>
      <c r="X247" s="79"/>
      <c r="Y247" s="79"/>
      <c r="Z247" s="79"/>
      <c r="AA247" s="79"/>
      <c r="AB247" s="79"/>
      <c r="AC247" s="506"/>
      <c r="AD247" s="573">
        <v>1</v>
      </c>
      <c r="AE247" s="573">
        <v>2</v>
      </c>
      <c r="AF247" s="154" t="s">
        <v>3840</v>
      </c>
      <c r="AG247" s="155" t="s">
        <v>5026</v>
      </c>
      <c r="AH247" s="121">
        <v>2</v>
      </c>
      <c r="AI247" s="484"/>
      <c r="AJ247" s="202" t="s">
        <v>5025</v>
      </c>
      <c r="AK247" s="192">
        <v>0</v>
      </c>
      <c r="AL247" s="203"/>
      <c r="AM247" s="121">
        <v>30</v>
      </c>
      <c r="AN247" s="121">
        <v>15</v>
      </c>
      <c r="AO247" s="121">
        <v>15</v>
      </c>
      <c r="AP247" s="121" t="s">
        <v>803</v>
      </c>
      <c r="AQ247" s="121" t="s">
        <v>803</v>
      </c>
      <c r="AR247" s="121">
        <v>40.07</v>
      </c>
      <c r="AS247" s="121">
        <v>1.83</v>
      </c>
      <c r="AT247" s="121">
        <v>43.4</v>
      </c>
      <c r="AU247" s="121">
        <v>3.74</v>
      </c>
      <c r="AV247" s="121" t="s">
        <v>3994</v>
      </c>
      <c r="AW247" s="121" t="s">
        <v>24</v>
      </c>
      <c r="AX247" s="121" t="s">
        <v>24</v>
      </c>
      <c r="AY247" s="121" t="s">
        <v>5021</v>
      </c>
      <c r="AZ247" s="121" t="s">
        <v>5116</v>
      </c>
      <c r="BA247" s="121" t="s">
        <v>5028</v>
      </c>
      <c r="BB247" s="121"/>
      <c r="BC247" s="121"/>
      <c r="BD247" s="156"/>
      <c r="BE247" s="156"/>
      <c r="BF247" s="156" t="s">
        <v>4727</v>
      </c>
      <c r="BG247" s="156">
        <v>1</v>
      </c>
      <c r="BH247" s="156"/>
      <c r="BI247" s="156"/>
      <c r="BJ247" s="156"/>
      <c r="BK247" s="156"/>
      <c r="BL247" s="156" t="s">
        <v>4727</v>
      </c>
      <c r="BM247" s="156"/>
      <c r="BN247" s="156"/>
      <c r="BO247" s="156"/>
      <c r="BP247" s="156"/>
      <c r="BQ247" s="157" t="s">
        <v>5024</v>
      </c>
      <c r="BR247" s="134"/>
      <c r="BS247" s="134"/>
      <c r="BT247" s="134" t="s">
        <v>5022</v>
      </c>
      <c r="BU247" s="134" t="s">
        <v>24</v>
      </c>
      <c r="BV247" s="134" t="s">
        <v>5023</v>
      </c>
      <c r="BW247" s="259" t="s">
        <v>5027</v>
      </c>
      <c r="BX247" s="137"/>
      <c r="BY247" s="134"/>
      <c r="BZ247" s="168"/>
      <c r="CA247" s="134"/>
      <c r="CB247" s="138"/>
      <c r="CC247" s="134"/>
      <c r="CD247" s="134"/>
      <c r="CE247" s="134"/>
      <c r="CF247" s="288"/>
      <c r="CG247" s="289"/>
      <c r="CH247" s="134"/>
      <c r="CI247" s="134"/>
      <c r="CJ247" s="168"/>
      <c r="CK247" s="134"/>
      <c r="CL247" s="134"/>
      <c r="CM247" s="134"/>
      <c r="CN247" s="134"/>
      <c r="CO247" s="134"/>
      <c r="CP247" s="288"/>
      <c r="CQ247" s="289"/>
      <c r="CR247" s="276"/>
      <c r="CS247" s="308"/>
      <c r="CT247" s="137"/>
      <c r="CU247" s="134"/>
      <c r="CV247" s="168"/>
      <c r="CW247" s="134"/>
      <c r="CX247" s="168"/>
      <c r="CY247" s="134"/>
      <c r="CZ247" s="134"/>
      <c r="DA247" s="134"/>
      <c r="DB247" s="300"/>
      <c r="DC247" s="301"/>
      <c r="DD247" s="134"/>
      <c r="DE247" s="134"/>
      <c r="DF247" s="134"/>
      <c r="DG247" s="134"/>
      <c r="DH247" s="134"/>
      <c r="DI247" s="134"/>
      <c r="DJ247" s="134"/>
      <c r="DK247" s="134"/>
      <c r="DL247" s="300"/>
      <c r="DM247" s="301"/>
      <c r="DN247" s="276"/>
      <c r="DO247" s="277"/>
      <c r="DP247" s="134"/>
      <c r="DQ247" s="134"/>
      <c r="DR247" s="134"/>
      <c r="DS247" s="134"/>
      <c r="DT247" s="138"/>
      <c r="DU247" s="134"/>
      <c r="DV247" s="134"/>
      <c r="DW247" s="134"/>
      <c r="DX247" s="301"/>
      <c r="DY247" s="301"/>
      <c r="DZ247" s="138"/>
      <c r="EA247" s="134"/>
      <c r="EB247" s="134"/>
      <c r="EC247" s="134"/>
      <c r="ED247" s="138"/>
      <c r="EE247" s="134"/>
      <c r="EF247" s="134"/>
      <c r="EG247" s="134"/>
      <c r="EH247" s="301"/>
      <c r="EI247" s="301"/>
      <c r="EJ247" s="277"/>
      <c r="EK247" s="134"/>
      <c r="EL247" s="134"/>
      <c r="EM247" s="134"/>
      <c r="EN247" s="134"/>
      <c r="EO247" s="134"/>
      <c r="EP247" s="134"/>
      <c r="EQ247" s="134"/>
      <c r="ER247" s="134"/>
      <c r="ES247" s="301"/>
      <c r="ET247" s="301"/>
      <c r="EU247" s="134"/>
      <c r="EV247" s="134"/>
      <c r="EW247" s="134"/>
      <c r="EX247" s="134"/>
      <c r="EY247" s="134"/>
      <c r="EZ247" s="134"/>
      <c r="FA247" s="134"/>
      <c r="FB247" s="134"/>
      <c r="FC247" s="135"/>
      <c r="FD247" s="135"/>
      <c r="FE247" s="134"/>
      <c r="FF247" s="134"/>
      <c r="FG247" s="134"/>
      <c r="FH247" s="134"/>
      <c r="FI247" s="134"/>
      <c r="FJ247" s="134"/>
      <c r="FK247" s="134"/>
      <c r="FL247" s="134"/>
      <c r="FM247" s="135"/>
      <c r="FN247" s="135"/>
      <c r="FO247" s="134"/>
      <c r="FP247" s="134"/>
      <c r="FQ247" s="134"/>
      <c r="FR247" s="134"/>
      <c r="FS247" s="134"/>
      <c r="FT247" s="134"/>
      <c r="FU247" s="134"/>
      <c r="FV247" s="134"/>
      <c r="FW247" s="135"/>
      <c r="FX247" s="135"/>
      <c r="FY247" s="134"/>
      <c r="FZ247" s="134"/>
      <c r="GA247" s="134"/>
      <c r="GB247" s="134"/>
      <c r="GC247" s="134"/>
      <c r="GD247" s="134"/>
      <c r="GE247" s="134"/>
      <c r="GF247" s="134"/>
      <c r="GG247" s="135"/>
      <c r="GH247" s="135"/>
      <c r="GI247" s="134"/>
      <c r="GJ247" s="134"/>
      <c r="GK247" s="134"/>
      <c r="GL247" s="134"/>
      <c r="GM247" s="134"/>
      <c r="GN247" s="134"/>
      <c r="GO247" s="134"/>
      <c r="GP247" s="134"/>
      <c r="GQ247" s="135"/>
      <c r="GR247" s="135"/>
      <c r="GS247" s="134"/>
      <c r="GT247" s="134"/>
      <c r="GU247" s="134"/>
      <c r="GV247" s="134"/>
      <c r="GW247" s="134"/>
      <c r="GX247" s="134"/>
      <c r="GY247" s="134"/>
      <c r="GZ247" s="134"/>
      <c r="HA247" s="135"/>
      <c r="HB247" s="135"/>
      <c r="HC247" s="134"/>
      <c r="HD247" s="134"/>
      <c r="HE247" s="134"/>
      <c r="HF247" s="134"/>
      <c r="HG247" s="134"/>
      <c r="HH247" s="134"/>
      <c r="HI247" s="134"/>
      <c r="HJ247" s="134"/>
      <c r="HK247" s="135"/>
      <c r="HL247" s="135"/>
      <c r="HM247" s="134"/>
      <c r="HN247" s="134"/>
      <c r="HO247" s="134"/>
      <c r="HP247" s="134"/>
      <c r="HQ247" s="134"/>
      <c r="HR247" s="134"/>
      <c r="HS247" s="134"/>
      <c r="HT247" s="134"/>
      <c r="HU247" s="135"/>
      <c r="HV247" s="135"/>
      <c r="HW247" s="134"/>
      <c r="HX247" s="134"/>
      <c r="HY247" s="134"/>
      <c r="HZ247" s="134"/>
      <c r="IA247" s="134"/>
      <c r="IB247" s="134"/>
      <c r="IC247" s="134"/>
      <c r="ID247" s="134"/>
      <c r="IE247" s="135"/>
      <c r="IF247" s="135"/>
      <c r="IG247" s="134"/>
      <c r="IH247" s="134"/>
      <c r="II247" s="134"/>
      <c r="IJ247" s="134"/>
      <c r="IK247" s="134"/>
      <c r="IL247" s="134"/>
      <c r="IM247" s="134"/>
      <c r="IN247" s="134"/>
      <c r="IO247" s="135"/>
      <c r="IP247" s="135"/>
      <c r="IQ247" s="134"/>
      <c r="IR247" s="134"/>
      <c r="IS247" s="134"/>
      <c r="IT247" s="134"/>
      <c r="IU247" s="134"/>
      <c r="IV247" s="134"/>
      <c r="IW247" s="134"/>
      <c r="IX247" s="134"/>
      <c r="IY247" s="135"/>
      <c r="IZ247" s="135"/>
    </row>
    <row r="248" spans="1:260" customFormat="1" ht="17" customHeight="1">
      <c r="A248" s="79" t="s">
        <v>222</v>
      </c>
      <c r="B248" s="117">
        <v>164</v>
      </c>
      <c r="C248" s="117">
        <v>54</v>
      </c>
      <c r="D248" s="117"/>
      <c r="E248" s="123" t="s">
        <v>1986</v>
      </c>
      <c r="F248" s="124" t="s">
        <v>2212</v>
      </c>
      <c r="G248" s="125">
        <v>1995</v>
      </c>
      <c r="H248" s="79">
        <v>7654154</v>
      </c>
      <c r="I248" s="79">
        <v>1</v>
      </c>
      <c r="J248" s="126"/>
      <c r="K248" s="127"/>
      <c r="L248" s="79">
        <v>1</v>
      </c>
      <c r="M248" s="79"/>
      <c r="N248" s="79">
        <v>1</v>
      </c>
      <c r="O248" s="128">
        <v>1</v>
      </c>
      <c r="P248" s="79" t="s">
        <v>621</v>
      </c>
      <c r="Q248" s="79" t="s">
        <v>1147</v>
      </c>
      <c r="R248" s="79" t="s">
        <v>25</v>
      </c>
      <c r="S248" s="79">
        <v>1</v>
      </c>
      <c r="T248" s="79"/>
      <c r="U248" s="79"/>
      <c r="V248" s="79"/>
      <c r="W248" s="79"/>
      <c r="X248" s="79"/>
      <c r="Y248" s="79"/>
      <c r="Z248" s="79"/>
      <c r="AA248" s="79"/>
      <c r="AB248" s="79"/>
      <c r="AC248" s="506"/>
      <c r="AD248" s="573">
        <v>1</v>
      </c>
      <c r="AE248" s="573">
        <v>2</v>
      </c>
      <c r="AF248" s="154">
        <v>1</v>
      </c>
      <c r="AG248" s="155" t="s">
        <v>5060</v>
      </c>
      <c r="AH248" s="121">
        <v>2</v>
      </c>
      <c r="AI248" s="484" t="s">
        <v>5052</v>
      </c>
      <c r="AJ248" s="202"/>
      <c r="AK248" s="192">
        <v>0</v>
      </c>
      <c r="AL248" s="203" t="s">
        <v>24</v>
      </c>
      <c r="AM248" s="121">
        <f>Table665[[#This Row],[Subjects_n_ptsd]]+Table665[[#This Row],[Subjects_n_control]]</f>
        <v>32</v>
      </c>
      <c r="AN248" s="121">
        <v>19</v>
      </c>
      <c r="AO248" s="121">
        <v>13</v>
      </c>
      <c r="AP248" s="121" t="s">
        <v>803</v>
      </c>
      <c r="AQ248" s="121" t="s">
        <v>803</v>
      </c>
      <c r="AR248" s="121">
        <v>46</v>
      </c>
      <c r="AS248" s="121">
        <v>2.2999999999999998</v>
      </c>
      <c r="AT248" s="121">
        <v>49</v>
      </c>
      <c r="AU248" s="121">
        <v>3.4</v>
      </c>
      <c r="AV248" s="121" t="s">
        <v>3994</v>
      </c>
      <c r="AW248" s="121" t="s">
        <v>24</v>
      </c>
      <c r="AX248" s="121" t="s">
        <v>24</v>
      </c>
      <c r="AY248" s="121" t="s">
        <v>5029</v>
      </c>
      <c r="AZ248" s="121" t="s">
        <v>5116</v>
      </c>
      <c r="BA248" s="121" t="s">
        <v>5030</v>
      </c>
      <c r="BB248" s="121"/>
      <c r="BC248" s="121"/>
      <c r="BD248" s="156"/>
      <c r="BE248" s="156"/>
      <c r="BF248" s="156"/>
      <c r="BG248" s="156"/>
      <c r="BH248" s="156"/>
      <c r="BI248" s="156"/>
      <c r="BJ248" s="156">
        <v>1</v>
      </c>
      <c r="BK248" s="156"/>
      <c r="BL248" s="156"/>
      <c r="BM248" s="156"/>
      <c r="BN248" s="156"/>
      <c r="BO248" s="156"/>
      <c r="BP248" s="156"/>
      <c r="BQ248" s="157" t="s">
        <v>5046</v>
      </c>
      <c r="BR248" s="134" t="s">
        <v>1876</v>
      </c>
      <c r="BS248" s="134" t="s">
        <v>5059</v>
      </c>
      <c r="BT248" s="134" t="s">
        <v>5031</v>
      </c>
      <c r="BU248" s="134" t="s">
        <v>24</v>
      </c>
      <c r="BV248" s="134" t="s">
        <v>5032</v>
      </c>
      <c r="BW248" s="259" t="s">
        <v>5081</v>
      </c>
      <c r="BX248" s="137" t="s">
        <v>5033</v>
      </c>
      <c r="BY248" s="134">
        <v>67</v>
      </c>
      <c r="BZ248" s="168" t="s">
        <v>5047</v>
      </c>
      <c r="CA248" s="134" t="s">
        <v>24</v>
      </c>
      <c r="CB248" s="137" t="s">
        <v>5034</v>
      </c>
      <c r="CC248" s="134">
        <v>83</v>
      </c>
      <c r="CD248" s="168" t="s">
        <v>5047</v>
      </c>
      <c r="CE248" s="134" t="s">
        <v>24</v>
      </c>
      <c r="CF248" s="288" t="s">
        <v>5044</v>
      </c>
      <c r="CG248" s="289" t="s">
        <v>5045</v>
      </c>
      <c r="CH248" s="137" t="s">
        <v>5036</v>
      </c>
      <c r="CI248" s="134">
        <v>67</v>
      </c>
      <c r="CJ248" s="168">
        <f>72.8969-Table665[[#This Row],[Outcome3_M]]</f>
        <v>5.8969000000000023</v>
      </c>
      <c r="CK248" s="134" t="s">
        <v>24</v>
      </c>
      <c r="CL248" s="137" t="s">
        <v>5037</v>
      </c>
      <c r="CM248" s="134">
        <v>67</v>
      </c>
      <c r="CN248" s="134">
        <f>72.6734-Table665[[#This Row],[Outcome4_M]]</f>
        <v>5.6734000000000009</v>
      </c>
      <c r="CO248" s="134" t="s">
        <v>24</v>
      </c>
      <c r="CP248" s="288" t="s">
        <v>5039</v>
      </c>
      <c r="CQ248" s="289" t="s">
        <v>2643</v>
      </c>
      <c r="CR248" s="276" t="s">
        <v>5042</v>
      </c>
      <c r="CS248" s="308" t="s">
        <v>5043</v>
      </c>
      <c r="CT248" s="137" t="s">
        <v>5035</v>
      </c>
      <c r="CU248" s="134">
        <v>78</v>
      </c>
      <c r="CV248" s="168">
        <f>82.4659-Table665[[#This Row],[Outcome5_M]]</f>
        <v>4.4659000000000049</v>
      </c>
      <c r="CW248" s="134" t="s">
        <v>24</v>
      </c>
      <c r="CX248" s="137" t="s">
        <v>5038</v>
      </c>
      <c r="CY248" s="134">
        <v>89</v>
      </c>
      <c r="CZ248" s="134">
        <f>91.6366-Table665[[#This Row],[Outcome6_M]]</f>
        <v>2.6366000000000014</v>
      </c>
      <c r="DA248" s="134" t="s">
        <v>24</v>
      </c>
      <c r="DB248" s="300" t="s">
        <v>5040</v>
      </c>
      <c r="DC248" s="301" t="s">
        <v>5041</v>
      </c>
      <c r="DD248" s="134" t="s">
        <v>5048</v>
      </c>
      <c r="DE248" s="134">
        <v>29.977599999999999</v>
      </c>
      <c r="DF248" s="134">
        <f>32.9515-Table665[[#This Row],[Outcome7_M]]</f>
        <v>2.973900000000004</v>
      </c>
      <c r="DG248" s="134" t="s">
        <v>24</v>
      </c>
      <c r="DH248" s="134" t="s">
        <v>5049</v>
      </c>
      <c r="DI248" s="134">
        <v>27.090599999999998</v>
      </c>
      <c r="DJ248" s="134">
        <f>30.0208-Table665[[#This Row],[Outcome8_M]]</f>
        <v>2.9302000000000028</v>
      </c>
      <c r="DK248" s="134" t="s">
        <v>24</v>
      </c>
      <c r="DL248" s="300" t="s">
        <v>5057</v>
      </c>
      <c r="DM248" s="301" t="s">
        <v>5058</v>
      </c>
      <c r="DN248" s="277" t="s">
        <v>5056</v>
      </c>
      <c r="DO248" s="277" t="s">
        <v>5053</v>
      </c>
      <c r="DP248" s="134" t="s">
        <v>5050</v>
      </c>
      <c r="DQ248" s="134">
        <v>29.977599999999999</v>
      </c>
      <c r="DR248" s="134">
        <f>32.0332-Table665[[#This Row],[Outcome9_M]]</f>
        <v>2.0556000000000019</v>
      </c>
      <c r="DS248" s="134" t="s">
        <v>24</v>
      </c>
      <c r="DT248" s="134" t="s">
        <v>5051</v>
      </c>
      <c r="DU248" s="134">
        <v>19.261800000000001</v>
      </c>
      <c r="DV248" s="134">
        <f>20.9684-Table665[[#This Row],[Outcome10_M]]</f>
        <v>1.7065999999999981</v>
      </c>
      <c r="DW248" s="134" t="s">
        <v>24</v>
      </c>
      <c r="DX248" s="301" t="s">
        <v>5054</v>
      </c>
      <c r="DY248" s="301" t="s">
        <v>5055</v>
      </c>
      <c r="DZ248" s="134" t="s">
        <v>5069</v>
      </c>
      <c r="EA248" s="558">
        <v>50.0321</v>
      </c>
      <c r="EB248" s="558">
        <f>60.5756-Table665[[#This Row],[Outcome11_M]]</f>
        <v>10.543500000000002</v>
      </c>
      <c r="EC248" s="480" t="s">
        <v>24</v>
      </c>
      <c r="ED248" s="134" t="s">
        <v>5070</v>
      </c>
      <c r="EE248" s="134">
        <v>77.879599999999996</v>
      </c>
      <c r="EF248" s="134">
        <f>84.6188-Table665[[#This Row],[Outcome12_M]]</f>
        <v>6.7391999999999967</v>
      </c>
      <c r="EG248" s="134" t="s">
        <v>24</v>
      </c>
      <c r="EH248" s="301"/>
      <c r="EI248" s="301"/>
      <c r="EJ248" s="277"/>
      <c r="EK248" s="134" t="s">
        <v>5072</v>
      </c>
      <c r="EL248" s="134">
        <v>51.336100000000002</v>
      </c>
      <c r="EM248" s="134">
        <f>58.7272-Table665[[#This Row],[Outcome13_M]]</f>
        <v>7.3911000000000016</v>
      </c>
      <c r="EN248" s="480" t="s">
        <v>24</v>
      </c>
      <c r="EO248" s="134" t="s">
        <v>5071</v>
      </c>
      <c r="EP248" s="134">
        <v>76.031800000000004</v>
      </c>
      <c r="EQ248" s="134">
        <f>83.3145-Table665[[#This Row],[Outcome14_M]]</f>
        <v>7.2826999999999913</v>
      </c>
      <c r="ER248" s="134" t="s">
        <v>24</v>
      </c>
      <c r="ES248" s="301" t="s">
        <v>5080</v>
      </c>
      <c r="ET248" s="301" t="s">
        <v>5079</v>
      </c>
      <c r="EU248" s="138" t="s">
        <v>5073</v>
      </c>
      <c r="EV248" s="134">
        <v>37.3979</v>
      </c>
      <c r="EW248" s="134">
        <f>40.9486-Table665[[#This Row],[Outcome15_M]]</f>
        <v>3.5506999999999991</v>
      </c>
      <c r="EX248" s="134" t="s">
        <v>24</v>
      </c>
      <c r="EY248" s="138" t="s">
        <v>5074</v>
      </c>
      <c r="EZ248" s="134">
        <v>25.709199999999999</v>
      </c>
      <c r="FA248" s="134">
        <f>Table665[[#This Row],[Outcome16_M]]-21.999</f>
        <v>3.7102000000000004</v>
      </c>
      <c r="FB248" s="134" t="s">
        <v>24</v>
      </c>
      <c r="FC248" s="135" t="s">
        <v>24</v>
      </c>
      <c r="FD248" s="135" t="s">
        <v>24</v>
      </c>
      <c r="FE248" s="138" t="s">
        <v>5075</v>
      </c>
      <c r="FF248" s="134">
        <v>35.442300000000003</v>
      </c>
      <c r="FG248" s="134">
        <f>39.434-Table665[[#This Row],[Outcome17_M]]</f>
        <v>3.9916999999999945</v>
      </c>
      <c r="FH248" s="134" t="s">
        <v>24</v>
      </c>
      <c r="FI248" s="138" t="s">
        <v>5076</v>
      </c>
      <c r="FJ248" s="134">
        <v>22.7562</v>
      </c>
      <c r="FK248" s="134">
        <f>26.3867-Table665[[#This Row],[Outcome18_M]]</f>
        <v>3.6305000000000014</v>
      </c>
      <c r="FL248" s="134" t="s">
        <v>24</v>
      </c>
      <c r="FM248" s="135" t="s">
        <v>5078</v>
      </c>
      <c r="FN248" s="135" t="s">
        <v>5077</v>
      </c>
      <c r="FO248" s="134" t="s">
        <v>24</v>
      </c>
      <c r="FP248" s="134"/>
      <c r="FQ248" s="134"/>
      <c r="FR248" s="134"/>
      <c r="FS248" s="134"/>
      <c r="FT248" s="134"/>
      <c r="FU248" s="134"/>
      <c r="FV248" s="134"/>
      <c r="FW248" s="135"/>
      <c r="FX248" s="135"/>
      <c r="FY248" s="134"/>
      <c r="FZ248" s="134"/>
      <c r="GA248" s="134"/>
      <c r="GB248" s="134"/>
      <c r="GC248" s="134"/>
      <c r="GD248" s="134"/>
      <c r="GE248" s="134"/>
      <c r="GF248" s="134"/>
      <c r="GG248" s="135"/>
      <c r="GH248" s="135"/>
      <c r="GI248" s="134"/>
      <c r="GJ248" s="134"/>
      <c r="GK248" s="134"/>
      <c r="GL248" s="134"/>
      <c r="GM248" s="134"/>
      <c r="GN248" s="134"/>
      <c r="GO248" s="134"/>
      <c r="GP248" s="134"/>
      <c r="GQ248" s="135"/>
      <c r="GR248" s="135"/>
      <c r="GS248" s="134"/>
      <c r="GT248" s="134"/>
      <c r="GU248" s="134"/>
      <c r="GV248" s="134"/>
      <c r="GW248" s="134"/>
      <c r="GX248" s="134"/>
      <c r="GY248" s="134"/>
      <c r="GZ248" s="134"/>
      <c r="HA248" s="135"/>
      <c r="HB248" s="135"/>
      <c r="HC248" s="134"/>
      <c r="HD248" s="134"/>
      <c r="HE248" s="134"/>
      <c r="HF248" s="134"/>
      <c r="HG248" s="134"/>
      <c r="HH248" s="134"/>
      <c r="HI248" s="134"/>
      <c r="HJ248" s="134"/>
      <c r="HK248" s="135"/>
      <c r="HL248" s="135"/>
      <c r="HM248" s="134"/>
      <c r="HN248" s="134"/>
      <c r="HO248" s="134"/>
      <c r="HP248" s="134"/>
      <c r="HQ248" s="134"/>
      <c r="HR248" s="134"/>
      <c r="HS248" s="134"/>
      <c r="HT248" s="134"/>
      <c r="HU248" s="135"/>
      <c r="HV248" s="135"/>
      <c r="HW248" s="134"/>
      <c r="HX248" s="134"/>
      <c r="HY248" s="134"/>
      <c r="HZ248" s="134"/>
      <c r="IA248" s="134"/>
      <c r="IB248" s="134"/>
      <c r="IC248" s="134"/>
      <c r="ID248" s="134"/>
      <c r="IE248" s="135"/>
      <c r="IF248" s="135"/>
      <c r="IG248" s="134"/>
      <c r="IH248" s="134"/>
      <c r="II248" s="134"/>
      <c r="IJ248" s="134"/>
      <c r="IK248" s="134"/>
      <c r="IL248" s="134"/>
      <c r="IM248" s="134"/>
      <c r="IN248" s="134"/>
      <c r="IO248" s="135"/>
      <c r="IP248" s="135"/>
      <c r="IQ248" s="134"/>
      <c r="IR248" s="134"/>
      <c r="IS248" s="134"/>
      <c r="IT248" s="134"/>
      <c r="IU248" s="134"/>
      <c r="IV248" s="134"/>
      <c r="IW248" s="134"/>
      <c r="IX248" s="134"/>
      <c r="IY248" s="135"/>
      <c r="IZ248" s="135"/>
    </row>
    <row r="249" spans="1:260" customFormat="1" ht="17" customHeight="1">
      <c r="A249" s="79" t="s">
        <v>1021</v>
      </c>
      <c r="B249" s="363">
        <v>27</v>
      </c>
      <c r="C249" s="363"/>
      <c r="D249" s="363"/>
      <c r="E249" s="123" t="s">
        <v>2092</v>
      </c>
      <c r="F249" s="124" t="s">
        <v>2347</v>
      </c>
      <c r="G249" s="125">
        <v>2014</v>
      </c>
      <c r="H249" s="79">
        <v>24988461</v>
      </c>
      <c r="I249" s="79">
        <v>1</v>
      </c>
      <c r="J249" s="126">
        <v>1</v>
      </c>
      <c r="K249" s="127"/>
      <c r="L249" s="79">
        <v>1</v>
      </c>
      <c r="M249" s="79"/>
      <c r="N249" s="79">
        <v>1</v>
      </c>
      <c r="O249" s="128">
        <v>2</v>
      </c>
      <c r="P249" s="79" t="s">
        <v>1415</v>
      </c>
      <c r="Q249" s="79" t="s">
        <v>1224</v>
      </c>
      <c r="R249" s="79" t="s">
        <v>1127</v>
      </c>
      <c r="S249" s="79"/>
      <c r="T249" s="79" t="s">
        <v>1487</v>
      </c>
      <c r="U249" s="79" t="s">
        <v>803</v>
      </c>
      <c r="V249" s="79" t="s">
        <v>23</v>
      </c>
      <c r="W249" s="79" t="s">
        <v>1675</v>
      </c>
      <c r="X249" s="79"/>
      <c r="Y249" s="79"/>
      <c r="Z249" s="79"/>
      <c r="AA249" s="79"/>
      <c r="AB249" s="79"/>
      <c r="AC249" s="506"/>
      <c r="AD249" s="573">
        <v>1</v>
      </c>
      <c r="AE249" s="573">
        <v>2</v>
      </c>
      <c r="AF249" s="154">
        <v>1</v>
      </c>
      <c r="AG249" s="155"/>
      <c r="AH249" s="121">
        <v>4</v>
      </c>
      <c r="AI249" s="484"/>
      <c r="AJ249" s="202" t="s">
        <v>3129</v>
      </c>
      <c r="AK249" s="192">
        <v>0</v>
      </c>
      <c r="AL249" s="203">
        <v>1</v>
      </c>
      <c r="AM249" s="121">
        <v>20</v>
      </c>
      <c r="AN249" s="121">
        <v>10</v>
      </c>
      <c r="AO249" s="121">
        <v>10</v>
      </c>
      <c r="AP249" s="121" t="s">
        <v>803</v>
      </c>
      <c r="AQ249" s="121" t="s">
        <v>803</v>
      </c>
      <c r="AR249" s="121" t="s">
        <v>24</v>
      </c>
      <c r="AS249" s="121" t="s">
        <v>24</v>
      </c>
      <c r="AT249" s="121" t="s">
        <v>24</v>
      </c>
      <c r="AU249" s="121" t="s">
        <v>24</v>
      </c>
      <c r="AV249" s="121" t="s">
        <v>2963</v>
      </c>
      <c r="AW249" s="121">
        <v>1</v>
      </c>
      <c r="AX249" s="121">
        <v>1</v>
      </c>
      <c r="AY249" s="121"/>
      <c r="AZ249" s="121" t="s">
        <v>1130</v>
      </c>
      <c r="BA249" s="121" t="s">
        <v>2798</v>
      </c>
      <c r="BB249" s="121"/>
      <c r="BC249" s="121"/>
      <c r="BD249" s="156">
        <v>1</v>
      </c>
      <c r="BE249" s="156"/>
      <c r="BF249" s="156"/>
      <c r="BG249" s="156"/>
      <c r="BH249" s="156"/>
      <c r="BI249" s="156"/>
      <c r="BJ249" s="156"/>
      <c r="BK249" s="156"/>
      <c r="BL249" s="156"/>
      <c r="BM249" s="156"/>
      <c r="BN249" s="156"/>
      <c r="BO249" s="156"/>
      <c r="BP249" s="156"/>
      <c r="BQ249" s="157" t="s">
        <v>2879</v>
      </c>
      <c r="BR249" s="134" t="s">
        <v>1876</v>
      </c>
      <c r="BS249" s="134" t="s">
        <v>3128</v>
      </c>
      <c r="BT249" s="134" t="s">
        <v>3127</v>
      </c>
      <c r="BU249" s="134" t="s">
        <v>23</v>
      </c>
      <c r="BV249" s="134" t="s">
        <v>2659</v>
      </c>
      <c r="BW249" s="259" t="s">
        <v>3126</v>
      </c>
      <c r="BX249" s="138" t="s">
        <v>3124</v>
      </c>
      <c r="BY249" s="134">
        <v>21.870699999999999</v>
      </c>
      <c r="BZ249" s="134" t="s">
        <v>24</v>
      </c>
      <c r="CA249" s="134">
        <f>27.2365-Table665[[#This Row],[Outcome1_M]]</f>
        <v>5.3658000000000001</v>
      </c>
      <c r="CB249" s="138" t="s">
        <v>3123</v>
      </c>
      <c r="CC249" s="134">
        <v>56.833100000000002</v>
      </c>
      <c r="CD249" s="134" t="s">
        <v>24</v>
      </c>
      <c r="CE249" s="134">
        <f>66.4251-Table665[[#This Row],[Outcome2_M]]</f>
        <v>9.5919999999999987</v>
      </c>
      <c r="CF249" s="288" t="s">
        <v>3125</v>
      </c>
      <c r="CG249" s="289" t="s">
        <v>3060</v>
      </c>
      <c r="CH249" s="138" t="s">
        <v>24</v>
      </c>
      <c r="CI249" s="134"/>
      <c r="CJ249" s="134"/>
      <c r="CK249" s="134"/>
      <c r="CL249" s="138"/>
      <c r="CM249" s="134"/>
      <c r="CN249" s="134"/>
      <c r="CO249" s="134"/>
      <c r="CP249" s="288"/>
      <c r="CQ249" s="289"/>
      <c r="CR249" s="276"/>
      <c r="CS249" s="308"/>
      <c r="CT249" s="138"/>
      <c r="CU249" s="134"/>
      <c r="CV249" s="134"/>
      <c r="CW249" s="134"/>
      <c r="CX249" s="134"/>
      <c r="CY249" s="134"/>
      <c r="CZ249" s="134"/>
      <c r="DA249" s="134"/>
      <c r="DB249" s="300"/>
      <c r="DC249" s="301"/>
      <c r="DD249" s="134"/>
      <c r="DE249" s="134"/>
      <c r="DF249" s="134"/>
      <c r="DG249" s="134"/>
      <c r="DH249" s="134"/>
      <c r="DI249" s="134"/>
      <c r="DJ249" s="134"/>
      <c r="DK249" s="134"/>
      <c r="DL249" s="300"/>
      <c r="DM249" s="301"/>
      <c r="DN249" s="276"/>
      <c r="DO249" s="277"/>
      <c r="DP249" s="134"/>
      <c r="DQ249" s="134"/>
      <c r="DR249" s="134"/>
      <c r="DS249" s="134"/>
      <c r="DT249" s="138"/>
      <c r="DU249" s="134"/>
      <c r="DV249" s="134"/>
      <c r="DW249" s="134"/>
      <c r="DX249" s="301"/>
      <c r="DY249" s="301"/>
      <c r="DZ249" s="138"/>
      <c r="EA249" s="134"/>
      <c r="EB249" s="134"/>
      <c r="EC249" s="134"/>
      <c r="ED249" s="138"/>
      <c r="EE249" s="134"/>
      <c r="EF249" s="134"/>
      <c r="EG249" s="134"/>
      <c r="EH249" s="301"/>
      <c r="EI249" s="301"/>
      <c r="EJ249" s="277"/>
      <c r="EK249" s="134"/>
      <c r="EL249" s="134"/>
      <c r="EM249" s="134"/>
      <c r="EN249" s="134"/>
      <c r="EO249" s="134"/>
      <c r="EP249" s="134"/>
      <c r="EQ249" s="134"/>
      <c r="ER249" s="134"/>
      <c r="ES249" s="301"/>
      <c r="ET249" s="301"/>
      <c r="EU249" s="134"/>
      <c r="EV249" s="134"/>
      <c r="EW249" s="134"/>
      <c r="EX249" s="134"/>
      <c r="EY249" s="134"/>
      <c r="EZ249" s="134"/>
      <c r="FA249" s="134"/>
      <c r="FB249" s="134"/>
      <c r="FC249" s="135"/>
      <c r="FD249" s="135"/>
      <c r="FE249" s="134"/>
      <c r="FF249" s="134"/>
      <c r="FG249" s="134"/>
      <c r="FH249" s="134"/>
      <c r="FI249" s="134"/>
      <c r="FJ249" s="134"/>
      <c r="FK249" s="134"/>
      <c r="FL249" s="134"/>
      <c r="FM249" s="135"/>
      <c r="FN249" s="135"/>
      <c r="FO249" s="134"/>
      <c r="FP249" s="134"/>
      <c r="FQ249" s="134"/>
      <c r="FR249" s="134"/>
      <c r="FS249" s="134"/>
      <c r="FT249" s="134"/>
      <c r="FU249" s="134"/>
      <c r="FV249" s="134"/>
      <c r="FW249" s="135"/>
      <c r="FX249" s="135"/>
      <c r="FY249" s="134"/>
      <c r="FZ249" s="134"/>
      <c r="GA249" s="134"/>
      <c r="GB249" s="134"/>
      <c r="GC249" s="134"/>
      <c r="GD249" s="134"/>
      <c r="GE249" s="134"/>
      <c r="GF249" s="134"/>
      <c r="GG249" s="135"/>
      <c r="GH249" s="135"/>
      <c r="GI249" s="134"/>
      <c r="GJ249" s="134"/>
      <c r="GK249" s="134"/>
      <c r="GL249" s="134"/>
      <c r="GM249" s="134"/>
      <c r="GN249" s="134"/>
      <c r="GO249" s="134"/>
      <c r="GP249" s="134"/>
      <c r="GQ249" s="135"/>
      <c r="GR249" s="135"/>
      <c r="GS249" s="134"/>
      <c r="GT249" s="134"/>
      <c r="GU249" s="134"/>
      <c r="GV249" s="134"/>
      <c r="GW249" s="134"/>
      <c r="GX249" s="134"/>
      <c r="GY249" s="134"/>
      <c r="GZ249" s="134"/>
      <c r="HA249" s="135"/>
      <c r="HB249" s="135"/>
      <c r="HC249" s="134"/>
      <c r="HD249" s="134"/>
      <c r="HE249" s="134"/>
      <c r="HF249" s="134"/>
      <c r="HG249" s="134"/>
      <c r="HH249" s="134"/>
      <c r="HI249" s="134"/>
      <c r="HJ249" s="134"/>
      <c r="HK249" s="135"/>
      <c r="HL249" s="135"/>
      <c r="HM249" s="134"/>
      <c r="HN249" s="134"/>
      <c r="HO249" s="134"/>
      <c r="HP249" s="134"/>
      <c r="HQ249" s="134"/>
      <c r="HR249" s="134"/>
      <c r="HS249" s="134"/>
      <c r="HT249" s="134"/>
      <c r="HU249" s="135"/>
      <c r="HV249" s="135"/>
      <c r="HW249" s="134"/>
      <c r="HX249" s="134"/>
      <c r="HY249" s="134"/>
      <c r="HZ249" s="134"/>
      <c r="IA249" s="134"/>
      <c r="IB249" s="134"/>
      <c r="IC249" s="134"/>
      <c r="ID249" s="134"/>
      <c r="IE249" s="135"/>
      <c r="IF249" s="135"/>
      <c r="IG249" s="134"/>
      <c r="IH249" s="134"/>
      <c r="II249" s="134"/>
      <c r="IJ249" s="134"/>
      <c r="IK249" s="134"/>
      <c r="IL249" s="134"/>
      <c r="IM249" s="134"/>
      <c r="IN249" s="134"/>
      <c r="IO249" s="135"/>
      <c r="IP249" s="135"/>
      <c r="IQ249" s="134"/>
      <c r="IR249" s="134"/>
      <c r="IS249" s="134"/>
      <c r="IT249" s="134"/>
      <c r="IU249" s="134"/>
      <c r="IV249" s="134"/>
      <c r="IW249" s="134"/>
      <c r="IX249" s="134"/>
      <c r="IY249" s="135"/>
      <c r="IZ249" s="135"/>
    </row>
    <row r="250" spans="1:260" customFormat="1" ht="17" customHeight="1">
      <c r="A250" s="79" t="s">
        <v>1020</v>
      </c>
      <c r="B250" s="117">
        <v>165</v>
      </c>
      <c r="C250" s="117">
        <v>55</v>
      </c>
      <c r="D250" s="117"/>
      <c r="E250" s="123" t="s">
        <v>2093</v>
      </c>
      <c r="F250" s="124" t="s">
        <v>2348</v>
      </c>
      <c r="G250" s="125">
        <v>2008</v>
      </c>
      <c r="H250" s="79">
        <v>18339410</v>
      </c>
      <c r="I250" s="79">
        <v>1</v>
      </c>
      <c r="J250" s="126">
        <v>1</v>
      </c>
      <c r="K250" s="127"/>
      <c r="L250" s="79">
        <v>1</v>
      </c>
      <c r="M250" s="79"/>
      <c r="N250" s="153">
        <v>1</v>
      </c>
      <c r="O250" s="128">
        <v>2</v>
      </c>
      <c r="P250" s="79" t="s">
        <v>1697</v>
      </c>
      <c r="Q250" s="79" t="s">
        <v>1417</v>
      </c>
      <c r="R250" s="79" t="s">
        <v>1127</v>
      </c>
      <c r="S250" s="79"/>
      <c r="T250" s="79" t="s">
        <v>1541</v>
      </c>
      <c r="U250" s="79"/>
      <c r="V250" s="79"/>
      <c r="W250" s="79" t="s">
        <v>1416</v>
      </c>
      <c r="X250" s="79"/>
      <c r="Y250" s="79"/>
      <c r="Z250" s="79"/>
      <c r="AA250" s="79"/>
      <c r="AB250" s="79"/>
      <c r="AC250" s="506"/>
      <c r="AD250" s="573">
        <v>1</v>
      </c>
      <c r="AE250" s="573">
        <v>2</v>
      </c>
      <c r="AF250" s="154">
        <v>1</v>
      </c>
      <c r="AG250" s="155"/>
      <c r="AH250" s="121">
        <v>4</v>
      </c>
      <c r="AI250" s="484"/>
      <c r="AJ250" s="202" t="s">
        <v>5064</v>
      </c>
      <c r="AK250" s="192" t="s">
        <v>5065</v>
      </c>
      <c r="AL250" s="203" t="s">
        <v>5061</v>
      </c>
      <c r="AM250" s="121">
        <f>Table665[[#This Row],[Subjects_n_ptsd]]+Table665[[#This Row],[Subjects_n_control]]</f>
        <v>16</v>
      </c>
      <c r="AN250" s="121">
        <v>8</v>
      </c>
      <c r="AO250" s="121">
        <v>8</v>
      </c>
      <c r="AP250" s="121" t="s">
        <v>803</v>
      </c>
      <c r="AQ250" s="121" t="s">
        <v>803</v>
      </c>
      <c r="AR250" s="121" t="s">
        <v>2468</v>
      </c>
      <c r="AS250" s="121" t="s">
        <v>24</v>
      </c>
      <c r="AT250" s="121" t="s">
        <v>2468</v>
      </c>
      <c r="AU250" s="121" t="s">
        <v>24</v>
      </c>
      <c r="AV250" s="121" t="s">
        <v>5067</v>
      </c>
      <c r="AW250" s="121">
        <v>1</v>
      </c>
      <c r="AX250" s="121" t="s">
        <v>5083</v>
      </c>
      <c r="AY250" s="121" t="s">
        <v>5068</v>
      </c>
      <c r="AZ250" s="121" t="s">
        <v>2912</v>
      </c>
      <c r="BA250" s="121" t="s">
        <v>5062</v>
      </c>
      <c r="BB250" s="121"/>
      <c r="BC250" s="121"/>
      <c r="BD250" s="156"/>
      <c r="BE250" s="156" t="s">
        <v>5086</v>
      </c>
      <c r="BF250" s="156"/>
      <c r="BG250" s="156"/>
      <c r="BH250" s="156"/>
      <c r="BI250" s="156"/>
      <c r="BJ250" s="156">
        <v>1</v>
      </c>
      <c r="BK250" s="156"/>
      <c r="BL250" s="156"/>
      <c r="BM250" s="156"/>
      <c r="BN250" s="156"/>
      <c r="BO250" s="156"/>
      <c r="BP250" s="156"/>
      <c r="BQ250" s="157" t="s">
        <v>5262</v>
      </c>
      <c r="BR250" s="134" t="s">
        <v>1876</v>
      </c>
      <c r="BS250" s="134" t="s">
        <v>5087</v>
      </c>
      <c r="BT250" s="134" t="s">
        <v>5063</v>
      </c>
      <c r="BU250" s="134" t="s">
        <v>5066</v>
      </c>
      <c r="BV250" s="134" t="s">
        <v>5085</v>
      </c>
      <c r="BW250" s="471" t="s">
        <v>5098</v>
      </c>
      <c r="BX250" s="138" t="s">
        <v>5089</v>
      </c>
      <c r="BY250" s="134">
        <v>35.900799999999997</v>
      </c>
      <c r="BZ250" s="168" t="s">
        <v>24</v>
      </c>
      <c r="CA250" s="134">
        <f>42.9744-Table665[[#This Row],[Outcome1_M]]</f>
        <v>7.0736000000000061</v>
      </c>
      <c r="CB250" s="138" t="s">
        <v>5090</v>
      </c>
      <c r="CC250" s="134">
        <v>13.1402</v>
      </c>
      <c r="CD250" s="168" t="s">
        <v>24</v>
      </c>
      <c r="CE250" s="134">
        <f>17.5191-Table665[[#This Row],[Outcome2_M]]</f>
        <v>4.3789000000000016</v>
      </c>
      <c r="CF250" s="288" t="s">
        <v>5095</v>
      </c>
      <c r="CG250" s="289" t="s">
        <v>5096</v>
      </c>
      <c r="CH250" s="138" t="s">
        <v>5093</v>
      </c>
      <c r="CI250" s="134">
        <v>78.872200000000007</v>
      </c>
      <c r="CJ250" s="168" t="s">
        <v>24</v>
      </c>
      <c r="CK250" s="134">
        <f>80.7248-Table665[[#This Row],[Outcome3_M]]</f>
        <v>1.8525999999999954</v>
      </c>
      <c r="CL250" s="138" t="s">
        <v>5094</v>
      </c>
      <c r="CM250" s="134">
        <v>0</v>
      </c>
      <c r="CN250" s="134" t="s">
        <v>24</v>
      </c>
      <c r="CO250" s="134" t="s">
        <v>24</v>
      </c>
      <c r="CP250" s="288" t="s">
        <v>5099</v>
      </c>
      <c r="CQ250" s="289" t="s">
        <v>5097</v>
      </c>
      <c r="CR250" s="276" t="s">
        <v>24</v>
      </c>
      <c r="CS250" s="308" t="s">
        <v>24</v>
      </c>
      <c r="CT250" s="138" t="s">
        <v>5091</v>
      </c>
      <c r="CU250" s="134">
        <v>25.6876</v>
      </c>
      <c r="CV250" s="168" t="s">
        <v>24</v>
      </c>
      <c r="CW250" s="134">
        <f>34.6131-Table665[[#This Row],[Outcome5_M]]</f>
        <v>8.9255000000000031</v>
      </c>
      <c r="CX250" s="138" t="s">
        <v>5092</v>
      </c>
      <c r="CY250" s="134">
        <v>43.852200000000003</v>
      </c>
      <c r="CZ250" s="168" t="s">
        <v>24</v>
      </c>
      <c r="DA250" s="134">
        <f>48.5679-Table665[[#This Row],[Outcome6_M]]</f>
        <v>4.7156999999999982</v>
      </c>
      <c r="DB250" s="300" t="s">
        <v>24</v>
      </c>
      <c r="DC250" s="301" t="s">
        <v>24</v>
      </c>
      <c r="DD250" s="134" t="s">
        <v>24</v>
      </c>
      <c r="DE250" s="134"/>
      <c r="DF250" s="134"/>
      <c r="DG250" s="134"/>
      <c r="DH250" s="134"/>
      <c r="DI250" s="134"/>
      <c r="DJ250" s="134"/>
      <c r="DK250" s="134"/>
      <c r="DL250" s="300"/>
      <c r="DM250" s="301"/>
      <c r="DN250" s="276"/>
      <c r="DO250" s="277"/>
      <c r="DP250" s="134"/>
      <c r="DQ250" s="134"/>
      <c r="DR250" s="134"/>
      <c r="DS250" s="134"/>
      <c r="DT250" s="138"/>
      <c r="DU250" s="134"/>
      <c r="DV250" s="134"/>
      <c r="DW250" s="134"/>
      <c r="DX250" s="301"/>
      <c r="DY250" s="301"/>
      <c r="DZ250" s="138"/>
      <c r="EA250" s="134"/>
      <c r="EB250" s="134"/>
      <c r="EC250" s="134"/>
      <c r="ED250" s="138"/>
      <c r="EE250" s="134"/>
      <c r="EF250" s="134"/>
      <c r="EG250" s="134"/>
      <c r="EH250" s="301"/>
      <c r="EI250" s="301"/>
      <c r="EJ250" s="277"/>
      <c r="EK250" s="134"/>
      <c r="EL250" s="134"/>
      <c r="EM250" s="134"/>
      <c r="EN250" s="134"/>
      <c r="EO250" s="134"/>
      <c r="EP250" s="134"/>
      <c r="EQ250" s="134"/>
      <c r="ER250" s="134"/>
      <c r="ES250" s="301"/>
      <c r="ET250" s="301"/>
      <c r="EU250" s="134"/>
      <c r="EV250" s="134"/>
      <c r="EW250" s="134"/>
      <c r="EX250" s="134"/>
      <c r="EY250" s="134"/>
      <c r="EZ250" s="134"/>
      <c r="FA250" s="134"/>
      <c r="FB250" s="134"/>
      <c r="FC250" s="135"/>
      <c r="FD250" s="135"/>
      <c r="FE250" s="134"/>
      <c r="FF250" s="134"/>
      <c r="FG250" s="134"/>
      <c r="FH250" s="134"/>
      <c r="FI250" s="134"/>
      <c r="FJ250" s="134"/>
      <c r="FK250" s="134"/>
      <c r="FL250" s="134"/>
      <c r="FM250" s="135"/>
      <c r="FN250" s="135"/>
      <c r="FO250" s="134"/>
      <c r="FP250" s="134"/>
      <c r="FQ250" s="134"/>
      <c r="FR250" s="134"/>
      <c r="FS250" s="134"/>
      <c r="FT250" s="134"/>
      <c r="FU250" s="134"/>
      <c r="FV250" s="134"/>
      <c r="FW250" s="135"/>
      <c r="FX250" s="135"/>
      <c r="FY250" s="134"/>
      <c r="FZ250" s="134"/>
      <c r="GA250" s="134"/>
      <c r="GB250" s="134"/>
      <c r="GC250" s="134"/>
      <c r="GD250" s="134"/>
      <c r="GE250" s="134"/>
      <c r="GF250" s="134"/>
      <c r="GG250" s="135"/>
      <c r="GH250" s="135"/>
      <c r="GI250" s="134"/>
      <c r="GJ250" s="134"/>
      <c r="GK250" s="134"/>
      <c r="GL250" s="134"/>
      <c r="GM250" s="134"/>
      <c r="GN250" s="134"/>
      <c r="GO250" s="134"/>
      <c r="GP250" s="134"/>
      <c r="GQ250" s="135"/>
      <c r="GR250" s="135"/>
      <c r="GS250" s="134"/>
      <c r="GT250" s="134"/>
      <c r="GU250" s="134"/>
      <c r="GV250" s="134"/>
      <c r="GW250" s="134"/>
      <c r="GX250" s="134"/>
      <c r="GY250" s="134"/>
      <c r="GZ250" s="134"/>
      <c r="HA250" s="135"/>
      <c r="HB250" s="135"/>
      <c r="HC250" s="134"/>
      <c r="HD250" s="134"/>
      <c r="HE250" s="134"/>
      <c r="HF250" s="134"/>
      <c r="HG250" s="134"/>
      <c r="HH250" s="134"/>
      <c r="HI250" s="134"/>
      <c r="HJ250" s="134"/>
      <c r="HK250" s="135"/>
      <c r="HL250" s="135"/>
      <c r="HM250" s="134"/>
      <c r="HN250" s="134"/>
      <c r="HO250" s="134"/>
      <c r="HP250" s="134"/>
      <c r="HQ250" s="134"/>
      <c r="HR250" s="134"/>
      <c r="HS250" s="134"/>
      <c r="HT250" s="134"/>
      <c r="HU250" s="135"/>
      <c r="HV250" s="135"/>
      <c r="HW250" s="134"/>
      <c r="HX250" s="134"/>
      <c r="HY250" s="134"/>
      <c r="HZ250" s="134"/>
      <c r="IA250" s="134"/>
      <c r="IB250" s="134"/>
      <c r="IC250" s="134"/>
      <c r="ID250" s="134"/>
      <c r="IE250" s="135"/>
      <c r="IF250" s="135"/>
      <c r="IG250" s="134"/>
      <c r="IH250" s="134"/>
      <c r="II250" s="134"/>
      <c r="IJ250" s="134"/>
      <c r="IK250" s="134"/>
      <c r="IL250" s="134"/>
      <c r="IM250" s="134"/>
      <c r="IN250" s="134"/>
      <c r="IO250" s="135"/>
      <c r="IP250" s="135"/>
      <c r="IQ250" s="134"/>
      <c r="IR250" s="134"/>
      <c r="IS250" s="134"/>
      <c r="IT250" s="134"/>
      <c r="IU250" s="134"/>
      <c r="IV250" s="134"/>
      <c r="IW250" s="134"/>
      <c r="IX250" s="134"/>
      <c r="IY250" s="135"/>
      <c r="IZ250" s="135"/>
    </row>
    <row r="251" spans="1:260" customFormat="1" ht="17" customHeight="1">
      <c r="A251" s="118" t="s">
        <v>1020</v>
      </c>
      <c r="B251" s="381">
        <v>165</v>
      </c>
      <c r="C251" s="381">
        <v>55</v>
      </c>
      <c r="D251" s="381"/>
      <c r="E251" s="139" t="s">
        <v>2093</v>
      </c>
      <c r="F251" s="140" t="s">
        <v>2348</v>
      </c>
      <c r="G251" s="141">
        <v>2008</v>
      </c>
      <c r="H251" s="118">
        <v>18339410</v>
      </c>
      <c r="I251" s="118">
        <v>1</v>
      </c>
      <c r="J251" s="118">
        <v>1</v>
      </c>
      <c r="K251" s="118"/>
      <c r="L251" s="118">
        <v>1</v>
      </c>
      <c r="M251" s="118"/>
      <c r="N251" s="158">
        <v>1</v>
      </c>
      <c r="O251" s="142">
        <v>2</v>
      </c>
      <c r="P251" s="118" t="s">
        <v>1697</v>
      </c>
      <c r="Q251" s="118" t="s">
        <v>1417</v>
      </c>
      <c r="R251" s="118" t="s">
        <v>1127</v>
      </c>
      <c r="S251" s="118"/>
      <c r="T251" s="118" t="s">
        <v>1541</v>
      </c>
      <c r="U251" s="118"/>
      <c r="V251" s="118"/>
      <c r="W251" s="118" t="s">
        <v>1416</v>
      </c>
      <c r="X251" s="118"/>
      <c r="Y251" s="118"/>
      <c r="Z251" s="118"/>
      <c r="AA251" s="118"/>
      <c r="AB251" s="118"/>
      <c r="AC251" s="145"/>
      <c r="AD251" s="573">
        <v>1</v>
      </c>
      <c r="AE251" s="573">
        <v>2</v>
      </c>
      <c r="AF251" s="159">
        <v>1</v>
      </c>
      <c r="AG251" s="160"/>
      <c r="AH251" s="122">
        <v>4</v>
      </c>
      <c r="AI251" s="485" t="s">
        <v>5108</v>
      </c>
      <c r="AJ251" s="204" t="s">
        <v>5144</v>
      </c>
      <c r="AK251" s="192" t="s">
        <v>5065</v>
      </c>
      <c r="AL251" s="205" t="s">
        <v>5061</v>
      </c>
      <c r="AM251" s="122">
        <f>Table665[[#This Row],[Subjects_n_ptsd]]+Table665[[#This Row],[Subjects_n_control]]</f>
        <v>20</v>
      </c>
      <c r="AN251" s="122">
        <v>10</v>
      </c>
      <c r="AO251" s="122">
        <v>10</v>
      </c>
      <c r="AP251" s="122" t="s">
        <v>803</v>
      </c>
      <c r="AQ251" s="122" t="s">
        <v>803</v>
      </c>
      <c r="AR251" s="122" t="s">
        <v>2468</v>
      </c>
      <c r="AS251" s="122" t="s">
        <v>24</v>
      </c>
      <c r="AT251" s="122" t="s">
        <v>2468</v>
      </c>
      <c r="AU251" s="122" t="s">
        <v>24</v>
      </c>
      <c r="AV251" s="122" t="s">
        <v>5082</v>
      </c>
      <c r="AW251" s="122">
        <v>1</v>
      </c>
      <c r="AX251" s="122" t="s">
        <v>5083</v>
      </c>
      <c r="AY251" s="122" t="s">
        <v>5068</v>
      </c>
      <c r="AZ251" s="122" t="s">
        <v>2912</v>
      </c>
      <c r="BA251" s="122" t="s">
        <v>5062</v>
      </c>
      <c r="BB251" s="122"/>
      <c r="BC251" s="122"/>
      <c r="BD251" s="161"/>
      <c r="BE251" s="161"/>
      <c r="BF251" s="161"/>
      <c r="BG251" s="161"/>
      <c r="BH251" s="161"/>
      <c r="BI251" s="161"/>
      <c r="BJ251" s="161">
        <v>1</v>
      </c>
      <c r="BK251" s="161"/>
      <c r="BL251" s="161"/>
      <c r="BM251" s="161"/>
      <c r="BN251" s="161"/>
      <c r="BO251" s="161"/>
      <c r="BP251" s="161"/>
      <c r="BQ251" s="162" t="s">
        <v>5263</v>
      </c>
      <c r="BR251" s="150" t="s">
        <v>1876</v>
      </c>
      <c r="BS251" s="150" t="s">
        <v>5088</v>
      </c>
      <c r="BT251" s="150" t="s">
        <v>5084</v>
      </c>
      <c r="BU251" s="150" t="s">
        <v>5066</v>
      </c>
      <c r="BV251" s="150" t="s">
        <v>5085</v>
      </c>
      <c r="BW251" s="258" t="s">
        <v>5111</v>
      </c>
      <c r="BX251" s="151" t="s">
        <v>5100</v>
      </c>
      <c r="BY251" s="150">
        <v>27.82</v>
      </c>
      <c r="BZ251" s="150" t="s">
        <v>24</v>
      </c>
      <c r="CA251" s="150">
        <f>40.364-Table665[[#This Row],[Outcome1_M]]</f>
        <v>12.543999999999997</v>
      </c>
      <c r="CB251" s="151" t="s">
        <v>5101</v>
      </c>
      <c r="CC251" s="150">
        <v>14.044499999999999</v>
      </c>
      <c r="CD251" s="150" t="s">
        <v>24</v>
      </c>
      <c r="CE251" s="150">
        <f>16.5821-Table665[[#This Row],[Outcome2_M]]</f>
        <v>2.5376000000000012</v>
      </c>
      <c r="CF251" s="290" t="s">
        <v>24</v>
      </c>
      <c r="CG251" s="291" t="s">
        <v>24</v>
      </c>
      <c r="CH251" s="151" t="s">
        <v>5102</v>
      </c>
      <c r="CI251" s="150">
        <v>77.073099999999997</v>
      </c>
      <c r="CJ251" s="150" t="s">
        <v>24</v>
      </c>
      <c r="CK251" s="150">
        <f>79.6101-Table665[[#This Row],[Outcome3_M]]</f>
        <v>2.5370000000000061</v>
      </c>
      <c r="CL251" s="151" t="s">
        <v>5103</v>
      </c>
      <c r="CM251" s="150">
        <v>83.876099999999994</v>
      </c>
      <c r="CN251" s="150" t="s">
        <v>24</v>
      </c>
      <c r="CO251" s="150">
        <f>86.4124-Table665[[#This Row],[Outcome4_M]]</f>
        <v>2.5363000000000113</v>
      </c>
      <c r="CP251" s="290"/>
      <c r="CQ251" s="291"/>
      <c r="CR251" s="278"/>
      <c r="CS251" s="285"/>
      <c r="CT251" s="151" t="s">
        <v>5104</v>
      </c>
      <c r="CU251" s="150">
        <v>34.231900000000003</v>
      </c>
      <c r="CV251" s="150" t="s">
        <v>24</v>
      </c>
      <c r="CW251" s="150">
        <f>43.5329-Table665[[#This Row],[Outcome5_M]]</f>
        <v>9.3009999999999948</v>
      </c>
      <c r="CX251" s="151" t="s">
        <v>5105</v>
      </c>
      <c r="CY251" s="150">
        <v>45.124400000000001</v>
      </c>
      <c r="CZ251" s="150" t="s">
        <v>24</v>
      </c>
      <c r="DA251" s="150">
        <f>54.8495-Table665[[#This Row],[Outcome6_M]]</f>
        <v>9.7250999999999976</v>
      </c>
      <c r="DB251" s="302"/>
      <c r="DC251" s="303"/>
      <c r="DD251" s="151" t="s">
        <v>5106</v>
      </c>
      <c r="DE251" s="150"/>
      <c r="DF251" s="150"/>
      <c r="DG251" s="150"/>
      <c r="DH251" s="151" t="s">
        <v>5107</v>
      </c>
      <c r="DI251" s="150"/>
      <c r="DJ251" s="150"/>
      <c r="DK251" s="150"/>
      <c r="DL251" s="302"/>
      <c r="DM251" s="303"/>
      <c r="DN251" s="278"/>
      <c r="DO251" s="279"/>
      <c r="DP251" s="150"/>
      <c r="DQ251" s="150"/>
      <c r="DR251" s="150"/>
      <c r="DS251" s="150"/>
      <c r="DT251" s="151"/>
      <c r="DU251" s="150"/>
      <c r="DV251" s="150"/>
      <c r="DW251" s="150"/>
      <c r="DX251" s="303"/>
      <c r="DY251" s="303"/>
      <c r="DZ251" s="151"/>
      <c r="EA251" s="150"/>
      <c r="EB251" s="150"/>
      <c r="EC251" s="150"/>
      <c r="ED251" s="151"/>
      <c r="EE251" s="150"/>
      <c r="EF251" s="150"/>
      <c r="EG251" s="150"/>
      <c r="EH251" s="303"/>
      <c r="EI251" s="303"/>
      <c r="EJ251" s="279"/>
      <c r="EK251" s="150"/>
      <c r="EL251" s="150"/>
      <c r="EM251" s="150"/>
      <c r="EN251" s="150"/>
      <c r="EO251" s="150"/>
      <c r="EP251" s="150"/>
      <c r="EQ251" s="150"/>
      <c r="ER251" s="150"/>
      <c r="ES251" s="303"/>
      <c r="ET251" s="303"/>
      <c r="EU251" s="150"/>
      <c r="EV251" s="150"/>
      <c r="EW251" s="150"/>
      <c r="EX251" s="150"/>
      <c r="EY251" s="150"/>
      <c r="EZ251" s="150"/>
      <c r="FA251" s="150"/>
      <c r="FB251" s="150"/>
      <c r="FC251" s="152"/>
      <c r="FD251" s="152"/>
      <c r="FE251" s="150"/>
      <c r="FF251" s="150"/>
      <c r="FG251" s="150"/>
      <c r="FH251" s="150"/>
      <c r="FI251" s="150"/>
      <c r="FJ251" s="150"/>
      <c r="FK251" s="150"/>
      <c r="FL251" s="150"/>
      <c r="FM251" s="152"/>
      <c r="FN251" s="152"/>
      <c r="FO251" s="150"/>
      <c r="FP251" s="150"/>
      <c r="FQ251" s="150"/>
      <c r="FR251" s="150"/>
      <c r="FS251" s="150"/>
      <c r="FT251" s="150"/>
      <c r="FU251" s="150"/>
      <c r="FV251" s="150"/>
      <c r="FW251" s="152"/>
      <c r="FX251" s="152"/>
      <c r="FY251" s="150"/>
      <c r="FZ251" s="150"/>
      <c r="GA251" s="150"/>
      <c r="GB251" s="150"/>
      <c r="GC251" s="150"/>
      <c r="GD251" s="150"/>
      <c r="GE251" s="150"/>
      <c r="GF251" s="150"/>
      <c r="GG251" s="152"/>
      <c r="GH251" s="152"/>
      <c r="GI251" s="150"/>
      <c r="GJ251" s="150"/>
      <c r="GK251" s="150"/>
      <c r="GL251" s="150"/>
      <c r="GM251" s="150"/>
      <c r="GN251" s="150"/>
      <c r="GO251" s="150"/>
      <c r="GP251" s="150"/>
      <c r="GQ251" s="152"/>
      <c r="GR251" s="152"/>
      <c r="GS251" s="134"/>
      <c r="GT251" s="134"/>
      <c r="GU251" s="134"/>
      <c r="GV251" s="134"/>
      <c r="GW251" s="134"/>
      <c r="GX251" s="134"/>
      <c r="GY251" s="134"/>
      <c r="GZ251" s="134"/>
      <c r="HA251" s="135"/>
      <c r="HB251" s="135"/>
      <c r="HC251" s="134"/>
      <c r="HD251" s="134"/>
      <c r="HE251" s="134"/>
      <c r="HF251" s="134"/>
      <c r="HG251" s="134"/>
      <c r="HH251" s="134"/>
      <c r="HI251" s="134"/>
      <c r="HJ251" s="134"/>
      <c r="HK251" s="135"/>
      <c r="HL251" s="135"/>
      <c r="HM251" s="134"/>
      <c r="HN251" s="134"/>
      <c r="HO251" s="134"/>
      <c r="HP251" s="134"/>
      <c r="HQ251" s="134"/>
      <c r="HR251" s="134"/>
      <c r="HS251" s="134"/>
      <c r="HT251" s="134"/>
      <c r="HU251" s="135"/>
      <c r="HV251" s="135"/>
      <c r="HW251" s="134"/>
      <c r="HX251" s="134"/>
      <c r="HY251" s="134"/>
      <c r="HZ251" s="134"/>
      <c r="IA251" s="134"/>
      <c r="IB251" s="134"/>
      <c r="IC251" s="134"/>
      <c r="ID251" s="134"/>
      <c r="IE251" s="135"/>
      <c r="IF251" s="135"/>
      <c r="IG251" s="134"/>
      <c r="IH251" s="134"/>
      <c r="II251" s="134"/>
      <c r="IJ251" s="134"/>
      <c r="IK251" s="134"/>
      <c r="IL251" s="134"/>
      <c r="IM251" s="134"/>
      <c r="IN251" s="134"/>
      <c r="IO251" s="135"/>
      <c r="IP251" s="135"/>
      <c r="IQ251" s="134"/>
      <c r="IR251" s="134"/>
      <c r="IS251" s="134"/>
      <c r="IT251" s="134"/>
      <c r="IU251" s="134"/>
      <c r="IV251" s="134"/>
      <c r="IW251" s="134"/>
      <c r="IX251" s="134"/>
      <c r="IY251" s="135"/>
      <c r="IZ251" s="135"/>
    </row>
    <row r="252" spans="1:260" customFormat="1" ht="17" customHeight="1">
      <c r="A252" s="79" t="s">
        <v>225</v>
      </c>
      <c r="B252" s="363">
        <v>28</v>
      </c>
      <c r="C252" s="363"/>
      <c r="D252" s="363"/>
      <c r="E252" s="123" t="s">
        <v>1987</v>
      </c>
      <c r="F252" s="124" t="s">
        <v>2213</v>
      </c>
      <c r="G252" s="125">
        <v>2008</v>
      </c>
      <c r="H252" s="79">
        <v>18313695</v>
      </c>
      <c r="I252" s="79">
        <v>1</v>
      </c>
      <c r="J252" s="126"/>
      <c r="K252" s="127"/>
      <c r="L252" s="79">
        <v>1</v>
      </c>
      <c r="M252" s="79"/>
      <c r="N252" s="79">
        <v>1</v>
      </c>
      <c r="O252" s="128">
        <v>1</v>
      </c>
      <c r="P252" s="79" t="s">
        <v>627</v>
      </c>
      <c r="Q252" s="79" t="s">
        <v>1142</v>
      </c>
      <c r="R252" s="79" t="s">
        <v>628</v>
      </c>
      <c r="S252" s="79">
        <v>1</v>
      </c>
      <c r="T252" s="79"/>
      <c r="U252" s="79"/>
      <c r="V252" s="79"/>
      <c r="W252" s="79" t="s">
        <v>629</v>
      </c>
      <c r="X252" s="79" t="s">
        <v>24</v>
      </c>
      <c r="Y252" s="79" t="s">
        <v>630</v>
      </c>
      <c r="Z252" s="79"/>
      <c r="AA252" s="79"/>
      <c r="AB252" s="79" t="s">
        <v>631</v>
      </c>
      <c r="AC252" s="506"/>
      <c r="AD252" s="573">
        <v>1</v>
      </c>
      <c r="AE252" s="573">
        <v>2</v>
      </c>
      <c r="AF252" s="154">
        <v>1</v>
      </c>
      <c r="AG252" s="155" t="s">
        <v>3157</v>
      </c>
      <c r="AH252" s="121">
        <v>2</v>
      </c>
      <c r="AI252" s="484"/>
      <c r="AJ252" s="202"/>
      <c r="AK252" s="192">
        <v>1</v>
      </c>
      <c r="AL252" s="203" t="s">
        <v>24</v>
      </c>
      <c r="AM252" s="121" t="s">
        <v>3132</v>
      </c>
      <c r="AN252" s="121" t="s">
        <v>3130</v>
      </c>
      <c r="AO252" s="121" t="s">
        <v>3131</v>
      </c>
      <c r="AP252" s="121" t="s">
        <v>803</v>
      </c>
      <c r="AQ252" s="121" t="s">
        <v>803</v>
      </c>
      <c r="AR252" s="121" t="s">
        <v>3133</v>
      </c>
      <c r="AS252" s="121">
        <v>2.8</v>
      </c>
      <c r="AT252" s="121" t="s">
        <v>3134</v>
      </c>
      <c r="AU252" s="121">
        <v>2.5</v>
      </c>
      <c r="AV252" s="121" t="s">
        <v>1874</v>
      </c>
      <c r="AW252" s="121" t="s">
        <v>24</v>
      </c>
      <c r="AX252" s="121" t="s">
        <v>24</v>
      </c>
      <c r="AY252" s="121" t="s">
        <v>3135</v>
      </c>
      <c r="AZ252" s="121" t="s">
        <v>2875</v>
      </c>
      <c r="BA252" s="121" t="s">
        <v>1875</v>
      </c>
      <c r="BB252" s="121"/>
      <c r="BC252" s="121"/>
      <c r="BD252" s="156">
        <v>1</v>
      </c>
      <c r="BE252" s="156"/>
      <c r="BF252" s="156"/>
      <c r="BG252" s="156"/>
      <c r="BH252" s="156"/>
      <c r="BI252" s="156"/>
      <c r="BJ252" s="156"/>
      <c r="BK252" s="156"/>
      <c r="BL252" s="156"/>
      <c r="BM252" s="156"/>
      <c r="BN252" s="156"/>
      <c r="BO252" s="156"/>
      <c r="BP252" s="156"/>
      <c r="BQ252" s="157" t="s">
        <v>1891</v>
      </c>
      <c r="BR252" s="134" t="s">
        <v>1876</v>
      </c>
      <c r="BS252" s="134" t="s">
        <v>3136</v>
      </c>
      <c r="BT252" s="134" t="s">
        <v>3137</v>
      </c>
      <c r="BU252" s="134" t="s">
        <v>2470</v>
      </c>
      <c r="BV252" s="134" t="s">
        <v>3138</v>
      </c>
      <c r="BW252" s="259" t="s">
        <v>3166</v>
      </c>
      <c r="BX252" s="138" t="s">
        <v>3139</v>
      </c>
      <c r="BY252" s="134">
        <v>0.39906700000000001</v>
      </c>
      <c r="BZ252" s="134" t="s">
        <v>24</v>
      </c>
      <c r="CA252" s="134">
        <f>0.531716-Table665[[#This Row],[Outcome1_M]]</f>
        <v>0.13264899999999996</v>
      </c>
      <c r="CB252" s="138" t="s">
        <v>3140</v>
      </c>
      <c r="CC252" s="134">
        <v>0.31679099999999999</v>
      </c>
      <c r="CD252" s="134" t="s">
        <v>24</v>
      </c>
      <c r="CE252" s="134">
        <f>0.425933-Table665[[#This Row],[Outcome2_M]]</f>
        <v>0.10914200000000002</v>
      </c>
      <c r="CF252" s="288" t="s">
        <v>3168</v>
      </c>
      <c r="CG252" s="291" t="s">
        <v>3167</v>
      </c>
      <c r="CH252" s="138" t="s">
        <v>3143</v>
      </c>
      <c r="CI252" s="134">
        <v>0.365485</v>
      </c>
      <c r="CJ252" s="168" t="s">
        <v>24</v>
      </c>
      <c r="CK252" s="134">
        <f>0.481343-Table665[[#This Row],[Outcome3_M]]</f>
        <v>0.11585800000000002</v>
      </c>
      <c r="CL252" s="138" t="s">
        <v>3144</v>
      </c>
      <c r="CM252" s="134">
        <v>0.325187</v>
      </c>
      <c r="CN252" s="134" t="s">
        <v>24</v>
      </c>
      <c r="CO252" s="134">
        <f>0.419216-Table665[[#This Row],[Outcome4_M]]</f>
        <v>9.4028999999999974E-2</v>
      </c>
      <c r="CP252" s="288"/>
      <c r="CQ252" s="289"/>
      <c r="CR252" s="276"/>
      <c r="CS252" s="308"/>
      <c r="CT252" s="138" t="s">
        <v>3141</v>
      </c>
      <c r="CU252" s="134">
        <v>0.58209</v>
      </c>
      <c r="CV252" s="134" t="s">
        <v>24</v>
      </c>
      <c r="CW252" s="134">
        <f>0.724813-Table665[[#This Row],[Outcome5_M]]</f>
        <v>0.14272300000000004</v>
      </c>
      <c r="CX252" s="138" t="s">
        <v>3142</v>
      </c>
      <c r="CY252" s="134">
        <v>0.34533599999999998</v>
      </c>
      <c r="CZ252" s="134" t="s">
        <v>24</v>
      </c>
      <c r="DA252" s="134">
        <f>0.483022-Table665[[#This Row],[Outcome6_M]]</f>
        <v>0.13768600000000003</v>
      </c>
      <c r="DB252" s="300"/>
      <c r="DC252" s="301"/>
      <c r="DD252" s="138" t="s">
        <v>3145</v>
      </c>
      <c r="DE252" s="134">
        <v>0.55018699999999998</v>
      </c>
      <c r="DF252" s="134" t="s">
        <v>24</v>
      </c>
      <c r="DG252" s="134">
        <f>0.627425-Table665[[#This Row],[Outcome7_M]]</f>
        <v>7.7238000000000029E-2</v>
      </c>
      <c r="DH252" s="138" t="s">
        <v>3146</v>
      </c>
      <c r="DI252" s="134">
        <v>0.321828</v>
      </c>
      <c r="DJ252" s="134" t="s">
        <v>24</v>
      </c>
      <c r="DK252" s="134">
        <f>0.437687-Table665[[#This Row],[Outcome8_M]]</f>
        <v>0.11585899999999999</v>
      </c>
      <c r="DL252" s="300"/>
      <c r="DM252" s="301"/>
      <c r="DN252" s="276"/>
      <c r="DO252" s="277"/>
      <c r="DP252" s="134" t="s">
        <v>24</v>
      </c>
      <c r="DQ252" s="134"/>
      <c r="DR252" s="134"/>
      <c r="DS252" s="134"/>
      <c r="DT252" s="138"/>
      <c r="DU252" s="134"/>
      <c r="DV252" s="134"/>
      <c r="DW252" s="134"/>
      <c r="DX252" s="301"/>
      <c r="DY252" s="301"/>
      <c r="DZ252" s="138"/>
      <c r="EA252" s="134"/>
      <c r="EB252" s="134"/>
      <c r="EC252" s="134"/>
      <c r="ED252" s="138"/>
      <c r="EE252" s="134"/>
      <c r="EF252" s="134"/>
      <c r="EG252" s="134"/>
      <c r="EH252" s="301"/>
      <c r="EI252" s="301"/>
      <c r="EJ252" s="277"/>
      <c r="EK252" s="134"/>
      <c r="EL252" s="134"/>
      <c r="EM252" s="134"/>
      <c r="EN252" s="134"/>
      <c r="EO252" s="134"/>
      <c r="EP252" s="134"/>
      <c r="EQ252" s="134"/>
      <c r="ER252" s="134"/>
      <c r="ES252" s="301"/>
      <c r="ET252" s="301"/>
      <c r="EU252" s="134"/>
      <c r="EV252" s="134"/>
      <c r="EW252" s="134"/>
      <c r="EX252" s="134"/>
      <c r="EY252" s="134"/>
      <c r="EZ252" s="134"/>
      <c r="FA252" s="134"/>
      <c r="FB252" s="134"/>
      <c r="FC252" s="135"/>
      <c r="FD252" s="135"/>
      <c r="FE252" s="134"/>
      <c r="FF252" s="134"/>
      <c r="FG252" s="134"/>
      <c r="FH252" s="134"/>
      <c r="FI252" s="134"/>
      <c r="FJ252" s="134"/>
      <c r="FK252" s="134"/>
      <c r="FL252" s="134"/>
      <c r="FM252" s="135"/>
      <c r="FN252" s="135"/>
      <c r="FO252" s="134"/>
      <c r="FP252" s="134"/>
      <c r="FQ252" s="134"/>
      <c r="FR252" s="134"/>
      <c r="FS252" s="134"/>
      <c r="FT252" s="134"/>
      <c r="FU252" s="134"/>
      <c r="FV252" s="134"/>
      <c r="FW252" s="135"/>
      <c r="FX252" s="135"/>
      <c r="FY252" s="134"/>
      <c r="FZ252" s="134"/>
      <c r="GA252" s="134"/>
      <c r="GB252" s="134"/>
      <c r="GC252" s="134"/>
      <c r="GD252" s="134"/>
      <c r="GE252" s="134"/>
      <c r="GF252" s="134"/>
      <c r="GG252" s="135"/>
      <c r="GH252" s="135"/>
      <c r="GI252" s="134"/>
      <c r="GJ252" s="134"/>
      <c r="GK252" s="134"/>
      <c r="GL252" s="134"/>
      <c r="GM252" s="134"/>
      <c r="GN252" s="134"/>
      <c r="GO252" s="134"/>
      <c r="GP252" s="134"/>
      <c r="GQ252" s="135"/>
      <c r="GR252" s="135"/>
      <c r="GS252" s="134"/>
      <c r="GT252" s="134"/>
      <c r="GU252" s="134"/>
      <c r="GV252" s="134"/>
      <c r="GW252" s="134"/>
      <c r="GX252" s="134"/>
      <c r="GY252" s="134"/>
      <c r="GZ252" s="134"/>
      <c r="HA252" s="135"/>
      <c r="HB252" s="135"/>
      <c r="HC252" s="134"/>
      <c r="HD252" s="134"/>
      <c r="HE252" s="134"/>
      <c r="HF252" s="134"/>
      <c r="HG252" s="134"/>
      <c r="HH252" s="134"/>
      <c r="HI252" s="134"/>
      <c r="HJ252" s="134"/>
      <c r="HK252" s="135"/>
      <c r="HL252" s="135"/>
      <c r="HM252" s="134"/>
      <c r="HN252" s="134"/>
      <c r="HO252" s="134"/>
      <c r="HP252" s="134"/>
      <c r="HQ252" s="134"/>
      <c r="HR252" s="134"/>
      <c r="HS252" s="134"/>
      <c r="HT252" s="134"/>
      <c r="HU252" s="135"/>
      <c r="HV252" s="135"/>
      <c r="HW252" s="134"/>
      <c r="HX252" s="134"/>
      <c r="HY252" s="134"/>
      <c r="HZ252" s="134"/>
      <c r="IA252" s="134"/>
      <c r="IB252" s="134"/>
      <c r="IC252" s="134"/>
      <c r="ID252" s="134"/>
      <c r="IE252" s="135"/>
      <c r="IF252" s="135"/>
      <c r="IG252" s="134"/>
      <c r="IH252" s="134"/>
      <c r="II252" s="134"/>
      <c r="IJ252" s="134"/>
      <c r="IK252" s="134"/>
      <c r="IL252" s="134"/>
      <c r="IM252" s="134"/>
      <c r="IN252" s="134"/>
      <c r="IO252" s="135"/>
      <c r="IP252" s="135"/>
      <c r="IQ252" s="134"/>
      <c r="IR252" s="134"/>
      <c r="IS252" s="134"/>
      <c r="IT252" s="134"/>
      <c r="IU252" s="134"/>
      <c r="IV252" s="134"/>
      <c r="IW252" s="134"/>
      <c r="IX252" s="134"/>
      <c r="IY252" s="135"/>
      <c r="IZ252" s="135"/>
    </row>
    <row r="253" spans="1:260" customFormat="1" ht="17" customHeight="1">
      <c r="A253" s="118" t="s">
        <v>225</v>
      </c>
      <c r="B253" s="363">
        <v>28</v>
      </c>
      <c r="C253" s="363"/>
      <c r="D253" s="363"/>
      <c r="E253" s="139" t="s">
        <v>1987</v>
      </c>
      <c r="F253" s="140" t="s">
        <v>2213</v>
      </c>
      <c r="G253" s="141">
        <v>2008</v>
      </c>
      <c r="H253" s="118">
        <v>18313695</v>
      </c>
      <c r="I253" s="118">
        <v>1</v>
      </c>
      <c r="J253" s="118"/>
      <c r="K253" s="118"/>
      <c r="L253" s="118">
        <v>1</v>
      </c>
      <c r="M253" s="118"/>
      <c r="N253" s="118">
        <v>1</v>
      </c>
      <c r="O253" s="142">
        <v>1</v>
      </c>
      <c r="P253" s="118" t="s">
        <v>627</v>
      </c>
      <c r="Q253" s="118" t="s">
        <v>1142</v>
      </c>
      <c r="R253" s="118" t="s">
        <v>628</v>
      </c>
      <c r="S253" s="118">
        <v>1</v>
      </c>
      <c r="T253" s="118"/>
      <c r="U253" s="118"/>
      <c r="V253" s="118"/>
      <c r="W253" s="118" t="s">
        <v>629</v>
      </c>
      <c r="X253" s="118" t="s">
        <v>24</v>
      </c>
      <c r="Y253" s="118" t="s">
        <v>630</v>
      </c>
      <c r="Z253" s="118"/>
      <c r="AA253" s="118"/>
      <c r="AB253" s="118" t="s">
        <v>631</v>
      </c>
      <c r="AC253" s="145"/>
      <c r="AD253" s="573">
        <v>1</v>
      </c>
      <c r="AE253" s="573">
        <v>2</v>
      </c>
      <c r="AF253" s="159">
        <v>1</v>
      </c>
      <c r="AG253" s="160" t="s">
        <v>3157</v>
      </c>
      <c r="AH253" s="122">
        <v>2</v>
      </c>
      <c r="AI253" s="485"/>
      <c r="AJ253" s="204"/>
      <c r="AK253" s="192">
        <v>1</v>
      </c>
      <c r="AL253" s="205" t="s">
        <v>24</v>
      </c>
      <c r="AM253" s="122" t="s">
        <v>3132</v>
      </c>
      <c r="AN253" s="122" t="s">
        <v>3130</v>
      </c>
      <c r="AO253" s="122" t="s">
        <v>3131</v>
      </c>
      <c r="AP253" s="122" t="s">
        <v>803</v>
      </c>
      <c r="AQ253" s="122" t="s">
        <v>803</v>
      </c>
      <c r="AR253" s="122" t="s">
        <v>3133</v>
      </c>
      <c r="AS253" s="122">
        <v>2.8</v>
      </c>
      <c r="AT253" s="122" t="s">
        <v>3134</v>
      </c>
      <c r="AU253" s="122">
        <v>2.5</v>
      </c>
      <c r="AV253" s="122" t="s">
        <v>1874</v>
      </c>
      <c r="AW253" s="122" t="s">
        <v>24</v>
      </c>
      <c r="AX253" s="122" t="s">
        <v>24</v>
      </c>
      <c r="AY253" s="122" t="s">
        <v>3135</v>
      </c>
      <c r="AZ253" s="122" t="s">
        <v>2875</v>
      </c>
      <c r="BA253" s="122" t="s">
        <v>1875</v>
      </c>
      <c r="BB253" s="122"/>
      <c r="BC253" s="122"/>
      <c r="BD253" s="161">
        <v>1</v>
      </c>
      <c r="BE253" s="161"/>
      <c r="BF253" s="161"/>
      <c r="BG253" s="161"/>
      <c r="BH253" s="161"/>
      <c r="BI253" s="161"/>
      <c r="BJ253" s="161"/>
      <c r="BK253" s="161"/>
      <c r="BL253" s="161"/>
      <c r="BM253" s="161"/>
      <c r="BN253" s="161"/>
      <c r="BO253" s="161"/>
      <c r="BP253" s="161"/>
      <c r="BQ253" s="162" t="s">
        <v>3155</v>
      </c>
      <c r="BR253" s="150" t="s">
        <v>1876</v>
      </c>
      <c r="BS253" s="150" t="s">
        <v>3136</v>
      </c>
      <c r="BT253" s="150" t="s">
        <v>3137</v>
      </c>
      <c r="BU253" s="150" t="s">
        <v>2470</v>
      </c>
      <c r="BV253" s="150" t="s">
        <v>3138</v>
      </c>
      <c r="BW253" s="258" t="s">
        <v>3169</v>
      </c>
      <c r="BX253" s="151" t="s">
        <v>3147</v>
      </c>
      <c r="BY253" s="150">
        <v>0.17238800000000001</v>
      </c>
      <c r="BZ253" s="150" t="s">
        <v>24</v>
      </c>
      <c r="CA253" s="150">
        <f>0.266418-Table665[[#This Row],[Outcome1_M]]</f>
        <v>9.4029999999999975E-2</v>
      </c>
      <c r="CB253" s="151" t="s">
        <v>3148</v>
      </c>
      <c r="CC253" s="150">
        <v>5.3171599999999999E-2</v>
      </c>
      <c r="CD253" s="150" t="s">
        <v>24</v>
      </c>
      <c r="CE253" s="150">
        <f>0.100187-Table665[[#This Row],[Outcome2_M]]</f>
        <v>4.7015399999999999E-2</v>
      </c>
      <c r="CF253" s="290" t="s">
        <v>3171</v>
      </c>
      <c r="CG253" s="291" t="s">
        <v>3172</v>
      </c>
      <c r="CH253" s="151" t="s">
        <v>3149</v>
      </c>
      <c r="CI253" s="150">
        <v>0.184142</v>
      </c>
      <c r="CJ253" s="228" t="s">
        <v>24</v>
      </c>
      <c r="CK253" s="150">
        <f>0.274813-Table665[[#This Row],[Outcome3_M]]</f>
        <v>9.0670999999999974E-2</v>
      </c>
      <c r="CL253" s="151" t="s">
        <v>3150</v>
      </c>
      <c r="CM253" s="150">
        <v>0.12873100000000001</v>
      </c>
      <c r="CN253" s="150" t="s">
        <v>24</v>
      </c>
      <c r="CO253" s="150">
        <f>0.204291-Table665[[#This Row],[Outcome4_M]]</f>
        <v>7.5559999999999988E-2</v>
      </c>
      <c r="CP253" s="290"/>
      <c r="CQ253" s="291"/>
      <c r="CR253" s="278"/>
      <c r="CS253" s="285"/>
      <c r="CT253" s="151" t="s">
        <v>3151</v>
      </c>
      <c r="CU253" s="150">
        <v>9.1790999999999998E-2</v>
      </c>
      <c r="CV253" s="150" t="s">
        <v>24</v>
      </c>
      <c r="CW253" s="150">
        <f>0.236194-Table665[[#This Row],[Outcome5_M]]</f>
        <v>0.144403</v>
      </c>
      <c r="CX253" s="151" t="s">
        <v>3152</v>
      </c>
      <c r="CY253" s="150">
        <v>6.6604499999999997E-2</v>
      </c>
      <c r="CZ253" s="150" t="s">
        <v>24</v>
      </c>
      <c r="DA253" s="150">
        <f>0.158955-Table665[[#This Row],[Outcome6_M]]</f>
        <v>9.2350500000000016E-2</v>
      </c>
      <c r="DB253" s="302"/>
      <c r="DC253" s="303"/>
      <c r="DD253" s="151" t="s">
        <v>3153</v>
      </c>
      <c r="DE253" s="150">
        <v>0.15559700000000001</v>
      </c>
      <c r="DF253" s="150" t="s">
        <v>24</v>
      </c>
      <c r="DG253" s="150">
        <f>0.279851-Table665[[#This Row],[Outcome7_M]]</f>
        <v>0.124254</v>
      </c>
      <c r="DH253" s="151" t="s">
        <v>3154</v>
      </c>
      <c r="DI253" s="150">
        <v>0.108582</v>
      </c>
      <c r="DJ253" s="150" t="s">
        <v>24</v>
      </c>
      <c r="DK253" s="150">
        <f>0.158955-Table665[[#This Row],[Outcome8_M]]</f>
        <v>5.0373000000000015E-2</v>
      </c>
      <c r="DL253" s="302"/>
      <c r="DM253" s="303"/>
      <c r="DN253" s="278"/>
      <c r="DO253" s="279"/>
      <c r="DP253" s="150" t="s">
        <v>24</v>
      </c>
      <c r="DQ253" s="150"/>
      <c r="DR253" s="150"/>
      <c r="DS253" s="150"/>
      <c r="DT253" s="151"/>
      <c r="DU253" s="150"/>
      <c r="DV253" s="150"/>
      <c r="DW253" s="150"/>
      <c r="DX253" s="303"/>
      <c r="DY253" s="303"/>
      <c r="DZ253" s="151"/>
      <c r="EA253" s="150"/>
      <c r="EB253" s="150"/>
      <c r="EC253" s="150"/>
      <c r="ED253" s="151"/>
      <c r="EE253" s="150"/>
      <c r="EF253" s="150"/>
      <c r="EG253" s="150"/>
      <c r="EH253" s="303"/>
      <c r="EI253" s="303"/>
      <c r="EJ253" s="279"/>
      <c r="EK253" s="150"/>
      <c r="EL253" s="150"/>
      <c r="EM253" s="150"/>
      <c r="EN253" s="150"/>
      <c r="EO253" s="150"/>
      <c r="EP253" s="150"/>
      <c r="EQ253" s="150"/>
      <c r="ER253" s="150"/>
      <c r="ES253" s="303"/>
      <c r="ET253" s="303"/>
      <c r="EU253" s="150"/>
      <c r="EV253" s="150"/>
      <c r="EW253" s="150"/>
      <c r="EX253" s="150"/>
      <c r="EY253" s="134"/>
      <c r="EZ253" s="134"/>
      <c r="FA253" s="134"/>
      <c r="FB253" s="134"/>
      <c r="FC253" s="135"/>
      <c r="FD253" s="135"/>
      <c r="FE253" s="134"/>
      <c r="FF253" s="134"/>
      <c r="FG253" s="134"/>
      <c r="FH253" s="134"/>
      <c r="FI253" s="134"/>
      <c r="FJ253" s="134"/>
      <c r="FK253" s="134"/>
      <c r="FL253" s="134"/>
      <c r="FM253" s="135"/>
      <c r="FN253" s="135"/>
      <c r="FO253" s="134"/>
      <c r="FP253" s="134"/>
      <c r="FQ253" s="134"/>
      <c r="FR253" s="134"/>
      <c r="FS253" s="134"/>
      <c r="FT253" s="134"/>
      <c r="FU253" s="134"/>
      <c r="FV253" s="134"/>
      <c r="FW253" s="135"/>
      <c r="FX253" s="135"/>
      <c r="FY253" s="134"/>
      <c r="FZ253" s="134"/>
      <c r="GA253" s="134"/>
      <c r="GB253" s="134"/>
      <c r="GC253" s="134"/>
      <c r="GD253" s="134"/>
      <c r="GE253" s="134"/>
      <c r="GF253" s="134"/>
      <c r="GG253" s="135"/>
      <c r="GH253" s="135"/>
      <c r="GI253" s="134"/>
      <c r="GJ253" s="134"/>
      <c r="GK253" s="134"/>
      <c r="GL253" s="134"/>
      <c r="GM253" s="134"/>
      <c r="GN253" s="134"/>
      <c r="GO253" s="134"/>
      <c r="GP253" s="134"/>
      <c r="GQ253" s="135"/>
      <c r="GR253" s="135"/>
      <c r="GS253" s="134"/>
      <c r="GT253" s="134"/>
      <c r="GU253" s="134"/>
      <c r="GV253" s="134"/>
      <c r="GW253" s="134"/>
      <c r="GX253" s="134"/>
      <c r="GY253" s="134"/>
      <c r="GZ253" s="134"/>
      <c r="HA253" s="135"/>
      <c r="HB253" s="135"/>
      <c r="HC253" s="134"/>
      <c r="HD253" s="134"/>
      <c r="HE253" s="134"/>
      <c r="HF253" s="134"/>
      <c r="HG253" s="134"/>
      <c r="HH253" s="134"/>
      <c r="HI253" s="134"/>
      <c r="HJ253" s="134"/>
      <c r="HK253" s="135"/>
      <c r="HL253" s="135"/>
      <c r="HM253" s="134"/>
      <c r="HN253" s="134"/>
      <c r="HO253" s="134"/>
      <c r="HP253" s="134"/>
      <c r="HQ253" s="134"/>
      <c r="HR253" s="134"/>
      <c r="HS253" s="134"/>
      <c r="HT253" s="134"/>
      <c r="HU253" s="135"/>
      <c r="HV253" s="135"/>
      <c r="HW253" s="134"/>
      <c r="HX253" s="134"/>
      <c r="HY253" s="134"/>
      <c r="HZ253" s="134"/>
      <c r="IA253" s="134"/>
      <c r="IB253" s="134"/>
      <c r="IC253" s="134"/>
      <c r="ID253" s="134"/>
      <c r="IE253" s="135"/>
      <c r="IF253" s="135"/>
      <c r="IG253" s="134"/>
      <c r="IH253" s="134"/>
      <c r="II253" s="134"/>
      <c r="IJ253" s="134"/>
      <c r="IK253" s="134"/>
      <c r="IL253" s="134"/>
      <c r="IM253" s="134"/>
      <c r="IN253" s="134"/>
      <c r="IO253" s="135"/>
      <c r="IP253" s="135"/>
      <c r="IQ253" s="134"/>
      <c r="IR253" s="134"/>
      <c r="IS253" s="134"/>
      <c r="IT253" s="134"/>
      <c r="IU253" s="134"/>
      <c r="IV253" s="134"/>
      <c r="IW253" s="134"/>
      <c r="IX253" s="134"/>
      <c r="IY253" s="135"/>
      <c r="IZ253" s="135"/>
    </row>
    <row r="254" spans="1:260" customFormat="1" ht="17" customHeight="1">
      <c r="A254" s="118" t="s">
        <v>225</v>
      </c>
      <c r="B254" s="363">
        <v>28</v>
      </c>
      <c r="C254" s="363"/>
      <c r="D254" s="363"/>
      <c r="E254" s="139" t="s">
        <v>1987</v>
      </c>
      <c r="F254" s="140" t="s">
        <v>2213</v>
      </c>
      <c r="G254" s="141">
        <v>2008</v>
      </c>
      <c r="H254" s="118">
        <v>18313695</v>
      </c>
      <c r="I254" s="118">
        <v>1</v>
      </c>
      <c r="J254" s="118"/>
      <c r="K254" s="118"/>
      <c r="L254" s="118">
        <v>1</v>
      </c>
      <c r="M254" s="118"/>
      <c r="N254" s="118">
        <v>1</v>
      </c>
      <c r="O254" s="142">
        <v>1</v>
      </c>
      <c r="P254" s="118" t="s">
        <v>627</v>
      </c>
      <c r="Q254" s="118" t="s">
        <v>1142</v>
      </c>
      <c r="R254" s="118" t="s">
        <v>628</v>
      </c>
      <c r="S254" s="118">
        <v>1</v>
      </c>
      <c r="T254" s="118"/>
      <c r="U254" s="118"/>
      <c r="V254" s="118"/>
      <c r="W254" s="118" t="s">
        <v>629</v>
      </c>
      <c r="X254" s="118" t="s">
        <v>24</v>
      </c>
      <c r="Y254" s="118" t="s">
        <v>630</v>
      </c>
      <c r="Z254" s="118"/>
      <c r="AA254" s="118"/>
      <c r="AB254" s="118" t="s">
        <v>631</v>
      </c>
      <c r="AC254" s="145"/>
      <c r="AD254" s="573">
        <v>1</v>
      </c>
      <c r="AE254" s="573">
        <v>2</v>
      </c>
      <c r="AF254" s="159">
        <v>1</v>
      </c>
      <c r="AG254" s="160" t="s">
        <v>3157</v>
      </c>
      <c r="AH254" s="122">
        <v>2</v>
      </c>
      <c r="AI254" s="485"/>
      <c r="AJ254" s="204"/>
      <c r="AK254" s="192">
        <v>1</v>
      </c>
      <c r="AL254" s="205" t="s">
        <v>24</v>
      </c>
      <c r="AM254" s="122" t="s">
        <v>3132</v>
      </c>
      <c r="AN254" s="122" t="s">
        <v>3130</v>
      </c>
      <c r="AO254" s="122" t="s">
        <v>3131</v>
      </c>
      <c r="AP254" s="122" t="s">
        <v>803</v>
      </c>
      <c r="AQ254" s="122" t="s">
        <v>803</v>
      </c>
      <c r="AR254" s="122" t="s">
        <v>3133</v>
      </c>
      <c r="AS254" s="122">
        <v>2.8</v>
      </c>
      <c r="AT254" s="122" t="s">
        <v>3134</v>
      </c>
      <c r="AU254" s="122">
        <v>2.5</v>
      </c>
      <c r="AV254" s="122" t="s">
        <v>1874</v>
      </c>
      <c r="AW254" s="122" t="s">
        <v>24</v>
      </c>
      <c r="AX254" s="122" t="s">
        <v>24</v>
      </c>
      <c r="AY254" s="122" t="s">
        <v>3135</v>
      </c>
      <c r="AZ254" s="122" t="s">
        <v>2875</v>
      </c>
      <c r="BA254" s="122" t="s">
        <v>1875</v>
      </c>
      <c r="BB254" s="122"/>
      <c r="BC254" s="122"/>
      <c r="BD254" s="161">
        <v>1</v>
      </c>
      <c r="BE254" s="161"/>
      <c r="BF254" s="161"/>
      <c r="BG254" s="161"/>
      <c r="BH254" s="161"/>
      <c r="BI254" s="161"/>
      <c r="BJ254" s="161"/>
      <c r="BK254" s="161"/>
      <c r="BL254" s="161"/>
      <c r="BM254" s="161"/>
      <c r="BN254" s="161"/>
      <c r="BO254" s="161"/>
      <c r="BP254" s="161"/>
      <c r="BQ254" s="162" t="s">
        <v>3156</v>
      </c>
      <c r="BR254" s="150" t="s">
        <v>1876</v>
      </c>
      <c r="BS254" s="150" t="s">
        <v>3136</v>
      </c>
      <c r="BT254" s="150" t="s">
        <v>3137</v>
      </c>
      <c r="BU254" s="150" t="s">
        <v>2470</v>
      </c>
      <c r="BV254" s="150" t="s">
        <v>3138</v>
      </c>
      <c r="BW254" s="258" t="s">
        <v>3170</v>
      </c>
      <c r="BX254" s="151" t="s">
        <v>3158</v>
      </c>
      <c r="BY254" s="150">
        <v>0.47966399999999998</v>
      </c>
      <c r="BZ254" s="150" t="s">
        <v>24</v>
      </c>
      <c r="CA254" s="150">
        <f>0.553545-Table665[[#This Row],[Outcome1_M]]</f>
        <v>7.3880999999999974E-2</v>
      </c>
      <c r="CB254" s="151" t="s">
        <v>3159</v>
      </c>
      <c r="CC254" s="150">
        <v>0.288246</v>
      </c>
      <c r="CD254" s="150" t="s">
        <v>24</v>
      </c>
      <c r="CE254" s="150">
        <f>0.385634-Table665[[#This Row],[Outcome2_M]]</f>
        <v>9.7387999999999975E-2</v>
      </c>
      <c r="CF254" s="290" t="s">
        <v>3174</v>
      </c>
      <c r="CG254" s="289" t="s">
        <v>3173</v>
      </c>
      <c r="CH254" s="151" t="s">
        <v>3160</v>
      </c>
      <c r="CI254" s="150">
        <v>0.27313399999999999</v>
      </c>
      <c r="CJ254" s="228" t="s">
        <v>24</v>
      </c>
      <c r="CK254" s="150">
        <f>0.378918-Table665[[#This Row],[Outcome3_M]]</f>
        <v>0.10578399999999999</v>
      </c>
      <c r="CL254" s="151" t="s">
        <v>3161</v>
      </c>
      <c r="CM254" s="150">
        <v>6.9962700000000003E-2</v>
      </c>
      <c r="CN254" s="150" t="s">
        <v>24</v>
      </c>
      <c r="CO254" s="150">
        <f>0.162313-Table665[[#This Row],[Outcome4_M]]</f>
        <v>9.235030000000001E-2</v>
      </c>
      <c r="CP254" s="290"/>
      <c r="CQ254" s="291"/>
      <c r="CR254" s="278"/>
      <c r="CS254" s="285"/>
      <c r="CT254" s="151" t="s">
        <v>3162</v>
      </c>
      <c r="CU254" s="150">
        <v>0.25298500000000002</v>
      </c>
      <c r="CV254" s="150" t="s">
        <v>24</v>
      </c>
      <c r="CW254" s="150">
        <f>0.338619-Table665[[#This Row],[Outcome5_M]]</f>
        <v>8.5633999999999988E-2</v>
      </c>
      <c r="CX254" s="151" t="s">
        <v>3163</v>
      </c>
      <c r="CY254" s="150">
        <v>-2.7425399999999999E-2</v>
      </c>
      <c r="CZ254" s="150" t="s">
        <v>24</v>
      </c>
      <c r="DA254" s="150">
        <f>-0.069403-Table665[[#This Row],[Outcome6_M]]</f>
        <v>-4.1977600000000004E-2</v>
      </c>
      <c r="DB254" s="302"/>
      <c r="DC254" s="303"/>
      <c r="DD254" s="151" t="s">
        <v>3164</v>
      </c>
      <c r="DE254" s="150">
        <v>0.298321</v>
      </c>
      <c r="DF254" s="150" t="s">
        <v>24</v>
      </c>
      <c r="DG254" s="150">
        <f>0.43097-Table665[[#This Row],[Outcome7_M]]</f>
        <v>0.13264900000000002</v>
      </c>
      <c r="DH254" s="151" t="s">
        <v>3165</v>
      </c>
      <c r="DI254" s="150">
        <v>-2.0709000000000002E-2</v>
      </c>
      <c r="DJ254" s="150" t="s">
        <v>24</v>
      </c>
      <c r="DK254" s="150">
        <f>-0.0777985-Table665[[#This Row],[Outcome8_M]]</f>
        <v>-5.7089500000000001E-2</v>
      </c>
      <c r="DL254" s="302"/>
      <c r="DM254" s="303"/>
      <c r="DN254" s="278"/>
      <c r="DO254" s="279"/>
      <c r="DP254" s="150" t="s">
        <v>24</v>
      </c>
      <c r="DQ254" s="150"/>
      <c r="DR254" s="150"/>
      <c r="DS254" s="150"/>
      <c r="DT254" s="151"/>
      <c r="DU254" s="150"/>
      <c r="DV254" s="150"/>
      <c r="DW254" s="150"/>
      <c r="DX254" s="303"/>
      <c r="DY254" s="303"/>
      <c r="DZ254" s="151"/>
      <c r="EA254" s="150"/>
      <c r="EB254" s="150"/>
      <c r="EC254" s="150"/>
      <c r="ED254" s="151"/>
      <c r="EE254" s="150"/>
      <c r="EF254" s="150"/>
      <c r="EG254" s="150"/>
      <c r="EH254" s="303"/>
      <c r="EI254" s="303"/>
      <c r="EJ254" s="279"/>
      <c r="EK254" s="150"/>
      <c r="EL254" s="150"/>
      <c r="EM254" s="150"/>
      <c r="EN254" s="150"/>
      <c r="EO254" s="150"/>
      <c r="EP254" s="150"/>
      <c r="EQ254" s="150"/>
      <c r="ER254" s="150"/>
      <c r="ES254" s="303"/>
      <c r="ET254" s="303"/>
      <c r="EU254" s="150"/>
      <c r="EV254" s="150"/>
      <c r="EW254" s="150"/>
      <c r="EX254" s="150"/>
      <c r="EY254" s="134"/>
      <c r="EZ254" s="134"/>
      <c r="FA254" s="134"/>
      <c r="FB254" s="134"/>
      <c r="FC254" s="135"/>
      <c r="FD254" s="135"/>
      <c r="FE254" s="134"/>
      <c r="FF254" s="134"/>
      <c r="FG254" s="134"/>
      <c r="FH254" s="134"/>
      <c r="FI254" s="134"/>
      <c r="FJ254" s="134"/>
      <c r="FK254" s="134"/>
      <c r="FL254" s="134"/>
      <c r="FM254" s="135"/>
      <c r="FN254" s="135"/>
      <c r="FO254" s="134"/>
      <c r="FP254" s="134"/>
      <c r="FQ254" s="134"/>
      <c r="FR254" s="134"/>
      <c r="FS254" s="134"/>
      <c r="FT254" s="134"/>
      <c r="FU254" s="134"/>
      <c r="FV254" s="134"/>
      <c r="FW254" s="135"/>
      <c r="FX254" s="135"/>
      <c r="FY254" s="134"/>
      <c r="FZ254" s="134"/>
      <c r="GA254" s="134"/>
      <c r="GB254" s="134"/>
      <c r="GC254" s="134"/>
      <c r="GD254" s="134"/>
      <c r="GE254" s="134"/>
      <c r="GF254" s="134"/>
      <c r="GG254" s="135"/>
      <c r="GH254" s="135"/>
      <c r="GI254" s="134"/>
      <c r="GJ254" s="134"/>
      <c r="GK254" s="134"/>
      <c r="GL254" s="134"/>
      <c r="GM254" s="134"/>
      <c r="GN254" s="134"/>
      <c r="GO254" s="134"/>
      <c r="GP254" s="134"/>
      <c r="GQ254" s="135"/>
      <c r="GR254" s="135"/>
      <c r="GS254" s="134"/>
      <c r="GT254" s="134"/>
      <c r="GU254" s="134"/>
      <c r="GV254" s="134"/>
      <c r="GW254" s="134"/>
      <c r="GX254" s="134"/>
      <c r="GY254" s="134"/>
      <c r="GZ254" s="134"/>
      <c r="HA254" s="135"/>
      <c r="HB254" s="135"/>
      <c r="HC254" s="134"/>
      <c r="HD254" s="134"/>
      <c r="HE254" s="134"/>
      <c r="HF254" s="134"/>
      <c r="HG254" s="134"/>
      <c r="HH254" s="134"/>
      <c r="HI254" s="134"/>
      <c r="HJ254" s="134"/>
      <c r="HK254" s="135"/>
      <c r="HL254" s="135"/>
      <c r="HM254" s="134"/>
      <c r="HN254" s="134"/>
      <c r="HO254" s="134"/>
      <c r="HP254" s="134"/>
      <c r="HQ254" s="134"/>
      <c r="HR254" s="134"/>
      <c r="HS254" s="134"/>
      <c r="HT254" s="134"/>
      <c r="HU254" s="135"/>
      <c r="HV254" s="135"/>
      <c r="HW254" s="134"/>
      <c r="HX254" s="134"/>
      <c r="HY254" s="134"/>
      <c r="HZ254" s="134"/>
      <c r="IA254" s="134"/>
      <c r="IB254" s="134"/>
      <c r="IC254" s="134"/>
      <c r="ID254" s="134"/>
      <c r="IE254" s="135"/>
      <c r="IF254" s="135"/>
      <c r="IG254" s="134"/>
      <c r="IH254" s="134"/>
      <c r="II254" s="134"/>
      <c r="IJ254" s="134"/>
      <c r="IK254" s="134"/>
      <c r="IL254" s="134"/>
      <c r="IM254" s="134"/>
      <c r="IN254" s="134"/>
      <c r="IO254" s="135"/>
      <c r="IP254" s="135"/>
      <c r="IQ254" s="134"/>
      <c r="IR254" s="134"/>
      <c r="IS254" s="134"/>
      <c r="IT254" s="134"/>
      <c r="IU254" s="134"/>
      <c r="IV254" s="134"/>
      <c r="IW254" s="134"/>
      <c r="IX254" s="134"/>
      <c r="IY254" s="135"/>
      <c r="IZ254" s="135"/>
    </row>
    <row r="255" spans="1:260" customFormat="1" ht="17" customHeight="1">
      <c r="A255" s="79" t="s">
        <v>1019</v>
      </c>
      <c r="B255" s="363">
        <v>29</v>
      </c>
      <c r="C255" s="363"/>
      <c r="D255" s="363"/>
      <c r="E255" s="123" t="s">
        <v>2094</v>
      </c>
      <c r="F255" s="124" t="s">
        <v>2349</v>
      </c>
      <c r="G255" s="125">
        <v>2013</v>
      </c>
      <c r="H255" s="79">
        <v>23474020</v>
      </c>
      <c r="I255" s="79">
        <v>1</v>
      </c>
      <c r="J255" s="126"/>
      <c r="K255" s="127"/>
      <c r="L255" s="79">
        <v>1</v>
      </c>
      <c r="M255" s="79"/>
      <c r="N255" s="153">
        <v>1</v>
      </c>
      <c r="O255" s="128">
        <v>2</v>
      </c>
      <c r="P255" s="79" t="s">
        <v>1419</v>
      </c>
      <c r="Q255" s="79" t="s">
        <v>1216</v>
      </c>
      <c r="R255" s="79" t="s">
        <v>1127</v>
      </c>
      <c r="S255" s="79"/>
      <c r="T255" s="79" t="s">
        <v>1487</v>
      </c>
      <c r="U255" s="79"/>
      <c r="V255" s="79"/>
      <c r="W255" s="79" t="s">
        <v>1418</v>
      </c>
      <c r="X255" s="79"/>
      <c r="Y255" s="79"/>
      <c r="Z255" s="79"/>
      <c r="AA255" s="79" t="s">
        <v>1666</v>
      </c>
      <c r="AB255" s="79" t="s">
        <v>1665</v>
      </c>
      <c r="AC255" s="506"/>
      <c r="AD255" s="573">
        <v>1</v>
      </c>
      <c r="AE255" s="573">
        <v>2</v>
      </c>
      <c r="AF255" s="154">
        <v>1</v>
      </c>
      <c r="AG255" s="155" t="s">
        <v>3178</v>
      </c>
      <c r="AH255" s="121">
        <v>4</v>
      </c>
      <c r="AI255" s="484"/>
      <c r="AJ255" s="202" t="s">
        <v>3176</v>
      </c>
      <c r="AK255" s="192">
        <v>0</v>
      </c>
      <c r="AL255" s="203" t="s">
        <v>3203</v>
      </c>
      <c r="AM255" s="121" t="s">
        <v>3180</v>
      </c>
      <c r="AN255" s="121" t="s">
        <v>3179</v>
      </c>
      <c r="AO255" s="121" t="s">
        <v>3179</v>
      </c>
      <c r="AP255" s="121" t="s">
        <v>1878</v>
      </c>
      <c r="AQ255" s="121" t="s">
        <v>1878</v>
      </c>
      <c r="AR255" s="121" t="s">
        <v>24</v>
      </c>
      <c r="AS255" s="121" t="s">
        <v>24</v>
      </c>
      <c r="AT255" s="121" t="s">
        <v>24</v>
      </c>
      <c r="AU255" s="121" t="s">
        <v>24</v>
      </c>
      <c r="AV255" s="121" t="s">
        <v>2963</v>
      </c>
      <c r="AW255" s="121">
        <v>1</v>
      </c>
      <c r="AX255" s="121">
        <v>1</v>
      </c>
      <c r="AY255" s="121"/>
      <c r="AZ255" s="121" t="s">
        <v>2912</v>
      </c>
      <c r="BA255" s="121" t="s">
        <v>2798</v>
      </c>
      <c r="BB255" s="121"/>
      <c r="BC255" s="121"/>
      <c r="BD255" s="156">
        <v>1</v>
      </c>
      <c r="BE255" s="156"/>
      <c r="BF255" s="156"/>
      <c r="BG255" s="156"/>
      <c r="BH255" s="156"/>
      <c r="BI255" s="156"/>
      <c r="BJ255" s="156"/>
      <c r="BK255" s="156"/>
      <c r="BL255" s="156"/>
      <c r="BM255" s="156"/>
      <c r="BN255" s="156"/>
      <c r="BO255" s="156"/>
      <c r="BP255" s="156"/>
      <c r="BQ255" s="157" t="s">
        <v>3194</v>
      </c>
      <c r="BR255" s="134" t="s">
        <v>1876</v>
      </c>
      <c r="BS255" s="134" t="s">
        <v>3177</v>
      </c>
      <c r="BT255" s="134" t="s">
        <v>3193</v>
      </c>
      <c r="BU255" s="134" t="s">
        <v>3175</v>
      </c>
      <c r="BV255" s="134" t="s">
        <v>2659</v>
      </c>
      <c r="BW255" s="259" t="s">
        <v>3202</v>
      </c>
      <c r="BX255" s="138" t="s">
        <v>3181</v>
      </c>
      <c r="BY255" s="134">
        <v>58.611199999999997</v>
      </c>
      <c r="BZ255" s="134" t="s">
        <v>24</v>
      </c>
      <c r="CA255" s="134">
        <f>61.3098-Table665[[#This Row],[Outcome1_M]]</f>
        <v>2.6986000000000061</v>
      </c>
      <c r="CB255" s="138" t="s">
        <v>3182</v>
      </c>
      <c r="CC255" s="134">
        <v>32.091999999999999</v>
      </c>
      <c r="CD255" s="134" t="s">
        <v>24</v>
      </c>
      <c r="CE255" s="134">
        <f>33.9967-Table665[[#This Row],[Outcome2_M]]</f>
        <v>1.9046999999999983</v>
      </c>
      <c r="CF255" s="288" t="s">
        <v>3195</v>
      </c>
      <c r="CG255" s="289" t="s">
        <v>3060</v>
      </c>
      <c r="CH255" s="138" t="s">
        <v>3183</v>
      </c>
      <c r="CI255" s="134">
        <v>55.651400000000002</v>
      </c>
      <c r="CJ255" s="134" t="s">
        <v>24</v>
      </c>
      <c r="CK255" s="134">
        <f>58.9847-Table665[[#This Row],[Outcome3_M]]</f>
        <v>3.3332999999999942</v>
      </c>
      <c r="CL255" s="138" t="s">
        <v>3184</v>
      </c>
      <c r="CM255" s="134">
        <v>33.735399999999998</v>
      </c>
      <c r="CN255" s="134" t="s">
        <v>24</v>
      </c>
      <c r="CO255" s="134">
        <f>35.9578-Table665[[#This Row],[Outcome4_M]]</f>
        <v>2.2224000000000004</v>
      </c>
      <c r="CP255" s="288" t="s">
        <v>3196</v>
      </c>
      <c r="CQ255" s="289" t="s">
        <v>3060</v>
      </c>
      <c r="CR255" s="276" t="s">
        <v>24</v>
      </c>
      <c r="CS255" s="308" t="s">
        <v>24</v>
      </c>
      <c r="CT255" s="138" t="s">
        <v>3185</v>
      </c>
      <c r="CU255" s="134">
        <v>51.581000000000003</v>
      </c>
      <c r="CV255" s="134" t="s">
        <v>24</v>
      </c>
      <c r="CW255" s="134">
        <f>53.6445-Table665[[#This Row],[Outcome5_M]]</f>
        <v>2.0634999999999977</v>
      </c>
      <c r="CX255" s="138" t="s">
        <v>3186</v>
      </c>
      <c r="CY255" s="134">
        <v>32.522100000000002</v>
      </c>
      <c r="CZ255" s="134" t="s">
        <v>24</v>
      </c>
      <c r="DA255" s="134">
        <f>34.4269-Table665[[#This Row],[Outcome6_M]]</f>
        <v>1.9048000000000016</v>
      </c>
      <c r="DB255" s="300" t="s">
        <v>3197</v>
      </c>
      <c r="DC255" s="301" t="s">
        <v>3060</v>
      </c>
      <c r="DD255" s="138" t="s">
        <v>3187</v>
      </c>
      <c r="DE255" s="134">
        <v>59.341299999999997</v>
      </c>
      <c r="DF255" s="134" t="s">
        <v>24</v>
      </c>
      <c r="DG255" s="134">
        <f>61.4511-Table665[[#This Row],[Outcome7_M]]</f>
        <v>2.1097999999999999</v>
      </c>
      <c r="DH255" s="138" t="s">
        <v>3188</v>
      </c>
      <c r="DI255" s="134">
        <v>57.733400000000003</v>
      </c>
      <c r="DJ255" s="134" t="s">
        <v>24</v>
      </c>
      <c r="DK255" s="134">
        <f>59.8429-Table665[[#This Row],[Outcome8_M]]</f>
        <v>2.109499999999997</v>
      </c>
      <c r="DL255" s="300" t="s">
        <v>3198</v>
      </c>
      <c r="DM255" s="301" t="s">
        <v>2480</v>
      </c>
      <c r="DN255" s="276" t="s">
        <v>24</v>
      </c>
      <c r="DO255" s="277" t="s">
        <v>24</v>
      </c>
      <c r="DP255" s="138" t="s">
        <v>3189</v>
      </c>
      <c r="DQ255" s="134">
        <v>65.444299999999998</v>
      </c>
      <c r="DR255" s="134" t="s">
        <v>24</v>
      </c>
      <c r="DS255" s="134">
        <f>67.2025-Table665[[#This Row],[Outcome9_M]]</f>
        <v>1.7582000000000022</v>
      </c>
      <c r="DT255" s="138" t="s">
        <v>3190</v>
      </c>
      <c r="DU255" s="134">
        <v>43.616700000000002</v>
      </c>
      <c r="DV255" s="134" t="s">
        <v>24</v>
      </c>
      <c r="DW255" s="134">
        <f>45.5508-Table665[[#This Row],[Outcome10_M]]</f>
        <v>1.9341000000000008</v>
      </c>
      <c r="DX255" s="301" t="s">
        <v>3199</v>
      </c>
      <c r="DY255" s="301" t="s">
        <v>2410</v>
      </c>
      <c r="DZ255" s="138" t="s">
        <v>3191</v>
      </c>
      <c r="EA255" s="134">
        <v>66.096400000000003</v>
      </c>
      <c r="EB255" s="134" t="s">
        <v>24</v>
      </c>
      <c r="EC255" s="134">
        <f>66.6243-Table665[[#This Row],[Outcome11_M]]</f>
        <v>0.52790000000000248</v>
      </c>
      <c r="ED255" s="138" t="s">
        <v>3192</v>
      </c>
      <c r="EE255" s="134">
        <v>41.632199999999997</v>
      </c>
      <c r="EF255" s="134" t="s">
        <v>24</v>
      </c>
      <c r="EG255" s="134">
        <f>44.0938-Table665[[#This Row],[Outcome12_M]]</f>
        <v>2.4616000000000042</v>
      </c>
      <c r="EH255" s="301" t="s">
        <v>3200</v>
      </c>
      <c r="EI255" s="301" t="s">
        <v>2410</v>
      </c>
      <c r="EJ255" s="277" t="s">
        <v>3201</v>
      </c>
      <c r="EK255" s="134" t="s">
        <v>24</v>
      </c>
      <c r="EL255" s="134"/>
      <c r="EM255" s="134"/>
      <c r="EN255" s="134"/>
      <c r="EO255" s="134"/>
      <c r="EP255" s="134"/>
      <c r="EQ255" s="134"/>
      <c r="ER255" s="134"/>
      <c r="ES255" s="301"/>
      <c r="ET255" s="301"/>
      <c r="EU255" s="134"/>
      <c r="EV255" s="134"/>
      <c r="EW255" s="134"/>
      <c r="EX255" s="134"/>
      <c r="EY255" s="134"/>
      <c r="EZ255" s="134"/>
      <c r="FA255" s="134"/>
      <c r="FB255" s="134"/>
      <c r="FC255" s="135"/>
      <c r="FD255" s="135"/>
      <c r="FE255" s="134"/>
      <c r="FF255" s="134"/>
      <c r="FG255" s="134"/>
      <c r="FH255" s="134"/>
      <c r="FI255" s="134"/>
      <c r="FJ255" s="134"/>
      <c r="FK255" s="134"/>
      <c r="FL255" s="134"/>
      <c r="FM255" s="135"/>
      <c r="FN255" s="135"/>
      <c r="FO255" s="134"/>
      <c r="FP255" s="134"/>
      <c r="FQ255" s="134"/>
      <c r="FR255" s="134"/>
      <c r="FS255" s="134"/>
      <c r="FT255" s="134"/>
      <c r="FU255" s="134"/>
      <c r="FV255" s="134"/>
      <c r="FW255" s="135"/>
      <c r="FX255" s="135"/>
      <c r="FY255" s="134"/>
      <c r="FZ255" s="134"/>
      <c r="GA255" s="134"/>
      <c r="GB255" s="134"/>
      <c r="GC255" s="134"/>
      <c r="GD255" s="134"/>
      <c r="GE255" s="134"/>
      <c r="GF255" s="134"/>
      <c r="GG255" s="135"/>
      <c r="GH255" s="135"/>
      <c r="GI255" s="134"/>
      <c r="GJ255" s="134"/>
      <c r="GK255" s="134"/>
      <c r="GL255" s="134"/>
      <c r="GM255" s="134"/>
      <c r="GN255" s="134"/>
      <c r="GO255" s="134"/>
      <c r="GP255" s="134"/>
      <c r="GQ255" s="135"/>
      <c r="GR255" s="135"/>
      <c r="GS255" s="134"/>
      <c r="GT255" s="134"/>
      <c r="GU255" s="134"/>
      <c r="GV255" s="134"/>
      <c r="GW255" s="134"/>
      <c r="GX255" s="134"/>
      <c r="GY255" s="134"/>
      <c r="GZ255" s="134"/>
      <c r="HA255" s="135"/>
      <c r="HB255" s="135"/>
      <c r="HC255" s="134"/>
      <c r="HD255" s="134"/>
      <c r="HE255" s="134"/>
      <c r="HF255" s="134"/>
      <c r="HG255" s="134"/>
      <c r="HH255" s="134"/>
      <c r="HI255" s="134"/>
      <c r="HJ255" s="134"/>
      <c r="HK255" s="135"/>
      <c r="HL255" s="135"/>
      <c r="HM255" s="134"/>
      <c r="HN255" s="134"/>
      <c r="HO255" s="134"/>
      <c r="HP255" s="134"/>
      <c r="HQ255" s="134"/>
      <c r="HR255" s="134"/>
      <c r="HS255" s="134"/>
      <c r="HT255" s="134"/>
      <c r="HU255" s="135"/>
      <c r="HV255" s="135"/>
      <c r="HW255" s="134"/>
      <c r="HX255" s="134"/>
      <c r="HY255" s="134"/>
      <c r="HZ255" s="134"/>
      <c r="IA255" s="134"/>
      <c r="IB255" s="134"/>
      <c r="IC255" s="134"/>
      <c r="ID255" s="134"/>
      <c r="IE255" s="135"/>
      <c r="IF255" s="135"/>
      <c r="IG255" s="134"/>
      <c r="IH255" s="134"/>
      <c r="II255" s="134"/>
      <c r="IJ255" s="134"/>
      <c r="IK255" s="134"/>
      <c r="IL255" s="134"/>
      <c r="IM255" s="134"/>
      <c r="IN255" s="134"/>
      <c r="IO255" s="135"/>
      <c r="IP255" s="135"/>
      <c r="IQ255" s="134"/>
      <c r="IR255" s="134"/>
      <c r="IS255" s="134"/>
      <c r="IT255" s="134"/>
      <c r="IU255" s="134"/>
      <c r="IV255" s="134"/>
      <c r="IW255" s="134"/>
      <c r="IX255" s="134"/>
      <c r="IY255" s="135"/>
      <c r="IZ255" s="135"/>
    </row>
    <row r="256" spans="1:260" customFormat="1" ht="17" customHeight="1">
      <c r="A256" s="79" t="s">
        <v>1017</v>
      </c>
      <c r="B256" s="363">
        <v>30</v>
      </c>
      <c r="C256" s="363"/>
      <c r="D256" s="363"/>
      <c r="E256" s="123" t="s">
        <v>2095</v>
      </c>
      <c r="F256" s="124" t="s">
        <v>2350</v>
      </c>
      <c r="G256" s="125">
        <v>2010</v>
      </c>
      <c r="H256" s="79">
        <v>20844476</v>
      </c>
      <c r="I256" s="79">
        <v>1</v>
      </c>
      <c r="J256" s="126">
        <v>1</v>
      </c>
      <c r="K256" s="127"/>
      <c r="L256" s="79">
        <v>1</v>
      </c>
      <c r="M256" s="79"/>
      <c r="N256" s="153">
        <v>1</v>
      </c>
      <c r="O256" s="128">
        <v>2</v>
      </c>
      <c r="P256" s="79" t="s">
        <v>1220</v>
      </c>
      <c r="Q256" s="79" t="s">
        <v>1422</v>
      </c>
      <c r="R256" s="79" t="s">
        <v>1127</v>
      </c>
      <c r="S256" s="79"/>
      <c r="T256" s="79" t="s">
        <v>1488</v>
      </c>
      <c r="U256" s="79"/>
      <c r="V256" s="79"/>
      <c r="W256" s="79" t="s">
        <v>1501</v>
      </c>
      <c r="X256" s="79"/>
      <c r="Y256" s="79" t="s">
        <v>1123</v>
      </c>
      <c r="Z256" s="79"/>
      <c r="AA256" s="79" t="s">
        <v>1423</v>
      </c>
      <c r="AB256" s="79"/>
      <c r="AC256" s="506"/>
      <c r="AD256" s="573">
        <v>1</v>
      </c>
      <c r="AE256" s="573">
        <v>2</v>
      </c>
      <c r="AF256" s="165" t="s">
        <v>3003</v>
      </c>
      <c r="AG256" s="166" t="s">
        <v>3205</v>
      </c>
      <c r="AH256" s="120">
        <v>4</v>
      </c>
      <c r="AI256" s="484"/>
      <c r="AJ256" s="206"/>
      <c r="AK256" s="192">
        <v>0</v>
      </c>
      <c r="AL256" s="207"/>
      <c r="AM256" s="120"/>
      <c r="AN256" s="120"/>
      <c r="AO256" s="120"/>
      <c r="AP256" s="120" t="s">
        <v>803</v>
      </c>
      <c r="AQ256" s="120" t="s">
        <v>803</v>
      </c>
      <c r="AR256" s="120" t="s">
        <v>24</v>
      </c>
      <c r="AS256" s="120" t="s">
        <v>24</v>
      </c>
      <c r="AT256" s="120" t="s">
        <v>24</v>
      </c>
      <c r="AU256" s="120" t="s">
        <v>24</v>
      </c>
      <c r="AV256" s="120"/>
      <c r="AW256" s="120"/>
      <c r="AX256" s="120"/>
      <c r="AY256" s="120"/>
      <c r="AZ256" s="120" t="s">
        <v>1130</v>
      </c>
      <c r="BA256" s="120"/>
      <c r="BB256" s="120"/>
      <c r="BC256" s="120"/>
      <c r="BD256" s="156">
        <v>1</v>
      </c>
      <c r="BE256" s="156"/>
      <c r="BF256" s="156"/>
      <c r="BG256" s="156"/>
      <c r="BH256" s="156"/>
      <c r="BI256" s="156"/>
      <c r="BJ256" s="156"/>
      <c r="BK256" s="156"/>
      <c r="BL256" s="156"/>
      <c r="BM256" s="156"/>
      <c r="BN256" s="156"/>
      <c r="BO256" s="156"/>
      <c r="BP256" s="156"/>
      <c r="BQ256" s="157" t="s">
        <v>3204</v>
      </c>
      <c r="BR256" s="134"/>
      <c r="BS256" s="134"/>
      <c r="BT256" s="134"/>
      <c r="BU256" s="134" t="s">
        <v>2471</v>
      </c>
      <c r="BV256" s="134"/>
      <c r="BW256" s="259" t="s">
        <v>24</v>
      </c>
      <c r="BX256" s="138"/>
      <c r="BY256" s="134"/>
      <c r="BZ256" s="134"/>
      <c r="CA256" s="134"/>
      <c r="CB256" s="138"/>
      <c r="CC256" s="134"/>
      <c r="CD256" s="134"/>
      <c r="CE256" s="134"/>
      <c r="CF256" s="288"/>
      <c r="CG256" s="289"/>
      <c r="CH256" s="138"/>
      <c r="CI256" s="134"/>
      <c r="CJ256" s="134"/>
      <c r="CK256" s="134"/>
      <c r="CL256" s="138"/>
      <c r="CM256" s="134"/>
      <c r="CN256" s="134"/>
      <c r="CO256" s="134"/>
      <c r="CP256" s="288"/>
      <c r="CQ256" s="289"/>
      <c r="CR256" s="276"/>
      <c r="CS256" s="308"/>
      <c r="CT256" s="138"/>
      <c r="CU256" s="134"/>
      <c r="CV256" s="134"/>
      <c r="CW256" s="134"/>
      <c r="CX256" s="134"/>
      <c r="CY256" s="134"/>
      <c r="CZ256" s="134"/>
      <c r="DA256" s="134"/>
      <c r="DB256" s="300"/>
      <c r="DC256" s="301"/>
      <c r="DD256" s="134"/>
      <c r="DE256" s="134"/>
      <c r="DF256" s="134"/>
      <c r="DG256" s="134"/>
      <c r="DH256" s="134"/>
      <c r="DI256" s="134"/>
      <c r="DJ256" s="134"/>
      <c r="DK256" s="134"/>
      <c r="DL256" s="300"/>
      <c r="DM256" s="301"/>
      <c r="DN256" s="276"/>
      <c r="DO256" s="277"/>
      <c r="DP256" s="134"/>
      <c r="DQ256" s="134"/>
      <c r="DR256" s="134"/>
      <c r="DS256" s="134"/>
      <c r="DT256" s="138"/>
      <c r="DU256" s="134"/>
      <c r="DV256" s="134"/>
      <c r="DW256" s="134"/>
      <c r="DX256" s="301"/>
      <c r="DY256" s="301"/>
      <c r="DZ256" s="138"/>
      <c r="EA256" s="134"/>
      <c r="EB256" s="134"/>
      <c r="EC256" s="134"/>
      <c r="ED256" s="138"/>
      <c r="EE256" s="134"/>
      <c r="EF256" s="134"/>
      <c r="EG256" s="134"/>
      <c r="EH256" s="301"/>
      <c r="EI256" s="301"/>
      <c r="EJ256" s="277"/>
      <c r="EK256" s="134"/>
      <c r="EL256" s="134"/>
      <c r="EM256" s="134"/>
      <c r="EN256" s="134"/>
      <c r="EO256" s="134"/>
      <c r="EP256" s="134"/>
      <c r="EQ256" s="134"/>
      <c r="ER256" s="134"/>
      <c r="ES256" s="301"/>
      <c r="ET256" s="301"/>
      <c r="EU256" s="134"/>
      <c r="EV256" s="134"/>
      <c r="EW256" s="134"/>
      <c r="EX256" s="134"/>
      <c r="EY256" s="134"/>
      <c r="EZ256" s="134"/>
      <c r="FA256" s="134"/>
      <c r="FB256" s="134"/>
      <c r="FC256" s="135"/>
      <c r="FD256" s="135"/>
      <c r="FE256" s="134"/>
      <c r="FF256" s="134"/>
      <c r="FG256" s="134"/>
      <c r="FH256" s="134"/>
      <c r="FI256" s="134"/>
      <c r="FJ256" s="134"/>
      <c r="FK256" s="134"/>
      <c r="FL256" s="134"/>
      <c r="FM256" s="135"/>
      <c r="FN256" s="135"/>
      <c r="FO256" s="134"/>
      <c r="FP256" s="134"/>
      <c r="FQ256" s="134"/>
      <c r="FR256" s="134"/>
      <c r="FS256" s="134"/>
      <c r="FT256" s="134"/>
      <c r="FU256" s="134"/>
      <c r="FV256" s="134"/>
      <c r="FW256" s="135"/>
      <c r="FX256" s="135"/>
      <c r="FY256" s="134"/>
      <c r="FZ256" s="134"/>
      <c r="GA256" s="134"/>
      <c r="GB256" s="134"/>
      <c r="GC256" s="134"/>
      <c r="GD256" s="134"/>
      <c r="GE256" s="134"/>
      <c r="GF256" s="134"/>
      <c r="GG256" s="135"/>
      <c r="GH256" s="135"/>
      <c r="GI256" s="134"/>
      <c r="GJ256" s="134"/>
      <c r="GK256" s="134"/>
      <c r="GL256" s="134"/>
      <c r="GM256" s="134"/>
      <c r="GN256" s="134"/>
      <c r="GO256" s="134"/>
      <c r="GP256" s="134"/>
      <c r="GQ256" s="135"/>
      <c r="GR256" s="135"/>
      <c r="GS256" s="134"/>
      <c r="GT256" s="134"/>
      <c r="GU256" s="134"/>
      <c r="GV256" s="134"/>
      <c r="GW256" s="134"/>
      <c r="GX256" s="134"/>
      <c r="GY256" s="134"/>
      <c r="GZ256" s="134"/>
      <c r="HA256" s="135"/>
      <c r="HB256" s="135"/>
      <c r="HC256" s="134"/>
      <c r="HD256" s="134"/>
      <c r="HE256" s="134"/>
      <c r="HF256" s="134"/>
      <c r="HG256" s="134"/>
      <c r="HH256" s="134"/>
      <c r="HI256" s="134"/>
      <c r="HJ256" s="134"/>
      <c r="HK256" s="135"/>
      <c r="HL256" s="135"/>
      <c r="HM256" s="134"/>
      <c r="HN256" s="134"/>
      <c r="HO256" s="134"/>
      <c r="HP256" s="134"/>
      <c r="HQ256" s="134"/>
      <c r="HR256" s="134"/>
      <c r="HS256" s="134"/>
      <c r="HT256" s="134"/>
      <c r="HU256" s="135"/>
      <c r="HV256" s="135"/>
      <c r="HW256" s="134"/>
      <c r="HX256" s="134"/>
      <c r="HY256" s="134"/>
      <c r="HZ256" s="134"/>
      <c r="IA256" s="134"/>
      <c r="IB256" s="134"/>
      <c r="IC256" s="134"/>
      <c r="ID256" s="134"/>
      <c r="IE256" s="135"/>
      <c r="IF256" s="135"/>
      <c r="IG256" s="134"/>
      <c r="IH256" s="134"/>
      <c r="II256" s="134"/>
      <c r="IJ256" s="134"/>
      <c r="IK256" s="134"/>
      <c r="IL256" s="134"/>
      <c r="IM256" s="134"/>
      <c r="IN256" s="134"/>
      <c r="IO256" s="135"/>
      <c r="IP256" s="135"/>
      <c r="IQ256" s="134"/>
      <c r="IR256" s="134"/>
      <c r="IS256" s="134"/>
      <c r="IT256" s="134"/>
      <c r="IU256" s="134"/>
      <c r="IV256" s="134"/>
      <c r="IW256" s="134"/>
      <c r="IX256" s="134"/>
      <c r="IY256" s="135"/>
      <c r="IZ256" s="135"/>
    </row>
    <row r="257" spans="1:260" customFormat="1" ht="17" customHeight="1">
      <c r="A257" s="79" t="s">
        <v>1015</v>
      </c>
      <c r="B257" s="363">
        <v>31</v>
      </c>
      <c r="C257" s="363"/>
      <c r="D257" s="363"/>
      <c r="E257" s="123" t="s">
        <v>2096</v>
      </c>
      <c r="F257" s="124" t="s">
        <v>2351</v>
      </c>
      <c r="G257" s="125">
        <v>2015</v>
      </c>
      <c r="H257" s="79">
        <v>25430781</v>
      </c>
      <c r="I257" s="79">
        <v>1</v>
      </c>
      <c r="J257" s="126">
        <v>1</v>
      </c>
      <c r="K257" s="127"/>
      <c r="L257" s="79">
        <v>1</v>
      </c>
      <c r="M257" s="79"/>
      <c r="N257" s="153">
        <v>1</v>
      </c>
      <c r="O257" s="128">
        <v>2</v>
      </c>
      <c r="P257" s="79" t="s">
        <v>1426</v>
      </c>
      <c r="Q257" s="79" t="s">
        <v>1216</v>
      </c>
      <c r="R257" s="79" t="s">
        <v>1127</v>
      </c>
      <c r="S257" s="79"/>
      <c r="T257" s="79" t="s">
        <v>1488</v>
      </c>
      <c r="U257" s="79" t="s">
        <v>803</v>
      </c>
      <c r="V257" s="79" t="s">
        <v>23</v>
      </c>
      <c r="W257" s="79" t="s">
        <v>1427</v>
      </c>
      <c r="X257" s="79" t="s">
        <v>1428</v>
      </c>
      <c r="Y257" s="79"/>
      <c r="Z257" s="79"/>
      <c r="AA257" s="79" t="s">
        <v>1425</v>
      </c>
      <c r="AB257" s="79"/>
      <c r="AC257" s="506"/>
      <c r="AD257" s="573">
        <v>1</v>
      </c>
      <c r="AE257" s="573">
        <v>2</v>
      </c>
      <c r="AF257" s="165" t="s">
        <v>3003</v>
      </c>
      <c r="AG257" s="166" t="s">
        <v>3205</v>
      </c>
      <c r="AH257" s="120">
        <v>4</v>
      </c>
      <c r="AI257" s="484"/>
      <c r="AJ257" s="206"/>
      <c r="AK257" s="192">
        <v>0</v>
      </c>
      <c r="AL257" s="207"/>
      <c r="AM257" s="120"/>
      <c r="AN257" s="120"/>
      <c r="AO257" s="120"/>
      <c r="AP257" s="120"/>
      <c r="AQ257" s="120"/>
      <c r="AR257" s="120"/>
      <c r="AS257" s="120"/>
      <c r="AT257" s="120"/>
      <c r="AU257" s="120"/>
      <c r="AV257" s="120"/>
      <c r="AW257" s="120"/>
      <c r="AX257" s="120"/>
      <c r="AY257" s="120"/>
      <c r="AZ257" s="120"/>
      <c r="BA257" s="120"/>
      <c r="BB257" s="120"/>
      <c r="BC257" s="120"/>
      <c r="BD257" s="156">
        <v>1</v>
      </c>
      <c r="BE257" s="156"/>
      <c r="BF257" s="156"/>
      <c r="BG257" s="156"/>
      <c r="BH257" s="156"/>
      <c r="BI257" s="156"/>
      <c r="BJ257" s="156"/>
      <c r="BK257" s="156"/>
      <c r="BL257" s="156"/>
      <c r="BM257" s="156"/>
      <c r="BN257" s="156"/>
      <c r="BO257" s="156"/>
      <c r="BP257" s="156"/>
      <c r="BQ257" s="157"/>
      <c r="BR257" s="134"/>
      <c r="BS257" s="134"/>
      <c r="BT257" s="134"/>
      <c r="BU257" s="134"/>
      <c r="BV257" s="134"/>
      <c r="BW257" s="259" t="s">
        <v>24</v>
      </c>
      <c r="BX257" s="138"/>
      <c r="BY257" s="134"/>
      <c r="BZ257" s="134"/>
      <c r="CA257" s="134"/>
      <c r="CB257" s="138"/>
      <c r="CC257" s="134"/>
      <c r="CD257" s="134"/>
      <c r="CE257" s="134"/>
      <c r="CF257" s="288"/>
      <c r="CG257" s="289"/>
      <c r="CH257" s="138"/>
      <c r="CI257" s="134"/>
      <c r="CJ257" s="134"/>
      <c r="CK257" s="134"/>
      <c r="CL257" s="138"/>
      <c r="CM257" s="134"/>
      <c r="CN257" s="134"/>
      <c r="CO257" s="134"/>
      <c r="CP257" s="288"/>
      <c r="CQ257" s="289"/>
      <c r="CR257" s="276"/>
      <c r="CS257" s="308"/>
      <c r="CT257" s="138"/>
      <c r="CU257" s="134"/>
      <c r="CV257" s="134"/>
      <c r="CW257" s="134"/>
      <c r="CX257" s="134"/>
      <c r="CY257" s="134"/>
      <c r="CZ257" s="134"/>
      <c r="DA257" s="134"/>
      <c r="DB257" s="300"/>
      <c r="DC257" s="301"/>
      <c r="DD257" s="134"/>
      <c r="DE257" s="134"/>
      <c r="DF257" s="134"/>
      <c r="DG257" s="134"/>
      <c r="DH257" s="134"/>
      <c r="DI257" s="134"/>
      <c r="DJ257" s="134"/>
      <c r="DK257" s="134"/>
      <c r="DL257" s="300"/>
      <c r="DM257" s="301"/>
      <c r="DN257" s="276"/>
      <c r="DO257" s="277"/>
      <c r="DP257" s="134"/>
      <c r="DQ257" s="134"/>
      <c r="DR257" s="134"/>
      <c r="DS257" s="134"/>
      <c r="DT257" s="138"/>
      <c r="DU257" s="134"/>
      <c r="DV257" s="134"/>
      <c r="DW257" s="134"/>
      <c r="DX257" s="301"/>
      <c r="DY257" s="301"/>
      <c r="DZ257" s="138"/>
      <c r="EA257" s="134"/>
      <c r="EB257" s="134"/>
      <c r="EC257" s="134"/>
      <c r="ED257" s="138"/>
      <c r="EE257" s="134"/>
      <c r="EF257" s="134"/>
      <c r="EG257" s="134"/>
      <c r="EH257" s="301"/>
      <c r="EI257" s="301"/>
      <c r="EJ257" s="277"/>
      <c r="EK257" s="134"/>
      <c r="EL257" s="134"/>
      <c r="EM257" s="134"/>
      <c r="EN257" s="134"/>
      <c r="EO257" s="134"/>
      <c r="EP257" s="134"/>
      <c r="EQ257" s="134"/>
      <c r="ER257" s="134"/>
      <c r="ES257" s="301"/>
      <c r="ET257" s="301"/>
      <c r="EU257" s="134"/>
      <c r="EV257" s="134"/>
      <c r="EW257" s="134"/>
      <c r="EX257" s="134"/>
      <c r="EY257" s="134"/>
      <c r="EZ257" s="134"/>
      <c r="FA257" s="134"/>
      <c r="FB257" s="134"/>
      <c r="FC257" s="135"/>
      <c r="FD257" s="135"/>
      <c r="FE257" s="134"/>
      <c r="FF257" s="134"/>
      <c r="FG257" s="134"/>
      <c r="FH257" s="134"/>
      <c r="FI257" s="134"/>
      <c r="FJ257" s="134"/>
      <c r="FK257" s="134"/>
      <c r="FL257" s="134"/>
      <c r="FM257" s="135"/>
      <c r="FN257" s="135"/>
      <c r="FO257" s="134"/>
      <c r="FP257" s="134"/>
      <c r="FQ257" s="134"/>
      <c r="FR257" s="134"/>
      <c r="FS257" s="134"/>
      <c r="FT257" s="134"/>
      <c r="FU257" s="134"/>
      <c r="FV257" s="134"/>
      <c r="FW257" s="135"/>
      <c r="FX257" s="135"/>
      <c r="FY257" s="134"/>
      <c r="FZ257" s="134"/>
      <c r="GA257" s="134"/>
      <c r="GB257" s="134"/>
      <c r="GC257" s="134"/>
      <c r="GD257" s="134"/>
      <c r="GE257" s="134"/>
      <c r="GF257" s="134"/>
      <c r="GG257" s="135"/>
      <c r="GH257" s="135"/>
      <c r="GI257" s="134"/>
      <c r="GJ257" s="134"/>
      <c r="GK257" s="134"/>
      <c r="GL257" s="134"/>
      <c r="GM257" s="134"/>
      <c r="GN257" s="134"/>
      <c r="GO257" s="134"/>
      <c r="GP257" s="134"/>
      <c r="GQ257" s="135"/>
      <c r="GR257" s="135"/>
      <c r="GS257" s="134"/>
      <c r="GT257" s="134"/>
      <c r="GU257" s="134"/>
      <c r="GV257" s="134"/>
      <c r="GW257" s="134"/>
      <c r="GX257" s="134"/>
      <c r="GY257" s="134"/>
      <c r="GZ257" s="134"/>
      <c r="HA257" s="135"/>
      <c r="HB257" s="135"/>
      <c r="HC257" s="134"/>
      <c r="HD257" s="134"/>
      <c r="HE257" s="134"/>
      <c r="HF257" s="134"/>
      <c r="HG257" s="134"/>
      <c r="HH257" s="134"/>
      <c r="HI257" s="134"/>
      <c r="HJ257" s="134"/>
      <c r="HK257" s="135"/>
      <c r="HL257" s="135"/>
      <c r="HM257" s="134"/>
      <c r="HN257" s="134"/>
      <c r="HO257" s="134"/>
      <c r="HP257" s="134"/>
      <c r="HQ257" s="134"/>
      <c r="HR257" s="134"/>
      <c r="HS257" s="134"/>
      <c r="HT257" s="134"/>
      <c r="HU257" s="135"/>
      <c r="HV257" s="135"/>
      <c r="HW257" s="134"/>
      <c r="HX257" s="134"/>
      <c r="HY257" s="134"/>
      <c r="HZ257" s="134"/>
      <c r="IA257" s="134"/>
      <c r="IB257" s="134"/>
      <c r="IC257" s="134"/>
      <c r="ID257" s="134"/>
      <c r="IE257" s="135"/>
      <c r="IF257" s="135"/>
      <c r="IG257" s="134"/>
      <c r="IH257" s="134"/>
      <c r="II257" s="134"/>
      <c r="IJ257" s="134"/>
      <c r="IK257" s="134"/>
      <c r="IL257" s="134"/>
      <c r="IM257" s="134"/>
      <c r="IN257" s="134"/>
      <c r="IO257" s="135"/>
      <c r="IP257" s="135"/>
      <c r="IQ257" s="134"/>
      <c r="IR257" s="134"/>
      <c r="IS257" s="134"/>
      <c r="IT257" s="134"/>
      <c r="IU257" s="134"/>
      <c r="IV257" s="134"/>
      <c r="IW257" s="134"/>
      <c r="IX257" s="134"/>
      <c r="IY257" s="135"/>
      <c r="IZ257" s="135"/>
    </row>
    <row r="258" spans="1:260" customFormat="1" ht="17" customHeight="1">
      <c r="A258" s="79" t="s">
        <v>227</v>
      </c>
      <c r="B258" s="117">
        <v>166</v>
      </c>
      <c r="C258" s="117">
        <v>56</v>
      </c>
      <c r="D258" s="117"/>
      <c r="E258" s="123" t="s">
        <v>1988</v>
      </c>
      <c r="F258" s="124" t="s">
        <v>2214</v>
      </c>
      <c r="G258" s="125">
        <v>2008</v>
      </c>
      <c r="H258" s="79">
        <v>17853136</v>
      </c>
      <c r="I258" s="79">
        <v>1</v>
      </c>
      <c r="J258" s="126"/>
      <c r="K258" s="127"/>
      <c r="L258" s="79">
        <v>1</v>
      </c>
      <c r="M258" s="79"/>
      <c r="N258" s="79">
        <v>1</v>
      </c>
      <c r="O258" s="128">
        <v>1</v>
      </c>
      <c r="P258" s="79" t="s">
        <v>73</v>
      </c>
      <c r="Q258" s="79" t="s">
        <v>1147</v>
      </c>
      <c r="R258" s="79" t="s">
        <v>634</v>
      </c>
      <c r="S258" s="79">
        <v>1</v>
      </c>
      <c r="T258" s="79"/>
      <c r="U258" s="79"/>
      <c r="V258" s="79"/>
      <c r="W258" s="79" t="s">
        <v>635</v>
      </c>
      <c r="X258" s="79"/>
      <c r="Y258" s="79"/>
      <c r="Z258" s="79"/>
      <c r="AA258" s="79"/>
      <c r="AB258" s="79"/>
      <c r="AC258" s="506"/>
      <c r="AD258" s="573">
        <v>1</v>
      </c>
      <c r="AE258" s="573">
        <v>2</v>
      </c>
      <c r="AF258" s="165">
        <v>0</v>
      </c>
      <c r="AG258" s="166" t="s">
        <v>5113</v>
      </c>
      <c r="AH258" s="120" t="s">
        <v>5112</v>
      </c>
      <c r="AI258" s="120"/>
      <c r="AJ258" s="206" t="s">
        <v>5114</v>
      </c>
      <c r="AK258" s="372"/>
      <c r="AL258" s="207"/>
      <c r="AM258" s="120">
        <v>37</v>
      </c>
      <c r="AN258" s="120"/>
      <c r="AO258" s="120"/>
      <c r="AP258" s="120"/>
      <c r="AQ258" s="120"/>
      <c r="AR258" s="120"/>
      <c r="AS258" s="120"/>
      <c r="AT258" s="120"/>
      <c r="AU258" s="120"/>
      <c r="AV258" s="120"/>
      <c r="AW258" s="120"/>
      <c r="AX258" s="120"/>
      <c r="AY258" s="120"/>
      <c r="AZ258" s="120"/>
      <c r="BA258" s="509"/>
      <c r="BB258" s="509"/>
      <c r="BC258" s="509"/>
      <c r="BD258" s="511"/>
      <c r="BE258" s="511"/>
      <c r="BF258" s="511"/>
      <c r="BG258" s="511"/>
      <c r="BH258" s="511"/>
      <c r="BI258" s="511"/>
      <c r="BJ258" s="511">
        <v>1</v>
      </c>
      <c r="BK258" s="511"/>
      <c r="BL258" s="511"/>
      <c r="BM258" s="511"/>
      <c r="BN258" s="511"/>
      <c r="BO258" s="511"/>
      <c r="BP258" s="511"/>
      <c r="BQ258" s="510"/>
      <c r="BR258" s="134"/>
      <c r="BS258" s="134"/>
      <c r="BT258" s="134"/>
      <c r="BU258" s="134"/>
      <c r="BV258" s="134"/>
      <c r="BW258" s="375"/>
      <c r="BX258" s="138"/>
      <c r="BY258" s="134"/>
      <c r="BZ258" s="134"/>
      <c r="CA258" s="134"/>
      <c r="CB258" s="138"/>
      <c r="CC258" s="134"/>
      <c r="CD258" s="134"/>
      <c r="CE258" s="134"/>
      <c r="CF258" s="288"/>
      <c r="CG258" s="289"/>
      <c r="CH258" s="138"/>
      <c r="CI258" s="134"/>
      <c r="CJ258" s="134"/>
      <c r="CK258" s="134"/>
      <c r="CL258" s="138"/>
      <c r="CM258" s="134"/>
      <c r="CN258" s="134"/>
      <c r="CO258" s="134"/>
      <c r="CP258" s="288" t="s">
        <v>24</v>
      </c>
      <c r="CQ258" s="289" t="s">
        <v>24</v>
      </c>
      <c r="CR258" s="276" t="s">
        <v>5109</v>
      </c>
      <c r="CS258" s="308" t="s">
        <v>5110</v>
      </c>
      <c r="CT258" s="138" t="s">
        <v>24</v>
      </c>
      <c r="CU258" s="134"/>
      <c r="CV258" s="134"/>
      <c r="CW258" s="134"/>
      <c r="CX258" s="134"/>
      <c r="CY258" s="134"/>
      <c r="CZ258" s="134"/>
      <c r="DA258" s="134"/>
      <c r="DB258" s="300"/>
      <c r="DC258" s="301"/>
      <c r="DD258" s="134"/>
      <c r="DE258" s="134"/>
      <c r="DF258" s="134"/>
      <c r="DG258" s="134"/>
      <c r="DH258" s="134"/>
      <c r="DI258" s="134"/>
      <c r="DJ258" s="134"/>
      <c r="DK258" s="134"/>
      <c r="DL258" s="300"/>
      <c r="DM258" s="301"/>
      <c r="DN258" s="276"/>
      <c r="DO258" s="277"/>
      <c r="DP258" s="134"/>
      <c r="DQ258" s="134"/>
      <c r="DR258" s="134"/>
      <c r="DS258" s="134"/>
      <c r="DT258" s="138"/>
      <c r="DU258" s="134"/>
      <c r="DV258" s="134"/>
      <c r="DW258" s="134"/>
      <c r="DX258" s="301"/>
      <c r="DY258" s="301"/>
      <c r="DZ258" s="138"/>
      <c r="EA258" s="134"/>
      <c r="EB258" s="134"/>
      <c r="EC258" s="134"/>
      <c r="ED258" s="138"/>
      <c r="EE258" s="134"/>
      <c r="EF258" s="134"/>
      <c r="EG258" s="134"/>
      <c r="EH258" s="301"/>
      <c r="EI258" s="301"/>
      <c r="EJ258" s="277"/>
      <c r="EK258" s="134"/>
      <c r="EL258" s="134"/>
      <c r="EM258" s="134"/>
      <c r="EN258" s="134"/>
      <c r="EO258" s="134"/>
      <c r="EP258" s="134"/>
      <c r="EQ258" s="134"/>
      <c r="ER258" s="134"/>
      <c r="ES258" s="301"/>
      <c r="ET258" s="301"/>
      <c r="EU258" s="134"/>
      <c r="EV258" s="134"/>
      <c r="EW258" s="134"/>
      <c r="EX258" s="134"/>
      <c r="EY258" s="134"/>
      <c r="EZ258" s="134"/>
      <c r="FA258" s="134"/>
      <c r="FB258" s="134"/>
      <c r="FC258" s="135"/>
      <c r="FD258" s="135"/>
      <c r="FE258" s="134"/>
      <c r="FF258" s="134"/>
      <c r="FG258" s="134"/>
      <c r="FH258" s="134"/>
      <c r="FI258" s="134"/>
      <c r="FJ258" s="134"/>
      <c r="FK258" s="134"/>
      <c r="FL258" s="134"/>
      <c r="FM258" s="135"/>
      <c r="FN258" s="135"/>
      <c r="FO258" s="134"/>
      <c r="FP258" s="134"/>
      <c r="FQ258" s="134"/>
      <c r="FR258" s="134"/>
      <c r="FS258" s="134"/>
      <c r="FT258" s="134"/>
      <c r="FU258" s="134"/>
      <c r="FV258" s="134"/>
      <c r="FW258" s="135"/>
      <c r="FX258" s="135"/>
      <c r="FY258" s="134"/>
      <c r="FZ258" s="134"/>
      <c r="GA258" s="134"/>
      <c r="GB258" s="134"/>
      <c r="GC258" s="134"/>
      <c r="GD258" s="134"/>
      <c r="GE258" s="134"/>
      <c r="GF258" s="134"/>
      <c r="GG258" s="135"/>
      <c r="GH258" s="135"/>
      <c r="GI258" s="134"/>
      <c r="GJ258" s="134"/>
      <c r="GK258" s="134"/>
      <c r="GL258" s="134"/>
      <c r="GM258" s="134"/>
      <c r="GN258" s="134"/>
      <c r="GO258" s="134"/>
      <c r="GP258" s="134"/>
      <c r="GQ258" s="135"/>
      <c r="GR258" s="135"/>
      <c r="GS258" s="134"/>
      <c r="GT258" s="134"/>
      <c r="GU258" s="134"/>
      <c r="GV258" s="134"/>
      <c r="GW258" s="134"/>
      <c r="GX258" s="134"/>
      <c r="GY258" s="134"/>
      <c r="GZ258" s="134"/>
      <c r="HA258" s="135"/>
      <c r="HB258" s="135"/>
      <c r="HC258" s="134"/>
      <c r="HD258" s="134"/>
      <c r="HE258" s="134"/>
      <c r="HF258" s="134"/>
      <c r="HG258" s="134"/>
      <c r="HH258" s="134"/>
      <c r="HI258" s="134"/>
      <c r="HJ258" s="134"/>
      <c r="HK258" s="135"/>
      <c r="HL258" s="135"/>
      <c r="HM258" s="134"/>
      <c r="HN258" s="134"/>
      <c r="HO258" s="134"/>
      <c r="HP258" s="134"/>
      <c r="HQ258" s="134"/>
      <c r="HR258" s="134"/>
      <c r="HS258" s="134"/>
      <c r="HT258" s="134"/>
      <c r="HU258" s="135"/>
      <c r="HV258" s="135"/>
      <c r="HW258" s="134"/>
      <c r="HX258" s="134"/>
      <c r="HY258" s="134"/>
      <c r="HZ258" s="134"/>
      <c r="IA258" s="134"/>
      <c r="IB258" s="134"/>
      <c r="IC258" s="134"/>
      <c r="ID258" s="134"/>
      <c r="IE258" s="135"/>
      <c r="IF258" s="135"/>
      <c r="IG258" s="134"/>
      <c r="IH258" s="134"/>
      <c r="II258" s="134"/>
      <c r="IJ258" s="134"/>
      <c r="IK258" s="134"/>
      <c r="IL258" s="134"/>
      <c r="IM258" s="134"/>
      <c r="IN258" s="134"/>
      <c r="IO258" s="135"/>
      <c r="IP258" s="135"/>
      <c r="IQ258" s="134"/>
      <c r="IR258" s="134"/>
      <c r="IS258" s="134"/>
      <c r="IT258" s="134"/>
      <c r="IU258" s="134"/>
      <c r="IV258" s="134"/>
      <c r="IW258" s="134"/>
      <c r="IX258" s="134"/>
      <c r="IY258" s="135"/>
      <c r="IZ258" s="135"/>
    </row>
    <row r="259" spans="1:260" customFormat="1" ht="17" customHeight="1">
      <c r="A259" s="79" t="s">
        <v>231</v>
      </c>
      <c r="B259" s="363">
        <v>32</v>
      </c>
      <c r="C259" s="363"/>
      <c r="D259" s="363"/>
      <c r="E259" s="123" t="s">
        <v>1990</v>
      </c>
      <c r="F259" s="124" t="s">
        <v>2218</v>
      </c>
      <c r="G259" s="125">
        <v>1995</v>
      </c>
      <c r="H259" s="79">
        <v>8547457</v>
      </c>
      <c r="I259" s="79">
        <v>1</v>
      </c>
      <c r="J259" s="126"/>
      <c r="K259" s="127"/>
      <c r="L259" s="79">
        <v>1</v>
      </c>
      <c r="M259" s="79"/>
      <c r="N259" s="79">
        <v>1</v>
      </c>
      <c r="O259" s="128">
        <v>1</v>
      </c>
      <c r="P259" s="79" t="s">
        <v>11</v>
      </c>
      <c r="Q259" s="79" t="s">
        <v>1142</v>
      </c>
      <c r="R259" s="79" t="s">
        <v>591</v>
      </c>
      <c r="S259" s="79">
        <v>1</v>
      </c>
      <c r="T259" s="79"/>
      <c r="U259" s="79"/>
      <c r="V259" s="79"/>
      <c r="W259" s="79" t="s">
        <v>11</v>
      </c>
      <c r="X259" s="79"/>
      <c r="Y259" s="79" t="s">
        <v>13</v>
      </c>
      <c r="Z259" s="79"/>
      <c r="AA259" s="79"/>
      <c r="AB259" s="79"/>
      <c r="AC259" s="506"/>
      <c r="AD259" s="573">
        <v>1</v>
      </c>
      <c r="AE259" s="573">
        <v>2</v>
      </c>
      <c r="AF259" s="154">
        <v>1</v>
      </c>
      <c r="AG259" s="155"/>
      <c r="AH259" s="121">
        <v>2</v>
      </c>
      <c r="AI259" s="484"/>
      <c r="AJ259" s="202"/>
      <c r="AK259" s="192">
        <v>0</v>
      </c>
      <c r="AL259" s="203" t="s">
        <v>24</v>
      </c>
      <c r="AM259" s="121">
        <f>Table665[[#This Row],[Subjects_n_ptsd]]+Table665[[#This Row],[Subjects_n_control]]</f>
        <v>19</v>
      </c>
      <c r="AN259" s="121">
        <v>9</v>
      </c>
      <c r="AO259" s="121">
        <v>10</v>
      </c>
      <c r="AP259" s="121" t="s">
        <v>803</v>
      </c>
      <c r="AQ259" s="121" t="s">
        <v>803</v>
      </c>
      <c r="AR259" s="121">
        <v>43</v>
      </c>
      <c r="AS259" s="121">
        <v>2</v>
      </c>
      <c r="AT259" s="121">
        <v>42</v>
      </c>
      <c r="AU259" s="121">
        <v>4</v>
      </c>
      <c r="AV259" s="121" t="s">
        <v>3206</v>
      </c>
      <c r="AW259" s="121" t="s">
        <v>24</v>
      </c>
      <c r="AX259" s="121" t="s">
        <v>24</v>
      </c>
      <c r="AY259" s="121" t="s">
        <v>3207</v>
      </c>
      <c r="AZ259" s="121" t="s">
        <v>2605</v>
      </c>
      <c r="BA259" s="121" t="s">
        <v>2876</v>
      </c>
      <c r="BB259" s="121"/>
      <c r="BC259" s="121"/>
      <c r="BD259" s="156">
        <v>1</v>
      </c>
      <c r="BE259" s="156"/>
      <c r="BF259" s="156"/>
      <c r="BG259" s="156"/>
      <c r="BH259" s="156"/>
      <c r="BI259" s="156"/>
      <c r="BJ259" s="156"/>
      <c r="BK259" s="156"/>
      <c r="BL259" s="156"/>
      <c r="BM259" s="156"/>
      <c r="BN259" s="156"/>
      <c r="BO259" s="156"/>
      <c r="BP259" s="156"/>
      <c r="BQ259" s="157" t="s">
        <v>1891</v>
      </c>
      <c r="BR259" s="134" t="s">
        <v>1876</v>
      </c>
      <c r="BS259" s="134">
        <v>2</v>
      </c>
      <c r="BT259" s="134" t="s">
        <v>3209</v>
      </c>
      <c r="BU259" s="134" t="s">
        <v>2470</v>
      </c>
      <c r="BV259" s="134" t="s">
        <v>2400</v>
      </c>
      <c r="BW259" s="259" t="s">
        <v>3218</v>
      </c>
      <c r="BX259" s="138" t="s">
        <v>3210</v>
      </c>
      <c r="BY259" s="134">
        <v>241.339</v>
      </c>
      <c r="BZ259" s="134" t="s">
        <v>24</v>
      </c>
      <c r="CA259" s="134">
        <f>297.972-Table665[[#This Row],[Outcome1_M]]</f>
        <v>56.632999999999981</v>
      </c>
      <c r="CB259" s="138" t="s">
        <v>3211</v>
      </c>
      <c r="CC259" s="134">
        <v>102.61</v>
      </c>
      <c r="CD259" s="134" t="s">
        <v>24</v>
      </c>
      <c r="CE259" s="134">
        <f>122.246-Table665[[#This Row],[Outcome2_M]]</f>
        <v>19.635999999999996</v>
      </c>
      <c r="CF259" s="288" t="s">
        <v>3214</v>
      </c>
      <c r="CG259" s="289" t="s">
        <v>24</v>
      </c>
      <c r="CH259" s="138" t="s">
        <v>3212</v>
      </c>
      <c r="CI259" s="134">
        <v>128.31</v>
      </c>
      <c r="CJ259" s="134" t="s">
        <v>24</v>
      </c>
      <c r="CK259" s="134">
        <f>146.8-Table665[[#This Row],[Outcome3_M]]</f>
        <v>18.490000000000009</v>
      </c>
      <c r="CL259" s="138" t="s">
        <v>3213</v>
      </c>
      <c r="CM259" s="134">
        <v>41.027099999999997</v>
      </c>
      <c r="CN259" s="134" t="s">
        <v>24</v>
      </c>
      <c r="CO259" s="134">
        <f>51.431-Table665[[#This Row],[Outcome4_M]]</f>
        <v>10.4039</v>
      </c>
      <c r="CP259" s="288" t="s">
        <v>3215</v>
      </c>
      <c r="CQ259" s="289" t="s">
        <v>24</v>
      </c>
      <c r="CR259" s="276" t="s">
        <v>3216</v>
      </c>
      <c r="CS259" s="308" t="s">
        <v>3217</v>
      </c>
      <c r="CT259" s="138"/>
      <c r="CU259" s="134"/>
      <c r="CV259" s="134"/>
      <c r="CW259" s="134"/>
      <c r="CX259" s="134"/>
      <c r="CY259" s="134"/>
      <c r="CZ259" s="134"/>
      <c r="DA259" s="134"/>
      <c r="DB259" s="300"/>
      <c r="DC259" s="301"/>
      <c r="DD259" s="134"/>
      <c r="DE259" s="134"/>
      <c r="DF259" s="134"/>
      <c r="DG259" s="134"/>
      <c r="DH259" s="134"/>
      <c r="DI259" s="134"/>
      <c r="DJ259" s="134"/>
      <c r="DK259" s="134"/>
      <c r="DL259" s="300"/>
      <c r="DM259" s="301"/>
      <c r="DN259" s="276"/>
      <c r="DO259" s="277"/>
      <c r="DP259" s="134"/>
      <c r="DQ259" s="134"/>
      <c r="DR259" s="134"/>
      <c r="DS259" s="134"/>
      <c r="DT259" s="138"/>
      <c r="DU259" s="134"/>
      <c r="DV259" s="134"/>
      <c r="DW259" s="134"/>
      <c r="DX259" s="301"/>
      <c r="DY259" s="301"/>
      <c r="DZ259" s="138"/>
      <c r="EA259" s="134"/>
      <c r="EB259" s="134"/>
      <c r="EC259" s="134"/>
      <c r="ED259" s="138"/>
      <c r="EE259" s="134"/>
      <c r="EF259" s="134"/>
      <c r="EG259" s="134"/>
      <c r="EH259" s="301"/>
      <c r="EI259" s="301"/>
      <c r="EJ259" s="277"/>
      <c r="EK259" s="134"/>
      <c r="EL259" s="134"/>
      <c r="EM259" s="134"/>
      <c r="EN259" s="134"/>
      <c r="EO259" s="134"/>
      <c r="EP259" s="134"/>
      <c r="EQ259" s="134"/>
      <c r="ER259" s="134"/>
      <c r="ES259" s="301"/>
      <c r="ET259" s="301"/>
      <c r="EU259" s="134"/>
      <c r="EV259" s="134"/>
      <c r="EW259" s="134"/>
      <c r="EX259" s="134"/>
      <c r="EY259" s="134"/>
      <c r="EZ259" s="134"/>
      <c r="FA259" s="134"/>
      <c r="FB259" s="134"/>
      <c r="FC259" s="135"/>
      <c r="FD259" s="135"/>
      <c r="FE259" s="134"/>
      <c r="FF259" s="134"/>
      <c r="FG259" s="134"/>
      <c r="FH259" s="134"/>
      <c r="FI259" s="134"/>
      <c r="FJ259" s="134"/>
      <c r="FK259" s="134"/>
      <c r="FL259" s="134"/>
      <c r="FM259" s="135"/>
      <c r="FN259" s="135"/>
      <c r="FO259" s="134"/>
      <c r="FP259" s="134"/>
      <c r="FQ259" s="134"/>
      <c r="FR259" s="134"/>
      <c r="FS259" s="134"/>
      <c r="FT259" s="134"/>
      <c r="FU259" s="134"/>
      <c r="FV259" s="134"/>
      <c r="FW259" s="135"/>
      <c r="FX259" s="135"/>
      <c r="FY259" s="134"/>
      <c r="FZ259" s="134"/>
      <c r="GA259" s="134"/>
      <c r="GB259" s="134"/>
      <c r="GC259" s="134"/>
      <c r="GD259" s="134"/>
      <c r="GE259" s="134"/>
      <c r="GF259" s="134"/>
      <c r="GG259" s="135"/>
      <c r="GH259" s="135"/>
      <c r="GI259" s="134"/>
      <c r="GJ259" s="134"/>
      <c r="GK259" s="134"/>
      <c r="GL259" s="134"/>
      <c r="GM259" s="134"/>
      <c r="GN259" s="134"/>
      <c r="GO259" s="134"/>
      <c r="GP259" s="134"/>
      <c r="GQ259" s="135"/>
      <c r="GR259" s="135"/>
      <c r="GS259" s="134"/>
      <c r="GT259" s="134"/>
      <c r="GU259" s="134"/>
      <c r="GV259" s="134"/>
      <c r="GW259" s="134"/>
      <c r="GX259" s="134"/>
      <c r="GY259" s="134"/>
      <c r="GZ259" s="134"/>
      <c r="HA259" s="135"/>
      <c r="HB259" s="135"/>
      <c r="HC259" s="134"/>
      <c r="HD259" s="134"/>
      <c r="HE259" s="134"/>
      <c r="HF259" s="134"/>
      <c r="HG259" s="134"/>
      <c r="HH259" s="134"/>
      <c r="HI259" s="134"/>
      <c r="HJ259" s="134"/>
      <c r="HK259" s="135"/>
      <c r="HL259" s="135"/>
      <c r="HM259" s="134"/>
      <c r="HN259" s="134"/>
      <c r="HO259" s="134"/>
      <c r="HP259" s="134"/>
      <c r="HQ259" s="134"/>
      <c r="HR259" s="134"/>
      <c r="HS259" s="134"/>
      <c r="HT259" s="134"/>
      <c r="HU259" s="135"/>
      <c r="HV259" s="135"/>
      <c r="HW259" s="134"/>
      <c r="HX259" s="134"/>
      <c r="HY259" s="134"/>
      <c r="HZ259" s="134"/>
      <c r="IA259" s="134"/>
      <c r="IB259" s="134"/>
      <c r="IC259" s="134"/>
      <c r="ID259" s="134"/>
      <c r="IE259" s="135"/>
      <c r="IF259" s="135"/>
      <c r="IG259" s="134"/>
      <c r="IH259" s="134"/>
      <c r="II259" s="134"/>
      <c r="IJ259" s="134"/>
      <c r="IK259" s="134"/>
      <c r="IL259" s="134"/>
      <c r="IM259" s="134"/>
      <c r="IN259" s="134"/>
      <c r="IO259" s="135"/>
      <c r="IP259" s="135"/>
      <c r="IQ259" s="134"/>
      <c r="IR259" s="134"/>
      <c r="IS259" s="134"/>
      <c r="IT259" s="134"/>
      <c r="IU259" s="134"/>
      <c r="IV259" s="134"/>
      <c r="IW259" s="134"/>
      <c r="IX259" s="134"/>
      <c r="IY259" s="135"/>
      <c r="IZ259" s="135"/>
    </row>
    <row r="260" spans="1:260" customFormat="1" ht="17" customHeight="1">
      <c r="A260" s="79" t="s">
        <v>235</v>
      </c>
      <c r="B260" s="117">
        <v>171</v>
      </c>
      <c r="C260" s="117">
        <v>57</v>
      </c>
      <c r="D260" s="117"/>
      <c r="E260" s="123" t="s">
        <v>1992</v>
      </c>
      <c r="F260" s="124" t="s">
        <v>2220</v>
      </c>
      <c r="G260" s="125">
        <v>2013</v>
      </c>
      <c r="H260" s="79">
        <v>24015254</v>
      </c>
      <c r="I260" s="79">
        <v>1</v>
      </c>
      <c r="J260" s="126"/>
      <c r="K260" s="127"/>
      <c r="L260" s="79">
        <v>1</v>
      </c>
      <c r="M260" s="79"/>
      <c r="N260" s="79">
        <v>1</v>
      </c>
      <c r="O260" s="128">
        <v>1</v>
      </c>
      <c r="P260" s="79" t="s">
        <v>652</v>
      </c>
      <c r="Q260" s="79"/>
      <c r="R260" s="79" t="s">
        <v>591</v>
      </c>
      <c r="S260" s="79">
        <v>1</v>
      </c>
      <c r="T260" s="79"/>
      <c r="U260" s="79"/>
      <c r="V260" s="79"/>
      <c r="W260" s="79" t="s">
        <v>653</v>
      </c>
      <c r="X260" s="79" t="s">
        <v>24</v>
      </c>
      <c r="Y260" s="79"/>
      <c r="Z260" s="79"/>
      <c r="AA260" s="79"/>
      <c r="AB260" s="79"/>
      <c r="AC260" s="506"/>
      <c r="AD260" s="573">
        <v>1</v>
      </c>
      <c r="AE260" s="573">
        <v>2</v>
      </c>
      <c r="AF260" s="154">
        <v>1</v>
      </c>
      <c r="AG260" s="155"/>
      <c r="AH260" s="121">
        <v>2</v>
      </c>
      <c r="AI260" s="484"/>
      <c r="AJ260" s="202" t="s">
        <v>5138</v>
      </c>
      <c r="AK260" s="192">
        <v>0</v>
      </c>
      <c r="AL260" s="203" t="s">
        <v>24</v>
      </c>
      <c r="AM260" s="121">
        <f>Table665[[#This Row],[Subjects_n_ptsd]]+Table665[[#This Row],[Subjects_n_control]]</f>
        <v>87</v>
      </c>
      <c r="AN260" s="121">
        <v>48</v>
      </c>
      <c r="AO260" s="121">
        <v>39</v>
      </c>
      <c r="AP260" s="121" t="s">
        <v>803</v>
      </c>
      <c r="AQ260" s="121" t="s">
        <v>803</v>
      </c>
      <c r="AR260" s="121">
        <v>54</v>
      </c>
      <c r="AS260" s="121">
        <v>8.4</v>
      </c>
      <c r="AT260" s="121">
        <v>52.2</v>
      </c>
      <c r="AU260" s="121">
        <v>10.8</v>
      </c>
      <c r="AV260" s="121" t="s">
        <v>5117</v>
      </c>
      <c r="AW260" s="121" t="s">
        <v>24</v>
      </c>
      <c r="AX260" s="121" t="s">
        <v>24</v>
      </c>
      <c r="AY260" s="121" t="s">
        <v>5118</v>
      </c>
      <c r="AZ260" s="121" t="s">
        <v>5116</v>
      </c>
      <c r="BA260" s="121" t="s">
        <v>5115</v>
      </c>
      <c r="BB260" s="121"/>
      <c r="BC260" s="121"/>
      <c r="BD260" s="156"/>
      <c r="BE260" s="156"/>
      <c r="BF260" s="156"/>
      <c r="BG260" s="156"/>
      <c r="BH260" s="156"/>
      <c r="BI260" s="156"/>
      <c r="BJ260" s="156">
        <v>1</v>
      </c>
      <c r="BK260" s="156"/>
      <c r="BL260" s="156"/>
      <c r="BM260" s="156"/>
      <c r="BN260" s="156"/>
      <c r="BO260" s="156"/>
      <c r="BP260" s="156"/>
      <c r="BQ260" s="157" t="s">
        <v>5123</v>
      </c>
      <c r="BR260" s="134" t="s">
        <v>1876</v>
      </c>
      <c r="BS260" s="134" t="s">
        <v>5119</v>
      </c>
      <c r="BT260" s="134" t="s">
        <v>5124</v>
      </c>
      <c r="BU260" s="134" t="s">
        <v>24</v>
      </c>
      <c r="BV260" s="134" t="s">
        <v>5125</v>
      </c>
      <c r="BW260" s="259" t="s">
        <v>5137</v>
      </c>
      <c r="BX260" s="138" t="s">
        <v>5121</v>
      </c>
      <c r="BY260" s="134">
        <v>704.89200000000005</v>
      </c>
      <c r="BZ260" s="134" t="s">
        <v>24</v>
      </c>
      <c r="CA260" s="134">
        <f>759.936-Table665[[#This Row],[Outcome1_M]]</f>
        <v>55.043999999999983</v>
      </c>
      <c r="CB260" s="138" t="s">
        <v>5122</v>
      </c>
      <c r="CC260" s="134">
        <v>512.23199999999997</v>
      </c>
      <c r="CD260" s="134" t="s">
        <v>24</v>
      </c>
      <c r="CE260" s="134">
        <f>547.706-Table665[[#This Row],[Outcome2_M]]</f>
        <v>35.474000000000046</v>
      </c>
      <c r="CF260" s="288" t="s">
        <v>5136</v>
      </c>
      <c r="CG260" s="289" t="s">
        <v>5120</v>
      </c>
      <c r="CH260" s="138" t="s">
        <v>5126</v>
      </c>
      <c r="CI260" s="134">
        <v>59.181100000000001</v>
      </c>
      <c r="CJ260" s="134" t="s">
        <v>24</v>
      </c>
      <c r="CK260" s="134">
        <f>62.8919-Table665[[#This Row],[Outcome3_M]]</f>
        <v>3.710799999999999</v>
      </c>
      <c r="CL260" s="138" t="s">
        <v>5127</v>
      </c>
      <c r="CM260" s="134">
        <v>46.001300000000001</v>
      </c>
      <c r="CN260" s="134" t="s">
        <v>24</v>
      </c>
      <c r="CO260" s="134">
        <f>48.9443-Table665[[#This Row],[Outcome4_M]]</f>
        <v>2.9429999999999978</v>
      </c>
      <c r="CP260" s="288" t="s">
        <v>5130</v>
      </c>
      <c r="CQ260" s="289" t="s">
        <v>5131</v>
      </c>
      <c r="CR260" s="276" t="s">
        <v>5134</v>
      </c>
      <c r="CS260" s="308" t="s">
        <v>5133</v>
      </c>
      <c r="CT260" s="138" t="s">
        <v>5128</v>
      </c>
      <c r="CU260" s="134">
        <v>61.1004</v>
      </c>
      <c r="CV260" s="134" t="s">
        <v>24</v>
      </c>
      <c r="CW260" s="134">
        <f>63.0198-Table665[[#This Row],[Outcome5_M]]</f>
        <v>1.919399999999996</v>
      </c>
      <c r="CX260" s="138" t="s">
        <v>5129</v>
      </c>
      <c r="CY260" s="134">
        <v>59.564900000000002</v>
      </c>
      <c r="CZ260" s="134" t="s">
        <v>24</v>
      </c>
      <c r="DA260" s="134">
        <f>61.7402-Table665[[#This Row],[Outcome6_M]]</f>
        <v>2.1753</v>
      </c>
      <c r="DB260" s="300" t="s">
        <v>5132</v>
      </c>
      <c r="DC260" s="301" t="s">
        <v>5135</v>
      </c>
      <c r="DD260" s="134" t="s">
        <v>24</v>
      </c>
      <c r="DE260" s="134"/>
      <c r="DF260" s="134"/>
      <c r="DG260" s="134"/>
      <c r="DH260" s="134"/>
      <c r="DI260" s="134"/>
      <c r="DJ260" s="134"/>
      <c r="DK260" s="134"/>
      <c r="DL260" s="300"/>
      <c r="DM260" s="301"/>
      <c r="DN260" s="276"/>
      <c r="DO260" s="277"/>
      <c r="DP260" s="134"/>
      <c r="DQ260" s="134"/>
      <c r="DR260" s="134"/>
      <c r="DS260" s="134"/>
      <c r="DT260" s="138"/>
      <c r="DU260" s="134"/>
      <c r="DV260" s="134"/>
      <c r="DW260" s="134"/>
      <c r="DX260" s="301"/>
      <c r="DY260" s="301"/>
      <c r="DZ260" s="138"/>
      <c r="EA260" s="134"/>
      <c r="EB260" s="134"/>
      <c r="EC260" s="134"/>
      <c r="ED260" s="138"/>
      <c r="EE260" s="134"/>
      <c r="EF260" s="134"/>
      <c r="EG260" s="134"/>
      <c r="EH260" s="301"/>
      <c r="EI260" s="301"/>
      <c r="EJ260" s="277"/>
      <c r="EK260" s="134"/>
      <c r="EL260" s="134"/>
      <c r="EM260" s="134"/>
      <c r="EN260" s="134"/>
      <c r="EO260" s="134"/>
      <c r="EP260" s="134"/>
      <c r="EQ260" s="134"/>
      <c r="ER260" s="134"/>
      <c r="ES260" s="301"/>
      <c r="ET260" s="301"/>
      <c r="EU260" s="134"/>
      <c r="EV260" s="134"/>
      <c r="EW260" s="134"/>
      <c r="EX260" s="134"/>
      <c r="EY260" s="134"/>
      <c r="EZ260" s="134"/>
      <c r="FA260" s="134"/>
      <c r="FB260" s="134"/>
      <c r="FC260" s="135"/>
      <c r="FD260" s="135"/>
      <c r="FE260" s="134"/>
      <c r="FF260" s="134"/>
      <c r="FG260" s="134"/>
      <c r="FH260" s="134"/>
      <c r="FI260" s="134"/>
      <c r="FJ260" s="134"/>
      <c r="FK260" s="134"/>
      <c r="FL260" s="134"/>
      <c r="FM260" s="135"/>
      <c r="FN260" s="135"/>
      <c r="FO260" s="134"/>
      <c r="FP260" s="134"/>
      <c r="FQ260" s="134"/>
      <c r="FR260" s="134"/>
      <c r="FS260" s="134"/>
      <c r="FT260" s="134"/>
      <c r="FU260" s="134"/>
      <c r="FV260" s="134"/>
      <c r="FW260" s="135"/>
      <c r="FX260" s="135"/>
      <c r="FY260" s="134"/>
      <c r="FZ260" s="134"/>
      <c r="GA260" s="134"/>
      <c r="GB260" s="134"/>
      <c r="GC260" s="134"/>
      <c r="GD260" s="134"/>
      <c r="GE260" s="134"/>
      <c r="GF260" s="134"/>
      <c r="GG260" s="135"/>
      <c r="GH260" s="135"/>
      <c r="GI260" s="134"/>
      <c r="GJ260" s="134"/>
      <c r="GK260" s="134"/>
      <c r="GL260" s="134"/>
      <c r="GM260" s="134"/>
      <c r="GN260" s="134"/>
      <c r="GO260" s="134"/>
      <c r="GP260" s="134"/>
      <c r="GQ260" s="135"/>
      <c r="GR260" s="135"/>
      <c r="GS260" s="134"/>
      <c r="GT260" s="134"/>
      <c r="GU260" s="134"/>
      <c r="GV260" s="134"/>
      <c r="GW260" s="134"/>
      <c r="GX260" s="134"/>
      <c r="GY260" s="134"/>
      <c r="GZ260" s="134"/>
      <c r="HA260" s="135"/>
      <c r="HB260" s="135"/>
      <c r="HC260" s="134"/>
      <c r="HD260" s="134"/>
      <c r="HE260" s="134"/>
      <c r="HF260" s="134"/>
      <c r="HG260" s="134"/>
      <c r="HH260" s="134"/>
      <c r="HI260" s="134"/>
      <c r="HJ260" s="134"/>
      <c r="HK260" s="135"/>
      <c r="HL260" s="135"/>
      <c r="HM260" s="134"/>
      <c r="HN260" s="134"/>
      <c r="HO260" s="134"/>
      <c r="HP260" s="134"/>
      <c r="HQ260" s="134"/>
      <c r="HR260" s="134"/>
      <c r="HS260" s="134"/>
      <c r="HT260" s="134"/>
      <c r="HU260" s="135"/>
      <c r="HV260" s="135"/>
      <c r="HW260" s="134"/>
      <c r="HX260" s="134"/>
      <c r="HY260" s="134"/>
      <c r="HZ260" s="134"/>
      <c r="IA260" s="134"/>
      <c r="IB260" s="134"/>
      <c r="IC260" s="134"/>
      <c r="ID260" s="134"/>
      <c r="IE260" s="135"/>
      <c r="IF260" s="135"/>
      <c r="IG260" s="134"/>
      <c r="IH260" s="134"/>
      <c r="II260" s="134"/>
      <c r="IJ260" s="134"/>
      <c r="IK260" s="134"/>
      <c r="IL260" s="134"/>
      <c r="IM260" s="134"/>
      <c r="IN260" s="134"/>
      <c r="IO260" s="135"/>
      <c r="IP260" s="135"/>
      <c r="IQ260" s="134"/>
      <c r="IR260" s="134"/>
      <c r="IS260" s="134"/>
      <c r="IT260" s="134"/>
      <c r="IU260" s="134"/>
      <c r="IV260" s="134"/>
      <c r="IW260" s="134"/>
      <c r="IX260" s="134"/>
      <c r="IY260" s="135"/>
      <c r="IZ260" s="135"/>
    </row>
    <row r="261" spans="1:260" customFormat="1" ht="17" customHeight="1">
      <c r="A261" s="79" t="s">
        <v>237</v>
      </c>
      <c r="B261" s="117">
        <v>173</v>
      </c>
      <c r="C261" s="117">
        <v>58</v>
      </c>
      <c r="D261" s="117"/>
      <c r="E261" s="123" t="s">
        <v>1993</v>
      </c>
      <c r="F261" s="124" t="s">
        <v>2222</v>
      </c>
      <c r="G261" s="125">
        <v>2010</v>
      </c>
      <c r="H261" s="79">
        <v>20144193</v>
      </c>
      <c r="I261" s="79">
        <v>1</v>
      </c>
      <c r="J261" s="126"/>
      <c r="K261" s="127"/>
      <c r="L261" s="79">
        <v>1</v>
      </c>
      <c r="M261" s="79"/>
      <c r="N261" s="164">
        <v>1</v>
      </c>
      <c r="O261" s="128">
        <v>1</v>
      </c>
      <c r="P261" s="79" t="s">
        <v>23</v>
      </c>
      <c r="Q261" s="79"/>
      <c r="R261" s="79" t="s">
        <v>523</v>
      </c>
      <c r="S261" s="79">
        <v>0</v>
      </c>
      <c r="T261" s="79"/>
      <c r="U261" s="79"/>
      <c r="V261" s="79"/>
      <c r="W261" s="79" t="s">
        <v>654</v>
      </c>
      <c r="X261" s="79" t="s">
        <v>24</v>
      </c>
      <c r="Y261" s="79"/>
      <c r="Z261" s="79"/>
      <c r="AA261" s="79"/>
      <c r="AB261" s="79" t="s">
        <v>655</v>
      </c>
      <c r="AC261" s="506"/>
      <c r="AD261" s="573">
        <v>1</v>
      </c>
      <c r="AE261" s="573">
        <v>2</v>
      </c>
      <c r="AF261" s="165">
        <v>0</v>
      </c>
      <c r="AG261" s="166" t="s">
        <v>5141</v>
      </c>
      <c r="AH261" s="120" t="s">
        <v>5146</v>
      </c>
      <c r="AI261" s="120"/>
      <c r="AJ261" s="206" t="s">
        <v>5142</v>
      </c>
      <c r="AK261" s="372"/>
      <c r="AL261" s="207"/>
      <c r="AM261" s="120"/>
      <c r="AN261" s="120"/>
      <c r="AO261" s="120"/>
      <c r="AP261" s="120"/>
      <c r="AQ261" s="120"/>
      <c r="AR261" s="120"/>
      <c r="AS261" s="120"/>
      <c r="AT261" s="120"/>
      <c r="AU261" s="120"/>
      <c r="AV261" s="120"/>
      <c r="AW261" s="120"/>
      <c r="AX261" s="120"/>
      <c r="AY261" s="120"/>
      <c r="AZ261" s="120" t="s">
        <v>5140</v>
      </c>
      <c r="BA261" s="509" t="s">
        <v>5139</v>
      </c>
      <c r="BB261" s="509"/>
      <c r="BC261" s="509"/>
      <c r="BD261" s="511"/>
      <c r="BE261" s="511"/>
      <c r="BF261" s="511"/>
      <c r="BG261" s="511"/>
      <c r="BH261" s="511"/>
      <c r="BI261" s="511"/>
      <c r="BJ261" s="511">
        <v>1</v>
      </c>
      <c r="BK261" s="511"/>
      <c r="BL261" s="511"/>
      <c r="BM261" s="511"/>
      <c r="BN261" s="511"/>
      <c r="BO261" s="511"/>
      <c r="BP261" s="511"/>
      <c r="BQ261" s="510"/>
      <c r="BR261" s="134"/>
      <c r="BS261" s="134"/>
      <c r="BT261" s="134"/>
      <c r="BU261" s="134"/>
      <c r="BV261" s="134"/>
      <c r="BW261" s="375"/>
      <c r="BX261" s="138"/>
      <c r="BY261" s="134"/>
      <c r="BZ261" s="134"/>
      <c r="CA261" s="134"/>
      <c r="CB261" s="138"/>
      <c r="CC261" s="134"/>
      <c r="CD261" s="134"/>
      <c r="CE261" s="134"/>
      <c r="CF261" s="288"/>
      <c r="CG261" s="289"/>
      <c r="CH261" s="138"/>
      <c r="CI261" s="134"/>
      <c r="CJ261" s="134"/>
      <c r="CK261" s="134"/>
      <c r="CL261" s="138"/>
      <c r="CM261" s="134"/>
      <c r="CN261" s="134"/>
      <c r="CO261" s="134"/>
      <c r="CP261" s="288"/>
      <c r="CQ261" s="289"/>
      <c r="CR261" s="276"/>
      <c r="CS261" s="308"/>
      <c r="CT261" s="138"/>
      <c r="CU261" s="134"/>
      <c r="CV261" s="134"/>
      <c r="CW261" s="134"/>
      <c r="CX261" s="134"/>
      <c r="CY261" s="134"/>
      <c r="CZ261" s="134"/>
      <c r="DA261" s="134"/>
      <c r="DB261" s="300"/>
      <c r="DC261" s="301"/>
      <c r="DD261" s="134"/>
      <c r="DE261" s="134"/>
      <c r="DF261" s="134"/>
      <c r="DG261" s="134"/>
      <c r="DH261" s="134"/>
      <c r="DI261" s="134"/>
      <c r="DJ261" s="134"/>
      <c r="DK261" s="134"/>
      <c r="DL261" s="300"/>
      <c r="DM261" s="301"/>
      <c r="DN261" s="276"/>
      <c r="DO261" s="277"/>
      <c r="DP261" s="134"/>
      <c r="DQ261" s="134"/>
      <c r="DR261" s="134"/>
      <c r="DS261" s="134"/>
      <c r="DT261" s="138"/>
      <c r="DU261" s="134"/>
      <c r="DV261" s="134"/>
      <c r="DW261" s="134"/>
      <c r="DX261" s="301"/>
      <c r="DY261" s="301"/>
      <c r="DZ261" s="138"/>
      <c r="EA261" s="134"/>
      <c r="EB261" s="134"/>
      <c r="EC261" s="134"/>
      <c r="ED261" s="138"/>
      <c r="EE261" s="134"/>
      <c r="EF261" s="134"/>
      <c r="EG261" s="134"/>
      <c r="EH261" s="301"/>
      <c r="EI261" s="301"/>
      <c r="EJ261" s="277"/>
      <c r="EK261" s="134"/>
      <c r="EL261" s="134"/>
      <c r="EM261" s="134"/>
      <c r="EN261" s="134"/>
      <c r="EO261" s="134"/>
      <c r="EP261" s="134"/>
      <c r="EQ261" s="134"/>
      <c r="ER261" s="134"/>
      <c r="ES261" s="301"/>
      <c r="ET261" s="301"/>
      <c r="EU261" s="134"/>
      <c r="EV261" s="134"/>
      <c r="EW261" s="134"/>
      <c r="EX261" s="134"/>
      <c r="EY261" s="134"/>
      <c r="EZ261" s="134"/>
      <c r="FA261" s="134"/>
      <c r="FB261" s="134"/>
      <c r="FC261" s="135"/>
      <c r="FD261" s="135"/>
      <c r="FE261" s="134"/>
      <c r="FF261" s="134"/>
      <c r="FG261" s="134"/>
      <c r="FH261" s="134"/>
      <c r="FI261" s="134"/>
      <c r="FJ261" s="134"/>
      <c r="FK261" s="134"/>
      <c r="FL261" s="134"/>
      <c r="FM261" s="135"/>
      <c r="FN261" s="135"/>
      <c r="FO261" s="134"/>
      <c r="FP261" s="134"/>
      <c r="FQ261" s="134"/>
      <c r="FR261" s="134"/>
      <c r="FS261" s="134"/>
      <c r="FT261" s="134"/>
      <c r="FU261" s="134"/>
      <c r="FV261" s="134"/>
      <c r="FW261" s="135"/>
      <c r="FX261" s="135"/>
      <c r="FY261" s="134"/>
      <c r="FZ261" s="134"/>
      <c r="GA261" s="134"/>
      <c r="GB261" s="134"/>
      <c r="GC261" s="134"/>
      <c r="GD261" s="134"/>
      <c r="GE261" s="134"/>
      <c r="GF261" s="134"/>
      <c r="GG261" s="135"/>
      <c r="GH261" s="135"/>
      <c r="GI261" s="134"/>
      <c r="GJ261" s="134"/>
      <c r="GK261" s="134"/>
      <c r="GL261" s="134"/>
      <c r="GM261" s="134"/>
      <c r="GN261" s="134"/>
      <c r="GO261" s="134"/>
      <c r="GP261" s="134"/>
      <c r="GQ261" s="135"/>
      <c r="GR261" s="135"/>
      <c r="GS261" s="134"/>
      <c r="GT261" s="134"/>
      <c r="GU261" s="134"/>
      <c r="GV261" s="134"/>
      <c r="GW261" s="134"/>
      <c r="GX261" s="134"/>
      <c r="GY261" s="134"/>
      <c r="GZ261" s="134"/>
      <c r="HA261" s="135"/>
      <c r="HB261" s="135"/>
      <c r="HC261" s="134"/>
      <c r="HD261" s="134"/>
      <c r="HE261" s="134"/>
      <c r="HF261" s="134"/>
      <c r="HG261" s="134"/>
      <c r="HH261" s="134"/>
      <c r="HI261" s="134"/>
      <c r="HJ261" s="134"/>
      <c r="HK261" s="135"/>
      <c r="HL261" s="135"/>
      <c r="HM261" s="134"/>
      <c r="HN261" s="134"/>
      <c r="HO261" s="134"/>
      <c r="HP261" s="134"/>
      <c r="HQ261" s="134"/>
      <c r="HR261" s="134"/>
      <c r="HS261" s="134"/>
      <c r="HT261" s="134"/>
      <c r="HU261" s="135"/>
      <c r="HV261" s="135"/>
      <c r="HW261" s="134"/>
      <c r="HX261" s="134"/>
      <c r="HY261" s="134"/>
      <c r="HZ261" s="134"/>
      <c r="IA261" s="134"/>
      <c r="IB261" s="134"/>
      <c r="IC261" s="134"/>
      <c r="ID261" s="134"/>
      <c r="IE261" s="135"/>
      <c r="IF261" s="135"/>
      <c r="IG261" s="134"/>
      <c r="IH261" s="134"/>
      <c r="II261" s="134"/>
      <c r="IJ261" s="134"/>
      <c r="IK261" s="134"/>
      <c r="IL261" s="134"/>
      <c r="IM261" s="134"/>
      <c r="IN261" s="134"/>
      <c r="IO261" s="135"/>
      <c r="IP261" s="135"/>
      <c r="IQ261" s="134"/>
      <c r="IR261" s="134"/>
      <c r="IS261" s="134"/>
      <c r="IT261" s="134"/>
      <c r="IU261" s="134"/>
      <c r="IV261" s="134"/>
      <c r="IW261" s="134"/>
      <c r="IX261" s="134"/>
      <c r="IY261" s="135"/>
      <c r="IZ261" s="135"/>
    </row>
    <row r="262" spans="1:260" customFormat="1" ht="17" customHeight="1">
      <c r="A262" s="79" t="s">
        <v>238</v>
      </c>
      <c r="B262" s="117">
        <v>174</v>
      </c>
      <c r="C262" s="117">
        <v>59</v>
      </c>
      <c r="D262" s="117"/>
      <c r="E262" s="123" t="s">
        <v>1993</v>
      </c>
      <c r="F262" s="124" t="s">
        <v>2223</v>
      </c>
      <c r="G262" s="125">
        <v>2009</v>
      </c>
      <c r="H262" s="79">
        <v>19756511</v>
      </c>
      <c r="I262" s="79">
        <v>1</v>
      </c>
      <c r="J262" s="126"/>
      <c r="K262" s="127"/>
      <c r="L262" s="79">
        <v>1</v>
      </c>
      <c r="M262" s="79"/>
      <c r="N262" s="164">
        <v>1</v>
      </c>
      <c r="O262" s="128">
        <v>1</v>
      </c>
      <c r="P262" s="79" t="s">
        <v>23</v>
      </c>
      <c r="Q262" s="79"/>
      <c r="R262" s="79" t="s">
        <v>523</v>
      </c>
      <c r="S262" s="79">
        <v>0</v>
      </c>
      <c r="T262" s="79"/>
      <c r="U262" s="79"/>
      <c r="V262" s="79"/>
      <c r="W262" s="79" t="s">
        <v>654</v>
      </c>
      <c r="X262" s="79" t="s">
        <v>24</v>
      </c>
      <c r="Y262" s="79"/>
      <c r="Z262" s="79"/>
      <c r="AA262" s="79"/>
      <c r="AB262" s="79" t="s">
        <v>656</v>
      </c>
      <c r="AC262" s="506"/>
      <c r="AD262" s="573">
        <v>1</v>
      </c>
      <c r="AE262" s="573">
        <v>2</v>
      </c>
      <c r="AF262" s="165">
        <v>0</v>
      </c>
      <c r="AG262" s="166" t="s">
        <v>5143</v>
      </c>
      <c r="AH262" s="120" t="s">
        <v>5145</v>
      </c>
      <c r="AI262" s="120"/>
      <c r="AJ262" s="206"/>
      <c r="AK262" s="372"/>
      <c r="AL262" s="207"/>
      <c r="AM262" s="120"/>
      <c r="AN262" s="120"/>
      <c r="AO262" s="120"/>
      <c r="AP262" s="120"/>
      <c r="AQ262" s="120"/>
      <c r="AR262" s="120"/>
      <c r="AS262" s="120"/>
      <c r="AT262" s="120"/>
      <c r="AU262" s="120"/>
      <c r="AV262" s="120"/>
      <c r="AW262" s="120"/>
      <c r="AX262" s="120"/>
      <c r="AY262" s="120"/>
      <c r="AZ262" s="120"/>
      <c r="BA262" s="509"/>
      <c r="BB262" s="509"/>
      <c r="BC262" s="509"/>
      <c r="BD262" s="511"/>
      <c r="BE262" s="511"/>
      <c r="BF262" s="511"/>
      <c r="BG262" s="511"/>
      <c r="BH262" s="511"/>
      <c r="BI262" s="511"/>
      <c r="BJ262" s="511">
        <v>1</v>
      </c>
      <c r="BK262" s="511"/>
      <c r="BL262" s="511"/>
      <c r="BM262" s="511"/>
      <c r="BN262" s="511"/>
      <c r="BO262" s="511"/>
      <c r="BP262" s="511"/>
      <c r="BQ262" s="510"/>
      <c r="BR262" s="134"/>
      <c r="BS262" s="134"/>
      <c r="BT262" s="134"/>
      <c r="BU262" s="134"/>
      <c r="BV262" s="134"/>
      <c r="BW262" s="375"/>
      <c r="BX262" s="138"/>
      <c r="BY262" s="134"/>
      <c r="BZ262" s="134"/>
      <c r="CA262" s="134"/>
      <c r="CB262" s="138"/>
      <c r="CC262" s="134"/>
      <c r="CD262" s="134"/>
      <c r="CE262" s="134"/>
      <c r="CF262" s="288"/>
      <c r="CG262" s="289"/>
      <c r="CH262" s="138"/>
      <c r="CI262" s="134"/>
      <c r="CJ262" s="134"/>
      <c r="CK262" s="134"/>
      <c r="CL262" s="138"/>
      <c r="CM262" s="134"/>
      <c r="CN262" s="134"/>
      <c r="CO262" s="134"/>
      <c r="CP262" s="288"/>
      <c r="CQ262" s="289"/>
      <c r="CR262" s="276"/>
      <c r="CS262" s="308"/>
      <c r="CT262" s="138"/>
      <c r="CU262" s="134"/>
      <c r="CV262" s="134"/>
      <c r="CW262" s="134"/>
      <c r="CX262" s="134"/>
      <c r="CY262" s="134"/>
      <c r="CZ262" s="134"/>
      <c r="DA262" s="134"/>
      <c r="DB262" s="300"/>
      <c r="DC262" s="301"/>
      <c r="DD262" s="134"/>
      <c r="DE262" s="134"/>
      <c r="DF262" s="134"/>
      <c r="DG262" s="134"/>
      <c r="DH262" s="134"/>
      <c r="DI262" s="134"/>
      <c r="DJ262" s="134"/>
      <c r="DK262" s="134"/>
      <c r="DL262" s="300"/>
      <c r="DM262" s="301"/>
      <c r="DN262" s="276"/>
      <c r="DO262" s="277"/>
      <c r="DP262" s="134"/>
      <c r="DQ262" s="134"/>
      <c r="DR262" s="134"/>
      <c r="DS262" s="134"/>
      <c r="DT262" s="138"/>
      <c r="DU262" s="134"/>
      <c r="DV262" s="134"/>
      <c r="DW262" s="134"/>
      <c r="DX262" s="301"/>
      <c r="DY262" s="301"/>
      <c r="DZ262" s="138"/>
      <c r="EA262" s="134"/>
      <c r="EB262" s="134"/>
      <c r="EC262" s="134"/>
      <c r="ED262" s="138"/>
      <c r="EE262" s="134"/>
      <c r="EF262" s="134"/>
      <c r="EG262" s="134"/>
      <c r="EH262" s="301"/>
      <c r="EI262" s="301"/>
      <c r="EJ262" s="277"/>
      <c r="EK262" s="134"/>
      <c r="EL262" s="134"/>
      <c r="EM262" s="134"/>
      <c r="EN262" s="134"/>
      <c r="EO262" s="134"/>
      <c r="EP262" s="134"/>
      <c r="EQ262" s="134"/>
      <c r="ER262" s="134"/>
      <c r="ES262" s="301"/>
      <c r="ET262" s="301"/>
      <c r="EU262" s="134"/>
      <c r="EV262" s="134"/>
      <c r="EW262" s="134"/>
      <c r="EX262" s="134"/>
      <c r="EY262" s="134"/>
      <c r="EZ262" s="134"/>
      <c r="FA262" s="134"/>
      <c r="FB262" s="134"/>
      <c r="FC262" s="135"/>
      <c r="FD262" s="135"/>
      <c r="FE262" s="134"/>
      <c r="FF262" s="134"/>
      <c r="FG262" s="134"/>
      <c r="FH262" s="134"/>
      <c r="FI262" s="134"/>
      <c r="FJ262" s="134"/>
      <c r="FK262" s="134"/>
      <c r="FL262" s="134"/>
      <c r="FM262" s="135"/>
      <c r="FN262" s="135"/>
      <c r="FO262" s="134"/>
      <c r="FP262" s="134"/>
      <c r="FQ262" s="134"/>
      <c r="FR262" s="134"/>
      <c r="FS262" s="134"/>
      <c r="FT262" s="134"/>
      <c r="FU262" s="134"/>
      <c r="FV262" s="134"/>
      <c r="FW262" s="135"/>
      <c r="FX262" s="135"/>
      <c r="FY262" s="134"/>
      <c r="FZ262" s="134"/>
      <c r="GA262" s="134"/>
      <c r="GB262" s="134"/>
      <c r="GC262" s="134"/>
      <c r="GD262" s="134"/>
      <c r="GE262" s="134"/>
      <c r="GF262" s="134"/>
      <c r="GG262" s="135"/>
      <c r="GH262" s="135"/>
      <c r="GI262" s="134"/>
      <c r="GJ262" s="134"/>
      <c r="GK262" s="134"/>
      <c r="GL262" s="134"/>
      <c r="GM262" s="134"/>
      <c r="GN262" s="134"/>
      <c r="GO262" s="134"/>
      <c r="GP262" s="134"/>
      <c r="GQ262" s="135"/>
      <c r="GR262" s="135"/>
      <c r="GS262" s="134"/>
      <c r="GT262" s="134"/>
      <c r="GU262" s="134"/>
      <c r="GV262" s="134"/>
      <c r="GW262" s="134"/>
      <c r="GX262" s="134"/>
      <c r="GY262" s="134"/>
      <c r="GZ262" s="134"/>
      <c r="HA262" s="135"/>
      <c r="HB262" s="135"/>
      <c r="HC262" s="134"/>
      <c r="HD262" s="134"/>
      <c r="HE262" s="134"/>
      <c r="HF262" s="134"/>
      <c r="HG262" s="134"/>
      <c r="HH262" s="134"/>
      <c r="HI262" s="134"/>
      <c r="HJ262" s="134"/>
      <c r="HK262" s="135"/>
      <c r="HL262" s="135"/>
      <c r="HM262" s="134"/>
      <c r="HN262" s="134"/>
      <c r="HO262" s="134"/>
      <c r="HP262" s="134"/>
      <c r="HQ262" s="134"/>
      <c r="HR262" s="134"/>
      <c r="HS262" s="134"/>
      <c r="HT262" s="134"/>
      <c r="HU262" s="135"/>
      <c r="HV262" s="135"/>
      <c r="HW262" s="134"/>
      <c r="HX262" s="134"/>
      <c r="HY262" s="134"/>
      <c r="HZ262" s="134"/>
      <c r="IA262" s="134"/>
      <c r="IB262" s="134"/>
      <c r="IC262" s="134"/>
      <c r="ID262" s="134"/>
      <c r="IE262" s="135"/>
      <c r="IF262" s="135"/>
      <c r="IG262" s="134"/>
      <c r="IH262" s="134"/>
      <c r="II262" s="134"/>
      <c r="IJ262" s="134"/>
      <c r="IK262" s="134"/>
      <c r="IL262" s="134"/>
      <c r="IM262" s="134"/>
      <c r="IN262" s="134"/>
      <c r="IO262" s="135"/>
      <c r="IP262" s="135"/>
      <c r="IQ262" s="134"/>
      <c r="IR262" s="134"/>
      <c r="IS262" s="134"/>
      <c r="IT262" s="134"/>
      <c r="IU262" s="134"/>
      <c r="IV262" s="134"/>
      <c r="IW262" s="134"/>
      <c r="IX262" s="134"/>
      <c r="IY262" s="135"/>
      <c r="IZ262" s="135"/>
    </row>
    <row r="263" spans="1:260" customFormat="1" ht="17" customHeight="1">
      <c r="A263" s="79" t="s">
        <v>1013</v>
      </c>
      <c r="B263" s="117">
        <v>33</v>
      </c>
      <c r="C263" s="117"/>
      <c r="D263" s="117"/>
      <c r="E263" s="123" t="s">
        <v>2097</v>
      </c>
      <c r="F263" s="124" t="s">
        <v>2352</v>
      </c>
      <c r="G263" s="125">
        <v>2014</v>
      </c>
      <c r="H263" s="79">
        <v>24583372</v>
      </c>
      <c r="I263" s="79">
        <v>1</v>
      </c>
      <c r="J263" s="126"/>
      <c r="K263" s="127"/>
      <c r="L263" s="79">
        <v>1</v>
      </c>
      <c r="M263" s="79"/>
      <c r="N263" s="79">
        <v>1</v>
      </c>
      <c r="O263" s="128">
        <v>2</v>
      </c>
      <c r="P263" s="79" t="s">
        <v>1327</v>
      </c>
      <c r="Q263" s="79" t="s">
        <v>1216</v>
      </c>
      <c r="R263" s="79" t="s">
        <v>1433</v>
      </c>
      <c r="S263" s="79"/>
      <c r="T263" s="79" t="s">
        <v>1431</v>
      </c>
      <c r="U263" s="79" t="s">
        <v>803</v>
      </c>
      <c r="V263" s="79"/>
      <c r="W263" s="79" t="s">
        <v>1432</v>
      </c>
      <c r="X263" s="79" t="s">
        <v>1434</v>
      </c>
      <c r="Y263" s="79"/>
      <c r="Z263" s="79"/>
      <c r="AA263" s="79"/>
      <c r="AB263" s="79"/>
      <c r="AC263" s="506"/>
      <c r="AD263" s="573">
        <v>1</v>
      </c>
      <c r="AE263" s="573">
        <v>2</v>
      </c>
      <c r="AF263" s="154">
        <v>1</v>
      </c>
      <c r="AG263" s="155"/>
      <c r="AH263" s="121">
        <v>4</v>
      </c>
      <c r="AI263" s="484"/>
      <c r="AJ263" s="202" t="s">
        <v>3228</v>
      </c>
      <c r="AK263" s="192">
        <v>0</v>
      </c>
      <c r="AL263" s="203">
        <v>0</v>
      </c>
      <c r="AM263" s="121">
        <f>Table665[[#This Row],[Subjects_n_ptsd]]+Table665[[#This Row],[Subjects_n_control]]</f>
        <v>15</v>
      </c>
      <c r="AN263" s="121">
        <v>5</v>
      </c>
      <c r="AO263" s="121">
        <v>10</v>
      </c>
      <c r="AP263" s="121" t="s">
        <v>803</v>
      </c>
      <c r="AQ263" s="121" t="s">
        <v>803</v>
      </c>
      <c r="AR263" s="121" t="s">
        <v>3220</v>
      </c>
      <c r="AS263" s="121" t="s">
        <v>24</v>
      </c>
      <c r="AT263" s="121" t="s">
        <v>3220</v>
      </c>
      <c r="AU263" s="121" t="s">
        <v>24</v>
      </c>
      <c r="AV263" s="121" t="s">
        <v>3219</v>
      </c>
      <c r="AW263" s="121">
        <v>1</v>
      </c>
      <c r="AX263" s="121">
        <v>1</v>
      </c>
      <c r="AY263" s="121" t="s">
        <v>3221</v>
      </c>
      <c r="AZ263" s="121" t="s">
        <v>1130</v>
      </c>
      <c r="BA263" s="121" t="s">
        <v>3223</v>
      </c>
      <c r="BB263" s="121"/>
      <c r="BC263" s="121"/>
      <c r="BD263" s="156">
        <v>1</v>
      </c>
      <c r="BE263" s="156"/>
      <c r="BF263" s="156"/>
      <c r="BG263" s="156"/>
      <c r="BH263" s="156"/>
      <c r="BI263" s="156"/>
      <c r="BJ263" s="156"/>
      <c r="BK263" s="156"/>
      <c r="BL263" s="156"/>
      <c r="BM263" s="156"/>
      <c r="BN263" s="156"/>
      <c r="BO263" s="156"/>
      <c r="BP263" s="156"/>
      <c r="BQ263" s="157" t="s">
        <v>2879</v>
      </c>
      <c r="BR263" s="134" t="s">
        <v>1876</v>
      </c>
      <c r="BS263" s="134">
        <v>2</v>
      </c>
      <c r="BT263" s="134" t="s">
        <v>3222</v>
      </c>
      <c r="BU263" s="134" t="s">
        <v>2471</v>
      </c>
      <c r="BV263" s="134" t="s">
        <v>3224</v>
      </c>
      <c r="BW263" s="259" t="s">
        <v>3225</v>
      </c>
      <c r="BX263" s="138" t="s">
        <v>3226</v>
      </c>
      <c r="BY263" s="134">
        <v>84.173900000000003</v>
      </c>
      <c r="BZ263" s="134" t="s">
        <v>3228</v>
      </c>
      <c r="CA263" s="134">
        <f>88.575-Table665[[#This Row],[Outcome1_M]]</f>
        <v>4.4010999999999996</v>
      </c>
      <c r="CB263" s="138" t="s">
        <v>3227</v>
      </c>
      <c r="CC263" s="134">
        <v>84.173000000000002</v>
      </c>
      <c r="CD263" s="134" t="s">
        <v>3228</v>
      </c>
      <c r="CE263" s="134">
        <f>90.9985-Table665[[#This Row],[Outcome2_M]]</f>
        <v>6.8255000000000052</v>
      </c>
      <c r="CF263" s="288" t="s">
        <v>3229</v>
      </c>
      <c r="CG263" s="289" t="s">
        <v>3230</v>
      </c>
      <c r="CH263" s="138"/>
      <c r="CI263" s="134"/>
      <c r="CJ263" s="134"/>
      <c r="CK263" s="134"/>
      <c r="CL263" s="138"/>
      <c r="CM263" s="134"/>
      <c r="CN263" s="134"/>
      <c r="CO263" s="134"/>
      <c r="CP263" s="288"/>
      <c r="CQ263" s="289"/>
      <c r="CR263" s="276"/>
      <c r="CS263" s="308"/>
      <c r="CT263" s="138"/>
      <c r="CU263" s="134"/>
      <c r="CV263" s="134"/>
      <c r="CW263" s="134"/>
      <c r="CX263" s="134"/>
      <c r="CY263" s="134"/>
      <c r="CZ263" s="134"/>
      <c r="DA263" s="134"/>
      <c r="DB263" s="300"/>
      <c r="DC263" s="301"/>
      <c r="DD263" s="134"/>
      <c r="DE263" s="134"/>
      <c r="DF263" s="134"/>
      <c r="DG263" s="134"/>
      <c r="DH263" s="134"/>
      <c r="DI263" s="134"/>
      <c r="DJ263" s="134"/>
      <c r="DK263" s="134"/>
      <c r="DL263" s="300"/>
      <c r="DM263" s="301"/>
      <c r="DN263" s="276"/>
      <c r="DO263" s="277"/>
      <c r="DP263" s="134"/>
      <c r="DQ263" s="134"/>
      <c r="DR263" s="134"/>
      <c r="DS263" s="134"/>
      <c r="DT263" s="138"/>
      <c r="DU263" s="134"/>
      <c r="DV263" s="134"/>
      <c r="DW263" s="134"/>
      <c r="DX263" s="301"/>
      <c r="DY263" s="301"/>
      <c r="DZ263" s="138"/>
      <c r="EA263" s="134"/>
      <c r="EB263" s="134"/>
      <c r="EC263" s="134"/>
      <c r="ED263" s="138"/>
      <c r="EE263" s="134"/>
      <c r="EF263" s="134"/>
      <c r="EG263" s="134"/>
      <c r="EH263" s="301"/>
      <c r="EI263" s="301"/>
      <c r="EJ263" s="277"/>
      <c r="EK263" s="134"/>
      <c r="EL263" s="134"/>
      <c r="EM263" s="134"/>
      <c r="EN263" s="134"/>
      <c r="EO263" s="134"/>
      <c r="EP263" s="134"/>
      <c r="EQ263" s="134"/>
      <c r="ER263" s="134"/>
      <c r="ES263" s="301"/>
      <c r="ET263" s="301"/>
      <c r="EU263" s="134"/>
      <c r="EV263" s="134"/>
      <c r="EW263" s="134"/>
      <c r="EX263" s="134"/>
      <c r="EY263" s="134"/>
      <c r="EZ263" s="134"/>
      <c r="FA263" s="134"/>
      <c r="FB263" s="134"/>
      <c r="FC263" s="135"/>
      <c r="FD263" s="135"/>
      <c r="FE263" s="134"/>
      <c r="FF263" s="134"/>
      <c r="FG263" s="134"/>
      <c r="FH263" s="134"/>
      <c r="FI263" s="134"/>
      <c r="FJ263" s="134"/>
      <c r="FK263" s="134"/>
      <c r="FL263" s="134"/>
      <c r="FM263" s="135"/>
      <c r="FN263" s="135"/>
      <c r="FO263" s="134"/>
      <c r="FP263" s="134"/>
      <c r="FQ263" s="134"/>
      <c r="FR263" s="134"/>
      <c r="FS263" s="134"/>
      <c r="FT263" s="134"/>
      <c r="FU263" s="134"/>
      <c r="FV263" s="134"/>
      <c r="FW263" s="135"/>
      <c r="FX263" s="135"/>
      <c r="FY263" s="134"/>
      <c r="FZ263" s="134"/>
      <c r="GA263" s="134"/>
      <c r="GB263" s="134"/>
      <c r="GC263" s="134"/>
      <c r="GD263" s="134"/>
      <c r="GE263" s="134"/>
      <c r="GF263" s="134"/>
      <c r="GG263" s="135"/>
      <c r="GH263" s="135"/>
      <c r="GI263" s="134"/>
      <c r="GJ263" s="134"/>
      <c r="GK263" s="134"/>
      <c r="GL263" s="134"/>
      <c r="GM263" s="134"/>
      <c r="GN263" s="134"/>
      <c r="GO263" s="134"/>
      <c r="GP263" s="134"/>
      <c r="GQ263" s="135"/>
      <c r="GR263" s="135"/>
      <c r="GS263" s="134"/>
      <c r="GT263" s="134"/>
      <c r="GU263" s="134"/>
      <c r="GV263" s="134"/>
      <c r="GW263" s="134"/>
      <c r="GX263" s="134"/>
      <c r="GY263" s="134"/>
      <c r="GZ263" s="134"/>
      <c r="HA263" s="135"/>
      <c r="HB263" s="135"/>
      <c r="HC263" s="134"/>
      <c r="HD263" s="134"/>
      <c r="HE263" s="134"/>
      <c r="HF263" s="134"/>
      <c r="HG263" s="134"/>
      <c r="HH263" s="134"/>
      <c r="HI263" s="134"/>
      <c r="HJ263" s="134"/>
      <c r="HK263" s="135"/>
      <c r="HL263" s="135"/>
      <c r="HM263" s="134"/>
      <c r="HN263" s="134"/>
      <c r="HO263" s="134"/>
      <c r="HP263" s="134"/>
      <c r="HQ263" s="134"/>
      <c r="HR263" s="134"/>
      <c r="HS263" s="134"/>
      <c r="HT263" s="134"/>
      <c r="HU263" s="135"/>
      <c r="HV263" s="135"/>
      <c r="HW263" s="134"/>
      <c r="HX263" s="134"/>
      <c r="HY263" s="134"/>
      <c r="HZ263" s="134"/>
      <c r="IA263" s="134"/>
      <c r="IB263" s="134"/>
      <c r="IC263" s="134"/>
      <c r="ID263" s="134"/>
      <c r="IE263" s="135"/>
      <c r="IF263" s="135"/>
      <c r="IG263" s="134"/>
      <c r="IH263" s="134"/>
      <c r="II263" s="134"/>
      <c r="IJ263" s="134"/>
      <c r="IK263" s="134"/>
      <c r="IL263" s="134"/>
      <c r="IM263" s="134"/>
      <c r="IN263" s="134"/>
      <c r="IO263" s="135"/>
      <c r="IP263" s="135"/>
      <c r="IQ263" s="134"/>
      <c r="IR263" s="134"/>
      <c r="IS263" s="134"/>
      <c r="IT263" s="134"/>
      <c r="IU263" s="134"/>
      <c r="IV263" s="134"/>
      <c r="IW263" s="134"/>
      <c r="IX263" s="134"/>
      <c r="IY263" s="135"/>
      <c r="IZ263" s="135"/>
    </row>
    <row r="264" spans="1:260" customFormat="1" ht="17" customHeight="1">
      <c r="A264" s="79" t="s">
        <v>241</v>
      </c>
      <c r="B264" s="117">
        <v>176</v>
      </c>
      <c r="C264" s="117">
        <v>60</v>
      </c>
      <c r="D264" s="117"/>
      <c r="E264" s="123" t="s">
        <v>1995</v>
      </c>
      <c r="F264" s="124" t="s">
        <v>2225</v>
      </c>
      <c r="G264" s="125">
        <v>2012</v>
      </c>
      <c r="H264" s="79">
        <v>22687547</v>
      </c>
      <c r="I264" s="79">
        <v>1</v>
      </c>
      <c r="J264" s="126" t="s">
        <v>1779</v>
      </c>
      <c r="K264" s="127" t="s">
        <v>1745</v>
      </c>
      <c r="L264" s="164">
        <v>1</v>
      </c>
      <c r="M264" s="79" t="s">
        <v>1745</v>
      </c>
      <c r="N264" s="164">
        <v>0</v>
      </c>
      <c r="O264" s="128">
        <v>1</v>
      </c>
      <c r="P264" s="79" t="s">
        <v>661</v>
      </c>
      <c r="Q264" s="79"/>
      <c r="R264" s="79" t="s">
        <v>659</v>
      </c>
      <c r="S264" s="79">
        <v>1</v>
      </c>
      <c r="T264" s="79"/>
      <c r="U264" s="79"/>
      <c r="V264" s="79"/>
      <c r="W264" s="79" t="s">
        <v>492</v>
      </c>
      <c r="X264" s="79" t="s">
        <v>24</v>
      </c>
      <c r="Y264" s="79" t="s">
        <v>24</v>
      </c>
      <c r="Z264" s="79"/>
      <c r="AA264" s="79"/>
      <c r="AB264" s="79" t="s">
        <v>660</v>
      </c>
      <c r="AC264" s="506"/>
      <c r="AD264" s="573">
        <v>1</v>
      </c>
      <c r="AE264" s="573">
        <v>2</v>
      </c>
      <c r="AF264" s="165" t="s">
        <v>3003</v>
      </c>
      <c r="AG264" s="166" t="s">
        <v>5148</v>
      </c>
      <c r="AH264" s="120">
        <v>2</v>
      </c>
      <c r="AI264" s="120"/>
      <c r="AJ264" s="206" t="s">
        <v>5147</v>
      </c>
      <c r="AK264" s="372"/>
      <c r="AL264" s="207"/>
      <c r="AM264" s="120"/>
      <c r="AN264" s="120"/>
      <c r="AO264" s="120"/>
      <c r="AP264" s="120"/>
      <c r="AQ264" s="120"/>
      <c r="AR264" s="120"/>
      <c r="AS264" s="120"/>
      <c r="AT264" s="120"/>
      <c r="AU264" s="120"/>
      <c r="AV264" s="120"/>
      <c r="AW264" s="120"/>
      <c r="AX264" s="120"/>
      <c r="AY264" s="120"/>
      <c r="AZ264" s="120"/>
      <c r="BA264" s="509"/>
      <c r="BB264" s="509"/>
      <c r="BC264" s="509"/>
      <c r="BD264" s="511"/>
      <c r="BE264" s="511"/>
      <c r="BF264" s="511"/>
      <c r="BG264" s="511"/>
      <c r="BH264" s="511"/>
      <c r="BI264" s="511"/>
      <c r="BJ264" s="511">
        <v>1</v>
      </c>
      <c r="BK264" s="511"/>
      <c r="BL264" s="511"/>
      <c r="BM264" s="511"/>
      <c r="BN264" s="511"/>
      <c r="BO264" s="511"/>
      <c r="BP264" s="511"/>
      <c r="BQ264" s="510"/>
      <c r="BR264" s="134"/>
      <c r="BS264" s="134"/>
      <c r="BT264" s="134"/>
      <c r="BU264" s="134"/>
      <c r="BV264" s="134"/>
      <c r="BW264" s="375"/>
      <c r="BX264" s="138"/>
      <c r="BY264" s="134"/>
      <c r="BZ264" s="134"/>
      <c r="CA264" s="134"/>
      <c r="CB264" s="138"/>
      <c r="CC264" s="134"/>
      <c r="CD264" s="134"/>
      <c r="CE264" s="134"/>
      <c r="CF264" s="288"/>
      <c r="CG264" s="289"/>
      <c r="CH264" s="138"/>
      <c r="CI264" s="134"/>
      <c r="CJ264" s="134"/>
      <c r="CK264" s="134"/>
      <c r="CL264" s="138"/>
      <c r="CM264" s="134"/>
      <c r="CN264" s="134"/>
      <c r="CO264" s="134"/>
      <c r="CP264" s="288"/>
      <c r="CQ264" s="289"/>
      <c r="CR264" s="276"/>
      <c r="CS264" s="308"/>
      <c r="CT264" s="138"/>
      <c r="CU264" s="134"/>
      <c r="CV264" s="134"/>
      <c r="CW264" s="134"/>
      <c r="CX264" s="134"/>
      <c r="CY264" s="134"/>
      <c r="CZ264" s="134"/>
      <c r="DA264" s="134"/>
      <c r="DB264" s="300"/>
      <c r="DC264" s="301"/>
      <c r="DD264" s="134"/>
      <c r="DE264" s="134"/>
      <c r="DF264" s="134"/>
      <c r="DG264" s="134"/>
      <c r="DH264" s="134"/>
      <c r="DI264" s="134"/>
      <c r="DJ264" s="134"/>
      <c r="DK264" s="134"/>
      <c r="DL264" s="300"/>
      <c r="DM264" s="301"/>
      <c r="DN264" s="276"/>
      <c r="DO264" s="277"/>
      <c r="DP264" s="134"/>
      <c r="DQ264" s="134"/>
      <c r="DR264" s="134"/>
      <c r="DS264" s="134"/>
      <c r="DT264" s="138"/>
      <c r="DU264" s="134"/>
      <c r="DV264" s="134"/>
      <c r="DW264" s="134"/>
      <c r="DX264" s="301"/>
      <c r="DY264" s="301"/>
      <c r="DZ264" s="138"/>
      <c r="EA264" s="134"/>
      <c r="EB264" s="134"/>
      <c r="EC264" s="134"/>
      <c r="ED264" s="138"/>
      <c r="EE264" s="134"/>
      <c r="EF264" s="134"/>
      <c r="EG264" s="134"/>
      <c r="EH264" s="301"/>
      <c r="EI264" s="301"/>
      <c r="EJ264" s="277"/>
      <c r="EK264" s="134"/>
      <c r="EL264" s="134"/>
      <c r="EM264" s="134"/>
      <c r="EN264" s="134"/>
      <c r="EO264" s="134"/>
      <c r="EP264" s="134"/>
      <c r="EQ264" s="134"/>
      <c r="ER264" s="134"/>
      <c r="ES264" s="301"/>
      <c r="ET264" s="301"/>
      <c r="EU264" s="134"/>
      <c r="EV264" s="134"/>
      <c r="EW264" s="134"/>
      <c r="EX264" s="134"/>
      <c r="EY264" s="134"/>
      <c r="EZ264" s="134"/>
      <c r="FA264" s="134"/>
      <c r="FB264" s="134"/>
      <c r="FC264" s="135"/>
      <c r="FD264" s="135"/>
      <c r="FE264" s="134"/>
      <c r="FF264" s="134"/>
      <c r="FG264" s="134"/>
      <c r="FH264" s="134"/>
      <c r="FI264" s="134"/>
      <c r="FJ264" s="134"/>
      <c r="FK264" s="134"/>
      <c r="FL264" s="134"/>
      <c r="FM264" s="135"/>
      <c r="FN264" s="135"/>
      <c r="FO264" s="134"/>
      <c r="FP264" s="134"/>
      <c r="FQ264" s="134"/>
      <c r="FR264" s="134"/>
      <c r="FS264" s="134"/>
      <c r="FT264" s="134"/>
      <c r="FU264" s="134"/>
      <c r="FV264" s="134"/>
      <c r="FW264" s="135"/>
      <c r="FX264" s="135"/>
      <c r="FY264" s="134"/>
      <c r="FZ264" s="134"/>
      <c r="GA264" s="134"/>
      <c r="GB264" s="134"/>
      <c r="GC264" s="134"/>
      <c r="GD264" s="134"/>
      <c r="GE264" s="134"/>
      <c r="GF264" s="134"/>
      <c r="GG264" s="135"/>
      <c r="GH264" s="135"/>
      <c r="GI264" s="134"/>
      <c r="GJ264" s="134"/>
      <c r="GK264" s="134"/>
      <c r="GL264" s="134"/>
      <c r="GM264" s="134"/>
      <c r="GN264" s="134"/>
      <c r="GO264" s="134"/>
      <c r="GP264" s="134"/>
      <c r="GQ264" s="135"/>
      <c r="GR264" s="135"/>
      <c r="GS264" s="134"/>
      <c r="GT264" s="134"/>
      <c r="GU264" s="134"/>
      <c r="GV264" s="134"/>
      <c r="GW264" s="134"/>
      <c r="GX264" s="134"/>
      <c r="GY264" s="134"/>
      <c r="GZ264" s="134"/>
      <c r="HA264" s="135"/>
      <c r="HB264" s="135"/>
      <c r="HC264" s="134"/>
      <c r="HD264" s="134"/>
      <c r="HE264" s="134"/>
      <c r="HF264" s="134"/>
      <c r="HG264" s="134"/>
      <c r="HH264" s="134"/>
      <c r="HI264" s="134"/>
      <c r="HJ264" s="134"/>
      <c r="HK264" s="135"/>
      <c r="HL264" s="135"/>
      <c r="HM264" s="134"/>
      <c r="HN264" s="134"/>
      <c r="HO264" s="134"/>
      <c r="HP264" s="134"/>
      <c r="HQ264" s="134"/>
      <c r="HR264" s="134"/>
      <c r="HS264" s="134"/>
      <c r="HT264" s="134"/>
      <c r="HU264" s="135"/>
      <c r="HV264" s="135"/>
      <c r="HW264" s="134"/>
      <c r="HX264" s="134"/>
      <c r="HY264" s="134"/>
      <c r="HZ264" s="134"/>
      <c r="IA264" s="134"/>
      <c r="IB264" s="134"/>
      <c r="IC264" s="134"/>
      <c r="ID264" s="134"/>
      <c r="IE264" s="135"/>
      <c r="IF264" s="135"/>
      <c r="IG264" s="134"/>
      <c r="IH264" s="134"/>
      <c r="II264" s="134"/>
      <c r="IJ264" s="134"/>
      <c r="IK264" s="134"/>
      <c r="IL264" s="134"/>
      <c r="IM264" s="134"/>
      <c r="IN264" s="134"/>
      <c r="IO264" s="135"/>
      <c r="IP264" s="135"/>
      <c r="IQ264" s="134"/>
      <c r="IR264" s="134"/>
      <c r="IS264" s="134"/>
      <c r="IT264" s="134"/>
      <c r="IU264" s="134"/>
      <c r="IV264" s="134"/>
      <c r="IW264" s="134"/>
      <c r="IX264" s="134"/>
      <c r="IY264" s="135"/>
      <c r="IZ264" s="135"/>
    </row>
    <row r="265" spans="1:260" customFormat="1" ht="17" customHeight="1">
      <c r="A265" s="79" t="s">
        <v>243</v>
      </c>
      <c r="B265" s="117">
        <v>178</v>
      </c>
      <c r="C265" s="117">
        <v>61</v>
      </c>
      <c r="D265" s="117"/>
      <c r="E265" s="123" t="s">
        <v>1997</v>
      </c>
      <c r="F265" s="124" t="s">
        <v>2227</v>
      </c>
      <c r="G265" s="125">
        <v>2004</v>
      </c>
      <c r="H265" s="79">
        <v>15027792</v>
      </c>
      <c r="I265" s="79">
        <v>1</v>
      </c>
      <c r="J265" s="126"/>
      <c r="K265" s="127"/>
      <c r="L265" s="79">
        <v>1</v>
      </c>
      <c r="M265" s="79"/>
      <c r="N265" s="79">
        <v>1</v>
      </c>
      <c r="O265" s="128">
        <v>1</v>
      </c>
      <c r="P265" s="79" t="s">
        <v>662</v>
      </c>
      <c r="Q265" s="79" t="s">
        <v>1172</v>
      </c>
      <c r="R265" s="79" t="s">
        <v>1174</v>
      </c>
      <c r="S265" s="79">
        <v>1</v>
      </c>
      <c r="T265" s="79"/>
      <c r="U265" s="79"/>
      <c r="V265" s="79"/>
      <c r="W265" s="79" t="s">
        <v>665</v>
      </c>
      <c r="X265" s="79" t="s">
        <v>663</v>
      </c>
      <c r="Y265" s="79"/>
      <c r="Z265" s="79" t="s">
        <v>664</v>
      </c>
      <c r="AA265" s="79"/>
      <c r="AB265" s="79"/>
      <c r="AC265" s="506"/>
      <c r="AD265" s="573">
        <v>1</v>
      </c>
      <c r="AE265" s="573">
        <v>2</v>
      </c>
      <c r="AF265" s="154">
        <v>1</v>
      </c>
      <c r="AG265" s="155" t="s">
        <v>3157</v>
      </c>
      <c r="AH265" s="121">
        <v>2</v>
      </c>
      <c r="AI265" s="484" t="s">
        <v>5189</v>
      </c>
      <c r="AJ265" s="202" t="s">
        <v>5208</v>
      </c>
      <c r="AK265" s="192">
        <v>1</v>
      </c>
      <c r="AL265" s="203" t="s">
        <v>24</v>
      </c>
      <c r="AM265" s="121">
        <f>Table665[[#This Row],[Subjects_n_ptsd]]+Table665[[#This Row],[Subjects_n_control]]</f>
        <v>47</v>
      </c>
      <c r="AN265" s="121">
        <v>24</v>
      </c>
      <c r="AO265" s="121">
        <v>23</v>
      </c>
      <c r="AP265" s="121" t="s">
        <v>803</v>
      </c>
      <c r="AQ265" s="121" t="s">
        <v>803</v>
      </c>
      <c r="AR265" s="121">
        <v>51</v>
      </c>
      <c r="AS265" s="121">
        <v>2.5</v>
      </c>
      <c r="AT265" s="121">
        <v>52.4</v>
      </c>
      <c r="AU265" s="121">
        <v>3.1</v>
      </c>
      <c r="AV265" s="121" t="s">
        <v>5151</v>
      </c>
      <c r="AW265" s="121" t="s">
        <v>24</v>
      </c>
      <c r="AX265" s="121" t="s">
        <v>24</v>
      </c>
      <c r="AY265" s="121" t="s">
        <v>5150</v>
      </c>
      <c r="AZ265" s="121" t="s">
        <v>3835</v>
      </c>
      <c r="BA265" s="121" t="s">
        <v>5149</v>
      </c>
      <c r="BB265" s="121"/>
      <c r="BC265" s="121"/>
      <c r="BD265" s="156"/>
      <c r="BE265" s="156"/>
      <c r="BF265" s="156" t="s">
        <v>5207</v>
      </c>
      <c r="BG265" s="156"/>
      <c r="BH265" s="156"/>
      <c r="BI265" s="156"/>
      <c r="BJ265" s="156">
        <v>1</v>
      </c>
      <c r="BK265" s="156"/>
      <c r="BL265" s="156"/>
      <c r="BM265" s="156"/>
      <c r="BN265" s="156"/>
      <c r="BO265" s="156"/>
      <c r="BP265" s="156"/>
      <c r="BQ265" s="157" t="s">
        <v>5157</v>
      </c>
      <c r="BR265" s="134" t="s">
        <v>1876</v>
      </c>
      <c r="BS265" s="134">
        <v>2</v>
      </c>
      <c r="BT265" s="134" t="s">
        <v>5158</v>
      </c>
      <c r="BU265" s="134" t="s">
        <v>24</v>
      </c>
      <c r="BV265" s="134" t="s">
        <v>5160</v>
      </c>
      <c r="BW265" s="259" t="s">
        <v>5203</v>
      </c>
      <c r="BX265" s="138" t="s">
        <v>5152</v>
      </c>
      <c r="BY265" s="134">
        <v>6.6</v>
      </c>
      <c r="BZ265" s="134">
        <v>1.6</v>
      </c>
      <c r="CA265" s="134" t="s">
        <v>24</v>
      </c>
      <c r="CB265" s="138" t="s">
        <v>5175</v>
      </c>
      <c r="CC265" s="134">
        <v>7.2</v>
      </c>
      <c r="CD265" s="134">
        <v>1.9</v>
      </c>
      <c r="CE265" s="134" t="s">
        <v>24</v>
      </c>
      <c r="CF265" s="288" t="s">
        <v>3229</v>
      </c>
      <c r="CG265" s="289" t="s">
        <v>5190</v>
      </c>
      <c r="CH265" s="138" t="s">
        <v>5153</v>
      </c>
      <c r="CI265" s="134">
        <v>12.1</v>
      </c>
      <c r="CJ265" s="134">
        <v>2.2999999999999998</v>
      </c>
      <c r="CK265" s="134" t="s">
        <v>24</v>
      </c>
      <c r="CL265" s="138" t="s">
        <v>5173</v>
      </c>
      <c r="CM265" s="134">
        <v>12.1</v>
      </c>
      <c r="CN265" s="134">
        <v>2.2000000000000002</v>
      </c>
      <c r="CO265" s="134" t="s">
        <v>24</v>
      </c>
      <c r="CP265" s="288" t="s">
        <v>3229</v>
      </c>
      <c r="CQ265" s="501" t="s">
        <v>5192</v>
      </c>
      <c r="CR265" s="276" t="s">
        <v>24</v>
      </c>
      <c r="CS265" s="308" t="s">
        <v>24</v>
      </c>
      <c r="CT265" s="138" t="s">
        <v>5154</v>
      </c>
      <c r="CU265" s="134">
        <v>50.7</v>
      </c>
      <c r="CV265" s="134">
        <v>9.1999999999999993</v>
      </c>
      <c r="CW265" s="134" t="s">
        <v>24</v>
      </c>
      <c r="CX265" s="138" t="s">
        <v>5170</v>
      </c>
      <c r="CY265" s="134">
        <v>51</v>
      </c>
      <c r="CZ265" s="134">
        <v>9.5</v>
      </c>
      <c r="DA265" s="134" t="s">
        <v>24</v>
      </c>
      <c r="DB265" s="435" t="s">
        <v>3229</v>
      </c>
      <c r="DC265" s="552" t="s">
        <v>5193</v>
      </c>
      <c r="DD265" s="134" t="s">
        <v>5155</v>
      </c>
      <c r="DE265" s="134">
        <v>6.1</v>
      </c>
      <c r="DF265" s="134">
        <v>1.8</v>
      </c>
      <c r="DG265" s="134" t="s">
        <v>24</v>
      </c>
      <c r="DH265" s="134" t="s">
        <v>5172</v>
      </c>
      <c r="DI265" s="134">
        <v>6.3</v>
      </c>
      <c r="DJ265" s="134">
        <v>2.1</v>
      </c>
      <c r="DK265" s="134" t="s">
        <v>24</v>
      </c>
      <c r="DL265" s="435" t="s">
        <v>3229</v>
      </c>
      <c r="DM265" s="552" t="s">
        <v>5194</v>
      </c>
      <c r="DN265" s="276" t="s">
        <v>24</v>
      </c>
      <c r="DO265" s="277" t="s">
        <v>24</v>
      </c>
      <c r="DP265" s="134"/>
      <c r="DQ265" s="134"/>
      <c r="DR265" s="134"/>
      <c r="DS265" s="134"/>
      <c r="DT265" s="138"/>
      <c r="DU265" s="134"/>
      <c r="DV265" s="134"/>
      <c r="DW265" s="134"/>
      <c r="DX265" s="301"/>
      <c r="DY265" s="301"/>
      <c r="DZ265" s="138"/>
      <c r="EA265" s="134"/>
      <c r="EB265" s="134"/>
      <c r="EC265" s="134"/>
      <c r="ED265" s="138"/>
      <c r="EE265" s="134"/>
      <c r="EF265" s="134"/>
      <c r="EG265" s="134"/>
      <c r="EH265" s="301"/>
      <c r="EI265" s="301"/>
      <c r="EJ265" s="277"/>
      <c r="EK265" s="134"/>
      <c r="EL265" s="134"/>
      <c r="EM265" s="134"/>
      <c r="EN265" s="134"/>
      <c r="EO265" s="134"/>
      <c r="EP265" s="134"/>
      <c r="EQ265" s="134"/>
      <c r="ER265" s="134"/>
      <c r="ES265" s="301"/>
      <c r="ET265" s="301"/>
      <c r="EU265" s="134"/>
      <c r="EV265" s="134"/>
      <c r="EW265" s="134"/>
      <c r="EX265" s="134"/>
      <c r="EY265" s="134"/>
      <c r="EZ265" s="134"/>
      <c r="FA265" s="134"/>
      <c r="FB265" s="134"/>
      <c r="FC265" s="135"/>
      <c r="FD265" s="135"/>
      <c r="FE265" s="134"/>
      <c r="FF265" s="134"/>
      <c r="FG265" s="134"/>
      <c r="FH265" s="134"/>
      <c r="FI265" s="134"/>
      <c r="FJ265" s="134"/>
      <c r="FK265" s="134"/>
      <c r="FL265" s="134"/>
      <c r="FM265" s="135"/>
      <c r="FN265" s="135"/>
      <c r="FO265" s="134"/>
      <c r="FP265" s="134"/>
      <c r="FQ265" s="134"/>
      <c r="FR265" s="134"/>
      <c r="FS265" s="134"/>
      <c r="FT265" s="134"/>
      <c r="FU265" s="134"/>
      <c r="FV265" s="134"/>
      <c r="FW265" s="135"/>
      <c r="FX265" s="135"/>
      <c r="FY265" s="134"/>
      <c r="FZ265" s="134"/>
      <c r="GA265" s="134"/>
      <c r="GB265" s="134"/>
      <c r="GC265" s="134"/>
      <c r="GD265" s="134"/>
      <c r="GE265" s="134"/>
      <c r="GF265" s="134"/>
      <c r="GG265" s="135"/>
      <c r="GH265" s="135"/>
      <c r="GI265" s="134"/>
      <c r="GJ265" s="134"/>
      <c r="GK265" s="134"/>
      <c r="GL265" s="134"/>
      <c r="GM265" s="134"/>
      <c r="GN265" s="134"/>
      <c r="GO265" s="134"/>
      <c r="GP265" s="134"/>
      <c r="GQ265" s="135"/>
      <c r="GR265" s="135"/>
      <c r="GS265" s="134"/>
      <c r="GT265" s="134"/>
      <c r="GU265" s="134"/>
      <c r="GV265" s="134"/>
      <c r="GW265" s="134"/>
      <c r="GX265" s="134"/>
      <c r="GY265" s="134"/>
      <c r="GZ265" s="134"/>
      <c r="HA265" s="135"/>
      <c r="HB265" s="135"/>
      <c r="HC265" s="134"/>
      <c r="HD265" s="134"/>
      <c r="HE265" s="134"/>
      <c r="HF265" s="134"/>
      <c r="HG265" s="134"/>
      <c r="HH265" s="134"/>
      <c r="HI265" s="134"/>
      <c r="HJ265" s="134"/>
      <c r="HK265" s="135"/>
      <c r="HL265" s="135"/>
      <c r="HM265" s="134"/>
      <c r="HN265" s="134"/>
      <c r="HO265" s="134"/>
      <c r="HP265" s="134"/>
      <c r="HQ265" s="134"/>
      <c r="HR265" s="134"/>
      <c r="HS265" s="134"/>
      <c r="HT265" s="134"/>
      <c r="HU265" s="135"/>
      <c r="HV265" s="135"/>
      <c r="HW265" s="134"/>
      <c r="HX265" s="134"/>
      <c r="HY265" s="134"/>
      <c r="HZ265" s="134"/>
      <c r="IA265" s="134"/>
      <c r="IB265" s="134"/>
      <c r="IC265" s="134"/>
      <c r="ID265" s="134"/>
      <c r="IE265" s="135"/>
      <c r="IF265" s="135"/>
      <c r="IG265" s="134"/>
      <c r="IH265" s="134"/>
      <c r="II265" s="134"/>
      <c r="IJ265" s="134"/>
      <c r="IK265" s="134"/>
      <c r="IL265" s="134"/>
      <c r="IM265" s="134"/>
      <c r="IN265" s="134"/>
      <c r="IO265" s="135"/>
      <c r="IP265" s="135"/>
      <c r="IQ265" s="134"/>
      <c r="IR265" s="134"/>
      <c r="IS265" s="134"/>
      <c r="IT265" s="134"/>
      <c r="IU265" s="134"/>
      <c r="IV265" s="134"/>
      <c r="IW265" s="134"/>
      <c r="IX265" s="134"/>
      <c r="IY265" s="135"/>
      <c r="IZ265" s="135"/>
    </row>
    <row r="266" spans="1:260" customFormat="1" ht="17" customHeight="1">
      <c r="A266" s="118" t="s">
        <v>243</v>
      </c>
      <c r="B266" s="381">
        <v>178</v>
      </c>
      <c r="C266" s="381">
        <v>61</v>
      </c>
      <c r="D266" s="381"/>
      <c r="E266" s="139" t="s">
        <v>1997</v>
      </c>
      <c r="F266" s="140" t="s">
        <v>2227</v>
      </c>
      <c r="G266" s="141">
        <v>2004</v>
      </c>
      <c r="H266" s="118">
        <v>15027792</v>
      </c>
      <c r="I266" s="118">
        <v>1</v>
      </c>
      <c r="J266" s="118"/>
      <c r="K266" s="118"/>
      <c r="L266" s="118">
        <v>1</v>
      </c>
      <c r="M266" s="118"/>
      <c r="N266" s="118">
        <v>1</v>
      </c>
      <c r="O266" s="142">
        <v>1</v>
      </c>
      <c r="P266" s="118" t="s">
        <v>662</v>
      </c>
      <c r="Q266" s="118" t="s">
        <v>1172</v>
      </c>
      <c r="R266" s="118" t="s">
        <v>1174</v>
      </c>
      <c r="S266" s="118">
        <v>1</v>
      </c>
      <c r="T266" s="118"/>
      <c r="U266" s="118"/>
      <c r="V266" s="118"/>
      <c r="W266" s="118" t="s">
        <v>665</v>
      </c>
      <c r="X266" s="118" t="s">
        <v>663</v>
      </c>
      <c r="Y266" s="118"/>
      <c r="Z266" s="118" t="s">
        <v>664</v>
      </c>
      <c r="AA266" s="118"/>
      <c r="AB266" s="118"/>
      <c r="AC266" s="145"/>
      <c r="AD266" s="573">
        <v>1</v>
      </c>
      <c r="AE266" s="573">
        <v>2</v>
      </c>
      <c r="AF266" s="159">
        <v>1</v>
      </c>
      <c r="AG266" s="160" t="s">
        <v>3157</v>
      </c>
      <c r="AH266" s="122">
        <v>2</v>
      </c>
      <c r="AI266" s="485" t="s">
        <v>5189</v>
      </c>
      <c r="AJ266" s="204" t="s">
        <v>5208</v>
      </c>
      <c r="AK266" s="192">
        <v>1</v>
      </c>
      <c r="AL266" s="205" t="s">
        <v>24</v>
      </c>
      <c r="AM266" s="122">
        <f>Table665[[#This Row],[Subjects_n_ptsd]]+Table665[[#This Row],[Subjects_n_control]]</f>
        <v>47</v>
      </c>
      <c r="AN266" s="122">
        <v>24</v>
      </c>
      <c r="AO266" s="122">
        <v>23</v>
      </c>
      <c r="AP266" s="122" t="s">
        <v>803</v>
      </c>
      <c r="AQ266" s="122" t="s">
        <v>803</v>
      </c>
      <c r="AR266" s="122">
        <v>51</v>
      </c>
      <c r="AS266" s="122">
        <v>2.5</v>
      </c>
      <c r="AT266" s="122">
        <v>52.4</v>
      </c>
      <c r="AU266" s="122">
        <v>3.1</v>
      </c>
      <c r="AV266" s="122" t="s">
        <v>5151</v>
      </c>
      <c r="AW266" s="122" t="s">
        <v>24</v>
      </c>
      <c r="AX266" s="122" t="s">
        <v>24</v>
      </c>
      <c r="AY266" s="122" t="s">
        <v>5150</v>
      </c>
      <c r="AZ266" s="122" t="s">
        <v>3835</v>
      </c>
      <c r="BA266" s="122" t="s">
        <v>5149</v>
      </c>
      <c r="BB266" s="122"/>
      <c r="BC266" s="122"/>
      <c r="BD266" s="161"/>
      <c r="BE266" s="161"/>
      <c r="BF266" s="161" t="s">
        <v>5207</v>
      </c>
      <c r="BG266" s="161"/>
      <c r="BH266" s="161"/>
      <c r="BI266" s="161"/>
      <c r="BJ266" s="161">
        <v>1</v>
      </c>
      <c r="BK266" s="161"/>
      <c r="BL266" s="161"/>
      <c r="BM266" s="161"/>
      <c r="BN266" s="161"/>
      <c r="BO266" s="161"/>
      <c r="BP266" s="161"/>
      <c r="BQ266" s="162" t="s">
        <v>5156</v>
      </c>
      <c r="BR266" s="150" t="s">
        <v>1876</v>
      </c>
      <c r="BS266" s="150">
        <v>2</v>
      </c>
      <c r="BT266" s="150" t="s">
        <v>5159</v>
      </c>
      <c r="BU266" s="150" t="s">
        <v>24</v>
      </c>
      <c r="BV266" s="150" t="s">
        <v>5161</v>
      </c>
      <c r="BW266" s="258" t="s">
        <v>5204</v>
      </c>
      <c r="BX266" s="151" t="s">
        <v>5168</v>
      </c>
      <c r="BY266" s="150">
        <v>37.6</v>
      </c>
      <c r="BZ266" s="150">
        <v>4.3</v>
      </c>
      <c r="CA266" s="150" t="s">
        <v>24</v>
      </c>
      <c r="CB266" s="151" t="s">
        <v>5176</v>
      </c>
      <c r="CC266" s="150">
        <v>37.9</v>
      </c>
      <c r="CD266" s="150">
        <v>3.6</v>
      </c>
      <c r="CE266" s="150" t="s">
        <v>24</v>
      </c>
      <c r="CF266" s="290" t="s">
        <v>3229</v>
      </c>
      <c r="CG266" s="291" t="s">
        <v>5195</v>
      </c>
      <c r="CH266" s="151" t="s">
        <v>5167</v>
      </c>
      <c r="CI266" s="150">
        <v>43</v>
      </c>
      <c r="CJ266" s="150">
        <v>8.5</v>
      </c>
      <c r="CK266" s="150" t="s">
        <v>24</v>
      </c>
      <c r="CL266" s="151" t="s">
        <v>5174</v>
      </c>
      <c r="CM266" s="150">
        <v>42.7</v>
      </c>
      <c r="CN266" s="150">
        <v>10.3</v>
      </c>
      <c r="CO266" s="150" t="s">
        <v>24</v>
      </c>
      <c r="CP266" s="290" t="s">
        <v>3229</v>
      </c>
      <c r="CQ266" s="502" t="s">
        <v>5196</v>
      </c>
      <c r="CR266" s="278" t="s">
        <v>24</v>
      </c>
      <c r="CS266" s="285" t="s">
        <v>24</v>
      </c>
      <c r="CT266" s="151" t="s">
        <v>5169</v>
      </c>
      <c r="CU266" s="150">
        <v>28.3</v>
      </c>
      <c r="CV266" s="150">
        <v>3</v>
      </c>
      <c r="CW266" s="150" t="s">
        <v>24</v>
      </c>
      <c r="CX266" s="151" t="s">
        <v>5171</v>
      </c>
      <c r="CY266" s="150">
        <v>27.9</v>
      </c>
      <c r="CZ266" s="150">
        <v>2.5</v>
      </c>
      <c r="DA266" s="150" t="s">
        <v>24</v>
      </c>
      <c r="DB266" s="440" t="s">
        <v>3229</v>
      </c>
      <c r="DC266" s="553" t="s">
        <v>5197</v>
      </c>
      <c r="DD266" s="150" t="s">
        <v>24</v>
      </c>
      <c r="DE266" s="150" t="s">
        <v>24</v>
      </c>
      <c r="DF266" s="150" t="s">
        <v>24</v>
      </c>
      <c r="DG266" s="150" t="s">
        <v>24</v>
      </c>
      <c r="DH266" s="150" t="s">
        <v>24</v>
      </c>
      <c r="DI266" s="150" t="s">
        <v>24</v>
      </c>
      <c r="DJ266" s="150" t="s">
        <v>24</v>
      </c>
      <c r="DK266" s="150" t="s">
        <v>24</v>
      </c>
      <c r="DL266" s="302" t="s">
        <v>24</v>
      </c>
      <c r="DM266" s="303" t="s">
        <v>24</v>
      </c>
      <c r="DN266" s="278" t="s">
        <v>24</v>
      </c>
      <c r="DO266" s="279" t="s">
        <v>24</v>
      </c>
      <c r="DP266" s="150"/>
      <c r="DQ266" s="150"/>
      <c r="DR266" s="150"/>
      <c r="DS266" s="150"/>
      <c r="DT266" s="151"/>
      <c r="DU266" s="150"/>
      <c r="DV266" s="150"/>
      <c r="DW266" s="150"/>
      <c r="DX266" s="303"/>
      <c r="DY266" s="303"/>
      <c r="DZ266" s="151"/>
      <c r="EA266" s="150"/>
      <c r="EB266" s="150"/>
      <c r="EC266" s="150"/>
      <c r="ED266" s="151"/>
      <c r="EE266" s="150"/>
      <c r="EF266" s="150"/>
      <c r="EG266" s="150"/>
      <c r="EH266" s="303"/>
      <c r="EI266" s="303"/>
      <c r="EJ266" s="279"/>
      <c r="EK266" s="150"/>
      <c r="EL266" s="150"/>
      <c r="EM266" s="150"/>
      <c r="EN266" s="150"/>
      <c r="EO266" s="150"/>
      <c r="EP266" s="150"/>
      <c r="EQ266" s="150"/>
      <c r="ER266" s="150"/>
      <c r="ES266" s="303"/>
      <c r="ET266" s="303"/>
      <c r="EU266" s="150"/>
      <c r="EV266" s="150"/>
      <c r="EW266" s="150"/>
      <c r="EX266" s="150"/>
      <c r="EY266" s="150"/>
      <c r="EZ266" s="150"/>
      <c r="FA266" s="150"/>
      <c r="FB266" s="150"/>
      <c r="FC266" s="152"/>
      <c r="FD266" s="152"/>
      <c r="FE266" s="150"/>
      <c r="FF266" s="150"/>
      <c r="FG266" s="150"/>
      <c r="FH266" s="150"/>
      <c r="FI266" s="150"/>
      <c r="FJ266" s="150"/>
      <c r="FK266" s="150"/>
      <c r="FL266" s="150"/>
      <c r="FM266" s="152"/>
      <c r="FN266" s="152"/>
      <c r="FO266" s="150"/>
      <c r="FP266" s="150"/>
      <c r="FQ266" s="150"/>
      <c r="FR266" s="150"/>
      <c r="FS266" s="150"/>
      <c r="FT266" s="150"/>
      <c r="FU266" s="150"/>
      <c r="FV266" s="150"/>
      <c r="FW266" s="152"/>
      <c r="FX266" s="152"/>
      <c r="FY266" s="150"/>
      <c r="FZ266" s="150"/>
      <c r="GA266" s="150"/>
      <c r="GB266" s="150"/>
      <c r="GC266" s="150"/>
      <c r="GD266" s="150"/>
      <c r="GE266" s="150"/>
      <c r="GF266" s="150"/>
      <c r="GG266" s="152"/>
      <c r="GH266" s="152"/>
      <c r="GI266" s="150"/>
      <c r="GJ266" s="150"/>
      <c r="GK266" s="150"/>
      <c r="GL266" s="150"/>
      <c r="GM266" s="150"/>
      <c r="GN266" s="150"/>
      <c r="GO266" s="150"/>
      <c r="GP266" s="150"/>
      <c r="GQ266" s="152"/>
      <c r="GR266" s="152"/>
      <c r="GS266" s="134"/>
      <c r="GT266" s="134"/>
      <c r="GU266" s="134"/>
      <c r="GV266" s="134"/>
      <c r="GW266" s="134"/>
      <c r="GX266" s="134"/>
      <c r="GY266" s="134"/>
      <c r="GZ266" s="134"/>
      <c r="HA266" s="135"/>
      <c r="HB266" s="135"/>
      <c r="HC266" s="134"/>
      <c r="HD266" s="134"/>
      <c r="HE266" s="134"/>
      <c r="HF266" s="134"/>
      <c r="HG266" s="134"/>
      <c r="HH266" s="134"/>
      <c r="HI266" s="134"/>
      <c r="HJ266" s="134"/>
      <c r="HK266" s="135"/>
      <c r="HL266" s="135"/>
      <c r="HM266" s="134"/>
      <c r="HN266" s="134"/>
      <c r="HO266" s="134"/>
      <c r="HP266" s="134"/>
      <c r="HQ266" s="134"/>
      <c r="HR266" s="134"/>
      <c r="HS266" s="134"/>
      <c r="HT266" s="134"/>
      <c r="HU266" s="135"/>
      <c r="HV266" s="135"/>
      <c r="HW266" s="134"/>
      <c r="HX266" s="134"/>
      <c r="HY266" s="134"/>
      <c r="HZ266" s="134"/>
      <c r="IA266" s="134"/>
      <c r="IB266" s="134"/>
      <c r="IC266" s="134"/>
      <c r="ID266" s="134"/>
      <c r="IE266" s="135"/>
      <c r="IF266" s="135"/>
      <c r="IG266" s="134"/>
      <c r="IH266" s="134"/>
      <c r="II266" s="134"/>
      <c r="IJ266" s="134"/>
      <c r="IK266" s="134"/>
      <c r="IL266" s="134"/>
      <c r="IM266" s="134"/>
      <c r="IN266" s="134"/>
      <c r="IO266" s="135"/>
      <c r="IP266" s="135"/>
      <c r="IQ266" s="134"/>
      <c r="IR266" s="134"/>
      <c r="IS266" s="134"/>
      <c r="IT266" s="134"/>
      <c r="IU266" s="134"/>
      <c r="IV266" s="134"/>
      <c r="IW266" s="134"/>
      <c r="IX266" s="134"/>
      <c r="IY266" s="135"/>
      <c r="IZ266" s="135"/>
    </row>
    <row r="267" spans="1:260" customFormat="1" ht="17" customHeight="1">
      <c r="A267" s="118" t="s">
        <v>243</v>
      </c>
      <c r="B267" s="381">
        <v>178</v>
      </c>
      <c r="C267" s="381">
        <v>61</v>
      </c>
      <c r="D267" s="381"/>
      <c r="E267" s="139" t="s">
        <v>1997</v>
      </c>
      <c r="F267" s="140" t="s">
        <v>2227</v>
      </c>
      <c r="G267" s="141">
        <v>2004</v>
      </c>
      <c r="H267" s="118">
        <v>15027792</v>
      </c>
      <c r="I267" s="118">
        <v>1</v>
      </c>
      <c r="J267" s="118"/>
      <c r="K267" s="118"/>
      <c r="L267" s="118">
        <v>1</v>
      </c>
      <c r="M267" s="118"/>
      <c r="N267" s="118">
        <v>1</v>
      </c>
      <c r="O267" s="142">
        <v>1</v>
      </c>
      <c r="P267" s="118" t="s">
        <v>662</v>
      </c>
      <c r="Q267" s="118" t="s">
        <v>1172</v>
      </c>
      <c r="R267" s="118" t="s">
        <v>1174</v>
      </c>
      <c r="S267" s="118">
        <v>1</v>
      </c>
      <c r="T267" s="118"/>
      <c r="U267" s="118"/>
      <c r="V267" s="118"/>
      <c r="W267" s="118" t="s">
        <v>665</v>
      </c>
      <c r="X267" s="118" t="s">
        <v>663</v>
      </c>
      <c r="Y267" s="118"/>
      <c r="Z267" s="118" t="s">
        <v>664</v>
      </c>
      <c r="AA267" s="118"/>
      <c r="AB267" s="118"/>
      <c r="AC267" s="145"/>
      <c r="AD267" s="573">
        <v>1</v>
      </c>
      <c r="AE267" s="573">
        <v>2</v>
      </c>
      <c r="AF267" s="159">
        <v>1</v>
      </c>
      <c r="AG267" s="160" t="s">
        <v>3157</v>
      </c>
      <c r="AH267" s="122">
        <v>2</v>
      </c>
      <c r="AI267" s="485" t="s">
        <v>5189</v>
      </c>
      <c r="AJ267" s="204" t="s">
        <v>5208</v>
      </c>
      <c r="AK267" s="192">
        <v>1</v>
      </c>
      <c r="AL267" s="205" t="s">
        <v>24</v>
      </c>
      <c r="AM267" s="122">
        <f>Table665[[#This Row],[Subjects_n_ptsd]]+Table665[[#This Row],[Subjects_n_control]]</f>
        <v>47</v>
      </c>
      <c r="AN267" s="122">
        <v>24</v>
      </c>
      <c r="AO267" s="122">
        <v>23</v>
      </c>
      <c r="AP267" s="122" t="s">
        <v>803</v>
      </c>
      <c r="AQ267" s="122" t="s">
        <v>803</v>
      </c>
      <c r="AR267" s="122">
        <v>51</v>
      </c>
      <c r="AS267" s="122">
        <v>2.5</v>
      </c>
      <c r="AT267" s="122">
        <v>52.4</v>
      </c>
      <c r="AU267" s="122">
        <v>3.1</v>
      </c>
      <c r="AV267" s="122" t="s">
        <v>5151</v>
      </c>
      <c r="AW267" s="122" t="s">
        <v>24</v>
      </c>
      <c r="AX267" s="122" t="s">
        <v>24</v>
      </c>
      <c r="AY267" s="122" t="s">
        <v>5150</v>
      </c>
      <c r="AZ267" s="122" t="s">
        <v>3835</v>
      </c>
      <c r="BA267" s="122" t="s">
        <v>5149</v>
      </c>
      <c r="BB267" s="122"/>
      <c r="BC267" s="122"/>
      <c r="BD267" s="161"/>
      <c r="BE267" s="161"/>
      <c r="BF267" s="161" t="s">
        <v>5207</v>
      </c>
      <c r="BG267" s="161"/>
      <c r="BH267" s="161"/>
      <c r="BI267" s="161"/>
      <c r="BJ267" s="161">
        <v>1</v>
      </c>
      <c r="BK267" s="161"/>
      <c r="BL267" s="161"/>
      <c r="BM267" s="161"/>
      <c r="BN267" s="161"/>
      <c r="BO267" s="161"/>
      <c r="BP267" s="161"/>
      <c r="BQ267" s="162" t="s">
        <v>5162</v>
      </c>
      <c r="BR267" s="150" t="s">
        <v>1876</v>
      </c>
      <c r="BS267" s="150">
        <v>2</v>
      </c>
      <c r="BT267" s="150" t="s">
        <v>5158</v>
      </c>
      <c r="BU267" s="150" t="s">
        <v>24</v>
      </c>
      <c r="BV267" s="150" t="s">
        <v>5165</v>
      </c>
      <c r="BW267" s="258" t="s">
        <v>5205</v>
      </c>
      <c r="BX267" s="151" t="s">
        <v>5177</v>
      </c>
      <c r="BY267" s="150">
        <v>10.9</v>
      </c>
      <c r="BZ267" s="150">
        <v>2.5</v>
      </c>
      <c r="CA267" s="150" t="s">
        <v>24</v>
      </c>
      <c r="CB267" s="151" t="s">
        <v>5187</v>
      </c>
      <c r="CC267" s="150">
        <v>10.3</v>
      </c>
      <c r="CD267" s="150">
        <v>3.2</v>
      </c>
      <c r="CE267" s="150" t="s">
        <v>24</v>
      </c>
      <c r="CF267" s="290" t="s">
        <v>3229</v>
      </c>
      <c r="CG267" s="291" t="s">
        <v>5198</v>
      </c>
      <c r="CH267" s="151" t="s">
        <v>5178</v>
      </c>
      <c r="CI267" s="150">
        <v>11.2</v>
      </c>
      <c r="CJ267" s="150">
        <v>2.7</v>
      </c>
      <c r="CK267" s="150" t="s">
        <v>24</v>
      </c>
      <c r="CL267" s="151" t="s">
        <v>5183</v>
      </c>
      <c r="CM267" s="150">
        <v>11.3</v>
      </c>
      <c r="CN267" s="150">
        <v>2.9</v>
      </c>
      <c r="CO267" s="150" t="s">
        <v>24</v>
      </c>
      <c r="CP267" s="290" t="s">
        <v>3229</v>
      </c>
      <c r="CQ267" s="502" t="s">
        <v>5199</v>
      </c>
      <c r="CR267" s="278" t="s">
        <v>24</v>
      </c>
      <c r="CS267" s="285" t="s">
        <v>24</v>
      </c>
      <c r="CT267" s="151" t="s">
        <v>5179</v>
      </c>
      <c r="CU267" s="150">
        <v>3.7</v>
      </c>
      <c r="CV267" s="150">
        <v>3.1</v>
      </c>
      <c r="CW267" s="150" t="s">
        <v>24</v>
      </c>
      <c r="CX267" s="151" t="s">
        <v>5185</v>
      </c>
      <c r="CY267" s="150">
        <v>4.3</v>
      </c>
      <c r="CZ267" s="150">
        <v>4.3</v>
      </c>
      <c r="DA267" s="150" t="s">
        <v>24</v>
      </c>
      <c r="DB267" s="440" t="s">
        <v>3229</v>
      </c>
      <c r="DC267" s="553" t="s">
        <v>5200</v>
      </c>
      <c r="DD267" s="151" t="s">
        <v>5180</v>
      </c>
      <c r="DE267" s="150">
        <v>95.1</v>
      </c>
      <c r="DF267" s="150">
        <v>4.3</v>
      </c>
      <c r="DG267" s="150" t="s">
        <v>24</v>
      </c>
      <c r="DH267" s="151" t="s">
        <v>5186</v>
      </c>
      <c r="DI267" s="150">
        <v>93.9</v>
      </c>
      <c r="DJ267" s="150">
        <v>6.1</v>
      </c>
      <c r="DK267" s="150" t="s">
        <v>24</v>
      </c>
      <c r="DL267" s="440" t="s">
        <v>3229</v>
      </c>
      <c r="DM267" s="553" t="s">
        <v>5201</v>
      </c>
      <c r="DN267" s="278" t="s">
        <v>24</v>
      </c>
      <c r="DO267" s="279" t="s">
        <v>24</v>
      </c>
      <c r="DP267" s="150"/>
      <c r="DQ267" s="150"/>
      <c r="DR267" s="150"/>
      <c r="DS267" s="150"/>
      <c r="DT267" s="151"/>
      <c r="DU267" s="150"/>
      <c r="DV267" s="150"/>
      <c r="DW267" s="150"/>
      <c r="DX267" s="303"/>
      <c r="DY267" s="303"/>
      <c r="DZ267" s="151"/>
      <c r="EA267" s="150"/>
      <c r="EB267" s="150"/>
      <c r="EC267" s="150"/>
      <c r="ED267" s="151"/>
      <c r="EE267" s="150"/>
      <c r="EF267" s="150"/>
      <c r="EG267" s="150"/>
      <c r="EH267" s="303"/>
      <c r="EI267" s="303"/>
      <c r="EJ267" s="279"/>
      <c r="EK267" s="150"/>
      <c r="EL267" s="150"/>
      <c r="EM267" s="150"/>
      <c r="EN267" s="150"/>
      <c r="EO267" s="150"/>
      <c r="EP267" s="150"/>
      <c r="EQ267" s="150"/>
      <c r="ER267" s="150"/>
      <c r="ES267" s="303"/>
      <c r="ET267" s="303"/>
      <c r="EU267" s="150"/>
      <c r="EV267" s="150"/>
      <c r="EW267" s="150"/>
      <c r="EX267" s="150"/>
      <c r="EY267" s="150"/>
      <c r="EZ267" s="150"/>
      <c r="FA267" s="150"/>
      <c r="FB267" s="150"/>
      <c r="FC267" s="152"/>
      <c r="FD267" s="152"/>
      <c r="FE267" s="150"/>
      <c r="FF267" s="150"/>
      <c r="FG267" s="150"/>
      <c r="FH267" s="150"/>
      <c r="FI267" s="150"/>
      <c r="FJ267" s="150"/>
      <c r="FK267" s="150"/>
      <c r="FL267" s="150"/>
      <c r="FM267" s="152"/>
      <c r="FN267" s="152"/>
      <c r="FO267" s="150"/>
      <c r="FP267" s="150"/>
      <c r="FQ267" s="150"/>
      <c r="FR267" s="150"/>
      <c r="FS267" s="150"/>
      <c r="FT267" s="150"/>
      <c r="FU267" s="150"/>
      <c r="FV267" s="150"/>
      <c r="FW267" s="152"/>
      <c r="FX267" s="152"/>
      <c r="FY267" s="150"/>
      <c r="FZ267" s="150"/>
      <c r="GA267" s="150"/>
      <c r="GB267" s="150"/>
      <c r="GC267" s="150"/>
      <c r="GD267" s="150"/>
      <c r="GE267" s="150"/>
      <c r="GF267" s="150"/>
      <c r="GG267" s="152"/>
      <c r="GH267" s="152"/>
      <c r="GI267" s="150"/>
      <c r="GJ267" s="150"/>
      <c r="GK267" s="150"/>
      <c r="GL267" s="150"/>
      <c r="GM267" s="150"/>
      <c r="GN267" s="150"/>
      <c r="GO267" s="150"/>
      <c r="GP267" s="150"/>
      <c r="GQ267" s="152"/>
      <c r="GR267" s="152"/>
      <c r="GS267" s="134"/>
      <c r="GT267" s="134"/>
      <c r="GU267" s="134"/>
      <c r="GV267" s="134"/>
      <c r="GW267" s="134"/>
      <c r="GX267" s="134"/>
      <c r="GY267" s="134"/>
      <c r="GZ267" s="134"/>
      <c r="HA267" s="135"/>
      <c r="HB267" s="135"/>
      <c r="HC267" s="134"/>
      <c r="HD267" s="134"/>
      <c r="HE267" s="134"/>
      <c r="HF267" s="134"/>
      <c r="HG267" s="134"/>
      <c r="HH267" s="134"/>
      <c r="HI267" s="134"/>
      <c r="HJ267" s="134"/>
      <c r="HK267" s="135"/>
      <c r="HL267" s="135"/>
      <c r="HM267" s="134"/>
      <c r="HN267" s="134"/>
      <c r="HO267" s="134"/>
      <c r="HP267" s="134"/>
      <c r="HQ267" s="134"/>
      <c r="HR267" s="134"/>
      <c r="HS267" s="134"/>
      <c r="HT267" s="134"/>
      <c r="HU267" s="135"/>
      <c r="HV267" s="135"/>
      <c r="HW267" s="134"/>
      <c r="HX267" s="134"/>
      <c r="HY267" s="134"/>
      <c r="HZ267" s="134"/>
      <c r="IA267" s="134"/>
      <c r="IB267" s="134"/>
      <c r="IC267" s="134"/>
      <c r="ID267" s="134"/>
      <c r="IE267" s="135"/>
      <c r="IF267" s="135"/>
      <c r="IG267" s="134"/>
      <c r="IH267" s="134"/>
      <c r="II267" s="134"/>
      <c r="IJ267" s="134"/>
      <c r="IK267" s="134"/>
      <c r="IL267" s="134"/>
      <c r="IM267" s="134"/>
      <c r="IN267" s="134"/>
      <c r="IO267" s="135"/>
      <c r="IP267" s="135"/>
      <c r="IQ267" s="134"/>
      <c r="IR267" s="134"/>
      <c r="IS267" s="134"/>
      <c r="IT267" s="134"/>
      <c r="IU267" s="134"/>
      <c r="IV267" s="134"/>
      <c r="IW267" s="134"/>
      <c r="IX267" s="134"/>
      <c r="IY267" s="135"/>
      <c r="IZ267" s="135"/>
    </row>
    <row r="268" spans="1:260" customFormat="1" ht="17" customHeight="1">
      <c r="A268" s="118" t="s">
        <v>243</v>
      </c>
      <c r="B268" s="381">
        <v>178</v>
      </c>
      <c r="C268" s="381">
        <v>61</v>
      </c>
      <c r="D268" s="381"/>
      <c r="E268" s="139" t="s">
        <v>1997</v>
      </c>
      <c r="F268" s="140" t="s">
        <v>2227</v>
      </c>
      <c r="G268" s="141">
        <v>2004</v>
      </c>
      <c r="H268" s="118">
        <v>15027792</v>
      </c>
      <c r="I268" s="118">
        <v>1</v>
      </c>
      <c r="J268" s="118"/>
      <c r="K268" s="118"/>
      <c r="L268" s="118">
        <v>1</v>
      </c>
      <c r="M268" s="118"/>
      <c r="N268" s="118">
        <v>1</v>
      </c>
      <c r="O268" s="142">
        <v>1</v>
      </c>
      <c r="P268" s="118" t="s">
        <v>662</v>
      </c>
      <c r="Q268" s="118" t="s">
        <v>1172</v>
      </c>
      <c r="R268" s="118" t="s">
        <v>1174</v>
      </c>
      <c r="S268" s="118">
        <v>1</v>
      </c>
      <c r="T268" s="118"/>
      <c r="U268" s="118"/>
      <c r="V268" s="118"/>
      <c r="W268" s="118" t="s">
        <v>665</v>
      </c>
      <c r="X268" s="118" t="s">
        <v>663</v>
      </c>
      <c r="Y268" s="118"/>
      <c r="Z268" s="118" t="s">
        <v>664</v>
      </c>
      <c r="AA268" s="118"/>
      <c r="AB268" s="118"/>
      <c r="AC268" s="145"/>
      <c r="AD268" s="573">
        <v>1</v>
      </c>
      <c r="AE268" s="573">
        <v>2</v>
      </c>
      <c r="AF268" s="159">
        <v>1</v>
      </c>
      <c r="AG268" s="160" t="s">
        <v>3157</v>
      </c>
      <c r="AH268" s="122">
        <v>2</v>
      </c>
      <c r="AI268" s="485" t="s">
        <v>5189</v>
      </c>
      <c r="AJ268" s="204" t="s">
        <v>5208</v>
      </c>
      <c r="AK268" s="192">
        <v>1</v>
      </c>
      <c r="AL268" s="205" t="s">
        <v>24</v>
      </c>
      <c r="AM268" s="122">
        <f>Table665[[#This Row],[Subjects_n_ptsd]]+Table665[[#This Row],[Subjects_n_control]]</f>
        <v>47</v>
      </c>
      <c r="AN268" s="122">
        <v>24</v>
      </c>
      <c r="AO268" s="122">
        <v>23</v>
      </c>
      <c r="AP268" s="122" t="s">
        <v>803</v>
      </c>
      <c r="AQ268" s="122" t="s">
        <v>803</v>
      </c>
      <c r="AR268" s="122">
        <v>51</v>
      </c>
      <c r="AS268" s="122">
        <v>2.5</v>
      </c>
      <c r="AT268" s="122">
        <v>52.4</v>
      </c>
      <c r="AU268" s="122">
        <v>3.1</v>
      </c>
      <c r="AV268" s="122" t="s">
        <v>5151</v>
      </c>
      <c r="AW268" s="122" t="s">
        <v>24</v>
      </c>
      <c r="AX268" s="122" t="s">
        <v>24</v>
      </c>
      <c r="AY268" s="122" t="s">
        <v>5150</v>
      </c>
      <c r="AZ268" s="122" t="s">
        <v>3835</v>
      </c>
      <c r="BA268" s="122" t="s">
        <v>5149</v>
      </c>
      <c r="BB268" s="122"/>
      <c r="BC268" s="122"/>
      <c r="BD268" s="161"/>
      <c r="BE268" s="161"/>
      <c r="BF268" s="161" t="s">
        <v>5207</v>
      </c>
      <c r="BG268" s="161"/>
      <c r="BH268" s="161"/>
      <c r="BI268" s="161"/>
      <c r="BJ268" s="161">
        <v>1</v>
      </c>
      <c r="BK268" s="161"/>
      <c r="BL268" s="161"/>
      <c r="BM268" s="161"/>
      <c r="BN268" s="161"/>
      <c r="BO268" s="161"/>
      <c r="BP268" s="161"/>
      <c r="BQ268" s="162" t="s">
        <v>5163</v>
      </c>
      <c r="BR268" s="150" t="s">
        <v>1876</v>
      </c>
      <c r="BS268" s="150">
        <v>2</v>
      </c>
      <c r="BT268" s="150" t="s">
        <v>5164</v>
      </c>
      <c r="BU268" s="150" t="s">
        <v>24</v>
      </c>
      <c r="BV268" s="150" t="s">
        <v>5166</v>
      </c>
      <c r="BW268" s="258" t="s">
        <v>5206</v>
      </c>
      <c r="BX268" s="151" t="s">
        <v>5181</v>
      </c>
      <c r="BY268" s="150">
        <v>38.299999999999997</v>
      </c>
      <c r="BZ268" s="150">
        <v>3.1</v>
      </c>
      <c r="CA268" s="150" t="s">
        <v>24</v>
      </c>
      <c r="CB268" s="151" t="s">
        <v>5188</v>
      </c>
      <c r="CC268" s="150">
        <v>36.9</v>
      </c>
      <c r="CD268" s="150">
        <v>3.2</v>
      </c>
      <c r="CE268" s="150" t="s">
        <v>24</v>
      </c>
      <c r="CF268" s="290" t="s">
        <v>3229</v>
      </c>
      <c r="CG268" s="291" t="s">
        <v>5191</v>
      </c>
      <c r="CH268" s="151" t="s">
        <v>5182</v>
      </c>
      <c r="CI268" s="150">
        <v>42.7</v>
      </c>
      <c r="CJ268" s="150">
        <v>8.3000000000000007</v>
      </c>
      <c r="CK268" s="150" t="s">
        <v>24</v>
      </c>
      <c r="CL268" s="151" t="s">
        <v>5184</v>
      </c>
      <c r="CM268" s="150">
        <v>43.1</v>
      </c>
      <c r="CN268" s="150">
        <v>9</v>
      </c>
      <c r="CO268" s="150" t="s">
        <v>24</v>
      </c>
      <c r="CP268" s="290" t="s">
        <v>3229</v>
      </c>
      <c r="CQ268" s="502" t="s">
        <v>5202</v>
      </c>
      <c r="CR268" s="278" t="s">
        <v>24</v>
      </c>
      <c r="CS268" s="285" t="s">
        <v>24</v>
      </c>
      <c r="CT268" s="151" t="s">
        <v>24</v>
      </c>
      <c r="CU268" s="150" t="s">
        <v>24</v>
      </c>
      <c r="CV268" s="150" t="s">
        <v>24</v>
      </c>
      <c r="CW268" s="150" t="s">
        <v>24</v>
      </c>
      <c r="CX268" s="150" t="s">
        <v>24</v>
      </c>
      <c r="CY268" s="150" t="s">
        <v>24</v>
      </c>
      <c r="CZ268" s="150" t="s">
        <v>24</v>
      </c>
      <c r="DA268" s="150" t="s">
        <v>24</v>
      </c>
      <c r="DB268" s="302"/>
      <c r="DC268" s="303"/>
      <c r="DD268" s="150" t="s">
        <v>24</v>
      </c>
      <c r="DE268" s="150" t="s">
        <v>24</v>
      </c>
      <c r="DF268" s="150" t="s">
        <v>24</v>
      </c>
      <c r="DG268" s="150" t="s">
        <v>24</v>
      </c>
      <c r="DH268" s="150" t="s">
        <v>24</v>
      </c>
      <c r="DI268" s="150" t="s">
        <v>24</v>
      </c>
      <c r="DJ268" s="150" t="s">
        <v>24</v>
      </c>
      <c r="DK268" s="150" t="s">
        <v>24</v>
      </c>
      <c r="DL268" s="302"/>
      <c r="DM268" s="303"/>
      <c r="DN268" s="278"/>
      <c r="DO268" s="279"/>
      <c r="DP268" s="150"/>
      <c r="DQ268" s="150"/>
      <c r="DR268" s="150"/>
      <c r="DS268" s="150"/>
      <c r="DT268" s="151"/>
      <c r="DU268" s="150"/>
      <c r="DV268" s="150"/>
      <c r="DW268" s="150"/>
      <c r="DX268" s="303"/>
      <c r="DY268" s="303"/>
      <c r="DZ268" s="151"/>
      <c r="EA268" s="150"/>
      <c r="EB268" s="150"/>
      <c r="EC268" s="150"/>
      <c r="ED268" s="151"/>
      <c r="EE268" s="150"/>
      <c r="EF268" s="150"/>
      <c r="EG268" s="150"/>
      <c r="EH268" s="303"/>
      <c r="EI268" s="303"/>
      <c r="EJ268" s="279"/>
      <c r="EK268" s="150"/>
      <c r="EL268" s="150"/>
      <c r="EM268" s="150"/>
      <c r="EN268" s="150"/>
      <c r="EO268" s="150"/>
      <c r="EP268" s="150"/>
      <c r="EQ268" s="150"/>
      <c r="ER268" s="150"/>
      <c r="ES268" s="303"/>
      <c r="ET268" s="303"/>
      <c r="EU268" s="150"/>
      <c r="EV268" s="150"/>
      <c r="EW268" s="150"/>
      <c r="EX268" s="150"/>
      <c r="EY268" s="150"/>
      <c r="EZ268" s="150"/>
      <c r="FA268" s="150"/>
      <c r="FB268" s="150"/>
      <c r="FC268" s="152"/>
      <c r="FD268" s="152"/>
      <c r="FE268" s="150"/>
      <c r="FF268" s="150"/>
      <c r="FG268" s="150"/>
      <c r="FH268" s="150"/>
      <c r="FI268" s="150"/>
      <c r="FJ268" s="150"/>
      <c r="FK268" s="150"/>
      <c r="FL268" s="150"/>
      <c r="FM268" s="152"/>
      <c r="FN268" s="152"/>
      <c r="FO268" s="150"/>
      <c r="FP268" s="150"/>
      <c r="FQ268" s="150"/>
      <c r="FR268" s="150"/>
      <c r="FS268" s="150"/>
      <c r="FT268" s="150"/>
      <c r="FU268" s="150"/>
      <c r="FV268" s="150"/>
      <c r="FW268" s="152"/>
      <c r="FX268" s="152"/>
      <c r="FY268" s="150"/>
      <c r="FZ268" s="150"/>
      <c r="GA268" s="150"/>
      <c r="GB268" s="150"/>
      <c r="GC268" s="150"/>
      <c r="GD268" s="150"/>
      <c r="GE268" s="150"/>
      <c r="GF268" s="150"/>
      <c r="GG268" s="152"/>
      <c r="GH268" s="152"/>
      <c r="GI268" s="150"/>
      <c r="GJ268" s="150"/>
      <c r="GK268" s="150"/>
      <c r="GL268" s="150"/>
      <c r="GM268" s="150"/>
      <c r="GN268" s="150"/>
      <c r="GO268" s="150"/>
      <c r="GP268" s="150"/>
      <c r="GQ268" s="152"/>
      <c r="GR268" s="152"/>
      <c r="GS268" s="134"/>
      <c r="GT268" s="134"/>
      <c r="GU268" s="134"/>
      <c r="GV268" s="134"/>
      <c r="GW268" s="134"/>
      <c r="GX268" s="134"/>
      <c r="GY268" s="134"/>
      <c r="GZ268" s="134"/>
      <c r="HA268" s="135"/>
      <c r="HB268" s="135"/>
      <c r="HC268" s="134"/>
      <c r="HD268" s="134"/>
      <c r="HE268" s="134"/>
      <c r="HF268" s="134"/>
      <c r="HG268" s="134"/>
      <c r="HH268" s="134"/>
      <c r="HI268" s="134"/>
      <c r="HJ268" s="134"/>
      <c r="HK268" s="135"/>
      <c r="HL268" s="135"/>
      <c r="HM268" s="134"/>
      <c r="HN268" s="134"/>
      <c r="HO268" s="134"/>
      <c r="HP268" s="134"/>
      <c r="HQ268" s="134"/>
      <c r="HR268" s="134"/>
      <c r="HS268" s="134"/>
      <c r="HT268" s="134"/>
      <c r="HU268" s="135"/>
      <c r="HV268" s="135"/>
      <c r="HW268" s="134"/>
      <c r="HX268" s="134"/>
      <c r="HY268" s="134"/>
      <c r="HZ268" s="134"/>
      <c r="IA268" s="134"/>
      <c r="IB268" s="134"/>
      <c r="IC268" s="134"/>
      <c r="ID268" s="134"/>
      <c r="IE268" s="135"/>
      <c r="IF268" s="135"/>
      <c r="IG268" s="134"/>
      <c r="IH268" s="134"/>
      <c r="II268" s="134"/>
      <c r="IJ268" s="134"/>
      <c r="IK268" s="134"/>
      <c r="IL268" s="134"/>
      <c r="IM268" s="134"/>
      <c r="IN268" s="134"/>
      <c r="IO268" s="135"/>
      <c r="IP268" s="135"/>
      <c r="IQ268" s="134"/>
      <c r="IR268" s="134"/>
      <c r="IS268" s="134"/>
      <c r="IT268" s="134"/>
      <c r="IU268" s="134"/>
      <c r="IV268" s="134"/>
      <c r="IW268" s="134"/>
      <c r="IX268" s="134"/>
      <c r="IY268" s="135"/>
      <c r="IZ268" s="135"/>
    </row>
    <row r="269" spans="1:260" customFormat="1" ht="17" customHeight="1">
      <c r="A269" s="79" t="s">
        <v>1011</v>
      </c>
      <c r="B269" s="117">
        <v>34</v>
      </c>
      <c r="C269" s="117"/>
      <c r="D269" s="117"/>
      <c r="E269" s="123" t="s">
        <v>2098</v>
      </c>
      <c r="F269" s="124" t="s">
        <v>2353</v>
      </c>
      <c r="G269" s="125">
        <v>2010</v>
      </c>
      <c r="H269" s="79">
        <v>20599458</v>
      </c>
      <c r="I269" s="79">
        <v>1</v>
      </c>
      <c r="J269" s="126">
        <v>1</v>
      </c>
      <c r="K269" s="127"/>
      <c r="L269" s="79">
        <v>1</v>
      </c>
      <c r="M269" s="79"/>
      <c r="N269" s="153">
        <v>1</v>
      </c>
      <c r="O269" s="128">
        <v>2</v>
      </c>
      <c r="P269" s="79" t="s">
        <v>1220</v>
      </c>
      <c r="Q269" s="79" t="s">
        <v>1212</v>
      </c>
      <c r="R269" s="79" t="s">
        <v>1127</v>
      </c>
      <c r="S269" s="79"/>
      <c r="T269" s="79" t="s">
        <v>1501</v>
      </c>
      <c r="U269" s="79"/>
      <c r="V269" s="79"/>
      <c r="W269" s="79" t="s">
        <v>1438</v>
      </c>
      <c r="X269" s="79"/>
      <c r="Y269" s="79"/>
      <c r="Z269" s="79"/>
      <c r="AA269" s="79" t="s">
        <v>1439</v>
      </c>
      <c r="AB269" s="79"/>
      <c r="AC269" s="506"/>
      <c r="AD269" s="573">
        <v>1</v>
      </c>
      <c r="AE269" s="573">
        <v>2</v>
      </c>
      <c r="AF269" s="233" t="s">
        <v>3003</v>
      </c>
      <c r="AG269" s="234" t="s">
        <v>4678</v>
      </c>
      <c r="AH269" s="135">
        <v>4</v>
      </c>
      <c r="AI269" s="484"/>
      <c r="AJ269" s="235" t="s">
        <v>3238</v>
      </c>
      <c r="AK269" s="192">
        <v>2</v>
      </c>
      <c r="AL269" s="237" t="s">
        <v>3242</v>
      </c>
      <c r="AM269" s="135">
        <v>10</v>
      </c>
      <c r="AN269" s="135" t="s">
        <v>3235</v>
      </c>
      <c r="AO269" s="135" t="s">
        <v>24</v>
      </c>
      <c r="AP269" s="135" t="s">
        <v>803</v>
      </c>
      <c r="AQ269" s="135" t="s">
        <v>24</v>
      </c>
      <c r="AR269" s="135" t="s">
        <v>3234</v>
      </c>
      <c r="AS269" s="135" t="s">
        <v>24</v>
      </c>
      <c r="AT269" s="135" t="s">
        <v>24</v>
      </c>
      <c r="AU269" s="135" t="s">
        <v>24</v>
      </c>
      <c r="AV269" s="135" t="s">
        <v>3231</v>
      </c>
      <c r="AW269" s="135">
        <v>1</v>
      </c>
      <c r="AX269" s="135" t="s">
        <v>3336</v>
      </c>
      <c r="AY269" s="135" t="s">
        <v>24</v>
      </c>
      <c r="AZ269" s="135" t="s">
        <v>2912</v>
      </c>
      <c r="BA269" s="135" t="s">
        <v>3236</v>
      </c>
      <c r="BB269" s="135"/>
      <c r="BC269" s="135"/>
      <c r="BD269" s="156">
        <v>1</v>
      </c>
      <c r="BE269" s="156"/>
      <c r="BF269" s="156"/>
      <c r="BG269" s="156"/>
      <c r="BH269" s="156"/>
      <c r="BI269" s="156"/>
      <c r="BJ269" s="156"/>
      <c r="BK269" s="156"/>
      <c r="BL269" s="156"/>
      <c r="BM269" s="156"/>
      <c r="BN269" s="156"/>
      <c r="BO269" s="156"/>
      <c r="BP269" s="156"/>
      <c r="BQ269" s="157" t="s">
        <v>2529</v>
      </c>
      <c r="BR269" s="134" t="s">
        <v>2789</v>
      </c>
      <c r="BS269" s="134" t="s">
        <v>3233</v>
      </c>
      <c r="BT269" s="134" t="s">
        <v>3232</v>
      </c>
      <c r="BU269" s="134" t="s">
        <v>2471</v>
      </c>
      <c r="BV269" s="134" t="s">
        <v>3237</v>
      </c>
      <c r="BW269" s="259" t="s">
        <v>3275</v>
      </c>
      <c r="BX269" s="138" t="s">
        <v>3246</v>
      </c>
      <c r="BY269" s="134">
        <v>175.61500000000001</v>
      </c>
      <c r="BZ269" s="134" t="s">
        <v>24</v>
      </c>
      <c r="CA269" s="134">
        <f>203.637-Table665[[#This Row],[Outcome1_M]]</f>
        <v>28.021999999999991</v>
      </c>
      <c r="CB269" s="432" t="s">
        <v>3251</v>
      </c>
      <c r="CC269" s="134">
        <v>98.436499999999995</v>
      </c>
      <c r="CD269" s="134" t="s">
        <v>24</v>
      </c>
      <c r="CE269" s="134">
        <f>119.039-Table665[[#This Row],[Outcome2_M]]</f>
        <v>20.602500000000006</v>
      </c>
      <c r="CF269" s="288" t="s">
        <v>24</v>
      </c>
      <c r="CG269" s="289" t="s">
        <v>24</v>
      </c>
      <c r="CH269" s="432" t="s">
        <v>3257</v>
      </c>
      <c r="CI269" s="134">
        <v>64.945300000000003</v>
      </c>
      <c r="CJ269" s="134" t="s">
        <v>24</v>
      </c>
      <c r="CK269" s="134">
        <f>87.195-Table665[[#This Row],[Outcome3_M]]</f>
        <v>22.24969999999999</v>
      </c>
      <c r="CL269" s="138" t="s">
        <v>24</v>
      </c>
      <c r="CM269" s="134" t="s">
        <v>24</v>
      </c>
      <c r="CN269" s="134" t="s">
        <v>24</v>
      </c>
      <c r="CO269" s="134" t="s">
        <v>24</v>
      </c>
      <c r="CP269" s="288" t="s">
        <v>3263</v>
      </c>
      <c r="CQ269" s="289" t="s">
        <v>3264</v>
      </c>
      <c r="CR269" s="276"/>
      <c r="CS269" s="308"/>
      <c r="CT269" s="138"/>
      <c r="CU269" s="134"/>
      <c r="CV269" s="134"/>
      <c r="CW269" s="134"/>
      <c r="CX269" s="134"/>
      <c r="CY269" s="134"/>
      <c r="CZ269" s="134"/>
      <c r="DA269" s="134"/>
      <c r="DB269" s="300"/>
      <c r="DC269" s="301"/>
      <c r="DD269" s="134"/>
      <c r="DE269" s="134"/>
      <c r="DF269" s="134"/>
      <c r="DG269" s="134"/>
      <c r="DH269" s="134"/>
      <c r="DI269" s="134"/>
      <c r="DJ269" s="134"/>
      <c r="DK269" s="134"/>
      <c r="DL269" s="300"/>
      <c r="DM269" s="301"/>
      <c r="DN269" s="276"/>
      <c r="DO269" s="277"/>
      <c r="DP269" s="134"/>
      <c r="DQ269" s="134"/>
      <c r="DR269" s="134"/>
      <c r="DS269" s="134"/>
      <c r="DT269" s="138"/>
      <c r="DU269" s="134"/>
      <c r="DV269" s="134"/>
      <c r="DW269" s="134"/>
      <c r="DX269" s="301"/>
      <c r="DY269" s="301"/>
      <c r="DZ269" s="138"/>
      <c r="EA269" s="134"/>
      <c r="EB269" s="134"/>
      <c r="EC269" s="134"/>
      <c r="ED269" s="138"/>
      <c r="EE269" s="134"/>
      <c r="EF269" s="134"/>
      <c r="EG269" s="134"/>
      <c r="EH269" s="301"/>
      <c r="EI269" s="301"/>
      <c r="EJ269" s="277"/>
      <c r="EK269" s="134"/>
      <c r="EL269" s="134"/>
      <c r="EM269" s="134"/>
      <c r="EN269" s="134"/>
      <c r="EO269" s="134"/>
      <c r="EP269" s="134"/>
      <c r="EQ269" s="134"/>
      <c r="ER269" s="134"/>
      <c r="ES269" s="301"/>
      <c r="ET269" s="301"/>
      <c r="EU269" s="134"/>
      <c r="EV269" s="134"/>
      <c r="EW269" s="134"/>
      <c r="EX269" s="134"/>
      <c r="EY269" s="134"/>
      <c r="EZ269" s="134"/>
      <c r="FA269" s="134"/>
      <c r="FB269" s="134"/>
      <c r="FC269" s="135"/>
      <c r="FD269" s="135"/>
      <c r="FE269" s="134"/>
      <c r="FF269" s="134"/>
      <c r="FG269" s="134"/>
      <c r="FH269" s="134"/>
      <c r="FI269" s="134"/>
      <c r="FJ269" s="134"/>
      <c r="FK269" s="134"/>
      <c r="FL269" s="134"/>
      <c r="FM269" s="135"/>
      <c r="FN269" s="135"/>
      <c r="FO269" s="134"/>
      <c r="FP269" s="134"/>
      <c r="FQ269" s="134"/>
      <c r="FR269" s="134"/>
      <c r="FS269" s="134"/>
      <c r="FT269" s="134"/>
      <c r="FU269" s="134"/>
      <c r="FV269" s="134"/>
      <c r="FW269" s="135"/>
      <c r="FX269" s="135"/>
      <c r="FY269" s="134"/>
      <c r="FZ269" s="134"/>
      <c r="GA269" s="134"/>
      <c r="GB269" s="134"/>
      <c r="GC269" s="134"/>
      <c r="GD269" s="134"/>
      <c r="GE269" s="134"/>
      <c r="GF269" s="134"/>
      <c r="GG269" s="135"/>
      <c r="GH269" s="135"/>
      <c r="GI269" s="134"/>
      <c r="GJ269" s="134"/>
      <c r="GK269" s="134"/>
      <c r="GL269" s="134"/>
      <c r="GM269" s="134"/>
      <c r="GN269" s="134"/>
      <c r="GO269" s="134"/>
      <c r="GP269" s="134"/>
      <c r="GQ269" s="135"/>
      <c r="GR269" s="135"/>
      <c r="GS269" s="134"/>
      <c r="GT269" s="134"/>
      <c r="GU269" s="134"/>
      <c r="GV269" s="134"/>
      <c r="GW269" s="134"/>
      <c r="GX269" s="134"/>
      <c r="GY269" s="134"/>
      <c r="GZ269" s="134"/>
      <c r="HA269" s="135"/>
      <c r="HB269" s="135"/>
      <c r="HC269" s="134"/>
      <c r="HD269" s="134"/>
      <c r="HE269" s="134"/>
      <c r="HF269" s="134"/>
      <c r="HG269" s="134"/>
      <c r="HH269" s="134"/>
      <c r="HI269" s="134"/>
      <c r="HJ269" s="134"/>
      <c r="HK269" s="135"/>
      <c r="HL269" s="135"/>
      <c r="HM269" s="134"/>
      <c r="HN269" s="134"/>
      <c r="HO269" s="134"/>
      <c r="HP269" s="134"/>
      <c r="HQ269" s="134"/>
      <c r="HR269" s="134"/>
      <c r="HS269" s="134"/>
      <c r="HT269" s="134"/>
      <c r="HU269" s="135"/>
      <c r="HV269" s="135"/>
      <c r="HW269" s="134"/>
      <c r="HX269" s="134"/>
      <c r="HY269" s="134"/>
      <c r="HZ269" s="134"/>
      <c r="IA269" s="134"/>
      <c r="IB269" s="134"/>
      <c r="IC269" s="134"/>
      <c r="ID269" s="134"/>
      <c r="IE269" s="135"/>
      <c r="IF269" s="135"/>
      <c r="IG269" s="134"/>
      <c r="IH269" s="134"/>
      <c r="II269" s="134"/>
      <c r="IJ269" s="134"/>
      <c r="IK269" s="134"/>
      <c r="IL269" s="134"/>
      <c r="IM269" s="134"/>
      <c r="IN269" s="134"/>
      <c r="IO269" s="135"/>
      <c r="IP269" s="135"/>
      <c r="IQ269" s="134"/>
      <c r="IR269" s="134"/>
      <c r="IS269" s="134"/>
      <c r="IT269" s="134"/>
      <c r="IU269" s="134"/>
      <c r="IV269" s="134"/>
      <c r="IW269" s="134"/>
      <c r="IX269" s="134"/>
      <c r="IY269" s="135"/>
      <c r="IZ269" s="135"/>
    </row>
    <row r="270" spans="1:260" customFormat="1" ht="17" customHeight="1">
      <c r="A270" s="118" t="s">
        <v>1011</v>
      </c>
      <c r="B270" s="117">
        <v>34</v>
      </c>
      <c r="C270" s="117"/>
      <c r="D270" s="117"/>
      <c r="E270" s="139" t="s">
        <v>2098</v>
      </c>
      <c r="F270" s="140" t="s">
        <v>2353</v>
      </c>
      <c r="G270" s="141">
        <v>2010</v>
      </c>
      <c r="H270" s="118">
        <v>20599458</v>
      </c>
      <c r="I270" s="118">
        <v>1</v>
      </c>
      <c r="J270" s="118">
        <v>1</v>
      </c>
      <c r="K270" s="118"/>
      <c r="L270" s="118">
        <v>1</v>
      </c>
      <c r="M270" s="118"/>
      <c r="N270" s="158">
        <v>1</v>
      </c>
      <c r="O270" s="142">
        <v>2</v>
      </c>
      <c r="P270" s="118" t="s">
        <v>1220</v>
      </c>
      <c r="Q270" s="118" t="s">
        <v>1212</v>
      </c>
      <c r="R270" s="118" t="s">
        <v>1127</v>
      </c>
      <c r="S270" s="118"/>
      <c r="T270" s="118" t="s">
        <v>1501</v>
      </c>
      <c r="U270" s="118"/>
      <c r="V270" s="118"/>
      <c r="W270" s="118" t="s">
        <v>1438</v>
      </c>
      <c r="X270" s="118"/>
      <c r="Y270" s="118"/>
      <c r="Z270" s="118"/>
      <c r="AA270" s="118" t="s">
        <v>1439</v>
      </c>
      <c r="AB270" s="118"/>
      <c r="AC270" s="145"/>
      <c r="AD270" s="573">
        <v>1</v>
      </c>
      <c r="AE270" s="573">
        <v>2</v>
      </c>
      <c r="AF270" s="233" t="s">
        <v>3003</v>
      </c>
      <c r="AG270" s="234" t="s">
        <v>4678</v>
      </c>
      <c r="AH270" s="152">
        <v>4</v>
      </c>
      <c r="AI270" s="485"/>
      <c r="AJ270" s="242" t="s">
        <v>3238</v>
      </c>
      <c r="AK270" s="192">
        <v>2</v>
      </c>
      <c r="AL270" s="243" t="s">
        <v>3241</v>
      </c>
      <c r="AM270" s="422" t="s">
        <v>3273</v>
      </c>
      <c r="AN270" s="152" t="s">
        <v>3271</v>
      </c>
      <c r="AO270" s="152" t="s">
        <v>24</v>
      </c>
      <c r="AP270" s="152" t="s">
        <v>803</v>
      </c>
      <c r="AQ270" s="152" t="s">
        <v>24</v>
      </c>
      <c r="AR270" s="152" t="s">
        <v>3234</v>
      </c>
      <c r="AS270" s="152" t="s">
        <v>24</v>
      </c>
      <c r="AT270" s="152" t="s">
        <v>24</v>
      </c>
      <c r="AU270" s="152" t="s">
        <v>24</v>
      </c>
      <c r="AV270" s="152" t="s">
        <v>3231</v>
      </c>
      <c r="AW270" s="152">
        <v>1</v>
      </c>
      <c r="AX270" s="135" t="s">
        <v>3336</v>
      </c>
      <c r="AY270" s="152" t="s">
        <v>24</v>
      </c>
      <c r="AZ270" s="152" t="s">
        <v>2912</v>
      </c>
      <c r="BA270" s="152" t="s">
        <v>3236</v>
      </c>
      <c r="BB270" s="152"/>
      <c r="BC270" s="152"/>
      <c r="BD270" s="161">
        <v>1</v>
      </c>
      <c r="BE270" s="161"/>
      <c r="BF270" s="161"/>
      <c r="BG270" s="161"/>
      <c r="BH270" s="161"/>
      <c r="BI270" s="161"/>
      <c r="BJ270" s="161"/>
      <c r="BK270" s="161"/>
      <c r="BL270" s="161"/>
      <c r="BM270" s="161"/>
      <c r="BN270" s="161"/>
      <c r="BO270" s="161"/>
      <c r="BP270" s="161"/>
      <c r="BQ270" s="162" t="s">
        <v>2529</v>
      </c>
      <c r="BR270" s="150" t="s">
        <v>2789</v>
      </c>
      <c r="BS270" s="150" t="s">
        <v>3233</v>
      </c>
      <c r="BT270" s="150" t="s">
        <v>3232</v>
      </c>
      <c r="BU270" s="150" t="s">
        <v>2471</v>
      </c>
      <c r="BV270" s="150" t="s">
        <v>3237</v>
      </c>
      <c r="BW270" s="258" t="s">
        <v>3275</v>
      </c>
      <c r="BX270" s="151" t="s">
        <v>3245</v>
      </c>
      <c r="BY270" s="150">
        <v>223.06100000000001</v>
      </c>
      <c r="BZ270" s="150" t="s">
        <v>24</v>
      </c>
      <c r="CA270" s="150">
        <f>241.429-Table665[[#This Row],[Outcome1_M]]</f>
        <v>18.367999999999995</v>
      </c>
      <c r="CB270" s="431" t="s">
        <v>3252</v>
      </c>
      <c r="CC270" s="150">
        <v>178.571</v>
      </c>
      <c r="CD270" s="150" t="s">
        <v>24</v>
      </c>
      <c r="CE270" s="150">
        <f>200.204-Table665[[#This Row],[Outcome2_M]]</f>
        <v>21.63300000000001</v>
      </c>
      <c r="CF270" s="290" t="s">
        <v>24</v>
      </c>
      <c r="CG270" s="291" t="s">
        <v>24</v>
      </c>
      <c r="CH270" s="431" t="s">
        <v>3258</v>
      </c>
      <c r="CI270" s="150">
        <v>120.61199999999999</v>
      </c>
      <c r="CJ270" s="150" t="s">
        <v>24</v>
      </c>
      <c r="CK270" s="150">
        <f>141.837-Table665[[#This Row],[Outcome3_M]]</f>
        <v>21.224999999999994</v>
      </c>
      <c r="CL270" s="151" t="s">
        <v>24</v>
      </c>
      <c r="CM270" s="150" t="s">
        <v>24</v>
      </c>
      <c r="CN270" s="150" t="s">
        <v>24</v>
      </c>
      <c r="CO270" s="150" t="s">
        <v>24</v>
      </c>
      <c r="CP270" s="290" t="s">
        <v>3263</v>
      </c>
      <c r="CQ270" s="291" t="s">
        <v>3264</v>
      </c>
      <c r="CR270" s="278"/>
      <c r="CS270" s="285"/>
      <c r="CT270" s="151"/>
      <c r="CU270" s="150"/>
      <c r="CV270" s="150"/>
      <c r="CW270" s="150"/>
      <c r="CX270" s="150"/>
      <c r="CY270" s="150"/>
      <c r="CZ270" s="150"/>
      <c r="DA270" s="150"/>
      <c r="DB270" s="302"/>
      <c r="DC270" s="303"/>
      <c r="DD270" s="150"/>
      <c r="DE270" s="150"/>
      <c r="DF270" s="150"/>
      <c r="DG270" s="150"/>
      <c r="DH270" s="150"/>
      <c r="DI270" s="150"/>
      <c r="DJ270" s="150"/>
      <c r="DK270" s="150"/>
      <c r="DL270" s="302"/>
      <c r="DM270" s="303"/>
      <c r="DN270" s="278"/>
      <c r="DO270" s="279"/>
      <c r="DP270" s="150"/>
      <c r="DQ270" s="150"/>
      <c r="DR270" s="150"/>
      <c r="DS270" s="150"/>
      <c r="DT270" s="151"/>
      <c r="DU270" s="150"/>
      <c r="DV270" s="150"/>
      <c r="DW270" s="150"/>
      <c r="DX270" s="303"/>
      <c r="DY270" s="303"/>
      <c r="DZ270" s="151"/>
      <c r="EA270" s="150"/>
      <c r="EB270" s="150"/>
      <c r="EC270" s="150"/>
      <c r="ED270" s="151"/>
      <c r="EE270" s="150"/>
      <c r="EF270" s="150"/>
      <c r="EG270" s="150"/>
      <c r="EH270" s="303"/>
      <c r="EI270" s="303"/>
      <c r="EJ270" s="279"/>
      <c r="EK270" s="150"/>
      <c r="EL270" s="150"/>
      <c r="EM270" s="150"/>
      <c r="EN270" s="150"/>
      <c r="EO270" s="150"/>
      <c r="EP270" s="150"/>
      <c r="EQ270" s="150"/>
      <c r="ER270" s="150"/>
      <c r="ES270" s="303"/>
      <c r="ET270" s="303"/>
      <c r="EU270" s="150"/>
      <c r="EV270" s="150"/>
      <c r="EW270" s="150"/>
      <c r="EX270" s="150"/>
      <c r="EY270" s="134"/>
      <c r="EZ270" s="134"/>
      <c r="FA270" s="134"/>
      <c r="FB270" s="134"/>
      <c r="FC270" s="135"/>
      <c r="FD270" s="135"/>
      <c r="FE270" s="134"/>
      <c r="FF270" s="134"/>
      <c r="FG270" s="134"/>
      <c r="FH270" s="134"/>
      <c r="FI270" s="134"/>
      <c r="FJ270" s="134"/>
      <c r="FK270" s="134"/>
      <c r="FL270" s="134"/>
      <c r="FM270" s="135"/>
      <c r="FN270" s="135"/>
      <c r="FO270" s="134"/>
      <c r="FP270" s="134"/>
      <c r="FQ270" s="134"/>
      <c r="FR270" s="134"/>
      <c r="FS270" s="134"/>
      <c r="FT270" s="134"/>
      <c r="FU270" s="134"/>
      <c r="FV270" s="134"/>
      <c r="FW270" s="135"/>
      <c r="FX270" s="135"/>
      <c r="FY270" s="134"/>
      <c r="FZ270" s="134"/>
      <c r="GA270" s="134"/>
      <c r="GB270" s="134"/>
      <c r="GC270" s="134"/>
      <c r="GD270" s="134"/>
      <c r="GE270" s="134"/>
      <c r="GF270" s="134"/>
      <c r="GG270" s="135"/>
      <c r="GH270" s="135"/>
      <c r="GI270" s="134"/>
      <c r="GJ270" s="134"/>
      <c r="GK270" s="134"/>
      <c r="GL270" s="134"/>
      <c r="GM270" s="134"/>
      <c r="GN270" s="134"/>
      <c r="GO270" s="134"/>
      <c r="GP270" s="134"/>
      <c r="GQ270" s="135"/>
      <c r="GR270" s="135"/>
      <c r="GS270" s="134"/>
      <c r="GT270" s="134"/>
      <c r="GU270" s="134"/>
      <c r="GV270" s="134"/>
      <c r="GW270" s="134"/>
      <c r="GX270" s="134"/>
      <c r="GY270" s="134"/>
      <c r="GZ270" s="134"/>
      <c r="HA270" s="135"/>
      <c r="HB270" s="135"/>
      <c r="HC270" s="134"/>
      <c r="HD270" s="134"/>
      <c r="HE270" s="134"/>
      <c r="HF270" s="134"/>
      <c r="HG270" s="134"/>
      <c r="HH270" s="134"/>
      <c r="HI270" s="134"/>
      <c r="HJ270" s="134"/>
      <c r="HK270" s="135"/>
      <c r="HL270" s="135"/>
      <c r="HM270" s="134"/>
      <c r="HN270" s="134"/>
      <c r="HO270" s="134"/>
      <c r="HP270" s="134"/>
      <c r="HQ270" s="134"/>
      <c r="HR270" s="134"/>
      <c r="HS270" s="134"/>
      <c r="HT270" s="134"/>
      <c r="HU270" s="135"/>
      <c r="HV270" s="135"/>
      <c r="HW270" s="134"/>
      <c r="HX270" s="134"/>
      <c r="HY270" s="134"/>
      <c r="HZ270" s="134"/>
      <c r="IA270" s="134"/>
      <c r="IB270" s="134"/>
      <c r="IC270" s="134"/>
      <c r="ID270" s="134"/>
      <c r="IE270" s="135"/>
      <c r="IF270" s="135"/>
      <c r="IG270" s="134"/>
      <c r="IH270" s="134"/>
      <c r="II270" s="134"/>
      <c r="IJ270" s="134"/>
      <c r="IK270" s="134"/>
      <c r="IL270" s="134"/>
      <c r="IM270" s="134"/>
      <c r="IN270" s="134"/>
      <c r="IO270" s="135"/>
      <c r="IP270" s="135"/>
      <c r="IQ270" s="134"/>
      <c r="IR270" s="134"/>
      <c r="IS270" s="134"/>
      <c r="IT270" s="134"/>
      <c r="IU270" s="134"/>
      <c r="IV270" s="134"/>
      <c r="IW270" s="134"/>
      <c r="IX270" s="134"/>
      <c r="IY270" s="135"/>
      <c r="IZ270" s="135"/>
    </row>
    <row r="271" spans="1:260" customFormat="1" ht="17" customHeight="1">
      <c r="A271" s="118" t="s">
        <v>1011</v>
      </c>
      <c r="B271" s="117">
        <v>34</v>
      </c>
      <c r="C271" s="117"/>
      <c r="D271" s="117"/>
      <c r="E271" s="139" t="s">
        <v>2098</v>
      </c>
      <c r="F271" s="140" t="s">
        <v>2353</v>
      </c>
      <c r="G271" s="141">
        <v>2010</v>
      </c>
      <c r="H271" s="118">
        <v>20599458</v>
      </c>
      <c r="I271" s="118">
        <v>1</v>
      </c>
      <c r="J271" s="118">
        <v>1</v>
      </c>
      <c r="K271" s="118"/>
      <c r="L271" s="118">
        <v>1</v>
      </c>
      <c r="M271" s="118"/>
      <c r="N271" s="158">
        <v>1</v>
      </c>
      <c r="O271" s="142">
        <v>2</v>
      </c>
      <c r="P271" s="118" t="s">
        <v>1220</v>
      </c>
      <c r="Q271" s="118" t="s">
        <v>1212</v>
      </c>
      <c r="R271" s="118" t="s">
        <v>1127</v>
      </c>
      <c r="S271" s="118"/>
      <c r="T271" s="118" t="s">
        <v>1501</v>
      </c>
      <c r="U271" s="118"/>
      <c r="V271" s="118"/>
      <c r="W271" s="118" t="s">
        <v>1438</v>
      </c>
      <c r="X271" s="118"/>
      <c r="Y271" s="118"/>
      <c r="Z271" s="118"/>
      <c r="AA271" s="118" t="s">
        <v>1439</v>
      </c>
      <c r="AB271" s="118"/>
      <c r="AC271" s="145"/>
      <c r="AD271" s="573">
        <v>1</v>
      </c>
      <c r="AE271" s="573">
        <v>2</v>
      </c>
      <c r="AF271" s="233" t="s">
        <v>3003</v>
      </c>
      <c r="AG271" s="234" t="s">
        <v>4679</v>
      </c>
      <c r="AH271" s="152">
        <v>4</v>
      </c>
      <c r="AI271" s="485"/>
      <c r="AJ271" s="242" t="s">
        <v>3238</v>
      </c>
      <c r="AK271" s="192">
        <v>2</v>
      </c>
      <c r="AL271" s="243" t="s">
        <v>3240</v>
      </c>
      <c r="AM271" s="152">
        <v>10</v>
      </c>
      <c r="AN271" s="152" t="s">
        <v>3235</v>
      </c>
      <c r="AO271" s="152" t="s">
        <v>24</v>
      </c>
      <c r="AP271" s="152" t="s">
        <v>803</v>
      </c>
      <c r="AQ271" s="152" t="s">
        <v>24</v>
      </c>
      <c r="AR271" s="152" t="s">
        <v>3234</v>
      </c>
      <c r="AS271" s="152" t="s">
        <v>24</v>
      </c>
      <c r="AT271" s="152" t="s">
        <v>24</v>
      </c>
      <c r="AU271" s="152" t="s">
        <v>24</v>
      </c>
      <c r="AV271" s="152" t="s">
        <v>3231</v>
      </c>
      <c r="AW271" s="152">
        <v>1</v>
      </c>
      <c r="AX271" s="135" t="s">
        <v>3320</v>
      </c>
      <c r="AY271" s="152" t="s">
        <v>24</v>
      </c>
      <c r="AZ271" s="152" t="s">
        <v>2912</v>
      </c>
      <c r="BA271" s="152" t="s">
        <v>3236</v>
      </c>
      <c r="BB271" s="152"/>
      <c r="BC271" s="152"/>
      <c r="BD271" s="161">
        <v>1</v>
      </c>
      <c r="BE271" s="161"/>
      <c r="BF271" s="161"/>
      <c r="BG271" s="161"/>
      <c r="BH271" s="161"/>
      <c r="BI271" s="161"/>
      <c r="BJ271" s="161"/>
      <c r="BK271" s="161"/>
      <c r="BL271" s="161"/>
      <c r="BM271" s="161"/>
      <c r="BN271" s="161"/>
      <c r="BO271" s="161"/>
      <c r="BP271" s="161"/>
      <c r="BQ271" s="162" t="s">
        <v>2529</v>
      </c>
      <c r="BR271" s="150" t="s">
        <v>2789</v>
      </c>
      <c r="BS271" s="150" t="s">
        <v>3233</v>
      </c>
      <c r="BT271" s="150" t="s">
        <v>3232</v>
      </c>
      <c r="BU271" s="150" t="s">
        <v>2471</v>
      </c>
      <c r="BV271" s="150" t="s">
        <v>3237</v>
      </c>
      <c r="BW271" s="258" t="s">
        <v>3275</v>
      </c>
      <c r="BX271" s="151" t="s">
        <v>3247</v>
      </c>
      <c r="BY271" s="150">
        <v>160.44399999999999</v>
      </c>
      <c r="BZ271" s="150" t="s">
        <v>24</v>
      </c>
      <c r="CA271" s="150">
        <f>181.262-Table665[[#This Row],[Outcome1_M]]</f>
        <v>20.818000000000012</v>
      </c>
      <c r="CB271" s="431" t="s">
        <v>3253</v>
      </c>
      <c r="CC271" s="150">
        <v>96.985200000000006</v>
      </c>
      <c r="CD271" s="150" t="s">
        <v>24</v>
      </c>
      <c r="CE271" s="150">
        <f>118.411-Table665[[#This Row],[Outcome2_M]]</f>
        <v>21.425799999999995</v>
      </c>
      <c r="CF271" s="290" t="s">
        <v>24</v>
      </c>
      <c r="CG271" s="291" t="s">
        <v>24</v>
      </c>
      <c r="CH271" s="431" t="s">
        <v>3259</v>
      </c>
      <c r="CI271" s="150">
        <v>88.628799999999998</v>
      </c>
      <c r="CJ271" s="150" t="s">
        <v>24</v>
      </c>
      <c r="CK271" s="150">
        <f>110.056-Table665[[#This Row],[Outcome3_M]]</f>
        <v>21.427199999999999</v>
      </c>
      <c r="CL271" s="151" t="s">
        <v>24</v>
      </c>
      <c r="CM271" s="150" t="s">
        <v>24</v>
      </c>
      <c r="CN271" s="150" t="s">
        <v>24</v>
      </c>
      <c r="CO271" s="150" t="s">
        <v>24</v>
      </c>
      <c r="CP271" s="290" t="s">
        <v>3263</v>
      </c>
      <c r="CQ271" s="291" t="s">
        <v>3264</v>
      </c>
      <c r="CR271" s="278"/>
      <c r="CS271" s="285"/>
      <c r="CT271" s="151"/>
      <c r="CU271" s="150"/>
      <c r="CV271" s="150"/>
      <c r="CW271" s="150"/>
      <c r="CX271" s="150"/>
      <c r="CY271" s="150"/>
      <c r="CZ271" s="150"/>
      <c r="DA271" s="150"/>
      <c r="DB271" s="302"/>
      <c r="DC271" s="303"/>
      <c r="DD271" s="150"/>
      <c r="DE271" s="150"/>
      <c r="DF271" s="150"/>
      <c r="DG271" s="150"/>
      <c r="DH271" s="150"/>
      <c r="DI271" s="150"/>
      <c r="DJ271" s="150"/>
      <c r="DK271" s="150"/>
      <c r="DL271" s="302"/>
      <c r="DM271" s="303"/>
      <c r="DN271" s="278"/>
      <c r="DO271" s="279"/>
      <c r="DP271" s="150"/>
      <c r="DQ271" s="150"/>
      <c r="DR271" s="150"/>
      <c r="DS271" s="150"/>
      <c r="DT271" s="151"/>
      <c r="DU271" s="150"/>
      <c r="DV271" s="150"/>
      <c r="DW271" s="150"/>
      <c r="DX271" s="303"/>
      <c r="DY271" s="303"/>
      <c r="DZ271" s="151"/>
      <c r="EA271" s="150"/>
      <c r="EB271" s="150"/>
      <c r="EC271" s="150"/>
      <c r="ED271" s="151"/>
      <c r="EE271" s="150"/>
      <c r="EF271" s="150"/>
      <c r="EG271" s="150"/>
      <c r="EH271" s="303"/>
      <c r="EI271" s="303"/>
      <c r="EJ271" s="279"/>
      <c r="EK271" s="150"/>
      <c r="EL271" s="150"/>
      <c r="EM271" s="150"/>
      <c r="EN271" s="150"/>
      <c r="EO271" s="150"/>
      <c r="EP271" s="150"/>
      <c r="EQ271" s="150"/>
      <c r="ER271" s="150"/>
      <c r="ES271" s="303"/>
      <c r="ET271" s="303"/>
      <c r="EU271" s="150"/>
      <c r="EV271" s="150"/>
      <c r="EW271" s="150"/>
      <c r="EX271" s="150"/>
      <c r="EY271" s="134"/>
      <c r="EZ271" s="134"/>
      <c r="FA271" s="134"/>
      <c r="FB271" s="134"/>
      <c r="FC271" s="135"/>
      <c r="FD271" s="135"/>
      <c r="FE271" s="134"/>
      <c r="FF271" s="134"/>
      <c r="FG271" s="134"/>
      <c r="FH271" s="134"/>
      <c r="FI271" s="134"/>
      <c r="FJ271" s="134"/>
      <c r="FK271" s="134"/>
      <c r="FL271" s="134"/>
      <c r="FM271" s="135"/>
      <c r="FN271" s="135"/>
      <c r="FO271" s="134"/>
      <c r="FP271" s="134"/>
      <c r="FQ271" s="134"/>
      <c r="FR271" s="134"/>
      <c r="FS271" s="134"/>
      <c r="FT271" s="134"/>
      <c r="FU271" s="134"/>
      <c r="FV271" s="134"/>
      <c r="FW271" s="135"/>
      <c r="FX271" s="135"/>
      <c r="FY271" s="134"/>
      <c r="FZ271" s="134"/>
      <c r="GA271" s="134"/>
      <c r="GB271" s="134"/>
      <c r="GC271" s="134"/>
      <c r="GD271" s="134"/>
      <c r="GE271" s="134"/>
      <c r="GF271" s="134"/>
      <c r="GG271" s="135"/>
      <c r="GH271" s="135"/>
      <c r="GI271" s="134"/>
      <c r="GJ271" s="134"/>
      <c r="GK271" s="134"/>
      <c r="GL271" s="134"/>
      <c r="GM271" s="134"/>
      <c r="GN271" s="134"/>
      <c r="GO271" s="134"/>
      <c r="GP271" s="134"/>
      <c r="GQ271" s="135"/>
      <c r="GR271" s="135"/>
      <c r="GS271" s="134"/>
      <c r="GT271" s="134"/>
      <c r="GU271" s="134"/>
      <c r="GV271" s="134"/>
      <c r="GW271" s="134"/>
      <c r="GX271" s="134"/>
      <c r="GY271" s="134"/>
      <c r="GZ271" s="134"/>
      <c r="HA271" s="135"/>
      <c r="HB271" s="135"/>
      <c r="HC271" s="134"/>
      <c r="HD271" s="134"/>
      <c r="HE271" s="134"/>
      <c r="HF271" s="134"/>
      <c r="HG271" s="134"/>
      <c r="HH271" s="134"/>
      <c r="HI271" s="134"/>
      <c r="HJ271" s="134"/>
      <c r="HK271" s="135"/>
      <c r="HL271" s="135"/>
      <c r="HM271" s="134"/>
      <c r="HN271" s="134"/>
      <c r="HO271" s="134"/>
      <c r="HP271" s="134"/>
      <c r="HQ271" s="134"/>
      <c r="HR271" s="134"/>
      <c r="HS271" s="134"/>
      <c r="HT271" s="134"/>
      <c r="HU271" s="135"/>
      <c r="HV271" s="135"/>
      <c r="HW271" s="134"/>
      <c r="HX271" s="134"/>
      <c r="HY271" s="134"/>
      <c r="HZ271" s="134"/>
      <c r="IA271" s="134"/>
      <c r="IB271" s="134"/>
      <c r="IC271" s="134"/>
      <c r="ID271" s="134"/>
      <c r="IE271" s="135"/>
      <c r="IF271" s="135"/>
      <c r="IG271" s="134"/>
      <c r="IH271" s="134"/>
      <c r="II271" s="134"/>
      <c r="IJ271" s="134"/>
      <c r="IK271" s="134"/>
      <c r="IL271" s="134"/>
      <c r="IM271" s="134"/>
      <c r="IN271" s="134"/>
      <c r="IO271" s="135"/>
      <c r="IP271" s="135"/>
      <c r="IQ271" s="134"/>
      <c r="IR271" s="134"/>
      <c r="IS271" s="134"/>
      <c r="IT271" s="134"/>
      <c r="IU271" s="134"/>
      <c r="IV271" s="134"/>
      <c r="IW271" s="134"/>
      <c r="IX271" s="134"/>
      <c r="IY271" s="135"/>
      <c r="IZ271" s="135"/>
    </row>
    <row r="272" spans="1:260" customFormat="1" ht="17" customHeight="1">
      <c r="A272" s="118" t="s">
        <v>1011</v>
      </c>
      <c r="B272" s="117">
        <v>34</v>
      </c>
      <c r="C272" s="117"/>
      <c r="D272" s="117"/>
      <c r="E272" s="139" t="s">
        <v>2098</v>
      </c>
      <c r="F272" s="140" t="s">
        <v>2353</v>
      </c>
      <c r="G272" s="141">
        <v>2010</v>
      </c>
      <c r="H272" s="118">
        <v>20599458</v>
      </c>
      <c r="I272" s="118">
        <v>1</v>
      </c>
      <c r="J272" s="118">
        <v>1</v>
      </c>
      <c r="K272" s="118"/>
      <c r="L272" s="118">
        <v>1</v>
      </c>
      <c r="M272" s="118"/>
      <c r="N272" s="158">
        <v>1</v>
      </c>
      <c r="O272" s="142">
        <v>2</v>
      </c>
      <c r="P272" s="118" t="s">
        <v>1220</v>
      </c>
      <c r="Q272" s="118" t="s">
        <v>1212</v>
      </c>
      <c r="R272" s="118" t="s">
        <v>1127</v>
      </c>
      <c r="S272" s="118"/>
      <c r="T272" s="118" t="s">
        <v>1501</v>
      </c>
      <c r="U272" s="118"/>
      <c r="V272" s="118"/>
      <c r="W272" s="118" t="s">
        <v>1438</v>
      </c>
      <c r="X272" s="118"/>
      <c r="Y272" s="118"/>
      <c r="Z272" s="118"/>
      <c r="AA272" s="118" t="s">
        <v>1439</v>
      </c>
      <c r="AB272" s="118"/>
      <c r="AC272" s="145"/>
      <c r="AD272" s="573">
        <v>1</v>
      </c>
      <c r="AE272" s="573">
        <v>2</v>
      </c>
      <c r="AF272" s="233" t="s">
        <v>3003</v>
      </c>
      <c r="AG272" s="234" t="s">
        <v>4679</v>
      </c>
      <c r="AH272" s="152">
        <v>4</v>
      </c>
      <c r="AI272" s="485"/>
      <c r="AJ272" s="242" t="s">
        <v>3238</v>
      </c>
      <c r="AK272" s="192">
        <v>2</v>
      </c>
      <c r="AL272" s="248" t="s">
        <v>3239</v>
      </c>
      <c r="AM272" s="152">
        <v>10</v>
      </c>
      <c r="AN272" s="152" t="s">
        <v>3235</v>
      </c>
      <c r="AO272" s="152" t="s">
        <v>24</v>
      </c>
      <c r="AP272" s="152" t="s">
        <v>803</v>
      </c>
      <c r="AQ272" s="152" t="s">
        <v>24</v>
      </c>
      <c r="AR272" s="152" t="s">
        <v>3234</v>
      </c>
      <c r="AS272" s="152" t="s">
        <v>24</v>
      </c>
      <c r="AT272" s="152" t="s">
        <v>24</v>
      </c>
      <c r="AU272" s="152" t="s">
        <v>24</v>
      </c>
      <c r="AV272" s="152" t="s">
        <v>3231</v>
      </c>
      <c r="AW272" s="152">
        <v>1</v>
      </c>
      <c r="AX272" s="135" t="s">
        <v>3336</v>
      </c>
      <c r="AY272" s="152" t="s">
        <v>24</v>
      </c>
      <c r="AZ272" s="152" t="s">
        <v>2912</v>
      </c>
      <c r="BA272" s="152" t="s">
        <v>3236</v>
      </c>
      <c r="BB272" s="152"/>
      <c r="BC272" s="152"/>
      <c r="BD272" s="161">
        <v>1</v>
      </c>
      <c r="BE272" s="161"/>
      <c r="BF272" s="161"/>
      <c r="BG272" s="161"/>
      <c r="BH272" s="161"/>
      <c r="BI272" s="161"/>
      <c r="BJ272" s="161"/>
      <c r="BK272" s="161"/>
      <c r="BL272" s="161"/>
      <c r="BM272" s="161"/>
      <c r="BN272" s="161"/>
      <c r="BO272" s="161"/>
      <c r="BP272" s="161"/>
      <c r="BQ272" s="162" t="s">
        <v>2529</v>
      </c>
      <c r="BR272" s="150" t="s">
        <v>2789</v>
      </c>
      <c r="BS272" s="150" t="s">
        <v>3233</v>
      </c>
      <c r="BT272" s="150" t="s">
        <v>3232</v>
      </c>
      <c r="BU272" s="150" t="s">
        <v>2471</v>
      </c>
      <c r="BV272" s="150" t="s">
        <v>3237</v>
      </c>
      <c r="BW272" s="258" t="s">
        <v>3275</v>
      </c>
      <c r="BX272" s="151" t="s">
        <v>3248</v>
      </c>
      <c r="BY272" s="150">
        <v>243.60900000000001</v>
      </c>
      <c r="BZ272" s="150" t="s">
        <v>24</v>
      </c>
      <c r="CA272" s="150">
        <f>275.51-Table665[[#This Row],[Outcome1_M]]</f>
        <v>31.900999999999982</v>
      </c>
      <c r="CB272" s="431" t="s">
        <v>3254</v>
      </c>
      <c r="CC272" s="150">
        <v>192.291</v>
      </c>
      <c r="CD272" s="150" t="s">
        <v>24</v>
      </c>
      <c r="CE272" s="150">
        <f>218.67-Table665[[#This Row],[Outcome2_M]]</f>
        <v>26.378999999999991</v>
      </c>
      <c r="CF272" s="290" t="s">
        <v>24</v>
      </c>
      <c r="CG272" s="291" t="s">
        <v>24</v>
      </c>
      <c r="CH272" s="431" t="s">
        <v>3260</v>
      </c>
      <c r="CI272" s="150">
        <v>107.236</v>
      </c>
      <c r="CJ272" s="150" t="s">
        <v>24</v>
      </c>
      <c r="CK272" s="150">
        <f>126.253-Table665[[#This Row],[Outcome3_M]]</f>
        <v>19.016999999999996</v>
      </c>
      <c r="CL272" s="151" t="s">
        <v>24</v>
      </c>
      <c r="CM272" s="150" t="s">
        <v>24</v>
      </c>
      <c r="CN272" s="150" t="s">
        <v>24</v>
      </c>
      <c r="CO272" s="150" t="s">
        <v>24</v>
      </c>
      <c r="CP272" s="290" t="s">
        <v>3265</v>
      </c>
      <c r="CQ272" s="291" t="s">
        <v>3266</v>
      </c>
      <c r="CR272" s="278"/>
      <c r="CS272" s="285"/>
      <c r="CT272" s="151"/>
      <c r="CU272" s="150"/>
      <c r="CV272" s="150"/>
      <c r="CW272" s="150"/>
      <c r="CX272" s="150"/>
      <c r="CY272" s="150"/>
      <c r="CZ272" s="150"/>
      <c r="DA272" s="150"/>
      <c r="DB272" s="302"/>
      <c r="DC272" s="303"/>
      <c r="DD272" s="150"/>
      <c r="DE272" s="150"/>
      <c r="DF272" s="150"/>
      <c r="DG272" s="150"/>
      <c r="DH272" s="150"/>
      <c r="DI272" s="150"/>
      <c r="DJ272" s="150"/>
      <c r="DK272" s="150"/>
      <c r="DL272" s="302"/>
      <c r="DM272" s="303"/>
      <c r="DN272" s="278"/>
      <c r="DO272" s="279"/>
      <c r="DP272" s="150"/>
      <c r="DQ272" s="150"/>
      <c r="DR272" s="150"/>
      <c r="DS272" s="150"/>
      <c r="DT272" s="151"/>
      <c r="DU272" s="150"/>
      <c r="DV272" s="150"/>
      <c r="DW272" s="150"/>
      <c r="DX272" s="303"/>
      <c r="DY272" s="303"/>
      <c r="DZ272" s="151"/>
      <c r="EA272" s="150"/>
      <c r="EB272" s="150"/>
      <c r="EC272" s="150"/>
      <c r="ED272" s="151"/>
      <c r="EE272" s="150"/>
      <c r="EF272" s="150"/>
      <c r="EG272" s="150"/>
      <c r="EH272" s="303"/>
      <c r="EI272" s="303"/>
      <c r="EJ272" s="279"/>
      <c r="EK272" s="150"/>
      <c r="EL272" s="150"/>
      <c r="EM272" s="150"/>
      <c r="EN272" s="150"/>
      <c r="EO272" s="150"/>
      <c r="EP272" s="150"/>
      <c r="EQ272" s="150"/>
      <c r="ER272" s="150"/>
      <c r="ES272" s="303"/>
      <c r="ET272" s="303"/>
      <c r="EU272" s="150"/>
      <c r="EV272" s="150"/>
      <c r="EW272" s="150"/>
      <c r="EX272" s="150"/>
      <c r="EY272" s="134"/>
      <c r="EZ272" s="134"/>
      <c r="FA272" s="134"/>
      <c r="FB272" s="134"/>
      <c r="FC272" s="135"/>
      <c r="FD272" s="135"/>
      <c r="FE272" s="134"/>
      <c r="FF272" s="134"/>
      <c r="FG272" s="134"/>
      <c r="FH272" s="134"/>
      <c r="FI272" s="134"/>
      <c r="FJ272" s="134"/>
      <c r="FK272" s="134"/>
      <c r="FL272" s="134"/>
      <c r="FM272" s="135"/>
      <c r="FN272" s="135"/>
      <c r="FO272" s="134"/>
      <c r="FP272" s="134"/>
      <c r="FQ272" s="134"/>
      <c r="FR272" s="134"/>
      <c r="FS272" s="134"/>
      <c r="FT272" s="134"/>
      <c r="FU272" s="134"/>
      <c r="FV272" s="134"/>
      <c r="FW272" s="135"/>
      <c r="FX272" s="135"/>
      <c r="FY272" s="134"/>
      <c r="FZ272" s="134"/>
      <c r="GA272" s="134"/>
      <c r="GB272" s="134"/>
      <c r="GC272" s="134"/>
      <c r="GD272" s="134"/>
      <c r="GE272" s="134"/>
      <c r="GF272" s="134"/>
      <c r="GG272" s="135"/>
      <c r="GH272" s="135"/>
      <c r="GI272" s="134"/>
      <c r="GJ272" s="134"/>
      <c r="GK272" s="134"/>
      <c r="GL272" s="134"/>
      <c r="GM272" s="134"/>
      <c r="GN272" s="134"/>
      <c r="GO272" s="134"/>
      <c r="GP272" s="134"/>
      <c r="GQ272" s="135"/>
      <c r="GR272" s="135"/>
      <c r="GS272" s="134"/>
      <c r="GT272" s="134"/>
      <c r="GU272" s="134"/>
      <c r="GV272" s="134"/>
      <c r="GW272" s="134"/>
      <c r="GX272" s="134"/>
      <c r="GY272" s="134"/>
      <c r="GZ272" s="134"/>
      <c r="HA272" s="135"/>
      <c r="HB272" s="135"/>
      <c r="HC272" s="134"/>
      <c r="HD272" s="134"/>
      <c r="HE272" s="134"/>
      <c r="HF272" s="134"/>
      <c r="HG272" s="134"/>
      <c r="HH272" s="134"/>
      <c r="HI272" s="134"/>
      <c r="HJ272" s="134"/>
      <c r="HK272" s="135"/>
      <c r="HL272" s="135"/>
      <c r="HM272" s="134"/>
      <c r="HN272" s="134"/>
      <c r="HO272" s="134"/>
      <c r="HP272" s="134"/>
      <c r="HQ272" s="134"/>
      <c r="HR272" s="134"/>
      <c r="HS272" s="134"/>
      <c r="HT272" s="134"/>
      <c r="HU272" s="135"/>
      <c r="HV272" s="135"/>
      <c r="HW272" s="134"/>
      <c r="HX272" s="134"/>
      <c r="HY272" s="134"/>
      <c r="HZ272" s="134"/>
      <c r="IA272" s="134"/>
      <c r="IB272" s="134"/>
      <c r="IC272" s="134"/>
      <c r="ID272" s="134"/>
      <c r="IE272" s="135"/>
      <c r="IF272" s="135"/>
      <c r="IG272" s="134"/>
      <c r="IH272" s="134"/>
      <c r="II272" s="134"/>
      <c r="IJ272" s="134"/>
      <c r="IK272" s="134"/>
      <c r="IL272" s="134"/>
      <c r="IM272" s="134"/>
      <c r="IN272" s="134"/>
      <c r="IO272" s="135"/>
      <c r="IP272" s="135"/>
      <c r="IQ272" s="134"/>
      <c r="IR272" s="134"/>
      <c r="IS272" s="134"/>
      <c r="IT272" s="134"/>
      <c r="IU272" s="134"/>
      <c r="IV272" s="134"/>
      <c r="IW272" s="134"/>
      <c r="IX272" s="134"/>
      <c r="IY272" s="135"/>
      <c r="IZ272" s="135"/>
    </row>
    <row r="273" spans="1:260" customFormat="1" ht="17" customHeight="1">
      <c r="A273" s="118" t="s">
        <v>1011</v>
      </c>
      <c r="B273" s="117">
        <v>34</v>
      </c>
      <c r="C273" s="117"/>
      <c r="D273" s="117"/>
      <c r="E273" s="139" t="s">
        <v>2098</v>
      </c>
      <c r="F273" s="140" t="s">
        <v>2353</v>
      </c>
      <c r="G273" s="141">
        <v>2010</v>
      </c>
      <c r="H273" s="118">
        <v>20599458</v>
      </c>
      <c r="I273" s="118">
        <v>1</v>
      </c>
      <c r="J273" s="118">
        <v>1</v>
      </c>
      <c r="K273" s="118"/>
      <c r="L273" s="118">
        <v>1</v>
      </c>
      <c r="M273" s="118"/>
      <c r="N273" s="158">
        <v>1</v>
      </c>
      <c r="O273" s="142">
        <v>2</v>
      </c>
      <c r="P273" s="118" t="s">
        <v>1220</v>
      </c>
      <c r="Q273" s="118" t="s">
        <v>1212</v>
      </c>
      <c r="R273" s="118" t="s">
        <v>1127</v>
      </c>
      <c r="S273" s="118"/>
      <c r="T273" s="118" t="s">
        <v>1501</v>
      </c>
      <c r="U273" s="118"/>
      <c r="V273" s="118"/>
      <c r="W273" s="118" t="s">
        <v>1438</v>
      </c>
      <c r="X273" s="118"/>
      <c r="Y273" s="118"/>
      <c r="Z273" s="118"/>
      <c r="AA273" s="118" t="s">
        <v>1439</v>
      </c>
      <c r="AB273" s="118"/>
      <c r="AC273" s="145"/>
      <c r="AD273" s="573">
        <v>1</v>
      </c>
      <c r="AE273" s="573">
        <v>2</v>
      </c>
      <c r="AF273" s="233" t="s">
        <v>3003</v>
      </c>
      <c r="AG273" s="234" t="s">
        <v>4679</v>
      </c>
      <c r="AH273" s="152">
        <v>4</v>
      </c>
      <c r="AI273" s="485"/>
      <c r="AJ273" s="242" t="s">
        <v>3244</v>
      </c>
      <c r="AK273" s="192">
        <v>2</v>
      </c>
      <c r="AL273" s="248" t="s">
        <v>3272</v>
      </c>
      <c r="AM273" s="152">
        <v>10</v>
      </c>
      <c r="AN273" s="152" t="s">
        <v>3235</v>
      </c>
      <c r="AO273" s="152" t="s">
        <v>24</v>
      </c>
      <c r="AP273" s="152" t="s">
        <v>803</v>
      </c>
      <c r="AQ273" s="152" t="s">
        <v>24</v>
      </c>
      <c r="AR273" s="152" t="s">
        <v>3234</v>
      </c>
      <c r="AS273" s="152" t="s">
        <v>24</v>
      </c>
      <c r="AT273" s="152" t="s">
        <v>24</v>
      </c>
      <c r="AU273" s="152" t="s">
        <v>24</v>
      </c>
      <c r="AV273" s="152" t="s">
        <v>3231</v>
      </c>
      <c r="AW273" s="152">
        <v>1</v>
      </c>
      <c r="AX273" s="135" t="s">
        <v>3336</v>
      </c>
      <c r="AY273" s="152" t="s">
        <v>24</v>
      </c>
      <c r="AZ273" s="152" t="s">
        <v>2912</v>
      </c>
      <c r="BA273" s="152" t="s">
        <v>3236</v>
      </c>
      <c r="BB273" s="152"/>
      <c r="BC273" s="152"/>
      <c r="BD273" s="161">
        <v>1</v>
      </c>
      <c r="BE273" s="161"/>
      <c r="BF273" s="161"/>
      <c r="BG273" s="161"/>
      <c r="BH273" s="161"/>
      <c r="BI273" s="161"/>
      <c r="BJ273" s="161"/>
      <c r="BK273" s="161"/>
      <c r="BL273" s="161"/>
      <c r="BM273" s="161"/>
      <c r="BN273" s="161"/>
      <c r="BO273" s="161"/>
      <c r="BP273" s="161"/>
      <c r="BQ273" s="162" t="s">
        <v>2529</v>
      </c>
      <c r="BR273" s="150" t="s">
        <v>2789</v>
      </c>
      <c r="BS273" s="150" t="s">
        <v>3233</v>
      </c>
      <c r="BT273" s="150" t="s">
        <v>3232</v>
      </c>
      <c r="BU273" s="150" t="s">
        <v>2471</v>
      </c>
      <c r="BV273" s="150" t="s">
        <v>3237</v>
      </c>
      <c r="BW273" s="258" t="s">
        <v>3276</v>
      </c>
      <c r="BX273" s="151" t="s">
        <v>3249</v>
      </c>
      <c r="BY273" s="150">
        <v>195.12200000000001</v>
      </c>
      <c r="BZ273" s="150" t="s">
        <v>24</v>
      </c>
      <c r="CA273" s="150">
        <f>225-Table665[[#This Row],[Outcome1_M]]</f>
        <v>29.877999999999986</v>
      </c>
      <c r="CB273" s="431" t="s">
        <v>3255</v>
      </c>
      <c r="CC273" s="150">
        <v>139.024</v>
      </c>
      <c r="CD273" s="150" t="s">
        <v>24</v>
      </c>
      <c r="CE273" s="150">
        <f>159.756-Table665[[#This Row],[Outcome2_M]]</f>
        <v>20.731999999999999</v>
      </c>
      <c r="CF273" s="290" t="s">
        <v>24</v>
      </c>
      <c r="CG273" s="291" t="s">
        <v>24</v>
      </c>
      <c r="CH273" s="431" t="s">
        <v>3261</v>
      </c>
      <c r="CI273" s="150">
        <v>85.9756</v>
      </c>
      <c r="CJ273" s="150" t="s">
        <v>24</v>
      </c>
      <c r="CK273" s="150">
        <f>101.829-Table665[[#This Row],[Outcome3_M]]</f>
        <v>15.853399999999993</v>
      </c>
      <c r="CL273" s="151" t="s">
        <v>24</v>
      </c>
      <c r="CM273" s="150" t="s">
        <v>24</v>
      </c>
      <c r="CN273" s="150" t="s">
        <v>24</v>
      </c>
      <c r="CO273" s="150" t="s">
        <v>24</v>
      </c>
      <c r="CP273" s="290" t="s">
        <v>3267</v>
      </c>
      <c r="CQ273" s="291" t="s">
        <v>3268</v>
      </c>
      <c r="CR273" s="278"/>
      <c r="CS273" s="285"/>
      <c r="CT273" s="151"/>
      <c r="CU273" s="150"/>
      <c r="CV273" s="150"/>
      <c r="CW273" s="150"/>
      <c r="CX273" s="150"/>
      <c r="CY273" s="150"/>
      <c r="CZ273" s="150"/>
      <c r="DA273" s="150"/>
      <c r="DB273" s="302"/>
      <c r="DC273" s="303"/>
      <c r="DD273" s="150"/>
      <c r="DE273" s="150"/>
      <c r="DF273" s="150"/>
      <c r="DG273" s="150"/>
      <c r="DH273" s="150"/>
      <c r="DI273" s="150"/>
      <c r="DJ273" s="150"/>
      <c r="DK273" s="150"/>
      <c r="DL273" s="302"/>
      <c r="DM273" s="303"/>
      <c r="DN273" s="278"/>
      <c r="DO273" s="279"/>
      <c r="DP273" s="150"/>
      <c r="DQ273" s="150"/>
      <c r="DR273" s="150"/>
      <c r="DS273" s="150"/>
      <c r="DT273" s="151"/>
      <c r="DU273" s="150"/>
      <c r="DV273" s="150"/>
      <c r="DW273" s="150"/>
      <c r="DX273" s="303"/>
      <c r="DY273" s="303"/>
      <c r="DZ273" s="151"/>
      <c r="EA273" s="150"/>
      <c r="EB273" s="150"/>
      <c r="EC273" s="150"/>
      <c r="ED273" s="151"/>
      <c r="EE273" s="150"/>
      <c r="EF273" s="150"/>
      <c r="EG273" s="150"/>
      <c r="EH273" s="303"/>
      <c r="EI273" s="303"/>
      <c r="EJ273" s="279"/>
      <c r="EK273" s="150"/>
      <c r="EL273" s="150"/>
      <c r="EM273" s="150"/>
      <c r="EN273" s="150"/>
      <c r="EO273" s="150"/>
      <c r="EP273" s="150"/>
      <c r="EQ273" s="150"/>
      <c r="ER273" s="150"/>
      <c r="ES273" s="303"/>
      <c r="ET273" s="303"/>
      <c r="EU273" s="150"/>
      <c r="EV273" s="150"/>
      <c r="EW273" s="150"/>
      <c r="EX273" s="150"/>
      <c r="EY273" s="134"/>
      <c r="EZ273" s="134"/>
      <c r="FA273" s="134"/>
      <c r="FB273" s="134"/>
      <c r="FC273" s="135"/>
      <c r="FD273" s="135"/>
      <c r="FE273" s="134"/>
      <c r="FF273" s="134"/>
      <c r="FG273" s="134"/>
      <c r="FH273" s="134"/>
      <c r="FI273" s="134"/>
      <c r="FJ273" s="134"/>
      <c r="FK273" s="134"/>
      <c r="FL273" s="134"/>
      <c r="FM273" s="135"/>
      <c r="FN273" s="135"/>
      <c r="FO273" s="134"/>
      <c r="FP273" s="134"/>
      <c r="FQ273" s="134"/>
      <c r="FR273" s="134"/>
      <c r="FS273" s="134"/>
      <c r="FT273" s="134"/>
      <c r="FU273" s="134"/>
      <c r="FV273" s="134"/>
      <c r="FW273" s="135"/>
      <c r="FX273" s="135"/>
      <c r="FY273" s="134"/>
      <c r="FZ273" s="134"/>
      <c r="GA273" s="134"/>
      <c r="GB273" s="134"/>
      <c r="GC273" s="134"/>
      <c r="GD273" s="134"/>
      <c r="GE273" s="134"/>
      <c r="GF273" s="134"/>
      <c r="GG273" s="135"/>
      <c r="GH273" s="135"/>
      <c r="GI273" s="134"/>
      <c r="GJ273" s="134"/>
      <c r="GK273" s="134"/>
      <c r="GL273" s="134"/>
      <c r="GM273" s="134"/>
      <c r="GN273" s="134"/>
      <c r="GO273" s="134"/>
      <c r="GP273" s="134"/>
      <c r="GQ273" s="135"/>
      <c r="GR273" s="135"/>
      <c r="GS273" s="134"/>
      <c r="GT273" s="134"/>
      <c r="GU273" s="134"/>
      <c r="GV273" s="134"/>
      <c r="GW273" s="134"/>
      <c r="GX273" s="134"/>
      <c r="GY273" s="134"/>
      <c r="GZ273" s="134"/>
      <c r="HA273" s="135"/>
      <c r="HB273" s="135"/>
      <c r="HC273" s="134"/>
      <c r="HD273" s="134"/>
      <c r="HE273" s="134"/>
      <c r="HF273" s="134"/>
      <c r="HG273" s="134"/>
      <c r="HH273" s="134"/>
      <c r="HI273" s="134"/>
      <c r="HJ273" s="134"/>
      <c r="HK273" s="135"/>
      <c r="HL273" s="135"/>
      <c r="HM273" s="134"/>
      <c r="HN273" s="134"/>
      <c r="HO273" s="134"/>
      <c r="HP273" s="134"/>
      <c r="HQ273" s="134"/>
      <c r="HR273" s="134"/>
      <c r="HS273" s="134"/>
      <c r="HT273" s="134"/>
      <c r="HU273" s="135"/>
      <c r="HV273" s="135"/>
      <c r="HW273" s="134"/>
      <c r="HX273" s="134"/>
      <c r="HY273" s="134"/>
      <c r="HZ273" s="134"/>
      <c r="IA273" s="134"/>
      <c r="IB273" s="134"/>
      <c r="IC273" s="134"/>
      <c r="ID273" s="134"/>
      <c r="IE273" s="135"/>
      <c r="IF273" s="135"/>
      <c r="IG273" s="134"/>
      <c r="IH273" s="134"/>
      <c r="II273" s="134"/>
      <c r="IJ273" s="134"/>
      <c r="IK273" s="134"/>
      <c r="IL273" s="134"/>
      <c r="IM273" s="134"/>
      <c r="IN273" s="134"/>
      <c r="IO273" s="135"/>
      <c r="IP273" s="135"/>
      <c r="IQ273" s="134"/>
      <c r="IR273" s="134"/>
      <c r="IS273" s="134"/>
      <c r="IT273" s="134"/>
      <c r="IU273" s="134"/>
      <c r="IV273" s="134"/>
      <c r="IW273" s="134"/>
      <c r="IX273" s="134"/>
      <c r="IY273" s="135"/>
      <c r="IZ273" s="135"/>
    </row>
    <row r="274" spans="1:260" customFormat="1" ht="17" customHeight="1">
      <c r="A274" s="118" t="s">
        <v>1011</v>
      </c>
      <c r="B274" s="117">
        <v>34</v>
      </c>
      <c r="C274" s="117"/>
      <c r="D274" s="117"/>
      <c r="E274" s="139" t="s">
        <v>2098</v>
      </c>
      <c r="F274" s="140" t="s">
        <v>2353</v>
      </c>
      <c r="G274" s="141">
        <v>2010</v>
      </c>
      <c r="H274" s="118">
        <v>20599458</v>
      </c>
      <c r="I274" s="118">
        <v>1</v>
      </c>
      <c r="J274" s="118">
        <v>1</v>
      </c>
      <c r="K274" s="118"/>
      <c r="L274" s="118">
        <v>1</v>
      </c>
      <c r="M274" s="118"/>
      <c r="N274" s="158">
        <v>1</v>
      </c>
      <c r="O274" s="142">
        <v>2</v>
      </c>
      <c r="P274" s="118" t="s">
        <v>1220</v>
      </c>
      <c r="Q274" s="118" t="s">
        <v>1212</v>
      </c>
      <c r="R274" s="118" t="s">
        <v>1127</v>
      </c>
      <c r="S274" s="118"/>
      <c r="T274" s="118" t="s">
        <v>1501</v>
      </c>
      <c r="U274" s="118"/>
      <c r="V274" s="118"/>
      <c r="W274" s="118" t="s">
        <v>1438</v>
      </c>
      <c r="X274" s="118"/>
      <c r="Y274" s="118"/>
      <c r="Z274" s="118"/>
      <c r="AA274" s="118" t="s">
        <v>1439</v>
      </c>
      <c r="AB274" s="118"/>
      <c r="AC274" s="145"/>
      <c r="AD274" s="573">
        <v>1</v>
      </c>
      <c r="AE274" s="573">
        <v>2</v>
      </c>
      <c r="AF274" s="233" t="s">
        <v>3003</v>
      </c>
      <c r="AG274" s="234" t="s">
        <v>4679</v>
      </c>
      <c r="AH274" s="152">
        <v>4</v>
      </c>
      <c r="AI274" s="485"/>
      <c r="AJ274" s="242" t="s">
        <v>3238</v>
      </c>
      <c r="AK274" s="192">
        <v>2</v>
      </c>
      <c r="AL274" s="248" t="s">
        <v>3243</v>
      </c>
      <c r="AM274" s="152" t="s">
        <v>3274</v>
      </c>
      <c r="AN274" s="152" t="s">
        <v>3270</v>
      </c>
      <c r="AO274" s="152" t="s">
        <v>24</v>
      </c>
      <c r="AP274" s="152" t="s">
        <v>803</v>
      </c>
      <c r="AQ274" s="152" t="s">
        <v>24</v>
      </c>
      <c r="AR274" s="152" t="s">
        <v>3234</v>
      </c>
      <c r="AS274" s="152" t="s">
        <v>24</v>
      </c>
      <c r="AT274" s="152" t="s">
        <v>24</v>
      </c>
      <c r="AU274" s="152" t="s">
        <v>24</v>
      </c>
      <c r="AV274" s="152" t="s">
        <v>3231</v>
      </c>
      <c r="AW274" s="152">
        <v>1</v>
      </c>
      <c r="AX274" s="135" t="s">
        <v>3336</v>
      </c>
      <c r="AY274" s="152" t="s">
        <v>24</v>
      </c>
      <c r="AZ274" s="152" t="s">
        <v>2912</v>
      </c>
      <c r="BA274" s="152" t="s">
        <v>3236</v>
      </c>
      <c r="BB274" s="152"/>
      <c r="BC274" s="152"/>
      <c r="BD274" s="161">
        <v>1</v>
      </c>
      <c r="BE274" s="161"/>
      <c r="BF274" s="161"/>
      <c r="BG274" s="161"/>
      <c r="BH274" s="161"/>
      <c r="BI274" s="161"/>
      <c r="BJ274" s="161"/>
      <c r="BK274" s="161"/>
      <c r="BL274" s="161"/>
      <c r="BM274" s="161"/>
      <c r="BN274" s="161"/>
      <c r="BO274" s="161"/>
      <c r="BP274" s="161"/>
      <c r="BQ274" s="162" t="s">
        <v>2529</v>
      </c>
      <c r="BR274" s="150" t="s">
        <v>2789</v>
      </c>
      <c r="BS274" s="150" t="s">
        <v>3233</v>
      </c>
      <c r="BT274" s="150" t="s">
        <v>3232</v>
      </c>
      <c r="BU274" s="150" t="s">
        <v>2471</v>
      </c>
      <c r="BV274" s="150" t="s">
        <v>3237</v>
      </c>
      <c r="BW274" s="262" t="s">
        <v>3275</v>
      </c>
      <c r="BX274" s="151" t="s">
        <v>3250</v>
      </c>
      <c r="BY274" s="150">
        <v>151.52099999999999</v>
      </c>
      <c r="BZ274" s="150" t="s">
        <v>24</v>
      </c>
      <c r="CA274" s="150">
        <f>159.432-Table665[[#This Row],[Outcome1_M]]</f>
        <v>7.9110000000000014</v>
      </c>
      <c r="CB274" s="431" t="s">
        <v>3256</v>
      </c>
      <c r="CC274" s="150">
        <v>116.227</v>
      </c>
      <c r="CD274" s="150" t="s">
        <v>24</v>
      </c>
      <c r="CE274" s="150">
        <f>124.746-Table665[[#This Row],[Outcome2_M]]</f>
        <v>8.5189999999999912</v>
      </c>
      <c r="CF274" s="290" t="s">
        <v>24</v>
      </c>
      <c r="CG274" s="291" t="s">
        <v>24</v>
      </c>
      <c r="CH274" s="431" t="s">
        <v>3262</v>
      </c>
      <c r="CI274" s="150">
        <v>55.375300000000003</v>
      </c>
      <c r="CJ274" s="150" t="s">
        <v>24</v>
      </c>
      <c r="CK274" s="150">
        <f>60.2434-Table665[[#This Row],[Outcome3_M]]</f>
        <v>4.8680999999999983</v>
      </c>
      <c r="CL274" s="151" t="s">
        <v>24</v>
      </c>
      <c r="CM274" s="150" t="s">
        <v>24</v>
      </c>
      <c r="CN274" s="150" t="s">
        <v>24</v>
      </c>
      <c r="CO274" s="150" t="s">
        <v>24</v>
      </c>
      <c r="CP274" s="290" t="s">
        <v>3263</v>
      </c>
      <c r="CQ274" s="291" t="s">
        <v>3269</v>
      </c>
      <c r="CR274" s="278"/>
      <c r="CS274" s="285"/>
      <c r="CT274" s="151"/>
      <c r="CU274" s="150"/>
      <c r="CV274" s="150"/>
      <c r="CW274" s="150"/>
      <c r="CX274" s="150"/>
      <c r="CY274" s="150"/>
      <c r="CZ274" s="150"/>
      <c r="DA274" s="150"/>
      <c r="DB274" s="302"/>
      <c r="DC274" s="303"/>
      <c r="DD274" s="150"/>
      <c r="DE274" s="150"/>
      <c r="DF274" s="150"/>
      <c r="DG274" s="150"/>
      <c r="DH274" s="150"/>
      <c r="DI274" s="150"/>
      <c r="DJ274" s="150"/>
      <c r="DK274" s="150"/>
      <c r="DL274" s="302"/>
      <c r="DM274" s="303"/>
      <c r="DN274" s="278"/>
      <c r="DO274" s="279"/>
      <c r="DP274" s="150"/>
      <c r="DQ274" s="150"/>
      <c r="DR274" s="150"/>
      <c r="DS274" s="150"/>
      <c r="DT274" s="151"/>
      <c r="DU274" s="150"/>
      <c r="DV274" s="150"/>
      <c r="DW274" s="150"/>
      <c r="DX274" s="303"/>
      <c r="DY274" s="303"/>
      <c r="DZ274" s="151"/>
      <c r="EA274" s="150"/>
      <c r="EB274" s="150"/>
      <c r="EC274" s="150"/>
      <c r="ED274" s="151"/>
      <c r="EE274" s="150"/>
      <c r="EF274" s="150"/>
      <c r="EG274" s="150"/>
      <c r="EH274" s="303"/>
      <c r="EI274" s="303"/>
      <c r="EJ274" s="279"/>
      <c r="EK274" s="150"/>
      <c r="EL274" s="150"/>
      <c r="EM274" s="150"/>
      <c r="EN274" s="150"/>
      <c r="EO274" s="150"/>
      <c r="EP274" s="150"/>
      <c r="EQ274" s="150"/>
      <c r="ER274" s="150"/>
      <c r="ES274" s="303"/>
      <c r="ET274" s="303"/>
      <c r="EU274" s="150"/>
      <c r="EV274" s="150"/>
      <c r="EW274" s="150"/>
      <c r="EX274" s="150"/>
      <c r="EY274" s="134"/>
      <c r="EZ274" s="134"/>
      <c r="FA274" s="134"/>
      <c r="FB274" s="134"/>
      <c r="FC274" s="135"/>
      <c r="FD274" s="135"/>
      <c r="FE274" s="134"/>
      <c r="FF274" s="134"/>
      <c r="FG274" s="134"/>
      <c r="FH274" s="134"/>
      <c r="FI274" s="134"/>
      <c r="FJ274" s="134"/>
      <c r="FK274" s="134"/>
      <c r="FL274" s="134"/>
      <c r="FM274" s="135"/>
      <c r="FN274" s="135"/>
      <c r="FO274" s="134"/>
      <c r="FP274" s="134"/>
      <c r="FQ274" s="134"/>
      <c r="FR274" s="134"/>
      <c r="FS274" s="134"/>
      <c r="FT274" s="134"/>
      <c r="FU274" s="134"/>
      <c r="FV274" s="134"/>
      <c r="FW274" s="135"/>
      <c r="FX274" s="135"/>
      <c r="FY274" s="134"/>
      <c r="FZ274" s="134"/>
      <c r="GA274" s="134"/>
      <c r="GB274" s="134"/>
      <c r="GC274" s="134"/>
      <c r="GD274" s="134"/>
      <c r="GE274" s="134"/>
      <c r="GF274" s="134"/>
      <c r="GG274" s="135"/>
      <c r="GH274" s="135"/>
      <c r="GI274" s="134"/>
      <c r="GJ274" s="134"/>
      <c r="GK274" s="134"/>
      <c r="GL274" s="134"/>
      <c r="GM274" s="134"/>
      <c r="GN274" s="134"/>
      <c r="GO274" s="134"/>
      <c r="GP274" s="134"/>
      <c r="GQ274" s="135"/>
      <c r="GR274" s="135"/>
      <c r="GS274" s="134"/>
      <c r="GT274" s="134"/>
      <c r="GU274" s="134"/>
      <c r="GV274" s="134"/>
      <c r="GW274" s="134"/>
      <c r="GX274" s="134"/>
      <c r="GY274" s="134"/>
      <c r="GZ274" s="134"/>
      <c r="HA274" s="135"/>
      <c r="HB274" s="135"/>
      <c r="HC274" s="134"/>
      <c r="HD274" s="134"/>
      <c r="HE274" s="134"/>
      <c r="HF274" s="134"/>
      <c r="HG274" s="134"/>
      <c r="HH274" s="134"/>
      <c r="HI274" s="134"/>
      <c r="HJ274" s="134"/>
      <c r="HK274" s="135"/>
      <c r="HL274" s="135"/>
      <c r="HM274" s="134"/>
      <c r="HN274" s="134"/>
      <c r="HO274" s="134"/>
      <c r="HP274" s="134"/>
      <c r="HQ274" s="134"/>
      <c r="HR274" s="134"/>
      <c r="HS274" s="134"/>
      <c r="HT274" s="134"/>
      <c r="HU274" s="135"/>
      <c r="HV274" s="135"/>
      <c r="HW274" s="134"/>
      <c r="HX274" s="134"/>
      <c r="HY274" s="134"/>
      <c r="HZ274" s="134"/>
      <c r="IA274" s="134"/>
      <c r="IB274" s="134"/>
      <c r="IC274" s="134"/>
      <c r="ID274" s="134"/>
      <c r="IE274" s="135"/>
      <c r="IF274" s="135"/>
      <c r="IG274" s="134"/>
      <c r="IH274" s="134"/>
      <c r="II274" s="134"/>
      <c r="IJ274" s="134"/>
      <c r="IK274" s="134"/>
      <c r="IL274" s="134"/>
      <c r="IM274" s="134"/>
      <c r="IN274" s="134"/>
      <c r="IO274" s="135"/>
      <c r="IP274" s="135"/>
      <c r="IQ274" s="134"/>
      <c r="IR274" s="134"/>
      <c r="IS274" s="134"/>
      <c r="IT274" s="134"/>
      <c r="IU274" s="134"/>
      <c r="IV274" s="134"/>
      <c r="IW274" s="134"/>
      <c r="IX274" s="134"/>
      <c r="IY274" s="135"/>
      <c r="IZ274" s="135"/>
    </row>
    <row r="275" spans="1:260" customFormat="1" ht="17" customHeight="1">
      <c r="A275" s="79" t="s">
        <v>1010</v>
      </c>
      <c r="B275" s="504">
        <v>35</v>
      </c>
      <c r="C275" s="117">
        <v>2</v>
      </c>
      <c r="D275" s="117"/>
      <c r="E275" s="123" t="s">
        <v>2099</v>
      </c>
      <c r="F275" s="124" t="s">
        <v>2354</v>
      </c>
      <c r="G275" s="125">
        <v>2014</v>
      </c>
      <c r="H275" s="79">
        <v>25002839</v>
      </c>
      <c r="I275" s="79">
        <v>1</v>
      </c>
      <c r="J275" s="126"/>
      <c r="K275" s="127"/>
      <c r="L275" s="79">
        <v>1</v>
      </c>
      <c r="M275" s="79"/>
      <c r="N275" s="153">
        <v>1</v>
      </c>
      <c r="O275" s="128">
        <v>2</v>
      </c>
      <c r="P275" s="79" t="s">
        <v>1587</v>
      </c>
      <c r="Q275" s="79" t="s">
        <v>1216</v>
      </c>
      <c r="R275" s="79" t="s">
        <v>672</v>
      </c>
      <c r="S275" s="79"/>
      <c r="T275" s="79" t="s">
        <v>1504</v>
      </c>
      <c r="U275" s="79"/>
      <c r="V275" s="79"/>
      <c r="W275" s="79" t="s">
        <v>674</v>
      </c>
      <c r="X275" s="79"/>
      <c r="Y275" s="79" t="s">
        <v>1410</v>
      </c>
      <c r="Z275" s="79"/>
      <c r="AA275" s="79"/>
      <c r="AB275" s="79" t="s">
        <v>1410</v>
      </c>
      <c r="AC275" s="506"/>
      <c r="AD275" s="573">
        <v>1</v>
      </c>
      <c r="AE275" s="573">
        <v>2</v>
      </c>
      <c r="AF275" s="233" t="s">
        <v>1917</v>
      </c>
      <c r="AG275" s="234" t="s">
        <v>3342</v>
      </c>
      <c r="AH275" s="135">
        <v>5</v>
      </c>
      <c r="AI275" s="484"/>
      <c r="AJ275" s="235" t="s">
        <v>3280</v>
      </c>
      <c r="AK275" s="236">
        <v>1</v>
      </c>
      <c r="AL275" s="237">
        <v>0</v>
      </c>
      <c r="AM275" s="135" t="s">
        <v>3303</v>
      </c>
      <c r="AN275" s="135" t="s">
        <v>3278</v>
      </c>
      <c r="AO275" s="135" t="s">
        <v>3278</v>
      </c>
      <c r="AP275" s="135" t="s">
        <v>803</v>
      </c>
      <c r="AQ275" s="135" t="s">
        <v>803</v>
      </c>
      <c r="AR275" s="135" t="s">
        <v>3277</v>
      </c>
      <c r="AS275" s="135" t="s">
        <v>24</v>
      </c>
      <c r="AT275" s="423" t="s">
        <v>3277</v>
      </c>
      <c r="AU275" s="135" t="s">
        <v>24</v>
      </c>
      <c r="AV275" s="135" t="s">
        <v>3284</v>
      </c>
      <c r="AW275" s="135">
        <v>1</v>
      </c>
      <c r="AX275" s="135" t="s">
        <v>3344</v>
      </c>
      <c r="AY275" s="135"/>
      <c r="AZ275" s="135" t="s">
        <v>2668</v>
      </c>
      <c r="BA275" s="135" t="s">
        <v>3279</v>
      </c>
      <c r="BB275" s="135"/>
      <c r="BC275" s="135"/>
      <c r="BD275" s="156"/>
      <c r="BE275" s="156"/>
      <c r="BF275" s="156"/>
      <c r="BG275" s="156"/>
      <c r="BH275" s="156"/>
      <c r="BI275" s="156"/>
      <c r="BJ275" s="156">
        <v>1</v>
      </c>
      <c r="BK275" s="156"/>
      <c r="BL275" s="156"/>
      <c r="BM275" s="156"/>
      <c r="BN275" s="156"/>
      <c r="BO275" s="156"/>
      <c r="BP275" s="156"/>
      <c r="BQ275" s="157" t="s">
        <v>3282</v>
      </c>
      <c r="BR275" s="134" t="s">
        <v>1876</v>
      </c>
      <c r="BS275" s="134" t="s">
        <v>3283</v>
      </c>
      <c r="BT275" s="134" t="s">
        <v>3301</v>
      </c>
      <c r="BU275" s="134" t="s">
        <v>3299</v>
      </c>
      <c r="BV275" s="134" t="s">
        <v>3304</v>
      </c>
      <c r="BW275" s="259" t="s">
        <v>3308</v>
      </c>
      <c r="BX275" s="138" t="s">
        <v>3305</v>
      </c>
      <c r="BY275" s="134">
        <v>0.20216600000000001</v>
      </c>
      <c r="BZ275" s="134" t="s">
        <v>24</v>
      </c>
      <c r="CA275" s="134">
        <f>0.341155-Table665[[#This Row],[Outcome1_M]]</f>
        <v>0.13898899999999997</v>
      </c>
      <c r="CB275" s="138" t="s">
        <v>3306</v>
      </c>
      <c r="CC275" s="134">
        <v>0.24007200000000001</v>
      </c>
      <c r="CD275" s="168" t="s">
        <v>24</v>
      </c>
      <c r="CE275" s="134">
        <f>0.290614-Table665[[#This Row],[Outcome2_M]]</f>
        <v>5.0541999999999976E-2</v>
      </c>
      <c r="CF275" s="288" t="s">
        <v>3307</v>
      </c>
      <c r="CG275" s="289" t="s">
        <v>2480</v>
      </c>
      <c r="CH275" s="138" t="s">
        <v>24</v>
      </c>
      <c r="CI275" s="134"/>
      <c r="CJ275" s="134"/>
      <c r="CK275" s="134"/>
      <c r="CL275" s="138"/>
      <c r="CM275" s="134"/>
      <c r="CN275" s="134"/>
      <c r="CO275" s="134"/>
      <c r="CP275" s="288"/>
      <c r="CQ275" s="289"/>
      <c r="CR275" s="276"/>
      <c r="CS275" s="308"/>
      <c r="CT275" s="138"/>
      <c r="CU275" s="134"/>
      <c r="CV275" s="134"/>
      <c r="CW275" s="134"/>
      <c r="CX275" s="134"/>
      <c r="CY275" s="134"/>
      <c r="CZ275" s="134"/>
      <c r="DA275" s="134"/>
      <c r="DB275" s="300"/>
      <c r="DC275" s="301"/>
      <c r="DD275" s="134"/>
      <c r="DE275" s="134"/>
      <c r="DF275" s="134"/>
      <c r="DG275" s="134"/>
      <c r="DH275" s="134"/>
      <c r="DI275" s="134"/>
      <c r="DJ275" s="134"/>
      <c r="DK275" s="134"/>
      <c r="DL275" s="300"/>
      <c r="DM275" s="301"/>
      <c r="DN275" s="276"/>
      <c r="DO275" s="277"/>
      <c r="DP275" s="134"/>
      <c r="DQ275" s="134"/>
      <c r="DR275" s="134"/>
      <c r="DS275" s="134"/>
      <c r="DT275" s="138"/>
      <c r="DU275" s="134"/>
      <c r="DV275" s="134"/>
      <c r="DW275" s="134"/>
      <c r="DX275" s="301"/>
      <c r="DY275" s="301"/>
      <c r="DZ275" s="138"/>
      <c r="EA275" s="134"/>
      <c r="EB275" s="134"/>
      <c r="EC275" s="134"/>
      <c r="ED275" s="138"/>
      <c r="EE275" s="134"/>
      <c r="EF275" s="134"/>
      <c r="EG275" s="134"/>
      <c r="EH275" s="301"/>
      <c r="EI275" s="301"/>
      <c r="EJ275" s="277"/>
      <c r="EK275" s="134"/>
      <c r="EL275" s="134"/>
      <c r="EM275" s="134"/>
      <c r="EN275" s="134"/>
      <c r="EO275" s="134"/>
      <c r="EP275" s="134"/>
      <c r="EQ275" s="134"/>
      <c r="ER275" s="134"/>
      <c r="ES275" s="301"/>
      <c r="ET275" s="301"/>
      <c r="EU275" s="134"/>
      <c r="EV275" s="134"/>
      <c r="EW275" s="134"/>
      <c r="EX275" s="134"/>
      <c r="EY275" s="134"/>
      <c r="EZ275" s="134"/>
      <c r="FA275" s="134"/>
      <c r="FB275" s="134"/>
      <c r="FC275" s="135"/>
      <c r="FD275" s="135"/>
      <c r="FE275" s="134"/>
      <c r="FF275" s="134"/>
      <c r="FG275" s="134"/>
      <c r="FH275" s="134"/>
      <c r="FI275" s="134"/>
      <c r="FJ275" s="134"/>
      <c r="FK275" s="134"/>
      <c r="FL275" s="134"/>
      <c r="FM275" s="135"/>
      <c r="FN275" s="135"/>
      <c r="FO275" s="134"/>
      <c r="FP275" s="134"/>
      <c r="FQ275" s="134"/>
      <c r="FR275" s="134"/>
      <c r="FS275" s="134"/>
      <c r="FT275" s="134"/>
      <c r="FU275" s="134"/>
      <c r="FV275" s="134"/>
      <c r="FW275" s="135"/>
      <c r="FX275" s="135"/>
      <c r="FY275" s="134"/>
      <c r="FZ275" s="134"/>
      <c r="GA275" s="134"/>
      <c r="GB275" s="134"/>
      <c r="GC275" s="134"/>
      <c r="GD275" s="134"/>
      <c r="GE275" s="134"/>
      <c r="GF275" s="134"/>
      <c r="GG275" s="135"/>
      <c r="GH275" s="135"/>
      <c r="GI275" s="134"/>
      <c r="GJ275" s="134"/>
      <c r="GK275" s="134"/>
      <c r="GL275" s="134"/>
      <c r="GM275" s="134"/>
      <c r="GN275" s="134"/>
      <c r="GO275" s="134"/>
      <c r="GP275" s="134"/>
      <c r="GQ275" s="135"/>
      <c r="GR275" s="135"/>
      <c r="GS275" s="134"/>
      <c r="GT275" s="134"/>
      <c r="GU275" s="134"/>
      <c r="GV275" s="134"/>
      <c r="GW275" s="134"/>
      <c r="GX275" s="134"/>
      <c r="GY275" s="134"/>
      <c r="GZ275" s="134"/>
      <c r="HA275" s="135"/>
      <c r="HB275" s="135"/>
      <c r="HC275" s="134"/>
      <c r="HD275" s="134"/>
      <c r="HE275" s="134"/>
      <c r="HF275" s="134"/>
      <c r="HG275" s="134"/>
      <c r="HH275" s="134"/>
      <c r="HI275" s="134"/>
      <c r="HJ275" s="134"/>
      <c r="HK275" s="135"/>
      <c r="HL275" s="135"/>
      <c r="HM275" s="134"/>
      <c r="HN275" s="134"/>
      <c r="HO275" s="134"/>
      <c r="HP275" s="134"/>
      <c r="HQ275" s="134"/>
      <c r="HR275" s="134"/>
      <c r="HS275" s="134"/>
      <c r="HT275" s="134"/>
      <c r="HU275" s="135"/>
      <c r="HV275" s="135"/>
      <c r="HW275" s="134"/>
      <c r="HX275" s="134"/>
      <c r="HY275" s="134"/>
      <c r="HZ275" s="134"/>
      <c r="IA275" s="134"/>
      <c r="IB275" s="134"/>
      <c r="IC275" s="134"/>
      <c r="ID275" s="134"/>
      <c r="IE275" s="135"/>
      <c r="IF275" s="135"/>
      <c r="IG275" s="134"/>
      <c r="IH275" s="134"/>
      <c r="II275" s="134"/>
      <c r="IJ275" s="134"/>
      <c r="IK275" s="134"/>
      <c r="IL275" s="134"/>
      <c r="IM275" s="134"/>
      <c r="IN275" s="134"/>
      <c r="IO275" s="135"/>
      <c r="IP275" s="135"/>
      <c r="IQ275" s="134"/>
      <c r="IR275" s="134"/>
      <c r="IS275" s="134"/>
      <c r="IT275" s="134"/>
      <c r="IU275" s="134"/>
      <c r="IV275" s="134"/>
      <c r="IW275" s="134"/>
      <c r="IX275" s="134"/>
      <c r="IY275" s="135"/>
      <c r="IZ275" s="135"/>
    </row>
    <row r="276" spans="1:260" customFormat="1" ht="17" customHeight="1">
      <c r="A276" s="79" t="s">
        <v>1010</v>
      </c>
      <c r="B276" s="117">
        <v>35</v>
      </c>
      <c r="C276" s="117"/>
      <c r="D276" s="117"/>
      <c r="E276" s="123" t="s">
        <v>2099</v>
      </c>
      <c r="F276" s="124" t="s">
        <v>2354</v>
      </c>
      <c r="G276" s="125">
        <v>2014</v>
      </c>
      <c r="H276" s="79">
        <v>25002839</v>
      </c>
      <c r="I276" s="79">
        <v>1</v>
      </c>
      <c r="J276" s="126"/>
      <c r="K276" s="127"/>
      <c r="L276" s="79">
        <v>1</v>
      </c>
      <c r="M276" s="79"/>
      <c r="N276" s="153">
        <v>1</v>
      </c>
      <c r="O276" s="128">
        <v>2</v>
      </c>
      <c r="P276" s="79" t="s">
        <v>1587</v>
      </c>
      <c r="Q276" s="79" t="s">
        <v>1216</v>
      </c>
      <c r="R276" s="79" t="s">
        <v>672</v>
      </c>
      <c r="S276" s="79"/>
      <c r="T276" s="79" t="s">
        <v>1504</v>
      </c>
      <c r="U276" s="79"/>
      <c r="V276" s="79"/>
      <c r="W276" s="79" t="s">
        <v>674</v>
      </c>
      <c r="X276" s="79"/>
      <c r="Y276" s="79" t="s">
        <v>1410</v>
      </c>
      <c r="Z276" s="79"/>
      <c r="AA276" s="79"/>
      <c r="AB276" s="79" t="s">
        <v>1410</v>
      </c>
      <c r="AC276" s="506"/>
      <c r="AD276" s="573">
        <v>1</v>
      </c>
      <c r="AE276" s="573">
        <v>2</v>
      </c>
      <c r="AF276" s="233" t="s">
        <v>1917</v>
      </c>
      <c r="AG276" s="234" t="s">
        <v>3342</v>
      </c>
      <c r="AH276" s="135">
        <v>5</v>
      </c>
      <c r="AI276" s="484"/>
      <c r="AJ276" s="235" t="s">
        <v>3281</v>
      </c>
      <c r="AK276" s="236">
        <v>1</v>
      </c>
      <c r="AL276" s="237">
        <v>0</v>
      </c>
      <c r="AM276" s="135" t="s">
        <v>3303</v>
      </c>
      <c r="AN276" s="135" t="s">
        <v>3278</v>
      </c>
      <c r="AO276" s="135" t="s">
        <v>3278</v>
      </c>
      <c r="AP276" s="135" t="s">
        <v>803</v>
      </c>
      <c r="AQ276" s="135" t="s">
        <v>803</v>
      </c>
      <c r="AR276" s="135" t="s">
        <v>3277</v>
      </c>
      <c r="AS276" s="135" t="s">
        <v>24</v>
      </c>
      <c r="AT276" s="423" t="s">
        <v>3277</v>
      </c>
      <c r="AU276" s="135" t="s">
        <v>24</v>
      </c>
      <c r="AV276" s="135" t="s">
        <v>3284</v>
      </c>
      <c r="AW276" s="135">
        <v>1</v>
      </c>
      <c r="AX276" s="135" t="s">
        <v>3344</v>
      </c>
      <c r="AY276" s="135"/>
      <c r="AZ276" s="135" t="s">
        <v>2668</v>
      </c>
      <c r="BA276" s="135" t="s">
        <v>3279</v>
      </c>
      <c r="BB276" s="135"/>
      <c r="BC276" s="135"/>
      <c r="BD276" s="156">
        <v>1</v>
      </c>
      <c r="BE276" s="156"/>
      <c r="BF276" s="156"/>
      <c r="BG276" s="156"/>
      <c r="BH276" s="156"/>
      <c r="BI276" s="156"/>
      <c r="BJ276" s="156"/>
      <c r="BK276" s="156"/>
      <c r="BL276" s="156"/>
      <c r="BM276" s="156"/>
      <c r="BN276" s="156"/>
      <c r="BO276" s="156"/>
      <c r="BP276" s="156"/>
      <c r="BQ276" s="157" t="s">
        <v>3285</v>
      </c>
      <c r="BR276" s="134" t="s">
        <v>1876</v>
      </c>
      <c r="BS276" s="134" t="s">
        <v>3283</v>
      </c>
      <c r="BT276" s="134" t="s">
        <v>3300</v>
      </c>
      <c r="BU276" s="134" t="s">
        <v>3299</v>
      </c>
      <c r="BV276" s="134" t="s">
        <v>3297</v>
      </c>
      <c r="BW276" s="259" t="s">
        <v>3298</v>
      </c>
      <c r="BX276" s="138" t="s">
        <v>3286</v>
      </c>
      <c r="BY276" s="134">
        <v>29.9331</v>
      </c>
      <c r="BZ276" s="134" t="s">
        <v>24</v>
      </c>
      <c r="CA276" s="134">
        <f>34.1001-Table665[[#This Row],[Outcome1_M]]</f>
        <v>4.166999999999998</v>
      </c>
      <c r="CB276" s="138" t="s">
        <v>3287</v>
      </c>
      <c r="CC276" s="134">
        <v>8.8148099999999996</v>
      </c>
      <c r="CD276" s="134" t="s">
        <v>24</v>
      </c>
      <c r="CE276" s="134">
        <f>11.4666-Table665[[#This Row],[Outcome2_M]]</f>
        <v>2.6517900000000001</v>
      </c>
      <c r="CF276" s="288" t="s">
        <v>3293</v>
      </c>
      <c r="CG276" s="289" t="s">
        <v>3294</v>
      </c>
      <c r="CH276" s="138" t="s">
        <v>3288</v>
      </c>
      <c r="CI276" s="134">
        <v>14.192600000000001</v>
      </c>
      <c r="CJ276" s="168" t="s">
        <v>24</v>
      </c>
      <c r="CK276" s="134">
        <f>17.4612-Table665[[#This Row],[Outcome3_M]]</f>
        <v>3.2686000000000011</v>
      </c>
      <c r="CL276" s="138" t="s">
        <v>3289</v>
      </c>
      <c r="CM276" s="134">
        <v>7.35799</v>
      </c>
      <c r="CN276" s="134" t="s">
        <v>24</v>
      </c>
      <c r="CO276" s="134">
        <f>9.85729-Table665[[#This Row],[Outcome3_M]]</f>
        <v>-4.3353099999999998</v>
      </c>
      <c r="CP276" s="288" t="s">
        <v>3295</v>
      </c>
      <c r="CQ276" s="289" t="s">
        <v>24</v>
      </c>
      <c r="CR276" s="276" t="s">
        <v>24</v>
      </c>
      <c r="CS276" s="308" t="s">
        <v>24</v>
      </c>
      <c r="CT276" s="138" t="s">
        <v>3290</v>
      </c>
      <c r="CU276" s="134">
        <v>51.9467</v>
      </c>
      <c r="CV276" s="134" t="s">
        <v>24</v>
      </c>
      <c r="CW276" s="134">
        <f>58.6775-Table665[[#This Row],[Outcome5_M]]</f>
        <v>6.7308000000000021</v>
      </c>
      <c r="CX276" s="138" t="s">
        <v>3291</v>
      </c>
      <c r="CY276" s="134">
        <v>24.5379</v>
      </c>
      <c r="CZ276" s="134" t="s">
        <v>24</v>
      </c>
      <c r="DA276" s="134">
        <f>30.6897-Table665[[#This Row],[Outcome6_M]]</f>
        <v>6.1517999999999979</v>
      </c>
      <c r="DB276" s="300" t="s">
        <v>3292</v>
      </c>
      <c r="DC276" s="301" t="s">
        <v>3296</v>
      </c>
      <c r="DD276" s="134"/>
      <c r="DE276" s="134"/>
      <c r="DF276" s="134"/>
      <c r="DG276" s="134"/>
      <c r="DH276" s="134"/>
      <c r="DI276" s="134"/>
      <c r="DJ276" s="134"/>
      <c r="DK276" s="134"/>
      <c r="DL276" s="300"/>
      <c r="DM276" s="301"/>
      <c r="DN276" s="276"/>
      <c r="DO276" s="277"/>
      <c r="DP276" s="134"/>
      <c r="DQ276" s="134"/>
      <c r="DR276" s="134"/>
      <c r="DS276" s="134"/>
      <c r="DT276" s="138"/>
      <c r="DU276" s="134"/>
      <c r="DV276" s="134"/>
      <c r="DW276" s="134"/>
      <c r="DX276" s="301"/>
      <c r="DY276" s="301"/>
      <c r="DZ276" s="138"/>
      <c r="EA276" s="134"/>
      <c r="EB276" s="134"/>
      <c r="EC276" s="134"/>
      <c r="ED276" s="138"/>
      <c r="EE276" s="134"/>
      <c r="EF276" s="134"/>
      <c r="EG276" s="134"/>
      <c r="EH276" s="301"/>
      <c r="EI276" s="301"/>
      <c r="EJ276" s="277"/>
      <c r="EK276" s="134"/>
      <c r="EL276" s="134"/>
      <c r="EM276" s="134"/>
      <c r="EN276" s="134"/>
      <c r="EO276" s="134"/>
      <c r="EP276" s="134"/>
      <c r="EQ276" s="134"/>
      <c r="ER276" s="134"/>
      <c r="ES276" s="301"/>
      <c r="ET276" s="301"/>
      <c r="EU276" s="134"/>
      <c r="EV276" s="134"/>
      <c r="EW276" s="134"/>
      <c r="EX276" s="134"/>
      <c r="EY276" s="134"/>
      <c r="EZ276" s="134"/>
      <c r="FA276" s="134"/>
      <c r="FB276" s="134"/>
      <c r="FC276" s="135"/>
      <c r="FD276" s="135"/>
      <c r="FE276" s="134"/>
      <c r="FF276" s="134"/>
      <c r="FG276" s="134"/>
      <c r="FH276" s="134"/>
      <c r="FI276" s="134"/>
      <c r="FJ276" s="134"/>
      <c r="FK276" s="134"/>
      <c r="FL276" s="134"/>
      <c r="FM276" s="135"/>
      <c r="FN276" s="135"/>
      <c r="FO276" s="134"/>
      <c r="FP276" s="134"/>
      <c r="FQ276" s="134"/>
      <c r="FR276" s="134"/>
      <c r="FS276" s="134"/>
      <c r="FT276" s="134"/>
      <c r="FU276" s="134"/>
      <c r="FV276" s="134"/>
      <c r="FW276" s="135"/>
      <c r="FX276" s="135"/>
      <c r="FY276" s="134"/>
      <c r="FZ276" s="134"/>
      <c r="GA276" s="134"/>
      <c r="GB276" s="134"/>
      <c r="GC276" s="134"/>
      <c r="GD276" s="134"/>
      <c r="GE276" s="134"/>
      <c r="GF276" s="134"/>
      <c r="GG276" s="135"/>
      <c r="GH276" s="135"/>
      <c r="GI276" s="134"/>
      <c r="GJ276" s="134"/>
      <c r="GK276" s="134"/>
      <c r="GL276" s="134"/>
      <c r="GM276" s="134"/>
      <c r="GN276" s="134"/>
      <c r="GO276" s="134"/>
      <c r="GP276" s="134"/>
      <c r="GQ276" s="135"/>
      <c r="GR276" s="135"/>
      <c r="GS276" s="134"/>
      <c r="GT276" s="134"/>
      <c r="GU276" s="134"/>
      <c r="GV276" s="134"/>
      <c r="GW276" s="134"/>
      <c r="GX276" s="134"/>
      <c r="GY276" s="134"/>
      <c r="GZ276" s="134"/>
      <c r="HA276" s="135"/>
      <c r="HB276" s="135"/>
      <c r="HC276" s="134"/>
      <c r="HD276" s="134"/>
      <c r="HE276" s="134"/>
      <c r="HF276" s="134"/>
      <c r="HG276" s="134"/>
      <c r="HH276" s="134"/>
      <c r="HI276" s="134"/>
      <c r="HJ276" s="134"/>
      <c r="HK276" s="135"/>
      <c r="HL276" s="135"/>
      <c r="HM276" s="134"/>
      <c r="HN276" s="134"/>
      <c r="HO276" s="134"/>
      <c r="HP276" s="134"/>
      <c r="HQ276" s="134"/>
      <c r="HR276" s="134"/>
      <c r="HS276" s="134"/>
      <c r="HT276" s="134"/>
      <c r="HU276" s="135"/>
      <c r="HV276" s="135"/>
      <c r="HW276" s="134"/>
      <c r="HX276" s="134"/>
      <c r="HY276" s="134"/>
      <c r="HZ276" s="134"/>
      <c r="IA276" s="134"/>
      <c r="IB276" s="134"/>
      <c r="IC276" s="134"/>
      <c r="ID276" s="134"/>
      <c r="IE276" s="135"/>
      <c r="IF276" s="135"/>
      <c r="IG276" s="134"/>
      <c r="IH276" s="134"/>
      <c r="II276" s="134"/>
      <c r="IJ276" s="134"/>
      <c r="IK276" s="134"/>
      <c r="IL276" s="134"/>
      <c r="IM276" s="134"/>
      <c r="IN276" s="134"/>
      <c r="IO276" s="135"/>
      <c r="IP276" s="135"/>
      <c r="IQ276" s="134"/>
      <c r="IR276" s="134"/>
      <c r="IS276" s="134"/>
      <c r="IT276" s="134"/>
      <c r="IU276" s="134"/>
      <c r="IV276" s="134"/>
      <c r="IW276" s="134"/>
      <c r="IX276" s="134"/>
      <c r="IY276" s="135"/>
      <c r="IZ276" s="135"/>
    </row>
    <row r="277" spans="1:260" customFormat="1" ht="17" customHeight="1">
      <c r="A277" s="79" t="s">
        <v>252</v>
      </c>
      <c r="B277" s="117">
        <v>181</v>
      </c>
      <c r="C277" s="117">
        <v>62</v>
      </c>
      <c r="D277" s="117"/>
      <c r="E277" s="123" t="s">
        <v>1999</v>
      </c>
      <c r="F277" s="124" t="s">
        <v>2230</v>
      </c>
      <c r="G277" s="125">
        <v>2015</v>
      </c>
      <c r="H277" s="79">
        <v>25893970</v>
      </c>
      <c r="I277" s="79">
        <v>1</v>
      </c>
      <c r="J277" s="126" t="s">
        <v>1745</v>
      </c>
      <c r="K277" s="127" t="s">
        <v>1745</v>
      </c>
      <c r="L277" s="164">
        <v>1</v>
      </c>
      <c r="M277" s="79" t="s">
        <v>1748</v>
      </c>
      <c r="N277" s="79">
        <v>0</v>
      </c>
      <c r="O277" s="128">
        <v>1</v>
      </c>
      <c r="P277" s="79" t="s">
        <v>682</v>
      </c>
      <c r="Q277" s="79"/>
      <c r="R277" s="79" t="s">
        <v>514</v>
      </c>
      <c r="S277" s="79">
        <v>1</v>
      </c>
      <c r="T277" s="79"/>
      <c r="U277" s="79"/>
      <c r="V277" s="79"/>
      <c r="W277" s="79" t="s">
        <v>683</v>
      </c>
      <c r="X277" s="79" t="s">
        <v>24</v>
      </c>
      <c r="Y277" s="79" t="s">
        <v>24</v>
      </c>
      <c r="Z277" s="79"/>
      <c r="AA277" s="79"/>
      <c r="AB277" s="79" t="s">
        <v>684</v>
      </c>
      <c r="AC277" s="506"/>
      <c r="AD277" s="573">
        <v>1</v>
      </c>
      <c r="AE277" s="573">
        <v>2</v>
      </c>
      <c r="AF277" s="165" t="s">
        <v>3003</v>
      </c>
      <c r="AG277" s="166" t="s">
        <v>5210</v>
      </c>
      <c r="AH277" s="120">
        <v>2</v>
      </c>
      <c r="AI277" s="120"/>
      <c r="AJ277" s="206"/>
      <c r="AK277" s="372"/>
      <c r="AL277" s="207"/>
      <c r="AM277" s="120"/>
      <c r="AN277" s="120"/>
      <c r="AO277" s="120"/>
      <c r="AP277" s="120"/>
      <c r="AQ277" s="120"/>
      <c r="AR277" s="120"/>
      <c r="AS277" s="120"/>
      <c r="AT277" s="120"/>
      <c r="AU277" s="120"/>
      <c r="AV277" s="120"/>
      <c r="AW277" s="120"/>
      <c r="AX277" s="120"/>
      <c r="AY277" s="120"/>
      <c r="AZ277" s="120"/>
      <c r="BA277" s="509" t="s">
        <v>5209</v>
      </c>
      <c r="BB277" s="509"/>
      <c r="BC277" s="509"/>
      <c r="BD277" s="511"/>
      <c r="BE277" s="511"/>
      <c r="BF277" s="511"/>
      <c r="BG277" s="511"/>
      <c r="BH277" s="511"/>
      <c r="BI277" s="511"/>
      <c r="BJ277" s="511">
        <v>1</v>
      </c>
      <c r="BK277" s="511"/>
      <c r="BL277" s="511"/>
      <c r="BM277" s="511"/>
      <c r="BN277" s="511"/>
      <c r="BO277" s="511"/>
      <c r="BP277" s="511"/>
      <c r="BQ277" s="510"/>
      <c r="BR277" s="134"/>
      <c r="BS277" s="134"/>
      <c r="BT277" s="134"/>
      <c r="BU277" s="134"/>
      <c r="BV277" s="134"/>
      <c r="BW277" s="375"/>
      <c r="BX277" s="138"/>
      <c r="BY277" s="134"/>
      <c r="BZ277" s="134"/>
      <c r="CA277" s="134"/>
      <c r="CB277" s="138"/>
      <c r="CC277" s="134"/>
      <c r="CD277" s="134"/>
      <c r="CE277" s="134"/>
      <c r="CF277" s="288"/>
      <c r="CG277" s="289"/>
      <c r="CH277" s="138"/>
      <c r="CI277" s="134"/>
      <c r="CJ277" s="134"/>
      <c r="CK277" s="134"/>
      <c r="CL277" s="138"/>
      <c r="CM277" s="134"/>
      <c r="CN277" s="134"/>
      <c r="CO277" s="134"/>
      <c r="CP277" s="288"/>
      <c r="CQ277" s="289"/>
      <c r="CR277" s="276"/>
      <c r="CS277" s="308"/>
      <c r="CT277" s="138"/>
      <c r="CU277" s="134"/>
      <c r="CV277" s="134"/>
      <c r="CW277" s="134"/>
      <c r="CX277" s="134"/>
      <c r="CY277" s="134"/>
      <c r="CZ277" s="134"/>
      <c r="DA277" s="134"/>
      <c r="DB277" s="300"/>
      <c r="DC277" s="301"/>
      <c r="DD277" s="134"/>
      <c r="DE277" s="134"/>
      <c r="DF277" s="134"/>
      <c r="DG277" s="134"/>
      <c r="DH277" s="134"/>
      <c r="DI277" s="134"/>
      <c r="DJ277" s="134"/>
      <c r="DK277" s="134"/>
      <c r="DL277" s="300"/>
      <c r="DM277" s="301"/>
      <c r="DN277" s="276"/>
      <c r="DO277" s="277"/>
      <c r="DP277" s="134"/>
      <c r="DQ277" s="134"/>
      <c r="DR277" s="134"/>
      <c r="DS277" s="134"/>
      <c r="DT277" s="138"/>
      <c r="DU277" s="134"/>
      <c r="DV277" s="134"/>
      <c r="DW277" s="134"/>
      <c r="DX277" s="301"/>
      <c r="DY277" s="301"/>
      <c r="DZ277" s="138"/>
      <c r="EA277" s="134"/>
      <c r="EB277" s="134"/>
      <c r="EC277" s="134"/>
      <c r="ED277" s="138"/>
      <c r="EE277" s="134"/>
      <c r="EF277" s="134"/>
      <c r="EG277" s="134"/>
      <c r="EH277" s="301"/>
      <c r="EI277" s="301"/>
      <c r="EJ277" s="277"/>
      <c r="EK277" s="134"/>
      <c r="EL277" s="134"/>
      <c r="EM277" s="134"/>
      <c r="EN277" s="134"/>
      <c r="EO277" s="134"/>
      <c r="EP277" s="134"/>
      <c r="EQ277" s="134"/>
      <c r="ER277" s="134"/>
      <c r="ES277" s="301"/>
      <c r="ET277" s="301"/>
      <c r="EU277" s="134"/>
      <c r="EV277" s="134"/>
      <c r="EW277" s="134"/>
      <c r="EX277" s="134"/>
      <c r="EY277" s="134"/>
      <c r="EZ277" s="134"/>
      <c r="FA277" s="134"/>
      <c r="FB277" s="134"/>
      <c r="FC277" s="135"/>
      <c r="FD277" s="135"/>
      <c r="FE277" s="134"/>
      <c r="FF277" s="134"/>
      <c r="FG277" s="134"/>
      <c r="FH277" s="134"/>
      <c r="FI277" s="134"/>
      <c r="FJ277" s="134"/>
      <c r="FK277" s="134"/>
      <c r="FL277" s="134"/>
      <c r="FM277" s="135"/>
      <c r="FN277" s="135"/>
      <c r="FO277" s="134"/>
      <c r="FP277" s="134"/>
      <c r="FQ277" s="134"/>
      <c r="FR277" s="134"/>
      <c r="FS277" s="134"/>
      <c r="FT277" s="134"/>
      <c r="FU277" s="134"/>
      <c r="FV277" s="134"/>
      <c r="FW277" s="135"/>
      <c r="FX277" s="135"/>
      <c r="FY277" s="134"/>
      <c r="FZ277" s="134"/>
      <c r="GA277" s="134"/>
      <c r="GB277" s="134"/>
      <c r="GC277" s="134"/>
      <c r="GD277" s="134"/>
      <c r="GE277" s="134"/>
      <c r="GF277" s="134"/>
      <c r="GG277" s="135"/>
      <c r="GH277" s="135"/>
      <c r="GI277" s="134"/>
      <c r="GJ277" s="134"/>
      <c r="GK277" s="134"/>
      <c r="GL277" s="134"/>
      <c r="GM277" s="134"/>
      <c r="GN277" s="134"/>
      <c r="GO277" s="134"/>
      <c r="GP277" s="134"/>
      <c r="GQ277" s="135"/>
      <c r="GR277" s="135"/>
      <c r="GS277" s="134"/>
      <c r="GT277" s="134"/>
      <c r="GU277" s="134"/>
      <c r="GV277" s="134"/>
      <c r="GW277" s="134"/>
      <c r="GX277" s="134"/>
      <c r="GY277" s="134"/>
      <c r="GZ277" s="134"/>
      <c r="HA277" s="135"/>
      <c r="HB277" s="135"/>
      <c r="HC277" s="134"/>
      <c r="HD277" s="134"/>
      <c r="HE277" s="134"/>
      <c r="HF277" s="134"/>
      <c r="HG277" s="134"/>
      <c r="HH277" s="134"/>
      <c r="HI277" s="134"/>
      <c r="HJ277" s="134"/>
      <c r="HK277" s="135"/>
      <c r="HL277" s="135"/>
      <c r="HM277" s="134"/>
      <c r="HN277" s="134"/>
      <c r="HO277" s="134"/>
      <c r="HP277" s="134"/>
      <c r="HQ277" s="134"/>
      <c r="HR277" s="134"/>
      <c r="HS277" s="134"/>
      <c r="HT277" s="134"/>
      <c r="HU277" s="135"/>
      <c r="HV277" s="135"/>
      <c r="HW277" s="134"/>
      <c r="HX277" s="134"/>
      <c r="HY277" s="134"/>
      <c r="HZ277" s="134"/>
      <c r="IA277" s="134"/>
      <c r="IB277" s="134"/>
      <c r="IC277" s="134"/>
      <c r="ID277" s="134"/>
      <c r="IE277" s="135"/>
      <c r="IF277" s="135"/>
      <c r="IG277" s="134"/>
      <c r="IH277" s="134"/>
      <c r="II277" s="134"/>
      <c r="IJ277" s="134"/>
      <c r="IK277" s="134"/>
      <c r="IL277" s="134"/>
      <c r="IM277" s="134"/>
      <c r="IN277" s="134"/>
      <c r="IO277" s="135"/>
      <c r="IP277" s="135"/>
      <c r="IQ277" s="134"/>
      <c r="IR277" s="134"/>
      <c r="IS277" s="134"/>
      <c r="IT277" s="134"/>
      <c r="IU277" s="134"/>
      <c r="IV277" s="134"/>
      <c r="IW277" s="134"/>
      <c r="IX277" s="134"/>
      <c r="IY277" s="135"/>
      <c r="IZ277" s="135"/>
    </row>
    <row r="278" spans="1:260" customFormat="1" ht="17" customHeight="1">
      <c r="A278" s="79" t="s">
        <v>1005</v>
      </c>
      <c r="B278" s="117">
        <v>36</v>
      </c>
      <c r="C278" s="117"/>
      <c r="D278" s="117"/>
      <c r="E278" s="123" t="s">
        <v>2101</v>
      </c>
      <c r="F278" s="124" t="s">
        <v>2356</v>
      </c>
      <c r="G278" s="125">
        <v>2014</v>
      </c>
      <c r="H278" s="79">
        <v>24925360</v>
      </c>
      <c r="I278" s="79">
        <v>1</v>
      </c>
      <c r="J278" s="126">
        <v>1</v>
      </c>
      <c r="K278" s="127"/>
      <c r="L278" s="79">
        <v>1</v>
      </c>
      <c r="M278" s="79"/>
      <c r="N278" s="153">
        <v>1</v>
      </c>
      <c r="O278" s="128">
        <v>2</v>
      </c>
      <c r="P278" s="79" t="s">
        <v>1455</v>
      </c>
      <c r="Q278" s="79" t="s">
        <v>1216</v>
      </c>
      <c r="R278" s="79" t="s">
        <v>1127</v>
      </c>
      <c r="S278" s="79"/>
      <c r="T278" s="79" t="s">
        <v>1488</v>
      </c>
      <c r="U278" s="79" t="s">
        <v>803</v>
      </c>
      <c r="V278" s="79" t="s">
        <v>23</v>
      </c>
      <c r="W278" s="79" t="s">
        <v>1454</v>
      </c>
      <c r="X278" s="79" t="s">
        <v>1456</v>
      </c>
      <c r="Y278" s="79" t="s">
        <v>24</v>
      </c>
      <c r="Z278" s="79"/>
      <c r="AA278" s="79"/>
      <c r="AB278" s="79" t="s">
        <v>1457</v>
      </c>
      <c r="AC278" s="506"/>
      <c r="AD278" s="573">
        <v>1</v>
      </c>
      <c r="AE278" s="573">
        <v>2</v>
      </c>
      <c r="AF278" s="233" t="s">
        <v>3003</v>
      </c>
      <c r="AG278" s="234" t="s">
        <v>3346</v>
      </c>
      <c r="AH278" s="120">
        <v>4</v>
      </c>
      <c r="AI278" s="484"/>
      <c r="AJ278" s="206"/>
      <c r="AK278" s="192"/>
      <c r="AL278" s="207"/>
      <c r="AM278" s="120"/>
      <c r="AN278" s="120"/>
      <c r="AO278" s="120"/>
      <c r="AP278" s="120"/>
      <c r="AQ278" s="120"/>
      <c r="AR278" s="120"/>
      <c r="AS278" s="120"/>
      <c r="AT278" s="120"/>
      <c r="AU278" s="120"/>
      <c r="AV278" s="120"/>
      <c r="AW278" s="120"/>
      <c r="AX278" s="120" t="s">
        <v>3345</v>
      </c>
      <c r="AY278" s="120"/>
      <c r="AZ278" s="120"/>
      <c r="BA278" s="120"/>
      <c r="BB278" s="120"/>
      <c r="BC278" s="120"/>
      <c r="BD278" s="156">
        <v>1</v>
      </c>
      <c r="BE278" s="156"/>
      <c r="BF278" s="156"/>
      <c r="BG278" s="156"/>
      <c r="BH278" s="156"/>
      <c r="BI278" s="156"/>
      <c r="BJ278" s="156"/>
      <c r="BK278" s="156"/>
      <c r="BL278" s="156"/>
      <c r="BM278" s="156"/>
      <c r="BN278" s="156"/>
      <c r="BO278" s="156"/>
      <c r="BP278" s="156"/>
      <c r="BQ278" s="157"/>
      <c r="BR278" s="134"/>
      <c r="BS278" s="134"/>
      <c r="BT278" s="134"/>
      <c r="BU278" s="134"/>
      <c r="BV278" s="134"/>
      <c r="BW278" s="259" t="s">
        <v>24</v>
      </c>
      <c r="BX278" s="138"/>
      <c r="BY278" s="134"/>
      <c r="BZ278" s="134"/>
      <c r="CA278" s="134"/>
      <c r="CB278" s="138"/>
      <c r="CC278" s="134"/>
      <c r="CD278" s="134"/>
      <c r="CE278" s="134"/>
      <c r="CF278" s="288"/>
      <c r="CG278" s="289"/>
      <c r="CH278" s="138"/>
      <c r="CI278" s="134"/>
      <c r="CJ278" s="134"/>
      <c r="CK278" s="134"/>
      <c r="CL278" s="138"/>
      <c r="CM278" s="134"/>
      <c r="CN278" s="134"/>
      <c r="CO278" s="134"/>
      <c r="CP278" s="288"/>
      <c r="CQ278" s="289"/>
      <c r="CR278" s="276"/>
      <c r="CS278" s="308"/>
      <c r="CT278" s="138"/>
      <c r="CU278" s="134"/>
      <c r="CV278" s="134"/>
      <c r="CW278" s="134"/>
      <c r="CX278" s="134"/>
      <c r="CY278" s="134"/>
      <c r="CZ278" s="134"/>
      <c r="DA278" s="134"/>
      <c r="DB278" s="300"/>
      <c r="DC278" s="301"/>
      <c r="DD278" s="134"/>
      <c r="DE278" s="134"/>
      <c r="DF278" s="134"/>
      <c r="DG278" s="134"/>
      <c r="DH278" s="134"/>
      <c r="DI278" s="134"/>
      <c r="DJ278" s="134"/>
      <c r="DK278" s="134"/>
      <c r="DL278" s="300"/>
      <c r="DM278" s="301"/>
      <c r="DN278" s="276"/>
      <c r="DO278" s="277"/>
      <c r="DP278" s="134"/>
      <c r="DQ278" s="134"/>
      <c r="DR278" s="134"/>
      <c r="DS278" s="134"/>
      <c r="DT278" s="138"/>
      <c r="DU278" s="134"/>
      <c r="DV278" s="134"/>
      <c r="DW278" s="134"/>
      <c r="DX278" s="301"/>
      <c r="DY278" s="301"/>
      <c r="DZ278" s="138"/>
      <c r="EA278" s="134"/>
      <c r="EB278" s="134"/>
      <c r="EC278" s="134"/>
      <c r="ED278" s="138"/>
      <c r="EE278" s="134"/>
      <c r="EF278" s="134"/>
      <c r="EG278" s="134"/>
      <c r="EH278" s="301"/>
      <c r="EI278" s="301"/>
      <c r="EJ278" s="277"/>
      <c r="EK278" s="134"/>
      <c r="EL278" s="134"/>
      <c r="EM278" s="134"/>
      <c r="EN278" s="134"/>
      <c r="EO278" s="134"/>
      <c r="EP278" s="134"/>
      <c r="EQ278" s="134"/>
      <c r="ER278" s="134"/>
      <c r="ES278" s="301"/>
      <c r="ET278" s="301"/>
      <c r="EU278" s="134"/>
      <c r="EV278" s="134"/>
      <c r="EW278" s="134"/>
      <c r="EX278" s="134"/>
      <c r="EY278" s="134"/>
      <c r="EZ278" s="134"/>
      <c r="FA278" s="134"/>
      <c r="FB278" s="134"/>
      <c r="FC278" s="135"/>
      <c r="FD278" s="135"/>
      <c r="FE278" s="134"/>
      <c r="FF278" s="134"/>
      <c r="FG278" s="134"/>
      <c r="FH278" s="134"/>
      <c r="FI278" s="134"/>
      <c r="FJ278" s="134"/>
      <c r="FK278" s="134"/>
      <c r="FL278" s="134"/>
      <c r="FM278" s="135"/>
      <c r="FN278" s="135"/>
      <c r="FO278" s="134"/>
      <c r="FP278" s="134"/>
      <c r="FQ278" s="134"/>
      <c r="FR278" s="134"/>
      <c r="FS278" s="134"/>
      <c r="FT278" s="134"/>
      <c r="FU278" s="134"/>
      <c r="FV278" s="134"/>
      <c r="FW278" s="135"/>
      <c r="FX278" s="135"/>
      <c r="FY278" s="134"/>
      <c r="FZ278" s="134"/>
      <c r="GA278" s="134"/>
      <c r="GB278" s="134"/>
      <c r="GC278" s="134"/>
      <c r="GD278" s="134"/>
      <c r="GE278" s="134"/>
      <c r="GF278" s="134"/>
      <c r="GG278" s="135"/>
      <c r="GH278" s="135"/>
      <c r="GI278" s="134"/>
      <c r="GJ278" s="134"/>
      <c r="GK278" s="134"/>
      <c r="GL278" s="134"/>
      <c r="GM278" s="134"/>
      <c r="GN278" s="134"/>
      <c r="GO278" s="134"/>
      <c r="GP278" s="134"/>
      <c r="GQ278" s="135"/>
      <c r="GR278" s="135"/>
      <c r="GS278" s="134"/>
      <c r="GT278" s="134"/>
      <c r="GU278" s="134"/>
      <c r="GV278" s="134"/>
      <c r="GW278" s="134"/>
      <c r="GX278" s="134"/>
      <c r="GY278" s="134"/>
      <c r="GZ278" s="134"/>
      <c r="HA278" s="135"/>
      <c r="HB278" s="135"/>
      <c r="HC278" s="134"/>
      <c r="HD278" s="134"/>
      <c r="HE278" s="134"/>
      <c r="HF278" s="134"/>
      <c r="HG278" s="134"/>
      <c r="HH278" s="134"/>
      <c r="HI278" s="134"/>
      <c r="HJ278" s="134"/>
      <c r="HK278" s="135"/>
      <c r="HL278" s="135"/>
      <c r="HM278" s="134"/>
      <c r="HN278" s="134"/>
      <c r="HO278" s="134"/>
      <c r="HP278" s="134"/>
      <c r="HQ278" s="134"/>
      <c r="HR278" s="134"/>
      <c r="HS278" s="134"/>
      <c r="HT278" s="134"/>
      <c r="HU278" s="135"/>
      <c r="HV278" s="135"/>
      <c r="HW278" s="134"/>
      <c r="HX278" s="134"/>
      <c r="HY278" s="134"/>
      <c r="HZ278" s="134"/>
      <c r="IA278" s="134"/>
      <c r="IB278" s="134"/>
      <c r="IC278" s="134"/>
      <c r="ID278" s="134"/>
      <c r="IE278" s="135"/>
      <c r="IF278" s="135"/>
      <c r="IG278" s="134"/>
      <c r="IH278" s="134"/>
      <c r="II278" s="134"/>
      <c r="IJ278" s="134"/>
      <c r="IK278" s="134"/>
      <c r="IL278" s="134"/>
      <c r="IM278" s="134"/>
      <c r="IN278" s="134"/>
      <c r="IO278" s="135"/>
      <c r="IP278" s="135"/>
      <c r="IQ278" s="134"/>
      <c r="IR278" s="134"/>
      <c r="IS278" s="134"/>
      <c r="IT278" s="134"/>
      <c r="IU278" s="134"/>
      <c r="IV278" s="134"/>
      <c r="IW278" s="134"/>
      <c r="IX278" s="134"/>
      <c r="IY278" s="135"/>
      <c r="IZ278" s="135"/>
    </row>
    <row r="279" spans="1:260" customFormat="1" ht="17" customHeight="1">
      <c r="A279" s="79" t="s">
        <v>1004</v>
      </c>
      <c r="B279" s="117">
        <v>184</v>
      </c>
      <c r="C279" s="117">
        <v>63</v>
      </c>
      <c r="D279" s="117"/>
      <c r="E279" s="123" t="s">
        <v>2102</v>
      </c>
      <c r="F279" s="124" t="s">
        <v>2357</v>
      </c>
      <c r="G279" s="125">
        <v>2014</v>
      </c>
      <c r="H279" s="79">
        <v>24657739</v>
      </c>
      <c r="I279" s="79">
        <v>1</v>
      </c>
      <c r="J279" s="126"/>
      <c r="K279" s="127"/>
      <c r="L279" s="79">
        <v>1</v>
      </c>
      <c r="M279" s="79"/>
      <c r="N279" s="79">
        <v>1</v>
      </c>
      <c r="O279" s="128">
        <v>2</v>
      </c>
      <c r="P279" s="79" t="s">
        <v>1460</v>
      </c>
      <c r="Q279" s="79" t="s">
        <v>1216</v>
      </c>
      <c r="R279" s="79" t="s">
        <v>1229</v>
      </c>
      <c r="S279" s="79"/>
      <c r="T279" s="79" t="s">
        <v>1487</v>
      </c>
      <c r="U279" s="79" t="s">
        <v>803</v>
      </c>
      <c r="V279" s="79"/>
      <c r="W279" s="79" t="s">
        <v>1458</v>
      </c>
      <c r="X279" s="79"/>
      <c r="Y279" s="79" t="s">
        <v>1459</v>
      </c>
      <c r="Z279" s="79"/>
      <c r="AA279" s="79" t="s">
        <v>1461</v>
      </c>
      <c r="AB279" s="79"/>
      <c r="AC279" s="506"/>
      <c r="AD279" s="573">
        <v>1</v>
      </c>
      <c r="AE279" s="573">
        <v>2</v>
      </c>
      <c r="AF279" s="154">
        <v>1</v>
      </c>
      <c r="AG279" s="155"/>
      <c r="AH279" s="121">
        <v>4</v>
      </c>
      <c r="AI279" s="484"/>
      <c r="AJ279" s="202" t="s">
        <v>5227</v>
      </c>
      <c r="AK279" s="192">
        <v>0</v>
      </c>
      <c r="AL279" s="203">
        <v>0</v>
      </c>
      <c r="AM279" s="121">
        <v>20</v>
      </c>
      <c r="AN279" s="121">
        <v>10</v>
      </c>
      <c r="AO279" s="121">
        <v>10</v>
      </c>
      <c r="AP279" s="121" t="s">
        <v>803</v>
      </c>
      <c r="AQ279" s="121" t="s">
        <v>803</v>
      </c>
      <c r="AR279" s="121" t="s">
        <v>5212</v>
      </c>
      <c r="AS279" s="121" t="s">
        <v>24</v>
      </c>
      <c r="AT279" s="121" t="s">
        <v>5212</v>
      </c>
      <c r="AU279" s="121" t="s">
        <v>24</v>
      </c>
      <c r="AV279" s="121" t="s">
        <v>5211</v>
      </c>
      <c r="AW279" s="121">
        <v>1</v>
      </c>
      <c r="AX279" s="121">
        <v>1</v>
      </c>
      <c r="AY279" s="121" t="s">
        <v>5213</v>
      </c>
      <c r="AZ279" s="121" t="s">
        <v>2912</v>
      </c>
      <c r="BA279" s="121" t="s">
        <v>4508</v>
      </c>
      <c r="BB279" s="121"/>
      <c r="BC279" s="121"/>
      <c r="BD279" s="156"/>
      <c r="BE279" s="156"/>
      <c r="BF279" s="156"/>
      <c r="BG279" s="156"/>
      <c r="BH279" s="156"/>
      <c r="BI279" s="156"/>
      <c r="BJ279" s="156">
        <v>1</v>
      </c>
      <c r="BK279" s="156"/>
      <c r="BL279" s="156"/>
      <c r="BM279" s="156"/>
      <c r="BN279" s="156"/>
      <c r="BO279" s="156"/>
      <c r="BP279" s="156"/>
      <c r="BQ279" s="157" t="s">
        <v>5217</v>
      </c>
      <c r="BR279" s="134" t="s">
        <v>1876</v>
      </c>
      <c r="BS279" s="134" t="s">
        <v>5214</v>
      </c>
      <c r="BT279" s="134" t="s">
        <v>5218</v>
      </c>
      <c r="BU279" s="134" t="s">
        <v>5215</v>
      </c>
      <c r="BV279" s="134" t="s">
        <v>5216</v>
      </c>
      <c r="BW279" s="259" t="s">
        <v>5226</v>
      </c>
      <c r="BX279" s="138" t="s">
        <v>5219</v>
      </c>
      <c r="BY279" s="134">
        <v>4.5901399999999999</v>
      </c>
      <c r="BZ279" s="134" t="s">
        <v>24</v>
      </c>
      <c r="CA279" s="134">
        <f>5.4944-Table665[[#This Row],[Outcome1_M]]</f>
        <v>0.90425999999999984</v>
      </c>
      <c r="CB279" s="138" t="s">
        <v>5220</v>
      </c>
      <c r="CC279" s="134">
        <v>1.2724</v>
      </c>
      <c r="CD279" s="134" t="s">
        <v>24</v>
      </c>
      <c r="CE279" s="134">
        <f>1.78569-Table665[[#This Row],[Outcome2_M]]</f>
        <v>0.51329000000000002</v>
      </c>
      <c r="CF279" s="288" t="s">
        <v>5223</v>
      </c>
      <c r="CG279" s="289" t="s">
        <v>2555</v>
      </c>
      <c r="CH279" s="138" t="s">
        <v>5221</v>
      </c>
      <c r="CI279" s="134">
        <v>4.0004299999999997</v>
      </c>
      <c r="CJ279" s="134" t="s">
        <v>24</v>
      </c>
      <c r="CK279" s="134">
        <f>4.96198-Table665[[#This Row],[Outcome3_M]]</f>
        <v>0.9615499999999999</v>
      </c>
      <c r="CL279" s="138" t="s">
        <v>5222</v>
      </c>
      <c r="CM279" s="134">
        <v>1.9053899999999999</v>
      </c>
      <c r="CN279" s="134" t="s">
        <v>24</v>
      </c>
      <c r="CO279" s="134">
        <f>2.55313-Table665[[#This Row],[Outcome4_M]]</f>
        <v>0.64773999999999998</v>
      </c>
      <c r="CP279" s="288" t="s">
        <v>5224</v>
      </c>
      <c r="CQ279" s="289" t="s">
        <v>2555</v>
      </c>
      <c r="CR279" s="276" t="s">
        <v>5225</v>
      </c>
      <c r="CS279" s="308" t="s">
        <v>3026</v>
      </c>
      <c r="CT279" s="138"/>
      <c r="CU279" s="134"/>
      <c r="CV279" s="134"/>
      <c r="CW279" s="134"/>
      <c r="CX279" s="134"/>
      <c r="CY279" s="134"/>
      <c r="CZ279" s="134"/>
      <c r="DA279" s="134"/>
      <c r="DB279" s="300"/>
      <c r="DC279" s="301"/>
      <c r="DD279" s="134"/>
      <c r="DE279" s="134"/>
      <c r="DF279" s="134"/>
      <c r="DG279" s="134"/>
      <c r="DH279" s="134"/>
      <c r="DI279" s="134"/>
      <c r="DJ279" s="134"/>
      <c r="DK279" s="134"/>
      <c r="DL279" s="300"/>
      <c r="DM279" s="301"/>
      <c r="DN279" s="276"/>
      <c r="DO279" s="277"/>
      <c r="DP279" s="134"/>
      <c r="DQ279" s="134"/>
      <c r="DR279" s="134"/>
      <c r="DS279" s="134"/>
      <c r="DT279" s="138"/>
      <c r="DU279" s="134"/>
      <c r="DV279" s="134"/>
      <c r="DW279" s="134"/>
      <c r="DX279" s="301"/>
      <c r="DY279" s="301"/>
      <c r="DZ279" s="138"/>
      <c r="EA279" s="134"/>
      <c r="EB279" s="134"/>
      <c r="EC279" s="134"/>
      <c r="ED279" s="138"/>
      <c r="EE279" s="134"/>
      <c r="EF279" s="134"/>
      <c r="EG279" s="134"/>
      <c r="EH279" s="301"/>
      <c r="EI279" s="301"/>
      <c r="EJ279" s="277"/>
      <c r="EK279" s="134"/>
      <c r="EL279" s="134"/>
      <c r="EM279" s="134"/>
      <c r="EN279" s="134"/>
      <c r="EO279" s="134"/>
      <c r="EP279" s="134"/>
      <c r="EQ279" s="134"/>
      <c r="ER279" s="134"/>
      <c r="ES279" s="301"/>
      <c r="ET279" s="301"/>
      <c r="EU279" s="134"/>
      <c r="EV279" s="134"/>
      <c r="EW279" s="134"/>
      <c r="EX279" s="134"/>
      <c r="EY279" s="134"/>
      <c r="EZ279" s="134"/>
      <c r="FA279" s="134"/>
      <c r="FB279" s="134"/>
      <c r="FC279" s="135"/>
      <c r="FD279" s="135"/>
      <c r="FE279" s="134"/>
      <c r="FF279" s="134"/>
      <c r="FG279" s="134"/>
      <c r="FH279" s="134"/>
      <c r="FI279" s="134"/>
      <c r="FJ279" s="134"/>
      <c r="FK279" s="134"/>
      <c r="FL279" s="134"/>
      <c r="FM279" s="135"/>
      <c r="FN279" s="135"/>
      <c r="FO279" s="134"/>
      <c r="FP279" s="134"/>
      <c r="FQ279" s="134"/>
      <c r="FR279" s="134"/>
      <c r="FS279" s="134"/>
      <c r="FT279" s="134"/>
      <c r="FU279" s="134"/>
      <c r="FV279" s="134"/>
      <c r="FW279" s="135"/>
      <c r="FX279" s="135"/>
      <c r="FY279" s="134"/>
      <c r="FZ279" s="134"/>
      <c r="GA279" s="134"/>
      <c r="GB279" s="134"/>
      <c r="GC279" s="134"/>
      <c r="GD279" s="134"/>
      <c r="GE279" s="134"/>
      <c r="GF279" s="134"/>
      <c r="GG279" s="135"/>
      <c r="GH279" s="135"/>
      <c r="GI279" s="134"/>
      <c r="GJ279" s="134"/>
      <c r="GK279" s="134"/>
      <c r="GL279" s="134"/>
      <c r="GM279" s="134"/>
      <c r="GN279" s="134"/>
      <c r="GO279" s="134"/>
      <c r="GP279" s="134"/>
      <c r="GQ279" s="135"/>
      <c r="GR279" s="135"/>
      <c r="GS279" s="134"/>
      <c r="GT279" s="134"/>
      <c r="GU279" s="134"/>
      <c r="GV279" s="134"/>
      <c r="GW279" s="134"/>
      <c r="GX279" s="134"/>
      <c r="GY279" s="134"/>
      <c r="GZ279" s="134"/>
      <c r="HA279" s="135"/>
      <c r="HB279" s="135"/>
      <c r="HC279" s="134"/>
      <c r="HD279" s="134"/>
      <c r="HE279" s="134"/>
      <c r="HF279" s="134"/>
      <c r="HG279" s="134"/>
      <c r="HH279" s="134"/>
      <c r="HI279" s="134"/>
      <c r="HJ279" s="134"/>
      <c r="HK279" s="135"/>
      <c r="HL279" s="135"/>
      <c r="HM279" s="134"/>
      <c r="HN279" s="134"/>
      <c r="HO279" s="134"/>
      <c r="HP279" s="134"/>
      <c r="HQ279" s="134"/>
      <c r="HR279" s="134"/>
      <c r="HS279" s="134"/>
      <c r="HT279" s="134"/>
      <c r="HU279" s="135"/>
      <c r="HV279" s="135"/>
      <c r="HW279" s="134"/>
      <c r="HX279" s="134"/>
      <c r="HY279" s="134"/>
      <c r="HZ279" s="134"/>
      <c r="IA279" s="134"/>
      <c r="IB279" s="134"/>
      <c r="IC279" s="134"/>
      <c r="ID279" s="134"/>
      <c r="IE279" s="135"/>
      <c r="IF279" s="135"/>
      <c r="IG279" s="134"/>
      <c r="IH279" s="134"/>
      <c r="II279" s="134"/>
      <c r="IJ279" s="134"/>
      <c r="IK279" s="134"/>
      <c r="IL279" s="134"/>
      <c r="IM279" s="134"/>
      <c r="IN279" s="134"/>
      <c r="IO279" s="135"/>
      <c r="IP279" s="135"/>
      <c r="IQ279" s="134"/>
      <c r="IR279" s="134"/>
      <c r="IS279" s="134"/>
      <c r="IT279" s="134"/>
      <c r="IU279" s="134"/>
      <c r="IV279" s="134"/>
      <c r="IW279" s="134"/>
      <c r="IX279" s="134"/>
      <c r="IY279" s="135"/>
      <c r="IZ279" s="135"/>
    </row>
    <row r="280" spans="1:260" customFormat="1" ht="17" customHeight="1">
      <c r="A280" s="79" t="s">
        <v>1003</v>
      </c>
      <c r="B280" s="117">
        <v>185</v>
      </c>
      <c r="C280" s="117">
        <v>64</v>
      </c>
      <c r="D280" s="117"/>
      <c r="E280" s="123" t="s">
        <v>2102</v>
      </c>
      <c r="F280" s="124" t="s">
        <v>2358</v>
      </c>
      <c r="G280" s="125">
        <v>2014</v>
      </c>
      <c r="H280" s="79">
        <v>24887568</v>
      </c>
      <c r="I280" s="79">
        <v>1</v>
      </c>
      <c r="J280" s="126"/>
      <c r="K280" s="127"/>
      <c r="L280" s="79">
        <v>1</v>
      </c>
      <c r="M280" s="79"/>
      <c r="N280" s="79">
        <v>1</v>
      </c>
      <c r="O280" s="128">
        <v>2</v>
      </c>
      <c r="P280" s="79" t="s">
        <v>1464</v>
      </c>
      <c r="Q280" s="79" t="s">
        <v>1216</v>
      </c>
      <c r="R280" s="79" t="s">
        <v>1127</v>
      </c>
      <c r="S280" s="79"/>
      <c r="T280" s="79" t="s">
        <v>1462</v>
      </c>
      <c r="U280" s="79" t="s">
        <v>803</v>
      </c>
      <c r="V280" s="79" t="s">
        <v>23</v>
      </c>
      <c r="W280" s="79" t="s">
        <v>1465</v>
      </c>
      <c r="X280" s="79"/>
      <c r="Y280" s="79" t="s">
        <v>1463</v>
      </c>
      <c r="Z280" s="79"/>
      <c r="AA280" s="79"/>
      <c r="AB280" s="79"/>
      <c r="AC280" s="506"/>
      <c r="AD280" s="573">
        <v>1</v>
      </c>
      <c r="AE280" s="573">
        <v>2</v>
      </c>
      <c r="AF280" s="154">
        <v>1</v>
      </c>
      <c r="AG280" s="155" t="s">
        <v>5228</v>
      </c>
      <c r="AH280" s="121">
        <v>4</v>
      </c>
      <c r="AI280" s="484"/>
      <c r="AJ280" s="202" t="s">
        <v>5233</v>
      </c>
      <c r="AK280" s="192" t="s">
        <v>5239</v>
      </c>
      <c r="AL280" s="203">
        <v>0</v>
      </c>
      <c r="AM280" s="121">
        <f>Table665[[#This Row],[Subjects_n_ptsd]]+Table665[[#This Row],[Subjects_n_control]]</f>
        <v>20</v>
      </c>
      <c r="AN280" s="121">
        <v>10</v>
      </c>
      <c r="AO280" s="121">
        <v>10</v>
      </c>
      <c r="AP280" s="121" t="s">
        <v>803</v>
      </c>
      <c r="AQ280" s="121" t="s">
        <v>803</v>
      </c>
      <c r="AR280" s="121" t="s">
        <v>5212</v>
      </c>
      <c r="AS280" s="121" t="s">
        <v>24</v>
      </c>
      <c r="AT280" s="424" t="s">
        <v>5212</v>
      </c>
      <c r="AU280" s="121" t="s">
        <v>24</v>
      </c>
      <c r="AV280" s="121" t="s">
        <v>5237</v>
      </c>
      <c r="AW280" s="121" t="s">
        <v>5231</v>
      </c>
      <c r="AX280" s="121" t="s">
        <v>5232</v>
      </c>
      <c r="AY280" s="121" t="s">
        <v>5234</v>
      </c>
      <c r="AZ280" s="121" t="s">
        <v>5230</v>
      </c>
      <c r="BA280" s="121" t="s">
        <v>4508</v>
      </c>
      <c r="BB280" s="121"/>
      <c r="BC280" s="121"/>
      <c r="BD280" s="156"/>
      <c r="BE280" s="156"/>
      <c r="BF280" s="156"/>
      <c r="BG280" s="156"/>
      <c r="BH280" s="156"/>
      <c r="BI280" s="156"/>
      <c r="BJ280" s="156">
        <v>1</v>
      </c>
      <c r="BK280" s="156"/>
      <c r="BL280" s="156"/>
      <c r="BM280" s="156"/>
      <c r="BN280" s="156"/>
      <c r="BO280" s="156"/>
      <c r="BP280" s="156"/>
      <c r="BQ280" s="157" t="s">
        <v>5217</v>
      </c>
      <c r="BR280" s="134" t="s">
        <v>1876</v>
      </c>
      <c r="BS280" s="134" t="s">
        <v>5235</v>
      </c>
      <c r="BT280" s="134" t="s">
        <v>5236</v>
      </c>
      <c r="BU280" s="134" t="s">
        <v>5229</v>
      </c>
      <c r="BV280" s="134" t="s">
        <v>5241</v>
      </c>
      <c r="BW280" s="259" t="s">
        <v>5255</v>
      </c>
      <c r="BX280" s="138" t="s">
        <v>5242</v>
      </c>
      <c r="BY280" s="134">
        <v>2.00528</v>
      </c>
      <c r="BZ280" s="134" t="s">
        <v>24</v>
      </c>
      <c r="CA280" s="134">
        <f>3.68074-Table665[[#This Row],[Outcome1_M]]</f>
        <v>1.6754600000000002</v>
      </c>
      <c r="CB280" s="138" t="s">
        <v>5244</v>
      </c>
      <c r="CC280" s="134">
        <v>1.7809999999999999</v>
      </c>
      <c r="CD280" s="134" t="s">
        <v>24</v>
      </c>
      <c r="CE280" s="134">
        <f>3.48285-Table665[[#This Row],[Outcome2_M]]</f>
        <v>1.7018500000000001</v>
      </c>
      <c r="CF280" s="288" t="s">
        <v>5254</v>
      </c>
      <c r="CG280" s="289" t="s">
        <v>3790</v>
      </c>
      <c r="CH280" s="138" t="s">
        <v>5246</v>
      </c>
      <c r="CI280" s="134">
        <v>3.5119600000000002</v>
      </c>
      <c r="CJ280" s="134" t="s">
        <v>24</v>
      </c>
      <c r="CK280" s="134">
        <f>4.71617-Table665[[#This Row],[Outcome3_M]]</f>
        <v>1.2042099999999998</v>
      </c>
      <c r="CL280" s="138" t="s">
        <v>5248</v>
      </c>
      <c r="CM280" s="134">
        <v>0.76491399999999998</v>
      </c>
      <c r="CN280" s="134" t="s">
        <v>24</v>
      </c>
      <c r="CO280" s="134">
        <f>1.48484-Table665[[#This Row],[Outcome4_M]]</f>
        <v>0.71992599999999995</v>
      </c>
      <c r="CP280" s="288" t="s">
        <v>5251</v>
      </c>
      <c r="CQ280" s="289" t="s">
        <v>2555</v>
      </c>
      <c r="CR280" s="276" t="s">
        <v>5253</v>
      </c>
      <c r="CS280" s="276" t="s">
        <v>5252</v>
      </c>
      <c r="CT280" s="138"/>
      <c r="CU280" s="134"/>
      <c r="CV280" s="134"/>
      <c r="CW280" s="134"/>
      <c r="CX280" s="134"/>
      <c r="CY280" s="134"/>
      <c r="CZ280" s="134"/>
      <c r="DA280" s="134"/>
      <c r="DB280" s="300"/>
      <c r="DC280" s="301"/>
      <c r="DD280" s="134"/>
      <c r="DE280" s="134"/>
      <c r="DF280" s="134"/>
      <c r="DG280" s="134"/>
      <c r="DH280" s="134"/>
      <c r="DI280" s="134"/>
      <c r="DJ280" s="134"/>
      <c r="DK280" s="134"/>
      <c r="DL280" s="300"/>
      <c r="DM280" s="301"/>
      <c r="DN280" s="276"/>
      <c r="DO280" s="277"/>
      <c r="DP280" s="134"/>
      <c r="DQ280" s="134"/>
      <c r="DR280" s="134"/>
      <c r="DS280" s="134"/>
      <c r="DT280" s="138"/>
      <c r="DU280" s="134"/>
      <c r="DV280" s="134"/>
      <c r="DW280" s="134"/>
      <c r="DX280" s="301"/>
      <c r="DY280" s="301"/>
      <c r="DZ280" s="138"/>
      <c r="EA280" s="134"/>
      <c r="EB280" s="134"/>
      <c r="EC280" s="134"/>
      <c r="ED280" s="138"/>
      <c r="EE280" s="134"/>
      <c r="EF280" s="134"/>
      <c r="EG280" s="134"/>
      <c r="EH280" s="301"/>
      <c r="EI280" s="301"/>
      <c r="EJ280" s="277"/>
      <c r="EK280" s="134"/>
      <c r="EL280" s="134"/>
      <c r="EM280" s="134"/>
      <c r="EN280" s="134"/>
      <c r="EO280" s="134"/>
      <c r="EP280" s="134"/>
      <c r="EQ280" s="134"/>
      <c r="ER280" s="134"/>
      <c r="ES280" s="301"/>
      <c r="ET280" s="301"/>
      <c r="EU280" s="134"/>
      <c r="EV280" s="134"/>
      <c r="EW280" s="134"/>
      <c r="EX280" s="134"/>
      <c r="EY280" s="134"/>
      <c r="EZ280" s="134"/>
      <c r="FA280" s="134"/>
      <c r="FB280" s="134"/>
      <c r="FC280" s="135"/>
      <c r="FD280" s="135"/>
      <c r="FE280" s="134"/>
      <c r="FF280" s="134"/>
      <c r="FG280" s="134"/>
      <c r="FH280" s="134"/>
      <c r="FI280" s="134"/>
      <c r="FJ280" s="134"/>
      <c r="FK280" s="134"/>
      <c r="FL280" s="134"/>
      <c r="FM280" s="135"/>
      <c r="FN280" s="135"/>
      <c r="FO280" s="134"/>
      <c r="FP280" s="134"/>
      <c r="FQ280" s="134"/>
      <c r="FR280" s="134"/>
      <c r="FS280" s="134"/>
      <c r="FT280" s="134"/>
      <c r="FU280" s="134"/>
      <c r="FV280" s="134"/>
      <c r="FW280" s="135"/>
      <c r="FX280" s="135"/>
      <c r="FY280" s="134"/>
      <c r="FZ280" s="134"/>
      <c r="GA280" s="134"/>
      <c r="GB280" s="134"/>
      <c r="GC280" s="134"/>
      <c r="GD280" s="134"/>
      <c r="GE280" s="134"/>
      <c r="GF280" s="134"/>
      <c r="GG280" s="135"/>
      <c r="GH280" s="135"/>
      <c r="GI280" s="134"/>
      <c r="GJ280" s="134"/>
      <c r="GK280" s="134"/>
      <c r="GL280" s="134"/>
      <c r="GM280" s="134"/>
      <c r="GN280" s="134"/>
      <c r="GO280" s="134"/>
      <c r="GP280" s="134"/>
      <c r="GQ280" s="135"/>
      <c r="GR280" s="135"/>
      <c r="GS280" s="134"/>
      <c r="GT280" s="134"/>
      <c r="GU280" s="134"/>
      <c r="GV280" s="134"/>
      <c r="GW280" s="134"/>
      <c r="GX280" s="134"/>
      <c r="GY280" s="134"/>
      <c r="GZ280" s="134"/>
      <c r="HA280" s="135"/>
      <c r="HB280" s="135"/>
      <c r="HC280" s="134"/>
      <c r="HD280" s="134"/>
      <c r="HE280" s="134"/>
      <c r="HF280" s="134"/>
      <c r="HG280" s="134"/>
      <c r="HH280" s="134"/>
      <c r="HI280" s="134"/>
      <c r="HJ280" s="134"/>
      <c r="HK280" s="135"/>
      <c r="HL280" s="135"/>
      <c r="HM280" s="134"/>
      <c r="HN280" s="134"/>
      <c r="HO280" s="134"/>
      <c r="HP280" s="134"/>
      <c r="HQ280" s="134"/>
      <c r="HR280" s="134"/>
      <c r="HS280" s="134"/>
      <c r="HT280" s="134"/>
      <c r="HU280" s="135"/>
      <c r="HV280" s="135"/>
      <c r="HW280" s="134"/>
      <c r="HX280" s="134"/>
      <c r="HY280" s="134"/>
      <c r="HZ280" s="134"/>
      <c r="IA280" s="134"/>
      <c r="IB280" s="134"/>
      <c r="IC280" s="134"/>
      <c r="ID280" s="134"/>
      <c r="IE280" s="135"/>
      <c r="IF280" s="135"/>
      <c r="IG280" s="134"/>
      <c r="IH280" s="134"/>
      <c r="II280" s="134"/>
      <c r="IJ280" s="134"/>
      <c r="IK280" s="134"/>
      <c r="IL280" s="134"/>
      <c r="IM280" s="134"/>
      <c r="IN280" s="134"/>
      <c r="IO280" s="135"/>
      <c r="IP280" s="135"/>
      <c r="IQ280" s="134"/>
      <c r="IR280" s="134"/>
      <c r="IS280" s="134"/>
      <c r="IT280" s="134"/>
      <c r="IU280" s="134"/>
      <c r="IV280" s="134"/>
      <c r="IW280" s="134"/>
      <c r="IX280" s="134"/>
      <c r="IY280" s="135"/>
      <c r="IZ280" s="135"/>
    </row>
    <row r="281" spans="1:260" customFormat="1" ht="17" customHeight="1">
      <c r="A281" s="118" t="s">
        <v>1003</v>
      </c>
      <c r="B281" s="381">
        <v>185</v>
      </c>
      <c r="C281" s="381">
        <v>64</v>
      </c>
      <c r="D281" s="381"/>
      <c r="E281" s="139" t="s">
        <v>2102</v>
      </c>
      <c r="F281" s="140" t="s">
        <v>2358</v>
      </c>
      <c r="G281" s="141">
        <v>2014</v>
      </c>
      <c r="H281" s="118">
        <v>24887568</v>
      </c>
      <c r="I281" s="118">
        <v>1</v>
      </c>
      <c r="J281" s="118"/>
      <c r="K281" s="118"/>
      <c r="L281" s="118">
        <v>1</v>
      </c>
      <c r="M281" s="118"/>
      <c r="N281" s="118">
        <v>1</v>
      </c>
      <c r="O281" s="142">
        <v>2</v>
      </c>
      <c r="P281" s="118" t="s">
        <v>1464</v>
      </c>
      <c r="Q281" s="118" t="s">
        <v>1216</v>
      </c>
      <c r="R281" s="118" t="s">
        <v>1127</v>
      </c>
      <c r="S281" s="118"/>
      <c r="T281" s="118" t="s">
        <v>1462</v>
      </c>
      <c r="U281" s="118" t="s">
        <v>803</v>
      </c>
      <c r="V281" s="118" t="s">
        <v>23</v>
      </c>
      <c r="W281" s="118" t="s">
        <v>1465</v>
      </c>
      <c r="X281" s="118"/>
      <c r="Y281" s="118" t="s">
        <v>1463</v>
      </c>
      <c r="Z281" s="118"/>
      <c r="AA281" s="118"/>
      <c r="AB281" s="118"/>
      <c r="AC281" s="145"/>
      <c r="AD281" s="573">
        <v>1</v>
      </c>
      <c r="AE281" s="573">
        <v>2</v>
      </c>
      <c r="AF281" s="159">
        <v>1</v>
      </c>
      <c r="AG281" s="160" t="s">
        <v>5228</v>
      </c>
      <c r="AH281" s="122">
        <v>4</v>
      </c>
      <c r="AI281" s="485"/>
      <c r="AJ281" s="204" t="s">
        <v>5233</v>
      </c>
      <c r="AK281" s="192" t="s">
        <v>5240</v>
      </c>
      <c r="AL281" s="205">
        <v>0</v>
      </c>
      <c r="AM281" s="122">
        <f>Table665[[#This Row],[Subjects_n_ptsd]]+Table665[[#This Row],[Subjects_n_control]]</f>
        <v>20</v>
      </c>
      <c r="AN281" s="122">
        <v>10</v>
      </c>
      <c r="AO281" s="122">
        <v>10</v>
      </c>
      <c r="AP281" s="122" t="s">
        <v>803</v>
      </c>
      <c r="AQ281" s="122" t="s">
        <v>803</v>
      </c>
      <c r="AR281" s="122" t="s">
        <v>5212</v>
      </c>
      <c r="AS281" s="122" t="s">
        <v>24</v>
      </c>
      <c r="AT281" s="145" t="s">
        <v>5212</v>
      </c>
      <c r="AU281" s="122" t="s">
        <v>24</v>
      </c>
      <c r="AV281" s="122" t="s">
        <v>5238</v>
      </c>
      <c r="AW281" s="122" t="s">
        <v>5231</v>
      </c>
      <c r="AX281" s="122" t="s">
        <v>5232</v>
      </c>
      <c r="AY281" s="122" t="s">
        <v>5234</v>
      </c>
      <c r="AZ281" s="122" t="s">
        <v>5230</v>
      </c>
      <c r="BA281" s="122" t="s">
        <v>4508</v>
      </c>
      <c r="BB281" s="122"/>
      <c r="BC281" s="122"/>
      <c r="BD281" s="161"/>
      <c r="BE281" s="161"/>
      <c r="BF281" s="161"/>
      <c r="BG281" s="161"/>
      <c r="BH281" s="161"/>
      <c r="BI281" s="161"/>
      <c r="BJ281" s="161">
        <v>1</v>
      </c>
      <c r="BK281" s="161"/>
      <c r="BL281" s="161"/>
      <c r="BM281" s="161"/>
      <c r="BN281" s="161"/>
      <c r="BO281" s="161"/>
      <c r="BP281" s="161"/>
      <c r="BQ281" s="162" t="s">
        <v>5217</v>
      </c>
      <c r="BR281" s="150" t="s">
        <v>1876</v>
      </c>
      <c r="BS281" s="150" t="s">
        <v>5235</v>
      </c>
      <c r="BT281" s="150" t="s">
        <v>5236</v>
      </c>
      <c r="BU281" s="150" t="s">
        <v>5229</v>
      </c>
      <c r="BV281" s="150" t="s">
        <v>5241</v>
      </c>
      <c r="BW281" s="258" t="s">
        <v>5256</v>
      </c>
      <c r="BX281" s="151" t="s">
        <v>5243</v>
      </c>
      <c r="BY281" s="150">
        <v>3.0079199999999999</v>
      </c>
      <c r="BZ281" s="150" t="s">
        <v>24</v>
      </c>
      <c r="CA281" s="150">
        <f>4.41953-Table665[[#This Row],[Outcome1_M]]</f>
        <v>1.41161</v>
      </c>
      <c r="CB281" s="151" t="s">
        <v>5245</v>
      </c>
      <c r="CC281" s="150">
        <v>2.2559399999999998</v>
      </c>
      <c r="CD281" s="150" t="s">
        <v>24</v>
      </c>
      <c r="CE281" s="150">
        <f>3.89182-Table665[[#This Row],[Outcome2_M]]</f>
        <v>1.6358800000000002</v>
      </c>
      <c r="CF281" s="290" t="s">
        <v>5254</v>
      </c>
      <c r="CG281" s="291" t="s">
        <v>3790</v>
      </c>
      <c r="CH281" s="151" t="s">
        <v>5247</v>
      </c>
      <c r="CI281" s="150">
        <v>3.79664</v>
      </c>
      <c r="CJ281" s="150" t="s">
        <v>24</v>
      </c>
      <c r="CK281" s="150">
        <f>4.73906-Table665[[#This Row],[Outcome3_M]]</f>
        <v>0.94242000000000026</v>
      </c>
      <c r="CL281" s="151" t="s">
        <v>5249</v>
      </c>
      <c r="CM281" s="150">
        <v>0.74854399999999999</v>
      </c>
      <c r="CN281" s="150" t="s">
        <v>24</v>
      </c>
      <c r="CO281" s="150">
        <f>1.49464-Table665[[#This Row],[Outcome4_M]]</f>
        <v>0.74609599999999998</v>
      </c>
      <c r="CP281" s="290" t="s">
        <v>5250</v>
      </c>
      <c r="CQ281" s="291" t="s">
        <v>2555</v>
      </c>
      <c r="CR281" s="278" t="s">
        <v>5253</v>
      </c>
      <c r="CS281" s="278" t="s">
        <v>5252</v>
      </c>
      <c r="CT281" s="151"/>
      <c r="CU281" s="150"/>
      <c r="CV281" s="150"/>
      <c r="CW281" s="150"/>
      <c r="CX281" s="150"/>
      <c r="CY281" s="150"/>
      <c r="CZ281" s="150"/>
      <c r="DA281" s="150"/>
      <c r="DB281" s="302"/>
      <c r="DC281" s="303"/>
      <c r="DD281" s="150"/>
      <c r="DE281" s="150"/>
      <c r="DF281" s="150"/>
      <c r="DG281" s="150"/>
      <c r="DH281" s="150"/>
      <c r="DI281" s="150"/>
      <c r="DJ281" s="150"/>
      <c r="DK281" s="150"/>
      <c r="DL281" s="302"/>
      <c r="DM281" s="303"/>
      <c r="DN281" s="278"/>
      <c r="DO281" s="279"/>
      <c r="DP281" s="150"/>
      <c r="DQ281" s="150"/>
      <c r="DR281" s="150"/>
      <c r="DS281" s="150"/>
      <c r="DT281" s="151"/>
      <c r="DU281" s="150"/>
      <c r="DV281" s="150"/>
      <c r="DW281" s="150"/>
      <c r="DX281" s="303"/>
      <c r="DY281" s="303"/>
      <c r="DZ281" s="151"/>
      <c r="EA281" s="150"/>
      <c r="EB281" s="150"/>
      <c r="EC281" s="150"/>
      <c r="ED281" s="151"/>
      <c r="EE281" s="150"/>
      <c r="EF281" s="150"/>
      <c r="EG281" s="150"/>
      <c r="EH281" s="303"/>
      <c r="EI281" s="303"/>
      <c r="EJ281" s="279"/>
      <c r="EK281" s="150"/>
      <c r="EL281" s="150"/>
      <c r="EM281" s="150"/>
      <c r="EN281" s="150"/>
      <c r="EO281" s="150"/>
      <c r="EP281" s="150"/>
      <c r="EQ281" s="150"/>
      <c r="ER281" s="150"/>
      <c r="ES281" s="303"/>
      <c r="ET281" s="303"/>
      <c r="EU281" s="150"/>
      <c r="EV281" s="150"/>
      <c r="EW281" s="150"/>
      <c r="EX281" s="150"/>
      <c r="EY281" s="150"/>
      <c r="EZ281" s="150"/>
      <c r="FA281" s="150"/>
      <c r="FB281" s="150"/>
      <c r="FC281" s="152"/>
      <c r="FD281" s="152"/>
      <c r="FE281" s="150"/>
      <c r="FF281" s="150"/>
      <c r="FG281" s="150"/>
      <c r="FH281" s="150"/>
      <c r="FI281" s="150"/>
      <c r="FJ281" s="150"/>
      <c r="FK281" s="150"/>
      <c r="FL281" s="150"/>
      <c r="FM281" s="152"/>
      <c r="FN281" s="152"/>
      <c r="FO281" s="150"/>
      <c r="FP281" s="150"/>
      <c r="FQ281" s="150"/>
      <c r="FR281" s="150"/>
      <c r="FS281" s="150"/>
      <c r="FT281" s="150"/>
      <c r="FU281" s="150"/>
      <c r="FV281" s="150"/>
      <c r="FW281" s="152"/>
      <c r="FX281" s="152"/>
      <c r="FY281" s="150"/>
      <c r="FZ281" s="150"/>
      <c r="GA281" s="150"/>
      <c r="GB281" s="150"/>
      <c r="GC281" s="150"/>
      <c r="GD281" s="150"/>
      <c r="GE281" s="150"/>
      <c r="GF281" s="150"/>
      <c r="GG281" s="152"/>
      <c r="GH281" s="152"/>
      <c r="GI281" s="150"/>
      <c r="GJ281" s="150"/>
      <c r="GK281" s="150"/>
      <c r="GL281" s="150"/>
      <c r="GM281" s="150"/>
      <c r="GN281" s="150"/>
      <c r="GO281" s="150"/>
      <c r="GP281" s="150"/>
      <c r="GQ281" s="152"/>
      <c r="GR281" s="152"/>
      <c r="GS281" s="134"/>
      <c r="GT281" s="134"/>
      <c r="GU281" s="134"/>
      <c r="GV281" s="134"/>
      <c r="GW281" s="134"/>
      <c r="GX281" s="134"/>
      <c r="GY281" s="134"/>
      <c r="GZ281" s="134"/>
      <c r="HA281" s="135"/>
      <c r="HB281" s="135"/>
      <c r="HC281" s="134"/>
      <c r="HD281" s="134"/>
      <c r="HE281" s="134"/>
      <c r="HF281" s="134"/>
      <c r="HG281" s="134"/>
      <c r="HH281" s="134"/>
      <c r="HI281" s="134"/>
      <c r="HJ281" s="134"/>
      <c r="HK281" s="135"/>
      <c r="HL281" s="135"/>
      <c r="HM281" s="134"/>
      <c r="HN281" s="134"/>
      <c r="HO281" s="134"/>
      <c r="HP281" s="134"/>
      <c r="HQ281" s="134"/>
      <c r="HR281" s="134"/>
      <c r="HS281" s="134"/>
      <c r="HT281" s="134"/>
      <c r="HU281" s="135"/>
      <c r="HV281" s="135"/>
      <c r="HW281" s="134"/>
      <c r="HX281" s="134"/>
      <c r="HY281" s="134"/>
      <c r="HZ281" s="134"/>
      <c r="IA281" s="134"/>
      <c r="IB281" s="134"/>
      <c r="IC281" s="134"/>
      <c r="ID281" s="134"/>
      <c r="IE281" s="135"/>
      <c r="IF281" s="135"/>
      <c r="IG281" s="134"/>
      <c r="IH281" s="134"/>
      <c r="II281" s="134"/>
      <c r="IJ281" s="134"/>
      <c r="IK281" s="134"/>
      <c r="IL281" s="134"/>
      <c r="IM281" s="134"/>
      <c r="IN281" s="134"/>
      <c r="IO281" s="135"/>
      <c r="IP281" s="135"/>
      <c r="IQ281" s="134"/>
      <c r="IR281" s="134"/>
      <c r="IS281" s="134"/>
      <c r="IT281" s="134"/>
      <c r="IU281" s="134"/>
      <c r="IV281" s="134"/>
      <c r="IW281" s="134"/>
      <c r="IX281" s="134"/>
      <c r="IY281" s="135"/>
      <c r="IZ281" s="135"/>
    </row>
    <row r="282" spans="1:260" customFormat="1" ht="17" customHeight="1">
      <c r="A282" s="79" t="s">
        <v>999</v>
      </c>
      <c r="B282" s="117">
        <v>186</v>
      </c>
      <c r="C282" s="117">
        <v>65</v>
      </c>
      <c r="D282" s="117"/>
      <c r="E282" s="123" t="s">
        <v>2103</v>
      </c>
      <c r="F282" s="124" t="s">
        <v>2359</v>
      </c>
      <c r="G282" s="125">
        <v>2015</v>
      </c>
      <c r="H282" s="79">
        <v>26066724</v>
      </c>
      <c r="I282" s="79">
        <v>1</v>
      </c>
      <c r="J282" s="126"/>
      <c r="K282" s="127"/>
      <c r="L282" s="79">
        <v>1</v>
      </c>
      <c r="M282" s="79"/>
      <c r="N282" s="79">
        <v>1</v>
      </c>
      <c r="O282" s="128">
        <v>2</v>
      </c>
      <c r="P282" s="79" t="s">
        <v>73</v>
      </c>
      <c r="Q282" s="79" t="s">
        <v>1216</v>
      </c>
      <c r="R282" s="79" t="s">
        <v>1138</v>
      </c>
      <c r="S282" s="79"/>
      <c r="T282" s="79" t="s">
        <v>1495</v>
      </c>
      <c r="U282" s="79" t="s">
        <v>803</v>
      </c>
      <c r="V282" s="79"/>
      <c r="W282" s="79" t="s">
        <v>1511</v>
      </c>
      <c r="X282" s="79"/>
      <c r="Y282" s="79"/>
      <c r="Z282" s="79"/>
      <c r="AA282" s="79"/>
      <c r="AB282" s="79"/>
      <c r="AC282" s="506"/>
      <c r="AD282" s="573">
        <v>1</v>
      </c>
      <c r="AE282" s="573">
        <v>2</v>
      </c>
      <c r="AF282" s="154">
        <v>1</v>
      </c>
      <c r="AG282" s="155"/>
      <c r="AH282" s="121">
        <v>5</v>
      </c>
      <c r="AI282" s="484"/>
      <c r="AJ282" s="213" t="s">
        <v>5297</v>
      </c>
      <c r="AK282" s="192">
        <v>0</v>
      </c>
      <c r="AL282" s="203"/>
      <c r="AM282" s="121" t="s">
        <v>5270</v>
      </c>
      <c r="AN282" s="121" t="s">
        <v>5268</v>
      </c>
      <c r="AO282" s="121" t="s">
        <v>5269</v>
      </c>
      <c r="AP282" s="121" t="s">
        <v>803</v>
      </c>
      <c r="AQ282" s="121" t="s">
        <v>803</v>
      </c>
      <c r="AR282" s="121" t="s">
        <v>5257</v>
      </c>
      <c r="AS282" s="121" t="s">
        <v>24</v>
      </c>
      <c r="AT282" s="121" t="s">
        <v>5257</v>
      </c>
      <c r="AU282" s="121" t="s">
        <v>24</v>
      </c>
      <c r="AV282" s="470" t="s">
        <v>5265</v>
      </c>
      <c r="AW282" s="121" t="s">
        <v>5259</v>
      </c>
      <c r="AX282" s="121" t="s">
        <v>5259</v>
      </c>
      <c r="AY282" s="121" t="s">
        <v>5266</v>
      </c>
      <c r="AZ282" s="121" t="s">
        <v>5258</v>
      </c>
      <c r="BA282" s="121" t="s">
        <v>5267</v>
      </c>
      <c r="BB282" s="121"/>
      <c r="BC282" s="121"/>
      <c r="BD282" s="156"/>
      <c r="BE282" s="156"/>
      <c r="BF282" s="156"/>
      <c r="BG282" s="156"/>
      <c r="BH282" s="156"/>
      <c r="BI282" s="156"/>
      <c r="BJ282" s="156">
        <v>1</v>
      </c>
      <c r="BK282" s="156"/>
      <c r="BL282" s="156"/>
      <c r="BM282" s="156"/>
      <c r="BN282" s="156"/>
      <c r="BO282" s="156"/>
      <c r="BP282" s="156"/>
      <c r="BQ282" s="157" t="s">
        <v>5271</v>
      </c>
      <c r="BR282" s="134" t="s">
        <v>1876</v>
      </c>
      <c r="BS282" s="134" t="s">
        <v>5264</v>
      </c>
      <c r="BT282" s="134" t="s">
        <v>5261</v>
      </c>
      <c r="BU282" s="134" t="s">
        <v>5260</v>
      </c>
      <c r="BV282" s="134" t="s">
        <v>5279</v>
      </c>
      <c r="BW282" s="259" t="s">
        <v>5296</v>
      </c>
      <c r="BX282" s="138" t="s">
        <v>5278</v>
      </c>
      <c r="BY282" s="134">
        <v>7.6808899999999998</v>
      </c>
      <c r="BZ282" s="134" t="s">
        <v>24</v>
      </c>
      <c r="CA282" s="134">
        <f>9.36762-Table665[[#This Row],[Outcome1_M]]</f>
        <v>1.6867300000000007</v>
      </c>
      <c r="CB282" s="138" t="s">
        <v>5277</v>
      </c>
      <c r="CC282" s="134">
        <v>13.120100000000001</v>
      </c>
      <c r="CD282" s="134" t="s">
        <v>24</v>
      </c>
      <c r="CE282" s="134">
        <f>14.9994-Table665[[#This Row],[Outcome2_M]]</f>
        <v>1.8792999999999989</v>
      </c>
      <c r="CF282" s="288" t="s">
        <v>5276</v>
      </c>
      <c r="CG282" s="289" t="s">
        <v>5295</v>
      </c>
      <c r="CH282" s="138" t="s">
        <v>5280</v>
      </c>
      <c r="CI282" s="134">
        <v>6.9801700000000002</v>
      </c>
      <c r="CJ282" s="134" t="s">
        <v>24</v>
      </c>
      <c r="CK282" s="134">
        <f>8.76312-Table665[[#This Row],[Outcome3_M]]</f>
        <v>1.7829500000000005</v>
      </c>
      <c r="CL282" s="138" t="s">
        <v>5281</v>
      </c>
      <c r="CM282" s="134">
        <v>7.55159</v>
      </c>
      <c r="CN282" s="134" t="s">
        <v>24</v>
      </c>
      <c r="CO282" s="134">
        <f>8.94917-Table665[[#This Row],[Outcome4_M]]</f>
        <v>1.3975800000000005</v>
      </c>
      <c r="CP282" s="288" t="s">
        <v>5286</v>
      </c>
      <c r="CQ282" s="289" t="s">
        <v>5291</v>
      </c>
      <c r="CR282" s="276" t="s">
        <v>24</v>
      </c>
      <c r="CS282" s="308" t="s">
        <v>24</v>
      </c>
      <c r="CT282" s="138" t="s">
        <v>5282</v>
      </c>
      <c r="CU282" s="134">
        <v>7.7250500000000004</v>
      </c>
      <c r="CV282" s="134" t="s">
        <v>24</v>
      </c>
      <c r="CW282" s="134">
        <f>9.84552-Table665[[#This Row],[Outcome5_M]]</f>
        <v>2.1204700000000001</v>
      </c>
      <c r="CX282" s="138" t="s">
        <v>5283</v>
      </c>
      <c r="CY282" s="134">
        <v>13.983700000000001</v>
      </c>
      <c r="CZ282" s="134" t="s">
        <v>24</v>
      </c>
      <c r="DA282" s="134">
        <f>16.9711-Table665[[#This Row],[Outcome6_M]]</f>
        <v>2.9873999999999992</v>
      </c>
      <c r="DB282" s="300" t="s">
        <v>5287</v>
      </c>
      <c r="DC282" s="301" t="s">
        <v>5292</v>
      </c>
      <c r="DD282" s="138" t="s">
        <v>5284</v>
      </c>
      <c r="DE282" s="134">
        <v>8.6143400000000003</v>
      </c>
      <c r="DF282" s="134" t="s">
        <v>24</v>
      </c>
      <c r="DG282" s="134">
        <f>11.0238-Table665[[#This Row],[Outcome7_M]]</f>
        <v>2.4094599999999993</v>
      </c>
      <c r="DH282" s="138" t="s">
        <v>5285</v>
      </c>
      <c r="DI282" s="134">
        <v>15.4993</v>
      </c>
      <c r="DJ282" s="168" t="s">
        <v>24</v>
      </c>
      <c r="DK282" s="134">
        <f>18.8726-Table665[[#This Row],[Outcome8_M]]</f>
        <v>3.3732999999999986</v>
      </c>
      <c r="DL282" s="304" t="s">
        <v>5287</v>
      </c>
      <c r="DM282" s="312" t="s">
        <v>5290</v>
      </c>
      <c r="DN282" s="276" t="s">
        <v>24</v>
      </c>
      <c r="DO282" s="277" t="s">
        <v>24</v>
      </c>
      <c r="DP282" s="134" t="s">
        <v>5272</v>
      </c>
      <c r="DQ282" s="134">
        <v>0.65073999999999999</v>
      </c>
      <c r="DR282" s="134" t="s">
        <v>24</v>
      </c>
      <c r="DS282" s="134">
        <f>0.689821-Table665[[#This Row],[Outcome9_M]]</f>
        <v>3.9081000000000032E-2</v>
      </c>
      <c r="DT282" s="134" t="s">
        <v>5273</v>
      </c>
      <c r="DU282" s="134">
        <v>0.51077499999999998</v>
      </c>
      <c r="DV282" s="134" t="s">
        <v>24</v>
      </c>
      <c r="DW282" s="134">
        <f>0.559051-Table665[[#This Row],[Outcome10_M]]</f>
        <v>4.8275999999999986E-2</v>
      </c>
      <c r="DX282" s="300" t="s">
        <v>5288</v>
      </c>
      <c r="DY282" s="301" t="s">
        <v>5294</v>
      </c>
      <c r="DZ282" s="138" t="s">
        <v>5274</v>
      </c>
      <c r="EA282" s="134">
        <v>0.65127400000000002</v>
      </c>
      <c r="EB282" s="134" t="s">
        <v>24</v>
      </c>
      <c r="EC282" s="134">
        <f>0.680008-Table665[[#This Row],[Outcome11_M]]</f>
        <v>2.8733999999999926E-2</v>
      </c>
      <c r="ED282" s="138" t="s">
        <v>5275</v>
      </c>
      <c r="EE282" s="134">
        <v>0.65038899999999999</v>
      </c>
      <c r="EF282" s="134" t="s">
        <v>24</v>
      </c>
      <c r="EG282" s="134">
        <f>0.700965-Table665[[#This Row],[Outcome12_M]]</f>
        <v>5.0575999999999954E-2</v>
      </c>
      <c r="EH282" s="301" t="s">
        <v>5289</v>
      </c>
      <c r="EI282" s="301" t="s">
        <v>5293</v>
      </c>
      <c r="EJ282" s="277" t="s">
        <v>24</v>
      </c>
      <c r="EK282" s="134"/>
      <c r="EL282" s="134"/>
      <c r="EM282" s="134"/>
      <c r="EN282" s="134"/>
      <c r="EO282" s="134"/>
      <c r="EP282" s="134"/>
      <c r="EQ282" s="134"/>
      <c r="ER282" s="134"/>
      <c r="ES282" s="301"/>
      <c r="ET282" s="301"/>
      <c r="EU282" s="134"/>
      <c r="EV282" s="134"/>
      <c r="EW282" s="134"/>
      <c r="EX282" s="134"/>
      <c r="EY282" s="134"/>
      <c r="EZ282" s="134"/>
      <c r="FA282" s="134"/>
      <c r="FB282" s="134"/>
      <c r="FC282" s="135"/>
      <c r="FD282" s="135"/>
      <c r="FE282" s="134"/>
      <c r="FF282" s="134"/>
      <c r="FG282" s="134"/>
      <c r="FH282" s="134"/>
      <c r="FI282" s="134"/>
      <c r="FJ282" s="134"/>
      <c r="FK282" s="134"/>
      <c r="FL282" s="134"/>
      <c r="FM282" s="135"/>
      <c r="FN282" s="135"/>
      <c r="FO282" s="134"/>
      <c r="FP282" s="134"/>
      <c r="FQ282" s="134"/>
      <c r="FR282" s="134"/>
      <c r="FS282" s="134"/>
      <c r="FT282" s="134"/>
      <c r="FU282" s="134"/>
      <c r="FV282" s="134"/>
      <c r="FW282" s="135"/>
      <c r="FX282" s="135"/>
      <c r="FY282" s="134"/>
      <c r="FZ282" s="134"/>
      <c r="GA282" s="134"/>
      <c r="GB282" s="134"/>
      <c r="GC282" s="134"/>
      <c r="GD282" s="134"/>
      <c r="GE282" s="134"/>
      <c r="GF282" s="134"/>
      <c r="GG282" s="135"/>
      <c r="GH282" s="135"/>
      <c r="GI282" s="134"/>
      <c r="GJ282" s="134"/>
      <c r="GK282" s="134"/>
      <c r="GL282" s="134"/>
      <c r="GM282" s="134"/>
      <c r="GN282" s="134"/>
      <c r="GO282" s="134"/>
      <c r="GP282" s="134"/>
      <c r="GQ282" s="135"/>
      <c r="GR282" s="135"/>
      <c r="GS282" s="134"/>
      <c r="GT282" s="134"/>
      <c r="GU282" s="134"/>
      <c r="GV282" s="134"/>
      <c r="GW282" s="134"/>
      <c r="GX282" s="134"/>
      <c r="GY282" s="134"/>
      <c r="GZ282" s="134"/>
      <c r="HA282" s="135"/>
      <c r="HB282" s="135"/>
      <c r="HC282" s="134"/>
      <c r="HD282" s="134"/>
      <c r="HE282" s="134"/>
      <c r="HF282" s="134"/>
      <c r="HG282" s="134"/>
      <c r="HH282" s="134"/>
      <c r="HI282" s="134"/>
      <c r="HJ282" s="134"/>
      <c r="HK282" s="135"/>
      <c r="HL282" s="135"/>
      <c r="HM282" s="134"/>
      <c r="HN282" s="134"/>
      <c r="HO282" s="134"/>
      <c r="HP282" s="134"/>
      <c r="HQ282" s="134"/>
      <c r="HR282" s="134"/>
      <c r="HS282" s="134"/>
      <c r="HT282" s="134"/>
      <c r="HU282" s="135"/>
      <c r="HV282" s="135"/>
      <c r="HW282" s="134"/>
      <c r="HX282" s="134"/>
      <c r="HY282" s="134"/>
      <c r="HZ282" s="134"/>
      <c r="IA282" s="134"/>
      <c r="IB282" s="134"/>
      <c r="IC282" s="134"/>
      <c r="ID282" s="134"/>
      <c r="IE282" s="135"/>
      <c r="IF282" s="135"/>
      <c r="IG282" s="134"/>
      <c r="IH282" s="134"/>
      <c r="II282" s="134"/>
      <c r="IJ282" s="134"/>
      <c r="IK282" s="134"/>
      <c r="IL282" s="134"/>
      <c r="IM282" s="134"/>
      <c r="IN282" s="134"/>
      <c r="IO282" s="135"/>
      <c r="IP282" s="135"/>
      <c r="IQ282" s="134"/>
      <c r="IR282" s="134"/>
      <c r="IS282" s="134"/>
      <c r="IT282" s="134"/>
      <c r="IU282" s="134"/>
      <c r="IV282" s="134"/>
      <c r="IW282" s="134"/>
      <c r="IX282" s="134"/>
      <c r="IY282" s="135"/>
      <c r="IZ282" s="135"/>
    </row>
    <row r="283" spans="1:260" customFormat="1" ht="17" customHeight="1">
      <c r="A283" s="79" t="s">
        <v>1001</v>
      </c>
      <c r="B283" s="117">
        <v>37</v>
      </c>
      <c r="C283" s="117"/>
      <c r="D283" s="117"/>
      <c r="E283" s="123" t="s">
        <v>2103</v>
      </c>
      <c r="F283" s="124" t="s">
        <v>2360</v>
      </c>
      <c r="G283" s="125">
        <v>2011</v>
      </c>
      <c r="H283" s="79">
        <v>21377492</v>
      </c>
      <c r="I283" s="79">
        <v>1</v>
      </c>
      <c r="J283" s="126">
        <v>1</v>
      </c>
      <c r="K283" s="127"/>
      <c r="L283" s="79">
        <v>1</v>
      </c>
      <c r="M283" s="79"/>
      <c r="N283" s="79">
        <v>1</v>
      </c>
      <c r="O283" s="128">
        <v>2</v>
      </c>
      <c r="P283" s="79" t="s">
        <v>1303</v>
      </c>
      <c r="Q283" s="79" t="s">
        <v>1212</v>
      </c>
      <c r="R283" s="79" t="s">
        <v>1468</v>
      </c>
      <c r="S283" s="79"/>
      <c r="T283" s="79" t="s">
        <v>1498</v>
      </c>
      <c r="U283" s="79" t="s">
        <v>803</v>
      </c>
      <c r="V283" s="79"/>
      <c r="W283" s="79" t="s">
        <v>1469</v>
      </c>
      <c r="X283" s="79" t="s">
        <v>436</v>
      </c>
      <c r="Y283" s="79"/>
      <c r="Z283" s="79"/>
      <c r="AA283" s="79"/>
      <c r="AB283" s="79"/>
      <c r="AC283" s="506"/>
      <c r="AD283" s="573">
        <v>1</v>
      </c>
      <c r="AE283" s="573">
        <v>2</v>
      </c>
      <c r="AF283" s="154">
        <v>1</v>
      </c>
      <c r="AG283" s="155" t="s">
        <v>3365</v>
      </c>
      <c r="AH283" s="134">
        <v>5</v>
      </c>
      <c r="AI283" s="484"/>
      <c r="AJ283" s="213" t="s">
        <v>3366</v>
      </c>
      <c r="AK283" s="214">
        <v>2</v>
      </c>
      <c r="AL283" s="215">
        <v>0</v>
      </c>
      <c r="AM283" s="134">
        <f>Table665[[#This Row],[Subjects_n_ptsd]]+Table665[[#This Row],[Subjects_n_control]]</f>
        <v>13</v>
      </c>
      <c r="AN283" s="134">
        <v>7</v>
      </c>
      <c r="AO283" s="134">
        <v>6</v>
      </c>
      <c r="AP283" s="134" t="s">
        <v>803</v>
      </c>
      <c r="AQ283" s="134" t="s">
        <v>803</v>
      </c>
      <c r="AR283" s="134" t="s">
        <v>24</v>
      </c>
      <c r="AS283" s="134" t="s">
        <v>24</v>
      </c>
      <c r="AT283" s="134" t="s">
        <v>24</v>
      </c>
      <c r="AU283" s="134" t="s">
        <v>24</v>
      </c>
      <c r="AV283" s="134" t="s">
        <v>3349</v>
      </c>
      <c r="AW283" s="134">
        <v>1</v>
      </c>
      <c r="AX283" s="134" t="s">
        <v>3347</v>
      </c>
      <c r="AY283" s="134" t="s">
        <v>2975</v>
      </c>
      <c r="AZ283" s="134" t="s">
        <v>1468</v>
      </c>
      <c r="BA283" s="134" t="s">
        <v>3279</v>
      </c>
      <c r="BB283" s="134"/>
      <c r="BC283" s="134"/>
      <c r="BD283" s="156">
        <v>1</v>
      </c>
      <c r="BE283" s="156" t="s">
        <v>1917</v>
      </c>
      <c r="BF283" s="156"/>
      <c r="BG283" s="156"/>
      <c r="BH283" s="156"/>
      <c r="BI283" s="156"/>
      <c r="BJ283" s="156" t="s">
        <v>1917</v>
      </c>
      <c r="BK283" s="156"/>
      <c r="BL283" s="156"/>
      <c r="BM283" s="156"/>
      <c r="BN283" s="156"/>
      <c r="BO283" s="156"/>
      <c r="BP283" s="156"/>
      <c r="BQ283" s="157" t="s">
        <v>5547</v>
      </c>
      <c r="BR283" s="134" t="s">
        <v>1876</v>
      </c>
      <c r="BS283" s="134" t="s">
        <v>3369</v>
      </c>
      <c r="BT283" s="134" t="s">
        <v>3351</v>
      </c>
      <c r="BU283" s="134" t="s">
        <v>2606</v>
      </c>
      <c r="BV283" s="134" t="s">
        <v>3350</v>
      </c>
      <c r="BW283" s="259" t="s">
        <v>3462</v>
      </c>
      <c r="BX283" s="138" t="s">
        <v>3370</v>
      </c>
      <c r="BY283" s="222">
        <v>8.0335000000000001</v>
      </c>
      <c r="BZ283" s="134" t="s">
        <v>24</v>
      </c>
      <c r="CA283" s="134">
        <f>11.1504-Table665[[#This Row],[Outcome1_M]]</f>
        <v>3.1168999999999993</v>
      </c>
      <c r="CB283" s="138" t="s">
        <v>3378</v>
      </c>
      <c r="CC283" s="134">
        <v>62.875700000000002</v>
      </c>
      <c r="CD283" s="134" t="s">
        <v>24</v>
      </c>
      <c r="CE283" s="134">
        <f>81.5773-Table665[[#This Row],[Outcome2_M]]</f>
        <v>18.701599999999992</v>
      </c>
      <c r="CF283" s="288" t="s">
        <v>3386</v>
      </c>
      <c r="CG283" s="289" t="s">
        <v>2588</v>
      </c>
      <c r="CH283" s="138"/>
      <c r="CI283" s="134"/>
      <c r="CJ283" s="134"/>
      <c r="CK283" s="134"/>
      <c r="CL283" s="138"/>
      <c r="CM283" s="134"/>
      <c r="CN283" s="134"/>
      <c r="CO283" s="134"/>
      <c r="CP283" s="288"/>
      <c r="CQ283" s="289"/>
      <c r="CR283" s="276"/>
      <c r="CS283" s="308"/>
      <c r="CT283" s="138"/>
      <c r="CU283" s="134"/>
      <c r="CV283" s="134"/>
      <c r="CW283" s="134"/>
      <c r="CX283" s="134"/>
      <c r="CY283" s="134"/>
      <c r="CZ283" s="134"/>
      <c r="DA283" s="134"/>
      <c r="DB283" s="300"/>
      <c r="DC283" s="301"/>
      <c r="DD283" s="134"/>
      <c r="DE283" s="134"/>
      <c r="DF283" s="134"/>
      <c r="DG283" s="134"/>
      <c r="DH283" s="134"/>
      <c r="DI283" s="134"/>
      <c r="DJ283" s="134"/>
      <c r="DK283" s="134"/>
      <c r="DL283" s="300"/>
      <c r="DM283" s="301"/>
      <c r="DN283" s="276"/>
      <c r="DO283" s="277"/>
      <c r="DP283" s="134"/>
      <c r="DQ283" s="134"/>
      <c r="DR283" s="134"/>
      <c r="DS283" s="134"/>
      <c r="DT283" s="138"/>
      <c r="DU283" s="134"/>
      <c r="DV283" s="134"/>
      <c r="DW283" s="134"/>
      <c r="DX283" s="301"/>
      <c r="DY283" s="301"/>
      <c r="DZ283" s="138"/>
      <c r="EA283" s="134"/>
      <c r="EB283" s="134"/>
      <c r="EC283" s="134"/>
      <c r="ED283" s="138"/>
      <c r="EE283" s="134"/>
      <c r="EF283" s="134"/>
      <c r="EG283" s="134"/>
      <c r="EH283" s="301"/>
      <c r="EI283" s="301"/>
      <c r="EJ283" s="277"/>
      <c r="EK283" s="134"/>
      <c r="EL283" s="134"/>
      <c r="EM283" s="134"/>
      <c r="EN283" s="134"/>
      <c r="EO283" s="134"/>
      <c r="EP283" s="134"/>
      <c r="EQ283" s="134"/>
      <c r="ER283" s="134"/>
      <c r="ES283" s="301"/>
      <c r="ET283" s="301"/>
      <c r="EU283" s="134"/>
      <c r="EV283" s="134"/>
      <c r="EW283" s="134"/>
      <c r="EX283" s="134"/>
      <c r="EY283" s="134"/>
      <c r="EZ283" s="134"/>
      <c r="FA283" s="134"/>
      <c r="FB283" s="134"/>
      <c r="FC283" s="135"/>
      <c r="FD283" s="135"/>
      <c r="FE283" s="134"/>
      <c r="FF283" s="134"/>
      <c r="FG283" s="134"/>
      <c r="FH283" s="134"/>
      <c r="FI283" s="134"/>
      <c r="FJ283" s="134"/>
      <c r="FK283" s="134"/>
      <c r="FL283" s="134"/>
      <c r="FM283" s="135"/>
      <c r="FN283" s="135"/>
      <c r="FO283" s="134"/>
      <c r="FP283" s="134"/>
      <c r="FQ283" s="134"/>
      <c r="FR283" s="134"/>
      <c r="FS283" s="134"/>
      <c r="FT283" s="134"/>
      <c r="FU283" s="134"/>
      <c r="FV283" s="134"/>
      <c r="FW283" s="135"/>
      <c r="FX283" s="135"/>
      <c r="FY283" s="134"/>
      <c r="FZ283" s="134"/>
      <c r="GA283" s="134"/>
      <c r="GB283" s="134"/>
      <c r="GC283" s="134"/>
      <c r="GD283" s="134"/>
      <c r="GE283" s="134"/>
      <c r="GF283" s="134"/>
      <c r="GG283" s="135"/>
      <c r="GH283" s="135"/>
      <c r="GI283" s="134"/>
      <c r="GJ283" s="134"/>
      <c r="GK283" s="134"/>
      <c r="GL283" s="134"/>
      <c r="GM283" s="134"/>
      <c r="GN283" s="134"/>
      <c r="GO283" s="134"/>
      <c r="GP283" s="134"/>
      <c r="GQ283" s="135"/>
      <c r="GR283" s="135"/>
      <c r="GS283" s="134"/>
      <c r="GT283" s="134"/>
      <c r="GU283" s="134"/>
      <c r="GV283" s="134"/>
      <c r="GW283" s="134"/>
      <c r="GX283" s="134"/>
      <c r="GY283" s="134"/>
      <c r="GZ283" s="134"/>
      <c r="HA283" s="135"/>
      <c r="HB283" s="135"/>
      <c r="HC283" s="134"/>
      <c r="HD283" s="134"/>
      <c r="HE283" s="134"/>
      <c r="HF283" s="134"/>
      <c r="HG283" s="134"/>
      <c r="HH283" s="134"/>
      <c r="HI283" s="134"/>
      <c r="HJ283" s="134"/>
      <c r="HK283" s="135"/>
      <c r="HL283" s="135"/>
      <c r="HM283" s="134"/>
      <c r="HN283" s="134"/>
      <c r="HO283" s="134"/>
      <c r="HP283" s="134"/>
      <c r="HQ283" s="134"/>
      <c r="HR283" s="134"/>
      <c r="HS283" s="134"/>
      <c r="HT283" s="134"/>
      <c r="HU283" s="135"/>
      <c r="HV283" s="135"/>
      <c r="HW283" s="134"/>
      <c r="HX283" s="134"/>
      <c r="HY283" s="134"/>
      <c r="HZ283" s="134"/>
      <c r="IA283" s="134"/>
      <c r="IB283" s="134"/>
      <c r="IC283" s="134"/>
      <c r="ID283" s="134"/>
      <c r="IE283" s="135"/>
      <c r="IF283" s="135"/>
      <c r="IG283" s="134"/>
      <c r="IH283" s="134"/>
      <c r="II283" s="134"/>
      <c r="IJ283" s="134"/>
      <c r="IK283" s="134"/>
      <c r="IL283" s="134"/>
      <c r="IM283" s="134"/>
      <c r="IN283" s="134"/>
      <c r="IO283" s="135"/>
      <c r="IP283" s="135"/>
      <c r="IQ283" s="134"/>
      <c r="IR283" s="134"/>
      <c r="IS283" s="134"/>
      <c r="IT283" s="134"/>
      <c r="IU283" s="134"/>
      <c r="IV283" s="134"/>
      <c r="IW283" s="134"/>
      <c r="IX283" s="134"/>
      <c r="IY283" s="135"/>
      <c r="IZ283" s="135"/>
    </row>
    <row r="284" spans="1:260" customFormat="1" ht="17" customHeight="1">
      <c r="A284" s="321" t="s">
        <v>1001</v>
      </c>
      <c r="B284" s="117">
        <v>37</v>
      </c>
      <c r="C284" s="117"/>
      <c r="D284" s="117"/>
      <c r="E284" s="322" t="s">
        <v>2103</v>
      </c>
      <c r="F284" s="323" t="s">
        <v>2360</v>
      </c>
      <c r="G284" s="324">
        <v>2011</v>
      </c>
      <c r="H284" s="321">
        <v>21377492</v>
      </c>
      <c r="I284" s="321">
        <v>1</v>
      </c>
      <c r="J284" s="321">
        <v>1</v>
      </c>
      <c r="K284" s="321"/>
      <c r="L284" s="321">
        <v>1</v>
      </c>
      <c r="M284" s="321"/>
      <c r="N284" s="321">
        <v>1</v>
      </c>
      <c r="O284" s="325">
        <v>2</v>
      </c>
      <c r="P284" s="321" t="s">
        <v>1303</v>
      </c>
      <c r="Q284" s="321" t="s">
        <v>1212</v>
      </c>
      <c r="R284" s="321" t="s">
        <v>1468</v>
      </c>
      <c r="S284" s="321"/>
      <c r="T284" s="321" t="s">
        <v>1498</v>
      </c>
      <c r="U284" s="321" t="s">
        <v>803</v>
      </c>
      <c r="V284" s="321"/>
      <c r="W284" s="321" t="s">
        <v>1469</v>
      </c>
      <c r="X284" s="321" t="s">
        <v>436</v>
      </c>
      <c r="Y284" s="321"/>
      <c r="Z284" s="321"/>
      <c r="AA284" s="321"/>
      <c r="AB284" s="321"/>
      <c r="AC284" s="574"/>
      <c r="AD284" s="573">
        <v>1</v>
      </c>
      <c r="AE284" s="573">
        <v>2</v>
      </c>
      <c r="AF284" s="154">
        <v>1</v>
      </c>
      <c r="AG284" s="155" t="s">
        <v>3365</v>
      </c>
      <c r="AH284" s="326">
        <v>5</v>
      </c>
      <c r="AI284" s="490"/>
      <c r="AJ284" s="213" t="s">
        <v>3366</v>
      </c>
      <c r="AK284" s="214">
        <v>2</v>
      </c>
      <c r="AL284" s="215">
        <v>0</v>
      </c>
      <c r="AM284" s="134">
        <f>Table665[[#This Row],[Subjects_n_ptsd]]+Table665[[#This Row],[Subjects_n_control]]</f>
        <v>13</v>
      </c>
      <c r="AN284" s="326">
        <v>7</v>
      </c>
      <c r="AO284" s="326">
        <v>6</v>
      </c>
      <c r="AP284" s="326" t="s">
        <v>803</v>
      </c>
      <c r="AQ284" s="326" t="s">
        <v>803</v>
      </c>
      <c r="AR284" s="326" t="s">
        <v>24</v>
      </c>
      <c r="AS284" s="326" t="s">
        <v>24</v>
      </c>
      <c r="AT284" s="326" t="s">
        <v>24</v>
      </c>
      <c r="AU284" s="326" t="s">
        <v>24</v>
      </c>
      <c r="AV284" s="326" t="s">
        <v>3349</v>
      </c>
      <c r="AW284" s="326">
        <v>1</v>
      </c>
      <c r="AX284" s="326" t="s">
        <v>3347</v>
      </c>
      <c r="AY284" s="326" t="s">
        <v>2975</v>
      </c>
      <c r="AZ284" s="326" t="s">
        <v>1468</v>
      </c>
      <c r="BA284" s="326" t="s">
        <v>3279</v>
      </c>
      <c r="BB284" s="326"/>
      <c r="BC284" s="326"/>
      <c r="BD284" s="328">
        <v>1</v>
      </c>
      <c r="BE284" s="328" t="s">
        <v>1917</v>
      </c>
      <c r="BF284" s="328"/>
      <c r="BG284" s="328"/>
      <c r="BH284" s="328"/>
      <c r="BI284" s="328"/>
      <c r="BJ284" s="156" t="s">
        <v>1917</v>
      </c>
      <c r="BK284" s="328"/>
      <c r="BL284" s="328"/>
      <c r="BM284" s="328"/>
      <c r="BN284" s="328"/>
      <c r="BO284" s="328"/>
      <c r="BP284" s="328"/>
      <c r="BQ284" s="329" t="s">
        <v>3357</v>
      </c>
      <c r="BR284" s="326" t="s">
        <v>1876</v>
      </c>
      <c r="BS284" s="326">
        <v>2</v>
      </c>
      <c r="BT284" s="134" t="s">
        <v>3362</v>
      </c>
      <c r="BU284" s="326" t="s">
        <v>2606</v>
      </c>
      <c r="BV284" s="326" t="s">
        <v>3350</v>
      </c>
      <c r="BW284" s="259" t="s">
        <v>3394</v>
      </c>
      <c r="BX284" s="138" t="s">
        <v>3374</v>
      </c>
      <c r="BY284" s="326">
        <v>38.189599999999999</v>
      </c>
      <c r="BZ284" s="326" t="s">
        <v>24</v>
      </c>
      <c r="CA284" s="326">
        <f>51.6039-Table665[[#This Row],[Outcome1_M]]</f>
        <v>13.414300000000004</v>
      </c>
      <c r="CB284" s="138" t="s">
        <v>3379</v>
      </c>
      <c r="CC284" s="326">
        <v>31.002400000000002</v>
      </c>
      <c r="CD284" s="326" t="s">
        <v>24</v>
      </c>
      <c r="CE284" s="326">
        <f>43.4809-Table665[[#This Row],[Outcome2_M]]</f>
        <v>12.478499999999997</v>
      </c>
      <c r="CF284" s="331" t="s">
        <v>3390</v>
      </c>
      <c r="CG284" s="332"/>
      <c r="CH284" s="330"/>
      <c r="CI284" s="326"/>
      <c r="CJ284" s="326"/>
      <c r="CK284" s="326"/>
      <c r="CL284" s="330"/>
      <c r="CM284" s="326"/>
      <c r="CN284" s="326"/>
      <c r="CO284" s="326"/>
      <c r="CP284" s="331"/>
      <c r="CQ284" s="332"/>
      <c r="CR284" s="333"/>
      <c r="CS284" s="334"/>
      <c r="CT284" s="330"/>
      <c r="CU284" s="326"/>
      <c r="CV284" s="326"/>
      <c r="CW284" s="326"/>
      <c r="CX284" s="326"/>
      <c r="CY284" s="326"/>
      <c r="CZ284" s="326"/>
      <c r="DA284" s="326"/>
      <c r="DB284" s="335"/>
      <c r="DC284" s="336"/>
      <c r="DD284" s="326"/>
      <c r="DE284" s="326"/>
      <c r="DF284" s="326"/>
      <c r="DG284" s="326"/>
      <c r="DH284" s="326"/>
      <c r="DI284" s="326"/>
      <c r="DJ284" s="326"/>
      <c r="DK284" s="326"/>
      <c r="DL284" s="335"/>
      <c r="DM284" s="336"/>
      <c r="DN284" s="333"/>
      <c r="DO284" s="337"/>
      <c r="DP284" s="326"/>
      <c r="DQ284" s="326"/>
      <c r="DR284" s="326"/>
      <c r="DS284" s="326"/>
      <c r="DT284" s="330"/>
      <c r="DU284" s="326"/>
      <c r="DV284" s="326"/>
      <c r="DW284" s="326"/>
      <c r="DX284" s="336"/>
      <c r="DY284" s="336"/>
      <c r="DZ284" s="330"/>
      <c r="EA284" s="326"/>
      <c r="EB284" s="326"/>
      <c r="EC284" s="326"/>
      <c r="ED284" s="330"/>
      <c r="EE284" s="326"/>
      <c r="EF284" s="326"/>
      <c r="EG284" s="326"/>
      <c r="EH284" s="336"/>
      <c r="EI284" s="336"/>
      <c r="EJ284" s="337"/>
      <c r="EK284" s="326"/>
      <c r="EL284" s="326"/>
      <c r="EM284" s="326"/>
      <c r="EN284" s="326"/>
      <c r="EO284" s="326"/>
      <c r="EP284" s="326"/>
      <c r="EQ284" s="326"/>
      <c r="ER284" s="326"/>
      <c r="ES284" s="336"/>
      <c r="ET284" s="336"/>
      <c r="EU284" s="326"/>
      <c r="EV284" s="326"/>
      <c r="EW284" s="326"/>
      <c r="EX284" s="326"/>
      <c r="EY284" s="134"/>
      <c r="EZ284" s="134"/>
      <c r="FA284" s="134"/>
      <c r="FB284" s="134"/>
      <c r="FC284" s="135"/>
      <c r="FD284" s="135"/>
      <c r="FE284" s="134"/>
      <c r="FF284" s="134"/>
      <c r="FG284" s="134"/>
      <c r="FH284" s="134"/>
      <c r="FI284" s="134"/>
      <c r="FJ284" s="134"/>
      <c r="FK284" s="134"/>
      <c r="FL284" s="134"/>
      <c r="FM284" s="135"/>
      <c r="FN284" s="135"/>
      <c r="FO284" s="134"/>
      <c r="FP284" s="134"/>
      <c r="FQ284" s="134"/>
      <c r="FR284" s="134"/>
      <c r="FS284" s="134"/>
      <c r="FT284" s="134"/>
      <c r="FU284" s="134"/>
      <c r="FV284" s="134"/>
      <c r="FW284" s="135"/>
      <c r="FX284" s="135"/>
      <c r="FY284" s="134"/>
      <c r="FZ284" s="134"/>
      <c r="GA284" s="134"/>
      <c r="GB284" s="134"/>
      <c r="GC284" s="134"/>
      <c r="GD284" s="134"/>
      <c r="GE284" s="134"/>
      <c r="GF284" s="134"/>
      <c r="GG284" s="135"/>
      <c r="GH284" s="135"/>
      <c r="GI284" s="134"/>
      <c r="GJ284" s="134"/>
      <c r="GK284" s="134"/>
      <c r="GL284" s="134"/>
      <c r="GM284" s="134"/>
      <c r="GN284" s="134"/>
      <c r="GO284" s="134"/>
      <c r="GP284" s="134"/>
      <c r="GQ284" s="135"/>
      <c r="GR284" s="135"/>
      <c r="GS284" s="134"/>
      <c r="GT284" s="134"/>
      <c r="GU284" s="134"/>
      <c r="GV284" s="134"/>
      <c r="GW284" s="134"/>
      <c r="GX284" s="134"/>
      <c r="GY284" s="134"/>
      <c r="GZ284" s="134"/>
      <c r="HA284" s="135"/>
      <c r="HB284" s="135"/>
      <c r="HC284" s="134"/>
      <c r="HD284" s="134"/>
      <c r="HE284" s="134"/>
      <c r="HF284" s="134"/>
      <c r="HG284" s="134"/>
      <c r="HH284" s="134"/>
      <c r="HI284" s="134"/>
      <c r="HJ284" s="134"/>
      <c r="HK284" s="135"/>
      <c r="HL284" s="135"/>
      <c r="HM284" s="134"/>
      <c r="HN284" s="134"/>
      <c r="HO284" s="134"/>
      <c r="HP284" s="134"/>
      <c r="HQ284" s="134"/>
      <c r="HR284" s="134"/>
      <c r="HS284" s="134"/>
      <c r="HT284" s="134"/>
      <c r="HU284" s="135"/>
      <c r="HV284" s="135"/>
      <c r="HW284" s="134"/>
      <c r="HX284" s="134"/>
      <c r="HY284" s="134"/>
      <c r="HZ284" s="134"/>
      <c r="IA284" s="134"/>
      <c r="IB284" s="134"/>
      <c r="IC284" s="134"/>
      <c r="ID284" s="134"/>
      <c r="IE284" s="135"/>
      <c r="IF284" s="135"/>
      <c r="IG284" s="134"/>
      <c r="IH284" s="134"/>
      <c r="II284" s="134"/>
      <c r="IJ284" s="134"/>
      <c r="IK284" s="134"/>
      <c r="IL284" s="134"/>
      <c r="IM284" s="134"/>
      <c r="IN284" s="134"/>
      <c r="IO284" s="135"/>
      <c r="IP284" s="135"/>
      <c r="IQ284" s="134"/>
      <c r="IR284" s="134"/>
      <c r="IS284" s="134"/>
      <c r="IT284" s="134"/>
      <c r="IU284" s="134"/>
      <c r="IV284" s="134"/>
      <c r="IW284" s="134"/>
      <c r="IX284" s="134"/>
      <c r="IY284" s="135"/>
      <c r="IZ284" s="135"/>
    </row>
    <row r="285" spans="1:260" customFormat="1" ht="17" customHeight="1">
      <c r="A285" s="321" t="s">
        <v>1001</v>
      </c>
      <c r="B285" s="117">
        <v>37</v>
      </c>
      <c r="C285" s="117"/>
      <c r="D285" s="117"/>
      <c r="E285" s="322" t="s">
        <v>2103</v>
      </c>
      <c r="F285" s="323" t="s">
        <v>2360</v>
      </c>
      <c r="G285" s="324">
        <v>2011</v>
      </c>
      <c r="H285" s="321">
        <v>21377492</v>
      </c>
      <c r="I285" s="321">
        <v>1</v>
      </c>
      <c r="J285" s="321">
        <v>1</v>
      </c>
      <c r="K285" s="321"/>
      <c r="L285" s="321">
        <v>1</v>
      </c>
      <c r="M285" s="321"/>
      <c r="N285" s="321">
        <v>1</v>
      </c>
      <c r="O285" s="325">
        <v>2</v>
      </c>
      <c r="P285" s="321" t="s">
        <v>1303</v>
      </c>
      <c r="Q285" s="321" t="s">
        <v>1212</v>
      </c>
      <c r="R285" s="321" t="s">
        <v>1468</v>
      </c>
      <c r="S285" s="321"/>
      <c r="T285" s="321" t="s">
        <v>1498</v>
      </c>
      <c r="U285" s="321" t="s">
        <v>803</v>
      </c>
      <c r="V285" s="321"/>
      <c r="W285" s="321" t="s">
        <v>1469</v>
      </c>
      <c r="X285" s="321" t="s">
        <v>436</v>
      </c>
      <c r="Y285" s="321"/>
      <c r="Z285" s="321"/>
      <c r="AA285" s="321"/>
      <c r="AB285" s="321"/>
      <c r="AC285" s="574"/>
      <c r="AD285" s="573">
        <v>1</v>
      </c>
      <c r="AE285" s="573">
        <v>2</v>
      </c>
      <c r="AF285" s="154">
        <v>1</v>
      </c>
      <c r="AG285" s="155" t="s">
        <v>3365</v>
      </c>
      <c r="AH285" s="326">
        <v>5</v>
      </c>
      <c r="AI285" s="490"/>
      <c r="AJ285" s="213" t="s">
        <v>3366</v>
      </c>
      <c r="AK285" s="214">
        <v>2</v>
      </c>
      <c r="AL285" s="215">
        <v>0</v>
      </c>
      <c r="AM285" s="134">
        <f>Table665[[#This Row],[Subjects_n_ptsd]]+Table665[[#This Row],[Subjects_n_control]]</f>
        <v>14</v>
      </c>
      <c r="AN285" s="326">
        <v>7</v>
      </c>
      <c r="AO285" s="326">
        <v>7</v>
      </c>
      <c r="AP285" s="326" t="s">
        <v>803</v>
      </c>
      <c r="AQ285" s="326" t="s">
        <v>803</v>
      </c>
      <c r="AR285" s="326" t="s">
        <v>24</v>
      </c>
      <c r="AS285" s="326" t="s">
        <v>24</v>
      </c>
      <c r="AT285" s="326" t="s">
        <v>24</v>
      </c>
      <c r="AU285" s="326" t="s">
        <v>24</v>
      </c>
      <c r="AV285" s="326" t="s">
        <v>3349</v>
      </c>
      <c r="AW285" s="326">
        <v>1</v>
      </c>
      <c r="AX285" s="326" t="s">
        <v>3347</v>
      </c>
      <c r="AY285" s="326" t="s">
        <v>2975</v>
      </c>
      <c r="AZ285" s="326" t="s">
        <v>1468</v>
      </c>
      <c r="BA285" s="326" t="s">
        <v>3279</v>
      </c>
      <c r="BB285" s="326"/>
      <c r="BC285" s="326"/>
      <c r="BD285" s="328">
        <v>1</v>
      </c>
      <c r="BE285" s="328" t="s">
        <v>1917</v>
      </c>
      <c r="BF285" s="328"/>
      <c r="BG285" s="328"/>
      <c r="BH285" s="328"/>
      <c r="BI285" s="328"/>
      <c r="BJ285" s="156" t="s">
        <v>1917</v>
      </c>
      <c r="BK285" s="328"/>
      <c r="BL285" s="328"/>
      <c r="BM285" s="328"/>
      <c r="BN285" s="328"/>
      <c r="BO285" s="328"/>
      <c r="BP285" s="328"/>
      <c r="BQ285" s="329" t="s">
        <v>3358</v>
      </c>
      <c r="BR285" s="326" t="s">
        <v>1876</v>
      </c>
      <c r="BS285" s="326">
        <v>2</v>
      </c>
      <c r="BT285" s="134" t="s">
        <v>3352</v>
      </c>
      <c r="BU285" s="326" t="s">
        <v>2606</v>
      </c>
      <c r="BV285" s="326" t="s">
        <v>3350</v>
      </c>
      <c r="BW285" s="259" t="s">
        <v>3394</v>
      </c>
      <c r="BX285" s="138" t="s">
        <v>3372</v>
      </c>
      <c r="BY285" s="326">
        <v>9.5406499999999994</v>
      </c>
      <c r="BZ285" s="326" t="s">
        <v>24</v>
      </c>
      <c r="CA285" s="326">
        <f>14.528-Table665[[#This Row],[Outcome1_M]]</f>
        <v>4.9873500000000011</v>
      </c>
      <c r="CB285" s="138" t="s">
        <v>3380</v>
      </c>
      <c r="CC285" s="326">
        <v>38.823</v>
      </c>
      <c r="CD285" s="326" t="s">
        <v>24</v>
      </c>
      <c r="CE285" s="326">
        <f>53.3691-Table665[[#This Row],[Outcome2_M]]</f>
        <v>14.546100000000003</v>
      </c>
      <c r="CF285" s="331" t="s">
        <v>3387</v>
      </c>
      <c r="CG285" s="332" t="s">
        <v>2643</v>
      </c>
      <c r="CH285" s="330"/>
      <c r="CI285" s="326"/>
      <c r="CJ285" s="326"/>
      <c r="CK285" s="326"/>
      <c r="CL285" s="330"/>
      <c r="CM285" s="326"/>
      <c r="CN285" s="326"/>
      <c r="CO285" s="326"/>
      <c r="CP285" s="331"/>
      <c r="CQ285" s="332"/>
      <c r="CR285" s="333"/>
      <c r="CS285" s="334"/>
      <c r="CT285" s="330"/>
      <c r="CU285" s="326"/>
      <c r="CV285" s="326"/>
      <c r="CW285" s="326"/>
      <c r="CX285" s="326"/>
      <c r="CY285" s="326"/>
      <c r="CZ285" s="326"/>
      <c r="DA285" s="326"/>
      <c r="DB285" s="335"/>
      <c r="DC285" s="336"/>
      <c r="DD285" s="326"/>
      <c r="DE285" s="326"/>
      <c r="DF285" s="326"/>
      <c r="DG285" s="326"/>
      <c r="DH285" s="326"/>
      <c r="DI285" s="326"/>
      <c r="DJ285" s="326"/>
      <c r="DK285" s="326"/>
      <c r="DL285" s="335"/>
      <c r="DM285" s="336"/>
      <c r="DN285" s="333"/>
      <c r="DO285" s="337"/>
      <c r="DP285" s="326"/>
      <c r="DQ285" s="326"/>
      <c r="DR285" s="326"/>
      <c r="DS285" s="326"/>
      <c r="DT285" s="330"/>
      <c r="DU285" s="326"/>
      <c r="DV285" s="326"/>
      <c r="DW285" s="326"/>
      <c r="DX285" s="336"/>
      <c r="DY285" s="336"/>
      <c r="DZ285" s="330"/>
      <c r="EA285" s="326"/>
      <c r="EB285" s="326"/>
      <c r="EC285" s="326"/>
      <c r="ED285" s="330"/>
      <c r="EE285" s="326"/>
      <c r="EF285" s="326"/>
      <c r="EG285" s="326"/>
      <c r="EH285" s="336"/>
      <c r="EI285" s="336"/>
      <c r="EJ285" s="337"/>
      <c r="EK285" s="326"/>
      <c r="EL285" s="326"/>
      <c r="EM285" s="326"/>
      <c r="EN285" s="326"/>
      <c r="EO285" s="326"/>
      <c r="EP285" s="326"/>
      <c r="EQ285" s="326"/>
      <c r="ER285" s="326"/>
      <c r="ES285" s="336"/>
      <c r="ET285" s="336"/>
      <c r="EU285" s="326"/>
      <c r="EV285" s="326"/>
      <c r="EW285" s="326"/>
      <c r="EX285" s="326"/>
      <c r="EY285" s="134"/>
      <c r="EZ285" s="134"/>
      <c r="FA285" s="134"/>
      <c r="FB285" s="134"/>
      <c r="FC285" s="135"/>
      <c r="FD285" s="135"/>
      <c r="FE285" s="134"/>
      <c r="FF285" s="134"/>
      <c r="FG285" s="134"/>
      <c r="FH285" s="134"/>
      <c r="FI285" s="134"/>
      <c r="FJ285" s="134"/>
      <c r="FK285" s="134"/>
      <c r="FL285" s="134"/>
      <c r="FM285" s="135"/>
      <c r="FN285" s="135"/>
      <c r="FO285" s="134"/>
      <c r="FP285" s="134"/>
      <c r="FQ285" s="134"/>
      <c r="FR285" s="134"/>
      <c r="FS285" s="134"/>
      <c r="FT285" s="134"/>
      <c r="FU285" s="134"/>
      <c r="FV285" s="134"/>
      <c r="FW285" s="135"/>
      <c r="FX285" s="135"/>
      <c r="FY285" s="134"/>
      <c r="FZ285" s="134"/>
      <c r="GA285" s="134"/>
      <c r="GB285" s="134"/>
      <c r="GC285" s="134"/>
      <c r="GD285" s="134"/>
      <c r="GE285" s="134"/>
      <c r="GF285" s="134"/>
      <c r="GG285" s="135"/>
      <c r="GH285" s="135"/>
      <c r="GI285" s="134"/>
      <c r="GJ285" s="134"/>
      <c r="GK285" s="134"/>
      <c r="GL285" s="134"/>
      <c r="GM285" s="134"/>
      <c r="GN285" s="134"/>
      <c r="GO285" s="134"/>
      <c r="GP285" s="134"/>
      <c r="GQ285" s="135"/>
      <c r="GR285" s="135"/>
      <c r="GS285" s="134"/>
      <c r="GT285" s="134"/>
      <c r="GU285" s="134"/>
      <c r="GV285" s="134"/>
      <c r="GW285" s="134"/>
      <c r="GX285" s="134"/>
      <c r="GY285" s="134"/>
      <c r="GZ285" s="134"/>
      <c r="HA285" s="135"/>
      <c r="HB285" s="135"/>
      <c r="HC285" s="134"/>
      <c r="HD285" s="134"/>
      <c r="HE285" s="134"/>
      <c r="HF285" s="134"/>
      <c r="HG285" s="134"/>
      <c r="HH285" s="134"/>
      <c r="HI285" s="134"/>
      <c r="HJ285" s="134"/>
      <c r="HK285" s="135"/>
      <c r="HL285" s="135"/>
      <c r="HM285" s="134"/>
      <c r="HN285" s="134"/>
      <c r="HO285" s="134"/>
      <c r="HP285" s="134"/>
      <c r="HQ285" s="134"/>
      <c r="HR285" s="134"/>
      <c r="HS285" s="134"/>
      <c r="HT285" s="134"/>
      <c r="HU285" s="135"/>
      <c r="HV285" s="135"/>
      <c r="HW285" s="134"/>
      <c r="HX285" s="134"/>
      <c r="HY285" s="134"/>
      <c r="HZ285" s="134"/>
      <c r="IA285" s="134"/>
      <c r="IB285" s="134"/>
      <c r="IC285" s="134"/>
      <c r="ID285" s="134"/>
      <c r="IE285" s="135"/>
      <c r="IF285" s="135"/>
      <c r="IG285" s="134"/>
      <c r="IH285" s="134"/>
      <c r="II285" s="134"/>
      <c r="IJ285" s="134"/>
      <c r="IK285" s="134"/>
      <c r="IL285" s="134"/>
      <c r="IM285" s="134"/>
      <c r="IN285" s="134"/>
      <c r="IO285" s="135"/>
      <c r="IP285" s="135"/>
      <c r="IQ285" s="134"/>
      <c r="IR285" s="134"/>
      <c r="IS285" s="134"/>
      <c r="IT285" s="134"/>
      <c r="IU285" s="134"/>
      <c r="IV285" s="134"/>
      <c r="IW285" s="134"/>
      <c r="IX285" s="134"/>
      <c r="IY285" s="135"/>
      <c r="IZ285" s="135"/>
    </row>
    <row r="286" spans="1:260" customFormat="1" ht="17" customHeight="1">
      <c r="A286" s="321" t="s">
        <v>1001</v>
      </c>
      <c r="B286" s="117">
        <v>37</v>
      </c>
      <c r="C286" s="117"/>
      <c r="D286" s="117"/>
      <c r="E286" s="322" t="s">
        <v>2103</v>
      </c>
      <c r="F286" s="323" t="s">
        <v>2360</v>
      </c>
      <c r="G286" s="324">
        <v>2011</v>
      </c>
      <c r="H286" s="321">
        <v>21377492</v>
      </c>
      <c r="I286" s="321">
        <v>1</v>
      </c>
      <c r="J286" s="321">
        <v>1</v>
      </c>
      <c r="K286" s="321"/>
      <c r="L286" s="321">
        <v>1</v>
      </c>
      <c r="M286" s="321"/>
      <c r="N286" s="321">
        <v>1</v>
      </c>
      <c r="O286" s="325">
        <v>2</v>
      </c>
      <c r="P286" s="321" t="s">
        <v>1303</v>
      </c>
      <c r="Q286" s="321" t="s">
        <v>1212</v>
      </c>
      <c r="R286" s="321" t="s">
        <v>1468</v>
      </c>
      <c r="S286" s="321"/>
      <c r="T286" s="321" t="s">
        <v>1498</v>
      </c>
      <c r="U286" s="321" t="s">
        <v>803</v>
      </c>
      <c r="V286" s="321"/>
      <c r="W286" s="321" t="s">
        <v>1469</v>
      </c>
      <c r="X286" s="321" t="s">
        <v>436</v>
      </c>
      <c r="Y286" s="321"/>
      <c r="Z286" s="321"/>
      <c r="AA286" s="321"/>
      <c r="AB286" s="321"/>
      <c r="AC286" s="574"/>
      <c r="AD286" s="573">
        <v>1</v>
      </c>
      <c r="AE286" s="573">
        <v>2</v>
      </c>
      <c r="AF286" s="154">
        <v>1</v>
      </c>
      <c r="AG286" s="155" t="s">
        <v>3365</v>
      </c>
      <c r="AH286" s="326">
        <v>5</v>
      </c>
      <c r="AI286" s="490"/>
      <c r="AJ286" s="213" t="s">
        <v>3366</v>
      </c>
      <c r="AK286" s="327">
        <v>2</v>
      </c>
      <c r="AL286" s="215">
        <v>0</v>
      </c>
      <c r="AM286" s="134">
        <f>Table665[[#This Row],[Subjects_n_ptsd]]+Table665[[#This Row],[Subjects_n_control]]</f>
        <v>14</v>
      </c>
      <c r="AN286" s="326">
        <v>8</v>
      </c>
      <c r="AO286" s="326">
        <v>6</v>
      </c>
      <c r="AP286" s="326" t="s">
        <v>803</v>
      </c>
      <c r="AQ286" s="326" t="s">
        <v>803</v>
      </c>
      <c r="AR286" s="326" t="s">
        <v>24</v>
      </c>
      <c r="AS286" s="326" t="s">
        <v>24</v>
      </c>
      <c r="AT286" s="326" t="s">
        <v>24</v>
      </c>
      <c r="AU286" s="326" t="s">
        <v>24</v>
      </c>
      <c r="AV286" s="326" t="s">
        <v>3349</v>
      </c>
      <c r="AW286" s="326">
        <v>1</v>
      </c>
      <c r="AX286" s="326" t="s">
        <v>3347</v>
      </c>
      <c r="AY286" s="326" t="s">
        <v>2975</v>
      </c>
      <c r="AZ286" s="326" t="s">
        <v>1468</v>
      </c>
      <c r="BA286" s="326" t="s">
        <v>3279</v>
      </c>
      <c r="BB286" s="326"/>
      <c r="BC286" s="326"/>
      <c r="BD286" s="328">
        <v>1</v>
      </c>
      <c r="BE286" s="328" t="s">
        <v>1917</v>
      </c>
      <c r="BF286" s="328"/>
      <c r="BG286" s="328"/>
      <c r="BH286" s="328"/>
      <c r="BI286" s="328"/>
      <c r="BJ286" s="156" t="s">
        <v>1917</v>
      </c>
      <c r="BK286" s="328"/>
      <c r="BL286" s="328"/>
      <c r="BM286" s="328"/>
      <c r="BN286" s="328"/>
      <c r="BO286" s="328"/>
      <c r="BP286" s="328"/>
      <c r="BQ286" s="329" t="s">
        <v>3358</v>
      </c>
      <c r="BR286" s="326" t="s">
        <v>1876</v>
      </c>
      <c r="BS286" s="326">
        <v>2</v>
      </c>
      <c r="BT286" s="134" t="s">
        <v>3363</v>
      </c>
      <c r="BU286" s="326" t="s">
        <v>2606</v>
      </c>
      <c r="BV286" s="326" t="s">
        <v>3350</v>
      </c>
      <c r="BW286" s="259" t="s">
        <v>3394</v>
      </c>
      <c r="BX286" s="138" t="s">
        <v>3375</v>
      </c>
      <c r="BY286" s="326">
        <v>8.1273900000000001</v>
      </c>
      <c r="BZ286" s="326" t="s">
        <v>24</v>
      </c>
      <c r="CA286" s="326">
        <f>12.8066-Table665[[#This Row],[Outcome1_M]]</f>
        <v>4.6792099999999994</v>
      </c>
      <c r="CB286" s="138" t="s">
        <v>3381</v>
      </c>
      <c r="CC286" s="326">
        <v>31.356300000000001</v>
      </c>
      <c r="CD286" s="326" t="s">
        <v>24</v>
      </c>
      <c r="CE286" s="326">
        <f>42.2741-Table665[[#This Row],[Outcome2_M]]</f>
        <v>10.917799999999996</v>
      </c>
      <c r="CF286" s="331" t="s">
        <v>3391</v>
      </c>
      <c r="CG286" s="332"/>
      <c r="CH286" s="330"/>
      <c r="CI286" s="326"/>
      <c r="CJ286" s="326"/>
      <c r="CK286" s="326"/>
      <c r="CL286" s="330"/>
      <c r="CM286" s="326"/>
      <c r="CN286" s="326"/>
      <c r="CO286" s="326"/>
      <c r="CP286" s="331"/>
      <c r="CQ286" s="332"/>
      <c r="CR286" s="333"/>
      <c r="CS286" s="334"/>
      <c r="CT286" s="330"/>
      <c r="CU286" s="326"/>
      <c r="CV286" s="326"/>
      <c r="CW286" s="326"/>
      <c r="CX286" s="326"/>
      <c r="CY286" s="326"/>
      <c r="CZ286" s="326"/>
      <c r="DA286" s="326"/>
      <c r="DB286" s="335"/>
      <c r="DC286" s="336"/>
      <c r="DD286" s="326"/>
      <c r="DE286" s="326"/>
      <c r="DF286" s="326"/>
      <c r="DG286" s="326"/>
      <c r="DH286" s="326"/>
      <c r="DI286" s="326"/>
      <c r="DJ286" s="326"/>
      <c r="DK286" s="326"/>
      <c r="DL286" s="335"/>
      <c r="DM286" s="336"/>
      <c r="DN286" s="333"/>
      <c r="DO286" s="337"/>
      <c r="DP286" s="326"/>
      <c r="DQ286" s="326"/>
      <c r="DR286" s="326"/>
      <c r="DS286" s="326"/>
      <c r="DT286" s="330"/>
      <c r="DU286" s="326"/>
      <c r="DV286" s="326"/>
      <c r="DW286" s="326"/>
      <c r="DX286" s="336"/>
      <c r="DY286" s="336"/>
      <c r="DZ286" s="330"/>
      <c r="EA286" s="326"/>
      <c r="EB286" s="326"/>
      <c r="EC286" s="326"/>
      <c r="ED286" s="330"/>
      <c r="EE286" s="326"/>
      <c r="EF286" s="326"/>
      <c r="EG286" s="326"/>
      <c r="EH286" s="336"/>
      <c r="EI286" s="336"/>
      <c r="EJ286" s="337"/>
      <c r="EK286" s="326"/>
      <c r="EL286" s="326"/>
      <c r="EM286" s="326"/>
      <c r="EN286" s="326"/>
      <c r="EO286" s="326"/>
      <c r="EP286" s="326"/>
      <c r="EQ286" s="326"/>
      <c r="ER286" s="326"/>
      <c r="ES286" s="336"/>
      <c r="ET286" s="336"/>
      <c r="EU286" s="326"/>
      <c r="EV286" s="326"/>
      <c r="EW286" s="326"/>
      <c r="EX286" s="326"/>
      <c r="EY286" s="134"/>
      <c r="EZ286" s="134"/>
      <c r="FA286" s="134"/>
      <c r="FB286" s="134"/>
      <c r="FC286" s="135"/>
      <c r="FD286" s="135"/>
      <c r="FE286" s="134"/>
      <c r="FF286" s="134"/>
      <c r="FG286" s="134"/>
      <c r="FH286" s="134"/>
      <c r="FI286" s="134"/>
      <c r="FJ286" s="134"/>
      <c r="FK286" s="134"/>
      <c r="FL286" s="134"/>
      <c r="FM286" s="135"/>
      <c r="FN286" s="135"/>
      <c r="FO286" s="134"/>
      <c r="FP286" s="134"/>
      <c r="FQ286" s="134"/>
      <c r="FR286" s="134"/>
      <c r="FS286" s="134"/>
      <c r="FT286" s="134"/>
      <c r="FU286" s="134"/>
      <c r="FV286" s="134"/>
      <c r="FW286" s="135"/>
      <c r="FX286" s="135"/>
      <c r="FY286" s="134"/>
      <c r="FZ286" s="134"/>
      <c r="GA286" s="134"/>
      <c r="GB286" s="134"/>
      <c r="GC286" s="134"/>
      <c r="GD286" s="134"/>
      <c r="GE286" s="134"/>
      <c r="GF286" s="134"/>
      <c r="GG286" s="135"/>
      <c r="GH286" s="135"/>
      <c r="GI286" s="134"/>
      <c r="GJ286" s="134"/>
      <c r="GK286" s="134"/>
      <c r="GL286" s="134"/>
      <c r="GM286" s="134"/>
      <c r="GN286" s="134"/>
      <c r="GO286" s="134"/>
      <c r="GP286" s="134"/>
      <c r="GQ286" s="135"/>
      <c r="GR286" s="135"/>
      <c r="GS286" s="134"/>
      <c r="GT286" s="134"/>
      <c r="GU286" s="134"/>
      <c r="GV286" s="134"/>
      <c r="GW286" s="134"/>
      <c r="GX286" s="134"/>
      <c r="GY286" s="134"/>
      <c r="GZ286" s="134"/>
      <c r="HA286" s="135"/>
      <c r="HB286" s="135"/>
      <c r="HC286" s="134"/>
      <c r="HD286" s="134"/>
      <c r="HE286" s="134"/>
      <c r="HF286" s="134"/>
      <c r="HG286" s="134"/>
      <c r="HH286" s="134"/>
      <c r="HI286" s="134"/>
      <c r="HJ286" s="134"/>
      <c r="HK286" s="135"/>
      <c r="HL286" s="135"/>
      <c r="HM286" s="134"/>
      <c r="HN286" s="134"/>
      <c r="HO286" s="134"/>
      <c r="HP286" s="134"/>
      <c r="HQ286" s="134"/>
      <c r="HR286" s="134"/>
      <c r="HS286" s="134"/>
      <c r="HT286" s="134"/>
      <c r="HU286" s="135"/>
      <c r="HV286" s="135"/>
      <c r="HW286" s="134"/>
      <c r="HX286" s="134"/>
      <c r="HY286" s="134"/>
      <c r="HZ286" s="134"/>
      <c r="IA286" s="134"/>
      <c r="IB286" s="134"/>
      <c r="IC286" s="134"/>
      <c r="ID286" s="134"/>
      <c r="IE286" s="135"/>
      <c r="IF286" s="135"/>
      <c r="IG286" s="134"/>
      <c r="IH286" s="134"/>
      <c r="II286" s="134"/>
      <c r="IJ286" s="134"/>
      <c r="IK286" s="134"/>
      <c r="IL286" s="134"/>
      <c r="IM286" s="134"/>
      <c r="IN286" s="134"/>
      <c r="IO286" s="135"/>
      <c r="IP286" s="135"/>
      <c r="IQ286" s="134"/>
      <c r="IR286" s="134"/>
      <c r="IS286" s="134"/>
      <c r="IT286" s="134"/>
      <c r="IU286" s="134"/>
      <c r="IV286" s="134"/>
      <c r="IW286" s="134"/>
      <c r="IX286" s="134"/>
      <c r="IY286" s="135"/>
      <c r="IZ286" s="135"/>
    </row>
    <row r="287" spans="1:260" customFormat="1" ht="17" customHeight="1">
      <c r="A287" s="321" t="s">
        <v>1001</v>
      </c>
      <c r="B287" s="117">
        <v>37</v>
      </c>
      <c r="C287" s="117"/>
      <c r="D287" s="117"/>
      <c r="E287" s="322" t="s">
        <v>2103</v>
      </c>
      <c r="F287" s="323" t="s">
        <v>2360</v>
      </c>
      <c r="G287" s="324">
        <v>2011</v>
      </c>
      <c r="H287" s="321">
        <v>21377492</v>
      </c>
      <c r="I287" s="321">
        <v>1</v>
      </c>
      <c r="J287" s="321">
        <v>1</v>
      </c>
      <c r="K287" s="321"/>
      <c r="L287" s="321">
        <v>1</v>
      </c>
      <c r="M287" s="321"/>
      <c r="N287" s="321">
        <v>1</v>
      </c>
      <c r="O287" s="325">
        <v>2</v>
      </c>
      <c r="P287" s="321" t="s">
        <v>1303</v>
      </c>
      <c r="Q287" s="321" t="s">
        <v>1212</v>
      </c>
      <c r="R287" s="321" t="s">
        <v>1468</v>
      </c>
      <c r="S287" s="321"/>
      <c r="T287" s="321" t="s">
        <v>1498</v>
      </c>
      <c r="U287" s="321" t="s">
        <v>803</v>
      </c>
      <c r="V287" s="321"/>
      <c r="W287" s="321" t="s">
        <v>1469</v>
      </c>
      <c r="X287" s="321" t="s">
        <v>436</v>
      </c>
      <c r="Y287" s="321"/>
      <c r="Z287" s="321"/>
      <c r="AA287" s="321"/>
      <c r="AB287" s="321"/>
      <c r="AC287" s="574"/>
      <c r="AD287" s="573">
        <v>1</v>
      </c>
      <c r="AE287" s="573">
        <v>2</v>
      </c>
      <c r="AF287" s="154">
        <v>1</v>
      </c>
      <c r="AG287" s="155" t="s">
        <v>3365</v>
      </c>
      <c r="AH287" s="326">
        <v>5</v>
      </c>
      <c r="AI287" s="490"/>
      <c r="AJ287" s="213" t="s">
        <v>3366</v>
      </c>
      <c r="AK287" s="327">
        <v>2</v>
      </c>
      <c r="AL287" s="215">
        <v>0</v>
      </c>
      <c r="AM287" s="134">
        <f>Table665[[#This Row],[Subjects_n_ptsd]]+Table665[[#This Row],[Subjects_n_control]]</f>
        <v>14</v>
      </c>
      <c r="AN287" s="326">
        <v>7</v>
      </c>
      <c r="AO287" s="326">
        <v>7</v>
      </c>
      <c r="AP287" s="326" t="s">
        <v>803</v>
      </c>
      <c r="AQ287" s="326" t="s">
        <v>803</v>
      </c>
      <c r="AR287" s="326" t="s">
        <v>24</v>
      </c>
      <c r="AS287" s="326" t="s">
        <v>24</v>
      </c>
      <c r="AT287" s="326" t="s">
        <v>24</v>
      </c>
      <c r="AU287" s="326" t="s">
        <v>24</v>
      </c>
      <c r="AV287" s="326" t="s">
        <v>3349</v>
      </c>
      <c r="AW287" s="326">
        <v>1</v>
      </c>
      <c r="AX287" s="326" t="s">
        <v>3347</v>
      </c>
      <c r="AY287" s="326" t="s">
        <v>2975</v>
      </c>
      <c r="AZ287" s="326" t="s">
        <v>1468</v>
      </c>
      <c r="BA287" s="326" t="s">
        <v>3279</v>
      </c>
      <c r="BB287" s="326"/>
      <c r="BC287" s="326"/>
      <c r="BD287" s="328">
        <v>1</v>
      </c>
      <c r="BE287" s="328" t="s">
        <v>1917</v>
      </c>
      <c r="BF287" s="328"/>
      <c r="BG287" s="328"/>
      <c r="BH287" s="328"/>
      <c r="BI287" s="328"/>
      <c r="BJ287" s="156" t="s">
        <v>1917</v>
      </c>
      <c r="BK287" s="328"/>
      <c r="BL287" s="328"/>
      <c r="BM287" s="328"/>
      <c r="BN287" s="328"/>
      <c r="BO287" s="328"/>
      <c r="BP287" s="328"/>
      <c r="BQ287" s="329" t="s">
        <v>3359</v>
      </c>
      <c r="BR287" s="326" t="s">
        <v>1876</v>
      </c>
      <c r="BS287" s="326">
        <v>2</v>
      </c>
      <c r="BT287" s="134" t="s">
        <v>3353</v>
      </c>
      <c r="BU287" s="326" t="s">
        <v>2606</v>
      </c>
      <c r="BV287" s="326" t="s">
        <v>3350</v>
      </c>
      <c r="BW287" s="259" t="s">
        <v>3394</v>
      </c>
      <c r="BX287" s="138" t="s">
        <v>3373</v>
      </c>
      <c r="BY287" s="326">
        <v>1.9032899999999999</v>
      </c>
      <c r="BZ287" s="326" t="s">
        <v>24</v>
      </c>
      <c r="CA287" s="326">
        <f>2.73446-Table665[[#This Row],[Outcome1_M]]</f>
        <v>0.83116999999999996</v>
      </c>
      <c r="CB287" s="138" t="s">
        <v>3382</v>
      </c>
      <c r="CC287" s="326">
        <v>45.3172</v>
      </c>
      <c r="CD287" s="326" t="s">
        <v>24</v>
      </c>
      <c r="CE287" s="326">
        <f>58.2003-Table665[[#This Row],[Outcome2_M]]</f>
        <v>12.883099999999999</v>
      </c>
      <c r="CF287" s="341" t="s">
        <v>3386</v>
      </c>
      <c r="CG287" s="332" t="s">
        <v>3060</v>
      </c>
      <c r="CH287" s="330"/>
      <c r="CI287" s="326"/>
      <c r="CJ287" s="326"/>
      <c r="CK287" s="326"/>
      <c r="CL287" s="330"/>
      <c r="CM287" s="326"/>
      <c r="CN287" s="326"/>
      <c r="CO287" s="326"/>
      <c r="CP287" s="331"/>
      <c r="CQ287" s="332"/>
      <c r="CR287" s="333"/>
      <c r="CS287" s="334"/>
      <c r="CT287" s="330"/>
      <c r="CU287" s="326"/>
      <c r="CV287" s="326"/>
      <c r="CW287" s="326"/>
      <c r="CX287" s="326"/>
      <c r="CY287" s="326"/>
      <c r="CZ287" s="326"/>
      <c r="DA287" s="326"/>
      <c r="DB287" s="335"/>
      <c r="DC287" s="336"/>
      <c r="DD287" s="326"/>
      <c r="DE287" s="326"/>
      <c r="DF287" s="326"/>
      <c r="DG287" s="326"/>
      <c r="DH287" s="326"/>
      <c r="DI287" s="326"/>
      <c r="DJ287" s="326"/>
      <c r="DK287" s="326"/>
      <c r="DL287" s="335"/>
      <c r="DM287" s="336"/>
      <c r="DN287" s="333"/>
      <c r="DO287" s="337"/>
      <c r="DP287" s="326"/>
      <c r="DQ287" s="326"/>
      <c r="DR287" s="326"/>
      <c r="DS287" s="326"/>
      <c r="DT287" s="330"/>
      <c r="DU287" s="326"/>
      <c r="DV287" s="326"/>
      <c r="DW287" s="326"/>
      <c r="DX287" s="336"/>
      <c r="DY287" s="336"/>
      <c r="DZ287" s="330"/>
      <c r="EA287" s="326"/>
      <c r="EB287" s="326"/>
      <c r="EC287" s="326"/>
      <c r="ED287" s="330"/>
      <c r="EE287" s="326"/>
      <c r="EF287" s="326"/>
      <c r="EG287" s="326"/>
      <c r="EH287" s="336"/>
      <c r="EI287" s="336"/>
      <c r="EJ287" s="337"/>
      <c r="EK287" s="326"/>
      <c r="EL287" s="326"/>
      <c r="EM287" s="326"/>
      <c r="EN287" s="326"/>
      <c r="EO287" s="326"/>
      <c r="EP287" s="326"/>
      <c r="EQ287" s="326"/>
      <c r="ER287" s="326"/>
      <c r="ES287" s="336"/>
      <c r="ET287" s="336"/>
      <c r="EU287" s="326"/>
      <c r="EV287" s="326"/>
      <c r="EW287" s="326"/>
      <c r="EX287" s="326"/>
      <c r="EY287" s="134"/>
      <c r="EZ287" s="134"/>
      <c r="FA287" s="134"/>
      <c r="FB287" s="134"/>
      <c r="FC287" s="135"/>
      <c r="FD287" s="135"/>
      <c r="FE287" s="134"/>
      <c r="FF287" s="134"/>
      <c r="FG287" s="134"/>
      <c r="FH287" s="134"/>
      <c r="FI287" s="134"/>
      <c r="FJ287" s="134"/>
      <c r="FK287" s="134"/>
      <c r="FL287" s="134"/>
      <c r="FM287" s="135"/>
      <c r="FN287" s="135"/>
      <c r="FO287" s="134"/>
      <c r="FP287" s="134"/>
      <c r="FQ287" s="134"/>
      <c r="FR287" s="134"/>
      <c r="FS287" s="134"/>
      <c r="FT287" s="134"/>
      <c r="FU287" s="134"/>
      <c r="FV287" s="134"/>
      <c r="FW287" s="135"/>
      <c r="FX287" s="135"/>
      <c r="FY287" s="134"/>
      <c r="FZ287" s="134"/>
      <c r="GA287" s="134"/>
      <c r="GB287" s="134"/>
      <c r="GC287" s="134"/>
      <c r="GD287" s="134"/>
      <c r="GE287" s="134"/>
      <c r="GF287" s="134"/>
      <c r="GG287" s="135"/>
      <c r="GH287" s="135"/>
      <c r="GI287" s="134"/>
      <c r="GJ287" s="134"/>
      <c r="GK287" s="134"/>
      <c r="GL287" s="134"/>
      <c r="GM287" s="134"/>
      <c r="GN287" s="134"/>
      <c r="GO287" s="134"/>
      <c r="GP287" s="134"/>
      <c r="GQ287" s="135"/>
      <c r="GR287" s="135"/>
      <c r="GS287" s="134"/>
      <c r="GT287" s="134"/>
      <c r="GU287" s="134"/>
      <c r="GV287" s="134"/>
      <c r="GW287" s="134"/>
      <c r="GX287" s="134"/>
      <c r="GY287" s="134"/>
      <c r="GZ287" s="134"/>
      <c r="HA287" s="135"/>
      <c r="HB287" s="135"/>
      <c r="HC287" s="134"/>
      <c r="HD287" s="134"/>
      <c r="HE287" s="134"/>
      <c r="HF287" s="134"/>
      <c r="HG287" s="134"/>
      <c r="HH287" s="134"/>
      <c r="HI287" s="134"/>
      <c r="HJ287" s="134"/>
      <c r="HK287" s="135"/>
      <c r="HL287" s="135"/>
      <c r="HM287" s="134"/>
      <c r="HN287" s="134"/>
      <c r="HO287" s="134"/>
      <c r="HP287" s="134"/>
      <c r="HQ287" s="134"/>
      <c r="HR287" s="134"/>
      <c r="HS287" s="134"/>
      <c r="HT287" s="134"/>
      <c r="HU287" s="135"/>
      <c r="HV287" s="135"/>
      <c r="HW287" s="134"/>
      <c r="HX287" s="134"/>
      <c r="HY287" s="134"/>
      <c r="HZ287" s="134"/>
      <c r="IA287" s="134"/>
      <c r="IB287" s="134"/>
      <c r="IC287" s="134"/>
      <c r="ID287" s="134"/>
      <c r="IE287" s="135"/>
      <c r="IF287" s="135"/>
      <c r="IG287" s="134"/>
      <c r="IH287" s="134"/>
      <c r="II287" s="134"/>
      <c r="IJ287" s="134"/>
      <c r="IK287" s="134"/>
      <c r="IL287" s="134"/>
      <c r="IM287" s="134"/>
      <c r="IN287" s="134"/>
      <c r="IO287" s="135"/>
      <c r="IP287" s="135"/>
      <c r="IQ287" s="134"/>
      <c r="IR287" s="134"/>
      <c r="IS287" s="134"/>
      <c r="IT287" s="134"/>
      <c r="IU287" s="134"/>
      <c r="IV287" s="134"/>
      <c r="IW287" s="134"/>
      <c r="IX287" s="134"/>
      <c r="IY287" s="135"/>
      <c r="IZ287" s="135"/>
    </row>
    <row r="288" spans="1:260" customFormat="1" ht="17" customHeight="1">
      <c r="A288" s="321" t="s">
        <v>1001</v>
      </c>
      <c r="B288" s="117">
        <v>37</v>
      </c>
      <c r="C288" s="117"/>
      <c r="D288" s="117"/>
      <c r="E288" s="322" t="s">
        <v>2103</v>
      </c>
      <c r="F288" s="323" t="s">
        <v>2360</v>
      </c>
      <c r="G288" s="324">
        <v>2011</v>
      </c>
      <c r="H288" s="321">
        <v>21377492</v>
      </c>
      <c r="I288" s="321">
        <v>1</v>
      </c>
      <c r="J288" s="321">
        <v>1</v>
      </c>
      <c r="K288" s="321"/>
      <c r="L288" s="321">
        <v>1</v>
      </c>
      <c r="M288" s="321"/>
      <c r="N288" s="321">
        <v>1</v>
      </c>
      <c r="O288" s="325">
        <v>2</v>
      </c>
      <c r="P288" s="321" t="s">
        <v>1303</v>
      </c>
      <c r="Q288" s="321" t="s">
        <v>1212</v>
      </c>
      <c r="R288" s="321" t="s">
        <v>1468</v>
      </c>
      <c r="S288" s="321"/>
      <c r="T288" s="321" t="s">
        <v>1498</v>
      </c>
      <c r="U288" s="321" t="s">
        <v>803</v>
      </c>
      <c r="V288" s="321"/>
      <c r="W288" s="321" t="s">
        <v>1469</v>
      </c>
      <c r="X288" s="321" t="s">
        <v>436</v>
      </c>
      <c r="Y288" s="321"/>
      <c r="Z288" s="321"/>
      <c r="AA288" s="321"/>
      <c r="AB288" s="321"/>
      <c r="AC288" s="574"/>
      <c r="AD288" s="573">
        <v>1</v>
      </c>
      <c r="AE288" s="573">
        <v>2</v>
      </c>
      <c r="AF288" s="154">
        <v>1</v>
      </c>
      <c r="AG288" s="155" t="s">
        <v>3365</v>
      </c>
      <c r="AH288" s="326">
        <v>5</v>
      </c>
      <c r="AI288" s="490"/>
      <c r="AJ288" s="213" t="s">
        <v>3366</v>
      </c>
      <c r="AK288" s="327">
        <v>2</v>
      </c>
      <c r="AL288" s="215">
        <v>0</v>
      </c>
      <c r="AM288" s="134">
        <f>Table665[[#This Row],[Subjects_n_ptsd]]+Table665[[#This Row],[Subjects_n_control]]</f>
        <v>14</v>
      </c>
      <c r="AN288" s="326">
        <v>7</v>
      </c>
      <c r="AO288" s="326">
        <v>7</v>
      </c>
      <c r="AP288" s="326" t="s">
        <v>803</v>
      </c>
      <c r="AQ288" s="326" t="s">
        <v>803</v>
      </c>
      <c r="AR288" s="326" t="s">
        <v>24</v>
      </c>
      <c r="AS288" s="326" t="s">
        <v>24</v>
      </c>
      <c r="AT288" s="326" t="s">
        <v>24</v>
      </c>
      <c r="AU288" s="326" t="s">
        <v>24</v>
      </c>
      <c r="AV288" s="326" t="s">
        <v>3349</v>
      </c>
      <c r="AW288" s="326">
        <v>1</v>
      </c>
      <c r="AX288" s="326" t="s">
        <v>3347</v>
      </c>
      <c r="AY288" s="326" t="s">
        <v>2975</v>
      </c>
      <c r="AZ288" s="326" t="s">
        <v>1468</v>
      </c>
      <c r="BA288" s="326" t="s">
        <v>3279</v>
      </c>
      <c r="BB288" s="326"/>
      <c r="BC288" s="326"/>
      <c r="BD288" s="328">
        <v>1</v>
      </c>
      <c r="BE288" s="328" t="s">
        <v>1917</v>
      </c>
      <c r="BF288" s="328"/>
      <c r="BG288" s="328"/>
      <c r="BH288" s="328"/>
      <c r="BI288" s="328"/>
      <c r="BJ288" s="156" t="s">
        <v>1917</v>
      </c>
      <c r="BK288" s="328"/>
      <c r="BL288" s="328"/>
      <c r="BM288" s="328"/>
      <c r="BN288" s="328"/>
      <c r="BO288" s="328"/>
      <c r="BP288" s="328"/>
      <c r="BQ288" s="329" t="s">
        <v>3359</v>
      </c>
      <c r="BR288" s="326" t="s">
        <v>1876</v>
      </c>
      <c r="BS288" s="326">
        <v>2</v>
      </c>
      <c r="BT288" s="134" t="s">
        <v>3364</v>
      </c>
      <c r="BU288" s="326" t="s">
        <v>2606</v>
      </c>
      <c r="BV288" s="326" t="s">
        <v>3350</v>
      </c>
      <c r="BW288" s="259" t="s">
        <v>3394</v>
      </c>
      <c r="BX288" s="427" t="s">
        <v>3376</v>
      </c>
      <c r="BY288" s="326">
        <v>9.2608499999999996</v>
      </c>
      <c r="BZ288" s="326" t="s">
        <v>24</v>
      </c>
      <c r="CA288" s="326">
        <f>14.0964-Table665[[#This Row],[Outcome1_M]]</f>
        <v>4.8355499999999996</v>
      </c>
      <c r="CB288" s="427" t="s">
        <v>3383</v>
      </c>
      <c r="CC288" s="326">
        <v>29.993500000000001</v>
      </c>
      <c r="CD288" s="326" t="s">
        <v>24</v>
      </c>
      <c r="CE288" s="326">
        <f>41.848-Table665[[#This Row],[Outcome2_M]]</f>
        <v>11.854499999999998</v>
      </c>
      <c r="CF288" s="331" t="s">
        <v>3391</v>
      </c>
      <c r="CG288" s="332"/>
      <c r="CH288" s="330"/>
      <c r="CI288" s="326"/>
      <c r="CJ288" s="326"/>
      <c r="CK288" s="326"/>
      <c r="CL288" s="330"/>
      <c r="CM288" s="326"/>
      <c r="CN288" s="326"/>
      <c r="CO288" s="326"/>
      <c r="CP288" s="331"/>
      <c r="CQ288" s="332"/>
      <c r="CR288" s="333"/>
      <c r="CS288" s="334"/>
      <c r="CT288" s="330"/>
      <c r="CU288" s="326"/>
      <c r="CV288" s="326"/>
      <c r="CW288" s="326"/>
      <c r="CX288" s="326"/>
      <c r="CY288" s="326"/>
      <c r="CZ288" s="326"/>
      <c r="DA288" s="326"/>
      <c r="DB288" s="335"/>
      <c r="DC288" s="336"/>
      <c r="DD288" s="326"/>
      <c r="DE288" s="326"/>
      <c r="DF288" s="326"/>
      <c r="DG288" s="326"/>
      <c r="DH288" s="326"/>
      <c r="DI288" s="326"/>
      <c r="DJ288" s="326"/>
      <c r="DK288" s="326"/>
      <c r="DL288" s="335"/>
      <c r="DM288" s="336"/>
      <c r="DN288" s="333"/>
      <c r="DO288" s="337"/>
      <c r="DP288" s="326"/>
      <c r="DQ288" s="326"/>
      <c r="DR288" s="326"/>
      <c r="DS288" s="326"/>
      <c r="DT288" s="330"/>
      <c r="DU288" s="326"/>
      <c r="DV288" s="326"/>
      <c r="DW288" s="326"/>
      <c r="DX288" s="336"/>
      <c r="DY288" s="336"/>
      <c r="DZ288" s="330"/>
      <c r="EA288" s="326"/>
      <c r="EB288" s="326"/>
      <c r="EC288" s="326"/>
      <c r="ED288" s="330"/>
      <c r="EE288" s="326"/>
      <c r="EF288" s="326"/>
      <c r="EG288" s="326"/>
      <c r="EH288" s="336"/>
      <c r="EI288" s="336"/>
      <c r="EJ288" s="337"/>
      <c r="EK288" s="326"/>
      <c r="EL288" s="326"/>
      <c r="EM288" s="326"/>
      <c r="EN288" s="326"/>
      <c r="EO288" s="326"/>
      <c r="EP288" s="326"/>
      <c r="EQ288" s="326"/>
      <c r="ER288" s="326"/>
      <c r="ES288" s="336"/>
      <c r="ET288" s="336"/>
      <c r="EU288" s="326"/>
      <c r="EV288" s="326"/>
      <c r="EW288" s="326"/>
      <c r="EX288" s="326"/>
      <c r="EY288" s="134"/>
      <c r="EZ288" s="134"/>
      <c r="FA288" s="134"/>
      <c r="FB288" s="134"/>
      <c r="FC288" s="135"/>
      <c r="FD288" s="135"/>
      <c r="FE288" s="134"/>
      <c r="FF288" s="134"/>
      <c r="FG288" s="134"/>
      <c r="FH288" s="134"/>
      <c r="FI288" s="134"/>
      <c r="FJ288" s="134"/>
      <c r="FK288" s="134"/>
      <c r="FL288" s="134"/>
      <c r="FM288" s="135"/>
      <c r="FN288" s="135"/>
      <c r="FO288" s="134"/>
      <c r="FP288" s="134"/>
      <c r="FQ288" s="134"/>
      <c r="FR288" s="134"/>
      <c r="FS288" s="134"/>
      <c r="FT288" s="134"/>
      <c r="FU288" s="134"/>
      <c r="FV288" s="134"/>
      <c r="FW288" s="135"/>
      <c r="FX288" s="135"/>
      <c r="FY288" s="134"/>
      <c r="FZ288" s="134"/>
      <c r="GA288" s="134"/>
      <c r="GB288" s="134"/>
      <c r="GC288" s="134"/>
      <c r="GD288" s="134"/>
      <c r="GE288" s="134"/>
      <c r="GF288" s="134"/>
      <c r="GG288" s="135"/>
      <c r="GH288" s="135"/>
      <c r="GI288" s="134"/>
      <c r="GJ288" s="134"/>
      <c r="GK288" s="134"/>
      <c r="GL288" s="134"/>
      <c r="GM288" s="134"/>
      <c r="GN288" s="134"/>
      <c r="GO288" s="134"/>
      <c r="GP288" s="134"/>
      <c r="GQ288" s="135"/>
      <c r="GR288" s="135"/>
      <c r="GS288" s="134"/>
      <c r="GT288" s="134"/>
      <c r="GU288" s="134"/>
      <c r="GV288" s="134"/>
      <c r="GW288" s="134"/>
      <c r="GX288" s="134"/>
      <c r="GY288" s="134"/>
      <c r="GZ288" s="134"/>
      <c r="HA288" s="135"/>
      <c r="HB288" s="135"/>
      <c r="HC288" s="134"/>
      <c r="HD288" s="134"/>
      <c r="HE288" s="134"/>
      <c r="HF288" s="134"/>
      <c r="HG288" s="134"/>
      <c r="HH288" s="134"/>
      <c r="HI288" s="134"/>
      <c r="HJ288" s="134"/>
      <c r="HK288" s="135"/>
      <c r="HL288" s="135"/>
      <c r="HM288" s="134"/>
      <c r="HN288" s="134"/>
      <c r="HO288" s="134"/>
      <c r="HP288" s="134"/>
      <c r="HQ288" s="134"/>
      <c r="HR288" s="134"/>
      <c r="HS288" s="134"/>
      <c r="HT288" s="134"/>
      <c r="HU288" s="135"/>
      <c r="HV288" s="135"/>
      <c r="HW288" s="134"/>
      <c r="HX288" s="134"/>
      <c r="HY288" s="134"/>
      <c r="HZ288" s="134"/>
      <c r="IA288" s="134"/>
      <c r="IB288" s="134"/>
      <c r="IC288" s="134"/>
      <c r="ID288" s="134"/>
      <c r="IE288" s="135"/>
      <c r="IF288" s="135"/>
      <c r="IG288" s="134"/>
      <c r="IH288" s="134"/>
      <c r="II288" s="134"/>
      <c r="IJ288" s="134"/>
      <c r="IK288" s="134"/>
      <c r="IL288" s="134"/>
      <c r="IM288" s="134"/>
      <c r="IN288" s="134"/>
      <c r="IO288" s="135"/>
      <c r="IP288" s="135"/>
      <c r="IQ288" s="134"/>
      <c r="IR288" s="134"/>
      <c r="IS288" s="134"/>
      <c r="IT288" s="134"/>
      <c r="IU288" s="134"/>
      <c r="IV288" s="134"/>
      <c r="IW288" s="134"/>
      <c r="IX288" s="134"/>
      <c r="IY288" s="135"/>
      <c r="IZ288" s="135"/>
    </row>
    <row r="289" spans="1:260" customFormat="1" ht="17" customHeight="1">
      <c r="A289" s="321" t="s">
        <v>1001</v>
      </c>
      <c r="B289" s="117">
        <v>37</v>
      </c>
      <c r="C289" s="117"/>
      <c r="D289" s="117"/>
      <c r="E289" s="322" t="s">
        <v>2103</v>
      </c>
      <c r="F289" s="323" t="s">
        <v>2360</v>
      </c>
      <c r="G289" s="324">
        <v>2011</v>
      </c>
      <c r="H289" s="321">
        <v>21377492</v>
      </c>
      <c r="I289" s="321">
        <v>1</v>
      </c>
      <c r="J289" s="321">
        <v>1</v>
      </c>
      <c r="K289" s="321"/>
      <c r="L289" s="321">
        <v>1</v>
      </c>
      <c r="M289" s="321"/>
      <c r="N289" s="321">
        <v>1</v>
      </c>
      <c r="O289" s="325">
        <v>2</v>
      </c>
      <c r="P289" s="321" t="s">
        <v>1303</v>
      </c>
      <c r="Q289" s="321" t="s">
        <v>1212</v>
      </c>
      <c r="R289" s="321" t="s">
        <v>1468</v>
      </c>
      <c r="S289" s="321"/>
      <c r="T289" s="321" t="s">
        <v>1498</v>
      </c>
      <c r="U289" s="321" t="s">
        <v>803</v>
      </c>
      <c r="V289" s="321"/>
      <c r="W289" s="321" t="s">
        <v>1469</v>
      </c>
      <c r="X289" s="321" t="s">
        <v>436</v>
      </c>
      <c r="Y289" s="321"/>
      <c r="Z289" s="321"/>
      <c r="AA289" s="321"/>
      <c r="AB289" s="321"/>
      <c r="AC289" s="574"/>
      <c r="AD289" s="573">
        <v>1</v>
      </c>
      <c r="AE289" s="573">
        <v>2</v>
      </c>
      <c r="AF289" s="154">
        <v>1</v>
      </c>
      <c r="AG289" s="155" t="s">
        <v>3365</v>
      </c>
      <c r="AH289" s="326">
        <v>5</v>
      </c>
      <c r="AI289" s="490"/>
      <c r="AJ289" s="213" t="s">
        <v>3366</v>
      </c>
      <c r="AK289" s="327">
        <v>2</v>
      </c>
      <c r="AL289" s="215">
        <v>0</v>
      </c>
      <c r="AM289" s="134">
        <f>Table665[[#This Row],[Subjects_n_ptsd]]+Table665[[#This Row],[Subjects_n_control]]</f>
        <v>13</v>
      </c>
      <c r="AN289" s="326">
        <v>6</v>
      </c>
      <c r="AO289" s="326">
        <v>7</v>
      </c>
      <c r="AP289" s="326" t="s">
        <v>803</v>
      </c>
      <c r="AQ289" s="326" t="s">
        <v>803</v>
      </c>
      <c r="AR289" s="326" t="s">
        <v>24</v>
      </c>
      <c r="AS289" s="326" t="s">
        <v>24</v>
      </c>
      <c r="AT289" s="326" t="s">
        <v>24</v>
      </c>
      <c r="AU289" s="326" t="s">
        <v>24</v>
      </c>
      <c r="AV289" s="326" t="s">
        <v>3349</v>
      </c>
      <c r="AW289" s="326">
        <v>1</v>
      </c>
      <c r="AX289" s="326" t="s">
        <v>3347</v>
      </c>
      <c r="AY289" s="326" t="s">
        <v>2975</v>
      </c>
      <c r="AZ289" s="326" t="s">
        <v>1468</v>
      </c>
      <c r="BA289" s="326" t="s">
        <v>3279</v>
      </c>
      <c r="BB289" s="326"/>
      <c r="BC289" s="326"/>
      <c r="BD289" s="328">
        <v>1</v>
      </c>
      <c r="BE289" s="328" t="s">
        <v>1917</v>
      </c>
      <c r="BF289" s="328"/>
      <c r="BG289" s="328"/>
      <c r="BH289" s="328"/>
      <c r="BI289" s="328"/>
      <c r="BJ289" s="156" t="s">
        <v>1917</v>
      </c>
      <c r="BK289" s="328"/>
      <c r="BL289" s="328"/>
      <c r="BM289" s="328"/>
      <c r="BN289" s="328"/>
      <c r="BO289" s="328"/>
      <c r="BP289" s="328"/>
      <c r="BQ289" s="329" t="s">
        <v>3360</v>
      </c>
      <c r="BR289" s="326" t="s">
        <v>1876</v>
      </c>
      <c r="BS289" s="326">
        <v>2</v>
      </c>
      <c r="BT289" s="424" t="s">
        <v>3354</v>
      </c>
      <c r="BU289" s="326" t="s">
        <v>2606</v>
      </c>
      <c r="BV289" s="326" t="s">
        <v>3350</v>
      </c>
      <c r="BW289" s="259" t="s">
        <v>3394</v>
      </c>
      <c r="BX289" s="138" t="s">
        <v>3371</v>
      </c>
      <c r="BY289" s="326">
        <v>0.761154</v>
      </c>
      <c r="BZ289" s="326" t="s">
        <v>24</v>
      </c>
      <c r="CA289" s="326">
        <f>1.38429-Table665[[#This Row],[Outcome1_M]]</f>
        <v>0.62313600000000002</v>
      </c>
      <c r="CB289" s="138" t="s">
        <v>3384</v>
      </c>
      <c r="CC289" s="326">
        <v>85.264700000000005</v>
      </c>
      <c r="CD289" s="326" t="s">
        <v>24</v>
      </c>
      <c r="CE289" s="326">
        <f>105.629-Table665[[#This Row],[Outcome2_M]]</f>
        <v>20.3643</v>
      </c>
      <c r="CF289" s="341" t="s">
        <v>3386</v>
      </c>
      <c r="CG289" s="332" t="s">
        <v>3060</v>
      </c>
      <c r="CH289" s="330"/>
      <c r="CI289" s="326"/>
      <c r="CJ289" s="326"/>
      <c r="CK289" s="326"/>
      <c r="CL289" s="330"/>
      <c r="CM289" s="326"/>
      <c r="CN289" s="326"/>
      <c r="CO289" s="326"/>
      <c r="CP289" s="331"/>
      <c r="CQ289" s="332"/>
      <c r="CR289" s="333"/>
      <c r="CS289" s="334"/>
      <c r="CT289" s="330"/>
      <c r="CU289" s="326"/>
      <c r="CV289" s="326"/>
      <c r="CW289" s="326"/>
      <c r="CX289" s="326"/>
      <c r="CY289" s="326"/>
      <c r="CZ289" s="326"/>
      <c r="DA289" s="326"/>
      <c r="DB289" s="335"/>
      <c r="DC289" s="336"/>
      <c r="DD289" s="326"/>
      <c r="DE289" s="326"/>
      <c r="DF289" s="326"/>
      <c r="DG289" s="326"/>
      <c r="DH289" s="326"/>
      <c r="DI289" s="326"/>
      <c r="DJ289" s="326"/>
      <c r="DK289" s="326"/>
      <c r="DL289" s="335"/>
      <c r="DM289" s="336"/>
      <c r="DN289" s="333"/>
      <c r="DO289" s="337"/>
      <c r="DP289" s="326"/>
      <c r="DQ289" s="326"/>
      <c r="DR289" s="326"/>
      <c r="DS289" s="326"/>
      <c r="DT289" s="330"/>
      <c r="DU289" s="326"/>
      <c r="DV289" s="326"/>
      <c r="DW289" s="326"/>
      <c r="DX289" s="336"/>
      <c r="DY289" s="336"/>
      <c r="DZ289" s="330"/>
      <c r="EA289" s="326"/>
      <c r="EB289" s="326"/>
      <c r="EC289" s="326"/>
      <c r="ED289" s="330"/>
      <c r="EE289" s="326"/>
      <c r="EF289" s="326"/>
      <c r="EG289" s="326"/>
      <c r="EH289" s="336"/>
      <c r="EI289" s="336"/>
      <c r="EJ289" s="337"/>
      <c r="EK289" s="326"/>
      <c r="EL289" s="326"/>
      <c r="EM289" s="326"/>
      <c r="EN289" s="326"/>
      <c r="EO289" s="326"/>
      <c r="EP289" s="326"/>
      <c r="EQ289" s="326"/>
      <c r="ER289" s="326"/>
      <c r="ES289" s="336"/>
      <c r="ET289" s="336"/>
      <c r="EU289" s="326"/>
      <c r="EV289" s="326"/>
      <c r="EW289" s="326"/>
      <c r="EX289" s="326"/>
      <c r="EY289" s="134"/>
      <c r="EZ289" s="134"/>
      <c r="FA289" s="134"/>
      <c r="FB289" s="134"/>
      <c r="FC289" s="135"/>
      <c r="FD289" s="135"/>
      <c r="FE289" s="134"/>
      <c r="FF289" s="134"/>
      <c r="FG289" s="134"/>
      <c r="FH289" s="134"/>
      <c r="FI289" s="134"/>
      <c r="FJ289" s="134"/>
      <c r="FK289" s="134"/>
      <c r="FL289" s="134"/>
      <c r="FM289" s="135"/>
      <c r="FN289" s="135"/>
      <c r="FO289" s="134"/>
      <c r="FP289" s="134"/>
      <c r="FQ289" s="134"/>
      <c r="FR289" s="134"/>
      <c r="FS289" s="134"/>
      <c r="FT289" s="134"/>
      <c r="FU289" s="134"/>
      <c r="FV289" s="134"/>
      <c r="FW289" s="135"/>
      <c r="FX289" s="135"/>
      <c r="FY289" s="134"/>
      <c r="FZ289" s="134"/>
      <c r="GA289" s="134"/>
      <c r="GB289" s="134"/>
      <c r="GC289" s="134"/>
      <c r="GD289" s="134"/>
      <c r="GE289" s="134"/>
      <c r="GF289" s="134"/>
      <c r="GG289" s="135"/>
      <c r="GH289" s="135"/>
      <c r="GI289" s="134"/>
      <c r="GJ289" s="134"/>
      <c r="GK289" s="134"/>
      <c r="GL289" s="134"/>
      <c r="GM289" s="134"/>
      <c r="GN289" s="134"/>
      <c r="GO289" s="134"/>
      <c r="GP289" s="134"/>
      <c r="GQ289" s="135"/>
      <c r="GR289" s="135"/>
      <c r="GS289" s="134"/>
      <c r="GT289" s="134"/>
      <c r="GU289" s="134"/>
      <c r="GV289" s="134"/>
      <c r="GW289" s="134"/>
      <c r="GX289" s="134"/>
      <c r="GY289" s="134"/>
      <c r="GZ289" s="134"/>
      <c r="HA289" s="135"/>
      <c r="HB289" s="135"/>
      <c r="HC289" s="134"/>
      <c r="HD289" s="134"/>
      <c r="HE289" s="134"/>
      <c r="HF289" s="134"/>
      <c r="HG289" s="134"/>
      <c r="HH289" s="134"/>
      <c r="HI289" s="134"/>
      <c r="HJ289" s="134"/>
      <c r="HK289" s="135"/>
      <c r="HL289" s="135"/>
      <c r="HM289" s="134"/>
      <c r="HN289" s="134"/>
      <c r="HO289" s="134"/>
      <c r="HP289" s="134"/>
      <c r="HQ289" s="134"/>
      <c r="HR289" s="134"/>
      <c r="HS289" s="134"/>
      <c r="HT289" s="134"/>
      <c r="HU289" s="135"/>
      <c r="HV289" s="135"/>
      <c r="HW289" s="134"/>
      <c r="HX289" s="134"/>
      <c r="HY289" s="134"/>
      <c r="HZ289" s="134"/>
      <c r="IA289" s="134"/>
      <c r="IB289" s="134"/>
      <c r="IC289" s="134"/>
      <c r="ID289" s="134"/>
      <c r="IE289" s="135"/>
      <c r="IF289" s="135"/>
      <c r="IG289" s="134"/>
      <c r="IH289" s="134"/>
      <c r="II289" s="134"/>
      <c r="IJ289" s="134"/>
      <c r="IK289" s="134"/>
      <c r="IL289" s="134"/>
      <c r="IM289" s="134"/>
      <c r="IN289" s="134"/>
      <c r="IO289" s="135"/>
      <c r="IP289" s="135"/>
      <c r="IQ289" s="134"/>
      <c r="IR289" s="134"/>
      <c r="IS289" s="134"/>
      <c r="IT289" s="134"/>
      <c r="IU289" s="134"/>
      <c r="IV289" s="134"/>
      <c r="IW289" s="134"/>
      <c r="IX289" s="134"/>
      <c r="IY289" s="135"/>
      <c r="IZ289" s="135"/>
    </row>
    <row r="290" spans="1:260" customFormat="1" ht="17" customHeight="1">
      <c r="A290" s="321" t="s">
        <v>1001</v>
      </c>
      <c r="B290" s="117">
        <v>37</v>
      </c>
      <c r="C290" s="117"/>
      <c r="D290" s="117"/>
      <c r="E290" s="322" t="s">
        <v>2103</v>
      </c>
      <c r="F290" s="323" t="s">
        <v>2360</v>
      </c>
      <c r="G290" s="324">
        <v>2011</v>
      </c>
      <c r="H290" s="321">
        <v>21377492</v>
      </c>
      <c r="I290" s="321">
        <v>1</v>
      </c>
      <c r="J290" s="321">
        <v>1</v>
      </c>
      <c r="K290" s="321"/>
      <c r="L290" s="321">
        <v>1</v>
      </c>
      <c r="M290" s="321"/>
      <c r="N290" s="321">
        <v>1</v>
      </c>
      <c r="O290" s="325">
        <v>2</v>
      </c>
      <c r="P290" s="321" t="s">
        <v>1303</v>
      </c>
      <c r="Q290" s="321" t="s">
        <v>1212</v>
      </c>
      <c r="R290" s="321" t="s">
        <v>1468</v>
      </c>
      <c r="S290" s="321"/>
      <c r="T290" s="321" t="s">
        <v>1498</v>
      </c>
      <c r="U290" s="321" t="s">
        <v>803</v>
      </c>
      <c r="V290" s="321"/>
      <c r="W290" s="321" t="s">
        <v>1469</v>
      </c>
      <c r="X290" s="321" t="s">
        <v>436</v>
      </c>
      <c r="Y290" s="321"/>
      <c r="Z290" s="321"/>
      <c r="AA290" s="321"/>
      <c r="AB290" s="321"/>
      <c r="AC290" s="574"/>
      <c r="AD290" s="573">
        <v>1</v>
      </c>
      <c r="AE290" s="573">
        <v>2</v>
      </c>
      <c r="AF290" s="154">
        <v>1</v>
      </c>
      <c r="AG290" s="155" t="s">
        <v>3365</v>
      </c>
      <c r="AH290" s="326">
        <v>5</v>
      </c>
      <c r="AI290" s="490"/>
      <c r="AJ290" s="213" t="s">
        <v>3366</v>
      </c>
      <c r="AK290" s="327">
        <v>2</v>
      </c>
      <c r="AL290" s="215">
        <v>0</v>
      </c>
      <c r="AM290" s="134">
        <f>Table665[[#This Row],[Subjects_n_ptsd]]+Table665[[#This Row],[Subjects_n_control]]</f>
        <v>14</v>
      </c>
      <c r="AN290" s="326">
        <v>7</v>
      </c>
      <c r="AO290" s="326">
        <v>7</v>
      </c>
      <c r="AP290" s="326" t="s">
        <v>803</v>
      </c>
      <c r="AQ290" s="326" t="s">
        <v>803</v>
      </c>
      <c r="AR290" s="326" t="s">
        <v>24</v>
      </c>
      <c r="AS290" s="326" t="s">
        <v>24</v>
      </c>
      <c r="AT290" s="326" t="s">
        <v>24</v>
      </c>
      <c r="AU290" s="326" t="s">
        <v>24</v>
      </c>
      <c r="AV290" s="326" t="s">
        <v>3349</v>
      </c>
      <c r="AW290" s="326">
        <v>1</v>
      </c>
      <c r="AX290" s="326" t="s">
        <v>3347</v>
      </c>
      <c r="AY290" s="326" t="s">
        <v>2975</v>
      </c>
      <c r="AZ290" s="326" t="s">
        <v>1468</v>
      </c>
      <c r="BA290" s="326" t="s">
        <v>3279</v>
      </c>
      <c r="BB290" s="326"/>
      <c r="BC290" s="326"/>
      <c r="BD290" s="328">
        <v>1</v>
      </c>
      <c r="BE290" s="328" t="s">
        <v>1917</v>
      </c>
      <c r="BF290" s="328"/>
      <c r="BG290" s="328"/>
      <c r="BH290" s="328"/>
      <c r="BI290" s="328"/>
      <c r="BJ290" s="156" t="s">
        <v>1917</v>
      </c>
      <c r="BK290" s="328"/>
      <c r="BL290" s="328"/>
      <c r="BM290" s="328"/>
      <c r="BN290" s="328"/>
      <c r="BO290" s="328"/>
      <c r="BP290" s="328"/>
      <c r="BQ290" s="329" t="s">
        <v>3360</v>
      </c>
      <c r="BR290" s="326" t="s">
        <v>1876</v>
      </c>
      <c r="BS290" s="326">
        <v>2</v>
      </c>
      <c r="BT290" s="424" t="s">
        <v>3367</v>
      </c>
      <c r="BU290" s="326" t="s">
        <v>2606</v>
      </c>
      <c r="BV290" s="326" t="s">
        <v>3350</v>
      </c>
      <c r="BW290" s="259" t="s">
        <v>3394</v>
      </c>
      <c r="BX290" s="427" t="s">
        <v>3377</v>
      </c>
      <c r="BY290" s="326">
        <v>3.5308299999999999</v>
      </c>
      <c r="BZ290" s="326" t="s">
        <v>24</v>
      </c>
      <c r="CA290" s="326">
        <f>5.87052-Table665[[#This Row],[Outcome1_M]]</f>
        <v>2.33969</v>
      </c>
      <c r="CB290" s="427" t="s">
        <v>3385</v>
      </c>
      <c r="CC290" s="326">
        <v>43.761200000000002</v>
      </c>
      <c r="CD290" s="326" t="s">
        <v>24</v>
      </c>
      <c r="CE290" s="326">
        <f>61.2309-Table665[[#This Row],[Outcome2_M]]</f>
        <v>17.469699999999996</v>
      </c>
      <c r="CF290" s="341" t="s">
        <v>3386</v>
      </c>
      <c r="CG290" s="332" t="s">
        <v>2588</v>
      </c>
      <c r="CH290" s="330"/>
      <c r="CI290" s="326"/>
      <c r="CJ290" s="326"/>
      <c r="CK290" s="326"/>
      <c r="CL290" s="330"/>
      <c r="CM290" s="326"/>
      <c r="CN290" s="326"/>
      <c r="CO290" s="326"/>
      <c r="CP290" s="331"/>
      <c r="CQ290" s="332"/>
      <c r="CR290" s="333"/>
      <c r="CS290" s="334"/>
      <c r="CT290" s="330"/>
      <c r="CU290" s="326"/>
      <c r="CV290" s="326"/>
      <c r="CW290" s="326"/>
      <c r="CX290" s="326"/>
      <c r="CY290" s="326"/>
      <c r="CZ290" s="326"/>
      <c r="DA290" s="326"/>
      <c r="DB290" s="335"/>
      <c r="DC290" s="336"/>
      <c r="DD290" s="326"/>
      <c r="DE290" s="326"/>
      <c r="DF290" s="326"/>
      <c r="DG290" s="326"/>
      <c r="DH290" s="326"/>
      <c r="DI290" s="326"/>
      <c r="DJ290" s="326"/>
      <c r="DK290" s="326"/>
      <c r="DL290" s="335"/>
      <c r="DM290" s="336"/>
      <c r="DN290" s="333"/>
      <c r="DO290" s="337"/>
      <c r="DP290" s="326"/>
      <c r="DQ290" s="326"/>
      <c r="DR290" s="326"/>
      <c r="DS290" s="326"/>
      <c r="DT290" s="330"/>
      <c r="DU290" s="326"/>
      <c r="DV290" s="326"/>
      <c r="DW290" s="326"/>
      <c r="DX290" s="336"/>
      <c r="DY290" s="336"/>
      <c r="DZ290" s="330"/>
      <c r="EA290" s="326"/>
      <c r="EB290" s="326"/>
      <c r="EC290" s="326"/>
      <c r="ED290" s="330"/>
      <c r="EE290" s="326"/>
      <c r="EF290" s="326"/>
      <c r="EG290" s="326"/>
      <c r="EH290" s="336"/>
      <c r="EI290" s="336"/>
      <c r="EJ290" s="337"/>
      <c r="EK290" s="326"/>
      <c r="EL290" s="326"/>
      <c r="EM290" s="326"/>
      <c r="EN290" s="326"/>
      <c r="EO290" s="326"/>
      <c r="EP290" s="326"/>
      <c r="EQ290" s="326"/>
      <c r="ER290" s="326"/>
      <c r="ES290" s="336"/>
      <c r="ET290" s="336"/>
      <c r="EU290" s="326"/>
      <c r="EV290" s="326"/>
      <c r="EW290" s="326"/>
      <c r="EX290" s="326"/>
      <c r="EY290" s="134"/>
      <c r="EZ290" s="134"/>
      <c r="FA290" s="134"/>
      <c r="FB290" s="134"/>
      <c r="FC290" s="135"/>
      <c r="FD290" s="135"/>
      <c r="FE290" s="134"/>
      <c r="FF290" s="134"/>
      <c r="FG290" s="134"/>
      <c r="FH290" s="134"/>
      <c r="FI290" s="134"/>
      <c r="FJ290" s="134"/>
      <c r="FK290" s="134"/>
      <c r="FL290" s="134"/>
      <c r="FM290" s="135"/>
      <c r="FN290" s="135"/>
      <c r="FO290" s="134"/>
      <c r="FP290" s="134"/>
      <c r="FQ290" s="134"/>
      <c r="FR290" s="134"/>
      <c r="FS290" s="134"/>
      <c r="FT290" s="134"/>
      <c r="FU290" s="134"/>
      <c r="FV290" s="134"/>
      <c r="FW290" s="135"/>
      <c r="FX290" s="135"/>
      <c r="FY290" s="134"/>
      <c r="FZ290" s="134"/>
      <c r="GA290" s="134"/>
      <c r="GB290" s="134"/>
      <c r="GC290" s="134"/>
      <c r="GD290" s="134"/>
      <c r="GE290" s="134"/>
      <c r="GF290" s="134"/>
      <c r="GG290" s="135"/>
      <c r="GH290" s="135"/>
      <c r="GI290" s="134"/>
      <c r="GJ290" s="134"/>
      <c r="GK290" s="134"/>
      <c r="GL290" s="134"/>
      <c r="GM290" s="134"/>
      <c r="GN290" s="134"/>
      <c r="GO290" s="134"/>
      <c r="GP290" s="134"/>
      <c r="GQ290" s="135"/>
      <c r="GR290" s="135"/>
      <c r="GS290" s="134"/>
      <c r="GT290" s="134"/>
      <c r="GU290" s="134"/>
      <c r="GV290" s="134"/>
      <c r="GW290" s="134"/>
      <c r="GX290" s="134"/>
      <c r="GY290" s="134"/>
      <c r="GZ290" s="134"/>
      <c r="HA290" s="135"/>
      <c r="HB290" s="135"/>
      <c r="HC290" s="134"/>
      <c r="HD290" s="134"/>
      <c r="HE290" s="134"/>
      <c r="HF290" s="134"/>
      <c r="HG290" s="134"/>
      <c r="HH290" s="134"/>
      <c r="HI290" s="134"/>
      <c r="HJ290" s="134"/>
      <c r="HK290" s="135"/>
      <c r="HL290" s="135"/>
      <c r="HM290" s="134"/>
      <c r="HN290" s="134"/>
      <c r="HO290" s="134"/>
      <c r="HP290" s="134"/>
      <c r="HQ290" s="134"/>
      <c r="HR290" s="134"/>
      <c r="HS290" s="134"/>
      <c r="HT290" s="134"/>
      <c r="HU290" s="135"/>
      <c r="HV290" s="135"/>
      <c r="HW290" s="134"/>
      <c r="HX290" s="134"/>
      <c r="HY290" s="134"/>
      <c r="HZ290" s="134"/>
      <c r="IA290" s="134"/>
      <c r="IB290" s="134"/>
      <c r="IC290" s="134"/>
      <c r="ID290" s="134"/>
      <c r="IE290" s="135"/>
      <c r="IF290" s="135"/>
      <c r="IG290" s="134"/>
      <c r="IH290" s="134"/>
      <c r="II290" s="134"/>
      <c r="IJ290" s="134"/>
      <c r="IK290" s="134"/>
      <c r="IL290" s="134"/>
      <c r="IM290" s="134"/>
      <c r="IN290" s="134"/>
      <c r="IO290" s="135"/>
      <c r="IP290" s="135"/>
      <c r="IQ290" s="134"/>
      <c r="IR290" s="134"/>
      <c r="IS290" s="134"/>
      <c r="IT290" s="134"/>
      <c r="IU290" s="134"/>
      <c r="IV290" s="134"/>
      <c r="IW290" s="134"/>
      <c r="IX290" s="134"/>
      <c r="IY290" s="135"/>
      <c r="IZ290" s="135"/>
    </row>
    <row r="291" spans="1:260" customFormat="1" ht="17" customHeight="1">
      <c r="A291" s="321" t="s">
        <v>1001</v>
      </c>
      <c r="B291" s="117">
        <v>37</v>
      </c>
      <c r="C291" s="117"/>
      <c r="D291" s="117"/>
      <c r="E291" s="322" t="s">
        <v>2103</v>
      </c>
      <c r="F291" s="323" t="s">
        <v>2360</v>
      </c>
      <c r="G291" s="324">
        <v>2011</v>
      </c>
      <c r="H291" s="321">
        <v>21377492</v>
      </c>
      <c r="I291" s="321">
        <v>1</v>
      </c>
      <c r="J291" s="321">
        <v>1</v>
      </c>
      <c r="K291" s="321"/>
      <c r="L291" s="321">
        <v>1</v>
      </c>
      <c r="M291" s="321"/>
      <c r="N291" s="321">
        <v>1</v>
      </c>
      <c r="O291" s="325">
        <v>2</v>
      </c>
      <c r="P291" s="321" t="s">
        <v>1303</v>
      </c>
      <c r="Q291" s="321" t="s">
        <v>1212</v>
      </c>
      <c r="R291" s="321" t="s">
        <v>1468</v>
      </c>
      <c r="S291" s="321"/>
      <c r="T291" s="321" t="s">
        <v>1498</v>
      </c>
      <c r="U291" s="321" t="s">
        <v>803</v>
      </c>
      <c r="V291" s="321"/>
      <c r="W291" s="321" t="s">
        <v>1469</v>
      </c>
      <c r="X291" s="321" t="s">
        <v>436</v>
      </c>
      <c r="Y291" s="321"/>
      <c r="Z291" s="321"/>
      <c r="AA291" s="321"/>
      <c r="AB291" s="321"/>
      <c r="AC291" s="574"/>
      <c r="AD291" s="573">
        <v>1</v>
      </c>
      <c r="AE291" s="573">
        <v>2</v>
      </c>
      <c r="AF291" s="154">
        <v>1</v>
      </c>
      <c r="AG291" s="155" t="s">
        <v>3365</v>
      </c>
      <c r="AH291" s="326">
        <v>5</v>
      </c>
      <c r="AI291" s="490"/>
      <c r="AJ291" s="213" t="s">
        <v>3366</v>
      </c>
      <c r="AK291" s="327">
        <v>2</v>
      </c>
      <c r="AL291" s="215">
        <v>0</v>
      </c>
      <c r="AM291" s="134">
        <f>Table665[[#This Row],[Subjects_n_ptsd]]+Table665[[#This Row],[Subjects_n_control]]</f>
        <v>18</v>
      </c>
      <c r="AN291" s="326">
        <v>9</v>
      </c>
      <c r="AO291" s="326">
        <v>9</v>
      </c>
      <c r="AP291" s="326" t="s">
        <v>803</v>
      </c>
      <c r="AQ291" s="326" t="s">
        <v>803</v>
      </c>
      <c r="AR291" s="326" t="s">
        <v>24</v>
      </c>
      <c r="AS291" s="326" t="s">
        <v>24</v>
      </c>
      <c r="AT291" s="326" t="s">
        <v>24</v>
      </c>
      <c r="AU291" s="326" t="s">
        <v>24</v>
      </c>
      <c r="AV291" s="326" t="s">
        <v>3349</v>
      </c>
      <c r="AW291" s="326">
        <v>1</v>
      </c>
      <c r="AX291" s="326" t="s">
        <v>3347</v>
      </c>
      <c r="AY291" s="326" t="s">
        <v>2975</v>
      </c>
      <c r="AZ291" s="326" t="s">
        <v>1468</v>
      </c>
      <c r="BA291" s="326" t="s">
        <v>3279</v>
      </c>
      <c r="BB291" s="326"/>
      <c r="BC291" s="326"/>
      <c r="BD291" s="328">
        <v>1</v>
      </c>
      <c r="BE291" s="328" t="s">
        <v>1917</v>
      </c>
      <c r="BF291" s="328"/>
      <c r="BG291" s="328"/>
      <c r="BH291" s="328"/>
      <c r="BI291" s="328"/>
      <c r="BJ291" s="156" t="s">
        <v>1917</v>
      </c>
      <c r="BK291" s="328"/>
      <c r="BL291" s="328"/>
      <c r="BM291" s="328"/>
      <c r="BN291" s="328"/>
      <c r="BO291" s="328"/>
      <c r="BP291" s="328"/>
      <c r="BQ291" s="329" t="s">
        <v>3361</v>
      </c>
      <c r="BR291" s="326" t="s">
        <v>1876</v>
      </c>
      <c r="BS291" s="326">
        <v>2</v>
      </c>
      <c r="BT291" s="424" t="s">
        <v>3355</v>
      </c>
      <c r="BU291" s="326" t="s">
        <v>2606</v>
      </c>
      <c r="BV291" s="326" t="s">
        <v>3350</v>
      </c>
      <c r="BW291" s="259" t="s">
        <v>3394</v>
      </c>
      <c r="BX291" s="138" t="s">
        <v>3392</v>
      </c>
      <c r="BY291" s="326">
        <v>2.9942799999999998</v>
      </c>
      <c r="BZ291" s="326" t="s">
        <v>24</v>
      </c>
      <c r="CA291" s="326">
        <f>4.55273-Table665[[#This Row],[Outcome1_M]]</f>
        <v>1.5584500000000006</v>
      </c>
      <c r="CB291" s="138" t="s">
        <v>3388</v>
      </c>
      <c r="CC291" s="326">
        <v>36.018099999999997</v>
      </c>
      <c r="CD291" s="326" t="s">
        <v>24</v>
      </c>
      <c r="CE291" s="326">
        <f>45.0564-Table665[[#This Row],[Outcome2_M]]</f>
        <v>9.0382999999999996</v>
      </c>
      <c r="CF291" s="341" t="s">
        <v>3386</v>
      </c>
      <c r="CG291" s="332" t="s">
        <v>3060</v>
      </c>
      <c r="CH291" s="330"/>
      <c r="CI291" s="326"/>
      <c r="CJ291" s="326"/>
      <c r="CK291" s="326"/>
      <c r="CL291" s="330"/>
      <c r="CM291" s="326"/>
      <c r="CN291" s="326"/>
      <c r="CO291" s="326"/>
      <c r="CP291" s="331"/>
      <c r="CQ291" s="332"/>
      <c r="CR291" s="333"/>
      <c r="CS291" s="334"/>
      <c r="CT291" s="330"/>
      <c r="CU291" s="326"/>
      <c r="CV291" s="326"/>
      <c r="CW291" s="326"/>
      <c r="CX291" s="326"/>
      <c r="CY291" s="326"/>
      <c r="CZ291" s="326"/>
      <c r="DA291" s="326"/>
      <c r="DB291" s="335"/>
      <c r="DC291" s="336"/>
      <c r="DD291" s="326"/>
      <c r="DE291" s="326"/>
      <c r="DF291" s="326"/>
      <c r="DG291" s="326"/>
      <c r="DH291" s="326"/>
      <c r="DI291" s="326"/>
      <c r="DJ291" s="326"/>
      <c r="DK291" s="326"/>
      <c r="DL291" s="335"/>
      <c r="DM291" s="336"/>
      <c r="DN291" s="333"/>
      <c r="DO291" s="337"/>
      <c r="DP291" s="326"/>
      <c r="DQ291" s="326"/>
      <c r="DR291" s="326"/>
      <c r="DS291" s="326"/>
      <c r="DT291" s="330"/>
      <c r="DU291" s="326"/>
      <c r="DV291" s="326"/>
      <c r="DW291" s="326"/>
      <c r="DX291" s="336"/>
      <c r="DY291" s="336"/>
      <c r="DZ291" s="330"/>
      <c r="EA291" s="326"/>
      <c r="EB291" s="326"/>
      <c r="EC291" s="326"/>
      <c r="ED291" s="330"/>
      <c r="EE291" s="326"/>
      <c r="EF291" s="326"/>
      <c r="EG291" s="326"/>
      <c r="EH291" s="336"/>
      <c r="EI291" s="336"/>
      <c r="EJ291" s="337"/>
      <c r="EK291" s="326"/>
      <c r="EL291" s="326"/>
      <c r="EM291" s="326"/>
      <c r="EN291" s="326"/>
      <c r="EO291" s="326"/>
      <c r="EP291" s="326"/>
      <c r="EQ291" s="326"/>
      <c r="ER291" s="326"/>
      <c r="ES291" s="336"/>
      <c r="ET291" s="336"/>
      <c r="EU291" s="326"/>
      <c r="EV291" s="326"/>
      <c r="EW291" s="326"/>
      <c r="EX291" s="326"/>
      <c r="EY291" s="134"/>
      <c r="EZ291" s="134"/>
      <c r="FA291" s="134"/>
      <c r="FB291" s="134"/>
      <c r="FC291" s="135"/>
      <c r="FD291" s="135"/>
      <c r="FE291" s="134"/>
      <c r="FF291" s="134"/>
      <c r="FG291" s="134"/>
      <c r="FH291" s="134"/>
      <c r="FI291" s="134"/>
      <c r="FJ291" s="134"/>
      <c r="FK291" s="134"/>
      <c r="FL291" s="134"/>
      <c r="FM291" s="135"/>
      <c r="FN291" s="135"/>
      <c r="FO291" s="134"/>
      <c r="FP291" s="134"/>
      <c r="FQ291" s="134"/>
      <c r="FR291" s="134"/>
      <c r="FS291" s="134"/>
      <c r="FT291" s="134"/>
      <c r="FU291" s="134"/>
      <c r="FV291" s="134"/>
      <c r="FW291" s="135"/>
      <c r="FX291" s="135"/>
      <c r="FY291" s="134"/>
      <c r="FZ291" s="134"/>
      <c r="GA291" s="134"/>
      <c r="GB291" s="134"/>
      <c r="GC291" s="134"/>
      <c r="GD291" s="134"/>
      <c r="GE291" s="134"/>
      <c r="GF291" s="134"/>
      <c r="GG291" s="135"/>
      <c r="GH291" s="135"/>
      <c r="GI291" s="134"/>
      <c r="GJ291" s="134"/>
      <c r="GK291" s="134"/>
      <c r="GL291" s="134"/>
      <c r="GM291" s="134"/>
      <c r="GN291" s="134"/>
      <c r="GO291" s="134"/>
      <c r="GP291" s="134"/>
      <c r="GQ291" s="135"/>
      <c r="GR291" s="135"/>
      <c r="GS291" s="134"/>
      <c r="GT291" s="134"/>
      <c r="GU291" s="134"/>
      <c r="GV291" s="134"/>
      <c r="GW291" s="134"/>
      <c r="GX291" s="134"/>
      <c r="GY291" s="134"/>
      <c r="GZ291" s="134"/>
      <c r="HA291" s="135"/>
      <c r="HB291" s="135"/>
      <c r="HC291" s="134"/>
      <c r="HD291" s="134"/>
      <c r="HE291" s="134"/>
      <c r="HF291" s="134"/>
      <c r="HG291" s="134"/>
      <c r="HH291" s="134"/>
      <c r="HI291" s="134"/>
      <c r="HJ291" s="134"/>
      <c r="HK291" s="135"/>
      <c r="HL291" s="135"/>
      <c r="HM291" s="134"/>
      <c r="HN291" s="134"/>
      <c r="HO291" s="134"/>
      <c r="HP291" s="134"/>
      <c r="HQ291" s="134"/>
      <c r="HR291" s="134"/>
      <c r="HS291" s="134"/>
      <c r="HT291" s="134"/>
      <c r="HU291" s="135"/>
      <c r="HV291" s="135"/>
      <c r="HW291" s="134"/>
      <c r="HX291" s="134"/>
      <c r="HY291" s="134"/>
      <c r="HZ291" s="134"/>
      <c r="IA291" s="134"/>
      <c r="IB291" s="134"/>
      <c r="IC291" s="134"/>
      <c r="ID291" s="134"/>
      <c r="IE291" s="135"/>
      <c r="IF291" s="135"/>
      <c r="IG291" s="134"/>
      <c r="IH291" s="134"/>
      <c r="II291" s="134"/>
      <c r="IJ291" s="134"/>
      <c r="IK291" s="134"/>
      <c r="IL291" s="134"/>
      <c r="IM291" s="134"/>
      <c r="IN291" s="134"/>
      <c r="IO291" s="135"/>
      <c r="IP291" s="135"/>
      <c r="IQ291" s="134"/>
      <c r="IR291" s="134"/>
      <c r="IS291" s="134"/>
      <c r="IT291" s="134"/>
      <c r="IU291" s="134"/>
      <c r="IV291" s="134"/>
      <c r="IW291" s="134"/>
      <c r="IX291" s="134"/>
      <c r="IY291" s="135"/>
      <c r="IZ291" s="135"/>
    </row>
    <row r="292" spans="1:260" customFormat="1" ht="17" customHeight="1">
      <c r="A292" s="321" t="s">
        <v>1001</v>
      </c>
      <c r="B292" s="117">
        <v>37</v>
      </c>
      <c r="C292" s="117"/>
      <c r="D292" s="117"/>
      <c r="E292" s="322" t="s">
        <v>2103</v>
      </c>
      <c r="F292" s="323" t="s">
        <v>2360</v>
      </c>
      <c r="G292" s="324">
        <v>2011</v>
      </c>
      <c r="H292" s="321">
        <v>21377492</v>
      </c>
      <c r="I292" s="321">
        <v>1</v>
      </c>
      <c r="J292" s="321">
        <v>1</v>
      </c>
      <c r="K292" s="321"/>
      <c r="L292" s="321">
        <v>1</v>
      </c>
      <c r="M292" s="321"/>
      <c r="N292" s="321">
        <v>1</v>
      </c>
      <c r="O292" s="325">
        <v>2</v>
      </c>
      <c r="P292" s="321" t="s">
        <v>1303</v>
      </c>
      <c r="Q292" s="321" t="s">
        <v>1212</v>
      </c>
      <c r="R292" s="321" t="s">
        <v>1468</v>
      </c>
      <c r="S292" s="321"/>
      <c r="T292" s="321" t="s">
        <v>1498</v>
      </c>
      <c r="U292" s="321" t="s">
        <v>803</v>
      </c>
      <c r="V292" s="321"/>
      <c r="W292" s="321" t="s">
        <v>1469</v>
      </c>
      <c r="X292" s="321" t="s">
        <v>436</v>
      </c>
      <c r="Y292" s="321"/>
      <c r="Z292" s="321"/>
      <c r="AA292" s="321"/>
      <c r="AB292" s="321"/>
      <c r="AC292" s="574"/>
      <c r="AD292" s="573">
        <v>1</v>
      </c>
      <c r="AE292" s="573">
        <v>2</v>
      </c>
      <c r="AF292" s="154">
        <v>1</v>
      </c>
      <c r="AG292" s="155" t="s">
        <v>3365</v>
      </c>
      <c r="AH292" s="326">
        <v>5</v>
      </c>
      <c r="AI292" s="490"/>
      <c r="AJ292" s="213" t="s">
        <v>3366</v>
      </c>
      <c r="AK292" s="327">
        <v>2</v>
      </c>
      <c r="AL292" s="215">
        <v>0</v>
      </c>
      <c r="AM292" s="134">
        <f>Table665[[#This Row],[Subjects_n_ptsd]]+Table665[[#This Row],[Subjects_n_control]]</f>
        <v>15</v>
      </c>
      <c r="AN292" s="326">
        <v>8</v>
      </c>
      <c r="AO292" s="326">
        <v>7</v>
      </c>
      <c r="AP292" s="326" t="s">
        <v>803</v>
      </c>
      <c r="AQ292" s="326" t="s">
        <v>803</v>
      </c>
      <c r="AR292" s="326" t="s">
        <v>24</v>
      </c>
      <c r="AS292" s="326" t="s">
        <v>24</v>
      </c>
      <c r="AT292" s="326" t="s">
        <v>24</v>
      </c>
      <c r="AU292" s="326" t="s">
        <v>24</v>
      </c>
      <c r="AV292" s="326" t="s">
        <v>3349</v>
      </c>
      <c r="AW292" s="326">
        <v>1</v>
      </c>
      <c r="AX292" s="326" t="s">
        <v>3347</v>
      </c>
      <c r="AY292" s="326" t="s">
        <v>2975</v>
      </c>
      <c r="AZ292" s="326" t="s">
        <v>1468</v>
      </c>
      <c r="BA292" s="326" t="s">
        <v>3279</v>
      </c>
      <c r="BB292" s="326"/>
      <c r="BC292" s="326"/>
      <c r="BD292" s="328">
        <v>1</v>
      </c>
      <c r="BE292" s="328" t="s">
        <v>1917</v>
      </c>
      <c r="BF292" s="328"/>
      <c r="BG292" s="328"/>
      <c r="BH292" s="328"/>
      <c r="BI292" s="328"/>
      <c r="BJ292" s="156" t="s">
        <v>1917</v>
      </c>
      <c r="BK292" s="328"/>
      <c r="BL292" s="328"/>
      <c r="BM292" s="328"/>
      <c r="BN292" s="328"/>
      <c r="BO292" s="328"/>
      <c r="BP292" s="328"/>
      <c r="BQ292" s="329" t="s">
        <v>3361</v>
      </c>
      <c r="BR292" s="326" t="s">
        <v>1876</v>
      </c>
      <c r="BS292" s="326">
        <v>2</v>
      </c>
      <c r="BT292" s="424" t="s">
        <v>3368</v>
      </c>
      <c r="BU292" s="326" t="s">
        <v>2606</v>
      </c>
      <c r="BV292" s="326" t="s">
        <v>3350</v>
      </c>
      <c r="BW292" s="259" t="s">
        <v>3394</v>
      </c>
      <c r="BX292" s="138" t="s">
        <v>3393</v>
      </c>
      <c r="BY292" s="326">
        <v>5.5999800000000004</v>
      </c>
      <c r="BZ292" s="326" t="s">
        <v>24</v>
      </c>
      <c r="CA292" s="326">
        <f>9.34368-Table665[[#This Row],[Outcome1_M]]</f>
        <v>3.7437000000000005</v>
      </c>
      <c r="CB292" s="427" t="s">
        <v>3389</v>
      </c>
      <c r="CC292" s="326">
        <v>53.161200000000001</v>
      </c>
      <c r="CD292" s="326" t="s">
        <v>24</v>
      </c>
      <c r="CE292" s="326">
        <f>66.1078-Table665[[#This Row],[Outcome2_M]]</f>
        <v>12.946599999999997</v>
      </c>
      <c r="CF292" s="341" t="s">
        <v>3386</v>
      </c>
      <c r="CG292" s="332" t="s">
        <v>3060</v>
      </c>
      <c r="CH292" s="330"/>
      <c r="CI292" s="326"/>
      <c r="CJ292" s="326"/>
      <c r="CK292" s="326"/>
      <c r="CL292" s="330"/>
      <c r="CM292" s="326"/>
      <c r="CN292" s="326"/>
      <c r="CO292" s="326"/>
      <c r="CP292" s="331"/>
      <c r="CQ292" s="332"/>
      <c r="CR292" s="333"/>
      <c r="CS292" s="334"/>
      <c r="CT292" s="330"/>
      <c r="CU292" s="326"/>
      <c r="CV292" s="326"/>
      <c r="CW292" s="326"/>
      <c r="CX292" s="326"/>
      <c r="CY292" s="326"/>
      <c r="CZ292" s="326"/>
      <c r="DA292" s="326"/>
      <c r="DB292" s="335"/>
      <c r="DC292" s="336"/>
      <c r="DD292" s="326"/>
      <c r="DE292" s="326"/>
      <c r="DF292" s="326"/>
      <c r="DG292" s="326"/>
      <c r="DH292" s="326"/>
      <c r="DI292" s="326"/>
      <c r="DJ292" s="326"/>
      <c r="DK292" s="326"/>
      <c r="DL292" s="335"/>
      <c r="DM292" s="336"/>
      <c r="DN292" s="333"/>
      <c r="DO292" s="337"/>
      <c r="DP292" s="326"/>
      <c r="DQ292" s="326"/>
      <c r="DR292" s="326"/>
      <c r="DS292" s="326"/>
      <c r="DT292" s="330"/>
      <c r="DU292" s="326"/>
      <c r="DV292" s="326"/>
      <c r="DW292" s="326"/>
      <c r="DX292" s="336"/>
      <c r="DY292" s="336"/>
      <c r="DZ292" s="330"/>
      <c r="EA292" s="326"/>
      <c r="EB292" s="326"/>
      <c r="EC292" s="326"/>
      <c r="ED292" s="330"/>
      <c r="EE292" s="326"/>
      <c r="EF292" s="326"/>
      <c r="EG292" s="326"/>
      <c r="EH292" s="336"/>
      <c r="EI292" s="336"/>
      <c r="EJ292" s="337"/>
      <c r="EK292" s="326"/>
      <c r="EL292" s="326"/>
      <c r="EM292" s="326"/>
      <c r="EN292" s="326"/>
      <c r="EO292" s="326"/>
      <c r="EP292" s="326"/>
      <c r="EQ292" s="326"/>
      <c r="ER292" s="326"/>
      <c r="ES292" s="336"/>
      <c r="ET292" s="336"/>
      <c r="EU292" s="326"/>
      <c r="EV292" s="326"/>
      <c r="EW292" s="326"/>
      <c r="EX292" s="326"/>
      <c r="EY292" s="134"/>
      <c r="EZ292" s="134"/>
      <c r="FA292" s="134"/>
      <c r="FB292" s="134"/>
      <c r="FC292" s="135"/>
      <c r="FD292" s="135"/>
      <c r="FE292" s="134"/>
      <c r="FF292" s="134"/>
      <c r="FG292" s="134"/>
      <c r="FH292" s="134"/>
      <c r="FI292" s="134"/>
      <c r="FJ292" s="134"/>
      <c r="FK292" s="134"/>
      <c r="FL292" s="134"/>
      <c r="FM292" s="135"/>
      <c r="FN292" s="135"/>
      <c r="FO292" s="134"/>
      <c r="FP292" s="134"/>
      <c r="FQ292" s="134"/>
      <c r="FR292" s="134"/>
      <c r="FS292" s="134"/>
      <c r="FT292" s="134"/>
      <c r="FU292" s="134"/>
      <c r="FV292" s="134"/>
      <c r="FW292" s="135"/>
      <c r="FX292" s="135"/>
      <c r="FY292" s="134"/>
      <c r="FZ292" s="134"/>
      <c r="GA292" s="134"/>
      <c r="GB292" s="134"/>
      <c r="GC292" s="134"/>
      <c r="GD292" s="134"/>
      <c r="GE292" s="134"/>
      <c r="GF292" s="134"/>
      <c r="GG292" s="135"/>
      <c r="GH292" s="135"/>
      <c r="GI292" s="134"/>
      <c r="GJ292" s="134"/>
      <c r="GK292" s="134"/>
      <c r="GL292" s="134"/>
      <c r="GM292" s="134"/>
      <c r="GN292" s="134"/>
      <c r="GO292" s="134"/>
      <c r="GP292" s="134"/>
      <c r="GQ292" s="135"/>
      <c r="GR292" s="135"/>
      <c r="GS292" s="134"/>
      <c r="GT292" s="134"/>
      <c r="GU292" s="134"/>
      <c r="GV292" s="134"/>
      <c r="GW292" s="134"/>
      <c r="GX292" s="134"/>
      <c r="GY292" s="134"/>
      <c r="GZ292" s="134"/>
      <c r="HA292" s="135"/>
      <c r="HB292" s="135"/>
      <c r="HC292" s="134"/>
      <c r="HD292" s="134"/>
      <c r="HE292" s="134"/>
      <c r="HF292" s="134"/>
      <c r="HG292" s="134"/>
      <c r="HH292" s="134"/>
      <c r="HI292" s="134"/>
      <c r="HJ292" s="134"/>
      <c r="HK292" s="135"/>
      <c r="HL292" s="135"/>
      <c r="HM292" s="134"/>
      <c r="HN292" s="134"/>
      <c r="HO292" s="134"/>
      <c r="HP292" s="134"/>
      <c r="HQ292" s="134"/>
      <c r="HR292" s="134"/>
      <c r="HS292" s="134"/>
      <c r="HT292" s="134"/>
      <c r="HU292" s="135"/>
      <c r="HV292" s="135"/>
      <c r="HW292" s="134"/>
      <c r="HX292" s="134"/>
      <c r="HY292" s="134"/>
      <c r="HZ292" s="134"/>
      <c r="IA292" s="134"/>
      <c r="IB292" s="134"/>
      <c r="IC292" s="134"/>
      <c r="ID292" s="134"/>
      <c r="IE292" s="135"/>
      <c r="IF292" s="135"/>
      <c r="IG292" s="134"/>
      <c r="IH292" s="134"/>
      <c r="II292" s="134"/>
      <c r="IJ292" s="134"/>
      <c r="IK292" s="134"/>
      <c r="IL292" s="134"/>
      <c r="IM292" s="134"/>
      <c r="IN292" s="134"/>
      <c r="IO292" s="135"/>
      <c r="IP292" s="135"/>
      <c r="IQ292" s="134"/>
      <c r="IR292" s="134"/>
      <c r="IS292" s="134"/>
      <c r="IT292" s="134"/>
      <c r="IU292" s="134"/>
      <c r="IV292" s="134"/>
      <c r="IW292" s="134"/>
      <c r="IX292" s="134"/>
      <c r="IY292" s="135"/>
      <c r="IZ292" s="135"/>
    </row>
    <row r="293" spans="1:260" customFormat="1" ht="17" customHeight="1">
      <c r="A293" s="79" t="s">
        <v>1000</v>
      </c>
      <c r="B293" s="117">
        <v>187</v>
      </c>
      <c r="C293" s="117">
        <v>66</v>
      </c>
      <c r="D293" s="117"/>
      <c r="E293" s="123" t="s">
        <v>2103</v>
      </c>
      <c r="F293" s="124" t="s">
        <v>2361</v>
      </c>
      <c r="G293" s="125">
        <v>2012</v>
      </c>
      <c r="H293" s="79">
        <v>22659580</v>
      </c>
      <c r="I293" s="79">
        <v>1</v>
      </c>
      <c r="J293" s="126"/>
      <c r="K293" s="127"/>
      <c r="L293" s="79">
        <v>1</v>
      </c>
      <c r="M293" s="79"/>
      <c r="N293" s="79">
        <v>1</v>
      </c>
      <c r="O293" s="128">
        <v>2</v>
      </c>
      <c r="P293" s="79" t="s">
        <v>1470</v>
      </c>
      <c r="Q293" s="79" t="s">
        <v>1147</v>
      </c>
      <c r="R293" s="79" t="s">
        <v>1138</v>
      </c>
      <c r="S293" s="79"/>
      <c r="T293" s="79" t="s">
        <v>1498</v>
      </c>
      <c r="U293" s="79" t="s">
        <v>803</v>
      </c>
      <c r="V293" s="79"/>
      <c r="W293" s="79" t="s">
        <v>1511</v>
      </c>
      <c r="X293" s="79"/>
      <c r="Y293" s="79" t="s">
        <v>1374</v>
      </c>
      <c r="Z293" s="79"/>
      <c r="AA293" s="79" t="s">
        <v>1471</v>
      </c>
      <c r="AB293" s="79"/>
      <c r="AC293" s="506"/>
      <c r="AD293" s="573">
        <v>1</v>
      </c>
      <c r="AE293" s="573">
        <v>2</v>
      </c>
      <c r="AF293" s="233" t="s">
        <v>1917</v>
      </c>
      <c r="AG293" s="234" t="s">
        <v>5318</v>
      </c>
      <c r="AH293" s="121">
        <v>5</v>
      </c>
      <c r="AI293" s="484" t="s">
        <v>5317</v>
      </c>
      <c r="AJ293" s="202" t="s">
        <v>5302</v>
      </c>
      <c r="AK293" s="192">
        <v>0</v>
      </c>
      <c r="AL293" s="203" t="s">
        <v>5298</v>
      </c>
      <c r="AM293" s="121" t="s">
        <v>5315</v>
      </c>
      <c r="AN293" s="121" t="s">
        <v>5314</v>
      </c>
      <c r="AO293" s="121" t="s">
        <v>5314</v>
      </c>
      <c r="AP293" s="121" t="s">
        <v>803</v>
      </c>
      <c r="AQ293" s="121" t="s">
        <v>803</v>
      </c>
      <c r="AR293" s="121" t="s">
        <v>5212</v>
      </c>
      <c r="AS293" s="121" t="s">
        <v>24</v>
      </c>
      <c r="AT293" s="121" t="s">
        <v>5212</v>
      </c>
      <c r="AU293" s="121" t="s">
        <v>24</v>
      </c>
      <c r="AV293" s="121" t="s">
        <v>5299</v>
      </c>
      <c r="AW293" s="121">
        <v>1</v>
      </c>
      <c r="AX293" s="121" t="s">
        <v>5316</v>
      </c>
      <c r="AY293" s="121" t="s">
        <v>5300</v>
      </c>
      <c r="AZ293" s="121" t="s">
        <v>1468</v>
      </c>
      <c r="BA293" s="121" t="s">
        <v>4508</v>
      </c>
      <c r="BB293" s="121"/>
      <c r="BC293" s="121"/>
      <c r="BD293" s="156"/>
      <c r="BE293" s="156"/>
      <c r="BF293" s="156"/>
      <c r="BG293" s="156"/>
      <c r="BH293" s="156"/>
      <c r="BI293" s="156"/>
      <c r="BJ293" s="156">
        <v>1</v>
      </c>
      <c r="BK293" s="156"/>
      <c r="BL293" s="156"/>
      <c r="BM293" s="156"/>
      <c r="BN293" s="156"/>
      <c r="BO293" s="156"/>
      <c r="BP293" s="156"/>
      <c r="BQ293" s="157" t="s">
        <v>5323</v>
      </c>
      <c r="BR293" s="134" t="s">
        <v>1876</v>
      </c>
      <c r="BS293" s="134" t="s">
        <v>5319</v>
      </c>
      <c r="BT293" s="134" t="s">
        <v>5303</v>
      </c>
      <c r="BU293" s="134" t="s">
        <v>5301</v>
      </c>
      <c r="BV293" s="503" t="s">
        <v>5304</v>
      </c>
      <c r="BW293" s="259" t="s">
        <v>5324</v>
      </c>
      <c r="BX293" s="138" t="s">
        <v>5305</v>
      </c>
      <c r="BY293" s="134">
        <v>8.2514800000000008</v>
      </c>
      <c r="BZ293" s="134" t="s">
        <v>24</v>
      </c>
      <c r="CA293" s="134">
        <f>9.3229-Table665[[#This Row],[Outcome1_M]]</f>
        <v>1.0714199999999998</v>
      </c>
      <c r="CB293" s="138" t="s">
        <v>5306</v>
      </c>
      <c r="CC293" s="134">
        <v>7.1835300000000002</v>
      </c>
      <c r="CD293" s="134" t="s">
        <v>24</v>
      </c>
      <c r="CE293" s="134">
        <f>8.12103-Table665[[#This Row],[Outcome2_M]]</f>
        <v>0.93749999999999911</v>
      </c>
      <c r="CF293" s="288" t="s">
        <v>5309</v>
      </c>
      <c r="CG293" s="289" t="s">
        <v>5322</v>
      </c>
      <c r="CH293" s="138" t="s">
        <v>5307</v>
      </c>
      <c r="CI293" s="134">
        <v>6.9681499999999996</v>
      </c>
      <c r="CJ293" s="134" t="s">
        <v>24</v>
      </c>
      <c r="CK293" s="134">
        <f>7.861-Table665[[#This Row],[Outcome3_M]]</f>
        <v>0.89285000000000014</v>
      </c>
      <c r="CL293" s="138" t="s">
        <v>5308</v>
      </c>
      <c r="CM293" s="134">
        <v>14.962400000000001</v>
      </c>
      <c r="CN293" s="134" t="s">
        <v>24</v>
      </c>
      <c r="CO293" s="134">
        <f>16.9714-Table665[[#This Row],[Outcome4_M]]</f>
        <v>2.0089999999999986</v>
      </c>
      <c r="CP293" s="288" t="s">
        <v>5310</v>
      </c>
      <c r="CQ293" s="289" t="s">
        <v>5321</v>
      </c>
      <c r="CR293" s="276" t="s">
        <v>24</v>
      </c>
      <c r="CS293" s="308" t="s">
        <v>24</v>
      </c>
      <c r="CT293" s="138" t="s">
        <v>5311</v>
      </c>
      <c r="CU293" s="134">
        <v>0.48230499999999998</v>
      </c>
      <c r="CV293" s="134" t="s">
        <v>24</v>
      </c>
      <c r="CW293" s="134">
        <f>0.52274-Table665[[#This Row],[Outcome5_M]]</f>
        <v>4.0434999999999999E-2</v>
      </c>
      <c r="CX293" s="138" t="s">
        <v>5312</v>
      </c>
      <c r="CY293" s="134">
        <v>0.67094600000000004</v>
      </c>
      <c r="CZ293" s="134" t="s">
        <v>24</v>
      </c>
      <c r="DA293" s="134">
        <f>0.70225-Table665[[#This Row],[Outcome6_M]]</f>
        <v>3.1303999999999998E-2</v>
      </c>
      <c r="DB293" s="300" t="s">
        <v>5313</v>
      </c>
      <c r="DC293" s="301" t="s">
        <v>5320</v>
      </c>
      <c r="DD293" s="134" t="s">
        <v>24</v>
      </c>
      <c r="DE293" s="134" t="s">
        <v>24</v>
      </c>
      <c r="DF293" s="134" t="s">
        <v>24</v>
      </c>
      <c r="DG293" s="134" t="s">
        <v>24</v>
      </c>
      <c r="DH293" s="134"/>
      <c r="DI293" s="134"/>
      <c r="DJ293" s="134"/>
      <c r="DK293" s="134"/>
      <c r="DL293" s="300"/>
      <c r="DM293" s="301"/>
      <c r="DN293" s="276"/>
      <c r="DO293" s="277"/>
      <c r="DP293" s="134"/>
      <c r="DQ293" s="134"/>
      <c r="DR293" s="134"/>
      <c r="DS293" s="480"/>
      <c r="DT293" s="134"/>
      <c r="DU293" s="134"/>
      <c r="DV293" s="134"/>
      <c r="DW293" s="480"/>
      <c r="DX293" s="301"/>
      <c r="DY293" s="301"/>
      <c r="DZ293" s="138"/>
      <c r="EA293" s="134"/>
      <c r="EB293" s="134"/>
      <c r="EC293" s="134"/>
      <c r="ED293" s="138"/>
      <c r="EE293" s="134"/>
      <c r="EF293" s="134"/>
      <c r="EG293" s="134"/>
      <c r="EH293" s="301"/>
      <c r="EI293" s="301"/>
      <c r="EJ293" s="277"/>
      <c r="EK293" s="134"/>
      <c r="EL293" s="134"/>
      <c r="EM293" s="134"/>
      <c r="EN293" s="134"/>
      <c r="EO293" s="134"/>
      <c r="EP293" s="134"/>
      <c r="EQ293" s="134"/>
      <c r="ER293" s="134"/>
      <c r="ES293" s="301"/>
      <c r="ET293" s="301"/>
      <c r="EU293" s="134"/>
      <c r="EV293" s="134"/>
      <c r="EW293" s="134"/>
      <c r="EX293" s="134"/>
      <c r="EY293" s="134"/>
      <c r="EZ293" s="134"/>
      <c r="FA293" s="134"/>
      <c r="FB293" s="134"/>
      <c r="FC293" s="135"/>
      <c r="FD293" s="135"/>
      <c r="FE293" s="134"/>
      <c r="FF293" s="134"/>
      <c r="FG293" s="134"/>
      <c r="FH293" s="134"/>
      <c r="FI293" s="134"/>
      <c r="FJ293" s="134"/>
      <c r="FK293" s="134"/>
      <c r="FL293" s="134"/>
      <c r="FM293" s="135"/>
      <c r="FN293" s="135"/>
      <c r="FO293" s="134"/>
      <c r="FP293" s="134"/>
      <c r="FQ293" s="134"/>
      <c r="FR293" s="134"/>
      <c r="FS293" s="134"/>
      <c r="FT293" s="134"/>
      <c r="FU293" s="134"/>
      <c r="FV293" s="134"/>
      <c r="FW293" s="135"/>
      <c r="FX293" s="135"/>
      <c r="FY293" s="134"/>
      <c r="FZ293" s="134"/>
      <c r="GA293" s="134"/>
      <c r="GB293" s="134"/>
      <c r="GC293" s="134"/>
      <c r="GD293" s="134"/>
      <c r="GE293" s="134"/>
      <c r="GF293" s="134"/>
      <c r="GG293" s="135"/>
      <c r="GH293" s="135"/>
      <c r="GI293" s="134"/>
      <c r="GJ293" s="134"/>
      <c r="GK293" s="134"/>
      <c r="GL293" s="134"/>
      <c r="GM293" s="134"/>
      <c r="GN293" s="134"/>
      <c r="GO293" s="134"/>
      <c r="GP293" s="134"/>
      <c r="GQ293" s="135"/>
      <c r="GR293" s="135"/>
      <c r="GS293" s="134"/>
      <c r="GT293" s="134"/>
      <c r="GU293" s="134"/>
      <c r="GV293" s="134"/>
      <c r="GW293" s="134"/>
      <c r="GX293" s="134"/>
      <c r="GY293" s="134"/>
      <c r="GZ293" s="134"/>
      <c r="HA293" s="135"/>
      <c r="HB293" s="135"/>
      <c r="HC293" s="134"/>
      <c r="HD293" s="134"/>
      <c r="HE293" s="134"/>
      <c r="HF293" s="134"/>
      <c r="HG293" s="134"/>
      <c r="HH293" s="134"/>
      <c r="HI293" s="134"/>
      <c r="HJ293" s="134"/>
      <c r="HK293" s="135"/>
      <c r="HL293" s="135"/>
      <c r="HM293" s="134"/>
      <c r="HN293" s="134"/>
      <c r="HO293" s="134"/>
      <c r="HP293" s="134"/>
      <c r="HQ293" s="134"/>
      <c r="HR293" s="134"/>
      <c r="HS293" s="134"/>
      <c r="HT293" s="134"/>
      <c r="HU293" s="135"/>
      <c r="HV293" s="135"/>
      <c r="HW293" s="134"/>
      <c r="HX293" s="134"/>
      <c r="HY293" s="134"/>
      <c r="HZ293" s="134"/>
      <c r="IA293" s="134"/>
      <c r="IB293" s="134"/>
      <c r="IC293" s="134"/>
      <c r="ID293" s="134"/>
      <c r="IE293" s="135"/>
      <c r="IF293" s="135"/>
      <c r="IG293" s="134"/>
      <c r="IH293" s="134"/>
      <c r="II293" s="134"/>
      <c r="IJ293" s="134"/>
      <c r="IK293" s="134"/>
      <c r="IL293" s="134"/>
      <c r="IM293" s="134"/>
      <c r="IN293" s="134"/>
      <c r="IO293" s="135"/>
      <c r="IP293" s="135"/>
      <c r="IQ293" s="134"/>
      <c r="IR293" s="134"/>
      <c r="IS293" s="134"/>
      <c r="IT293" s="134"/>
      <c r="IU293" s="134"/>
      <c r="IV293" s="134"/>
      <c r="IW293" s="134"/>
      <c r="IX293" s="134"/>
      <c r="IY293" s="135"/>
      <c r="IZ293" s="135"/>
    </row>
    <row r="294" spans="1:260" customFormat="1" ht="17" customHeight="1">
      <c r="A294" s="79" t="s">
        <v>997</v>
      </c>
      <c r="B294" s="117">
        <v>38</v>
      </c>
      <c r="C294" s="117"/>
      <c r="D294" s="117"/>
      <c r="E294" s="180" t="s">
        <v>2105</v>
      </c>
      <c r="F294" s="181" t="s">
        <v>2363</v>
      </c>
      <c r="G294" s="182">
        <v>2008</v>
      </c>
      <c r="H294" s="79">
        <v>18391192</v>
      </c>
      <c r="I294" s="79">
        <v>1</v>
      </c>
      <c r="J294" s="79">
        <v>1</v>
      </c>
      <c r="K294" s="79"/>
      <c r="L294" s="79">
        <v>1</v>
      </c>
      <c r="M294" s="79"/>
      <c r="N294" s="153">
        <v>1</v>
      </c>
      <c r="O294" s="128">
        <v>2</v>
      </c>
      <c r="P294" s="79" t="s">
        <v>1475</v>
      </c>
      <c r="Q294" s="79" t="s">
        <v>1216</v>
      </c>
      <c r="R294" s="79" t="s">
        <v>1138</v>
      </c>
      <c r="S294" s="79"/>
      <c r="T294" s="79" t="s">
        <v>1489</v>
      </c>
      <c r="U294" s="79"/>
      <c r="V294" s="79"/>
      <c r="W294" s="79" t="s">
        <v>1501</v>
      </c>
      <c r="X294" s="79"/>
      <c r="Y294" s="79"/>
      <c r="Z294" s="79"/>
      <c r="AA294" s="79"/>
      <c r="AB294" s="79"/>
      <c r="AC294" s="506"/>
      <c r="AD294" s="573">
        <v>1</v>
      </c>
      <c r="AE294" s="573">
        <v>2</v>
      </c>
      <c r="AF294" s="352">
        <v>1</v>
      </c>
      <c r="AG294" s="353" t="s">
        <v>3429</v>
      </c>
      <c r="AH294" s="346">
        <v>5</v>
      </c>
      <c r="AI294" s="487"/>
      <c r="AJ294" s="347" t="s">
        <v>3396</v>
      </c>
      <c r="AK294" s="348">
        <v>2</v>
      </c>
      <c r="AL294" s="349">
        <v>0</v>
      </c>
      <c r="AM294" s="346">
        <f>Table665[[#This Row],[Subjects_n_ptsd]]+Table665[[#This Row],[Subjects_n_control]]</f>
        <v>10</v>
      </c>
      <c r="AN294" s="346">
        <v>5</v>
      </c>
      <c r="AO294" s="346">
        <v>5</v>
      </c>
      <c r="AP294" s="346" t="s">
        <v>803</v>
      </c>
      <c r="AQ294" s="346" t="s">
        <v>803</v>
      </c>
      <c r="AR294" s="350" t="s">
        <v>3403</v>
      </c>
      <c r="AS294" s="186" t="s">
        <v>24</v>
      </c>
      <c r="AT294" s="350" t="s">
        <v>3403</v>
      </c>
      <c r="AU294" s="186" t="s">
        <v>24</v>
      </c>
      <c r="AV294" s="346" t="s">
        <v>3311</v>
      </c>
      <c r="AW294" s="346">
        <v>1</v>
      </c>
      <c r="AX294" s="346" t="s">
        <v>3348</v>
      </c>
      <c r="AY294" s="346" t="s">
        <v>3398</v>
      </c>
      <c r="AZ294" s="346" t="s">
        <v>3397</v>
      </c>
      <c r="BA294" s="346" t="s">
        <v>3395</v>
      </c>
      <c r="BB294" s="346"/>
      <c r="BC294" s="346"/>
      <c r="BD294" s="184">
        <v>1</v>
      </c>
      <c r="BE294" s="184"/>
      <c r="BF294" s="184"/>
      <c r="BG294" s="184"/>
      <c r="BH294" s="184"/>
      <c r="BI294" s="184"/>
      <c r="BJ294" s="184"/>
      <c r="BK294" s="184"/>
      <c r="BL294" s="184"/>
      <c r="BM294" s="184"/>
      <c r="BN294" s="184"/>
      <c r="BO294" s="184"/>
      <c r="BP294" s="184"/>
      <c r="BQ294" s="185" t="s">
        <v>2528</v>
      </c>
      <c r="BR294" s="186" t="s">
        <v>1876</v>
      </c>
      <c r="BS294" s="186">
        <v>2</v>
      </c>
      <c r="BT294" s="186" t="s">
        <v>3419</v>
      </c>
      <c r="BU294" s="186" t="s">
        <v>23</v>
      </c>
      <c r="BV294" s="186" t="s">
        <v>3406</v>
      </c>
      <c r="BW294" s="261" t="s">
        <v>3447</v>
      </c>
      <c r="BX294" s="267" t="s">
        <v>3422</v>
      </c>
      <c r="BY294" s="186">
        <v>12.8</v>
      </c>
      <c r="BZ294" s="186" t="s">
        <v>24</v>
      </c>
      <c r="CA294" s="186">
        <v>1.7</v>
      </c>
      <c r="CB294" s="267" t="s">
        <v>3425</v>
      </c>
      <c r="CC294" s="186">
        <v>15</v>
      </c>
      <c r="CD294" s="186" t="s">
        <v>24</v>
      </c>
      <c r="CE294" s="186">
        <v>3.3</v>
      </c>
      <c r="CF294" s="294" t="s">
        <v>3428</v>
      </c>
      <c r="CG294" s="295" t="s">
        <v>2480</v>
      </c>
      <c r="CH294" s="267"/>
      <c r="CI294" s="186"/>
      <c r="CJ294" s="186"/>
      <c r="CK294" s="186"/>
      <c r="CL294" s="267"/>
      <c r="CM294" s="186"/>
      <c r="CN294" s="186"/>
      <c r="CO294" s="186"/>
      <c r="CP294" s="294"/>
      <c r="CQ294" s="295"/>
      <c r="CR294" s="280"/>
      <c r="CS294" s="310"/>
      <c r="CT294" s="267"/>
      <c r="CU294" s="186"/>
      <c r="CV294" s="186"/>
      <c r="CW294" s="186"/>
      <c r="CX294" s="186"/>
      <c r="CY294" s="186"/>
      <c r="CZ294" s="186"/>
      <c r="DA294" s="186"/>
      <c r="DB294" s="305"/>
      <c r="DC294" s="315"/>
      <c r="DD294" s="186"/>
      <c r="DE294" s="186"/>
      <c r="DF294" s="186"/>
      <c r="DG294" s="186"/>
      <c r="DH294" s="186"/>
      <c r="DI294" s="186"/>
      <c r="DJ294" s="186"/>
      <c r="DK294" s="186"/>
      <c r="DL294" s="305"/>
      <c r="DM294" s="315"/>
      <c r="DN294" s="280"/>
      <c r="DO294" s="281"/>
      <c r="DP294" s="186"/>
      <c r="DQ294" s="186"/>
      <c r="DR294" s="186"/>
      <c r="DS294" s="186"/>
      <c r="DT294" s="267"/>
      <c r="DU294" s="186"/>
      <c r="DV294" s="186"/>
      <c r="DW294" s="186"/>
      <c r="DX294" s="315"/>
      <c r="DY294" s="315"/>
      <c r="DZ294" s="267"/>
      <c r="EA294" s="186"/>
      <c r="EB294" s="186"/>
      <c r="EC294" s="186"/>
      <c r="ED294" s="267"/>
      <c r="EE294" s="186"/>
      <c r="EF294" s="186"/>
      <c r="EG294" s="186"/>
      <c r="EH294" s="315"/>
      <c r="EI294" s="315"/>
      <c r="EJ294" s="281"/>
      <c r="EK294" s="186"/>
      <c r="EL294" s="186"/>
      <c r="EM294" s="186"/>
      <c r="EN294" s="186"/>
      <c r="EO294" s="186"/>
      <c r="EP294" s="186"/>
      <c r="EQ294" s="186"/>
      <c r="ER294" s="186"/>
      <c r="ES294" s="315"/>
      <c r="ET294" s="315"/>
      <c r="EU294" s="186"/>
      <c r="EV294" s="186"/>
      <c r="EW294" s="186"/>
      <c r="EX294" s="186"/>
      <c r="EY294" s="134"/>
      <c r="EZ294" s="134"/>
      <c r="FA294" s="134"/>
      <c r="FB294" s="134"/>
      <c r="FC294" s="135"/>
      <c r="FD294" s="135"/>
      <c r="FE294" s="134"/>
      <c r="FF294" s="134"/>
      <c r="FG294" s="134"/>
      <c r="FH294" s="134"/>
      <c r="FI294" s="134"/>
      <c r="FJ294" s="134"/>
      <c r="FK294" s="134"/>
      <c r="FL294" s="134"/>
      <c r="FM294" s="135"/>
      <c r="FN294" s="135"/>
      <c r="FO294" s="134"/>
      <c r="FP294" s="134"/>
      <c r="FQ294" s="134"/>
      <c r="FR294" s="134"/>
      <c r="FS294" s="134"/>
      <c r="FT294" s="134"/>
      <c r="FU294" s="134"/>
      <c r="FV294" s="134"/>
      <c r="FW294" s="135"/>
      <c r="FX294" s="135"/>
      <c r="FY294" s="134"/>
      <c r="FZ294" s="134"/>
      <c r="GA294" s="134"/>
      <c r="GB294" s="134"/>
      <c r="GC294" s="134"/>
      <c r="GD294" s="134"/>
      <c r="GE294" s="134"/>
      <c r="GF294" s="134"/>
      <c r="GG294" s="135"/>
      <c r="GH294" s="135"/>
      <c r="GI294" s="134"/>
      <c r="GJ294" s="134"/>
      <c r="GK294" s="134"/>
      <c r="GL294" s="134"/>
      <c r="GM294" s="134"/>
      <c r="GN294" s="134"/>
      <c r="GO294" s="134"/>
      <c r="GP294" s="134"/>
      <c r="GQ294" s="135"/>
      <c r="GR294" s="135"/>
      <c r="GS294" s="134"/>
      <c r="GT294" s="134"/>
      <c r="GU294" s="134"/>
      <c r="GV294" s="134"/>
      <c r="GW294" s="134"/>
      <c r="GX294" s="134"/>
      <c r="GY294" s="134"/>
      <c r="GZ294" s="134"/>
      <c r="HA294" s="135"/>
      <c r="HB294" s="135"/>
      <c r="HC294" s="134"/>
      <c r="HD294" s="134"/>
      <c r="HE294" s="134"/>
      <c r="HF294" s="134"/>
      <c r="HG294" s="134"/>
      <c r="HH294" s="134"/>
      <c r="HI294" s="134"/>
      <c r="HJ294" s="134"/>
      <c r="HK294" s="135"/>
      <c r="HL294" s="135"/>
      <c r="HM294" s="134"/>
      <c r="HN294" s="134"/>
      <c r="HO294" s="134"/>
      <c r="HP294" s="134"/>
      <c r="HQ294" s="134"/>
      <c r="HR294" s="134"/>
      <c r="HS294" s="134"/>
      <c r="HT294" s="134"/>
      <c r="HU294" s="135"/>
      <c r="HV294" s="135"/>
      <c r="HW294" s="134"/>
      <c r="HX294" s="134"/>
      <c r="HY294" s="134"/>
      <c r="HZ294" s="134"/>
      <c r="IA294" s="134"/>
      <c r="IB294" s="134"/>
      <c r="IC294" s="134"/>
      <c r="ID294" s="134"/>
      <c r="IE294" s="135"/>
      <c r="IF294" s="135"/>
      <c r="IG294" s="134"/>
      <c r="IH294" s="134"/>
      <c r="II294" s="134"/>
      <c r="IJ294" s="134"/>
      <c r="IK294" s="134"/>
      <c r="IL294" s="134"/>
      <c r="IM294" s="134"/>
      <c r="IN294" s="134"/>
      <c r="IO294" s="135"/>
      <c r="IP294" s="135"/>
      <c r="IQ294" s="134"/>
      <c r="IR294" s="134"/>
      <c r="IS294" s="134"/>
      <c r="IT294" s="134"/>
      <c r="IU294" s="134"/>
      <c r="IV294" s="134"/>
      <c r="IW294" s="134"/>
      <c r="IX294" s="134"/>
      <c r="IY294" s="135"/>
      <c r="IZ294" s="135"/>
    </row>
    <row r="295" spans="1:260" customFormat="1" ht="17" customHeight="1">
      <c r="A295" s="118" t="s">
        <v>997</v>
      </c>
      <c r="B295" s="117">
        <v>38</v>
      </c>
      <c r="C295" s="117"/>
      <c r="D295" s="117"/>
      <c r="E295" s="139" t="s">
        <v>2105</v>
      </c>
      <c r="F295" s="140" t="s">
        <v>2363</v>
      </c>
      <c r="G295" s="141">
        <v>2008</v>
      </c>
      <c r="H295" s="118">
        <v>18391192</v>
      </c>
      <c r="I295" s="118">
        <v>1</v>
      </c>
      <c r="J295" s="118">
        <v>1</v>
      </c>
      <c r="K295" s="118"/>
      <c r="L295" s="118">
        <v>1</v>
      </c>
      <c r="M295" s="118"/>
      <c r="N295" s="158">
        <v>1</v>
      </c>
      <c r="O295" s="142">
        <v>2</v>
      </c>
      <c r="P295" s="118" t="s">
        <v>1475</v>
      </c>
      <c r="Q295" s="118" t="s">
        <v>1216</v>
      </c>
      <c r="R295" s="118" t="s">
        <v>1138</v>
      </c>
      <c r="S295" s="118"/>
      <c r="T295" s="118" t="s">
        <v>1489</v>
      </c>
      <c r="U295" s="118"/>
      <c r="V295" s="118"/>
      <c r="W295" s="118" t="s">
        <v>1501</v>
      </c>
      <c r="X295" s="118"/>
      <c r="Y295" s="118"/>
      <c r="Z295" s="118"/>
      <c r="AA295" s="118"/>
      <c r="AB295" s="118"/>
      <c r="AC295" s="145"/>
      <c r="AD295" s="573">
        <v>1</v>
      </c>
      <c r="AE295" s="573">
        <v>2</v>
      </c>
      <c r="AF295" s="159">
        <v>1</v>
      </c>
      <c r="AG295" s="160" t="s">
        <v>3429</v>
      </c>
      <c r="AH295" s="122">
        <v>5</v>
      </c>
      <c r="AI295" s="485"/>
      <c r="AJ295" s="226" t="s">
        <v>3366</v>
      </c>
      <c r="AK295" s="348">
        <v>2</v>
      </c>
      <c r="AL295" s="349">
        <v>0</v>
      </c>
      <c r="AM295" s="122">
        <f>Table665[[#This Row],[Subjects_n_ptsd]]+Table665[[#This Row],[Subjects_n_control]]</f>
        <v>10</v>
      </c>
      <c r="AN295" s="122">
        <v>5</v>
      </c>
      <c r="AO295" s="122">
        <v>5</v>
      </c>
      <c r="AP295" s="122" t="s">
        <v>803</v>
      </c>
      <c r="AQ295" s="122" t="s">
        <v>803</v>
      </c>
      <c r="AR295" s="344" t="s">
        <v>3403</v>
      </c>
      <c r="AS295" s="150" t="s">
        <v>24</v>
      </c>
      <c r="AT295" s="344" t="s">
        <v>3403</v>
      </c>
      <c r="AU295" s="150" t="s">
        <v>24</v>
      </c>
      <c r="AV295" s="122" t="s">
        <v>3311</v>
      </c>
      <c r="AW295" s="122">
        <v>1</v>
      </c>
      <c r="AX295" s="122" t="s">
        <v>3348</v>
      </c>
      <c r="AY295" s="122" t="s">
        <v>3398</v>
      </c>
      <c r="AZ295" s="122" t="s">
        <v>3397</v>
      </c>
      <c r="BA295" s="122" t="s">
        <v>3395</v>
      </c>
      <c r="BB295" s="122"/>
      <c r="BC295" s="122"/>
      <c r="BD295" s="161">
        <v>1</v>
      </c>
      <c r="BE295" s="161"/>
      <c r="BF295" s="161"/>
      <c r="BG295" s="161"/>
      <c r="BH295" s="161"/>
      <c r="BI295" s="161"/>
      <c r="BJ295" s="161"/>
      <c r="BK295" s="161"/>
      <c r="BL295" s="161"/>
      <c r="BM295" s="161"/>
      <c r="BN295" s="161"/>
      <c r="BO295" s="161"/>
      <c r="BP295" s="161"/>
      <c r="BQ295" s="162" t="s">
        <v>2528</v>
      </c>
      <c r="BR295" s="150" t="s">
        <v>1876</v>
      </c>
      <c r="BS295" s="150">
        <v>2</v>
      </c>
      <c r="BT295" s="150" t="s">
        <v>3420</v>
      </c>
      <c r="BU295" s="150" t="s">
        <v>23</v>
      </c>
      <c r="BV295" s="150" t="s">
        <v>3406</v>
      </c>
      <c r="BW295" s="261" t="s">
        <v>3447</v>
      </c>
      <c r="BX295" s="151" t="s">
        <v>3423</v>
      </c>
      <c r="BY295" s="150">
        <v>33.200000000000003</v>
      </c>
      <c r="BZ295" s="150" t="s">
        <v>24</v>
      </c>
      <c r="CA295" s="150">
        <v>1.9</v>
      </c>
      <c r="CB295" s="151" t="s">
        <v>3426</v>
      </c>
      <c r="CC295" s="150">
        <v>38.299999999999997</v>
      </c>
      <c r="CD295" s="150" t="s">
        <v>24</v>
      </c>
      <c r="CE295" s="150">
        <v>7.1</v>
      </c>
      <c r="CF295" s="290" t="s">
        <v>3428</v>
      </c>
      <c r="CG295" s="291" t="s">
        <v>2480</v>
      </c>
      <c r="CH295" s="151"/>
      <c r="CI295" s="150"/>
      <c r="CJ295" s="150"/>
      <c r="CK295" s="150"/>
      <c r="CL295" s="151"/>
      <c r="CM295" s="150"/>
      <c r="CN295" s="150"/>
      <c r="CO295" s="150"/>
      <c r="CP295" s="290"/>
      <c r="CQ295" s="291"/>
      <c r="CR295" s="278"/>
      <c r="CS295" s="285"/>
      <c r="CT295" s="151"/>
      <c r="CU295" s="150"/>
      <c r="CV295" s="150"/>
      <c r="CW295" s="150"/>
      <c r="CX295" s="150"/>
      <c r="CY295" s="150"/>
      <c r="CZ295" s="150"/>
      <c r="DA295" s="150"/>
      <c r="DB295" s="302"/>
      <c r="DC295" s="303"/>
      <c r="DD295" s="150"/>
      <c r="DE295" s="150"/>
      <c r="DF295" s="150"/>
      <c r="DG295" s="150"/>
      <c r="DH295" s="150"/>
      <c r="DI295" s="150"/>
      <c r="DJ295" s="150"/>
      <c r="DK295" s="150"/>
      <c r="DL295" s="302"/>
      <c r="DM295" s="303"/>
      <c r="DN295" s="278"/>
      <c r="DO295" s="279"/>
      <c r="DP295" s="150"/>
      <c r="DQ295" s="150"/>
      <c r="DR295" s="150"/>
      <c r="DS295" s="150"/>
      <c r="DT295" s="151"/>
      <c r="DU295" s="150"/>
      <c r="DV295" s="150"/>
      <c r="DW295" s="150"/>
      <c r="DX295" s="303"/>
      <c r="DY295" s="303"/>
      <c r="DZ295" s="151"/>
      <c r="EA295" s="150"/>
      <c r="EB295" s="150"/>
      <c r="EC295" s="150"/>
      <c r="ED295" s="151"/>
      <c r="EE295" s="150"/>
      <c r="EF295" s="150"/>
      <c r="EG295" s="150"/>
      <c r="EH295" s="303"/>
      <c r="EI295" s="303"/>
      <c r="EJ295" s="279"/>
      <c r="EK295" s="150"/>
      <c r="EL295" s="150"/>
      <c r="EM295" s="150"/>
      <c r="EN295" s="150"/>
      <c r="EO295" s="150"/>
      <c r="EP295" s="150"/>
      <c r="EQ295" s="150"/>
      <c r="ER295" s="150"/>
      <c r="ES295" s="303"/>
      <c r="ET295" s="303"/>
      <c r="EU295" s="150"/>
      <c r="EV295" s="150"/>
      <c r="EW295" s="150"/>
      <c r="EX295" s="150"/>
      <c r="EY295" s="134"/>
      <c r="EZ295" s="134"/>
      <c r="FA295" s="134"/>
      <c r="FB295" s="134"/>
      <c r="FC295" s="135"/>
      <c r="FD295" s="135"/>
      <c r="FE295" s="134"/>
      <c r="FF295" s="134"/>
      <c r="FG295" s="134"/>
      <c r="FH295" s="134"/>
      <c r="FI295" s="134"/>
      <c r="FJ295" s="134"/>
      <c r="FK295" s="134"/>
      <c r="FL295" s="134"/>
      <c r="FM295" s="135"/>
      <c r="FN295" s="135"/>
      <c r="FO295" s="134"/>
      <c r="FP295" s="134"/>
      <c r="FQ295" s="134"/>
      <c r="FR295" s="134"/>
      <c r="FS295" s="134"/>
      <c r="FT295" s="134"/>
      <c r="FU295" s="134"/>
      <c r="FV295" s="134"/>
      <c r="FW295" s="135"/>
      <c r="FX295" s="135"/>
      <c r="FY295" s="134"/>
      <c r="FZ295" s="134"/>
      <c r="GA295" s="134"/>
      <c r="GB295" s="134"/>
      <c r="GC295" s="134"/>
      <c r="GD295" s="134"/>
      <c r="GE295" s="134"/>
      <c r="GF295" s="134"/>
      <c r="GG295" s="135"/>
      <c r="GH295" s="135"/>
      <c r="GI295" s="134"/>
      <c r="GJ295" s="134"/>
      <c r="GK295" s="134"/>
      <c r="GL295" s="134"/>
      <c r="GM295" s="134"/>
      <c r="GN295" s="134"/>
      <c r="GO295" s="134"/>
      <c r="GP295" s="134"/>
      <c r="GQ295" s="135"/>
      <c r="GR295" s="135"/>
      <c r="GS295" s="134"/>
      <c r="GT295" s="134"/>
      <c r="GU295" s="134"/>
      <c r="GV295" s="134"/>
      <c r="GW295" s="134"/>
      <c r="GX295" s="134"/>
      <c r="GY295" s="134"/>
      <c r="GZ295" s="134"/>
      <c r="HA295" s="135"/>
      <c r="HB295" s="135"/>
      <c r="HC295" s="134"/>
      <c r="HD295" s="134"/>
      <c r="HE295" s="134"/>
      <c r="HF295" s="134"/>
      <c r="HG295" s="134"/>
      <c r="HH295" s="134"/>
      <c r="HI295" s="134"/>
      <c r="HJ295" s="134"/>
      <c r="HK295" s="135"/>
      <c r="HL295" s="135"/>
      <c r="HM295" s="134"/>
      <c r="HN295" s="134"/>
      <c r="HO295" s="134"/>
      <c r="HP295" s="134"/>
      <c r="HQ295" s="134"/>
      <c r="HR295" s="134"/>
      <c r="HS295" s="134"/>
      <c r="HT295" s="134"/>
      <c r="HU295" s="135"/>
      <c r="HV295" s="135"/>
      <c r="HW295" s="134"/>
      <c r="HX295" s="134"/>
      <c r="HY295" s="134"/>
      <c r="HZ295" s="134"/>
      <c r="IA295" s="134"/>
      <c r="IB295" s="134"/>
      <c r="IC295" s="134"/>
      <c r="ID295" s="134"/>
      <c r="IE295" s="135"/>
      <c r="IF295" s="135"/>
      <c r="IG295" s="134"/>
      <c r="IH295" s="134"/>
      <c r="II295" s="134"/>
      <c r="IJ295" s="134"/>
      <c r="IK295" s="134"/>
      <c r="IL295" s="134"/>
      <c r="IM295" s="134"/>
      <c r="IN295" s="134"/>
      <c r="IO295" s="135"/>
      <c r="IP295" s="135"/>
      <c r="IQ295" s="134"/>
      <c r="IR295" s="134"/>
      <c r="IS295" s="134"/>
      <c r="IT295" s="134"/>
      <c r="IU295" s="134"/>
      <c r="IV295" s="134"/>
      <c r="IW295" s="134"/>
      <c r="IX295" s="134"/>
      <c r="IY295" s="135"/>
      <c r="IZ295" s="135"/>
    </row>
    <row r="296" spans="1:260" customFormat="1" ht="17" customHeight="1">
      <c r="A296" s="118" t="s">
        <v>997</v>
      </c>
      <c r="B296" s="117">
        <v>38</v>
      </c>
      <c r="C296" s="117"/>
      <c r="D296" s="117"/>
      <c r="E296" s="139" t="s">
        <v>2105</v>
      </c>
      <c r="F296" s="140" t="s">
        <v>2363</v>
      </c>
      <c r="G296" s="141">
        <v>2008</v>
      </c>
      <c r="H296" s="118">
        <v>18391192</v>
      </c>
      <c r="I296" s="118">
        <v>1</v>
      </c>
      <c r="J296" s="118">
        <v>1</v>
      </c>
      <c r="K296" s="118"/>
      <c r="L296" s="118">
        <v>1</v>
      </c>
      <c r="M296" s="118"/>
      <c r="N296" s="158">
        <v>1</v>
      </c>
      <c r="O296" s="142">
        <v>2</v>
      </c>
      <c r="P296" s="118" t="s">
        <v>1475</v>
      </c>
      <c r="Q296" s="118" t="s">
        <v>1216</v>
      </c>
      <c r="R296" s="118" t="s">
        <v>1138</v>
      </c>
      <c r="S296" s="118"/>
      <c r="T296" s="118" t="s">
        <v>1489</v>
      </c>
      <c r="U296" s="118"/>
      <c r="V296" s="118"/>
      <c r="W296" s="118" t="s">
        <v>1501</v>
      </c>
      <c r="X296" s="118"/>
      <c r="Y296" s="118"/>
      <c r="Z296" s="118"/>
      <c r="AA296" s="118"/>
      <c r="AB296" s="118"/>
      <c r="AC296" s="145"/>
      <c r="AD296" s="573">
        <v>1</v>
      </c>
      <c r="AE296" s="573">
        <v>2</v>
      </c>
      <c r="AF296" s="159">
        <v>1</v>
      </c>
      <c r="AG296" s="160" t="s">
        <v>3429</v>
      </c>
      <c r="AH296" s="122">
        <v>5</v>
      </c>
      <c r="AI296" s="485"/>
      <c r="AJ296" s="226" t="s">
        <v>3366</v>
      </c>
      <c r="AK296" s="348">
        <v>2</v>
      </c>
      <c r="AL296" s="349">
        <v>0</v>
      </c>
      <c r="AM296" s="122">
        <f>Table665[[#This Row],[Subjects_n_ptsd]]+Table665[[#This Row],[Subjects_n_control]]</f>
        <v>10</v>
      </c>
      <c r="AN296" s="122">
        <v>5</v>
      </c>
      <c r="AO296" s="122">
        <v>5</v>
      </c>
      <c r="AP296" s="122" t="s">
        <v>803</v>
      </c>
      <c r="AQ296" s="122" t="s">
        <v>803</v>
      </c>
      <c r="AR296" s="344" t="s">
        <v>3403</v>
      </c>
      <c r="AS296" s="150" t="s">
        <v>24</v>
      </c>
      <c r="AT296" s="344" t="s">
        <v>3403</v>
      </c>
      <c r="AU296" s="150" t="s">
        <v>24</v>
      </c>
      <c r="AV296" s="122" t="s">
        <v>3311</v>
      </c>
      <c r="AW296" s="122">
        <v>1</v>
      </c>
      <c r="AX296" s="122" t="s">
        <v>3348</v>
      </c>
      <c r="AY296" s="122" t="s">
        <v>3398</v>
      </c>
      <c r="AZ296" s="122" t="s">
        <v>3397</v>
      </c>
      <c r="BA296" s="122" t="s">
        <v>3395</v>
      </c>
      <c r="BB296" s="122"/>
      <c r="BC296" s="122"/>
      <c r="BD296" s="161">
        <v>1</v>
      </c>
      <c r="BE296" s="161"/>
      <c r="BF296" s="161"/>
      <c r="BG296" s="161"/>
      <c r="BH296" s="161"/>
      <c r="BI296" s="161"/>
      <c r="BJ296" s="161"/>
      <c r="BK296" s="161"/>
      <c r="BL296" s="161"/>
      <c r="BM296" s="161"/>
      <c r="BN296" s="161"/>
      <c r="BO296" s="161"/>
      <c r="BP296" s="161"/>
      <c r="BQ296" s="162" t="s">
        <v>2528</v>
      </c>
      <c r="BR296" s="150" t="s">
        <v>1876</v>
      </c>
      <c r="BS296" s="150">
        <v>2</v>
      </c>
      <c r="BT296" s="150" t="s">
        <v>3421</v>
      </c>
      <c r="BU296" s="150" t="s">
        <v>23</v>
      </c>
      <c r="BV296" s="150" t="s">
        <v>3406</v>
      </c>
      <c r="BW296" s="261" t="s">
        <v>3447</v>
      </c>
      <c r="BX296" s="429" t="s">
        <v>3424</v>
      </c>
      <c r="BY296" s="150">
        <v>138</v>
      </c>
      <c r="BZ296" s="150" t="s">
        <v>24</v>
      </c>
      <c r="CA296" s="150">
        <v>14</v>
      </c>
      <c r="CB296" s="429" t="s">
        <v>3427</v>
      </c>
      <c r="CC296" s="150">
        <v>137</v>
      </c>
      <c r="CD296" s="150" t="s">
        <v>24</v>
      </c>
      <c r="CE296" s="150">
        <v>20</v>
      </c>
      <c r="CF296" s="290" t="s">
        <v>3428</v>
      </c>
      <c r="CG296" s="291" t="s">
        <v>2480</v>
      </c>
      <c r="CH296" s="151"/>
      <c r="CI296" s="150"/>
      <c r="CJ296" s="150"/>
      <c r="CK296" s="150"/>
      <c r="CL296" s="151"/>
      <c r="CM296" s="150"/>
      <c r="CN296" s="150"/>
      <c r="CO296" s="150"/>
      <c r="CP296" s="290"/>
      <c r="CQ296" s="291"/>
      <c r="CR296" s="278"/>
      <c r="CS296" s="285"/>
      <c r="CT296" s="151"/>
      <c r="CU296" s="150"/>
      <c r="CV296" s="150"/>
      <c r="CW296" s="150"/>
      <c r="CX296" s="150"/>
      <c r="CY296" s="150"/>
      <c r="CZ296" s="150"/>
      <c r="DA296" s="150"/>
      <c r="DB296" s="302"/>
      <c r="DC296" s="303"/>
      <c r="DD296" s="150"/>
      <c r="DE296" s="150"/>
      <c r="DF296" s="150"/>
      <c r="DG296" s="150"/>
      <c r="DH296" s="150"/>
      <c r="DI296" s="150"/>
      <c r="DJ296" s="150"/>
      <c r="DK296" s="150"/>
      <c r="DL296" s="302"/>
      <c r="DM296" s="303"/>
      <c r="DN296" s="278"/>
      <c r="DO296" s="279"/>
      <c r="DP296" s="150"/>
      <c r="DQ296" s="150"/>
      <c r="DR296" s="150"/>
      <c r="DS296" s="150"/>
      <c r="DT296" s="151"/>
      <c r="DU296" s="150"/>
      <c r="DV296" s="150"/>
      <c r="DW296" s="150"/>
      <c r="DX296" s="303"/>
      <c r="DY296" s="303"/>
      <c r="DZ296" s="151"/>
      <c r="EA296" s="150"/>
      <c r="EB296" s="150"/>
      <c r="EC296" s="150"/>
      <c r="ED296" s="151"/>
      <c r="EE296" s="150"/>
      <c r="EF296" s="150"/>
      <c r="EG296" s="150"/>
      <c r="EH296" s="303"/>
      <c r="EI296" s="303"/>
      <c r="EJ296" s="279"/>
      <c r="EK296" s="150"/>
      <c r="EL296" s="150"/>
      <c r="EM296" s="150"/>
      <c r="EN296" s="150"/>
      <c r="EO296" s="150"/>
      <c r="EP296" s="150"/>
      <c r="EQ296" s="150"/>
      <c r="ER296" s="150"/>
      <c r="ES296" s="303"/>
      <c r="ET296" s="303"/>
      <c r="EU296" s="150"/>
      <c r="EV296" s="150"/>
      <c r="EW296" s="150"/>
      <c r="EX296" s="150"/>
      <c r="EY296" s="134"/>
      <c r="EZ296" s="134"/>
      <c r="FA296" s="134"/>
      <c r="FB296" s="134"/>
      <c r="FC296" s="135"/>
      <c r="FD296" s="135"/>
      <c r="FE296" s="134"/>
      <c r="FF296" s="134"/>
      <c r="FG296" s="134"/>
      <c r="FH296" s="134"/>
      <c r="FI296" s="134"/>
      <c r="FJ296" s="134"/>
      <c r="FK296" s="134"/>
      <c r="FL296" s="134"/>
      <c r="FM296" s="135"/>
      <c r="FN296" s="135"/>
      <c r="FO296" s="134"/>
      <c r="FP296" s="134"/>
      <c r="FQ296" s="134"/>
      <c r="FR296" s="134"/>
      <c r="FS296" s="134"/>
      <c r="FT296" s="134"/>
      <c r="FU296" s="134"/>
      <c r="FV296" s="134"/>
      <c r="FW296" s="135"/>
      <c r="FX296" s="135"/>
      <c r="FY296" s="134"/>
      <c r="FZ296" s="134"/>
      <c r="GA296" s="134"/>
      <c r="GB296" s="134"/>
      <c r="GC296" s="134"/>
      <c r="GD296" s="134"/>
      <c r="GE296" s="134"/>
      <c r="GF296" s="134"/>
      <c r="GG296" s="135"/>
      <c r="GH296" s="135"/>
      <c r="GI296" s="134"/>
      <c r="GJ296" s="134"/>
      <c r="GK296" s="134"/>
      <c r="GL296" s="134"/>
      <c r="GM296" s="134"/>
      <c r="GN296" s="134"/>
      <c r="GO296" s="134"/>
      <c r="GP296" s="134"/>
      <c r="GQ296" s="135"/>
      <c r="GR296" s="135"/>
      <c r="GS296" s="134"/>
      <c r="GT296" s="134"/>
      <c r="GU296" s="134"/>
      <c r="GV296" s="134"/>
      <c r="GW296" s="134"/>
      <c r="GX296" s="134"/>
      <c r="GY296" s="134"/>
      <c r="GZ296" s="134"/>
      <c r="HA296" s="135"/>
      <c r="HB296" s="135"/>
      <c r="HC296" s="134"/>
      <c r="HD296" s="134"/>
      <c r="HE296" s="134"/>
      <c r="HF296" s="134"/>
      <c r="HG296" s="134"/>
      <c r="HH296" s="134"/>
      <c r="HI296" s="134"/>
      <c r="HJ296" s="134"/>
      <c r="HK296" s="135"/>
      <c r="HL296" s="135"/>
      <c r="HM296" s="134"/>
      <c r="HN296" s="134"/>
      <c r="HO296" s="134"/>
      <c r="HP296" s="134"/>
      <c r="HQ296" s="134"/>
      <c r="HR296" s="134"/>
      <c r="HS296" s="134"/>
      <c r="HT296" s="134"/>
      <c r="HU296" s="135"/>
      <c r="HV296" s="135"/>
      <c r="HW296" s="134"/>
      <c r="HX296" s="134"/>
      <c r="HY296" s="134"/>
      <c r="HZ296" s="134"/>
      <c r="IA296" s="134"/>
      <c r="IB296" s="134"/>
      <c r="IC296" s="134"/>
      <c r="ID296" s="134"/>
      <c r="IE296" s="135"/>
      <c r="IF296" s="135"/>
      <c r="IG296" s="134"/>
      <c r="IH296" s="134"/>
      <c r="II296" s="134"/>
      <c r="IJ296" s="134"/>
      <c r="IK296" s="134"/>
      <c r="IL296" s="134"/>
      <c r="IM296" s="134"/>
      <c r="IN296" s="134"/>
      <c r="IO296" s="135"/>
      <c r="IP296" s="135"/>
      <c r="IQ296" s="134"/>
      <c r="IR296" s="134"/>
      <c r="IS296" s="134"/>
      <c r="IT296" s="134"/>
      <c r="IU296" s="134"/>
      <c r="IV296" s="134"/>
      <c r="IW296" s="134"/>
      <c r="IX296" s="134"/>
      <c r="IY296" s="135"/>
      <c r="IZ296" s="135"/>
    </row>
    <row r="297" spans="1:260" customFormat="1" ht="17" customHeight="1">
      <c r="A297" s="118" t="s">
        <v>997</v>
      </c>
      <c r="B297" s="117">
        <v>38</v>
      </c>
      <c r="C297" s="117"/>
      <c r="D297" s="117"/>
      <c r="E297" s="139" t="s">
        <v>2105</v>
      </c>
      <c r="F297" s="140" t="s">
        <v>2363</v>
      </c>
      <c r="G297" s="141">
        <v>2008</v>
      </c>
      <c r="H297" s="118">
        <v>18391192</v>
      </c>
      <c r="I297" s="118">
        <v>1</v>
      </c>
      <c r="J297" s="118">
        <v>1</v>
      </c>
      <c r="K297" s="118"/>
      <c r="L297" s="118">
        <v>1</v>
      </c>
      <c r="M297" s="118"/>
      <c r="N297" s="158">
        <v>1</v>
      </c>
      <c r="O297" s="142">
        <v>2</v>
      </c>
      <c r="P297" s="118" t="s">
        <v>1475</v>
      </c>
      <c r="Q297" s="118" t="s">
        <v>1216</v>
      </c>
      <c r="R297" s="118" t="s">
        <v>1138</v>
      </c>
      <c r="S297" s="118"/>
      <c r="T297" s="118" t="s">
        <v>1489</v>
      </c>
      <c r="U297" s="118"/>
      <c r="V297" s="118"/>
      <c r="W297" s="118" t="s">
        <v>1501</v>
      </c>
      <c r="X297" s="118"/>
      <c r="Y297" s="118"/>
      <c r="Z297" s="118"/>
      <c r="AA297" s="118"/>
      <c r="AB297" s="118"/>
      <c r="AC297" s="145"/>
      <c r="AD297" s="573">
        <v>1</v>
      </c>
      <c r="AE297" s="573">
        <v>2</v>
      </c>
      <c r="AF297" s="159">
        <v>1</v>
      </c>
      <c r="AG297" s="160" t="s">
        <v>3429</v>
      </c>
      <c r="AH297" s="122">
        <v>5</v>
      </c>
      <c r="AI297" s="485"/>
      <c r="AJ297" s="226" t="s">
        <v>3366</v>
      </c>
      <c r="AK297" s="348">
        <v>2</v>
      </c>
      <c r="AL297" s="349">
        <v>0</v>
      </c>
      <c r="AM297" s="122">
        <f>Table665[[#This Row],[Subjects_n_ptsd]]+Table665[[#This Row],[Subjects_n_control]]</f>
        <v>10</v>
      </c>
      <c r="AN297" s="122">
        <v>5</v>
      </c>
      <c r="AO297" s="122">
        <v>5</v>
      </c>
      <c r="AP297" s="122" t="s">
        <v>803</v>
      </c>
      <c r="AQ297" s="122" t="s">
        <v>803</v>
      </c>
      <c r="AR297" s="344" t="s">
        <v>3403</v>
      </c>
      <c r="AS297" s="150" t="s">
        <v>24</v>
      </c>
      <c r="AT297" s="344" t="s">
        <v>3403</v>
      </c>
      <c r="AU297" s="150" t="s">
        <v>24</v>
      </c>
      <c r="AV297" s="122" t="s">
        <v>3311</v>
      </c>
      <c r="AW297" s="122">
        <v>1</v>
      </c>
      <c r="AX297" s="122" t="s">
        <v>3348</v>
      </c>
      <c r="AY297" s="122" t="s">
        <v>3398</v>
      </c>
      <c r="AZ297" s="122" t="s">
        <v>3397</v>
      </c>
      <c r="BA297" s="122" t="s">
        <v>3395</v>
      </c>
      <c r="BB297" s="122"/>
      <c r="BC297" s="122"/>
      <c r="BD297" s="161">
        <v>1</v>
      </c>
      <c r="BE297" s="161"/>
      <c r="BF297" s="161"/>
      <c r="BG297" s="161"/>
      <c r="BH297" s="161"/>
      <c r="BI297" s="161"/>
      <c r="BJ297" s="161"/>
      <c r="BK297" s="161"/>
      <c r="BL297" s="161"/>
      <c r="BM297" s="161"/>
      <c r="BN297" s="161"/>
      <c r="BO297" s="161"/>
      <c r="BP297" s="161"/>
      <c r="BQ297" s="162" t="s">
        <v>3400</v>
      </c>
      <c r="BR297" s="150" t="s">
        <v>1876</v>
      </c>
      <c r="BS297" s="150">
        <v>2</v>
      </c>
      <c r="BT297" s="150" t="s">
        <v>3407</v>
      </c>
      <c r="BU297" s="150" t="s">
        <v>23</v>
      </c>
      <c r="BV297" s="150" t="s">
        <v>3406</v>
      </c>
      <c r="BW297" s="258" t="s">
        <v>3448</v>
      </c>
      <c r="BX297" s="151" t="s">
        <v>3411</v>
      </c>
      <c r="BY297" s="150">
        <v>60</v>
      </c>
      <c r="BZ297" s="150" t="s">
        <v>24</v>
      </c>
      <c r="CA297" s="150">
        <v>1.1000000000000001</v>
      </c>
      <c r="CB297" s="151" t="s">
        <v>3415</v>
      </c>
      <c r="CC297" s="150">
        <v>37</v>
      </c>
      <c r="CD297" s="150" t="s">
        <v>24</v>
      </c>
      <c r="CE297" s="150">
        <v>9.6999999999999993</v>
      </c>
      <c r="CF297" s="290" t="s">
        <v>3418</v>
      </c>
      <c r="CG297" s="291" t="s">
        <v>3417</v>
      </c>
      <c r="CH297" s="151"/>
      <c r="CI297" s="150"/>
      <c r="CJ297" s="150"/>
      <c r="CK297" s="150"/>
      <c r="CL297" s="151"/>
      <c r="CM297" s="150"/>
      <c r="CN297" s="150"/>
      <c r="CO297" s="150"/>
      <c r="CP297" s="290"/>
      <c r="CQ297" s="291"/>
      <c r="CR297" s="278"/>
      <c r="CS297" s="285"/>
      <c r="CT297" s="151"/>
      <c r="CU297" s="150"/>
      <c r="CV297" s="150"/>
      <c r="CW297" s="150"/>
      <c r="CX297" s="150"/>
      <c r="CY297" s="150"/>
      <c r="CZ297" s="150"/>
      <c r="DA297" s="150"/>
      <c r="DB297" s="302"/>
      <c r="DC297" s="303"/>
      <c r="DD297" s="150"/>
      <c r="DE297" s="150"/>
      <c r="DF297" s="150"/>
      <c r="DG297" s="150"/>
      <c r="DH297" s="150"/>
      <c r="DI297" s="150"/>
      <c r="DJ297" s="150"/>
      <c r="DK297" s="150"/>
      <c r="DL297" s="302"/>
      <c r="DM297" s="303"/>
      <c r="DN297" s="278"/>
      <c r="DO297" s="279"/>
      <c r="DP297" s="150"/>
      <c r="DQ297" s="150"/>
      <c r="DR297" s="150"/>
      <c r="DS297" s="150"/>
      <c r="DT297" s="151"/>
      <c r="DU297" s="150"/>
      <c r="DV297" s="150"/>
      <c r="DW297" s="150"/>
      <c r="DX297" s="303"/>
      <c r="DY297" s="303"/>
      <c r="DZ297" s="151"/>
      <c r="EA297" s="150"/>
      <c r="EB297" s="150"/>
      <c r="EC297" s="150"/>
      <c r="ED297" s="151"/>
      <c r="EE297" s="150"/>
      <c r="EF297" s="150"/>
      <c r="EG297" s="150"/>
      <c r="EH297" s="303"/>
      <c r="EI297" s="303"/>
      <c r="EJ297" s="279"/>
      <c r="EK297" s="150"/>
      <c r="EL297" s="150"/>
      <c r="EM297" s="150"/>
      <c r="EN297" s="150"/>
      <c r="EO297" s="150"/>
      <c r="EP297" s="150"/>
      <c r="EQ297" s="150"/>
      <c r="ER297" s="150"/>
      <c r="ES297" s="303"/>
      <c r="ET297" s="303"/>
      <c r="EU297" s="150"/>
      <c r="EV297" s="150"/>
      <c r="EW297" s="150"/>
      <c r="EX297" s="150"/>
      <c r="EY297" s="134"/>
      <c r="EZ297" s="134"/>
      <c r="FA297" s="134"/>
      <c r="FB297" s="134"/>
      <c r="FC297" s="135"/>
      <c r="FD297" s="135"/>
      <c r="FE297" s="134"/>
      <c r="FF297" s="134"/>
      <c r="FG297" s="134"/>
      <c r="FH297" s="134"/>
      <c r="FI297" s="134"/>
      <c r="FJ297" s="134"/>
      <c r="FK297" s="134"/>
      <c r="FL297" s="134"/>
      <c r="FM297" s="135"/>
      <c r="FN297" s="135"/>
      <c r="FO297" s="134"/>
      <c r="FP297" s="134"/>
      <c r="FQ297" s="134"/>
      <c r="FR297" s="134"/>
      <c r="FS297" s="134"/>
      <c r="FT297" s="134"/>
      <c r="FU297" s="134"/>
      <c r="FV297" s="134"/>
      <c r="FW297" s="135"/>
      <c r="FX297" s="135"/>
      <c r="FY297" s="134"/>
      <c r="FZ297" s="134"/>
      <c r="GA297" s="134"/>
      <c r="GB297" s="134"/>
      <c r="GC297" s="134"/>
      <c r="GD297" s="134"/>
      <c r="GE297" s="134"/>
      <c r="GF297" s="134"/>
      <c r="GG297" s="135"/>
      <c r="GH297" s="135"/>
      <c r="GI297" s="134"/>
      <c r="GJ297" s="134"/>
      <c r="GK297" s="134"/>
      <c r="GL297" s="134"/>
      <c r="GM297" s="134"/>
      <c r="GN297" s="134"/>
      <c r="GO297" s="134"/>
      <c r="GP297" s="134"/>
      <c r="GQ297" s="135"/>
      <c r="GR297" s="135"/>
      <c r="GS297" s="134"/>
      <c r="GT297" s="134"/>
      <c r="GU297" s="134"/>
      <c r="GV297" s="134"/>
      <c r="GW297" s="134"/>
      <c r="GX297" s="134"/>
      <c r="GY297" s="134"/>
      <c r="GZ297" s="134"/>
      <c r="HA297" s="135"/>
      <c r="HB297" s="135"/>
      <c r="HC297" s="134"/>
      <c r="HD297" s="134"/>
      <c r="HE297" s="134"/>
      <c r="HF297" s="134"/>
      <c r="HG297" s="134"/>
      <c r="HH297" s="134"/>
      <c r="HI297" s="134"/>
      <c r="HJ297" s="134"/>
      <c r="HK297" s="135"/>
      <c r="HL297" s="135"/>
      <c r="HM297" s="134"/>
      <c r="HN297" s="134"/>
      <c r="HO297" s="134"/>
      <c r="HP297" s="134"/>
      <c r="HQ297" s="134"/>
      <c r="HR297" s="134"/>
      <c r="HS297" s="134"/>
      <c r="HT297" s="134"/>
      <c r="HU297" s="135"/>
      <c r="HV297" s="135"/>
      <c r="HW297" s="134"/>
      <c r="HX297" s="134"/>
      <c r="HY297" s="134"/>
      <c r="HZ297" s="134"/>
      <c r="IA297" s="134"/>
      <c r="IB297" s="134"/>
      <c r="IC297" s="134"/>
      <c r="ID297" s="134"/>
      <c r="IE297" s="135"/>
      <c r="IF297" s="135"/>
      <c r="IG297" s="134"/>
      <c r="IH297" s="134"/>
      <c r="II297" s="134"/>
      <c r="IJ297" s="134"/>
      <c r="IK297" s="134"/>
      <c r="IL297" s="134"/>
      <c r="IM297" s="134"/>
      <c r="IN297" s="134"/>
      <c r="IO297" s="135"/>
      <c r="IP297" s="135"/>
      <c r="IQ297" s="134"/>
      <c r="IR297" s="134"/>
      <c r="IS297" s="134"/>
      <c r="IT297" s="134"/>
      <c r="IU297" s="134"/>
      <c r="IV297" s="134"/>
      <c r="IW297" s="134"/>
      <c r="IX297" s="134"/>
      <c r="IY297" s="135"/>
      <c r="IZ297" s="135"/>
    </row>
    <row r="298" spans="1:260" customFormat="1" ht="17" customHeight="1">
      <c r="A298" s="118" t="s">
        <v>997</v>
      </c>
      <c r="B298" s="117">
        <v>38</v>
      </c>
      <c r="C298" s="117"/>
      <c r="D298" s="117"/>
      <c r="E298" s="139" t="s">
        <v>2105</v>
      </c>
      <c r="F298" s="140" t="s">
        <v>2363</v>
      </c>
      <c r="G298" s="141">
        <v>2008</v>
      </c>
      <c r="H298" s="118">
        <v>18391192</v>
      </c>
      <c r="I298" s="118">
        <v>1</v>
      </c>
      <c r="J298" s="118">
        <v>1</v>
      </c>
      <c r="K298" s="118"/>
      <c r="L298" s="118">
        <v>1</v>
      </c>
      <c r="M298" s="118"/>
      <c r="N298" s="158">
        <v>1</v>
      </c>
      <c r="O298" s="142">
        <v>2</v>
      </c>
      <c r="P298" s="118" t="s">
        <v>1475</v>
      </c>
      <c r="Q298" s="118" t="s">
        <v>1216</v>
      </c>
      <c r="R298" s="118" t="s">
        <v>1138</v>
      </c>
      <c r="S298" s="118"/>
      <c r="T298" s="118" t="s">
        <v>1489</v>
      </c>
      <c r="U298" s="118"/>
      <c r="V298" s="118"/>
      <c r="W298" s="118" t="s">
        <v>1501</v>
      </c>
      <c r="X298" s="118"/>
      <c r="Y298" s="118"/>
      <c r="Z298" s="118"/>
      <c r="AA298" s="118"/>
      <c r="AB298" s="118"/>
      <c r="AC298" s="145"/>
      <c r="AD298" s="573">
        <v>1</v>
      </c>
      <c r="AE298" s="573">
        <v>2</v>
      </c>
      <c r="AF298" s="159">
        <v>1</v>
      </c>
      <c r="AG298" s="160" t="s">
        <v>3429</v>
      </c>
      <c r="AH298" s="122">
        <v>5</v>
      </c>
      <c r="AI298" s="485"/>
      <c r="AJ298" s="226" t="s">
        <v>3366</v>
      </c>
      <c r="AK298" s="348">
        <v>2</v>
      </c>
      <c r="AL298" s="349">
        <v>0</v>
      </c>
      <c r="AM298" s="122">
        <f>Table665[[#This Row],[Subjects_n_ptsd]]+Table665[[#This Row],[Subjects_n_control]]</f>
        <v>10</v>
      </c>
      <c r="AN298" s="122">
        <v>5</v>
      </c>
      <c r="AO298" s="122">
        <v>5</v>
      </c>
      <c r="AP298" s="122" t="s">
        <v>803</v>
      </c>
      <c r="AQ298" s="122" t="s">
        <v>803</v>
      </c>
      <c r="AR298" s="344" t="s">
        <v>3403</v>
      </c>
      <c r="AS298" s="150" t="s">
        <v>24</v>
      </c>
      <c r="AT298" s="344" t="s">
        <v>3403</v>
      </c>
      <c r="AU298" s="150" t="s">
        <v>24</v>
      </c>
      <c r="AV298" s="122" t="s">
        <v>3311</v>
      </c>
      <c r="AW298" s="122">
        <v>1</v>
      </c>
      <c r="AX298" s="122" t="s">
        <v>3348</v>
      </c>
      <c r="AY298" s="122" t="s">
        <v>3398</v>
      </c>
      <c r="AZ298" s="122" t="s">
        <v>3397</v>
      </c>
      <c r="BA298" s="122" t="s">
        <v>3395</v>
      </c>
      <c r="BB298" s="122"/>
      <c r="BC298" s="122"/>
      <c r="BD298" s="161">
        <v>1</v>
      </c>
      <c r="BE298" s="161"/>
      <c r="BF298" s="161"/>
      <c r="BG298" s="161"/>
      <c r="BH298" s="161"/>
      <c r="BI298" s="161"/>
      <c r="BJ298" s="161"/>
      <c r="BK298" s="161"/>
      <c r="BL298" s="161"/>
      <c r="BM298" s="161"/>
      <c r="BN298" s="161"/>
      <c r="BO298" s="161"/>
      <c r="BP298" s="161"/>
      <c r="BQ298" s="162" t="s">
        <v>3399</v>
      </c>
      <c r="BR298" s="150" t="s">
        <v>1876</v>
      </c>
      <c r="BS298" s="150">
        <v>2</v>
      </c>
      <c r="BT298" s="150" t="s">
        <v>3408</v>
      </c>
      <c r="BU298" s="150" t="s">
        <v>23</v>
      </c>
      <c r="BV298" s="150" t="s">
        <v>3406</v>
      </c>
      <c r="BW298" s="258" t="s">
        <v>3449</v>
      </c>
      <c r="BX298" s="151" t="s">
        <v>3430</v>
      </c>
      <c r="BY298" s="150">
        <v>18.899999999999999</v>
      </c>
      <c r="BZ298" s="228" t="s">
        <v>3433</v>
      </c>
      <c r="CA298" s="150" t="s">
        <v>24</v>
      </c>
      <c r="CB298" s="151" t="s">
        <v>3431</v>
      </c>
      <c r="CC298" s="150">
        <v>20.100000000000001</v>
      </c>
      <c r="CD298" s="150" t="s">
        <v>3432</v>
      </c>
      <c r="CE298" s="150" t="s">
        <v>24</v>
      </c>
      <c r="CF298" s="290" t="s">
        <v>3434</v>
      </c>
      <c r="CG298" s="291" t="s">
        <v>2480</v>
      </c>
      <c r="CH298" s="151"/>
      <c r="CI298" s="150"/>
      <c r="CJ298" s="150"/>
      <c r="CK298" s="150"/>
      <c r="CL298" s="151"/>
      <c r="CM298" s="150"/>
      <c r="CN298" s="150"/>
      <c r="CO298" s="150"/>
      <c r="CP298" s="290"/>
      <c r="CQ298" s="291"/>
      <c r="CR298" s="278"/>
      <c r="CS298" s="285"/>
      <c r="CT298" s="151"/>
      <c r="CU298" s="150"/>
      <c r="CV298" s="150"/>
      <c r="CW298" s="150"/>
      <c r="CX298" s="150"/>
      <c r="CY298" s="150"/>
      <c r="CZ298" s="150"/>
      <c r="DA298" s="150"/>
      <c r="DB298" s="302"/>
      <c r="DC298" s="303"/>
      <c r="DD298" s="150"/>
      <c r="DE298" s="150"/>
      <c r="DF298" s="150"/>
      <c r="DG298" s="150"/>
      <c r="DH298" s="150"/>
      <c r="DI298" s="150"/>
      <c r="DJ298" s="150"/>
      <c r="DK298" s="150"/>
      <c r="DL298" s="302"/>
      <c r="DM298" s="303"/>
      <c r="DN298" s="278"/>
      <c r="DO298" s="279"/>
      <c r="DP298" s="150"/>
      <c r="DQ298" s="150"/>
      <c r="DR298" s="150"/>
      <c r="DS298" s="150"/>
      <c r="DT298" s="151"/>
      <c r="DU298" s="150"/>
      <c r="DV298" s="150"/>
      <c r="DW298" s="150"/>
      <c r="DX298" s="303"/>
      <c r="DY298" s="303"/>
      <c r="DZ298" s="151"/>
      <c r="EA298" s="150"/>
      <c r="EB298" s="150"/>
      <c r="EC298" s="150"/>
      <c r="ED298" s="151"/>
      <c r="EE298" s="150"/>
      <c r="EF298" s="150"/>
      <c r="EG298" s="150"/>
      <c r="EH298" s="303"/>
      <c r="EI298" s="303"/>
      <c r="EJ298" s="279"/>
      <c r="EK298" s="150"/>
      <c r="EL298" s="150"/>
      <c r="EM298" s="150"/>
      <c r="EN298" s="150"/>
      <c r="EO298" s="150"/>
      <c r="EP298" s="150"/>
      <c r="EQ298" s="150"/>
      <c r="ER298" s="150"/>
      <c r="ES298" s="303"/>
      <c r="ET298" s="303"/>
      <c r="EU298" s="150"/>
      <c r="EV298" s="150"/>
      <c r="EW298" s="150"/>
      <c r="EX298" s="150"/>
      <c r="EY298" s="134"/>
      <c r="EZ298" s="134"/>
      <c r="FA298" s="134"/>
      <c r="FB298" s="134"/>
      <c r="FC298" s="135"/>
      <c r="FD298" s="135"/>
      <c r="FE298" s="134"/>
      <c r="FF298" s="134"/>
      <c r="FG298" s="134"/>
      <c r="FH298" s="134"/>
      <c r="FI298" s="134"/>
      <c r="FJ298" s="134"/>
      <c r="FK298" s="134"/>
      <c r="FL298" s="134"/>
      <c r="FM298" s="135"/>
      <c r="FN298" s="135"/>
      <c r="FO298" s="134"/>
      <c r="FP298" s="134"/>
      <c r="FQ298" s="134"/>
      <c r="FR298" s="134"/>
      <c r="FS298" s="134"/>
      <c r="FT298" s="134"/>
      <c r="FU298" s="134"/>
      <c r="FV298" s="134"/>
      <c r="FW298" s="135"/>
      <c r="FX298" s="135"/>
      <c r="FY298" s="134"/>
      <c r="FZ298" s="134"/>
      <c r="GA298" s="134"/>
      <c r="GB298" s="134"/>
      <c r="GC298" s="134"/>
      <c r="GD298" s="134"/>
      <c r="GE298" s="134"/>
      <c r="GF298" s="134"/>
      <c r="GG298" s="135"/>
      <c r="GH298" s="135"/>
      <c r="GI298" s="134"/>
      <c r="GJ298" s="134"/>
      <c r="GK298" s="134"/>
      <c r="GL298" s="134"/>
      <c r="GM298" s="134"/>
      <c r="GN298" s="134"/>
      <c r="GO298" s="134"/>
      <c r="GP298" s="134"/>
      <c r="GQ298" s="135"/>
      <c r="GR298" s="135"/>
      <c r="GS298" s="134"/>
      <c r="GT298" s="134"/>
      <c r="GU298" s="134"/>
      <c r="GV298" s="134"/>
      <c r="GW298" s="134"/>
      <c r="GX298" s="134"/>
      <c r="GY298" s="134"/>
      <c r="GZ298" s="134"/>
      <c r="HA298" s="135"/>
      <c r="HB298" s="135"/>
      <c r="HC298" s="134"/>
      <c r="HD298" s="134"/>
      <c r="HE298" s="134"/>
      <c r="HF298" s="134"/>
      <c r="HG298" s="134"/>
      <c r="HH298" s="134"/>
      <c r="HI298" s="134"/>
      <c r="HJ298" s="134"/>
      <c r="HK298" s="135"/>
      <c r="HL298" s="135"/>
      <c r="HM298" s="134"/>
      <c r="HN298" s="134"/>
      <c r="HO298" s="134"/>
      <c r="HP298" s="134"/>
      <c r="HQ298" s="134"/>
      <c r="HR298" s="134"/>
      <c r="HS298" s="134"/>
      <c r="HT298" s="134"/>
      <c r="HU298" s="135"/>
      <c r="HV298" s="135"/>
      <c r="HW298" s="134"/>
      <c r="HX298" s="134"/>
      <c r="HY298" s="134"/>
      <c r="HZ298" s="134"/>
      <c r="IA298" s="134"/>
      <c r="IB298" s="134"/>
      <c r="IC298" s="134"/>
      <c r="ID298" s="134"/>
      <c r="IE298" s="135"/>
      <c r="IF298" s="135"/>
      <c r="IG298" s="134"/>
      <c r="IH298" s="134"/>
      <c r="II298" s="134"/>
      <c r="IJ298" s="134"/>
      <c r="IK298" s="134"/>
      <c r="IL298" s="134"/>
      <c r="IM298" s="134"/>
      <c r="IN298" s="134"/>
      <c r="IO298" s="135"/>
      <c r="IP298" s="135"/>
      <c r="IQ298" s="134"/>
      <c r="IR298" s="134"/>
      <c r="IS298" s="134"/>
      <c r="IT298" s="134"/>
      <c r="IU298" s="134"/>
      <c r="IV298" s="134"/>
      <c r="IW298" s="134"/>
      <c r="IX298" s="134"/>
      <c r="IY298" s="135"/>
      <c r="IZ298" s="135"/>
    </row>
    <row r="299" spans="1:260" customFormat="1" ht="17" customHeight="1">
      <c r="A299" s="118" t="s">
        <v>997</v>
      </c>
      <c r="B299" s="117">
        <v>38</v>
      </c>
      <c r="C299" s="117"/>
      <c r="D299" s="117"/>
      <c r="E299" s="139" t="s">
        <v>2105</v>
      </c>
      <c r="F299" s="140" t="s">
        <v>2363</v>
      </c>
      <c r="G299" s="141">
        <v>2008</v>
      </c>
      <c r="H299" s="118">
        <v>18391192</v>
      </c>
      <c r="I299" s="118">
        <v>1</v>
      </c>
      <c r="J299" s="118">
        <v>1</v>
      </c>
      <c r="K299" s="118"/>
      <c r="L299" s="118">
        <v>1</v>
      </c>
      <c r="M299" s="118"/>
      <c r="N299" s="158">
        <v>1</v>
      </c>
      <c r="O299" s="142">
        <v>2</v>
      </c>
      <c r="P299" s="118" t="s">
        <v>1475</v>
      </c>
      <c r="Q299" s="118" t="s">
        <v>1216</v>
      </c>
      <c r="R299" s="118" t="s">
        <v>1138</v>
      </c>
      <c r="S299" s="118"/>
      <c r="T299" s="118" t="s">
        <v>1489</v>
      </c>
      <c r="U299" s="118"/>
      <c r="V299" s="118"/>
      <c r="W299" s="118" t="s">
        <v>1501</v>
      </c>
      <c r="X299" s="118"/>
      <c r="Y299" s="118"/>
      <c r="Z299" s="118"/>
      <c r="AA299" s="118"/>
      <c r="AB299" s="118"/>
      <c r="AC299" s="145"/>
      <c r="AD299" s="573">
        <v>1</v>
      </c>
      <c r="AE299" s="573">
        <v>2</v>
      </c>
      <c r="AF299" s="159">
        <v>1</v>
      </c>
      <c r="AG299" s="160" t="s">
        <v>3429</v>
      </c>
      <c r="AH299" s="122">
        <v>5</v>
      </c>
      <c r="AI299" s="485"/>
      <c r="AJ299" s="226" t="s">
        <v>3366</v>
      </c>
      <c r="AK299" s="192">
        <v>2</v>
      </c>
      <c r="AL299" s="349">
        <v>0</v>
      </c>
      <c r="AM299" s="122">
        <f>Table665[[#This Row],[Subjects_n_ptsd]]+Table665[[#This Row],[Subjects_n_control]]</f>
        <v>10</v>
      </c>
      <c r="AN299" s="122">
        <v>5</v>
      </c>
      <c r="AO299" s="122">
        <v>5</v>
      </c>
      <c r="AP299" s="122" t="s">
        <v>803</v>
      </c>
      <c r="AQ299" s="122" t="s">
        <v>803</v>
      </c>
      <c r="AR299" s="344" t="s">
        <v>3403</v>
      </c>
      <c r="AS299" s="150" t="s">
        <v>24</v>
      </c>
      <c r="AT299" s="344" t="s">
        <v>3403</v>
      </c>
      <c r="AU299" s="150" t="s">
        <v>24</v>
      </c>
      <c r="AV299" s="122" t="s">
        <v>3311</v>
      </c>
      <c r="AW299" s="122">
        <v>1</v>
      </c>
      <c r="AX299" s="122" t="s">
        <v>3348</v>
      </c>
      <c r="AY299" s="122" t="s">
        <v>3398</v>
      </c>
      <c r="AZ299" s="122" t="s">
        <v>3397</v>
      </c>
      <c r="BA299" s="122" t="s">
        <v>3395</v>
      </c>
      <c r="BB299" s="122"/>
      <c r="BC299" s="122"/>
      <c r="BD299" s="161">
        <v>1</v>
      </c>
      <c r="BE299" s="161"/>
      <c r="BF299" s="161"/>
      <c r="BG299" s="161"/>
      <c r="BH299" s="161"/>
      <c r="BI299" s="161"/>
      <c r="BJ299" s="161"/>
      <c r="BK299" s="161"/>
      <c r="BL299" s="161"/>
      <c r="BM299" s="161"/>
      <c r="BN299" s="161"/>
      <c r="BO299" s="161"/>
      <c r="BP299" s="161"/>
      <c r="BQ299" s="162" t="s">
        <v>3400</v>
      </c>
      <c r="BR299" s="150" t="s">
        <v>1876</v>
      </c>
      <c r="BS299" s="150">
        <v>2</v>
      </c>
      <c r="BT299" s="150" t="s">
        <v>3409</v>
      </c>
      <c r="BU299" s="150" t="s">
        <v>23</v>
      </c>
      <c r="BV299" s="150" t="s">
        <v>3406</v>
      </c>
      <c r="BW299" s="258" t="s">
        <v>3448</v>
      </c>
      <c r="BX299" s="151" t="s">
        <v>3412</v>
      </c>
      <c r="BY299" s="150">
        <v>121</v>
      </c>
      <c r="BZ299" s="150" t="s">
        <v>24</v>
      </c>
      <c r="CA299" s="150">
        <v>5.6</v>
      </c>
      <c r="CB299" s="151" t="s">
        <v>3414</v>
      </c>
      <c r="CC299" s="150">
        <v>68</v>
      </c>
      <c r="CD299" s="150" t="s">
        <v>24</v>
      </c>
      <c r="CE299" s="150">
        <v>9.9</v>
      </c>
      <c r="CF299" s="290" t="s">
        <v>3418</v>
      </c>
      <c r="CG299" s="291" t="s">
        <v>3417</v>
      </c>
      <c r="CH299" s="151"/>
      <c r="CI299" s="150"/>
      <c r="CJ299" s="150"/>
      <c r="CK299" s="150"/>
      <c r="CL299" s="151"/>
      <c r="CM299" s="150"/>
      <c r="CN299" s="150"/>
      <c r="CO299" s="150"/>
      <c r="CP299" s="290"/>
      <c r="CQ299" s="291"/>
      <c r="CR299" s="278"/>
      <c r="CS299" s="285"/>
      <c r="CT299" s="151"/>
      <c r="CU299" s="150"/>
      <c r="CV299" s="150"/>
      <c r="CW299" s="150"/>
      <c r="CX299" s="150"/>
      <c r="CY299" s="150"/>
      <c r="CZ299" s="150"/>
      <c r="DA299" s="150"/>
      <c r="DB299" s="302"/>
      <c r="DC299" s="303"/>
      <c r="DD299" s="150"/>
      <c r="DE299" s="150"/>
      <c r="DF299" s="150"/>
      <c r="DG299" s="150"/>
      <c r="DH299" s="150"/>
      <c r="DI299" s="150"/>
      <c r="DJ299" s="150"/>
      <c r="DK299" s="150"/>
      <c r="DL299" s="302"/>
      <c r="DM299" s="303"/>
      <c r="DN299" s="278"/>
      <c r="DO299" s="279"/>
      <c r="DP299" s="150"/>
      <c r="DQ299" s="150"/>
      <c r="DR299" s="150"/>
      <c r="DS299" s="150"/>
      <c r="DT299" s="151"/>
      <c r="DU299" s="150"/>
      <c r="DV299" s="150"/>
      <c r="DW299" s="150"/>
      <c r="DX299" s="303"/>
      <c r="DY299" s="303"/>
      <c r="DZ299" s="151"/>
      <c r="EA299" s="150"/>
      <c r="EB299" s="150"/>
      <c r="EC299" s="150"/>
      <c r="ED299" s="151"/>
      <c r="EE299" s="150"/>
      <c r="EF299" s="150"/>
      <c r="EG299" s="150"/>
      <c r="EH299" s="303"/>
      <c r="EI299" s="303"/>
      <c r="EJ299" s="279"/>
      <c r="EK299" s="150"/>
      <c r="EL299" s="150"/>
      <c r="EM299" s="150"/>
      <c r="EN299" s="150"/>
      <c r="EO299" s="150"/>
      <c r="EP299" s="150"/>
      <c r="EQ299" s="150"/>
      <c r="ER299" s="150"/>
      <c r="ES299" s="303"/>
      <c r="ET299" s="303"/>
      <c r="EU299" s="150"/>
      <c r="EV299" s="150"/>
      <c r="EW299" s="150"/>
      <c r="EX299" s="150"/>
      <c r="EY299" s="134"/>
      <c r="EZ299" s="134"/>
      <c r="FA299" s="134"/>
      <c r="FB299" s="134"/>
      <c r="FC299" s="135"/>
      <c r="FD299" s="135"/>
      <c r="FE299" s="134"/>
      <c r="FF299" s="134"/>
      <c r="FG299" s="134"/>
      <c r="FH299" s="134"/>
      <c r="FI299" s="134"/>
      <c r="FJ299" s="134"/>
      <c r="FK299" s="134"/>
      <c r="FL299" s="134"/>
      <c r="FM299" s="135"/>
      <c r="FN299" s="135"/>
      <c r="FO299" s="134"/>
      <c r="FP299" s="134"/>
      <c r="FQ299" s="134"/>
      <c r="FR299" s="134"/>
      <c r="FS299" s="134"/>
      <c r="FT299" s="134"/>
      <c r="FU299" s="134"/>
      <c r="FV299" s="134"/>
      <c r="FW299" s="135"/>
      <c r="FX299" s="135"/>
      <c r="FY299" s="134"/>
      <c r="FZ299" s="134"/>
      <c r="GA299" s="134"/>
      <c r="GB299" s="134"/>
      <c r="GC299" s="134"/>
      <c r="GD299" s="134"/>
      <c r="GE299" s="134"/>
      <c r="GF299" s="134"/>
      <c r="GG299" s="135"/>
      <c r="GH299" s="135"/>
      <c r="GI299" s="134"/>
      <c r="GJ299" s="134"/>
      <c r="GK299" s="134"/>
      <c r="GL299" s="134"/>
      <c r="GM299" s="134"/>
      <c r="GN299" s="134"/>
      <c r="GO299" s="134"/>
      <c r="GP299" s="134"/>
      <c r="GQ299" s="135"/>
      <c r="GR299" s="135"/>
      <c r="GS299" s="134"/>
      <c r="GT299" s="134"/>
      <c r="GU299" s="134"/>
      <c r="GV299" s="134"/>
      <c r="GW299" s="134"/>
      <c r="GX299" s="134"/>
      <c r="GY299" s="134"/>
      <c r="GZ299" s="134"/>
      <c r="HA299" s="135"/>
      <c r="HB299" s="135"/>
      <c r="HC299" s="134"/>
      <c r="HD299" s="134"/>
      <c r="HE299" s="134"/>
      <c r="HF299" s="134"/>
      <c r="HG299" s="134"/>
      <c r="HH299" s="134"/>
      <c r="HI299" s="134"/>
      <c r="HJ299" s="134"/>
      <c r="HK299" s="135"/>
      <c r="HL299" s="135"/>
      <c r="HM299" s="134"/>
      <c r="HN299" s="134"/>
      <c r="HO299" s="134"/>
      <c r="HP299" s="134"/>
      <c r="HQ299" s="134"/>
      <c r="HR299" s="134"/>
      <c r="HS299" s="134"/>
      <c r="HT299" s="134"/>
      <c r="HU299" s="135"/>
      <c r="HV299" s="135"/>
      <c r="HW299" s="134"/>
      <c r="HX299" s="134"/>
      <c r="HY299" s="134"/>
      <c r="HZ299" s="134"/>
      <c r="IA299" s="134"/>
      <c r="IB299" s="134"/>
      <c r="IC299" s="134"/>
      <c r="ID299" s="134"/>
      <c r="IE299" s="135"/>
      <c r="IF299" s="135"/>
      <c r="IG299" s="134"/>
      <c r="IH299" s="134"/>
      <c r="II299" s="134"/>
      <c r="IJ299" s="134"/>
      <c r="IK299" s="134"/>
      <c r="IL299" s="134"/>
      <c r="IM299" s="134"/>
      <c r="IN299" s="134"/>
      <c r="IO299" s="135"/>
      <c r="IP299" s="135"/>
      <c r="IQ299" s="134"/>
      <c r="IR299" s="134"/>
      <c r="IS299" s="134"/>
      <c r="IT299" s="134"/>
      <c r="IU299" s="134"/>
      <c r="IV299" s="134"/>
      <c r="IW299" s="134"/>
      <c r="IX299" s="134"/>
      <c r="IY299" s="135"/>
      <c r="IZ299" s="135"/>
    </row>
    <row r="300" spans="1:260" customFormat="1" ht="17" customHeight="1">
      <c r="A300" s="118" t="s">
        <v>997</v>
      </c>
      <c r="B300" s="117">
        <v>38</v>
      </c>
      <c r="C300" s="117"/>
      <c r="D300" s="117"/>
      <c r="E300" s="139" t="s">
        <v>2105</v>
      </c>
      <c r="F300" s="140" t="s">
        <v>2363</v>
      </c>
      <c r="G300" s="141">
        <v>2008</v>
      </c>
      <c r="H300" s="118">
        <v>18391192</v>
      </c>
      <c r="I300" s="118">
        <v>1</v>
      </c>
      <c r="J300" s="118">
        <v>1</v>
      </c>
      <c r="K300" s="118"/>
      <c r="L300" s="118">
        <v>1</v>
      </c>
      <c r="M300" s="118"/>
      <c r="N300" s="158">
        <v>1</v>
      </c>
      <c r="O300" s="142">
        <v>2</v>
      </c>
      <c r="P300" s="118" t="s">
        <v>1475</v>
      </c>
      <c r="Q300" s="118" t="s">
        <v>1216</v>
      </c>
      <c r="R300" s="118" t="s">
        <v>1138</v>
      </c>
      <c r="S300" s="118"/>
      <c r="T300" s="118" t="s">
        <v>1489</v>
      </c>
      <c r="U300" s="118"/>
      <c r="V300" s="118"/>
      <c r="W300" s="118" t="s">
        <v>1501</v>
      </c>
      <c r="X300" s="118"/>
      <c r="Y300" s="118"/>
      <c r="Z300" s="118"/>
      <c r="AA300" s="118"/>
      <c r="AB300" s="118"/>
      <c r="AC300" s="145"/>
      <c r="AD300" s="573">
        <v>1</v>
      </c>
      <c r="AE300" s="573">
        <v>2</v>
      </c>
      <c r="AF300" s="159">
        <v>1</v>
      </c>
      <c r="AG300" s="160" t="s">
        <v>3429</v>
      </c>
      <c r="AH300" s="122">
        <v>5</v>
      </c>
      <c r="AI300" s="485"/>
      <c r="AJ300" s="226" t="s">
        <v>3366</v>
      </c>
      <c r="AK300" s="192">
        <v>2</v>
      </c>
      <c r="AL300" s="349">
        <v>0</v>
      </c>
      <c r="AM300" s="122">
        <f>Table665[[#This Row],[Subjects_n_ptsd]]+Table665[[#This Row],[Subjects_n_control]]</f>
        <v>10</v>
      </c>
      <c r="AN300" s="122">
        <v>5</v>
      </c>
      <c r="AO300" s="122">
        <v>5</v>
      </c>
      <c r="AP300" s="122" t="s">
        <v>803</v>
      </c>
      <c r="AQ300" s="122" t="s">
        <v>803</v>
      </c>
      <c r="AR300" s="344" t="s">
        <v>3403</v>
      </c>
      <c r="AS300" s="150" t="s">
        <v>24</v>
      </c>
      <c r="AT300" s="344" t="s">
        <v>3403</v>
      </c>
      <c r="AU300" s="150" t="s">
        <v>24</v>
      </c>
      <c r="AV300" s="122" t="s">
        <v>3311</v>
      </c>
      <c r="AW300" s="122">
        <v>1</v>
      </c>
      <c r="AX300" s="122" t="s">
        <v>3348</v>
      </c>
      <c r="AY300" s="122" t="s">
        <v>3398</v>
      </c>
      <c r="AZ300" s="122" t="s">
        <v>3397</v>
      </c>
      <c r="BA300" s="122" t="s">
        <v>3395</v>
      </c>
      <c r="BB300" s="122"/>
      <c r="BC300" s="122"/>
      <c r="BD300" s="161">
        <v>1</v>
      </c>
      <c r="BE300" s="161"/>
      <c r="BF300" s="161"/>
      <c r="BG300" s="161"/>
      <c r="BH300" s="161"/>
      <c r="BI300" s="161"/>
      <c r="BJ300" s="161"/>
      <c r="BK300" s="161"/>
      <c r="BL300" s="161"/>
      <c r="BM300" s="161"/>
      <c r="BN300" s="161"/>
      <c r="BO300" s="161"/>
      <c r="BP300" s="161"/>
      <c r="BQ300" s="162" t="s">
        <v>3400</v>
      </c>
      <c r="BR300" s="150" t="s">
        <v>1876</v>
      </c>
      <c r="BS300" s="150">
        <v>2</v>
      </c>
      <c r="BT300" s="145" t="s">
        <v>3410</v>
      </c>
      <c r="BU300" s="150" t="s">
        <v>23</v>
      </c>
      <c r="BV300" s="150" t="s">
        <v>3406</v>
      </c>
      <c r="BW300" s="258" t="s">
        <v>3448</v>
      </c>
      <c r="BX300" s="429" t="s">
        <v>3413</v>
      </c>
      <c r="BY300" s="150">
        <v>161</v>
      </c>
      <c r="BZ300" s="150" t="s">
        <v>24</v>
      </c>
      <c r="CA300" s="150">
        <v>9.6</v>
      </c>
      <c r="CB300" s="429" t="s">
        <v>3416</v>
      </c>
      <c r="CC300" s="150">
        <v>94</v>
      </c>
      <c r="CD300" s="150" t="s">
        <v>24</v>
      </c>
      <c r="CE300" s="150">
        <v>9.3000000000000007</v>
      </c>
      <c r="CF300" s="290" t="s">
        <v>3418</v>
      </c>
      <c r="CG300" s="291" t="s">
        <v>3417</v>
      </c>
      <c r="CH300" s="151"/>
      <c r="CI300" s="150"/>
      <c r="CJ300" s="150"/>
      <c r="CK300" s="150"/>
      <c r="CL300" s="151"/>
      <c r="CM300" s="150"/>
      <c r="CN300" s="150"/>
      <c r="CO300" s="150"/>
      <c r="CP300" s="290"/>
      <c r="CQ300" s="291"/>
      <c r="CR300" s="278"/>
      <c r="CS300" s="285"/>
      <c r="CT300" s="151"/>
      <c r="CU300" s="150"/>
      <c r="CV300" s="150"/>
      <c r="CW300" s="150"/>
      <c r="CX300" s="150"/>
      <c r="CY300" s="150"/>
      <c r="CZ300" s="150"/>
      <c r="DA300" s="150"/>
      <c r="DB300" s="302"/>
      <c r="DC300" s="303"/>
      <c r="DD300" s="150"/>
      <c r="DE300" s="150"/>
      <c r="DF300" s="150"/>
      <c r="DG300" s="150"/>
      <c r="DH300" s="150"/>
      <c r="DI300" s="150"/>
      <c r="DJ300" s="150"/>
      <c r="DK300" s="150"/>
      <c r="DL300" s="302"/>
      <c r="DM300" s="303"/>
      <c r="DN300" s="278"/>
      <c r="DO300" s="279"/>
      <c r="DP300" s="150"/>
      <c r="DQ300" s="150"/>
      <c r="DR300" s="150"/>
      <c r="DS300" s="150"/>
      <c r="DT300" s="151"/>
      <c r="DU300" s="150"/>
      <c r="DV300" s="150"/>
      <c r="DW300" s="150"/>
      <c r="DX300" s="303"/>
      <c r="DY300" s="303"/>
      <c r="DZ300" s="151"/>
      <c r="EA300" s="150"/>
      <c r="EB300" s="150"/>
      <c r="EC300" s="150"/>
      <c r="ED300" s="151"/>
      <c r="EE300" s="150"/>
      <c r="EF300" s="150"/>
      <c r="EG300" s="150"/>
      <c r="EH300" s="303"/>
      <c r="EI300" s="303"/>
      <c r="EJ300" s="279"/>
      <c r="EK300" s="150"/>
      <c r="EL300" s="150"/>
      <c r="EM300" s="150"/>
      <c r="EN300" s="150"/>
      <c r="EO300" s="150"/>
      <c r="EP300" s="150"/>
      <c r="EQ300" s="150"/>
      <c r="ER300" s="150"/>
      <c r="ES300" s="303"/>
      <c r="ET300" s="303"/>
      <c r="EU300" s="150"/>
      <c r="EV300" s="150"/>
      <c r="EW300" s="150"/>
      <c r="EX300" s="150"/>
      <c r="EY300" s="134"/>
      <c r="EZ300" s="134"/>
      <c r="FA300" s="134"/>
      <c r="FB300" s="134"/>
      <c r="FC300" s="135"/>
      <c r="FD300" s="135"/>
      <c r="FE300" s="134"/>
      <c r="FF300" s="134"/>
      <c r="FG300" s="134"/>
      <c r="FH300" s="134"/>
      <c r="FI300" s="134"/>
      <c r="FJ300" s="134"/>
      <c r="FK300" s="134"/>
      <c r="FL300" s="134"/>
      <c r="FM300" s="135"/>
      <c r="FN300" s="135"/>
      <c r="FO300" s="134"/>
      <c r="FP300" s="134"/>
      <c r="FQ300" s="134"/>
      <c r="FR300" s="134"/>
      <c r="FS300" s="134"/>
      <c r="FT300" s="134"/>
      <c r="FU300" s="134"/>
      <c r="FV300" s="134"/>
      <c r="FW300" s="135"/>
      <c r="FX300" s="135"/>
      <c r="FY300" s="134"/>
      <c r="FZ300" s="134"/>
      <c r="GA300" s="134"/>
      <c r="GB300" s="134"/>
      <c r="GC300" s="134"/>
      <c r="GD300" s="134"/>
      <c r="GE300" s="134"/>
      <c r="GF300" s="134"/>
      <c r="GG300" s="135"/>
      <c r="GH300" s="135"/>
      <c r="GI300" s="134"/>
      <c r="GJ300" s="134"/>
      <c r="GK300" s="134"/>
      <c r="GL300" s="134"/>
      <c r="GM300" s="134"/>
      <c r="GN300" s="134"/>
      <c r="GO300" s="134"/>
      <c r="GP300" s="134"/>
      <c r="GQ300" s="135"/>
      <c r="GR300" s="135"/>
      <c r="GS300" s="134"/>
      <c r="GT300" s="134"/>
      <c r="GU300" s="134"/>
      <c r="GV300" s="134"/>
      <c r="GW300" s="134"/>
      <c r="GX300" s="134"/>
      <c r="GY300" s="134"/>
      <c r="GZ300" s="134"/>
      <c r="HA300" s="135"/>
      <c r="HB300" s="135"/>
      <c r="HC300" s="134"/>
      <c r="HD300" s="134"/>
      <c r="HE300" s="134"/>
      <c r="HF300" s="134"/>
      <c r="HG300" s="134"/>
      <c r="HH300" s="134"/>
      <c r="HI300" s="134"/>
      <c r="HJ300" s="134"/>
      <c r="HK300" s="135"/>
      <c r="HL300" s="135"/>
      <c r="HM300" s="134"/>
      <c r="HN300" s="134"/>
      <c r="HO300" s="134"/>
      <c r="HP300" s="134"/>
      <c r="HQ300" s="134"/>
      <c r="HR300" s="134"/>
      <c r="HS300" s="134"/>
      <c r="HT300" s="134"/>
      <c r="HU300" s="135"/>
      <c r="HV300" s="135"/>
      <c r="HW300" s="134"/>
      <c r="HX300" s="134"/>
      <c r="HY300" s="134"/>
      <c r="HZ300" s="134"/>
      <c r="IA300" s="134"/>
      <c r="IB300" s="134"/>
      <c r="IC300" s="134"/>
      <c r="ID300" s="134"/>
      <c r="IE300" s="135"/>
      <c r="IF300" s="135"/>
      <c r="IG300" s="134"/>
      <c r="IH300" s="134"/>
      <c r="II300" s="134"/>
      <c r="IJ300" s="134"/>
      <c r="IK300" s="134"/>
      <c r="IL300" s="134"/>
      <c r="IM300" s="134"/>
      <c r="IN300" s="134"/>
      <c r="IO300" s="135"/>
      <c r="IP300" s="135"/>
      <c r="IQ300" s="134"/>
      <c r="IR300" s="134"/>
      <c r="IS300" s="134"/>
      <c r="IT300" s="134"/>
      <c r="IU300" s="134"/>
      <c r="IV300" s="134"/>
      <c r="IW300" s="134"/>
      <c r="IX300" s="134"/>
      <c r="IY300" s="135"/>
      <c r="IZ300" s="135"/>
    </row>
    <row r="301" spans="1:260" customFormat="1" ht="17" customHeight="1">
      <c r="A301" s="118" t="s">
        <v>997</v>
      </c>
      <c r="B301" s="117">
        <v>38</v>
      </c>
      <c r="C301" s="117"/>
      <c r="D301" s="117"/>
      <c r="E301" s="139" t="s">
        <v>2105</v>
      </c>
      <c r="F301" s="140" t="s">
        <v>2363</v>
      </c>
      <c r="G301" s="141">
        <v>2008</v>
      </c>
      <c r="H301" s="118">
        <v>18391192</v>
      </c>
      <c r="I301" s="118">
        <v>1</v>
      </c>
      <c r="J301" s="118">
        <v>1</v>
      </c>
      <c r="K301" s="118"/>
      <c r="L301" s="118">
        <v>1</v>
      </c>
      <c r="M301" s="118"/>
      <c r="N301" s="158">
        <v>1</v>
      </c>
      <c r="O301" s="142">
        <v>2</v>
      </c>
      <c r="P301" s="118" t="s">
        <v>1475</v>
      </c>
      <c r="Q301" s="118" t="s">
        <v>1216</v>
      </c>
      <c r="R301" s="118" t="s">
        <v>1138</v>
      </c>
      <c r="S301" s="118"/>
      <c r="T301" s="118" t="s">
        <v>1489</v>
      </c>
      <c r="U301" s="118"/>
      <c r="V301" s="118"/>
      <c r="W301" s="118" t="s">
        <v>1501</v>
      </c>
      <c r="X301" s="118"/>
      <c r="Y301" s="118"/>
      <c r="Z301" s="118"/>
      <c r="AA301" s="118"/>
      <c r="AB301" s="118"/>
      <c r="AC301" s="145"/>
      <c r="AD301" s="573">
        <v>1</v>
      </c>
      <c r="AE301" s="573">
        <v>2</v>
      </c>
      <c r="AF301" s="159">
        <v>1</v>
      </c>
      <c r="AG301" s="160" t="s">
        <v>3429</v>
      </c>
      <c r="AH301" s="122">
        <v>5</v>
      </c>
      <c r="AI301" s="485"/>
      <c r="AJ301" s="226" t="s">
        <v>3366</v>
      </c>
      <c r="AK301" s="192">
        <v>2</v>
      </c>
      <c r="AL301" s="349">
        <v>0</v>
      </c>
      <c r="AM301" s="122">
        <f>Table665[[#This Row],[Subjects_n_ptsd]]+Table665[[#This Row],[Subjects_n_control]]</f>
        <v>10</v>
      </c>
      <c r="AN301" s="122">
        <v>5</v>
      </c>
      <c r="AO301" s="122">
        <v>5</v>
      </c>
      <c r="AP301" s="122" t="s">
        <v>803</v>
      </c>
      <c r="AQ301" s="122" t="s">
        <v>803</v>
      </c>
      <c r="AR301" s="344" t="s">
        <v>3403</v>
      </c>
      <c r="AS301" s="150" t="s">
        <v>24</v>
      </c>
      <c r="AT301" s="344" t="s">
        <v>3403</v>
      </c>
      <c r="AU301" s="150" t="s">
        <v>24</v>
      </c>
      <c r="AV301" s="122" t="s">
        <v>3311</v>
      </c>
      <c r="AW301" s="122">
        <v>1</v>
      </c>
      <c r="AX301" s="122" t="s">
        <v>3348</v>
      </c>
      <c r="AY301" s="122" t="s">
        <v>3398</v>
      </c>
      <c r="AZ301" s="122" t="s">
        <v>3397</v>
      </c>
      <c r="BA301" s="122" t="s">
        <v>3395</v>
      </c>
      <c r="BB301" s="122"/>
      <c r="BC301" s="122"/>
      <c r="BD301" s="161">
        <v>1</v>
      </c>
      <c r="BE301" s="161"/>
      <c r="BF301" s="161"/>
      <c r="BG301" s="161"/>
      <c r="BH301" s="161"/>
      <c r="BI301" s="161"/>
      <c r="BJ301" s="161"/>
      <c r="BK301" s="161"/>
      <c r="BL301" s="161"/>
      <c r="BM301" s="161"/>
      <c r="BN301" s="161"/>
      <c r="BO301" s="161"/>
      <c r="BP301" s="161"/>
      <c r="BQ301" s="162" t="s">
        <v>3401</v>
      </c>
      <c r="BR301" s="150" t="s">
        <v>1876</v>
      </c>
      <c r="BS301" s="150">
        <v>2</v>
      </c>
      <c r="BT301" s="145" t="s">
        <v>3404</v>
      </c>
      <c r="BU301" s="150" t="s">
        <v>23</v>
      </c>
      <c r="BV301" s="150" t="s">
        <v>3406</v>
      </c>
      <c r="BW301" s="258" t="s">
        <v>3446</v>
      </c>
      <c r="BX301" s="429" t="s">
        <v>3435</v>
      </c>
      <c r="BY301" s="150">
        <v>205.28100000000001</v>
      </c>
      <c r="BZ301" s="150" t="s">
        <v>24</v>
      </c>
      <c r="CA301" s="150">
        <f>Table665[[#This Row],[Outcome1_M]]-181.349</f>
        <v>23.932000000000016</v>
      </c>
      <c r="CB301" s="429" t="s">
        <v>3438</v>
      </c>
      <c r="CC301" s="150">
        <v>216.82900000000001</v>
      </c>
      <c r="CD301" s="228" t="s">
        <v>24</v>
      </c>
      <c r="CE301" s="150">
        <f>234.976-Table665[[#This Row],[Outcome2_M]]</f>
        <v>18.146999999999991</v>
      </c>
      <c r="CF301" s="290" t="s">
        <v>3441</v>
      </c>
      <c r="CG301" s="291" t="s">
        <v>2480</v>
      </c>
      <c r="CH301" s="429" t="s">
        <v>3436</v>
      </c>
      <c r="CI301" s="150">
        <v>152.14599999999999</v>
      </c>
      <c r="CJ301" s="150" t="s">
        <v>24</v>
      </c>
      <c r="CK301" s="150">
        <f>174.245-Table665[[#This Row],[Outcome3_M]]</f>
        <v>22.099000000000018</v>
      </c>
      <c r="CL301" s="429" t="s">
        <v>3439</v>
      </c>
      <c r="CM301" s="150">
        <v>139.767</v>
      </c>
      <c r="CN301" s="150" t="s">
        <v>24</v>
      </c>
      <c r="CO301" s="150">
        <f>Table665[[#This Row],[Outcome4_M]]-121.616</f>
        <v>18.150999999999996</v>
      </c>
      <c r="CP301" s="290" t="s">
        <v>3442</v>
      </c>
      <c r="CQ301" s="291" t="s">
        <v>3443</v>
      </c>
      <c r="CR301" s="278"/>
      <c r="CS301" s="285"/>
      <c r="CT301" s="429" t="s">
        <v>3437</v>
      </c>
      <c r="CU301" s="150">
        <v>99.837999999999994</v>
      </c>
      <c r="CV301" s="150" t="s">
        <v>24</v>
      </c>
      <c r="CW301" s="150">
        <f>Table665[[#This Row],[Outcome5_M]]-79.2089</f>
        <v>20.629099999999994</v>
      </c>
      <c r="CX301" s="429" t="s">
        <v>3440</v>
      </c>
      <c r="CY301" s="150">
        <v>110.56100000000001</v>
      </c>
      <c r="CZ301" s="150" t="s">
        <v>24</v>
      </c>
      <c r="DA301" s="150">
        <f>122.11-Table665[[#This Row],[Outcome6_M]]</f>
        <v>11.548999999999992</v>
      </c>
      <c r="DB301" s="302" t="s">
        <v>3444</v>
      </c>
      <c r="DC301" s="303" t="s">
        <v>3445</v>
      </c>
      <c r="DD301" s="228"/>
      <c r="DE301" s="150"/>
      <c r="DF301" s="150"/>
      <c r="DG301" s="150"/>
      <c r="DH301" s="150"/>
      <c r="DI301" s="150"/>
      <c r="DJ301" s="150"/>
      <c r="DK301" s="150"/>
      <c r="DL301" s="302"/>
      <c r="DM301" s="303"/>
      <c r="DN301" s="278"/>
      <c r="DO301" s="279"/>
      <c r="DP301" s="150"/>
      <c r="DQ301" s="150"/>
      <c r="DR301" s="150"/>
      <c r="DS301" s="150"/>
      <c r="DT301" s="151"/>
      <c r="DU301" s="150"/>
      <c r="DV301" s="150"/>
      <c r="DW301" s="150"/>
      <c r="DX301" s="303"/>
      <c r="DY301" s="303"/>
      <c r="DZ301" s="151"/>
      <c r="EA301" s="150"/>
      <c r="EB301" s="150"/>
      <c r="EC301" s="150"/>
      <c r="ED301" s="151"/>
      <c r="EE301" s="150"/>
      <c r="EF301" s="150"/>
      <c r="EG301" s="150"/>
      <c r="EH301" s="303"/>
      <c r="EI301" s="303"/>
      <c r="EJ301" s="279"/>
      <c r="EK301" s="150"/>
      <c r="EL301" s="150"/>
      <c r="EM301" s="150"/>
      <c r="EN301" s="150"/>
      <c r="EO301" s="150"/>
      <c r="EP301" s="150"/>
      <c r="EQ301" s="150"/>
      <c r="ER301" s="150"/>
      <c r="ES301" s="303"/>
      <c r="ET301" s="303"/>
      <c r="EU301" s="150"/>
      <c r="EV301" s="150"/>
      <c r="EW301" s="150"/>
      <c r="EX301" s="150"/>
      <c r="EY301" s="134"/>
      <c r="EZ301" s="134"/>
      <c r="FA301" s="134"/>
      <c r="FB301" s="134"/>
      <c r="FC301" s="135"/>
      <c r="FD301" s="135"/>
      <c r="FE301" s="134"/>
      <c r="FF301" s="134"/>
      <c r="FG301" s="134"/>
      <c r="FH301" s="134"/>
      <c r="FI301" s="134"/>
      <c r="FJ301" s="134"/>
      <c r="FK301" s="134"/>
      <c r="FL301" s="134"/>
      <c r="FM301" s="135"/>
      <c r="FN301" s="135"/>
      <c r="FO301" s="134"/>
      <c r="FP301" s="134"/>
      <c r="FQ301" s="134"/>
      <c r="FR301" s="134"/>
      <c r="FS301" s="134"/>
      <c r="FT301" s="134"/>
      <c r="FU301" s="134"/>
      <c r="FV301" s="134"/>
      <c r="FW301" s="135"/>
      <c r="FX301" s="135"/>
      <c r="FY301" s="134"/>
      <c r="FZ301" s="134"/>
      <c r="GA301" s="134"/>
      <c r="GB301" s="134"/>
      <c r="GC301" s="134"/>
      <c r="GD301" s="134"/>
      <c r="GE301" s="134"/>
      <c r="GF301" s="134"/>
      <c r="GG301" s="135"/>
      <c r="GH301" s="135"/>
      <c r="GI301" s="134"/>
      <c r="GJ301" s="134"/>
      <c r="GK301" s="134"/>
      <c r="GL301" s="134"/>
      <c r="GM301" s="134"/>
      <c r="GN301" s="134"/>
      <c r="GO301" s="134"/>
      <c r="GP301" s="134"/>
      <c r="GQ301" s="135"/>
      <c r="GR301" s="135"/>
      <c r="GS301" s="134"/>
      <c r="GT301" s="134"/>
      <c r="GU301" s="134"/>
      <c r="GV301" s="134"/>
      <c r="GW301" s="134"/>
      <c r="GX301" s="134"/>
      <c r="GY301" s="134"/>
      <c r="GZ301" s="134"/>
      <c r="HA301" s="135"/>
      <c r="HB301" s="135"/>
      <c r="HC301" s="134"/>
      <c r="HD301" s="134"/>
      <c r="HE301" s="134"/>
      <c r="HF301" s="134"/>
      <c r="HG301" s="134"/>
      <c r="HH301" s="134"/>
      <c r="HI301" s="134"/>
      <c r="HJ301" s="134"/>
      <c r="HK301" s="135"/>
      <c r="HL301" s="135"/>
      <c r="HM301" s="134"/>
      <c r="HN301" s="134"/>
      <c r="HO301" s="134"/>
      <c r="HP301" s="134"/>
      <c r="HQ301" s="134"/>
      <c r="HR301" s="134"/>
      <c r="HS301" s="134"/>
      <c r="HT301" s="134"/>
      <c r="HU301" s="135"/>
      <c r="HV301" s="135"/>
      <c r="HW301" s="134"/>
      <c r="HX301" s="134"/>
      <c r="HY301" s="134"/>
      <c r="HZ301" s="134"/>
      <c r="IA301" s="134"/>
      <c r="IB301" s="134"/>
      <c r="IC301" s="134"/>
      <c r="ID301" s="134"/>
      <c r="IE301" s="135"/>
      <c r="IF301" s="135"/>
      <c r="IG301" s="134"/>
      <c r="IH301" s="134"/>
      <c r="II301" s="134"/>
      <c r="IJ301" s="134"/>
      <c r="IK301" s="134"/>
      <c r="IL301" s="134"/>
      <c r="IM301" s="134"/>
      <c r="IN301" s="134"/>
      <c r="IO301" s="135"/>
      <c r="IP301" s="135"/>
      <c r="IQ301" s="134"/>
      <c r="IR301" s="134"/>
      <c r="IS301" s="134"/>
      <c r="IT301" s="134"/>
      <c r="IU301" s="134"/>
      <c r="IV301" s="134"/>
      <c r="IW301" s="134"/>
      <c r="IX301" s="134"/>
      <c r="IY301" s="135"/>
      <c r="IZ301" s="135"/>
    </row>
    <row r="302" spans="1:260" customFormat="1" ht="17" customHeight="1">
      <c r="A302" s="118" t="s">
        <v>997</v>
      </c>
      <c r="B302" s="117">
        <v>38</v>
      </c>
      <c r="C302" s="117"/>
      <c r="D302" s="117"/>
      <c r="E302" s="139" t="s">
        <v>2105</v>
      </c>
      <c r="F302" s="140" t="s">
        <v>2363</v>
      </c>
      <c r="G302" s="141">
        <v>2008</v>
      </c>
      <c r="H302" s="118">
        <v>18391192</v>
      </c>
      <c r="I302" s="118">
        <v>1</v>
      </c>
      <c r="J302" s="118">
        <v>1</v>
      </c>
      <c r="K302" s="118"/>
      <c r="L302" s="118">
        <v>1</v>
      </c>
      <c r="M302" s="118"/>
      <c r="N302" s="158">
        <v>1</v>
      </c>
      <c r="O302" s="142">
        <v>2</v>
      </c>
      <c r="P302" s="118" t="s">
        <v>1475</v>
      </c>
      <c r="Q302" s="118" t="s">
        <v>1216</v>
      </c>
      <c r="R302" s="118" t="s">
        <v>1138</v>
      </c>
      <c r="S302" s="118"/>
      <c r="T302" s="118" t="s">
        <v>1489</v>
      </c>
      <c r="U302" s="118"/>
      <c r="V302" s="118"/>
      <c r="W302" s="118" t="s">
        <v>1501</v>
      </c>
      <c r="X302" s="118"/>
      <c r="Y302" s="118"/>
      <c r="Z302" s="118"/>
      <c r="AA302" s="118"/>
      <c r="AB302" s="118"/>
      <c r="AC302" s="145"/>
      <c r="AD302" s="573">
        <v>1</v>
      </c>
      <c r="AE302" s="573">
        <v>2</v>
      </c>
      <c r="AF302" s="159">
        <v>1</v>
      </c>
      <c r="AG302" s="160" t="s">
        <v>3429</v>
      </c>
      <c r="AH302" s="122">
        <v>5</v>
      </c>
      <c r="AI302" s="485"/>
      <c r="AJ302" s="226" t="s">
        <v>3366</v>
      </c>
      <c r="AK302" s="192">
        <v>2</v>
      </c>
      <c r="AL302" s="349">
        <v>0</v>
      </c>
      <c r="AM302" s="122">
        <f>Table665[[#This Row],[Subjects_n_ptsd]]+Table665[[#This Row],[Subjects_n_control]]</f>
        <v>10</v>
      </c>
      <c r="AN302" s="122">
        <v>5</v>
      </c>
      <c r="AO302" s="122">
        <v>5</v>
      </c>
      <c r="AP302" s="122" t="s">
        <v>803</v>
      </c>
      <c r="AQ302" s="122" t="s">
        <v>803</v>
      </c>
      <c r="AR302" s="344" t="s">
        <v>3403</v>
      </c>
      <c r="AS302" s="150" t="s">
        <v>24</v>
      </c>
      <c r="AT302" s="344" t="s">
        <v>3403</v>
      </c>
      <c r="AU302" s="150" t="s">
        <v>24</v>
      </c>
      <c r="AV302" s="122" t="s">
        <v>3311</v>
      </c>
      <c r="AW302" s="122">
        <v>1</v>
      </c>
      <c r="AX302" s="122" t="s">
        <v>3348</v>
      </c>
      <c r="AY302" s="122" t="s">
        <v>3398</v>
      </c>
      <c r="AZ302" s="122" t="s">
        <v>3397</v>
      </c>
      <c r="BA302" s="122" t="s">
        <v>3395</v>
      </c>
      <c r="BB302" s="122"/>
      <c r="BC302" s="122"/>
      <c r="BD302" s="161">
        <v>1</v>
      </c>
      <c r="BE302" s="161"/>
      <c r="BF302" s="161"/>
      <c r="BG302" s="161"/>
      <c r="BH302" s="161"/>
      <c r="BI302" s="161"/>
      <c r="BJ302" s="161"/>
      <c r="BK302" s="161"/>
      <c r="BL302" s="161"/>
      <c r="BM302" s="161"/>
      <c r="BN302" s="161"/>
      <c r="BO302" s="161"/>
      <c r="BP302" s="161"/>
      <c r="BQ302" s="162" t="s">
        <v>3402</v>
      </c>
      <c r="BR302" s="150" t="s">
        <v>1876</v>
      </c>
      <c r="BS302" s="150">
        <v>2</v>
      </c>
      <c r="BT302" s="145" t="s">
        <v>3405</v>
      </c>
      <c r="BU302" s="150" t="s">
        <v>23</v>
      </c>
      <c r="BV302" s="150" t="s">
        <v>3406</v>
      </c>
      <c r="BW302" s="354" t="s">
        <v>3464</v>
      </c>
      <c r="BX302" s="429" t="s">
        <v>3450</v>
      </c>
      <c r="BY302" s="150">
        <v>115.23</v>
      </c>
      <c r="BZ302" s="150" t="s">
        <v>24</v>
      </c>
      <c r="CA302" s="150">
        <f>Table665[[#This Row],[Outcome1_M]]-104.152</f>
        <v>11.078000000000003</v>
      </c>
      <c r="CB302" s="429" t="s">
        <v>3451</v>
      </c>
      <c r="CC302" s="150">
        <v>70.930700000000002</v>
      </c>
      <c r="CD302" s="150" t="s">
        <v>24</v>
      </c>
      <c r="CE302" s="150">
        <f>80.1688-Table665[[#This Row],[Outcome2_M]]</f>
        <v>9.2381000000000029</v>
      </c>
      <c r="CF302" s="290" t="s">
        <v>3463</v>
      </c>
      <c r="CG302" s="291" t="s">
        <v>2588</v>
      </c>
      <c r="CH302" s="429" t="s">
        <v>3452</v>
      </c>
      <c r="CI302" s="150">
        <v>93.375399999999999</v>
      </c>
      <c r="CJ302" s="150" t="s">
        <v>24</v>
      </c>
      <c r="CK302" s="150">
        <f>103.992-Table665[[#This Row],[Outcome3_M]]</f>
        <v>10.616600000000005</v>
      </c>
      <c r="CL302" s="429" t="s">
        <v>3453</v>
      </c>
      <c r="CM302" s="150">
        <v>34.304900000000004</v>
      </c>
      <c r="CN302" s="150" t="s">
        <v>24</v>
      </c>
      <c r="CO302" s="150">
        <f>46.3126-Table665[[#This Row],[Outcome4_M]]</f>
        <v>12.0077</v>
      </c>
      <c r="CP302" s="290" t="s">
        <v>3463</v>
      </c>
      <c r="CQ302" s="291" t="s">
        <v>2588</v>
      </c>
      <c r="CR302" s="278"/>
      <c r="CS302" s="285"/>
      <c r="CT302" s="429" t="s">
        <v>3454</v>
      </c>
      <c r="CU302" s="145">
        <v>49.370699999999999</v>
      </c>
      <c r="CV302" s="145" t="s">
        <v>24</v>
      </c>
      <c r="CW302" s="145">
        <f>60.9104-Table665[[#This Row],[Outcome5_M]]</f>
        <v>11.539700000000003</v>
      </c>
      <c r="CX302" s="429" t="s">
        <v>3455</v>
      </c>
      <c r="CY302" s="150">
        <v>18.918700000000001</v>
      </c>
      <c r="CZ302" s="150" t="s">
        <v>24</v>
      </c>
      <c r="DA302" s="150">
        <f>25.3809-Table665[[#This Row],[Outcome6_M]]</f>
        <v>6.4621999999999993</v>
      </c>
      <c r="DB302" s="440" t="s">
        <v>3463</v>
      </c>
      <c r="DC302" s="442" t="s">
        <v>2588</v>
      </c>
      <c r="DD302" s="429" t="s">
        <v>3456</v>
      </c>
      <c r="DE302" s="145">
        <v>37.215499999999999</v>
      </c>
      <c r="DF302" s="145" t="s">
        <v>24</v>
      </c>
      <c r="DG302" s="145">
        <f>41.8378-Table665[[#This Row],[Outcome7_M]]</f>
        <v>4.6223000000000027</v>
      </c>
      <c r="DH302" s="429" t="s">
        <v>3457</v>
      </c>
      <c r="DI302" s="150">
        <v>14.1554</v>
      </c>
      <c r="DJ302" s="150" t="s">
        <v>24</v>
      </c>
      <c r="DK302" s="150">
        <f>21.5472-Table665[[#This Row],[Outcome8_M]]</f>
        <v>7.3917999999999999</v>
      </c>
      <c r="DL302" s="440" t="s">
        <v>3463</v>
      </c>
      <c r="DM302" s="442" t="s">
        <v>2588</v>
      </c>
      <c r="DN302" s="278"/>
      <c r="DO302" s="279"/>
      <c r="DP302" s="429" t="s">
        <v>3458</v>
      </c>
      <c r="DQ302" s="145">
        <v>32.458599999999997</v>
      </c>
      <c r="DR302" s="145" t="s">
        <v>24</v>
      </c>
      <c r="DS302" s="145">
        <f>37.0745-Table665[[#This Row],[Outcome9_M]]</f>
        <v>4.6159000000000034</v>
      </c>
      <c r="DT302" s="429" t="s">
        <v>3459</v>
      </c>
      <c r="DU302" s="150">
        <v>13.995100000000001</v>
      </c>
      <c r="DV302" s="150" t="s">
        <v>24</v>
      </c>
      <c r="DW302" s="150">
        <f>21.8485-Table665[[#This Row],[Outcome10_M]]</f>
        <v>7.8534000000000006</v>
      </c>
      <c r="DX302" s="440" t="s">
        <v>3463</v>
      </c>
      <c r="DY302" s="442" t="s">
        <v>2588</v>
      </c>
      <c r="DZ302" s="429" t="s">
        <v>3460</v>
      </c>
      <c r="EA302" s="145">
        <v>33.689500000000002</v>
      </c>
      <c r="EB302" s="145" t="s">
        <v>24</v>
      </c>
      <c r="EC302" s="145">
        <f>43.9213-Table665[[#This Row],[Outcome11_M]]</f>
        <v>10.2318</v>
      </c>
      <c r="ED302" s="429" t="s">
        <v>3461</v>
      </c>
      <c r="EE302" s="150">
        <v>14.7644</v>
      </c>
      <c r="EF302" s="150" t="s">
        <v>24</v>
      </c>
      <c r="EG302" s="150">
        <f>22.1498-Table665[[#This Row],[Outcome12_M]]</f>
        <v>7.3853999999999989</v>
      </c>
      <c r="EH302" s="440" t="s">
        <v>3463</v>
      </c>
      <c r="EI302" s="442" t="s">
        <v>2588</v>
      </c>
      <c r="EJ302" s="279"/>
      <c r="EK302" s="150"/>
      <c r="EL302" s="150"/>
      <c r="EM302" s="150"/>
      <c r="EN302" s="150"/>
      <c r="EO302" s="150"/>
      <c r="EP302" s="150"/>
      <c r="EQ302" s="150"/>
      <c r="ER302" s="150"/>
      <c r="ES302" s="303"/>
      <c r="ET302" s="303"/>
      <c r="EU302" s="150"/>
      <c r="EV302" s="150"/>
      <c r="EW302" s="150"/>
      <c r="EX302" s="150"/>
      <c r="EY302" s="134"/>
      <c r="EZ302" s="134"/>
      <c r="FA302" s="134"/>
      <c r="FB302" s="134"/>
      <c r="FC302" s="135"/>
      <c r="FD302" s="135"/>
      <c r="FE302" s="134"/>
      <c r="FF302" s="134"/>
      <c r="FG302" s="134"/>
      <c r="FH302" s="134"/>
      <c r="FI302" s="134"/>
      <c r="FJ302" s="134"/>
      <c r="FK302" s="134"/>
      <c r="FL302" s="134"/>
      <c r="FM302" s="135"/>
      <c r="FN302" s="135"/>
      <c r="FO302" s="134"/>
      <c r="FP302" s="134"/>
      <c r="FQ302" s="134"/>
      <c r="FR302" s="134"/>
      <c r="FS302" s="134"/>
      <c r="FT302" s="134"/>
      <c r="FU302" s="134"/>
      <c r="FV302" s="134"/>
      <c r="FW302" s="135"/>
      <c r="FX302" s="135"/>
      <c r="FY302" s="134"/>
      <c r="FZ302" s="134"/>
      <c r="GA302" s="134"/>
      <c r="GB302" s="134"/>
      <c r="GC302" s="134"/>
      <c r="GD302" s="134"/>
      <c r="GE302" s="134"/>
      <c r="GF302" s="134"/>
      <c r="GG302" s="135"/>
      <c r="GH302" s="135"/>
      <c r="GI302" s="134"/>
      <c r="GJ302" s="134"/>
      <c r="GK302" s="134"/>
      <c r="GL302" s="134"/>
      <c r="GM302" s="134"/>
      <c r="GN302" s="134"/>
      <c r="GO302" s="134"/>
      <c r="GP302" s="134"/>
      <c r="GQ302" s="135"/>
      <c r="GR302" s="135"/>
      <c r="GS302" s="134"/>
      <c r="GT302" s="134"/>
      <c r="GU302" s="134"/>
      <c r="GV302" s="134"/>
      <c r="GW302" s="134"/>
      <c r="GX302" s="134"/>
      <c r="GY302" s="134"/>
      <c r="GZ302" s="134"/>
      <c r="HA302" s="135"/>
      <c r="HB302" s="135"/>
      <c r="HC302" s="134"/>
      <c r="HD302" s="134"/>
      <c r="HE302" s="134"/>
      <c r="HF302" s="134"/>
      <c r="HG302" s="134"/>
      <c r="HH302" s="134"/>
      <c r="HI302" s="134"/>
      <c r="HJ302" s="134"/>
      <c r="HK302" s="135"/>
      <c r="HL302" s="135"/>
      <c r="HM302" s="134"/>
      <c r="HN302" s="134"/>
      <c r="HO302" s="134"/>
      <c r="HP302" s="134"/>
      <c r="HQ302" s="134"/>
      <c r="HR302" s="134"/>
      <c r="HS302" s="134"/>
      <c r="HT302" s="134"/>
      <c r="HU302" s="135"/>
      <c r="HV302" s="135"/>
      <c r="HW302" s="134"/>
      <c r="HX302" s="134"/>
      <c r="HY302" s="134"/>
      <c r="HZ302" s="134"/>
      <c r="IA302" s="134"/>
      <c r="IB302" s="134"/>
      <c r="IC302" s="134"/>
      <c r="ID302" s="134"/>
      <c r="IE302" s="135"/>
      <c r="IF302" s="135"/>
      <c r="IG302" s="134"/>
      <c r="IH302" s="134"/>
      <c r="II302" s="134"/>
      <c r="IJ302" s="134"/>
      <c r="IK302" s="134"/>
      <c r="IL302" s="134"/>
      <c r="IM302" s="134"/>
      <c r="IN302" s="134"/>
      <c r="IO302" s="135"/>
      <c r="IP302" s="135"/>
      <c r="IQ302" s="134"/>
      <c r="IR302" s="134"/>
      <c r="IS302" s="134"/>
      <c r="IT302" s="134"/>
      <c r="IU302" s="134"/>
      <c r="IV302" s="134"/>
      <c r="IW302" s="134"/>
      <c r="IX302" s="134"/>
      <c r="IY302" s="135"/>
      <c r="IZ302" s="135"/>
    </row>
    <row r="303" spans="1:260" customFormat="1" ht="17" customHeight="1">
      <c r="A303" s="79" t="s">
        <v>996</v>
      </c>
      <c r="B303" s="117">
        <v>39</v>
      </c>
      <c r="C303" s="117"/>
      <c r="D303" s="117"/>
      <c r="E303" s="123" t="s">
        <v>2106</v>
      </c>
      <c r="F303" s="124" t="s">
        <v>2364</v>
      </c>
      <c r="G303" s="125">
        <v>2009</v>
      </c>
      <c r="H303" s="79">
        <v>19167702</v>
      </c>
      <c r="I303" s="79">
        <v>1</v>
      </c>
      <c r="J303" s="126" t="s">
        <v>1848</v>
      </c>
      <c r="K303" s="127"/>
      <c r="L303" s="79">
        <v>1</v>
      </c>
      <c r="M303" s="79"/>
      <c r="N303" s="153">
        <v>1</v>
      </c>
      <c r="O303" s="128">
        <v>2</v>
      </c>
      <c r="P303" s="79" t="s">
        <v>22</v>
      </c>
      <c r="Q303" s="79" t="s">
        <v>1142</v>
      </c>
      <c r="R303" s="79" t="s">
        <v>1127</v>
      </c>
      <c r="S303" s="79"/>
      <c r="T303" s="79" t="s">
        <v>1488</v>
      </c>
      <c r="U303" s="79"/>
      <c r="V303" s="79"/>
      <c r="W303" s="79"/>
      <c r="X303" s="79"/>
      <c r="Y303" s="79"/>
      <c r="Z303" s="79"/>
      <c r="AA303" s="79"/>
      <c r="AB303" s="79" t="s">
        <v>424</v>
      </c>
      <c r="AC303" s="506"/>
      <c r="AD303" s="573">
        <v>1</v>
      </c>
      <c r="AE303" s="573">
        <v>2</v>
      </c>
      <c r="AF303" s="233" t="s">
        <v>3003</v>
      </c>
      <c r="AG303" s="234" t="s">
        <v>4680</v>
      </c>
      <c r="AH303" s="135">
        <v>4</v>
      </c>
      <c r="AI303" s="484"/>
      <c r="AJ303" s="235" t="s">
        <v>3468</v>
      </c>
      <c r="AK303" s="192">
        <v>0</v>
      </c>
      <c r="AL303" s="203">
        <v>0</v>
      </c>
      <c r="AM303" s="121">
        <f>((10+15)/2)*4</f>
        <v>50</v>
      </c>
      <c r="AN303" s="121" t="s">
        <v>3480</v>
      </c>
      <c r="AO303" s="135" t="s">
        <v>24</v>
      </c>
      <c r="AP303" s="121" t="s">
        <v>803</v>
      </c>
      <c r="AQ303" s="121" t="s">
        <v>24</v>
      </c>
      <c r="AR303" s="121" t="s">
        <v>24</v>
      </c>
      <c r="AS303" s="121" t="s">
        <v>24</v>
      </c>
      <c r="AT303" s="121" t="s">
        <v>24</v>
      </c>
      <c r="AU303" s="121" t="s">
        <v>24</v>
      </c>
      <c r="AV303" s="121" t="s">
        <v>3465</v>
      </c>
      <c r="AW303" s="121">
        <v>1</v>
      </c>
      <c r="AX303" s="121" t="s">
        <v>3467</v>
      </c>
      <c r="AY303" s="121" t="s">
        <v>24</v>
      </c>
      <c r="AZ303" s="121" t="s">
        <v>2730</v>
      </c>
      <c r="BA303" s="121" t="s">
        <v>3466</v>
      </c>
      <c r="BB303" s="121"/>
      <c r="BC303" s="121"/>
      <c r="BD303" s="156">
        <v>1</v>
      </c>
      <c r="BE303" s="156"/>
      <c r="BF303" s="156"/>
      <c r="BG303" s="156"/>
      <c r="BH303" s="156"/>
      <c r="BI303" s="156"/>
      <c r="BJ303" s="156"/>
      <c r="BK303" s="156"/>
      <c r="BL303" s="156"/>
      <c r="BM303" s="156"/>
      <c r="BN303" s="156"/>
      <c r="BO303" s="156"/>
      <c r="BP303" s="156"/>
      <c r="BQ303" s="157" t="s">
        <v>3399</v>
      </c>
      <c r="BR303" s="134" t="s">
        <v>1876</v>
      </c>
      <c r="BS303" s="134"/>
      <c r="BT303" s="134" t="s">
        <v>3470</v>
      </c>
      <c r="BU303" s="134"/>
      <c r="BV303" s="134" t="s">
        <v>3469</v>
      </c>
      <c r="BW303" s="259" t="s">
        <v>3478</v>
      </c>
      <c r="BX303" s="138" t="s">
        <v>3471</v>
      </c>
      <c r="BY303" s="134">
        <v>0.13535900000000001</v>
      </c>
      <c r="BZ303" s="134" t="s">
        <v>24</v>
      </c>
      <c r="CA303" s="134">
        <f>0.180642-Table665[[#This Row],[Outcome1_M]]</f>
        <v>4.528299999999999E-2</v>
      </c>
      <c r="CB303" s="138" t="s">
        <v>3472</v>
      </c>
      <c r="CC303" s="134">
        <v>0.20613200000000001</v>
      </c>
      <c r="CD303" s="134" t="s">
        <v>24</v>
      </c>
      <c r="CE303" s="134">
        <f>0.236321-Table665[[#This Row],[Outcome2_M]]</f>
        <v>3.0188999999999994E-2</v>
      </c>
      <c r="CF303" s="288" t="s">
        <v>3475</v>
      </c>
      <c r="CG303" s="289" t="s">
        <v>2480</v>
      </c>
      <c r="CH303" s="427" t="s">
        <v>3473</v>
      </c>
      <c r="CI303" s="134">
        <v>0.47309499999999999</v>
      </c>
      <c r="CJ303" s="134" t="s">
        <v>24</v>
      </c>
      <c r="CK303" s="134">
        <f>0.537255-Table665[[#This Row],[Outcome3_M]]</f>
        <v>6.416000000000005E-2</v>
      </c>
      <c r="CL303" s="427" t="s">
        <v>3474</v>
      </c>
      <c r="CM303" s="134">
        <v>0.43444300000000002</v>
      </c>
      <c r="CN303" s="134" t="s">
        <v>24</v>
      </c>
      <c r="CO303" s="134">
        <f>0.4835-Table665[[#This Row],[Outcome4_M]]</f>
        <v>4.9056999999999962E-2</v>
      </c>
      <c r="CP303" s="288" t="s">
        <v>3476</v>
      </c>
      <c r="CQ303" s="289" t="s">
        <v>3477</v>
      </c>
      <c r="CR303" s="276"/>
      <c r="CS303" s="308"/>
      <c r="CT303" s="138"/>
      <c r="CU303" s="134"/>
      <c r="CV303" s="134"/>
      <c r="CW303" s="134"/>
      <c r="CX303" s="134"/>
      <c r="CY303" s="134"/>
      <c r="CZ303" s="134"/>
      <c r="DA303" s="134"/>
      <c r="DB303" s="300"/>
      <c r="DC303" s="301"/>
      <c r="DD303" s="134"/>
      <c r="DE303" s="134"/>
      <c r="DF303" s="134"/>
      <c r="DG303" s="134"/>
      <c r="DH303" s="134"/>
      <c r="DI303" s="134"/>
      <c r="DJ303" s="134"/>
      <c r="DK303" s="134"/>
      <c r="DL303" s="300"/>
      <c r="DM303" s="301"/>
      <c r="DN303" s="276"/>
      <c r="DO303" s="277"/>
      <c r="DP303" s="134"/>
      <c r="DQ303" s="134"/>
      <c r="DR303" s="134"/>
      <c r="DS303" s="134"/>
      <c r="DT303" s="138"/>
      <c r="DU303" s="134"/>
      <c r="DV303" s="134"/>
      <c r="DW303" s="134"/>
      <c r="DX303" s="301"/>
      <c r="DY303" s="301"/>
      <c r="DZ303" s="138"/>
      <c r="EA303" s="134"/>
      <c r="EB303" s="134"/>
      <c r="EC303" s="134"/>
      <c r="ED303" s="138"/>
      <c r="EE303" s="134"/>
      <c r="EF303" s="134"/>
      <c r="EG303" s="134"/>
      <c r="EH303" s="301"/>
      <c r="EI303" s="301"/>
      <c r="EJ303" s="277"/>
      <c r="EK303" s="134"/>
      <c r="EL303" s="134"/>
      <c r="EM303" s="134"/>
      <c r="EN303" s="134"/>
      <c r="EO303" s="134"/>
      <c r="EP303" s="134"/>
      <c r="EQ303" s="134"/>
      <c r="ER303" s="134"/>
      <c r="ES303" s="301"/>
      <c r="ET303" s="301"/>
      <c r="EU303" s="134"/>
      <c r="EV303" s="134"/>
      <c r="EW303" s="134"/>
      <c r="EX303" s="134"/>
      <c r="EY303" s="134"/>
      <c r="EZ303" s="134"/>
      <c r="FA303" s="134"/>
      <c r="FB303" s="134"/>
      <c r="FC303" s="135"/>
      <c r="FD303" s="135"/>
      <c r="FE303" s="134"/>
      <c r="FF303" s="134"/>
      <c r="FG303" s="134"/>
      <c r="FH303" s="134"/>
      <c r="FI303" s="134"/>
      <c r="FJ303" s="134"/>
      <c r="FK303" s="134"/>
      <c r="FL303" s="134"/>
      <c r="FM303" s="135"/>
      <c r="FN303" s="135"/>
      <c r="FO303" s="134"/>
      <c r="FP303" s="134"/>
      <c r="FQ303" s="134"/>
      <c r="FR303" s="134"/>
      <c r="FS303" s="134"/>
      <c r="FT303" s="134"/>
      <c r="FU303" s="134"/>
      <c r="FV303" s="134"/>
      <c r="FW303" s="135"/>
      <c r="FX303" s="135"/>
      <c r="FY303" s="134"/>
      <c r="FZ303" s="134"/>
      <c r="GA303" s="134"/>
      <c r="GB303" s="134"/>
      <c r="GC303" s="134"/>
      <c r="GD303" s="134"/>
      <c r="GE303" s="134"/>
      <c r="GF303" s="134"/>
      <c r="GG303" s="135"/>
      <c r="GH303" s="135"/>
      <c r="GI303" s="134"/>
      <c r="GJ303" s="134"/>
      <c r="GK303" s="134"/>
      <c r="GL303" s="134"/>
      <c r="GM303" s="134"/>
      <c r="GN303" s="134"/>
      <c r="GO303" s="134"/>
      <c r="GP303" s="134"/>
      <c r="GQ303" s="135"/>
      <c r="GR303" s="135"/>
      <c r="GS303" s="134"/>
      <c r="GT303" s="134"/>
      <c r="GU303" s="134"/>
      <c r="GV303" s="134"/>
      <c r="GW303" s="134"/>
      <c r="GX303" s="134"/>
      <c r="GY303" s="134"/>
      <c r="GZ303" s="134"/>
      <c r="HA303" s="135"/>
      <c r="HB303" s="135"/>
      <c r="HC303" s="134"/>
      <c r="HD303" s="134"/>
      <c r="HE303" s="134"/>
      <c r="HF303" s="134"/>
      <c r="HG303" s="134"/>
      <c r="HH303" s="134"/>
      <c r="HI303" s="134"/>
      <c r="HJ303" s="134"/>
      <c r="HK303" s="135"/>
      <c r="HL303" s="135"/>
      <c r="HM303" s="134"/>
      <c r="HN303" s="134"/>
      <c r="HO303" s="134"/>
      <c r="HP303" s="134"/>
      <c r="HQ303" s="134"/>
      <c r="HR303" s="134"/>
      <c r="HS303" s="134"/>
      <c r="HT303" s="134"/>
      <c r="HU303" s="135"/>
      <c r="HV303" s="135"/>
      <c r="HW303" s="134"/>
      <c r="HX303" s="134"/>
      <c r="HY303" s="134"/>
      <c r="HZ303" s="134"/>
      <c r="IA303" s="134"/>
      <c r="IB303" s="134"/>
      <c r="IC303" s="134"/>
      <c r="ID303" s="134"/>
      <c r="IE303" s="135"/>
      <c r="IF303" s="135"/>
      <c r="IG303" s="134"/>
      <c r="IH303" s="134"/>
      <c r="II303" s="134"/>
      <c r="IJ303" s="134"/>
      <c r="IK303" s="134"/>
      <c r="IL303" s="134"/>
      <c r="IM303" s="134"/>
      <c r="IN303" s="134"/>
      <c r="IO303" s="135"/>
      <c r="IP303" s="135"/>
      <c r="IQ303" s="134"/>
      <c r="IR303" s="134"/>
      <c r="IS303" s="134"/>
      <c r="IT303" s="134"/>
      <c r="IU303" s="134"/>
      <c r="IV303" s="134"/>
      <c r="IW303" s="134"/>
      <c r="IX303" s="134"/>
      <c r="IY303" s="135"/>
      <c r="IZ303" s="135"/>
    </row>
    <row r="304" spans="1:260" customFormat="1" ht="17" customHeight="1">
      <c r="A304" s="79" t="s">
        <v>995</v>
      </c>
      <c r="B304" s="117">
        <v>40</v>
      </c>
      <c r="C304" s="117"/>
      <c r="D304" s="117"/>
      <c r="E304" s="123" t="s">
        <v>2107</v>
      </c>
      <c r="F304" s="124" t="s">
        <v>2365</v>
      </c>
      <c r="G304" s="125">
        <v>2014</v>
      </c>
      <c r="H304" s="79">
        <v>25309317</v>
      </c>
      <c r="I304" s="79">
        <v>1</v>
      </c>
      <c r="J304" s="126"/>
      <c r="K304" s="127"/>
      <c r="L304" s="79">
        <v>1</v>
      </c>
      <c r="M304" s="79"/>
      <c r="N304" s="79">
        <v>1</v>
      </c>
      <c r="O304" s="128">
        <v>2</v>
      </c>
      <c r="P304" s="79" t="s">
        <v>1478</v>
      </c>
      <c r="Q304" s="79" t="s">
        <v>1216</v>
      </c>
      <c r="R304" s="79" t="s">
        <v>1138</v>
      </c>
      <c r="S304" s="79"/>
      <c r="T304" s="79" t="s">
        <v>1489</v>
      </c>
      <c r="U304" s="79"/>
      <c r="V304" s="79"/>
      <c r="W304" s="79" t="s">
        <v>1477</v>
      </c>
      <c r="X304" s="79" t="s">
        <v>1476</v>
      </c>
      <c r="Y304" s="79"/>
      <c r="Z304" s="79"/>
      <c r="AA304" s="79"/>
      <c r="AB304" s="79"/>
      <c r="AC304" s="506"/>
      <c r="AD304" s="573">
        <v>1</v>
      </c>
      <c r="AE304" s="573">
        <v>2</v>
      </c>
      <c r="AF304" s="154">
        <v>1</v>
      </c>
      <c r="AG304" s="155"/>
      <c r="AH304" s="121">
        <v>5</v>
      </c>
      <c r="AI304" s="484"/>
      <c r="AJ304" s="202" t="s">
        <v>3280</v>
      </c>
      <c r="AK304" s="192">
        <v>1</v>
      </c>
      <c r="AL304" s="203" t="s">
        <v>3500</v>
      </c>
      <c r="AM304" s="121">
        <f>((10+12)/2)*2</f>
        <v>22</v>
      </c>
      <c r="AN304" s="356" t="s">
        <v>3501</v>
      </c>
      <c r="AO304" s="356" t="s">
        <v>3501</v>
      </c>
      <c r="AP304" s="121" t="s">
        <v>803</v>
      </c>
      <c r="AQ304" s="121" t="s">
        <v>803</v>
      </c>
      <c r="AR304" s="355" t="s">
        <v>3403</v>
      </c>
      <c r="AS304" s="121" t="s">
        <v>24</v>
      </c>
      <c r="AT304" s="355" t="s">
        <v>3403</v>
      </c>
      <c r="AU304" s="121" t="s">
        <v>24</v>
      </c>
      <c r="AV304" s="121" t="s">
        <v>3311</v>
      </c>
      <c r="AW304" s="121">
        <v>1</v>
      </c>
      <c r="AX304" s="122" t="s">
        <v>3348</v>
      </c>
      <c r="AY304" s="121" t="s">
        <v>3398</v>
      </c>
      <c r="AZ304" s="121" t="s">
        <v>3397</v>
      </c>
      <c r="BA304" s="121" t="s">
        <v>3395</v>
      </c>
      <c r="BB304" s="121"/>
      <c r="BC304" s="121"/>
      <c r="BD304" s="156">
        <v>1</v>
      </c>
      <c r="BE304" s="156"/>
      <c r="BF304" s="156"/>
      <c r="BG304" s="156"/>
      <c r="BH304" s="156"/>
      <c r="BI304" s="156"/>
      <c r="BJ304" s="156"/>
      <c r="BK304" s="156"/>
      <c r="BL304" s="156"/>
      <c r="BM304" s="156"/>
      <c r="BN304" s="156"/>
      <c r="BO304" s="156"/>
      <c r="BP304" s="156"/>
      <c r="BQ304" s="157" t="s">
        <v>2493</v>
      </c>
      <c r="BR304" s="134" t="s">
        <v>1876</v>
      </c>
      <c r="BS304" s="134">
        <v>2</v>
      </c>
      <c r="BT304" s="134" t="s">
        <v>3499</v>
      </c>
      <c r="BU304" s="134" t="s">
        <v>3481</v>
      </c>
      <c r="BV304" s="134" t="s">
        <v>3406</v>
      </c>
      <c r="BW304" s="259" t="s">
        <v>3505</v>
      </c>
      <c r="BX304" s="138" t="s">
        <v>3485</v>
      </c>
      <c r="BY304" s="134">
        <v>98.933300000000003</v>
      </c>
      <c r="BZ304" s="168" t="s">
        <v>24</v>
      </c>
      <c r="CA304" s="134">
        <f>109.333-Table665[[#This Row],[Outcome1_M]]</f>
        <v>10.399699999999996</v>
      </c>
      <c r="CB304" s="138" t="s">
        <v>3487</v>
      </c>
      <c r="CC304" s="134">
        <v>60.533299999999997</v>
      </c>
      <c r="CD304" s="134" t="s">
        <v>24</v>
      </c>
      <c r="CE304" s="134">
        <f>70.6667-Table665[[#This Row],[Outcome2_M]]</f>
        <v>10.133400000000009</v>
      </c>
      <c r="CF304" s="288" t="s">
        <v>3502</v>
      </c>
      <c r="CG304" s="289" t="s">
        <v>3509</v>
      </c>
      <c r="CH304" s="138" t="s">
        <v>24</v>
      </c>
      <c r="CI304" s="134"/>
      <c r="CJ304" s="168"/>
      <c r="CK304" s="134"/>
      <c r="CL304" s="138" t="s">
        <v>24</v>
      </c>
      <c r="CM304" s="134"/>
      <c r="CN304" s="134"/>
      <c r="CO304" s="134"/>
      <c r="CP304" s="288"/>
      <c r="CQ304" s="289"/>
      <c r="CR304" s="276"/>
      <c r="CS304" s="308"/>
      <c r="CT304" s="138"/>
      <c r="CU304" s="134"/>
      <c r="CV304" s="134"/>
      <c r="CW304" s="134"/>
      <c r="CX304" s="134"/>
      <c r="CY304" s="134"/>
      <c r="CZ304" s="134"/>
      <c r="DA304" s="134"/>
      <c r="DB304" s="300"/>
      <c r="DC304" s="301"/>
      <c r="DD304" s="134"/>
      <c r="DE304" s="134"/>
      <c r="DF304" s="134"/>
      <c r="DG304" s="134"/>
      <c r="DH304" s="134"/>
      <c r="DI304" s="134"/>
      <c r="DJ304" s="134"/>
      <c r="DK304" s="134"/>
      <c r="DL304" s="300"/>
      <c r="DM304" s="301"/>
      <c r="DN304" s="276"/>
      <c r="DO304" s="277"/>
      <c r="DP304" s="134"/>
      <c r="DQ304" s="134"/>
      <c r="DR304" s="134"/>
      <c r="DS304" s="134"/>
      <c r="DT304" s="138"/>
      <c r="DU304" s="134"/>
      <c r="DV304" s="134"/>
      <c r="DW304" s="134"/>
      <c r="DX304" s="301"/>
      <c r="DY304" s="301"/>
      <c r="DZ304" s="138"/>
      <c r="EA304" s="134"/>
      <c r="EB304" s="134"/>
      <c r="EC304" s="134"/>
      <c r="ED304" s="138"/>
      <c r="EE304" s="134"/>
      <c r="EF304" s="134"/>
      <c r="EG304" s="134"/>
      <c r="EH304" s="301"/>
      <c r="EI304" s="301"/>
      <c r="EJ304" s="277"/>
      <c r="EK304" s="134"/>
      <c r="EL304" s="134"/>
      <c r="EM304" s="134"/>
      <c r="EN304" s="134"/>
      <c r="EO304" s="134"/>
      <c r="EP304" s="134"/>
      <c r="EQ304" s="134"/>
      <c r="ER304" s="134"/>
      <c r="ES304" s="301"/>
      <c r="ET304" s="301"/>
      <c r="EU304" s="134"/>
      <c r="EV304" s="134"/>
      <c r="EW304" s="134"/>
      <c r="EX304" s="134"/>
      <c r="EY304" s="134"/>
      <c r="EZ304" s="134"/>
      <c r="FA304" s="134"/>
      <c r="FB304" s="134"/>
      <c r="FC304" s="135"/>
      <c r="FD304" s="135"/>
      <c r="FE304" s="134"/>
      <c r="FF304" s="134"/>
      <c r="FG304" s="134"/>
      <c r="FH304" s="134"/>
      <c r="FI304" s="134"/>
      <c r="FJ304" s="134"/>
      <c r="FK304" s="134"/>
      <c r="FL304" s="134"/>
      <c r="FM304" s="135"/>
      <c r="FN304" s="135"/>
      <c r="FO304" s="134"/>
      <c r="FP304" s="134"/>
      <c r="FQ304" s="134"/>
      <c r="FR304" s="134"/>
      <c r="FS304" s="134"/>
      <c r="FT304" s="134"/>
      <c r="FU304" s="134"/>
      <c r="FV304" s="134"/>
      <c r="FW304" s="135"/>
      <c r="FX304" s="135"/>
      <c r="FY304" s="134"/>
      <c r="FZ304" s="134"/>
      <c r="GA304" s="134"/>
      <c r="GB304" s="134"/>
      <c r="GC304" s="134"/>
      <c r="GD304" s="134"/>
      <c r="GE304" s="134"/>
      <c r="GF304" s="134"/>
      <c r="GG304" s="135"/>
      <c r="GH304" s="135"/>
      <c r="GI304" s="134"/>
      <c r="GJ304" s="134"/>
      <c r="GK304" s="134"/>
      <c r="GL304" s="134"/>
      <c r="GM304" s="134"/>
      <c r="GN304" s="134"/>
      <c r="GO304" s="134"/>
      <c r="GP304" s="134"/>
      <c r="GQ304" s="135"/>
      <c r="GR304" s="135"/>
      <c r="GS304" s="134"/>
      <c r="GT304" s="134"/>
      <c r="GU304" s="134"/>
      <c r="GV304" s="134"/>
      <c r="GW304" s="134"/>
      <c r="GX304" s="134"/>
      <c r="GY304" s="134"/>
      <c r="GZ304" s="134"/>
      <c r="HA304" s="135"/>
      <c r="HB304" s="135"/>
      <c r="HC304" s="134"/>
      <c r="HD304" s="134"/>
      <c r="HE304" s="134"/>
      <c r="HF304" s="134"/>
      <c r="HG304" s="134"/>
      <c r="HH304" s="134"/>
      <c r="HI304" s="134"/>
      <c r="HJ304" s="134"/>
      <c r="HK304" s="135"/>
      <c r="HL304" s="135"/>
      <c r="HM304" s="134"/>
      <c r="HN304" s="134"/>
      <c r="HO304" s="134"/>
      <c r="HP304" s="134"/>
      <c r="HQ304" s="134"/>
      <c r="HR304" s="134"/>
      <c r="HS304" s="134"/>
      <c r="HT304" s="134"/>
      <c r="HU304" s="135"/>
      <c r="HV304" s="135"/>
      <c r="HW304" s="134"/>
      <c r="HX304" s="134"/>
      <c r="HY304" s="134"/>
      <c r="HZ304" s="134"/>
      <c r="IA304" s="134"/>
      <c r="IB304" s="134"/>
      <c r="IC304" s="134"/>
      <c r="ID304" s="134"/>
      <c r="IE304" s="135"/>
      <c r="IF304" s="135"/>
      <c r="IG304" s="134"/>
      <c r="IH304" s="134"/>
      <c r="II304" s="134"/>
      <c r="IJ304" s="134"/>
      <c r="IK304" s="134"/>
      <c r="IL304" s="134"/>
      <c r="IM304" s="134"/>
      <c r="IN304" s="134"/>
      <c r="IO304" s="135"/>
      <c r="IP304" s="135"/>
      <c r="IQ304" s="134"/>
      <c r="IR304" s="134"/>
      <c r="IS304" s="134"/>
      <c r="IT304" s="134"/>
      <c r="IU304" s="134"/>
      <c r="IV304" s="134"/>
      <c r="IW304" s="134"/>
      <c r="IX304" s="134"/>
      <c r="IY304" s="135"/>
      <c r="IZ304" s="135"/>
    </row>
    <row r="305" spans="1:260" customFormat="1" ht="17" customHeight="1">
      <c r="A305" s="118" t="s">
        <v>995</v>
      </c>
      <c r="B305" s="117">
        <v>40</v>
      </c>
      <c r="C305" s="117"/>
      <c r="D305" s="117"/>
      <c r="E305" s="139" t="s">
        <v>2107</v>
      </c>
      <c r="F305" s="140" t="s">
        <v>2365</v>
      </c>
      <c r="G305" s="141">
        <v>2014</v>
      </c>
      <c r="H305" s="118">
        <v>25309317</v>
      </c>
      <c r="I305" s="118">
        <v>1</v>
      </c>
      <c r="J305" s="118"/>
      <c r="K305" s="118"/>
      <c r="L305" s="118">
        <v>1</v>
      </c>
      <c r="M305" s="118"/>
      <c r="N305" s="118">
        <v>1</v>
      </c>
      <c r="O305" s="142">
        <v>2</v>
      </c>
      <c r="P305" s="118" t="s">
        <v>1478</v>
      </c>
      <c r="Q305" s="118" t="s">
        <v>1216</v>
      </c>
      <c r="R305" s="118" t="s">
        <v>1138</v>
      </c>
      <c r="S305" s="118"/>
      <c r="T305" s="118" t="s">
        <v>1489</v>
      </c>
      <c r="U305" s="118"/>
      <c r="V305" s="118"/>
      <c r="W305" s="118" t="s">
        <v>1477</v>
      </c>
      <c r="X305" s="118" t="s">
        <v>1476</v>
      </c>
      <c r="Y305" s="118"/>
      <c r="Z305" s="118"/>
      <c r="AA305" s="118"/>
      <c r="AB305" s="118"/>
      <c r="AC305" s="145"/>
      <c r="AD305" s="573">
        <v>1</v>
      </c>
      <c r="AE305" s="573">
        <v>2</v>
      </c>
      <c r="AF305" s="159">
        <v>1</v>
      </c>
      <c r="AG305" s="160"/>
      <c r="AH305" s="122">
        <v>5</v>
      </c>
      <c r="AI305" s="485"/>
      <c r="AJ305" s="204" t="s">
        <v>3280</v>
      </c>
      <c r="AK305" s="192">
        <v>1</v>
      </c>
      <c r="AL305" s="205">
        <v>1</v>
      </c>
      <c r="AM305" s="122">
        <f>((10+12)/2)*2</f>
        <v>22</v>
      </c>
      <c r="AN305" s="357" t="s">
        <v>3501</v>
      </c>
      <c r="AO305" s="357" t="s">
        <v>3501</v>
      </c>
      <c r="AP305" s="122" t="s">
        <v>803</v>
      </c>
      <c r="AQ305" s="122" t="s">
        <v>803</v>
      </c>
      <c r="AR305" s="358" t="s">
        <v>3403</v>
      </c>
      <c r="AS305" s="122" t="s">
        <v>24</v>
      </c>
      <c r="AT305" s="358" t="s">
        <v>3403</v>
      </c>
      <c r="AU305" s="122" t="s">
        <v>24</v>
      </c>
      <c r="AV305" s="122" t="s">
        <v>3311</v>
      </c>
      <c r="AW305" s="122">
        <v>1</v>
      </c>
      <c r="AX305" s="122" t="s">
        <v>3348</v>
      </c>
      <c r="AY305" s="122" t="s">
        <v>3398</v>
      </c>
      <c r="AZ305" s="122" t="s">
        <v>3397</v>
      </c>
      <c r="BA305" s="122" t="s">
        <v>3395</v>
      </c>
      <c r="BB305" s="122"/>
      <c r="BC305" s="122"/>
      <c r="BD305" s="161">
        <v>1</v>
      </c>
      <c r="BE305" s="161"/>
      <c r="BF305" s="161"/>
      <c r="BG305" s="161"/>
      <c r="BH305" s="161"/>
      <c r="BI305" s="161"/>
      <c r="BJ305" s="161"/>
      <c r="BK305" s="161"/>
      <c r="BL305" s="161"/>
      <c r="BM305" s="161"/>
      <c r="BN305" s="161"/>
      <c r="BO305" s="161"/>
      <c r="BP305" s="161"/>
      <c r="BQ305" s="162" t="s">
        <v>2977</v>
      </c>
      <c r="BR305" s="150" t="s">
        <v>1876</v>
      </c>
      <c r="BS305" s="150">
        <v>2</v>
      </c>
      <c r="BT305" s="150" t="s">
        <v>3483</v>
      </c>
      <c r="BU305" s="150" t="s">
        <v>3481</v>
      </c>
      <c r="BV305" s="150" t="s">
        <v>3406</v>
      </c>
      <c r="BW305" s="258" t="s">
        <v>3506</v>
      </c>
      <c r="BX305" s="151" t="s">
        <v>3489</v>
      </c>
      <c r="BY305" s="150">
        <v>89.333299999999994</v>
      </c>
      <c r="BZ305" s="150" t="s">
        <v>24</v>
      </c>
      <c r="CA305" s="150">
        <f>102.667-Table665[[#This Row],[Outcome1_M]]</f>
        <v>13.333700000000007</v>
      </c>
      <c r="CB305" s="151" t="s">
        <v>3486</v>
      </c>
      <c r="CC305" s="150">
        <v>53.333300000000001</v>
      </c>
      <c r="CD305" s="150" t="s">
        <v>24</v>
      </c>
      <c r="CE305" s="150">
        <f>63.2-Table665[[#This Row],[Outcome2_M]]</f>
        <v>9.8667000000000016</v>
      </c>
      <c r="CF305" s="290" t="s">
        <v>3503</v>
      </c>
      <c r="CG305" s="291" t="s">
        <v>3508</v>
      </c>
      <c r="CH305" s="151" t="s">
        <v>3490</v>
      </c>
      <c r="CI305" s="150">
        <v>92.533299999999997</v>
      </c>
      <c r="CJ305" s="228" t="s">
        <v>24</v>
      </c>
      <c r="CK305" s="150">
        <f>106.133-Table665[[#This Row],[Outcome3_M]]</f>
        <v>13.599699999999999</v>
      </c>
      <c r="CL305" s="151" t="s">
        <v>3488</v>
      </c>
      <c r="CM305" s="150">
        <v>57.866700000000002</v>
      </c>
      <c r="CN305" s="150" t="s">
        <v>24</v>
      </c>
      <c r="CO305" s="150">
        <f>66.6667-Table665[[#This Row],[Outcome4_M]]</f>
        <v>8.8000000000000043</v>
      </c>
      <c r="CP305" s="290"/>
      <c r="CQ305" s="291"/>
      <c r="CR305" s="278"/>
      <c r="CS305" s="285"/>
      <c r="CT305" s="151" t="s">
        <v>3491</v>
      </c>
      <c r="CU305" s="150">
        <v>63.2</v>
      </c>
      <c r="CV305" s="228" t="s">
        <v>24</v>
      </c>
      <c r="CW305" s="150">
        <f>73.0667-Table665[[#This Row],[Outcome5_M]]</f>
        <v>9.8666999999999945</v>
      </c>
      <c r="CX305" s="151" t="s">
        <v>3492</v>
      </c>
      <c r="CY305" s="150">
        <v>41.6</v>
      </c>
      <c r="CZ305" s="150" t="s">
        <v>24</v>
      </c>
      <c r="DA305" s="150" t="s">
        <v>3510</v>
      </c>
      <c r="DB305" s="302"/>
      <c r="DC305" s="303"/>
      <c r="DD305" s="429" t="s">
        <v>3493</v>
      </c>
      <c r="DE305" s="145">
        <v>52.533299999999997</v>
      </c>
      <c r="DF305" s="145" t="s">
        <v>24</v>
      </c>
      <c r="DG305" s="145">
        <f>61.3333-Table665[[#This Row],[Outcome7_M]]</f>
        <v>8.8000000000000043</v>
      </c>
      <c r="DH305" s="429" t="s">
        <v>3494</v>
      </c>
      <c r="DI305" s="150">
        <v>35.200000000000003</v>
      </c>
      <c r="DJ305" s="150" t="s">
        <v>24</v>
      </c>
      <c r="DK305" s="150" t="s">
        <v>3510</v>
      </c>
      <c r="DL305" s="302"/>
      <c r="DM305" s="303"/>
      <c r="DN305" s="278"/>
      <c r="DO305" s="279"/>
      <c r="DP305" s="429" t="s">
        <v>3495</v>
      </c>
      <c r="DQ305" s="145">
        <v>40</v>
      </c>
      <c r="DR305" s="145" t="s">
        <v>24</v>
      </c>
      <c r="DS305" s="145">
        <f>48-Table665[[#This Row],[Outcome9_M]]</f>
        <v>8</v>
      </c>
      <c r="DT305" s="429" t="s">
        <v>3496</v>
      </c>
      <c r="DU305" s="150">
        <v>28.667000000000002</v>
      </c>
      <c r="DV305" s="150" t="s">
        <v>24</v>
      </c>
      <c r="DW305" s="150">
        <f>Table665[[#This Row],[Outcome10_M]]-21.6</f>
        <v>7.0670000000000002</v>
      </c>
      <c r="DX305" s="303"/>
      <c r="DY305" s="303"/>
      <c r="DZ305" s="151" t="s">
        <v>24</v>
      </c>
      <c r="EA305" s="150"/>
      <c r="EB305" s="150"/>
      <c r="EC305" s="150"/>
      <c r="ED305" s="151"/>
      <c r="EE305" s="150"/>
      <c r="EF305" s="150"/>
      <c r="EG305" s="150"/>
      <c r="EH305" s="303"/>
      <c r="EI305" s="303"/>
      <c r="EJ305" s="279"/>
      <c r="EK305" s="150"/>
      <c r="EL305" s="150"/>
      <c r="EM305" s="150"/>
      <c r="EN305" s="150"/>
      <c r="EO305" s="150"/>
      <c r="EP305" s="150"/>
      <c r="EQ305" s="150"/>
      <c r="ER305" s="150"/>
      <c r="ES305" s="303"/>
      <c r="ET305" s="303"/>
      <c r="EU305" s="150"/>
      <c r="EV305" s="150"/>
      <c r="EW305" s="150"/>
      <c r="EX305" s="150"/>
      <c r="EY305" s="134"/>
      <c r="EZ305" s="134"/>
      <c r="FA305" s="134"/>
      <c r="FB305" s="134"/>
      <c r="FC305" s="135"/>
      <c r="FD305" s="135"/>
      <c r="FE305" s="134"/>
      <c r="FF305" s="134"/>
      <c r="FG305" s="134"/>
      <c r="FH305" s="134"/>
      <c r="FI305" s="134"/>
      <c r="FJ305" s="134"/>
      <c r="FK305" s="134"/>
      <c r="FL305" s="134"/>
      <c r="FM305" s="135"/>
      <c r="FN305" s="135"/>
      <c r="FO305" s="134"/>
      <c r="FP305" s="134"/>
      <c r="FQ305" s="134"/>
      <c r="FR305" s="134"/>
      <c r="FS305" s="134"/>
      <c r="FT305" s="134"/>
      <c r="FU305" s="134"/>
      <c r="FV305" s="134"/>
      <c r="FW305" s="135"/>
      <c r="FX305" s="135"/>
      <c r="FY305" s="134"/>
      <c r="FZ305" s="134"/>
      <c r="GA305" s="134"/>
      <c r="GB305" s="134"/>
      <c r="GC305" s="134"/>
      <c r="GD305" s="134"/>
      <c r="GE305" s="134"/>
      <c r="GF305" s="134"/>
      <c r="GG305" s="135"/>
      <c r="GH305" s="135"/>
      <c r="GI305" s="134"/>
      <c r="GJ305" s="134"/>
      <c r="GK305" s="134"/>
      <c r="GL305" s="134"/>
      <c r="GM305" s="134"/>
      <c r="GN305" s="134"/>
      <c r="GO305" s="134"/>
      <c r="GP305" s="134"/>
      <c r="GQ305" s="135"/>
      <c r="GR305" s="135"/>
      <c r="GS305" s="134"/>
      <c r="GT305" s="134"/>
      <c r="GU305" s="134"/>
      <c r="GV305" s="134"/>
      <c r="GW305" s="134"/>
      <c r="GX305" s="134"/>
      <c r="GY305" s="134"/>
      <c r="GZ305" s="134"/>
      <c r="HA305" s="135"/>
      <c r="HB305" s="135"/>
      <c r="HC305" s="134"/>
      <c r="HD305" s="134"/>
      <c r="HE305" s="134"/>
      <c r="HF305" s="134"/>
      <c r="HG305" s="134"/>
      <c r="HH305" s="134"/>
      <c r="HI305" s="134"/>
      <c r="HJ305" s="134"/>
      <c r="HK305" s="135"/>
      <c r="HL305" s="135"/>
      <c r="HM305" s="134"/>
      <c r="HN305" s="134"/>
      <c r="HO305" s="134"/>
      <c r="HP305" s="134"/>
      <c r="HQ305" s="134"/>
      <c r="HR305" s="134"/>
      <c r="HS305" s="134"/>
      <c r="HT305" s="134"/>
      <c r="HU305" s="135"/>
      <c r="HV305" s="135"/>
      <c r="HW305" s="134"/>
      <c r="HX305" s="134"/>
      <c r="HY305" s="134"/>
      <c r="HZ305" s="134"/>
      <c r="IA305" s="134"/>
      <c r="IB305" s="134"/>
      <c r="IC305" s="134"/>
      <c r="ID305" s="134"/>
      <c r="IE305" s="135"/>
      <c r="IF305" s="135"/>
      <c r="IG305" s="134"/>
      <c r="IH305" s="134"/>
      <c r="II305" s="134"/>
      <c r="IJ305" s="134"/>
      <c r="IK305" s="134"/>
      <c r="IL305" s="134"/>
      <c r="IM305" s="134"/>
      <c r="IN305" s="134"/>
      <c r="IO305" s="135"/>
      <c r="IP305" s="135"/>
      <c r="IQ305" s="134"/>
      <c r="IR305" s="134"/>
      <c r="IS305" s="134"/>
      <c r="IT305" s="134"/>
      <c r="IU305" s="134"/>
      <c r="IV305" s="134"/>
      <c r="IW305" s="134"/>
      <c r="IX305" s="134"/>
      <c r="IY305" s="135"/>
      <c r="IZ305" s="135"/>
    </row>
    <row r="306" spans="1:260" customFormat="1" ht="17" customHeight="1">
      <c r="A306" s="118" t="s">
        <v>995</v>
      </c>
      <c r="B306" s="117">
        <v>40</v>
      </c>
      <c r="C306" s="117"/>
      <c r="D306" s="117"/>
      <c r="E306" s="139" t="s">
        <v>2107</v>
      </c>
      <c r="F306" s="140" t="s">
        <v>2365</v>
      </c>
      <c r="G306" s="141">
        <v>2014</v>
      </c>
      <c r="H306" s="118">
        <v>25309317</v>
      </c>
      <c r="I306" s="118">
        <v>1</v>
      </c>
      <c r="J306" s="118"/>
      <c r="K306" s="118"/>
      <c r="L306" s="118">
        <v>1</v>
      </c>
      <c r="M306" s="118"/>
      <c r="N306" s="118">
        <v>1</v>
      </c>
      <c r="O306" s="142">
        <v>2</v>
      </c>
      <c r="P306" s="118" t="s">
        <v>1478</v>
      </c>
      <c r="Q306" s="118" t="s">
        <v>1216</v>
      </c>
      <c r="R306" s="118" t="s">
        <v>1138</v>
      </c>
      <c r="S306" s="118"/>
      <c r="T306" s="118" t="s">
        <v>1489</v>
      </c>
      <c r="U306" s="118"/>
      <c r="V306" s="118"/>
      <c r="W306" s="118" t="s">
        <v>1477</v>
      </c>
      <c r="X306" s="118" t="s">
        <v>1476</v>
      </c>
      <c r="Y306" s="118"/>
      <c r="Z306" s="118"/>
      <c r="AA306" s="118"/>
      <c r="AB306" s="118"/>
      <c r="AC306" s="145"/>
      <c r="AD306" s="573">
        <v>1</v>
      </c>
      <c r="AE306" s="573">
        <v>2</v>
      </c>
      <c r="AF306" s="159">
        <v>1</v>
      </c>
      <c r="AG306" s="160"/>
      <c r="AH306" s="122">
        <v>5</v>
      </c>
      <c r="AI306" s="485"/>
      <c r="AJ306" s="204" t="s">
        <v>3280</v>
      </c>
      <c r="AK306" s="192">
        <v>1</v>
      </c>
      <c r="AL306" s="205">
        <v>1</v>
      </c>
      <c r="AM306" s="122">
        <f>((10+12)/2)*2</f>
        <v>22</v>
      </c>
      <c r="AN306" s="357" t="s">
        <v>3501</v>
      </c>
      <c r="AO306" s="357" t="s">
        <v>3501</v>
      </c>
      <c r="AP306" s="122" t="s">
        <v>803</v>
      </c>
      <c r="AQ306" s="122" t="s">
        <v>803</v>
      </c>
      <c r="AR306" s="358" t="s">
        <v>3403</v>
      </c>
      <c r="AS306" s="122" t="s">
        <v>24</v>
      </c>
      <c r="AT306" s="358" t="s">
        <v>3403</v>
      </c>
      <c r="AU306" s="122" t="s">
        <v>24</v>
      </c>
      <c r="AV306" s="122" t="s">
        <v>3311</v>
      </c>
      <c r="AW306" s="122">
        <v>1</v>
      </c>
      <c r="AX306" s="122" t="s">
        <v>3348</v>
      </c>
      <c r="AY306" s="122" t="s">
        <v>3398</v>
      </c>
      <c r="AZ306" s="122" t="s">
        <v>3397</v>
      </c>
      <c r="BA306" s="122" t="s">
        <v>3395</v>
      </c>
      <c r="BB306" s="122"/>
      <c r="BC306" s="122"/>
      <c r="BD306" s="161">
        <v>1</v>
      </c>
      <c r="BE306" s="161"/>
      <c r="BF306" s="161"/>
      <c r="BG306" s="161"/>
      <c r="BH306" s="161"/>
      <c r="BI306" s="161"/>
      <c r="BJ306" s="161"/>
      <c r="BK306" s="161"/>
      <c r="BL306" s="161"/>
      <c r="BM306" s="161"/>
      <c r="BN306" s="161"/>
      <c r="BO306" s="161"/>
      <c r="BP306" s="161"/>
      <c r="BQ306" s="162" t="s">
        <v>3482</v>
      </c>
      <c r="BR306" s="150" t="s">
        <v>1876</v>
      </c>
      <c r="BS306" s="150">
        <v>2</v>
      </c>
      <c r="BT306" s="150" t="s">
        <v>3484</v>
      </c>
      <c r="BU306" s="150" t="s">
        <v>3481</v>
      </c>
      <c r="BV306" s="150" t="s">
        <v>3406</v>
      </c>
      <c r="BW306" s="258" t="s">
        <v>3507</v>
      </c>
      <c r="BX306" s="151" t="s">
        <v>3497</v>
      </c>
      <c r="BY306" s="150">
        <v>100.267</v>
      </c>
      <c r="BZ306" s="150" t="s">
        <v>24</v>
      </c>
      <c r="CA306" s="150">
        <f>Table665[[#This Row],[Outcome1_M]]-89.3333</f>
        <v>10.933700000000002</v>
      </c>
      <c r="CB306" s="151" t="s">
        <v>3498</v>
      </c>
      <c r="CC306" s="150">
        <v>38.666699999999999</v>
      </c>
      <c r="CD306" s="150" t="s">
        <v>24</v>
      </c>
      <c r="CE306" s="150">
        <f>Table665[[#This Row],[Outcome2_M]]-30.9333</f>
        <v>7.7333999999999996</v>
      </c>
      <c r="CF306" s="290" t="s">
        <v>3504</v>
      </c>
      <c r="CG306" s="291" t="s">
        <v>3508</v>
      </c>
      <c r="CH306" s="151"/>
      <c r="CI306" s="150"/>
      <c r="CJ306" s="228"/>
      <c r="CK306" s="150"/>
      <c r="CL306" s="151"/>
      <c r="CM306" s="150"/>
      <c r="CN306" s="150"/>
      <c r="CO306" s="150"/>
      <c r="CP306" s="290"/>
      <c r="CQ306" s="291"/>
      <c r="CR306" s="278"/>
      <c r="CS306" s="285"/>
      <c r="CT306" s="151"/>
      <c r="CU306" s="150"/>
      <c r="CV306" s="150"/>
      <c r="CW306" s="150"/>
      <c r="CX306" s="150"/>
      <c r="CY306" s="150"/>
      <c r="CZ306" s="150"/>
      <c r="DA306" s="150"/>
      <c r="DB306" s="302"/>
      <c r="DC306" s="303"/>
      <c r="DD306" s="150"/>
      <c r="DE306" s="150"/>
      <c r="DF306" s="150"/>
      <c r="DG306" s="150"/>
      <c r="DH306" s="150"/>
      <c r="DI306" s="150"/>
      <c r="DJ306" s="150"/>
      <c r="DK306" s="150"/>
      <c r="DL306" s="302"/>
      <c r="DM306" s="303"/>
      <c r="DN306" s="278"/>
      <c r="DO306" s="279"/>
      <c r="DP306" s="150"/>
      <c r="DQ306" s="150"/>
      <c r="DR306" s="150"/>
      <c r="DS306" s="150"/>
      <c r="DT306" s="151"/>
      <c r="DU306" s="150"/>
      <c r="DV306" s="150"/>
      <c r="DW306" s="150"/>
      <c r="DX306" s="303"/>
      <c r="DY306" s="303"/>
      <c r="DZ306" s="151"/>
      <c r="EA306" s="150"/>
      <c r="EB306" s="150"/>
      <c r="EC306" s="150"/>
      <c r="ED306" s="151"/>
      <c r="EE306" s="150"/>
      <c r="EF306" s="150"/>
      <c r="EG306" s="150"/>
      <c r="EH306" s="303"/>
      <c r="EI306" s="303"/>
      <c r="EJ306" s="279"/>
      <c r="EK306" s="150"/>
      <c r="EL306" s="150"/>
      <c r="EM306" s="150"/>
      <c r="EN306" s="150"/>
      <c r="EO306" s="150"/>
      <c r="EP306" s="150"/>
      <c r="EQ306" s="150"/>
      <c r="ER306" s="150"/>
      <c r="ES306" s="303"/>
      <c r="ET306" s="303"/>
      <c r="EU306" s="150"/>
      <c r="EV306" s="150"/>
      <c r="EW306" s="150"/>
      <c r="EX306" s="150"/>
      <c r="EY306" s="134"/>
      <c r="EZ306" s="134"/>
      <c r="FA306" s="134"/>
      <c r="FB306" s="134"/>
      <c r="FC306" s="135"/>
      <c r="FD306" s="135"/>
      <c r="FE306" s="134"/>
      <c r="FF306" s="134"/>
      <c r="FG306" s="134"/>
      <c r="FH306" s="134"/>
      <c r="FI306" s="134"/>
      <c r="FJ306" s="134"/>
      <c r="FK306" s="134"/>
      <c r="FL306" s="134"/>
      <c r="FM306" s="135"/>
      <c r="FN306" s="135"/>
      <c r="FO306" s="134"/>
      <c r="FP306" s="134"/>
      <c r="FQ306" s="134"/>
      <c r="FR306" s="134"/>
      <c r="FS306" s="134"/>
      <c r="FT306" s="134"/>
      <c r="FU306" s="134"/>
      <c r="FV306" s="134"/>
      <c r="FW306" s="135"/>
      <c r="FX306" s="135"/>
      <c r="FY306" s="134"/>
      <c r="FZ306" s="134"/>
      <c r="GA306" s="134"/>
      <c r="GB306" s="134"/>
      <c r="GC306" s="134"/>
      <c r="GD306" s="134"/>
      <c r="GE306" s="134"/>
      <c r="GF306" s="134"/>
      <c r="GG306" s="135"/>
      <c r="GH306" s="135"/>
      <c r="GI306" s="134"/>
      <c r="GJ306" s="134"/>
      <c r="GK306" s="134"/>
      <c r="GL306" s="134"/>
      <c r="GM306" s="134"/>
      <c r="GN306" s="134"/>
      <c r="GO306" s="134"/>
      <c r="GP306" s="134"/>
      <c r="GQ306" s="135"/>
      <c r="GR306" s="135"/>
      <c r="GS306" s="134"/>
      <c r="GT306" s="134"/>
      <c r="GU306" s="134"/>
      <c r="GV306" s="134"/>
      <c r="GW306" s="134"/>
      <c r="GX306" s="134"/>
      <c r="GY306" s="134"/>
      <c r="GZ306" s="134"/>
      <c r="HA306" s="135"/>
      <c r="HB306" s="135"/>
      <c r="HC306" s="134"/>
      <c r="HD306" s="134"/>
      <c r="HE306" s="134"/>
      <c r="HF306" s="134"/>
      <c r="HG306" s="134"/>
      <c r="HH306" s="134"/>
      <c r="HI306" s="134"/>
      <c r="HJ306" s="134"/>
      <c r="HK306" s="135"/>
      <c r="HL306" s="135"/>
      <c r="HM306" s="134"/>
      <c r="HN306" s="134"/>
      <c r="HO306" s="134"/>
      <c r="HP306" s="134"/>
      <c r="HQ306" s="134"/>
      <c r="HR306" s="134"/>
      <c r="HS306" s="134"/>
      <c r="HT306" s="134"/>
      <c r="HU306" s="135"/>
      <c r="HV306" s="135"/>
      <c r="HW306" s="134"/>
      <c r="HX306" s="134"/>
      <c r="HY306" s="134"/>
      <c r="HZ306" s="134"/>
      <c r="IA306" s="134"/>
      <c r="IB306" s="134"/>
      <c r="IC306" s="134"/>
      <c r="ID306" s="134"/>
      <c r="IE306" s="135"/>
      <c r="IF306" s="135"/>
      <c r="IG306" s="134"/>
      <c r="IH306" s="134"/>
      <c r="II306" s="134"/>
      <c r="IJ306" s="134"/>
      <c r="IK306" s="134"/>
      <c r="IL306" s="134"/>
      <c r="IM306" s="134"/>
      <c r="IN306" s="134"/>
      <c r="IO306" s="135"/>
      <c r="IP306" s="135"/>
      <c r="IQ306" s="134"/>
      <c r="IR306" s="134"/>
      <c r="IS306" s="134"/>
      <c r="IT306" s="134"/>
      <c r="IU306" s="134"/>
      <c r="IV306" s="134"/>
      <c r="IW306" s="134"/>
      <c r="IX306" s="134"/>
      <c r="IY306" s="135"/>
      <c r="IZ306" s="135"/>
    </row>
    <row r="307" spans="1:260" customFormat="1" ht="17" customHeight="1">
      <c r="A307" s="79" t="s">
        <v>259</v>
      </c>
      <c r="B307" s="117">
        <v>190</v>
      </c>
      <c r="C307" s="117">
        <v>67</v>
      </c>
      <c r="D307" s="117"/>
      <c r="E307" s="123" t="s">
        <v>2002</v>
      </c>
      <c r="F307" s="124" t="s">
        <v>2233</v>
      </c>
      <c r="G307" s="125">
        <v>2012</v>
      </c>
      <c r="H307" s="79">
        <v>22468823</v>
      </c>
      <c r="I307" s="79">
        <v>1</v>
      </c>
      <c r="J307" s="126" t="s">
        <v>1745</v>
      </c>
      <c r="K307" s="127" t="s">
        <v>1745</v>
      </c>
      <c r="L307" s="164">
        <v>1</v>
      </c>
      <c r="M307" s="79" t="s">
        <v>1748</v>
      </c>
      <c r="N307" s="164">
        <v>1</v>
      </c>
      <c r="O307" s="128">
        <v>1</v>
      </c>
      <c r="P307" s="79" t="s">
        <v>695</v>
      </c>
      <c r="Q307" s="79" t="s">
        <v>1172</v>
      </c>
      <c r="R307" s="79" t="s">
        <v>27</v>
      </c>
      <c r="S307" s="79">
        <v>0</v>
      </c>
      <c r="T307" s="79"/>
      <c r="U307" s="79"/>
      <c r="V307" s="79"/>
      <c r="W307" s="79" t="s">
        <v>694</v>
      </c>
      <c r="X307" s="79"/>
      <c r="Y307" s="79"/>
      <c r="Z307" s="79"/>
      <c r="AA307" s="79"/>
      <c r="AB307" s="79" t="s">
        <v>696</v>
      </c>
      <c r="AC307" s="506"/>
      <c r="AD307" s="573">
        <v>1</v>
      </c>
      <c r="AE307" s="573">
        <v>2</v>
      </c>
      <c r="AF307" s="165" t="s">
        <v>3003</v>
      </c>
      <c r="AG307" s="166" t="s">
        <v>5326</v>
      </c>
      <c r="AH307" s="120" t="s">
        <v>5325</v>
      </c>
      <c r="AI307" s="120"/>
      <c r="AJ307" s="206"/>
      <c r="AK307" s="372"/>
      <c r="AL307" s="207"/>
      <c r="AM307" s="120"/>
      <c r="AN307" s="120"/>
      <c r="AO307" s="120"/>
      <c r="AP307" s="120"/>
      <c r="AQ307" s="120"/>
      <c r="AR307" s="120"/>
      <c r="AS307" s="120"/>
      <c r="AT307" s="120"/>
      <c r="AU307" s="120"/>
      <c r="AV307" s="120"/>
      <c r="AW307" s="120"/>
      <c r="AX307" s="120"/>
      <c r="AY307" s="120"/>
      <c r="AZ307" s="120"/>
      <c r="BA307" s="509"/>
      <c r="BB307" s="509"/>
      <c r="BC307" s="509"/>
      <c r="BD307" s="511"/>
      <c r="BE307" s="511"/>
      <c r="BF307" s="511">
        <v>1</v>
      </c>
      <c r="BG307" s="511"/>
      <c r="BH307" s="511"/>
      <c r="BI307" s="511"/>
      <c r="BJ307" s="511">
        <v>1</v>
      </c>
      <c r="BK307" s="511"/>
      <c r="BL307" s="511"/>
      <c r="BM307" s="511"/>
      <c r="BN307" s="511"/>
      <c r="BO307" s="511"/>
      <c r="BP307" s="511"/>
      <c r="BQ307" s="510"/>
      <c r="BR307" s="134"/>
      <c r="BS307" s="134"/>
      <c r="BT307" s="134"/>
      <c r="BU307" s="134"/>
      <c r="BV307" s="134"/>
      <c r="BW307" s="375"/>
      <c r="BX307" s="138"/>
      <c r="BY307" s="134"/>
      <c r="BZ307" s="134"/>
      <c r="CA307" s="134"/>
      <c r="CB307" s="138"/>
      <c r="CC307" s="134"/>
      <c r="CD307" s="134"/>
      <c r="CE307" s="134"/>
      <c r="CF307" s="288"/>
      <c r="CG307" s="289"/>
      <c r="CH307" s="427" t="s">
        <v>24</v>
      </c>
      <c r="CI307" s="424" t="s">
        <v>24</v>
      </c>
      <c r="CJ307" s="424" t="s">
        <v>24</v>
      </c>
      <c r="CK307" s="424" t="s">
        <v>24</v>
      </c>
      <c r="CL307" s="424" t="s">
        <v>24</v>
      </c>
      <c r="CM307" s="424" t="s">
        <v>24</v>
      </c>
      <c r="CN307" s="424" t="s">
        <v>24</v>
      </c>
      <c r="CO307" s="424" t="s">
        <v>24</v>
      </c>
      <c r="CP307" s="288"/>
      <c r="CQ307" s="289"/>
      <c r="CR307" s="276"/>
      <c r="CS307" s="308"/>
      <c r="CT307" s="138"/>
      <c r="CU307" s="134"/>
      <c r="CV307" s="134"/>
      <c r="CW307" s="134"/>
      <c r="CX307" s="134"/>
      <c r="CY307" s="134"/>
      <c r="CZ307" s="134"/>
      <c r="DA307" s="134"/>
      <c r="DB307" s="300"/>
      <c r="DC307" s="301"/>
      <c r="DD307" s="134"/>
      <c r="DE307" s="134"/>
      <c r="DF307" s="134"/>
      <c r="DG307" s="134"/>
      <c r="DH307" s="134"/>
      <c r="DI307" s="134"/>
      <c r="DJ307" s="134"/>
      <c r="DK307" s="134"/>
      <c r="DL307" s="300"/>
      <c r="DM307" s="301"/>
      <c r="DN307" s="276"/>
      <c r="DO307" s="277"/>
      <c r="DP307" s="134"/>
      <c r="DQ307" s="134"/>
      <c r="DR307" s="134"/>
      <c r="DS307" s="134"/>
      <c r="DT307" s="138"/>
      <c r="DU307" s="134"/>
      <c r="DV307" s="134"/>
      <c r="DW307" s="134"/>
      <c r="DX307" s="301"/>
      <c r="DY307" s="301"/>
      <c r="DZ307" s="138"/>
      <c r="EA307" s="134"/>
      <c r="EB307" s="134"/>
      <c r="EC307" s="134"/>
      <c r="ED307" s="138"/>
      <c r="EE307" s="134"/>
      <c r="EF307" s="134"/>
      <c r="EG307" s="134"/>
      <c r="EH307" s="301"/>
      <c r="EI307" s="301"/>
      <c r="EJ307" s="277"/>
      <c r="EK307" s="134"/>
      <c r="EL307" s="134"/>
      <c r="EM307" s="134"/>
      <c r="EN307" s="134"/>
      <c r="EO307" s="134"/>
      <c r="EP307" s="134"/>
      <c r="EQ307" s="134"/>
      <c r="ER307" s="134"/>
      <c r="ES307" s="301"/>
      <c r="ET307" s="301"/>
      <c r="EU307" s="134"/>
      <c r="EV307" s="134"/>
      <c r="EW307" s="134"/>
      <c r="EX307" s="134"/>
      <c r="EY307" s="134"/>
      <c r="EZ307" s="134"/>
      <c r="FA307" s="134"/>
      <c r="FB307" s="134"/>
      <c r="FC307" s="135"/>
      <c r="FD307" s="135"/>
      <c r="FE307" s="134"/>
      <c r="FF307" s="134"/>
      <c r="FG307" s="134"/>
      <c r="FH307" s="134"/>
      <c r="FI307" s="134"/>
      <c r="FJ307" s="134"/>
      <c r="FK307" s="134"/>
      <c r="FL307" s="134"/>
      <c r="FM307" s="135"/>
      <c r="FN307" s="135"/>
      <c r="FO307" s="134"/>
      <c r="FP307" s="134"/>
      <c r="FQ307" s="134"/>
      <c r="FR307" s="134"/>
      <c r="FS307" s="134"/>
      <c r="FT307" s="134"/>
      <c r="FU307" s="134"/>
      <c r="FV307" s="134"/>
      <c r="FW307" s="135"/>
      <c r="FX307" s="135"/>
      <c r="FY307" s="134"/>
      <c r="FZ307" s="134"/>
      <c r="GA307" s="134"/>
      <c r="GB307" s="134"/>
      <c r="GC307" s="134"/>
      <c r="GD307" s="134"/>
      <c r="GE307" s="134"/>
      <c r="GF307" s="134"/>
      <c r="GG307" s="135"/>
      <c r="GH307" s="135"/>
      <c r="GI307" s="134"/>
      <c r="GJ307" s="134"/>
      <c r="GK307" s="134"/>
      <c r="GL307" s="134"/>
      <c r="GM307" s="134"/>
      <c r="GN307" s="134"/>
      <c r="GO307" s="134"/>
      <c r="GP307" s="134"/>
      <c r="GQ307" s="135"/>
      <c r="GR307" s="135"/>
      <c r="GS307" s="134"/>
      <c r="GT307" s="134"/>
      <c r="GU307" s="134"/>
      <c r="GV307" s="134"/>
      <c r="GW307" s="134"/>
      <c r="GX307" s="134"/>
      <c r="GY307" s="134"/>
      <c r="GZ307" s="134"/>
      <c r="HA307" s="135"/>
      <c r="HB307" s="135"/>
      <c r="HC307" s="134"/>
      <c r="HD307" s="134"/>
      <c r="HE307" s="134"/>
      <c r="HF307" s="134"/>
      <c r="HG307" s="134"/>
      <c r="HH307" s="134"/>
      <c r="HI307" s="134"/>
      <c r="HJ307" s="134"/>
      <c r="HK307" s="135"/>
      <c r="HL307" s="135"/>
      <c r="HM307" s="134"/>
      <c r="HN307" s="134"/>
      <c r="HO307" s="134"/>
      <c r="HP307" s="134"/>
      <c r="HQ307" s="134"/>
      <c r="HR307" s="134"/>
      <c r="HS307" s="134"/>
      <c r="HT307" s="134"/>
      <c r="HU307" s="135"/>
      <c r="HV307" s="135"/>
      <c r="HW307" s="134"/>
      <c r="HX307" s="134"/>
      <c r="HY307" s="134"/>
      <c r="HZ307" s="134"/>
      <c r="IA307" s="134"/>
      <c r="IB307" s="134"/>
      <c r="IC307" s="134"/>
      <c r="ID307" s="134"/>
      <c r="IE307" s="135"/>
      <c r="IF307" s="135"/>
      <c r="IG307" s="134"/>
      <c r="IH307" s="134"/>
      <c r="II307" s="134"/>
      <c r="IJ307" s="134"/>
      <c r="IK307" s="134"/>
      <c r="IL307" s="134"/>
      <c r="IM307" s="134"/>
      <c r="IN307" s="134"/>
      <c r="IO307" s="135"/>
      <c r="IP307" s="135"/>
      <c r="IQ307" s="134"/>
      <c r="IR307" s="134"/>
      <c r="IS307" s="134"/>
      <c r="IT307" s="134"/>
      <c r="IU307" s="134"/>
      <c r="IV307" s="134"/>
      <c r="IW307" s="134"/>
      <c r="IX307" s="134"/>
      <c r="IY307" s="135"/>
      <c r="IZ307" s="135"/>
    </row>
    <row r="308" spans="1:260" customFormat="1" ht="17" customHeight="1">
      <c r="A308" s="153" t="s">
        <v>994</v>
      </c>
      <c r="B308" s="366">
        <v>41</v>
      </c>
      <c r="C308" s="366"/>
      <c r="D308" s="366"/>
      <c r="E308" s="367" t="s">
        <v>2108</v>
      </c>
      <c r="F308" s="368" t="s">
        <v>2366</v>
      </c>
      <c r="G308" s="369">
        <v>2010</v>
      </c>
      <c r="H308" s="153">
        <v>20838777</v>
      </c>
      <c r="I308" s="153">
        <v>1</v>
      </c>
      <c r="J308" s="370">
        <v>1</v>
      </c>
      <c r="K308" s="371"/>
      <c r="L308" s="153">
        <v>1</v>
      </c>
      <c r="M308" s="153"/>
      <c r="N308" s="153">
        <v>1</v>
      </c>
      <c r="O308" s="153">
        <v>2</v>
      </c>
      <c r="P308" s="153" t="s">
        <v>1481</v>
      </c>
      <c r="Q308" s="153" t="s">
        <v>1482</v>
      </c>
      <c r="R308" s="153" t="s">
        <v>1479</v>
      </c>
      <c r="S308" s="153"/>
      <c r="T308" s="153" t="s">
        <v>1488</v>
      </c>
      <c r="U308" s="153" t="s">
        <v>1539</v>
      </c>
      <c r="V308" s="153"/>
      <c r="W308" s="153" t="s">
        <v>1239</v>
      </c>
      <c r="X308" s="153"/>
      <c r="Y308" s="153" t="s">
        <v>1123</v>
      </c>
      <c r="Z308" s="153"/>
      <c r="AA308" s="153" t="s">
        <v>1480</v>
      </c>
      <c r="AB308" s="153"/>
      <c r="AC308" s="536"/>
      <c r="AD308" s="573">
        <v>1</v>
      </c>
      <c r="AE308" s="573">
        <v>2</v>
      </c>
      <c r="AF308" s="165">
        <v>0</v>
      </c>
      <c r="AG308" s="166" t="s">
        <v>3511</v>
      </c>
      <c r="AH308" s="120">
        <v>5</v>
      </c>
      <c r="AI308" s="484"/>
      <c r="AJ308" s="206"/>
      <c r="AK308" s="372"/>
      <c r="AL308" s="207"/>
      <c r="AM308" s="120"/>
      <c r="AN308" s="120"/>
      <c r="AO308" s="120"/>
      <c r="AP308" s="120"/>
      <c r="AQ308" s="120"/>
      <c r="AR308" s="120"/>
      <c r="AS308" s="120"/>
      <c r="AT308" s="120"/>
      <c r="AU308" s="120"/>
      <c r="AV308" s="120"/>
      <c r="AW308" s="120"/>
      <c r="AX308" s="120"/>
      <c r="AY308" s="120"/>
      <c r="AZ308" s="120"/>
      <c r="BA308" s="120"/>
      <c r="BB308" s="120"/>
      <c r="BC308" s="120"/>
      <c r="BD308" s="373">
        <v>1</v>
      </c>
      <c r="BE308" s="373"/>
      <c r="BF308" s="373"/>
      <c r="BG308" s="373"/>
      <c r="BH308" s="373"/>
      <c r="BI308" s="373"/>
      <c r="BJ308" s="373"/>
      <c r="BK308" s="373"/>
      <c r="BL308" s="373"/>
      <c r="BM308" s="373"/>
      <c r="BN308" s="373"/>
      <c r="BO308" s="373"/>
      <c r="BP308" s="373"/>
      <c r="BQ308" s="374"/>
      <c r="BR308" s="120"/>
      <c r="BS308" s="120"/>
      <c r="BT308" s="120"/>
      <c r="BU308" s="120"/>
      <c r="BV308" s="120"/>
      <c r="BW308" s="375"/>
      <c r="BX308" s="376"/>
      <c r="BY308" s="120"/>
      <c r="BZ308" s="120"/>
      <c r="CA308" s="120"/>
      <c r="CB308" s="376"/>
      <c r="CC308" s="120"/>
      <c r="CD308" s="120"/>
      <c r="CE308" s="120"/>
      <c r="CF308" s="375"/>
      <c r="CG308" s="377"/>
      <c r="CH308" s="376"/>
      <c r="CI308" s="120"/>
      <c r="CJ308" s="120"/>
      <c r="CK308" s="120"/>
      <c r="CL308" s="376"/>
      <c r="CM308" s="120"/>
      <c r="CN308" s="120"/>
      <c r="CO308" s="120"/>
      <c r="CP308" s="375"/>
      <c r="CQ308" s="377"/>
      <c r="CR308" s="380"/>
      <c r="CS308" s="376"/>
      <c r="CT308" s="376"/>
      <c r="CU308" s="120"/>
      <c r="CV308" s="120"/>
      <c r="CW308" s="120"/>
      <c r="CX308" s="120"/>
      <c r="CY308" s="120"/>
      <c r="CZ308" s="120"/>
      <c r="DA308" s="120"/>
      <c r="DB308" s="380"/>
      <c r="DC308" s="120"/>
      <c r="DD308" s="120"/>
      <c r="DE308" s="120"/>
      <c r="DF308" s="120"/>
      <c r="DG308" s="120"/>
      <c r="DH308" s="120"/>
      <c r="DI308" s="120"/>
      <c r="DJ308" s="120"/>
      <c r="DK308" s="120"/>
      <c r="DL308" s="380"/>
      <c r="DM308" s="120"/>
      <c r="DN308" s="380"/>
      <c r="DO308" s="120"/>
      <c r="DP308" s="120"/>
      <c r="DQ308" s="120"/>
      <c r="DR308" s="120"/>
      <c r="DS308" s="120"/>
      <c r="DT308" s="376"/>
      <c r="DU308" s="120"/>
      <c r="DV308" s="120"/>
      <c r="DW308" s="120"/>
      <c r="DX308" s="120"/>
      <c r="DY308" s="120"/>
      <c r="DZ308" s="376"/>
      <c r="EA308" s="120"/>
      <c r="EB308" s="120"/>
      <c r="EC308" s="120"/>
      <c r="ED308" s="376"/>
      <c r="EE308" s="120"/>
      <c r="EF308" s="120"/>
      <c r="EG308" s="120"/>
      <c r="EH308" s="120"/>
      <c r="EI308" s="120"/>
      <c r="EJ308" s="120"/>
      <c r="EK308" s="120"/>
      <c r="EL308" s="120"/>
      <c r="EM308" s="120"/>
      <c r="EN308" s="120"/>
      <c r="EO308" s="120"/>
      <c r="EP308" s="120"/>
      <c r="EQ308" s="120"/>
      <c r="ER308" s="120"/>
      <c r="ES308" s="120"/>
      <c r="ET308" s="120"/>
      <c r="EU308" s="120"/>
      <c r="EV308" s="120"/>
      <c r="EW308" s="120"/>
      <c r="EX308" s="120"/>
      <c r="EY308" s="134"/>
      <c r="EZ308" s="134"/>
      <c r="FA308" s="134"/>
      <c r="FB308" s="134"/>
      <c r="FC308" s="135"/>
      <c r="FD308" s="135"/>
      <c r="FE308" s="134"/>
      <c r="FF308" s="134"/>
      <c r="FG308" s="134"/>
      <c r="FH308" s="134"/>
      <c r="FI308" s="134"/>
      <c r="FJ308" s="134"/>
      <c r="FK308" s="134"/>
      <c r="FL308" s="134"/>
      <c r="FM308" s="135"/>
      <c r="FN308" s="135"/>
      <c r="FO308" s="134"/>
      <c r="FP308" s="134"/>
      <c r="FQ308" s="134"/>
      <c r="FR308" s="134"/>
      <c r="FS308" s="134"/>
      <c r="FT308" s="134"/>
      <c r="FU308" s="134"/>
      <c r="FV308" s="134"/>
      <c r="FW308" s="135"/>
      <c r="FX308" s="135"/>
      <c r="FY308" s="134"/>
      <c r="FZ308" s="134"/>
      <c r="GA308" s="134"/>
      <c r="GB308" s="134"/>
      <c r="GC308" s="134"/>
      <c r="GD308" s="134"/>
      <c r="GE308" s="134"/>
      <c r="GF308" s="134"/>
      <c r="GG308" s="135"/>
      <c r="GH308" s="135"/>
      <c r="GI308" s="134"/>
      <c r="GJ308" s="134"/>
      <c r="GK308" s="134"/>
      <c r="GL308" s="134"/>
      <c r="GM308" s="134"/>
      <c r="GN308" s="134"/>
      <c r="GO308" s="134"/>
      <c r="GP308" s="134"/>
      <c r="GQ308" s="135"/>
      <c r="GR308" s="135"/>
      <c r="GS308" s="134"/>
      <c r="GT308" s="134"/>
      <c r="GU308" s="134"/>
      <c r="GV308" s="134"/>
      <c r="GW308" s="134"/>
      <c r="GX308" s="134"/>
      <c r="GY308" s="134"/>
      <c r="GZ308" s="134"/>
      <c r="HA308" s="135"/>
      <c r="HB308" s="135"/>
      <c r="HC308" s="134"/>
      <c r="HD308" s="134"/>
      <c r="HE308" s="134"/>
      <c r="HF308" s="134"/>
      <c r="HG308" s="134"/>
      <c r="HH308" s="134"/>
      <c r="HI308" s="134"/>
      <c r="HJ308" s="134"/>
      <c r="HK308" s="135"/>
      <c r="HL308" s="135"/>
      <c r="HM308" s="134"/>
      <c r="HN308" s="134"/>
      <c r="HO308" s="134"/>
      <c r="HP308" s="134"/>
      <c r="HQ308" s="134"/>
      <c r="HR308" s="134"/>
      <c r="HS308" s="134"/>
      <c r="HT308" s="134"/>
      <c r="HU308" s="135"/>
      <c r="HV308" s="135"/>
      <c r="HW308" s="134"/>
      <c r="HX308" s="134"/>
      <c r="HY308" s="134"/>
      <c r="HZ308" s="134"/>
      <c r="IA308" s="134"/>
      <c r="IB308" s="134"/>
      <c r="IC308" s="134"/>
      <c r="ID308" s="134"/>
      <c r="IE308" s="135"/>
      <c r="IF308" s="135"/>
      <c r="IG308" s="134"/>
      <c r="IH308" s="134"/>
      <c r="II308" s="134"/>
      <c r="IJ308" s="134"/>
      <c r="IK308" s="134"/>
      <c r="IL308" s="134"/>
      <c r="IM308" s="134"/>
      <c r="IN308" s="134"/>
      <c r="IO308" s="135"/>
      <c r="IP308" s="135"/>
      <c r="IQ308" s="134"/>
      <c r="IR308" s="134"/>
      <c r="IS308" s="134"/>
      <c r="IT308" s="134"/>
      <c r="IU308" s="134"/>
      <c r="IV308" s="134"/>
      <c r="IW308" s="134"/>
      <c r="IX308" s="134"/>
      <c r="IY308" s="135"/>
      <c r="IZ308" s="135"/>
    </row>
    <row r="309" spans="1:260" customFormat="1" ht="17" customHeight="1">
      <c r="A309" s="79" t="s">
        <v>992</v>
      </c>
      <c r="B309" s="117">
        <v>42</v>
      </c>
      <c r="C309" s="117"/>
      <c r="D309" s="117"/>
      <c r="E309" s="123" t="s">
        <v>2109</v>
      </c>
      <c r="F309" s="124" t="s">
        <v>2367</v>
      </c>
      <c r="G309" s="125">
        <v>2015</v>
      </c>
      <c r="H309" s="79">
        <v>26160034</v>
      </c>
      <c r="I309" s="79">
        <v>1</v>
      </c>
      <c r="J309" s="126">
        <v>1</v>
      </c>
      <c r="K309" s="127"/>
      <c r="L309" s="79">
        <v>1</v>
      </c>
      <c r="M309" s="79"/>
      <c r="N309" s="79">
        <v>1</v>
      </c>
      <c r="O309" s="128">
        <v>2</v>
      </c>
      <c r="P309" s="79" t="s">
        <v>1220</v>
      </c>
      <c r="Q309" s="79"/>
      <c r="R309" s="79" t="s">
        <v>1127</v>
      </c>
      <c r="S309" s="79"/>
      <c r="T309" s="79" t="s">
        <v>1487</v>
      </c>
      <c r="U309" s="79"/>
      <c r="V309" s="79"/>
      <c r="W309" s="79" t="s">
        <v>1508</v>
      </c>
      <c r="X309" s="79" t="s">
        <v>1519</v>
      </c>
      <c r="Y309" s="79"/>
      <c r="Z309" s="79"/>
      <c r="AA309" s="79"/>
      <c r="AB309" s="79"/>
      <c r="AC309" s="506"/>
      <c r="AD309" s="573">
        <v>1</v>
      </c>
      <c r="AE309" s="573">
        <v>2</v>
      </c>
      <c r="AF309" s="154">
        <v>1</v>
      </c>
      <c r="AG309" s="155" t="s">
        <v>3512</v>
      </c>
      <c r="AH309" s="121">
        <v>4</v>
      </c>
      <c r="AI309" s="484"/>
      <c r="AJ309" s="202"/>
      <c r="AK309" s="192">
        <v>0</v>
      </c>
      <c r="AL309" s="203">
        <v>1</v>
      </c>
      <c r="AM309" s="121">
        <v>20</v>
      </c>
      <c r="AN309" s="121">
        <v>10</v>
      </c>
      <c r="AO309" s="121">
        <v>10</v>
      </c>
      <c r="AP309" s="121" t="s">
        <v>803</v>
      </c>
      <c r="AQ309" s="121" t="s">
        <v>803</v>
      </c>
      <c r="AR309" s="121" t="s">
        <v>24</v>
      </c>
      <c r="AS309" s="121" t="s">
        <v>24</v>
      </c>
      <c r="AT309" s="121" t="s">
        <v>24</v>
      </c>
      <c r="AU309" s="121" t="s">
        <v>24</v>
      </c>
      <c r="AV309" s="121" t="s">
        <v>3517</v>
      </c>
      <c r="AW309" s="121">
        <v>1</v>
      </c>
      <c r="AX309" s="121" t="s">
        <v>3516</v>
      </c>
      <c r="AY309" s="121" t="s">
        <v>3515</v>
      </c>
      <c r="AZ309" s="121" t="s">
        <v>3513</v>
      </c>
      <c r="BA309" s="121"/>
      <c r="BB309" s="121"/>
      <c r="BC309" s="121"/>
      <c r="BD309" s="156">
        <v>1</v>
      </c>
      <c r="BE309" s="156"/>
      <c r="BF309" s="156"/>
      <c r="BG309" s="156"/>
      <c r="BH309" s="156"/>
      <c r="BI309" s="156"/>
      <c r="BJ309" s="156"/>
      <c r="BK309" s="156"/>
      <c r="BL309" s="156"/>
      <c r="BM309" s="156"/>
      <c r="BN309" s="156"/>
      <c r="BO309" s="156"/>
      <c r="BP309" s="156"/>
      <c r="BQ309" s="157" t="s">
        <v>2493</v>
      </c>
      <c r="BR309" s="134" t="s">
        <v>1876</v>
      </c>
      <c r="BS309" s="134" t="s">
        <v>3518</v>
      </c>
      <c r="BT309" s="134" t="s">
        <v>3519</v>
      </c>
      <c r="BU309" s="134" t="s">
        <v>3514</v>
      </c>
      <c r="BV309" s="134" t="s">
        <v>3224</v>
      </c>
      <c r="BW309" s="259" t="s">
        <v>3530</v>
      </c>
      <c r="BX309" s="138" t="s">
        <v>3520</v>
      </c>
      <c r="BY309" s="134">
        <v>18.5349</v>
      </c>
      <c r="BZ309" s="134" t="s">
        <v>24</v>
      </c>
      <c r="CA309" s="134">
        <f>21.8679-Table665[[#This Row],[Outcome1_M]]</f>
        <v>3.3329999999999984</v>
      </c>
      <c r="CB309" s="138" t="s">
        <v>3521</v>
      </c>
      <c r="CC309" s="134">
        <v>2.8626999999999998</v>
      </c>
      <c r="CD309" s="134" t="s">
        <v>24</v>
      </c>
      <c r="CE309" s="134">
        <f>3.34657-Table665[[#This Row],[Outcome2_M]]</f>
        <v>0.48387000000000002</v>
      </c>
      <c r="CF309" s="434" t="s">
        <v>3529</v>
      </c>
      <c r="CG309" s="436" t="s">
        <v>3526</v>
      </c>
      <c r="CH309" s="138" t="s">
        <v>3522</v>
      </c>
      <c r="CI309" s="134">
        <v>17.241399999999999</v>
      </c>
      <c r="CJ309" s="134" t="s">
        <v>24</v>
      </c>
      <c r="CK309" s="134">
        <f>20.8513-Table665[[#This Row],[Outcome3_M]]</f>
        <v>3.6098999999999997</v>
      </c>
      <c r="CL309" s="138" t="s">
        <v>3523</v>
      </c>
      <c r="CM309" s="134">
        <v>2.4245700000000001</v>
      </c>
      <c r="CN309" s="134" t="s">
        <v>24</v>
      </c>
      <c r="CO309" s="134">
        <f>4.20259-Table665[[#This Row],[Outcome4_M]]</f>
        <v>1.7780199999999997</v>
      </c>
      <c r="CP309" s="434" t="s">
        <v>3528</v>
      </c>
      <c r="CQ309" s="436" t="s">
        <v>3526</v>
      </c>
      <c r="CR309" s="276"/>
      <c r="CS309" s="308"/>
      <c r="CT309" s="138" t="s">
        <v>3524</v>
      </c>
      <c r="CU309" s="134">
        <v>19.140799999999999</v>
      </c>
      <c r="CV309" s="134" t="s">
        <v>24</v>
      </c>
      <c r="CW309" s="134">
        <f>24.2923-Table665[[#This Row],[Outcome5_M]]</f>
        <v>5.1515000000000022</v>
      </c>
      <c r="CX309" s="138" t="s">
        <v>3525</v>
      </c>
      <c r="CY309" s="134">
        <v>1.40201</v>
      </c>
      <c r="CZ309" s="134" t="s">
        <v>24</v>
      </c>
      <c r="DA309" s="134">
        <f>2.05418-Table665[[#This Row],[Outcome6_M]]</f>
        <v>0.65217000000000014</v>
      </c>
      <c r="DB309" s="300" t="s">
        <v>3527</v>
      </c>
      <c r="DC309" s="301" t="s">
        <v>3526</v>
      </c>
      <c r="DD309" s="134"/>
      <c r="DE309" s="134"/>
      <c r="DF309" s="134"/>
      <c r="DG309" s="134"/>
      <c r="DH309" s="134"/>
      <c r="DI309" s="134"/>
      <c r="DJ309" s="134"/>
      <c r="DK309" s="134"/>
      <c r="DL309" s="300"/>
      <c r="DM309" s="301"/>
      <c r="DN309" s="276"/>
      <c r="DO309" s="277"/>
      <c r="DP309" s="134"/>
      <c r="DQ309" s="134"/>
      <c r="DR309" s="134"/>
      <c r="DS309" s="134"/>
      <c r="DT309" s="138"/>
      <c r="DU309" s="134"/>
      <c r="DV309" s="134"/>
      <c r="DW309" s="134"/>
      <c r="DX309" s="301"/>
      <c r="DY309" s="301"/>
      <c r="DZ309" s="138"/>
      <c r="EA309" s="134"/>
      <c r="EB309" s="134"/>
      <c r="EC309" s="134"/>
      <c r="ED309" s="138"/>
      <c r="EE309" s="134"/>
      <c r="EF309" s="134"/>
      <c r="EG309" s="134"/>
      <c r="EH309" s="301"/>
      <c r="EI309" s="301"/>
      <c r="EJ309" s="277"/>
      <c r="EK309" s="134"/>
      <c r="EL309" s="134"/>
      <c r="EM309" s="134"/>
      <c r="EN309" s="134"/>
      <c r="EO309" s="134"/>
      <c r="EP309" s="134"/>
      <c r="EQ309" s="134"/>
      <c r="ER309" s="134"/>
      <c r="ES309" s="301"/>
      <c r="ET309" s="301"/>
      <c r="EU309" s="134"/>
      <c r="EV309" s="134"/>
      <c r="EW309" s="134"/>
      <c r="EX309" s="134"/>
      <c r="EY309" s="134"/>
      <c r="EZ309" s="134"/>
      <c r="FA309" s="134"/>
      <c r="FB309" s="134"/>
      <c r="FC309" s="135"/>
      <c r="FD309" s="135"/>
      <c r="FE309" s="134"/>
      <c r="FF309" s="134"/>
      <c r="FG309" s="134"/>
      <c r="FH309" s="134"/>
      <c r="FI309" s="134"/>
      <c r="FJ309" s="134"/>
      <c r="FK309" s="134"/>
      <c r="FL309" s="134"/>
      <c r="FM309" s="135"/>
      <c r="FN309" s="135"/>
      <c r="FO309" s="134"/>
      <c r="FP309" s="134"/>
      <c r="FQ309" s="134"/>
      <c r="FR309" s="134"/>
      <c r="FS309" s="134"/>
      <c r="FT309" s="134"/>
      <c r="FU309" s="134"/>
      <c r="FV309" s="134"/>
      <c r="FW309" s="135"/>
      <c r="FX309" s="135"/>
      <c r="FY309" s="134"/>
      <c r="FZ309" s="134"/>
      <c r="GA309" s="134"/>
      <c r="GB309" s="134"/>
      <c r="GC309" s="134"/>
      <c r="GD309" s="134"/>
      <c r="GE309" s="134"/>
      <c r="GF309" s="134"/>
      <c r="GG309" s="135"/>
      <c r="GH309" s="135"/>
      <c r="GI309" s="134"/>
      <c r="GJ309" s="134"/>
      <c r="GK309" s="134"/>
      <c r="GL309" s="134"/>
      <c r="GM309" s="134"/>
      <c r="GN309" s="134"/>
      <c r="GO309" s="134"/>
      <c r="GP309" s="134"/>
      <c r="GQ309" s="135"/>
      <c r="GR309" s="135"/>
      <c r="GS309" s="134"/>
      <c r="GT309" s="134"/>
      <c r="GU309" s="134"/>
      <c r="GV309" s="134"/>
      <c r="GW309" s="134"/>
      <c r="GX309" s="134"/>
      <c r="GY309" s="134"/>
      <c r="GZ309" s="134"/>
      <c r="HA309" s="135"/>
      <c r="HB309" s="135"/>
      <c r="HC309" s="134"/>
      <c r="HD309" s="134"/>
      <c r="HE309" s="134"/>
      <c r="HF309" s="134"/>
      <c r="HG309" s="134"/>
      <c r="HH309" s="134"/>
      <c r="HI309" s="134"/>
      <c r="HJ309" s="134"/>
      <c r="HK309" s="135"/>
      <c r="HL309" s="135"/>
      <c r="HM309" s="134"/>
      <c r="HN309" s="134"/>
      <c r="HO309" s="134"/>
      <c r="HP309" s="134"/>
      <c r="HQ309" s="134"/>
      <c r="HR309" s="134"/>
      <c r="HS309" s="134"/>
      <c r="HT309" s="134"/>
      <c r="HU309" s="135"/>
      <c r="HV309" s="135"/>
      <c r="HW309" s="134"/>
      <c r="HX309" s="134"/>
      <c r="HY309" s="134"/>
      <c r="HZ309" s="134"/>
      <c r="IA309" s="134"/>
      <c r="IB309" s="134"/>
      <c r="IC309" s="134"/>
      <c r="ID309" s="134"/>
      <c r="IE309" s="135"/>
      <c r="IF309" s="135"/>
      <c r="IG309" s="134"/>
      <c r="IH309" s="134"/>
      <c r="II309" s="134"/>
      <c r="IJ309" s="134"/>
      <c r="IK309" s="134"/>
      <c r="IL309" s="134"/>
      <c r="IM309" s="134"/>
      <c r="IN309" s="134"/>
      <c r="IO309" s="135"/>
      <c r="IP309" s="135"/>
      <c r="IQ309" s="134"/>
      <c r="IR309" s="134"/>
      <c r="IS309" s="134"/>
      <c r="IT309" s="134"/>
      <c r="IU309" s="134"/>
      <c r="IV309" s="134"/>
      <c r="IW309" s="134"/>
      <c r="IX309" s="134"/>
      <c r="IY309" s="135"/>
      <c r="IZ309" s="135"/>
    </row>
    <row r="310" spans="1:260" customFormat="1" ht="17" customHeight="1">
      <c r="A310" s="79" t="s">
        <v>988</v>
      </c>
      <c r="B310" s="117">
        <v>43</v>
      </c>
      <c r="C310" s="117">
        <v>3</v>
      </c>
      <c r="D310" s="117"/>
      <c r="E310" s="123" t="s">
        <v>2111</v>
      </c>
      <c r="F310" s="124" t="s">
        <v>2370</v>
      </c>
      <c r="G310" s="125">
        <v>1998</v>
      </c>
      <c r="H310" s="79">
        <v>9676829</v>
      </c>
      <c r="I310" s="79">
        <v>1</v>
      </c>
      <c r="J310" s="126">
        <v>1</v>
      </c>
      <c r="K310" s="127"/>
      <c r="L310" s="79">
        <v>1</v>
      </c>
      <c r="M310" s="79"/>
      <c r="N310" s="79">
        <v>1</v>
      </c>
      <c r="O310" s="128">
        <v>2</v>
      </c>
      <c r="P310" s="79" t="s">
        <v>1220</v>
      </c>
      <c r="Q310" s="79" t="s">
        <v>1216</v>
      </c>
      <c r="R310" s="79" t="s">
        <v>1127</v>
      </c>
      <c r="S310" s="79"/>
      <c r="T310" s="79" t="s">
        <v>1525</v>
      </c>
      <c r="U310" s="79" t="s">
        <v>803</v>
      </c>
      <c r="V310" s="79"/>
      <c r="W310" s="79" t="s">
        <v>1526</v>
      </c>
      <c r="X310" s="79"/>
      <c r="Y310" s="79"/>
      <c r="Z310" s="79"/>
      <c r="AA310" s="79"/>
      <c r="AB310" s="79"/>
      <c r="AC310" s="506"/>
      <c r="AD310" s="573">
        <v>1</v>
      </c>
      <c r="AE310" s="573">
        <v>2</v>
      </c>
      <c r="AF310" s="154">
        <v>1</v>
      </c>
      <c r="AG310" s="155" t="s">
        <v>3532</v>
      </c>
      <c r="AH310" s="121">
        <v>4</v>
      </c>
      <c r="AI310" s="484"/>
      <c r="AJ310" s="202"/>
      <c r="AK310" s="192">
        <v>2</v>
      </c>
      <c r="AL310" s="203">
        <v>0</v>
      </c>
      <c r="AM310" s="121">
        <f>Table665[[#This Row],[Subjects_n_ptsd]]+Table665[[#This Row],[Subjects_n_control]]</f>
        <v>12</v>
      </c>
      <c r="AN310" s="121">
        <v>6</v>
      </c>
      <c r="AO310" s="121">
        <v>6</v>
      </c>
      <c r="AP310" s="121" t="s">
        <v>803</v>
      </c>
      <c r="AQ310" s="121" t="s">
        <v>803</v>
      </c>
      <c r="AR310" s="121" t="s">
        <v>24</v>
      </c>
      <c r="AS310" s="121" t="s">
        <v>24</v>
      </c>
      <c r="AT310" s="121" t="s">
        <v>24</v>
      </c>
      <c r="AU310" s="121" t="s">
        <v>24</v>
      </c>
      <c r="AV310" s="121" t="s">
        <v>3548</v>
      </c>
      <c r="AW310" s="121">
        <v>1</v>
      </c>
      <c r="AX310" s="121">
        <v>1</v>
      </c>
      <c r="AY310" s="121" t="s">
        <v>3531</v>
      </c>
      <c r="AZ310" s="121" t="s">
        <v>1130</v>
      </c>
      <c r="BA310" s="121" t="s">
        <v>3279</v>
      </c>
      <c r="BB310" s="121"/>
      <c r="BC310" s="121"/>
      <c r="BD310" s="156"/>
      <c r="BE310" s="156"/>
      <c r="BF310" s="156"/>
      <c r="BG310" s="156"/>
      <c r="BH310" s="156"/>
      <c r="BI310" s="156"/>
      <c r="BJ310" s="156">
        <v>1</v>
      </c>
      <c r="BK310" s="156"/>
      <c r="BL310" s="156"/>
      <c r="BM310" s="156"/>
      <c r="BN310" s="156"/>
      <c r="BO310" s="156"/>
      <c r="BP310" s="156"/>
      <c r="BQ310" s="157" t="s">
        <v>3563</v>
      </c>
      <c r="BR310" s="134" t="s">
        <v>1876</v>
      </c>
      <c r="BS310" s="134" t="s">
        <v>3533</v>
      </c>
      <c r="BT310" s="134" t="s">
        <v>3538</v>
      </c>
      <c r="BU310" s="134" t="s">
        <v>2471</v>
      </c>
      <c r="BV310" s="134" t="s">
        <v>3534</v>
      </c>
      <c r="BW310" s="259" t="s">
        <v>3547</v>
      </c>
      <c r="BX310" s="138" t="s">
        <v>3535</v>
      </c>
      <c r="BY310" s="134">
        <v>31.807300000000001</v>
      </c>
      <c r="BZ310" s="134">
        <f>51.047-Table665[[#This Row],[Outcome1_M]]</f>
        <v>19.239699999999996</v>
      </c>
      <c r="CA310" s="134" t="s">
        <v>24</v>
      </c>
      <c r="CB310" s="138" t="s">
        <v>3536</v>
      </c>
      <c r="CC310" s="134">
        <v>81.805800000000005</v>
      </c>
      <c r="CD310" s="134">
        <f>95.0859-Table665[[#This Row],[Outcome2_M]]</f>
        <v>13.28009999999999</v>
      </c>
      <c r="CE310" s="134" t="s">
        <v>24</v>
      </c>
      <c r="CF310" s="288" t="s">
        <v>3545</v>
      </c>
      <c r="CG310" s="289" t="s">
        <v>3542</v>
      </c>
      <c r="CH310" s="138" t="s">
        <v>3539</v>
      </c>
      <c r="CI310" s="134">
        <v>37.521500000000003</v>
      </c>
      <c r="CJ310" s="168">
        <f>43.7423-Table665[[#This Row],[Outcome3_M]]</f>
        <v>6.220799999999997</v>
      </c>
      <c r="CK310" s="134" t="s">
        <v>24</v>
      </c>
      <c r="CL310" s="138" t="s">
        <v>3540</v>
      </c>
      <c r="CM310" s="134">
        <v>63.921999999999997</v>
      </c>
      <c r="CN310" s="134">
        <f>76.5082-Table665[[#This Row],[Outcome4_M]]</f>
        <v>12.586200000000005</v>
      </c>
      <c r="CO310" s="134" t="s">
        <v>24</v>
      </c>
      <c r="CP310" s="288" t="s">
        <v>3546</v>
      </c>
      <c r="CQ310" s="289" t="s">
        <v>3541</v>
      </c>
      <c r="CR310" s="276" t="s">
        <v>3543</v>
      </c>
      <c r="CS310" s="308" t="s">
        <v>3544</v>
      </c>
      <c r="CT310" s="138" t="s">
        <v>24</v>
      </c>
      <c r="CU310" s="134"/>
      <c r="CV310" s="134"/>
      <c r="CW310" s="134"/>
      <c r="CX310" s="134" t="s">
        <v>24</v>
      </c>
      <c r="CY310" s="134"/>
      <c r="CZ310" s="134"/>
      <c r="DA310" s="134"/>
      <c r="DB310" s="300"/>
      <c r="DC310" s="301"/>
      <c r="DD310" s="134"/>
      <c r="DE310" s="134"/>
      <c r="DF310" s="134"/>
      <c r="DG310" s="134"/>
      <c r="DH310" s="134"/>
      <c r="DI310" s="134"/>
      <c r="DJ310" s="134"/>
      <c r="DK310" s="134"/>
      <c r="DL310" s="300"/>
      <c r="DM310" s="301"/>
      <c r="DN310" s="276"/>
      <c r="DO310" s="277"/>
      <c r="DP310" s="134"/>
      <c r="DQ310" s="134"/>
      <c r="DR310" s="134"/>
      <c r="DS310" s="134"/>
      <c r="DT310" s="138"/>
      <c r="DU310" s="134"/>
      <c r="DV310" s="134"/>
      <c r="DW310" s="134"/>
      <c r="DX310" s="301"/>
      <c r="DY310" s="301"/>
      <c r="DZ310" s="138"/>
      <c r="EA310" s="134"/>
      <c r="EB310" s="134"/>
      <c r="EC310" s="134"/>
      <c r="ED310" s="138"/>
      <c r="EE310" s="134"/>
      <c r="EF310" s="134"/>
      <c r="EG310" s="134"/>
      <c r="EH310" s="301"/>
      <c r="EI310" s="301"/>
      <c r="EJ310" s="277"/>
      <c r="EK310" s="134"/>
      <c r="EL310" s="134"/>
      <c r="EM310" s="134"/>
      <c r="EN310" s="134"/>
      <c r="EO310" s="134"/>
      <c r="EP310" s="134"/>
      <c r="EQ310" s="134"/>
      <c r="ER310" s="134"/>
      <c r="ES310" s="301"/>
      <c r="ET310" s="301"/>
      <c r="EU310" s="134"/>
      <c r="EV310" s="134"/>
      <c r="EW310" s="134"/>
      <c r="EX310" s="134"/>
      <c r="EY310" s="134"/>
      <c r="EZ310" s="134"/>
      <c r="FA310" s="134"/>
      <c r="FB310" s="134"/>
      <c r="FC310" s="135"/>
      <c r="FD310" s="135"/>
      <c r="FE310" s="134"/>
      <c r="FF310" s="134"/>
      <c r="FG310" s="134"/>
      <c r="FH310" s="134"/>
      <c r="FI310" s="134"/>
      <c r="FJ310" s="134"/>
      <c r="FK310" s="134"/>
      <c r="FL310" s="134"/>
      <c r="FM310" s="135"/>
      <c r="FN310" s="135"/>
      <c r="FO310" s="134"/>
      <c r="FP310" s="134"/>
      <c r="FQ310" s="134"/>
      <c r="FR310" s="134"/>
      <c r="FS310" s="134"/>
      <c r="FT310" s="134"/>
      <c r="FU310" s="134"/>
      <c r="FV310" s="134"/>
      <c r="FW310" s="135"/>
      <c r="FX310" s="135"/>
      <c r="FY310" s="134"/>
      <c r="FZ310" s="134"/>
      <c r="GA310" s="134"/>
      <c r="GB310" s="134"/>
      <c r="GC310" s="134"/>
      <c r="GD310" s="134"/>
      <c r="GE310" s="134"/>
      <c r="GF310" s="134"/>
      <c r="GG310" s="135"/>
      <c r="GH310" s="135"/>
      <c r="GI310" s="134"/>
      <c r="GJ310" s="134"/>
      <c r="GK310" s="134"/>
      <c r="GL310" s="134"/>
      <c r="GM310" s="134"/>
      <c r="GN310" s="134"/>
      <c r="GO310" s="134"/>
      <c r="GP310" s="134"/>
      <c r="GQ310" s="135"/>
      <c r="GR310" s="135"/>
      <c r="GS310" s="134"/>
      <c r="GT310" s="134"/>
      <c r="GU310" s="134"/>
      <c r="GV310" s="134"/>
      <c r="GW310" s="134"/>
      <c r="GX310" s="134"/>
      <c r="GY310" s="134"/>
      <c r="GZ310" s="134"/>
      <c r="HA310" s="135"/>
      <c r="HB310" s="135"/>
      <c r="HC310" s="134"/>
      <c r="HD310" s="134"/>
      <c r="HE310" s="134"/>
      <c r="HF310" s="134"/>
      <c r="HG310" s="134"/>
      <c r="HH310" s="134"/>
      <c r="HI310" s="134"/>
      <c r="HJ310" s="134"/>
      <c r="HK310" s="135"/>
      <c r="HL310" s="135"/>
      <c r="HM310" s="134"/>
      <c r="HN310" s="134"/>
      <c r="HO310" s="134"/>
      <c r="HP310" s="134"/>
      <c r="HQ310" s="134"/>
      <c r="HR310" s="134"/>
      <c r="HS310" s="134"/>
      <c r="HT310" s="134"/>
      <c r="HU310" s="135"/>
      <c r="HV310" s="135"/>
      <c r="HW310" s="134"/>
      <c r="HX310" s="134"/>
      <c r="HY310" s="134"/>
      <c r="HZ310" s="134"/>
      <c r="IA310" s="134"/>
      <c r="IB310" s="134"/>
      <c r="IC310" s="134"/>
      <c r="ID310" s="134"/>
      <c r="IE310" s="135"/>
      <c r="IF310" s="135"/>
      <c r="IG310" s="134"/>
      <c r="IH310" s="134"/>
      <c r="II310" s="134"/>
      <c r="IJ310" s="134"/>
      <c r="IK310" s="134"/>
      <c r="IL310" s="134"/>
      <c r="IM310" s="134"/>
      <c r="IN310" s="134"/>
      <c r="IO310" s="135"/>
      <c r="IP310" s="135"/>
      <c r="IQ310" s="134"/>
      <c r="IR310" s="134"/>
      <c r="IS310" s="134"/>
      <c r="IT310" s="134"/>
      <c r="IU310" s="134"/>
      <c r="IV310" s="134"/>
      <c r="IW310" s="134"/>
      <c r="IX310" s="134"/>
      <c r="IY310" s="135"/>
      <c r="IZ310" s="135"/>
    </row>
    <row r="311" spans="1:260" customFormat="1" ht="17" customHeight="1">
      <c r="A311" s="118" t="s">
        <v>988</v>
      </c>
      <c r="B311" s="381">
        <v>43</v>
      </c>
      <c r="C311" s="381">
        <v>3</v>
      </c>
      <c r="D311" s="381"/>
      <c r="E311" s="139" t="s">
        <v>2111</v>
      </c>
      <c r="F311" s="140" t="s">
        <v>2370</v>
      </c>
      <c r="G311" s="141">
        <v>1998</v>
      </c>
      <c r="H311" s="118">
        <v>9676829</v>
      </c>
      <c r="I311" s="118">
        <v>1</v>
      </c>
      <c r="J311" s="118">
        <v>1</v>
      </c>
      <c r="K311" s="118"/>
      <c r="L311" s="118">
        <v>1</v>
      </c>
      <c r="M311" s="118"/>
      <c r="N311" s="118">
        <v>1</v>
      </c>
      <c r="O311" s="142">
        <v>2</v>
      </c>
      <c r="P311" s="118" t="s">
        <v>1220</v>
      </c>
      <c r="Q311" s="118" t="s">
        <v>1216</v>
      </c>
      <c r="R311" s="118" t="s">
        <v>1127</v>
      </c>
      <c r="S311" s="118"/>
      <c r="T311" s="118" t="s">
        <v>1525</v>
      </c>
      <c r="U311" s="118" t="s">
        <v>803</v>
      </c>
      <c r="V311" s="118"/>
      <c r="W311" s="118" t="s">
        <v>1526</v>
      </c>
      <c r="X311" s="118"/>
      <c r="Y311" s="118"/>
      <c r="Z311" s="118"/>
      <c r="AA311" s="118"/>
      <c r="AB311" s="118"/>
      <c r="AC311" s="145"/>
      <c r="AD311" s="573">
        <v>1</v>
      </c>
      <c r="AE311" s="573">
        <v>2</v>
      </c>
      <c r="AF311" s="159">
        <v>1</v>
      </c>
      <c r="AG311" s="160" t="s">
        <v>3532</v>
      </c>
      <c r="AH311" s="122">
        <v>4</v>
      </c>
      <c r="AI311" s="485"/>
      <c r="AJ311" s="204"/>
      <c r="AK311" s="192">
        <v>2</v>
      </c>
      <c r="AL311" s="205">
        <v>0</v>
      </c>
      <c r="AM311" s="122">
        <f>24+12+12</f>
        <v>48</v>
      </c>
      <c r="AN311" s="122">
        <v>24</v>
      </c>
      <c r="AO311" s="122" t="s">
        <v>3550</v>
      </c>
      <c r="AP311" s="122" t="s">
        <v>803</v>
      </c>
      <c r="AQ311" s="122" t="s">
        <v>803</v>
      </c>
      <c r="AR311" s="122" t="s">
        <v>24</v>
      </c>
      <c r="AS311" s="122" t="s">
        <v>24</v>
      </c>
      <c r="AT311" s="122" t="s">
        <v>24</v>
      </c>
      <c r="AU311" s="122" t="s">
        <v>24</v>
      </c>
      <c r="AV311" s="122" t="s">
        <v>3549</v>
      </c>
      <c r="AW311" s="122">
        <v>1</v>
      </c>
      <c r="AX311" s="122">
        <v>1</v>
      </c>
      <c r="AY311" s="121" t="s">
        <v>3531</v>
      </c>
      <c r="AZ311" s="122" t="s">
        <v>1130</v>
      </c>
      <c r="BA311" s="122" t="s">
        <v>3279</v>
      </c>
      <c r="BB311" s="122"/>
      <c r="BC311" s="122"/>
      <c r="BD311" s="161"/>
      <c r="BE311" s="161"/>
      <c r="BF311" s="161"/>
      <c r="BG311" s="161"/>
      <c r="BH311" s="161"/>
      <c r="BI311" s="161"/>
      <c r="BJ311" s="161">
        <v>1</v>
      </c>
      <c r="BK311" s="161"/>
      <c r="BL311" s="161"/>
      <c r="BM311" s="161"/>
      <c r="BN311" s="161"/>
      <c r="BO311" s="161"/>
      <c r="BP311" s="161"/>
      <c r="BQ311" s="162" t="s">
        <v>3562</v>
      </c>
      <c r="BR311" s="150" t="s">
        <v>1876</v>
      </c>
      <c r="BS311" s="150" t="s">
        <v>3537</v>
      </c>
      <c r="BT311" s="150" t="s">
        <v>3551</v>
      </c>
      <c r="BU311" s="150" t="s">
        <v>2471</v>
      </c>
      <c r="BV311" s="150" t="s">
        <v>3534</v>
      </c>
      <c r="BW311" s="258" t="s">
        <v>3561</v>
      </c>
      <c r="BX311" s="151" t="s">
        <v>3552</v>
      </c>
      <c r="BY311" s="150">
        <v>22.881599999999999</v>
      </c>
      <c r="BZ311" s="150">
        <f>31.0418-Table665[[#This Row],[Outcome1_M]]</f>
        <v>8.1601999999999997</v>
      </c>
      <c r="CA311" s="150" t="s">
        <v>24</v>
      </c>
      <c r="CB311" s="151" t="s">
        <v>3553</v>
      </c>
      <c r="CC311" s="150">
        <v>56.974200000000003</v>
      </c>
      <c r="CD311" s="150">
        <f>71.3951-Table665[[#This Row],[Outcome2_M]]</f>
        <v>14.420899999999996</v>
      </c>
      <c r="CE311" s="150" t="s">
        <v>24</v>
      </c>
      <c r="CF311" s="290" t="s">
        <v>24</v>
      </c>
      <c r="CG311" s="291" t="s">
        <v>24</v>
      </c>
      <c r="CH311" s="151" t="s">
        <v>3536</v>
      </c>
      <c r="CI311" s="150">
        <v>62.602899999999998</v>
      </c>
      <c r="CJ311" s="150">
        <f>75.6964-Table665[[#This Row],[Outcome3_M]]</f>
        <v>13.093499999999999</v>
      </c>
      <c r="CK311" s="150" t="s">
        <v>24</v>
      </c>
      <c r="CL311" s="151" t="s">
        <v>24</v>
      </c>
      <c r="CM311" s="150" t="s">
        <v>24</v>
      </c>
      <c r="CN311" s="150" t="s">
        <v>24</v>
      </c>
      <c r="CO311" s="150" t="s">
        <v>24</v>
      </c>
      <c r="CP311" s="290" t="s">
        <v>3557</v>
      </c>
      <c r="CQ311" s="291" t="s">
        <v>3556</v>
      </c>
      <c r="CR311" s="278" t="s">
        <v>24</v>
      </c>
      <c r="CS311" s="285" t="s">
        <v>24</v>
      </c>
      <c r="CT311" s="151" t="s">
        <v>3554</v>
      </c>
      <c r="CU311" s="150">
        <v>31.4589</v>
      </c>
      <c r="CV311" s="150">
        <f>45.8823-Table665[[#This Row],[Outcome5_M]]</f>
        <v>14.423400000000001</v>
      </c>
      <c r="CW311" s="150" t="s">
        <v>24</v>
      </c>
      <c r="CX311" s="151" t="s">
        <v>3555</v>
      </c>
      <c r="CY311" s="150">
        <v>53.894799999999996</v>
      </c>
      <c r="CZ311" s="150">
        <f>69.0874-Table665[[#This Row],[Outcome6_M]]</f>
        <v>15.192600000000006</v>
      </c>
      <c r="DA311" s="150" t="s">
        <v>24</v>
      </c>
      <c r="DB311" s="302" t="s">
        <v>24</v>
      </c>
      <c r="DC311" s="303" t="s">
        <v>24</v>
      </c>
      <c r="DD311" s="151" t="s">
        <v>3540</v>
      </c>
      <c r="DE311" s="150">
        <v>58.446300000000001</v>
      </c>
      <c r="DF311" s="150">
        <f>75.1771-Table665[[#This Row],[Outcome7_M]]</f>
        <v>16.730799999999995</v>
      </c>
      <c r="DG311" s="150" t="s">
        <v>24</v>
      </c>
      <c r="DH311" s="150" t="s">
        <v>24</v>
      </c>
      <c r="DI311" s="150" t="s">
        <v>24</v>
      </c>
      <c r="DJ311" s="150" t="s">
        <v>24</v>
      </c>
      <c r="DK311" s="150" t="s">
        <v>24</v>
      </c>
      <c r="DL311" s="302" t="s">
        <v>3560</v>
      </c>
      <c r="DM311" s="303" t="s">
        <v>3559</v>
      </c>
      <c r="DN311" s="278" t="s">
        <v>3558</v>
      </c>
      <c r="DO311" s="279"/>
      <c r="DP311" s="150"/>
      <c r="DQ311" s="150"/>
      <c r="DR311" s="150"/>
      <c r="DS311" s="150"/>
      <c r="DT311" s="151"/>
      <c r="DU311" s="150"/>
      <c r="DV311" s="150"/>
      <c r="DW311" s="150"/>
      <c r="DX311" s="303"/>
      <c r="DY311" s="303"/>
      <c r="DZ311" s="151"/>
      <c r="EA311" s="150"/>
      <c r="EB311" s="150"/>
      <c r="EC311" s="150"/>
      <c r="ED311" s="151"/>
      <c r="EE311" s="150"/>
      <c r="EF311" s="150"/>
      <c r="EG311" s="150"/>
      <c r="EH311" s="303"/>
      <c r="EI311" s="303"/>
      <c r="EJ311" s="279"/>
      <c r="EK311" s="150"/>
      <c r="EL311" s="150"/>
      <c r="EM311" s="150"/>
      <c r="EN311" s="150"/>
      <c r="EO311" s="150"/>
      <c r="EP311" s="150"/>
      <c r="EQ311" s="150"/>
      <c r="ER311" s="150"/>
      <c r="ES311" s="303"/>
      <c r="ET311" s="303"/>
      <c r="EU311" s="150"/>
      <c r="EV311" s="150"/>
      <c r="EW311" s="150"/>
      <c r="EX311" s="150"/>
      <c r="EY311" s="134"/>
      <c r="EZ311" s="134"/>
      <c r="FA311" s="134"/>
      <c r="FB311" s="134"/>
      <c r="FC311" s="135"/>
      <c r="FD311" s="135"/>
      <c r="FE311" s="134"/>
      <c r="FF311" s="134"/>
      <c r="FG311" s="134"/>
      <c r="FH311" s="134"/>
      <c r="FI311" s="134"/>
      <c r="FJ311" s="134"/>
      <c r="FK311" s="134"/>
      <c r="FL311" s="134"/>
      <c r="FM311" s="135"/>
      <c r="FN311" s="135"/>
      <c r="FO311" s="134"/>
      <c r="FP311" s="134"/>
      <c r="FQ311" s="134"/>
      <c r="FR311" s="134"/>
      <c r="FS311" s="134"/>
      <c r="FT311" s="134"/>
      <c r="FU311" s="134"/>
      <c r="FV311" s="134"/>
      <c r="FW311" s="135"/>
      <c r="FX311" s="135"/>
      <c r="FY311" s="134"/>
      <c r="FZ311" s="134"/>
      <c r="GA311" s="134"/>
      <c r="GB311" s="134"/>
      <c r="GC311" s="134"/>
      <c r="GD311" s="134"/>
      <c r="GE311" s="134"/>
      <c r="GF311" s="134"/>
      <c r="GG311" s="135"/>
      <c r="GH311" s="135"/>
      <c r="GI311" s="134"/>
      <c r="GJ311" s="134"/>
      <c r="GK311" s="134"/>
      <c r="GL311" s="134"/>
      <c r="GM311" s="134"/>
      <c r="GN311" s="134"/>
      <c r="GO311" s="134"/>
      <c r="GP311" s="134"/>
      <c r="GQ311" s="135"/>
      <c r="GR311" s="135"/>
      <c r="GS311" s="134"/>
      <c r="GT311" s="134"/>
      <c r="GU311" s="134"/>
      <c r="GV311" s="134"/>
      <c r="GW311" s="134"/>
      <c r="GX311" s="134"/>
      <c r="GY311" s="134"/>
      <c r="GZ311" s="134"/>
      <c r="HA311" s="135"/>
      <c r="HB311" s="135"/>
      <c r="HC311" s="134"/>
      <c r="HD311" s="134"/>
      <c r="HE311" s="134"/>
      <c r="HF311" s="134"/>
      <c r="HG311" s="134"/>
      <c r="HH311" s="134"/>
      <c r="HI311" s="134"/>
      <c r="HJ311" s="134"/>
      <c r="HK311" s="135"/>
      <c r="HL311" s="135"/>
      <c r="HM311" s="134"/>
      <c r="HN311" s="134"/>
      <c r="HO311" s="134"/>
      <c r="HP311" s="134"/>
      <c r="HQ311" s="134"/>
      <c r="HR311" s="134"/>
      <c r="HS311" s="134"/>
      <c r="HT311" s="134"/>
      <c r="HU311" s="135"/>
      <c r="HV311" s="135"/>
      <c r="HW311" s="134"/>
      <c r="HX311" s="134"/>
      <c r="HY311" s="134"/>
      <c r="HZ311" s="134"/>
      <c r="IA311" s="134"/>
      <c r="IB311" s="134"/>
      <c r="IC311" s="134"/>
      <c r="ID311" s="134"/>
      <c r="IE311" s="135"/>
      <c r="IF311" s="135"/>
      <c r="IG311" s="134"/>
      <c r="IH311" s="134"/>
      <c r="II311" s="134"/>
      <c r="IJ311" s="134"/>
      <c r="IK311" s="134"/>
      <c r="IL311" s="134"/>
      <c r="IM311" s="134"/>
      <c r="IN311" s="134"/>
      <c r="IO311" s="135"/>
      <c r="IP311" s="135"/>
      <c r="IQ311" s="134"/>
      <c r="IR311" s="134"/>
      <c r="IS311" s="134"/>
      <c r="IT311" s="134"/>
      <c r="IU311" s="134"/>
      <c r="IV311" s="134"/>
      <c r="IW311" s="134"/>
      <c r="IX311" s="134"/>
      <c r="IY311" s="135"/>
      <c r="IZ311" s="135"/>
    </row>
    <row r="312" spans="1:260" customFormat="1" ht="17" customHeight="1">
      <c r="A312" s="79" t="s">
        <v>272</v>
      </c>
      <c r="B312" s="117">
        <v>195</v>
      </c>
      <c r="C312" s="117">
        <v>68</v>
      </c>
      <c r="D312" s="117"/>
      <c r="E312" s="123" t="s">
        <v>2005</v>
      </c>
      <c r="F312" s="124" t="s">
        <v>2236</v>
      </c>
      <c r="G312" s="125">
        <v>2006</v>
      </c>
      <c r="H312" s="79">
        <v>16720800</v>
      </c>
      <c r="I312" s="79">
        <v>1</v>
      </c>
      <c r="J312" s="126"/>
      <c r="K312" s="127"/>
      <c r="L312" s="79">
        <v>1</v>
      </c>
      <c r="M312" s="79"/>
      <c r="N312" s="79">
        <v>1</v>
      </c>
      <c r="O312" s="128">
        <v>1</v>
      </c>
      <c r="P312" s="79" t="s">
        <v>720</v>
      </c>
      <c r="Q312" s="79" t="s">
        <v>1172</v>
      </c>
      <c r="R312" s="79" t="s">
        <v>721</v>
      </c>
      <c r="S312" s="79">
        <v>1</v>
      </c>
      <c r="T312" s="79"/>
      <c r="U312" s="79"/>
      <c r="V312" s="79"/>
      <c r="W312" s="79"/>
      <c r="X312" s="79"/>
      <c r="Y312" s="79"/>
      <c r="Z312" s="79"/>
      <c r="AA312" s="79"/>
      <c r="AB312" s="79"/>
      <c r="AC312" s="506"/>
      <c r="AD312" s="573">
        <v>1</v>
      </c>
      <c r="AE312" s="573">
        <v>2</v>
      </c>
      <c r="AF312" s="165">
        <v>0</v>
      </c>
      <c r="AG312" s="166" t="s">
        <v>5327</v>
      </c>
      <c r="AH312" s="120"/>
      <c r="AI312" s="120"/>
      <c r="AJ312" s="206" t="s">
        <v>5330</v>
      </c>
      <c r="AK312" s="372"/>
      <c r="AL312" s="207"/>
      <c r="AM312" s="120"/>
      <c r="AN312" s="120"/>
      <c r="AO312" s="120"/>
      <c r="AP312" s="120"/>
      <c r="AQ312" s="120"/>
      <c r="AR312" s="120"/>
      <c r="AS312" s="120"/>
      <c r="AT312" s="120"/>
      <c r="AU312" s="120"/>
      <c r="AV312" s="120"/>
      <c r="AW312" s="120"/>
      <c r="AX312" s="120"/>
      <c r="AY312" s="120"/>
      <c r="AZ312" s="120"/>
      <c r="BA312" s="509"/>
      <c r="BB312" s="509"/>
      <c r="BC312" s="509"/>
      <c r="BD312" s="511"/>
      <c r="BE312" s="511"/>
      <c r="BF312" s="511">
        <v>1</v>
      </c>
      <c r="BG312" s="511"/>
      <c r="BH312" s="511"/>
      <c r="BI312" s="511"/>
      <c r="BJ312" s="511">
        <v>1</v>
      </c>
      <c r="BK312" s="511"/>
      <c r="BL312" s="511"/>
      <c r="BM312" s="511"/>
      <c r="BN312" s="511"/>
      <c r="BO312" s="511"/>
      <c r="BP312" s="511"/>
      <c r="BQ312" s="510"/>
      <c r="BR312" s="134"/>
      <c r="BS312" s="134"/>
      <c r="BT312" s="134"/>
      <c r="BU312" s="168"/>
      <c r="BV312" s="134"/>
      <c r="BW312" s="375"/>
      <c r="BX312" s="138"/>
      <c r="BY312" s="134"/>
      <c r="BZ312" s="134"/>
      <c r="CA312" s="134"/>
      <c r="CB312" s="138"/>
      <c r="CC312" s="134"/>
      <c r="CD312" s="134"/>
      <c r="CE312" s="134"/>
      <c r="CF312" s="288"/>
      <c r="CG312" s="289"/>
      <c r="CH312" s="427" t="s">
        <v>24</v>
      </c>
      <c r="CI312" s="424" t="s">
        <v>24</v>
      </c>
      <c r="CJ312" s="424" t="s">
        <v>24</v>
      </c>
      <c r="CK312" s="424" t="s">
        <v>24</v>
      </c>
      <c r="CL312" s="424" t="s">
        <v>24</v>
      </c>
      <c r="CM312" s="424" t="s">
        <v>24</v>
      </c>
      <c r="CN312" s="424" t="s">
        <v>24</v>
      </c>
      <c r="CO312" s="424" t="s">
        <v>24</v>
      </c>
      <c r="CP312" s="288"/>
      <c r="CQ312" s="289"/>
      <c r="CR312" s="276"/>
      <c r="CS312" s="308"/>
      <c r="CT312" s="138"/>
      <c r="CU312" s="134"/>
      <c r="CV312" s="134"/>
      <c r="CW312" s="134"/>
      <c r="CX312" s="134"/>
      <c r="CY312" s="134"/>
      <c r="CZ312" s="134"/>
      <c r="DA312" s="134"/>
      <c r="DB312" s="300"/>
      <c r="DC312" s="301"/>
      <c r="DD312" s="134"/>
      <c r="DE312" s="134"/>
      <c r="DF312" s="134"/>
      <c r="DG312" s="134"/>
      <c r="DH312" s="134"/>
      <c r="DI312" s="134"/>
      <c r="DJ312" s="134"/>
      <c r="DK312" s="134"/>
      <c r="DL312" s="300"/>
      <c r="DM312" s="301"/>
      <c r="DN312" s="276"/>
      <c r="DO312" s="277"/>
      <c r="DP312" s="134"/>
      <c r="DQ312" s="134"/>
      <c r="DR312" s="134"/>
      <c r="DS312" s="134"/>
      <c r="DT312" s="138"/>
      <c r="DU312" s="134"/>
      <c r="DV312" s="134"/>
      <c r="DW312" s="134"/>
      <c r="DX312" s="301"/>
      <c r="DY312" s="301"/>
      <c r="DZ312" s="138"/>
      <c r="EA312" s="134"/>
      <c r="EB312" s="134"/>
      <c r="EC312" s="134"/>
      <c r="ED312" s="138"/>
      <c r="EE312" s="134"/>
      <c r="EF312" s="134"/>
      <c r="EG312" s="134"/>
      <c r="EH312" s="301"/>
      <c r="EI312" s="301"/>
      <c r="EJ312" s="277"/>
      <c r="EK312" s="134"/>
      <c r="EL312" s="134"/>
      <c r="EM312" s="134"/>
      <c r="EN312" s="134"/>
      <c r="EO312" s="134"/>
      <c r="EP312" s="134"/>
      <c r="EQ312" s="134"/>
      <c r="ER312" s="134"/>
      <c r="ES312" s="301"/>
      <c r="ET312" s="301"/>
      <c r="EU312" s="134"/>
      <c r="EV312" s="134"/>
      <c r="EW312" s="134"/>
      <c r="EX312" s="134"/>
      <c r="EY312" s="134"/>
      <c r="EZ312" s="134"/>
      <c r="FA312" s="134"/>
      <c r="FB312" s="134"/>
      <c r="FC312" s="135"/>
      <c r="FD312" s="135"/>
      <c r="FE312" s="134"/>
      <c r="FF312" s="134"/>
      <c r="FG312" s="134"/>
      <c r="FH312" s="134"/>
      <c r="FI312" s="134"/>
      <c r="FJ312" s="134"/>
      <c r="FK312" s="134"/>
      <c r="FL312" s="134"/>
      <c r="FM312" s="135"/>
      <c r="FN312" s="135"/>
      <c r="FO312" s="134"/>
      <c r="FP312" s="134"/>
      <c r="FQ312" s="134"/>
      <c r="FR312" s="134"/>
      <c r="FS312" s="134"/>
      <c r="FT312" s="134"/>
      <c r="FU312" s="134"/>
      <c r="FV312" s="134"/>
      <c r="FW312" s="135"/>
      <c r="FX312" s="135"/>
      <c r="FY312" s="134"/>
      <c r="FZ312" s="134"/>
      <c r="GA312" s="134"/>
      <c r="GB312" s="134"/>
      <c r="GC312" s="134"/>
      <c r="GD312" s="134"/>
      <c r="GE312" s="134"/>
      <c r="GF312" s="134"/>
      <c r="GG312" s="135"/>
      <c r="GH312" s="135"/>
      <c r="GI312" s="134"/>
      <c r="GJ312" s="134"/>
      <c r="GK312" s="134"/>
      <c r="GL312" s="134"/>
      <c r="GM312" s="134"/>
      <c r="GN312" s="134"/>
      <c r="GO312" s="134"/>
      <c r="GP312" s="134"/>
      <c r="GQ312" s="135"/>
      <c r="GR312" s="135"/>
      <c r="GS312" s="134"/>
      <c r="GT312" s="134"/>
      <c r="GU312" s="134"/>
      <c r="GV312" s="134"/>
      <c r="GW312" s="134"/>
      <c r="GX312" s="134"/>
      <c r="GY312" s="134"/>
      <c r="GZ312" s="134"/>
      <c r="HA312" s="135"/>
      <c r="HB312" s="135"/>
      <c r="HC312" s="134"/>
      <c r="HD312" s="134"/>
      <c r="HE312" s="134"/>
      <c r="HF312" s="134"/>
      <c r="HG312" s="134"/>
      <c r="HH312" s="134"/>
      <c r="HI312" s="134"/>
      <c r="HJ312" s="134"/>
      <c r="HK312" s="135"/>
      <c r="HL312" s="135"/>
      <c r="HM312" s="134"/>
      <c r="HN312" s="134"/>
      <c r="HO312" s="134"/>
      <c r="HP312" s="134"/>
      <c r="HQ312" s="134"/>
      <c r="HR312" s="134"/>
      <c r="HS312" s="134"/>
      <c r="HT312" s="134"/>
      <c r="HU312" s="135"/>
      <c r="HV312" s="135"/>
      <c r="HW312" s="134"/>
      <c r="HX312" s="134"/>
      <c r="HY312" s="134"/>
      <c r="HZ312" s="134"/>
      <c r="IA312" s="134"/>
      <c r="IB312" s="134"/>
      <c r="IC312" s="134"/>
      <c r="ID312" s="134"/>
      <c r="IE312" s="135"/>
      <c r="IF312" s="135"/>
      <c r="IG312" s="134"/>
      <c r="IH312" s="134"/>
      <c r="II312" s="134"/>
      <c r="IJ312" s="134"/>
      <c r="IK312" s="134"/>
      <c r="IL312" s="134"/>
      <c r="IM312" s="134"/>
      <c r="IN312" s="134"/>
      <c r="IO312" s="135"/>
      <c r="IP312" s="135"/>
      <c r="IQ312" s="134"/>
      <c r="IR312" s="134"/>
      <c r="IS312" s="134"/>
      <c r="IT312" s="134"/>
      <c r="IU312" s="134"/>
      <c r="IV312" s="134"/>
      <c r="IW312" s="134"/>
      <c r="IX312" s="134"/>
      <c r="IY312" s="135"/>
      <c r="IZ312" s="135"/>
    </row>
    <row r="313" spans="1:260" customFormat="1" ht="17" customHeight="1">
      <c r="A313" s="79" t="s">
        <v>274</v>
      </c>
      <c r="B313" s="117">
        <v>44</v>
      </c>
      <c r="C313" s="117"/>
      <c r="D313" s="117"/>
      <c r="E313" s="123" t="s">
        <v>2006</v>
      </c>
      <c r="F313" s="124" t="s">
        <v>2237</v>
      </c>
      <c r="G313" s="125">
        <v>2013</v>
      </c>
      <c r="H313" s="79">
        <v>23792855</v>
      </c>
      <c r="I313" s="79">
        <v>1</v>
      </c>
      <c r="J313" s="126"/>
      <c r="K313" s="127"/>
      <c r="L313" s="79">
        <v>1</v>
      </c>
      <c r="M313" s="79"/>
      <c r="N313" s="79">
        <v>1</v>
      </c>
      <c r="O313" s="128">
        <v>1</v>
      </c>
      <c r="P313" s="79" t="s">
        <v>11</v>
      </c>
      <c r="Q313" s="79" t="s">
        <v>1142</v>
      </c>
      <c r="R313" s="79" t="s">
        <v>25</v>
      </c>
      <c r="S313" s="79">
        <v>1</v>
      </c>
      <c r="T313" s="79"/>
      <c r="U313" s="79"/>
      <c r="V313" s="79"/>
      <c r="W313" s="79" t="s">
        <v>723</v>
      </c>
      <c r="X313" s="79" t="s">
        <v>24</v>
      </c>
      <c r="Y313" s="79" t="s">
        <v>724</v>
      </c>
      <c r="Z313" s="79"/>
      <c r="AA313" s="79"/>
      <c r="AB313" s="79"/>
      <c r="AC313" s="506"/>
      <c r="AD313" s="573">
        <v>1</v>
      </c>
      <c r="AE313" s="573">
        <v>2</v>
      </c>
      <c r="AF313" s="233">
        <v>1</v>
      </c>
      <c r="AG313" s="234" t="s">
        <v>3581</v>
      </c>
      <c r="AH313" s="121" t="s">
        <v>3565</v>
      </c>
      <c r="AI313" s="484"/>
      <c r="AJ313" s="213" t="s">
        <v>3570</v>
      </c>
      <c r="AK313" s="192">
        <v>0</v>
      </c>
      <c r="AL313" s="203" t="s">
        <v>24</v>
      </c>
      <c r="AM313" s="121" t="s">
        <v>3564</v>
      </c>
      <c r="AN313" s="383" t="s">
        <v>3571</v>
      </c>
      <c r="AO313" s="383" t="s">
        <v>3571</v>
      </c>
      <c r="AP313" s="121" t="s">
        <v>3572</v>
      </c>
      <c r="AQ313" s="121" t="s">
        <v>3572</v>
      </c>
      <c r="AR313" s="121" t="s">
        <v>3573</v>
      </c>
      <c r="AS313" s="121">
        <v>7.91</v>
      </c>
      <c r="AT313" s="121" t="s">
        <v>3573</v>
      </c>
      <c r="AU313" s="121">
        <v>7.91</v>
      </c>
      <c r="AV313" s="121" t="s">
        <v>3568</v>
      </c>
      <c r="AW313" s="121" t="s">
        <v>24</v>
      </c>
      <c r="AX313" s="121" t="s">
        <v>24</v>
      </c>
      <c r="AY313" s="121" t="s">
        <v>3566</v>
      </c>
      <c r="AZ313" s="121" t="s">
        <v>2605</v>
      </c>
      <c r="BA313" s="121" t="s">
        <v>3567</v>
      </c>
      <c r="BB313" s="121"/>
      <c r="BC313" s="121"/>
      <c r="BD313" s="156">
        <v>1</v>
      </c>
      <c r="BE313" s="156"/>
      <c r="BF313" s="156"/>
      <c r="BG313" s="156"/>
      <c r="BH313" s="156"/>
      <c r="BI313" s="156"/>
      <c r="BJ313" s="156"/>
      <c r="BK313" s="156"/>
      <c r="BL313" s="156"/>
      <c r="BM313" s="156"/>
      <c r="BN313" s="156"/>
      <c r="BO313" s="156"/>
      <c r="BP313" s="156"/>
      <c r="BQ313" s="157" t="s">
        <v>1891</v>
      </c>
      <c r="BR313" s="134" t="s">
        <v>1876</v>
      </c>
      <c r="BS313" s="134" t="s">
        <v>3569</v>
      </c>
      <c r="BT313" s="134" t="s">
        <v>3580</v>
      </c>
      <c r="BU313" s="134" t="s">
        <v>24</v>
      </c>
      <c r="BV313" s="134" t="s">
        <v>3582</v>
      </c>
      <c r="BW313" s="259" t="s">
        <v>3592</v>
      </c>
      <c r="BX313" s="138" t="s">
        <v>3577</v>
      </c>
      <c r="BY313" s="134">
        <v>4.625</v>
      </c>
      <c r="BZ313" s="134" t="s">
        <v>24</v>
      </c>
      <c r="CA313" s="134">
        <f>5.1-Table665[[#This Row],[Outcome1_M]]</f>
        <v>0.47499999999999964</v>
      </c>
      <c r="CB313" s="138" t="s">
        <v>3576</v>
      </c>
      <c r="CC313" s="134">
        <v>3.30375</v>
      </c>
      <c r="CD313" s="134" t="s">
        <v>24</v>
      </c>
      <c r="CE313" s="134">
        <f>3.3125-Table665[[#This Row],[Outcome2_M]]</f>
        <v>8.7500000000000355E-3</v>
      </c>
      <c r="CF313" s="288" t="s">
        <v>24</v>
      </c>
      <c r="CG313" s="289" t="s">
        <v>24</v>
      </c>
      <c r="CH313" s="138" t="s">
        <v>3575</v>
      </c>
      <c r="CI313" s="134">
        <v>4.95</v>
      </c>
      <c r="CJ313" s="134" t="s">
        <v>24</v>
      </c>
      <c r="CK313" s="134">
        <f>5.45-Table665[[#This Row],[Outcome3_M]]</f>
        <v>0.5</v>
      </c>
      <c r="CL313" s="138" t="s">
        <v>3574</v>
      </c>
      <c r="CM313" s="134">
        <v>4.5250000000000004</v>
      </c>
      <c r="CN313" s="134" t="s">
        <v>24</v>
      </c>
      <c r="CO313" s="134">
        <f>4.8125-Table665[[#This Row],[Outcome4_M]]</f>
        <v>0.28749999999999964</v>
      </c>
      <c r="CP313" s="288" t="s">
        <v>24</v>
      </c>
      <c r="CQ313" s="289" t="s">
        <v>24</v>
      </c>
      <c r="CR313" s="276" t="s">
        <v>24</v>
      </c>
      <c r="CS313" s="308" t="s">
        <v>24</v>
      </c>
      <c r="CT313" s="138" t="s">
        <v>3578</v>
      </c>
      <c r="CU313" s="134">
        <v>5.9249999999999998</v>
      </c>
      <c r="CV313" s="134" t="s">
        <v>24</v>
      </c>
      <c r="CW313" s="134">
        <f>6.425-Table665[[#This Row],[Outcome5_M]]</f>
        <v>0.5</v>
      </c>
      <c r="CX313" s="138" t="s">
        <v>3579</v>
      </c>
      <c r="CY313" s="134">
        <v>4.5999999999999996</v>
      </c>
      <c r="CZ313" s="134" t="s">
        <v>24</v>
      </c>
      <c r="DA313" s="134">
        <f>4.9-Table665[[#This Row],[Outcome6_M]]</f>
        <v>0.30000000000000071</v>
      </c>
      <c r="DB313" s="300" t="s">
        <v>3583</v>
      </c>
      <c r="DC313" s="301" t="s">
        <v>3584</v>
      </c>
      <c r="DD313" s="138" t="s">
        <v>3587</v>
      </c>
      <c r="DE313" s="134">
        <v>2.6</v>
      </c>
      <c r="DF313" s="134" t="s">
        <v>24</v>
      </c>
      <c r="DG313" s="134">
        <f>3.1375-Table665[[#This Row],[Outcome7_M]]</f>
        <v>0.53750000000000009</v>
      </c>
      <c r="DH313" s="138" t="s">
        <v>3588</v>
      </c>
      <c r="DI313" s="134">
        <v>3.0125000000000002</v>
      </c>
      <c r="DJ313" s="134" t="s">
        <v>24</v>
      </c>
      <c r="DK313" s="134">
        <f>3.275-Table665[[#This Row],[Outcome8_M]]</f>
        <v>0.26249999999999973</v>
      </c>
      <c r="DL313" s="300" t="s">
        <v>24</v>
      </c>
      <c r="DM313" s="301" t="s">
        <v>24</v>
      </c>
      <c r="DN313" s="276" t="s">
        <v>24</v>
      </c>
      <c r="DO313" s="277" t="s">
        <v>24</v>
      </c>
      <c r="DP313" s="138" t="s">
        <v>3585</v>
      </c>
      <c r="DQ313" s="134">
        <v>5.3624999999999998</v>
      </c>
      <c r="DR313" s="134" t="s">
        <v>24</v>
      </c>
      <c r="DS313" s="134">
        <f>5.85-Table665[[#This Row],[Outcome9_M]]</f>
        <v>0.48749999999999982</v>
      </c>
      <c r="DT313" s="138" t="s">
        <v>3586</v>
      </c>
      <c r="DU313" s="134">
        <v>3.4750000000000001</v>
      </c>
      <c r="DV313" s="134" t="s">
        <v>24</v>
      </c>
      <c r="DW313" s="134">
        <f>3.7625-Table665[[#This Row],[Outcome10_M]]</f>
        <v>0.28750000000000009</v>
      </c>
      <c r="DX313" s="301" t="s">
        <v>24</v>
      </c>
      <c r="DY313" s="301" t="s">
        <v>24</v>
      </c>
      <c r="DZ313" s="138" t="s">
        <v>3589</v>
      </c>
      <c r="EA313" s="134">
        <v>5.6749999999999998</v>
      </c>
      <c r="EB313" s="134" t="s">
        <v>24</v>
      </c>
      <c r="EC313" s="134">
        <f>6.15-Table665[[#This Row],[Outcome11_M]]</f>
        <v>0.47500000000000053</v>
      </c>
      <c r="ED313" s="138" t="s">
        <v>3590</v>
      </c>
      <c r="EE313" s="134">
        <v>3.5874999999999999</v>
      </c>
      <c r="EF313" s="134" t="s">
        <v>24</v>
      </c>
      <c r="EG313" s="134">
        <f>3.875-Table665[[#This Row],[Outcome12_M]]</f>
        <v>0.28750000000000009</v>
      </c>
      <c r="EH313" s="300" t="s">
        <v>3591</v>
      </c>
      <c r="EI313" s="301" t="s">
        <v>3584</v>
      </c>
      <c r="EJ313" s="277"/>
      <c r="EK313" s="134"/>
      <c r="EL313" s="134"/>
      <c r="EM313" s="134"/>
      <c r="EN313" s="134"/>
      <c r="EO313" s="134"/>
      <c r="EP313" s="134"/>
      <c r="EQ313" s="134"/>
      <c r="ER313" s="134"/>
      <c r="ES313" s="301"/>
      <c r="ET313" s="301"/>
      <c r="EU313" s="134"/>
      <c r="EV313" s="134"/>
      <c r="EW313" s="134"/>
      <c r="EX313" s="134"/>
      <c r="EY313" s="134"/>
      <c r="EZ313" s="134"/>
      <c r="FA313" s="134"/>
      <c r="FB313" s="134"/>
      <c r="FC313" s="135"/>
      <c r="FD313" s="135"/>
      <c r="FE313" s="134"/>
      <c r="FF313" s="134"/>
      <c r="FG313" s="134"/>
      <c r="FH313" s="134"/>
      <c r="FI313" s="134"/>
      <c r="FJ313" s="134"/>
      <c r="FK313" s="134"/>
      <c r="FL313" s="134"/>
      <c r="FM313" s="135"/>
      <c r="FN313" s="135"/>
      <c r="FO313" s="134"/>
      <c r="FP313" s="134"/>
      <c r="FQ313" s="134"/>
      <c r="FR313" s="134"/>
      <c r="FS313" s="134"/>
      <c r="FT313" s="134"/>
      <c r="FU313" s="134"/>
      <c r="FV313" s="134"/>
      <c r="FW313" s="135"/>
      <c r="FX313" s="135"/>
      <c r="FY313" s="134"/>
      <c r="FZ313" s="134"/>
      <c r="GA313" s="134"/>
      <c r="GB313" s="134"/>
      <c r="GC313" s="134"/>
      <c r="GD313" s="134"/>
      <c r="GE313" s="134"/>
      <c r="GF313" s="134"/>
      <c r="GG313" s="135"/>
      <c r="GH313" s="135"/>
      <c r="GI313" s="134"/>
      <c r="GJ313" s="134"/>
      <c r="GK313" s="134"/>
      <c r="GL313" s="134"/>
      <c r="GM313" s="134"/>
      <c r="GN313" s="134"/>
      <c r="GO313" s="134"/>
      <c r="GP313" s="134"/>
      <c r="GQ313" s="135"/>
      <c r="GR313" s="135"/>
      <c r="GS313" s="134"/>
      <c r="GT313" s="134"/>
      <c r="GU313" s="134"/>
      <c r="GV313" s="134"/>
      <c r="GW313" s="134"/>
      <c r="GX313" s="134"/>
      <c r="GY313" s="134"/>
      <c r="GZ313" s="134"/>
      <c r="HA313" s="135"/>
      <c r="HB313" s="135"/>
      <c r="HC313" s="134"/>
      <c r="HD313" s="134"/>
      <c r="HE313" s="134"/>
      <c r="HF313" s="134"/>
      <c r="HG313" s="134"/>
      <c r="HH313" s="134"/>
      <c r="HI313" s="134"/>
      <c r="HJ313" s="134"/>
      <c r="HK313" s="135"/>
      <c r="HL313" s="135"/>
      <c r="HM313" s="134"/>
      <c r="HN313" s="134"/>
      <c r="HO313" s="134"/>
      <c r="HP313" s="134"/>
      <c r="HQ313" s="134"/>
      <c r="HR313" s="134"/>
      <c r="HS313" s="134"/>
      <c r="HT313" s="134"/>
      <c r="HU313" s="135"/>
      <c r="HV313" s="135"/>
      <c r="HW313" s="134"/>
      <c r="HX313" s="134"/>
      <c r="HY313" s="134"/>
      <c r="HZ313" s="134"/>
      <c r="IA313" s="134"/>
      <c r="IB313" s="134"/>
      <c r="IC313" s="134"/>
      <c r="ID313" s="134"/>
      <c r="IE313" s="135"/>
      <c r="IF313" s="135"/>
      <c r="IG313" s="134"/>
      <c r="IH313" s="134"/>
      <c r="II313" s="134"/>
      <c r="IJ313" s="134"/>
      <c r="IK313" s="134"/>
      <c r="IL313" s="134"/>
      <c r="IM313" s="134"/>
      <c r="IN313" s="134"/>
      <c r="IO313" s="135"/>
      <c r="IP313" s="135"/>
      <c r="IQ313" s="134"/>
      <c r="IR313" s="134"/>
      <c r="IS313" s="134"/>
      <c r="IT313" s="134"/>
      <c r="IU313" s="134"/>
      <c r="IV313" s="134"/>
      <c r="IW313" s="134"/>
      <c r="IX313" s="134"/>
      <c r="IY313" s="135"/>
      <c r="IZ313" s="135"/>
    </row>
    <row r="314" spans="1:260" customFormat="1" ht="17" customHeight="1">
      <c r="A314" s="153" t="s">
        <v>983</v>
      </c>
      <c r="B314" s="366">
        <v>45</v>
      </c>
      <c r="C314" s="366"/>
      <c r="D314" s="366"/>
      <c r="E314" s="367" t="s">
        <v>2113</v>
      </c>
      <c r="F314" s="368" t="s">
        <v>2372</v>
      </c>
      <c r="G314" s="369">
        <v>2015</v>
      </c>
      <c r="H314" s="153">
        <v>25449394</v>
      </c>
      <c r="I314" s="153">
        <v>1</v>
      </c>
      <c r="J314" s="370">
        <v>1</v>
      </c>
      <c r="K314" s="371"/>
      <c r="L314" s="153">
        <v>1</v>
      </c>
      <c r="M314" s="153"/>
      <c r="N314" s="153">
        <v>1</v>
      </c>
      <c r="O314" s="153">
        <v>2</v>
      </c>
      <c r="P314" s="153" t="s">
        <v>1404</v>
      </c>
      <c r="Q314" s="153" t="s">
        <v>1212</v>
      </c>
      <c r="R314" s="153" t="s">
        <v>1127</v>
      </c>
      <c r="S314" s="153"/>
      <c r="T314" s="153" t="s">
        <v>1488</v>
      </c>
      <c r="U314" s="153" t="s">
        <v>1539</v>
      </c>
      <c r="V314" s="153" t="s">
        <v>23</v>
      </c>
      <c r="W314" s="153" t="s">
        <v>1547</v>
      </c>
      <c r="X314" s="153"/>
      <c r="Y314" s="153"/>
      <c r="Z314" s="153"/>
      <c r="AA314" s="153"/>
      <c r="AB314" s="153"/>
      <c r="AC314" s="536"/>
      <c r="AD314" s="573">
        <v>1</v>
      </c>
      <c r="AE314" s="573">
        <v>2</v>
      </c>
      <c r="AF314" s="165">
        <v>0</v>
      </c>
      <c r="AG314" s="166" t="s">
        <v>3593</v>
      </c>
      <c r="AH314" s="120">
        <v>4</v>
      </c>
      <c r="AI314" s="484"/>
      <c r="AJ314" s="206"/>
      <c r="AK314" s="372"/>
      <c r="AL314" s="207"/>
      <c r="AM314" s="120"/>
      <c r="AN314" s="120"/>
      <c r="AO314" s="120"/>
      <c r="AP314" s="120"/>
      <c r="AQ314" s="120"/>
      <c r="AR314" s="120"/>
      <c r="AS314" s="120"/>
      <c r="AT314" s="120"/>
      <c r="AU314" s="120"/>
      <c r="AV314" s="120"/>
      <c r="AW314" s="120"/>
      <c r="AX314" s="120"/>
      <c r="AY314" s="120"/>
      <c r="AZ314" s="120"/>
      <c r="BA314" s="120"/>
      <c r="BB314" s="120"/>
      <c r="BC314" s="120"/>
      <c r="BD314" s="373">
        <v>1</v>
      </c>
      <c r="BE314" s="373"/>
      <c r="BF314" s="373"/>
      <c r="BG314" s="373"/>
      <c r="BH314" s="373"/>
      <c r="BI314" s="373"/>
      <c r="BJ314" s="373"/>
      <c r="BK314" s="373"/>
      <c r="BL314" s="373"/>
      <c r="BM314" s="373"/>
      <c r="BN314" s="373"/>
      <c r="BO314" s="373"/>
      <c r="BP314" s="373"/>
      <c r="BQ314" s="374"/>
      <c r="BR314" s="120"/>
      <c r="BS314" s="120"/>
      <c r="BT314" s="120"/>
      <c r="BU314" s="120"/>
      <c r="BV314" s="384"/>
      <c r="BW314" s="375"/>
      <c r="BX314" s="376"/>
      <c r="BY314" s="120"/>
      <c r="BZ314" s="120"/>
      <c r="CA314" s="120"/>
      <c r="CB314" s="376"/>
      <c r="CC314" s="120"/>
      <c r="CD314" s="120"/>
      <c r="CE314" s="120"/>
      <c r="CF314" s="375"/>
      <c r="CG314" s="377"/>
      <c r="CH314" s="376"/>
      <c r="CI314" s="120"/>
      <c r="CJ314" s="120"/>
      <c r="CK314" s="120"/>
      <c r="CL314" s="376"/>
      <c r="CM314" s="120"/>
      <c r="CN314" s="120"/>
      <c r="CO314" s="120"/>
      <c r="CP314" s="375"/>
      <c r="CQ314" s="377"/>
      <c r="CR314" s="380"/>
      <c r="CS314" s="376"/>
      <c r="CT314" s="376"/>
      <c r="CU314" s="120"/>
      <c r="CV314" s="120"/>
      <c r="CW314" s="120"/>
      <c r="CX314" s="120"/>
      <c r="CY314" s="120"/>
      <c r="CZ314" s="120"/>
      <c r="DA314" s="120"/>
      <c r="DB314" s="380"/>
      <c r="DC314" s="120"/>
      <c r="DD314" s="120"/>
      <c r="DE314" s="120"/>
      <c r="DF314" s="120"/>
      <c r="DG314" s="120"/>
      <c r="DH314" s="120"/>
      <c r="DI314" s="120"/>
      <c r="DJ314" s="120"/>
      <c r="DK314" s="120"/>
      <c r="DL314" s="380"/>
      <c r="DM314" s="120"/>
      <c r="DN314" s="380"/>
      <c r="DO314" s="120"/>
      <c r="DP314" s="120"/>
      <c r="DQ314" s="120"/>
      <c r="DR314" s="120"/>
      <c r="DS314" s="120"/>
      <c r="DT314" s="376"/>
      <c r="DU314" s="120"/>
      <c r="DV314" s="120"/>
      <c r="DW314" s="120"/>
      <c r="DX314" s="120"/>
      <c r="DY314" s="120"/>
      <c r="DZ314" s="376"/>
      <c r="EA314" s="120"/>
      <c r="EB314" s="120"/>
      <c r="EC314" s="120"/>
      <c r="ED314" s="376"/>
      <c r="EE314" s="120"/>
      <c r="EF314" s="120"/>
      <c r="EG314" s="120"/>
      <c r="EH314" s="120"/>
      <c r="EI314" s="120"/>
      <c r="EJ314" s="120"/>
      <c r="EK314" s="120"/>
      <c r="EL314" s="120"/>
      <c r="EM314" s="120"/>
      <c r="EN314" s="120"/>
      <c r="EO314" s="120"/>
      <c r="EP314" s="120"/>
      <c r="EQ314" s="120"/>
      <c r="ER314" s="120"/>
      <c r="ES314" s="120"/>
      <c r="ET314" s="120"/>
      <c r="EU314" s="120"/>
      <c r="EV314" s="120"/>
      <c r="EW314" s="120"/>
      <c r="EX314" s="120"/>
      <c r="EY314" s="134"/>
      <c r="EZ314" s="134"/>
      <c r="FA314" s="134"/>
      <c r="FB314" s="134"/>
      <c r="FC314" s="135"/>
      <c r="FD314" s="135"/>
      <c r="FE314" s="134"/>
      <c r="FF314" s="134"/>
      <c r="FG314" s="134"/>
      <c r="FH314" s="134"/>
      <c r="FI314" s="134"/>
      <c r="FJ314" s="134"/>
      <c r="FK314" s="134"/>
      <c r="FL314" s="134"/>
      <c r="FM314" s="135"/>
      <c r="FN314" s="135"/>
      <c r="FO314" s="134"/>
      <c r="FP314" s="134"/>
      <c r="FQ314" s="134"/>
      <c r="FR314" s="134"/>
      <c r="FS314" s="134"/>
      <c r="FT314" s="134"/>
      <c r="FU314" s="134"/>
      <c r="FV314" s="134"/>
      <c r="FW314" s="135"/>
      <c r="FX314" s="135"/>
      <c r="FY314" s="134"/>
      <c r="FZ314" s="134"/>
      <c r="GA314" s="134"/>
      <c r="GB314" s="134"/>
      <c r="GC314" s="134"/>
      <c r="GD314" s="134"/>
      <c r="GE314" s="134"/>
      <c r="GF314" s="134"/>
      <c r="GG314" s="135"/>
      <c r="GH314" s="135"/>
      <c r="GI314" s="134"/>
      <c r="GJ314" s="134"/>
      <c r="GK314" s="134"/>
      <c r="GL314" s="134"/>
      <c r="GM314" s="134"/>
      <c r="GN314" s="134"/>
      <c r="GO314" s="134"/>
      <c r="GP314" s="134"/>
      <c r="GQ314" s="135"/>
      <c r="GR314" s="135"/>
      <c r="GS314" s="134"/>
      <c r="GT314" s="134"/>
      <c r="GU314" s="134"/>
      <c r="GV314" s="134"/>
      <c r="GW314" s="134"/>
      <c r="GX314" s="134"/>
      <c r="GY314" s="134"/>
      <c r="GZ314" s="134"/>
      <c r="HA314" s="135"/>
      <c r="HB314" s="135"/>
      <c r="HC314" s="134"/>
      <c r="HD314" s="134"/>
      <c r="HE314" s="134"/>
      <c r="HF314" s="134"/>
      <c r="HG314" s="134"/>
      <c r="HH314" s="134"/>
      <c r="HI314" s="134"/>
      <c r="HJ314" s="134"/>
      <c r="HK314" s="135"/>
      <c r="HL314" s="135"/>
      <c r="HM314" s="134"/>
      <c r="HN314" s="134"/>
      <c r="HO314" s="134"/>
      <c r="HP314" s="134"/>
      <c r="HQ314" s="134"/>
      <c r="HR314" s="134"/>
      <c r="HS314" s="134"/>
      <c r="HT314" s="134"/>
      <c r="HU314" s="135"/>
      <c r="HV314" s="135"/>
      <c r="HW314" s="134"/>
      <c r="HX314" s="134"/>
      <c r="HY314" s="134"/>
      <c r="HZ314" s="134"/>
      <c r="IA314" s="134"/>
      <c r="IB314" s="134"/>
      <c r="IC314" s="134"/>
      <c r="ID314" s="134"/>
      <c r="IE314" s="135"/>
      <c r="IF314" s="135"/>
      <c r="IG314" s="134"/>
      <c r="IH314" s="134"/>
      <c r="II314" s="134"/>
      <c r="IJ314" s="134"/>
      <c r="IK314" s="134"/>
      <c r="IL314" s="134"/>
      <c r="IM314" s="134"/>
      <c r="IN314" s="134"/>
      <c r="IO314" s="135"/>
      <c r="IP314" s="135"/>
      <c r="IQ314" s="134"/>
      <c r="IR314" s="134"/>
      <c r="IS314" s="134"/>
      <c r="IT314" s="134"/>
      <c r="IU314" s="134"/>
      <c r="IV314" s="134"/>
      <c r="IW314" s="134"/>
      <c r="IX314" s="134"/>
      <c r="IY314" s="135"/>
      <c r="IZ314" s="135"/>
    </row>
    <row r="315" spans="1:260" customFormat="1" ht="17" customHeight="1">
      <c r="A315" s="79" t="s">
        <v>279</v>
      </c>
      <c r="B315" s="117">
        <v>199</v>
      </c>
      <c r="C315" s="117">
        <v>69</v>
      </c>
      <c r="D315" s="117"/>
      <c r="E315" s="123" t="s">
        <v>2009</v>
      </c>
      <c r="F315" s="124" t="s">
        <v>2240</v>
      </c>
      <c r="G315" s="125">
        <v>2009</v>
      </c>
      <c r="H315" s="79">
        <v>19703319</v>
      </c>
      <c r="I315" s="79">
        <v>1</v>
      </c>
      <c r="J315" s="126"/>
      <c r="K315" s="127"/>
      <c r="L315" s="79">
        <v>1</v>
      </c>
      <c r="M315" s="79"/>
      <c r="N315" s="79">
        <v>1</v>
      </c>
      <c r="O315" s="128">
        <v>1</v>
      </c>
      <c r="P315" s="79" t="s">
        <v>733</v>
      </c>
      <c r="Q315" s="79" t="s">
        <v>1147</v>
      </c>
      <c r="R315" s="79" t="s">
        <v>25</v>
      </c>
      <c r="S315" s="79">
        <v>1</v>
      </c>
      <c r="T315" s="79"/>
      <c r="U315" s="79"/>
      <c r="V315" s="79"/>
      <c r="W315" s="79" t="s">
        <v>732</v>
      </c>
      <c r="X315" s="79"/>
      <c r="Y315" s="79"/>
      <c r="Z315" s="79"/>
      <c r="AA315" s="79"/>
      <c r="AB315" s="79" t="s">
        <v>734</v>
      </c>
      <c r="AC315" s="506"/>
      <c r="AD315" s="573">
        <v>1</v>
      </c>
      <c r="AE315" s="573">
        <v>2</v>
      </c>
      <c r="AF315" s="154">
        <v>1</v>
      </c>
      <c r="AG315" s="155" t="s">
        <v>5335</v>
      </c>
      <c r="AH315" s="121">
        <v>2</v>
      </c>
      <c r="AI315" s="484"/>
      <c r="AJ315" s="202" t="s">
        <v>5393</v>
      </c>
      <c r="AK315" s="192">
        <v>1</v>
      </c>
      <c r="AL315" s="203" t="s">
        <v>24</v>
      </c>
      <c r="AM315" s="121">
        <v>47</v>
      </c>
      <c r="AN315" s="121">
        <v>25</v>
      </c>
      <c r="AO315" s="121">
        <v>22</v>
      </c>
      <c r="AP315" s="121" t="s">
        <v>803</v>
      </c>
      <c r="AQ315" s="121" t="s">
        <v>803</v>
      </c>
      <c r="AR315" s="121" t="s">
        <v>5331</v>
      </c>
      <c r="AS315" s="121" t="s">
        <v>5332</v>
      </c>
      <c r="AT315" s="121" t="s">
        <v>5333</v>
      </c>
      <c r="AU315" s="121" t="s">
        <v>5334</v>
      </c>
      <c r="AV315" s="121" t="s">
        <v>4249</v>
      </c>
      <c r="AW315" s="121" t="s">
        <v>24</v>
      </c>
      <c r="AX315" s="121" t="s">
        <v>24</v>
      </c>
      <c r="AY315" s="121" t="s">
        <v>2423</v>
      </c>
      <c r="AZ315" s="121" t="s">
        <v>3835</v>
      </c>
      <c r="BA315" s="121" t="s">
        <v>4521</v>
      </c>
      <c r="BB315" s="121"/>
      <c r="BC315" s="121"/>
      <c r="BD315" s="156"/>
      <c r="BE315" s="156"/>
      <c r="BF315" s="156"/>
      <c r="BG315" s="156"/>
      <c r="BH315" s="156"/>
      <c r="BI315" s="156"/>
      <c r="BJ315" s="156">
        <v>1</v>
      </c>
      <c r="BK315" s="156"/>
      <c r="BL315" s="156" t="s">
        <v>4727</v>
      </c>
      <c r="BM315" s="156"/>
      <c r="BN315" s="156" t="s">
        <v>4727</v>
      </c>
      <c r="BO315" s="156"/>
      <c r="BP315" s="156"/>
      <c r="BQ315" s="157" t="s">
        <v>5336</v>
      </c>
      <c r="BR315" s="134" t="s">
        <v>1876</v>
      </c>
      <c r="BS315" s="134">
        <v>2</v>
      </c>
      <c r="BT315" s="134" t="s">
        <v>4409</v>
      </c>
      <c r="BU315" s="134" t="s">
        <v>24</v>
      </c>
      <c r="BV315" s="134" t="s">
        <v>5350</v>
      </c>
      <c r="BW315" s="259" t="s">
        <v>5392</v>
      </c>
      <c r="BX315" s="138" t="s">
        <v>5340</v>
      </c>
      <c r="BY315" s="134">
        <v>50.08</v>
      </c>
      <c r="BZ315" s="134">
        <v>9.5</v>
      </c>
      <c r="CA315" s="134" t="s">
        <v>24</v>
      </c>
      <c r="CB315" s="138" t="s">
        <v>5341</v>
      </c>
      <c r="CC315" s="134">
        <v>51.86</v>
      </c>
      <c r="CD315" s="134">
        <v>9.6999999999999993</v>
      </c>
      <c r="CE315" s="134" t="s">
        <v>24</v>
      </c>
      <c r="CF315" s="288" t="s">
        <v>5348</v>
      </c>
      <c r="CG315" s="289" t="s">
        <v>5349</v>
      </c>
      <c r="CH315" s="138" t="s">
        <v>5342</v>
      </c>
      <c r="CI315" s="134">
        <v>49.92</v>
      </c>
      <c r="CJ315" s="134">
        <v>9.1</v>
      </c>
      <c r="CK315" s="134" t="s">
        <v>24</v>
      </c>
      <c r="CL315" s="138" t="s">
        <v>5343</v>
      </c>
      <c r="CM315" s="134">
        <v>52.81</v>
      </c>
      <c r="CN315" s="134">
        <v>9.6999999999999993</v>
      </c>
      <c r="CO315" s="134" t="s">
        <v>24</v>
      </c>
      <c r="CP315" s="288" t="s">
        <v>5351</v>
      </c>
      <c r="CQ315" s="289" t="s">
        <v>5352</v>
      </c>
      <c r="CR315" s="276" t="s">
        <v>5353</v>
      </c>
      <c r="CS315" s="308" t="s">
        <v>5354</v>
      </c>
      <c r="CT315" s="138" t="s">
        <v>5344</v>
      </c>
      <c r="CU315" s="134">
        <v>0.05</v>
      </c>
      <c r="CV315" s="134">
        <v>0.13</v>
      </c>
      <c r="CW315" s="134" t="s">
        <v>24</v>
      </c>
      <c r="CX315" s="138" t="s">
        <v>5345</v>
      </c>
      <c r="CY315" s="134">
        <v>0.14000000000000001</v>
      </c>
      <c r="CZ315" s="134">
        <v>0.22</v>
      </c>
      <c r="DA315" s="134" t="s">
        <v>24</v>
      </c>
      <c r="DB315" s="300" t="s">
        <v>5381</v>
      </c>
      <c r="DC315" s="301" t="s">
        <v>5382</v>
      </c>
      <c r="DD315" s="138" t="s">
        <v>5346</v>
      </c>
      <c r="DE315" s="134">
        <v>0.08</v>
      </c>
      <c r="DF315" s="134">
        <v>0.14000000000000001</v>
      </c>
      <c r="DG315" s="134" t="s">
        <v>24</v>
      </c>
      <c r="DH315" s="138" t="s">
        <v>5347</v>
      </c>
      <c r="DI315" s="134">
        <v>0.06</v>
      </c>
      <c r="DJ315" s="134">
        <v>0.2</v>
      </c>
      <c r="DK315" s="134" t="s">
        <v>24</v>
      </c>
      <c r="DL315" s="300" t="s">
        <v>5355</v>
      </c>
      <c r="DM315" s="301" t="s">
        <v>5356</v>
      </c>
      <c r="DN315" s="276" t="s">
        <v>5357</v>
      </c>
      <c r="DO315" s="277" t="s">
        <v>5354</v>
      </c>
      <c r="DP315" s="134" t="s">
        <v>24</v>
      </c>
      <c r="DQ315" s="134" t="s">
        <v>24</v>
      </c>
      <c r="DR315" s="134" t="s">
        <v>24</v>
      </c>
      <c r="DS315" s="134" t="s">
        <v>24</v>
      </c>
      <c r="DT315" s="138" t="s">
        <v>24</v>
      </c>
      <c r="DU315" s="134" t="s">
        <v>24</v>
      </c>
      <c r="DV315" s="134" t="s">
        <v>24</v>
      </c>
      <c r="DW315" s="134" t="s">
        <v>24</v>
      </c>
      <c r="DX315" s="301"/>
      <c r="DY315" s="301"/>
      <c r="DZ315" s="134" t="s">
        <v>24</v>
      </c>
      <c r="EA315" s="134" t="s">
        <v>24</v>
      </c>
      <c r="EB315" s="134" t="s">
        <v>24</v>
      </c>
      <c r="EC315" s="134" t="s">
        <v>24</v>
      </c>
      <c r="ED315" s="138" t="s">
        <v>24</v>
      </c>
      <c r="EE315" s="134" t="s">
        <v>24</v>
      </c>
      <c r="EF315" s="134" t="s">
        <v>24</v>
      </c>
      <c r="EG315" s="134" t="s">
        <v>24</v>
      </c>
      <c r="EH315" s="301"/>
      <c r="EI315" s="301"/>
      <c r="EJ315" s="277"/>
      <c r="EK315" s="134" t="s">
        <v>24</v>
      </c>
      <c r="EL315" s="134" t="s">
        <v>24</v>
      </c>
      <c r="EM315" s="134" t="s">
        <v>24</v>
      </c>
      <c r="EN315" s="134" t="s">
        <v>24</v>
      </c>
      <c r="EO315" s="138" t="s">
        <v>24</v>
      </c>
      <c r="EP315" s="134" t="s">
        <v>24</v>
      </c>
      <c r="EQ315" s="134" t="s">
        <v>24</v>
      </c>
      <c r="ER315" s="134" t="s">
        <v>24</v>
      </c>
      <c r="ES315" s="301"/>
      <c r="ET315" s="301"/>
      <c r="EU315" s="134" t="s">
        <v>24</v>
      </c>
      <c r="EV315" s="134" t="s">
        <v>24</v>
      </c>
      <c r="EW315" s="134" t="s">
        <v>24</v>
      </c>
      <c r="EX315" s="134" t="s">
        <v>24</v>
      </c>
      <c r="EY315" s="138" t="s">
        <v>24</v>
      </c>
      <c r="EZ315" s="134" t="s">
        <v>24</v>
      </c>
      <c r="FA315" s="134" t="s">
        <v>24</v>
      </c>
      <c r="FB315" s="134" t="s">
        <v>24</v>
      </c>
      <c r="FC315" s="135"/>
      <c r="FD315" s="135"/>
      <c r="FE315" s="134" t="s">
        <v>24</v>
      </c>
      <c r="FF315" s="134" t="s">
        <v>24</v>
      </c>
      <c r="FG315" s="134" t="s">
        <v>24</v>
      </c>
      <c r="FH315" s="134" t="s">
        <v>24</v>
      </c>
      <c r="FI315" s="138" t="s">
        <v>24</v>
      </c>
      <c r="FJ315" s="134" t="s">
        <v>24</v>
      </c>
      <c r="FK315" s="134" t="s">
        <v>24</v>
      </c>
      <c r="FL315" s="134" t="s">
        <v>24</v>
      </c>
      <c r="FM315" s="135"/>
      <c r="FN315" s="135"/>
      <c r="FO315" s="134"/>
      <c r="FP315" s="134"/>
      <c r="FQ315" s="134"/>
      <c r="FR315" s="134"/>
      <c r="FS315" s="134"/>
      <c r="FT315" s="134"/>
      <c r="FU315" s="134"/>
      <c r="FV315" s="134"/>
      <c r="FW315" s="135"/>
      <c r="FX315" s="135"/>
      <c r="FY315" s="134"/>
      <c r="FZ315" s="134"/>
      <c r="GA315" s="134"/>
      <c r="GB315" s="134"/>
      <c r="GC315" s="134"/>
      <c r="GD315" s="134"/>
      <c r="GE315" s="134"/>
      <c r="GF315" s="134"/>
      <c r="GG315" s="135"/>
      <c r="GH315" s="135"/>
      <c r="GI315" s="134"/>
      <c r="GJ315" s="134"/>
      <c r="GK315" s="134"/>
      <c r="GL315" s="134"/>
      <c r="GM315" s="134"/>
      <c r="GN315" s="134"/>
      <c r="GO315" s="134"/>
      <c r="GP315" s="134"/>
      <c r="GQ315" s="135"/>
      <c r="GR315" s="135"/>
      <c r="GS315" s="134"/>
      <c r="GT315" s="134"/>
      <c r="GU315" s="134"/>
      <c r="GV315" s="134"/>
      <c r="GW315" s="134"/>
      <c r="GX315" s="134"/>
      <c r="GY315" s="134"/>
      <c r="GZ315" s="134"/>
      <c r="HA315" s="135"/>
      <c r="HB315" s="135"/>
      <c r="HC315" s="134"/>
      <c r="HD315" s="134"/>
      <c r="HE315" s="134"/>
      <c r="HF315" s="134"/>
      <c r="HG315" s="134"/>
      <c r="HH315" s="134"/>
      <c r="HI315" s="134"/>
      <c r="HJ315" s="134"/>
      <c r="HK315" s="135"/>
      <c r="HL315" s="135"/>
      <c r="HM315" s="134"/>
      <c r="HN315" s="134"/>
      <c r="HO315" s="134"/>
      <c r="HP315" s="134"/>
      <c r="HQ315" s="134"/>
      <c r="HR315" s="134"/>
      <c r="HS315" s="134"/>
      <c r="HT315" s="134"/>
      <c r="HU315" s="135"/>
      <c r="HV315" s="135"/>
      <c r="HW315" s="134"/>
      <c r="HX315" s="134"/>
      <c r="HY315" s="134"/>
      <c r="HZ315" s="134"/>
      <c r="IA315" s="134"/>
      <c r="IB315" s="134"/>
      <c r="IC315" s="134"/>
      <c r="ID315" s="134"/>
      <c r="IE315" s="135"/>
      <c r="IF315" s="135"/>
      <c r="IG315" s="134"/>
      <c r="IH315" s="134"/>
      <c r="II315" s="134"/>
      <c r="IJ315" s="134"/>
      <c r="IK315" s="134"/>
      <c r="IL315" s="134"/>
      <c r="IM315" s="134"/>
      <c r="IN315" s="134"/>
      <c r="IO315" s="135"/>
      <c r="IP315" s="135"/>
      <c r="IQ315" s="134"/>
      <c r="IR315" s="134"/>
      <c r="IS315" s="134"/>
      <c r="IT315" s="134"/>
      <c r="IU315" s="134"/>
      <c r="IV315" s="134"/>
      <c r="IW315" s="134"/>
      <c r="IX315" s="134"/>
      <c r="IY315" s="135"/>
      <c r="IZ315" s="135"/>
    </row>
    <row r="316" spans="1:260" customFormat="1" ht="17" customHeight="1">
      <c r="A316" s="118" t="s">
        <v>279</v>
      </c>
      <c r="B316" s="381">
        <v>199</v>
      </c>
      <c r="C316" s="381">
        <v>69</v>
      </c>
      <c r="D316" s="381"/>
      <c r="E316" s="139" t="s">
        <v>2009</v>
      </c>
      <c r="F316" s="140" t="s">
        <v>2240</v>
      </c>
      <c r="G316" s="141">
        <v>2009</v>
      </c>
      <c r="H316" s="118">
        <v>19703319</v>
      </c>
      <c r="I316" s="118">
        <v>1</v>
      </c>
      <c r="J316" s="118"/>
      <c r="K316" s="118"/>
      <c r="L316" s="118">
        <v>1</v>
      </c>
      <c r="M316" s="118"/>
      <c r="N316" s="118">
        <v>1</v>
      </c>
      <c r="O316" s="142">
        <v>1</v>
      </c>
      <c r="P316" s="118" t="s">
        <v>733</v>
      </c>
      <c r="Q316" s="118" t="s">
        <v>1147</v>
      </c>
      <c r="R316" s="118" t="s">
        <v>25</v>
      </c>
      <c r="S316" s="118">
        <v>1</v>
      </c>
      <c r="T316" s="118"/>
      <c r="U316" s="118"/>
      <c r="V316" s="118"/>
      <c r="W316" s="118" t="s">
        <v>732</v>
      </c>
      <c r="X316" s="118"/>
      <c r="Y316" s="118"/>
      <c r="Z316" s="118"/>
      <c r="AA316" s="118"/>
      <c r="AB316" s="118" t="s">
        <v>734</v>
      </c>
      <c r="AC316" s="145"/>
      <c r="AD316" s="573">
        <v>1</v>
      </c>
      <c r="AE316" s="573">
        <v>2</v>
      </c>
      <c r="AF316" s="159">
        <v>1</v>
      </c>
      <c r="AG316" s="160" t="s">
        <v>5335</v>
      </c>
      <c r="AH316" s="122">
        <v>2</v>
      </c>
      <c r="AI316" s="485"/>
      <c r="AJ316" s="204" t="s">
        <v>5393</v>
      </c>
      <c r="AK316" s="192">
        <v>1</v>
      </c>
      <c r="AL316" s="205" t="s">
        <v>24</v>
      </c>
      <c r="AM316" s="122">
        <v>47</v>
      </c>
      <c r="AN316" s="122">
        <v>25</v>
      </c>
      <c r="AO316" s="122">
        <v>22</v>
      </c>
      <c r="AP316" s="122" t="s">
        <v>803</v>
      </c>
      <c r="AQ316" s="122" t="s">
        <v>803</v>
      </c>
      <c r="AR316" s="122" t="s">
        <v>5331</v>
      </c>
      <c r="AS316" s="122" t="s">
        <v>5332</v>
      </c>
      <c r="AT316" s="122" t="s">
        <v>5333</v>
      </c>
      <c r="AU316" s="122" t="s">
        <v>5334</v>
      </c>
      <c r="AV316" s="122" t="s">
        <v>4249</v>
      </c>
      <c r="AW316" s="122" t="s">
        <v>24</v>
      </c>
      <c r="AX316" s="122" t="s">
        <v>24</v>
      </c>
      <c r="AY316" s="122" t="s">
        <v>2423</v>
      </c>
      <c r="AZ316" s="122" t="s">
        <v>3835</v>
      </c>
      <c r="BA316" s="122" t="s">
        <v>4521</v>
      </c>
      <c r="BB316" s="122"/>
      <c r="BC316" s="122"/>
      <c r="BD316" s="161"/>
      <c r="BE316" s="161"/>
      <c r="BF316" s="161"/>
      <c r="BG316" s="161"/>
      <c r="BH316" s="161"/>
      <c r="BI316" s="161"/>
      <c r="BJ316" s="161">
        <v>1</v>
      </c>
      <c r="BK316" s="161"/>
      <c r="BL316" s="161" t="s">
        <v>4727</v>
      </c>
      <c r="BM316" s="161"/>
      <c r="BN316" s="161" t="s">
        <v>4727</v>
      </c>
      <c r="BO316" s="161"/>
      <c r="BP316" s="161"/>
      <c r="BQ316" s="162" t="s">
        <v>5337</v>
      </c>
      <c r="BR316" s="150" t="s">
        <v>1876</v>
      </c>
      <c r="BS316" s="150">
        <v>2</v>
      </c>
      <c r="BT316" s="150" t="s">
        <v>5338</v>
      </c>
      <c r="BU316" s="150" t="s">
        <v>24</v>
      </c>
      <c r="BV316" s="150" t="s">
        <v>5339</v>
      </c>
      <c r="BW316" s="258" t="s">
        <v>5391</v>
      </c>
      <c r="BX316" s="151" t="s">
        <v>5358</v>
      </c>
      <c r="BY316" s="150">
        <v>36.770000000000003</v>
      </c>
      <c r="BZ316" s="150">
        <v>4.7</v>
      </c>
      <c r="CA316" s="150" t="s">
        <v>24</v>
      </c>
      <c r="CB316" s="151" t="s">
        <v>5359</v>
      </c>
      <c r="CC316" s="150">
        <v>36.64</v>
      </c>
      <c r="CD316" s="150">
        <v>4.5999999999999996</v>
      </c>
      <c r="CE316" s="150" t="s">
        <v>24</v>
      </c>
      <c r="CF316" s="290" t="s">
        <v>5374</v>
      </c>
      <c r="CG316" s="291" t="s">
        <v>5375</v>
      </c>
      <c r="CH316" s="151" t="s">
        <v>5360</v>
      </c>
      <c r="CI316" s="150">
        <v>35.96</v>
      </c>
      <c r="CJ316" s="150">
        <v>4.4000000000000004</v>
      </c>
      <c r="CK316" s="150" t="s">
        <v>24</v>
      </c>
      <c r="CL316" s="151" t="s">
        <v>5361</v>
      </c>
      <c r="CM316" s="150">
        <v>37.729999999999997</v>
      </c>
      <c r="CN316" s="150">
        <v>5</v>
      </c>
      <c r="CO316" s="150" t="s">
        <v>24</v>
      </c>
      <c r="CP316" s="290" t="s">
        <v>5376</v>
      </c>
      <c r="CQ316" s="291" t="s">
        <v>5377</v>
      </c>
      <c r="CR316" s="278" t="s">
        <v>5378</v>
      </c>
      <c r="CS316" s="285" t="s">
        <v>5354</v>
      </c>
      <c r="CT316" s="429" t="s">
        <v>5362</v>
      </c>
      <c r="CU316" s="429">
        <v>36.85</v>
      </c>
      <c r="CV316" s="145">
        <v>3.7</v>
      </c>
      <c r="CW316" s="145" t="s">
        <v>24</v>
      </c>
      <c r="CX316" s="429" t="s">
        <v>5363</v>
      </c>
      <c r="CY316" s="150">
        <v>37.32</v>
      </c>
      <c r="CZ316" s="150">
        <v>4.9000000000000004</v>
      </c>
      <c r="DA316" s="150" t="s">
        <v>24</v>
      </c>
      <c r="DB316" s="302" t="s">
        <v>5379</v>
      </c>
      <c r="DC316" s="303" t="s">
        <v>5380</v>
      </c>
      <c r="DD316" s="429" t="s">
        <v>5364</v>
      </c>
      <c r="DE316" s="429">
        <v>34.770000000000003</v>
      </c>
      <c r="DF316" s="145">
        <v>4.2</v>
      </c>
      <c r="DG316" s="145" t="s">
        <v>24</v>
      </c>
      <c r="DH316" s="429" t="s">
        <v>5365</v>
      </c>
      <c r="DI316" s="150">
        <v>38.86</v>
      </c>
      <c r="DJ316" s="150">
        <v>5.5</v>
      </c>
      <c r="DK316" s="150" t="s">
        <v>24</v>
      </c>
      <c r="DL316" s="302" t="s">
        <v>5383</v>
      </c>
      <c r="DM316" s="303" t="s">
        <v>5384</v>
      </c>
      <c r="DN316" s="278" t="s">
        <v>5385</v>
      </c>
      <c r="DO316" s="279" t="s">
        <v>24</v>
      </c>
      <c r="DP316" s="150" t="s">
        <v>5366</v>
      </c>
      <c r="DQ316" s="150">
        <v>41.08</v>
      </c>
      <c r="DR316" s="150">
        <v>11.4</v>
      </c>
      <c r="DS316" s="150" t="s">
        <v>24</v>
      </c>
      <c r="DT316" s="150" t="s">
        <v>5367</v>
      </c>
      <c r="DU316" s="150">
        <v>37.479999999999997</v>
      </c>
      <c r="DV316" s="150">
        <v>12.3</v>
      </c>
      <c r="DW316" s="150" t="s">
        <v>24</v>
      </c>
      <c r="DX316" s="303" t="s">
        <v>5379</v>
      </c>
      <c r="DY316" s="303" t="s">
        <v>5386</v>
      </c>
      <c r="DZ316" s="150" t="s">
        <v>5368</v>
      </c>
      <c r="EA316" s="150">
        <v>36.04</v>
      </c>
      <c r="EB316" s="150">
        <v>12.6</v>
      </c>
      <c r="EC316" s="150" t="s">
        <v>24</v>
      </c>
      <c r="ED316" s="150" t="s">
        <v>5369</v>
      </c>
      <c r="EE316" s="150">
        <v>33.86</v>
      </c>
      <c r="EF316" s="150">
        <v>10.8</v>
      </c>
      <c r="EG316" s="150" t="s">
        <v>24</v>
      </c>
      <c r="EH316" s="303" t="s">
        <v>5379</v>
      </c>
      <c r="EI316" s="303" t="s">
        <v>5387</v>
      </c>
      <c r="EJ316" s="279" t="s">
        <v>5388</v>
      </c>
      <c r="EK316" s="150" t="s">
        <v>5372</v>
      </c>
      <c r="EL316" s="150">
        <v>43.04</v>
      </c>
      <c r="EM316" s="150">
        <v>10.199999999999999</v>
      </c>
      <c r="EN316" s="150" t="s">
        <v>24</v>
      </c>
      <c r="EO316" s="150" t="s">
        <v>5373</v>
      </c>
      <c r="EP316" s="150">
        <v>37.36</v>
      </c>
      <c r="EQ316" s="150">
        <v>11.7</v>
      </c>
      <c r="ER316" s="150" t="s">
        <v>24</v>
      </c>
      <c r="ES316" s="303" t="s">
        <v>5379</v>
      </c>
      <c r="ET316" s="303" t="s">
        <v>5389</v>
      </c>
      <c r="EU316" s="150" t="s">
        <v>5370</v>
      </c>
      <c r="EV316" s="150">
        <v>35.4</v>
      </c>
      <c r="EW316" s="150">
        <v>13.9</v>
      </c>
      <c r="EX316" s="150" t="s">
        <v>24</v>
      </c>
      <c r="EY316" s="150" t="s">
        <v>5371</v>
      </c>
      <c r="EZ316" s="150">
        <v>31.91</v>
      </c>
      <c r="FA316" s="150">
        <v>11.2</v>
      </c>
      <c r="FB316" s="150" t="s">
        <v>24</v>
      </c>
      <c r="FC316" s="152" t="s">
        <v>3229</v>
      </c>
      <c r="FD316" s="152" t="s">
        <v>5390</v>
      </c>
      <c r="FE316" s="150" t="s">
        <v>24</v>
      </c>
      <c r="FF316" s="150" t="s">
        <v>24</v>
      </c>
      <c r="FG316" s="150" t="s">
        <v>24</v>
      </c>
      <c r="FH316" s="150" t="s">
        <v>24</v>
      </c>
      <c r="FI316" s="151" t="s">
        <v>24</v>
      </c>
      <c r="FJ316" s="150" t="s">
        <v>24</v>
      </c>
      <c r="FK316" s="150" t="s">
        <v>24</v>
      </c>
      <c r="FL316" s="150" t="s">
        <v>24</v>
      </c>
      <c r="FM316" s="152"/>
      <c r="FN316" s="152"/>
      <c r="FO316" s="150"/>
      <c r="FP316" s="150"/>
      <c r="FQ316" s="150"/>
      <c r="FR316" s="150"/>
      <c r="FS316" s="150"/>
      <c r="FT316" s="150"/>
      <c r="FU316" s="150"/>
      <c r="FV316" s="150"/>
      <c r="FW316" s="152"/>
      <c r="FX316" s="152"/>
      <c r="FY316" s="150"/>
      <c r="FZ316" s="150"/>
      <c r="GA316" s="150"/>
      <c r="GB316" s="150"/>
      <c r="GC316" s="150"/>
      <c r="GD316" s="150"/>
      <c r="GE316" s="150"/>
      <c r="GF316" s="150"/>
      <c r="GG316" s="152"/>
      <c r="GH316" s="152"/>
      <c r="GI316" s="150"/>
      <c r="GJ316" s="150"/>
      <c r="GK316" s="150"/>
      <c r="GL316" s="150"/>
      <c r="GM316" s="150"/>
      <c r="GN316" s="150"/>
      <c r="GO316" s="150"/>
      <c r="GP316" s="150"/>
      <c r="GQ316" s="152"/>
      <c r="GR316" s="152"/>
      <c r="GS316" s="134"/>
      <c r="GT316" s="134"/>
      <c r="GU316" s="134"/>
      <c r="GV316" s="134"/>
      <c r="GW316" s="134"/>
      <c r="GX316" s="134"/>
      <c r="GY316" s="134"/>
      <c r="GZ316" s="134"/>
      <c r="HA316" s="135"/>
      <c r="HB316" s="135"/>
      <c r="HC316" s="134"/>
      <c r="HD316" s="134"/>
      <c r="HE316" s="134"/>
      <c r="HF316" s="134"/>
      <c r="HG316" s="134"/>
      <c r="HH316" s="134"/>
      <c r="HI316" s="134"/>
      <c r="HJ316" s="134"/>
      <c r="HK316" s="135"/>
      <c r="HL316" s="135"/>
      <c r="HM316" s="134"/>
      <c r="HN316" s="134"/>
      <c r="HO316" s="134"/>
      <c r="HP316" s="134"/>
      <c r="HQ316" s="134"/>
      <c r="HR316" s="134"/>
      <c r="HS316" s="134"/>
      <c r="HT316" s="134"/>
      <c r="HU316" s="135"/>
      <c r="HV316" s="135"/>
      <c r="HW316" s="134"/>
      <c r="HX316" s="134"/>
      <c r="HY316" s="134"/>
      <c r="HZ316" s="134"/>
      <c r="IA316" s="134"/>
      <c r="IB316" s="134"/>
      <c r="IC316" s="134"/>
      <c r="ID316" s="134"/>
      <c r="IE316" s="135"/>
      <c r="IF316" s="135"/>
      <c r="IG316" s="134"/>
      <c r="IH316" s="134"/>
      <c r="II316" s="134"/>
      <c r="IJ316" s="134"/>
      <c r="IK316" s="134"/>
      <c r="IL316" s="134"/>
      <c r="IM316" s="134"/>
      <c r="IN316" s="134"/>
      <c r="IO316" s="135"/>
      <c r="IP316" s="135"/>
      <c r="IQ316" s="134"/>
      <c r="IR316" s="134"/>
      <c r="IS316" s="134"/>
      <c r="IT316" s="134"/>
      <c r="IU316" s="134"/>
      <c r="IV316" s="134"/>
      <c r="IW316" s="134"/>
      <c r="IX316" s="134"/>
      <c r="IY316" s="135"/>
      <c r="IZ316" s="135"/>
    </row>
    <row r="317" spans="1:260" customFormat="1" ht="17" customHeight="1">
      <c r="A317" s="79" t="s">
        <v>280</v>
      </c>
      <c r="B317" s="458">
        <v>200</v>
      </c>
      <c r="C317" s="458">
        <v>70</v>
      </c>
      <c r="D317" s="458"/>
      <c r="E317" s="180" t="s">
        <v>2009</v>
      </c>
      <c r="F317" s="181" t="s">
        <v>2241</v>
      </c>
      <c r="G317" s="182">
        <v>2006</v>
      </c>
      <c r="H317" s="79">
        <v>17100516</v>
      </c>
      <c r="I317" s="79">
        <v>1</v>
      </c>
      <c r="J317" s="79"/>
      <c r="K317" s="79"/>
      <c r="L317" s="79">
        <v>1</v>
      </c>
      <c r="M317" s="79"/>
      <c r="N317" s="79">
        <v>1</v>
      </c>
      <c r="O317" s="128">
        <v>1</v>
      </c>
      <c r="P317" s="79" t="s">
        <v>735</v>
      </c>
      <c r="Q317" s="79" t="s">
        <v>1154</v>
      </c>
      <c r="R317" s="79" t="s">
        <v>736</v>
      </c>
      <c r="S317" s="79">
        <v>1</v>
      </c>
      <c r="T317" s="79"/>
      <c r="U317" s="79"/>
      <c r="V317" s="79"/>
      <c r="W317" s="79" t="s">
        <v>492</v>
      </c>
      <c r="X317" s="79" t="s">
        <v>24</v>
      </c>
      <c r="Y317" s="79" t="s">
        <v>24</v>
      </c>
      <c r="Z317" s="79" t="s">
        <v>737</v>
      </c>
      <c r="AA317" s="79"/>
      <c r="AB317" s="79"/>
      <c r="AC317" s="506"/>
      <c r="AD317" s="573">
        <v>1</v>
      </c>
      <c r="AE317" s="573">
        <v>2</v>
      </c>
      <c r="AF317" s="352">
        <v>1</v>
      </c>
      <c r="AG317" s="353"/>
      <c r="AH317" s="346">
        <v>2</v>
      </c>
      <c r="AI317" s="487" t="s">
        <v>5426</v>
      </c>
      <c r="AJ317" s="459" t="s">
        <v>5394</v>
      </c>
      <c r="AK317" s="348">
        <v>1</v>
      </c>
      <c r="AL317" s="349" t="s">
        <v>24</v>
      </c>
      <c r="AM317" s="346">
        <f>Table665[[#This Row],[Subjects_n_ptsd]]+Table665[[#This Row],[Subjects_n_control]]</f>
        <v>68</v>
      </c>
      <c r="AN317" s="346">
        <v>37</v>
      </c>
      <c r="AO317" s="346">
        <v>31</v>
      </c>
      <c r="AP317" s="346" t="s">
        <v>5395</v>
      </c>
      <c r="AQ317" s="346" t="s">
        <v>5395</v>
      </c>
      <c r="AR317" s="346">
        <v>47.89</v>
      </c>
      <c r="AS317" s="346">
        <v>9.4</v>
      </c>
      <c r="AT317" s="346">
        <v>46.42</v>
      </c>
      <c r="AU317" s="346">
        <v>9.6</v>
      </c>
      <c r="AV317" s="346" t="s">
        <v>5414</v>
      </c>
      <c r="AW317" s="346" t="s">
        <v>24</v>
      </c>
      <c r="AX317" s="346" t="s">
        <v>24</v>
      </c>
      <c r="AY317" s="346" t="s">
        <v>2423</v>
      </c>
      <c r="AZ317" s="346" t="s">
        <v>3835</v>
      </c>
      <c r="BA317" s="346" t="s">
        <v>5209</v>
      </c>
      <c r="BB317" s="346"/>
      <c r="BC317" s="346"/>
      <c r="BD317" s="184"/>
      <c r="BE317" s="184"/>
      <c r="BF317" s="184" t="s">
        <v>4727</v>
      </c>
      <c r="BG317" s="184"/>
      <c r="BH317" s="184"/>
      <c r="BI317" s="184" t="s">
        <v>4727</v>
      </c>
      <c r="BJ317" s="184">
        <v>1</v>
      </c>
      <c r="BK317" s="184"/>
      <c r="BL317" s="184" t="s">
        <v>4727</v>
      </c>
      <c r="BM317" s="184"/>
      <c r="BN317" s="184" t="s">
        <v>4727</v>
      </c>
      <c r="BO317" s="184"/>
      <c r="BP317" s="184"/>
      <c r="BQ317" s="185" t="s">
        <v>5398</v>
      </c>
      <c r="BR317" s="186" t="s">
        <v>1876</v>
      </c>
      <c r="BS317" s="186" t="s">
        <v>5396</v>
      </c>
      <c r="BT317" s="186" t="s">
        <v>5397</v>
      </c>
      <c r="BU317" s="186" t="s">
        <v>24</v>
      </c>
      <c r="BV317" s="186" t="s">
        <v>5401</v>
      </c>
      <c r="BW317" s="261" t="s">
        <v>5430</v>
      </c>
      <c r="BX317" s="267" t="s">
        <v>5402</v>
      </c>
      <c r="BY317" s="186">
        <v>46.49</v>
      </c>
      <c r="BZ317" s="186">
        <v>10.199999999999999</v>
      </c>
      <c r="CA317" s="186" t="s">
        <v>24</v>
      </c>
      <c r="CB317" s="267" t="s">
        <v>5403</v>
      </c>
      <c r="CC317" s="186">
        <v>52.26</v>
      </c>
      <c r="CD317" s="186">
        <v>9.36</v>
      </c>
      <c r="CE317" s="186" t="s">
        <v>24</v>
      </c>
      <c r="CF317" s="294" t="s">
        <v>5415</v>
      </c>
      <c r="CG317" s="295" t="s">
        <v>5416</v>
      </c>
      <c r="CH317" s="267" t="s">
        <v>5404</v>
      </c>
      <c r="CI317" s="186">
        <v>5.84</v>
      </c>
      <c r="CJ317" s="186">
        <v>1.89</v>
      </c>
      <c r="CK317" s="186" t="s">
        <v>24</v>
      </c>
      <c r="CL317" s="267" t="s">
        <v>5405</v>
      </c>
      <c r="CM317" s="186">
        <v>7.55</v>
      </c>
      <c r="CN317" s="186">
        <v>1.82</v>
      </c>
      <c r="CO317" s="186" t="s">
        <v>24</v>
      </c>
      <c r="CP317" s="294" t="s">
        <v>5417</v>
      </c>
      <c r="CQ317" s="295" t="s">
        <v>5418</v>
      </c>
      <c r="CR317" s="280" t="s">
        <v>5419</v>
      </c>
      <c r="CS317" s="310" t="s">
        <v>5420</v>
      </c>
      <c r="CT317" s="267" t="s">
        <v>5406</v>
      </c>
      <c r="CU317" s="186">
        <v>10.92</v>
      </c>
      <c r="CV317" s="186">
        <v>2.63</v>
      </c>
      <c r="CW317" s="186" t="s">
        <v>24</v>
      </c>
      <c r="CX317" s="267" t="s">
        <v>5407</v>
      </c>
      <c r="CY317" s="186">
        <v>11.1</v>
      </c>
      <c r="CZ317" s="186">
        <v>2.84</v>
      </c>
      <c r="DA317" s="186" t="s">
        <v>24</v>
      </c>
      <c r="DB317" s="305" t="s">
        <v>5421</v>
      </c>
      <c r="DC317" s="315" t="s">
        <v>5422</v>
      </c>
      <c r="DD317" s="186" t="s">
        <v>5408</v>
      </c>
      <c r="DE317" s="186">
        <v>45.34</v>
      </c>
      <c r="DF317" s="186">
        <v>10.199999999999999</v>
      </c>
      <c r="DG317" s="186" t="s">
        <v>24</v>
      </c>
      <c r="DH317" s="186" t="s">
        <v>5409</v>
      </c>
      <c r="DI317" s="186">
        <v>49.68</v>
      </c>
      <c r="DJ317" s="186">
        <v>8</v>
      </c>
      <c r="DK317" s="186" t="s">
        <v>24</v>
      </c>
      <c r="DL317" s="305" t="s">
        <v>5423</v>
      </c>
      <c r="DM317" s="315" t="s">
        <v>5424</v>
      </c>
      <c r="DN317" s="280" t="s">
        <v>24</v>
      </c>
      <c r="DO317" s="281" t="s">
        <v>24</v>
      </c>
      <c r="DP317" s="186" t="s">
        <v>5410</v>
      </c>
      <c r="DQ317" s="186">
        <v>27.91</v>
      </c>
      <c r="DR317" s="186">
        <v>7.73</v>
      </c>
      <c r="DS317" s="186" t="s">
        <v>24</v>
      </c>
      <c r="DT317" s="186" t="s">
        <v>5411</v>
      </c>
      <c r="DU317" s="186">
        <v>32.81</v>
      </c>
      <c r="DV317" s="186">
        <v>5.77</v>
      </c>
      <c r="DW317" s="186"/>
      <c r="DX317" s="315" t="s">
        <v>5379</v>
      </c>
      <c r="DY317" s="315" t="s">
        <v>5425</v>
      </c>
      <c r="DZ317" s="186" t="s">
        <v>5412</v>
      </c>
      <c r="EA317" s="186">
        <v>85.16</v>
      </c>
      <c r="EB317" s="186">
        <v>10.3</v>
      </c>
      <c r="EC317" s="186"/>
      <c r="ED317" s="186" t="s">
        <v>5413</v>
      </c>
      <c r="EE317" s="186">
        <v>91.35</v>
      </c>
      <c r="EF317" s="186">
        <v>6.5</v>
      </c>
      <c r="EG317" s="186" t="s">
        <v>24</v>
      </c>
      <c r="EH317" s="315" t="s">
        <v>5379</v>
      </c>
      <c r="EI317" s="315" t="s">
        <v>5428</v>
      </c>
      <c r="EJ317" s="281" t="s">
        <v>5429</v>
      </c>
      <c r="EK317" s="186" t="s">
        <v>24</v>
      </c>
      <c r="EL317" s="186" t="s">
        <v>24</v>
      </c>
      <c r="EM317" s="186" t="s">
        <v>24</v>
      </c>
      <c r="EN317" s="186" t="s">
        <v>24</v>
      </c>
      <c r="EO317" s="186" t="s">
        <v>24</v>
      </c>
      <c r="EP317" s="186" t="s">
        <v>24</v>
      </c>
      <c r="EQ317" s="186" t="s">
        <v>24</v>
      </c>
      <c r="ER317" s="186" t="s">
        <v>24</v>
      </c>
      <c r="ES317" s="315"/>
      <c r="ET317" s="315"/>
      <c r="EU317" s="186"/>
      <c r="EV317" s="186"/>
      <c r="EW317" s="186"/>
      <c r="EX317" s="186"/>
      <c r="EY317" s="186"/>
      <c r="EZ317" s="186"/>
      <c r="FA317" s="186"/>
      <c r="FB317" s="186"/>
      <c r="FC317" s="187"/>
      <c r="FD317" s="187"/>
      <c r="FE317" s="186"/>
      <c r="FF317" s="186"/>
      <c r="FG317" s="186"/>
      <c r="FH317" s="186"/>
      <c r="FI317" s="186"/>
      <c r="FJ317" s="186"/>
      <c r="FK317" s="186"/>
      <c r="FL317" s="186"/>
      <c r="FM317" s="187"/>
      <c r="FN317" s="187"/>
      <c r="FO317" s="186"/>
      <c r="FP317" s="186"/>
      <c r="FQ317" s="186"/>
      <c r="FR317" s="186"/>
      <c r="FS317" s="186"/>
      <c r="FT317" s="186"/>
      <c r="FU317" s="186"/>
      <c r="FV317" s="186"/>
      <c r="FW317" s="187"/>
      <c r="FX317" s="187"/>
      <c r="FY317" s="186"/>
      <c r="FZ317" s="186"/>
      <c r="GA317" s="186"/>
      <c r="GB317" s="186"/>
      <c r="GC317" s="186"/>
      <c r="GD317" s="186"/>
      <c r="GE317" s="186"/>
      <c r="GF317" s="186"/>
      <c r="GG317" s="187"/>
      <c r="GH317" s="187"/>
      <c r="GI317" s="186"/>
      <c r="GJ317" s="186"/>
      <c r="GK317" s="186"/>
      <c r="GL317" s="186"/>
      <c r="GM317" s="186"/>
      <c r="GN317" s="186"/>
      <c r="GO317" s="186"/>
      <c r="GP317" s="186"/>
      <c r="GQ317" s="187"/>
      <c r="GR317" s="187"/>
      <c r="GS317" s="134"/>
      <c r="GT317" s="134"/>
      <c r="GU317" s="134"/>
      <c r="GV317" s="134"/>
      <c r="GW317" s="134"/>
      <c r="GX317" s="134"/>
      <c r="GY317" s="134"/>
      <c r="GZ317" s="134"/>
      <c r="HA317" s="135"/>
      <c r="HB317" s="135"/>
      <c r="HC317" s="134"/>
      <c r="HD317" s="134"/>
      <c r="HE317" s="134"/>
      <c r="HF317" s="134"/>
      <c r="HG317" s="134"/>
      <c r="HH317" s="134"/>
      <c r="HI317" s="134"/>
      <c r="HJ317" s="134"/>
      <c r="HK317" s="135"/>
      <c r="HL317" s="135"/>
      <c r="HM317" s="134"/>
      <c r="HN317" s="134"/>
      <c r="HO317" s="134"/>
      <c r="HP317" s="134"/>
      <c r="HQ317" s="134"/>
      <c r="HR317" s="134"/>
      <c r="HS317" s="134"/>
      <c r="HT317" s="134"/>
      <c r="HU317" s="135"/>
      <c r="HV317" s="135"/>
      <c r="HW317" s="134"/>
      <c r="HX317" s="134"/>
      <c r="HY317" s="134"/>
      <c r="HZ317" s="134"/>
      <c r="IA317" s="134"/>
      <c r="IB317" s="134"/>
      <c r="IC317" s="134"/>
      <c r="ID317" s="134"/>
      <c r="IE317" s="135"/>
      <c r="IF317" s="135"/>
      <c r="IG317" s="134"/>
      <c r="IH317" s="134"/>
      <c r="II317" s="134"/>
      <c r="IJ317" s="134"/>
      <c r="IK317" s="134"/>
      <c r="IL317" s="134"/>
      <c r="IM317" s="134"/>
      <c r="IN317" s="134"/>
      <c r="IO317" s="135"/>
      <c r="IP317" s="135"/>
      <c r="IQ317" s="134"/>
      <c r="IR317" s="134"/>
      <c r="IS317" s="134"/>
      <c r="IT317" s="134"/>
      <c r="IU317" s="134"/>
      <c r="IV317" s="134"/>
      <c r="IW317" s="134"/>
      <c r="IX317" s="134"/>
      <c r="IY317" s="135"/>
      <c r="IZ317" s="135"/>
    </row>
    <row r="318" spans="1:260" customFormat="1" ht="17" customHeight="1">
      <c r="A318" s="118" t="s">
        <v>280</v>
      </c>
      <c r="B318" s="381">
        <v>200</v>
      </c>
      <c r="C318" s="381">
        <v>70</v>
      </c>
      <c r="D318" s="381"/>
      <c r="E318" s="139" t="s">
        <v>2009</v>
      </c>
      <c r="F318" s="140" t="s">
        <v>2241</v>
      </c>
      <c r="G318" s="141">
        <v>2006</v>
      </c>
      <c r="H318" s="118">
        <v>17100516</v>
      </c>
      <c r="I318" s="118">
        <v>1</v>
      </c>
      <c r="J318" s="118"/>
      <c r="K318" s="118"/>
      <c r="L318" s="118">
        <v>1</v>
      </c>
      <c r="M318" s="118"/>
      <c r="N318" s="118">
        <v>1</v>
      </c>
      <c r="O318" s="142">
        <v>1</v>
      </c>
      <c r="P318" s="118" t="s">
        <v>735</v>
      </c>
      <c r="Q318" s="118" t="s">
        <v>1154</v>
      </c>
      <c r="R318" s="118" t="s">
        <v>736</v>
      </c>
      <c r="S318" s="118">
        <v>1</v>
      </c>
      <c r="T318" s="118"/>
      <c r="U318" s="118"/>
      <c r="V318" s="118"/>
      <c r="W318" s="118" t="s">
        <v>492</v>
      </c>
      <c r="X318" s="118" t="s">
        <v>24</v>
      </c>
      <c r="Y318" s="118" t="s">
        <v>24</v>
      </c>
      <c r="Z318" s="118" t="s">
        <v>737</v>
      </c>
      <c r="AA318" s="118"/>
      <c r="AB318" s="118"/>
      <c r="AC318" s="145"/>
      <c r="AD318" s="573">
        <v>1</v>
      </c>
      <c r="AE318" s="573">
        <v>2</v>
      </c>
      <c r="AF318" s="159">
        <v>1</v>
      </c>
      <c r="AG318" s="160"/>
      <c r="AH318" s="122">
        <v>2</v>
      </c>
      <c r="AI318" s="485" t="s">
        <v>5427</v>
      </c>
      <c r="AJ318" s="204" t="s">
        <v>5394</v>
      </c>
      <c r="AK318" s="192">
        <v>1</v>
      </c>
      <c r="AL318" s="205" t="s">
        <v>24</v>
      </c>
      <c r="AM318" s="122">
        <f>Table665[[#This Row],[Subjects_n_ptsd]]+Table665[[#This Row],[Subjects_n_control]]</f>
        <v>68</v>
      </c>
      <c r="AN318" s="122">
        <v>37</v>
      </c>
      <c r="AO318" s="122">
        <v>31</v>
      </c>
      <c r="AP318" s="122" t="s">
        <v>5395</v>
      </c>
      <c r="AQ318" s="122" t="s">
        <v>5395</v>
      </c>
      <c r="AR318" s="122">
        <v>47.89</v>
      </c>
      <c r="AS318" s="122">
        <v>9.4</v>
      </c>
      <c r="AT318" s="122">
        <v>46.42</v>
      </c>
      <c r="AU318" s="122">
        <v>9.6</v>
      </c>
      <c r="AV318" s="122" t="s">
        <v>5414</v>
      </c>
      <c r="AW318" s="122" t="s">
        <v>24</v>
      </c>
      <c r="AX318" s="122" t="s">
        <v>24</v>
      </c>
      <c r="AY318" s="122" t="s">
        <v>2423</v>
      </c>
      <c r="AZ318" s="122" t="s">
        <v>3835</v>
      </c>
      <c r="BA318" s="122" t="s">
        <v>5209</v>
      </c>
      <c r="BB318" s="122"/>
      <c r="BC318" s="122"/>
      <c r="BD318" s="161"/>
      <c r="BE318" s="161"/>
      <c r="BF318" s="161" t="s">
        <v>4727</v>
      </c>
      <c r="BG318" s="161"/>
      <c r="BH318" s="161"/>
      <c r="BI318" s="161" t="s">
        <v>4727</v>
      </c>
      <c r="BJ318" s="161">
        <v>1</v>
      </c>
      <c r="BK318" s="161"/>
      <c r="BL318" s="161" t="s">
        <v>4727</v>
      </c>
      <c r="BM318" s="161"/>
      <c r="BN318" s="161" t="s">
        <v>4727</v>
      </c>
      <c r="BO318" s="161"/>
      <c r="BP318" s="161"/>
      <c r="BQ318" s="162" t="s">
        <v>5399</v>
      </c>
      <c r="BR318" s="150" t="s">
        <v>1876</v>
      </c>
      <c r="BS318" s="150" t="s">
        <v>5396</v>
      </c>
      <c r="BT318" s="150" t="s">
        <v>5400</v>
      </c>
      <c r="BU318" s="150" t="s">
        <v>24</v>
      </c>
      <c r="BV318" s="150" t="s">
        <v>5431</v>
      </c>
      <c r="BW318" s="258" t="s">
        <v>5441</v>
      </c>
      <c r="BX318" s="151" t="s">
        <v>5432</v>
      </c>
      <c r="BY318" s="150">
        <v>20.59</v>
      </c>
      <c r="BZ318" s="150">
        <v>3.7</v>
      </c>
      <c r="CA318" s="150" t="s">
        <v>24</v>
      </c>
      <c r="CB318" s="151" t="s">
        <v>5433</v>
      </c>
      <c r="CC318" s="150">
        <v>20.55</v>
      </c>
      <c r="CD318" s="150">
        <v>14.9</v>
      </c>
      <c r="CE318" s="150" t="s">
        <v>24</v>
      </c>
      <c r="CF318" s="290" t="s">
        <v>5436</v>
      </c>
      <c r="CG318" s="291" t="s">
        <v>5437</v>
      </c>
      <c r="CH318" s="151" t="s">
        <v>5434</v>
      </c>
      <c r="CI318" s="150">
        <v>20.59</v>
      </c>
      <c r="CJ318" s="150">
        <v>4.3</v>
      </c>
      <c r="CK318" s="150" t="s">
        <v>24</v>
      </c>
      <c r="CL318" s="151" t="s">
        <v>5435</v>
      </c>
      <c r="CM318" s="150">
        <v>20.77</v>
      </c>
      <c r="CN318" s="150">
        <v>4.7</v>
      </c>
      <c r="CO318" s="150" t="s">
        <v>24</v>
      </c>
      <c r="CP318" s="290" t="s">
        <v>5438</v>
      </c>
      <c r="CQ318" s="291" t="s">
        <v>5439</v>
      </c>
      <c r="CR318" s="278" t="s">
        <v>5440</v>
      </c>
      <c r="CS318" s="285" t="s">
        <v>5354</v>
      </c>
      <c r="CT318" s="151" t="s">
        <v>24</v>
      </c>
      <c r="CU318" s="150"/>
      <c r="CV318" s="150"/>
      <c r="CW318" s="150"/>
      <c r="CX318" s="150"/>
      <c r="CY318" s="150"/>
      <c r="CZ318" s="150"/>
      <c r="DA318" s="150"/>
      <c r="DB318" s="302"/>
      <c r="DC318" s="303"/>
      <c r="DD318" s="150"/>
      <c r="DE318" s="150"/>
      <c r="DF318" s="150"/>
      <c r="DG318" s="150"/>
      <c r="DH318" s="150"/>
      <c r="DI318" s="150"/>
      <c r="DJ318" s="150"/>
      <c r="DK318" s="150"/>
      <c r="DL318" s="302"/>
      <c r="DM318" s="303"/>
      <c r="DN318" s="278"/>
      <c r="DO318" s="279"/>
      <c r="DP318" s="150"/>
      <c r="DQ318" s="150"/>
      <c r="DR318" s="150"/>
      <c r="DS318" s="150"/>
      <c r="DT318" s="151"/>
      <c r="DU318" s="150"/>
      <c r="DV318" s="150"/>
      <c r="DW318" s="150"/>
      <c r="DX318" s="303"/>
      <c r="DY318" s="303"/>
      <c r="DZ318" s="151"/>
      <c r="EA318" s="150"/>
      <c r="EB318" s="150"/>
      <c r="EC318" s="150"/>
      <c r="ED318" s="151"/>
      <c r="EE318" s="150"/>
      <c r="EF318" s="150"/>
      <c r="EG318" s="150"/>
      <c r="EH318" s="303"/>
      <c r="EI318" s="303"/>
      <c r="EJ318" s="279"/>
      <c r="EK318" s="150"/>
      <c r="EL318" s="150"/>
      <c r="EM318" s="150"/>
      <c r="EN318" s="150"/>
      <c r="EO318" s="150"/>
      <c r="EP318" s="150"/>
      <c r="EQ318" s="150"/>
      <c r="ER318" s="150"/>
      <c r="ES318" s="303"/>
      <c r="ET318" s="303"/>
      <c r="EU318" s="150"/>
      <c r="EV318" s="150"/>
      <c r="EW318" s="150"/>
      <c r="EX318" s="150"/>
      <c r="EY318" s="150"/>
      <c r="EZ318" s="150"/>
      <c r="FA318" s="150"/>
      <c r="FB318" s="150"/>
      <c r="FC318" s="152"/>
      <c r="FD318" s="152"/>
      <c r="FE318" s="150"/>
      <c r="FF318" s="150"/>
      <c r="FG318" s="150"/>
      <c r="FH318" s="150"/>
      <c r="FI318" s="150"/>
      <c r="FJ318" s="150"/>
      <c r="FK318" s="150"/>
      <c r="FL318" s="150"/>
      <c r="FM318" s="152"/>
      <c r="FN318" s="152"/>
      <c r="FO318" s="150"/>
      <c r="FP318" s="150"/>
      <c r="FQ318" s="150"/>
      <c r="FR318" s="150"/>
      <c r="FS318" s="150"/>
      <c r="FT318" s="150"/>
      <c r="FU318" s="150"/>
      <c r="FV318" s="150"/>
      <c r="FW318" s="152"/>
      <c r="FX318" s="152"/>
      <c r="FY318" s="150"/>
      <c r="FZ318" s="150"/>
      <c r="GA318" s="150"/>
      <c r="GB318" s="150"/>
      <c r="GC318" s="150"/>
      <c r="GD318" s="150"/>
      <c r="GE318" s="150"/>
      <c r="GF318" s="150"/>
      <c r="GG318" s="152"/>
      <c r="GH318" s="152"/>
      <c r="GI318" s="150"/>
      <c r="GJ318" s="150"/>
      <c r="GK318" s="150"/>
      <c r="GL318" s="150"/>
      <c r="GM318" s="150"/>
      <c r="GN318" s="150"/>
      <c r="GO318" s="150"/>
      <c r="GP318" s="150"/>
      <c r="GQ318" s="152"/>
      <c r="GR318" s="152"/>
      <c r="GS318" s="134"/>
      <c r="GT318" s="134"/>
      <c r="GU318" s="134"/>
      <c r="GV318" s="134"/>
      <c r="GW318" s="134"/>
      <c r="GX318" s="134"/>
      <c r="GY318" s="134"/>
      <c r="GZ318" s="134"/>
      <c r="HA318" s="135"/>
      <c r="HB318" s="135"/>
      <c r="HC318" s="134"/>
      <c r="HD318" s="134"/>
      <c r="HE318" s="134"/>
      <c r="HF318" s="134"/>
      <c r="HG318" s="134"/>
      <c r="HH318" s="134"/>
      <c r="HI318" s="134"/>
      <c r="HJ318" s="134"/>
      <c r="HK318" s="135"/>
      <c r="HL318" s="135"/>
      <c r="HM318" s="134"/>
      <c r="HN318" s="134"/>
      <c r="HO318" s="134"/>
      <c r="HP318" s="134"/>
      <c r="HQ318" s="134"/>
      <c r="HR318" s="134"/>
      <c r="HS318" s="134"/>
      <c r="HT318" s="134"/>
      <c r="HU318" s="135"/>
      <c r="HV318" s="135"/>
      <c r="HW318" s="134"/>
      <c r="HX318" s="134"/>
      <c r="HY318" s="134"/>
      <c r="HZ318" s="134"/>
      <c r="IA318" s="134"/>
      <c r="IB318" s="134"/>
      <c r="IC318" s="134"/>
      <c r="ID318" s="134"/>
      <c r="IE318" s="135"/>
      <c r="IF318" s="135"/>
      <c r="IG318" s="134"/>
      <c r="IH318" s="134"/>
      <c r="II318" s="134"/>
      <c r="IJ318" s="134"/>
      <c r="IK318" s="134"/>
      <c r="IL318" s="134"/>
      <c r="IM318" s="134"/>
      <c r="IN318" s="134"/>
      <c r="IO318" s="135"/>
      <c r="IP318" s="135"/>
      <c r="IQ318" s="134"/>
      <c r="IR318" s="134"/>
      <c r="IS318" s="134"/>
      <c r="IT318" s="134"/>
      <c r="IU318" s="134"/>
      <c r="IV318" s="134"/>
      <c r="IW318" s="134"/>
      <c r="IX318" s="134"/>
      <c r="IY318" s="135"/>
      <c r="IZ318" s="135"/>
    </row>
    <row r="319" spans="1:260" customFormat="1" ht="17" customHeight="1">
      <c r="A319" s="79" t="s">
        <v>281</v>
      </c>
      <c r="B319" s="117">
        <v>201</v>
      </c>
      <c r="C319" s="117">
        <v>71</v>
      </c>
      <c r="D319" s="117"/>
      <c r="E319" s="123" t="s">
        <v>2010</v>
      </c>
      <c r="F319" s="124" t="s">
        <v>2242</v>
      </c>
      <c r="G319" s="125">
        <v>2008</v>
      </c>
      <c r="H319" s="79">
        <v>18498263</v>
      </c>
      <c r="I319" s="79">
        <v>1</v>
      </c>
      <c r="J319" s="126" t="s">
        <v>1780</v>
      </c>
      <c r="K319" s="127" t="s">
        <v>1764</v>
      </c>
      <c r="L319" s="164">
        <v>0</v>
      </c>
      <c r="M319" s="79" t="s">
        <v>1751</v>
      </c>
      <c r="N319" s="79">
        <v>1</v>
      </c>
      <c r="O319" s="128">
        <v>1</v>
      </c>
      <c r="P319" s="79" t="s">
        <v>739</v>
      </c>
      <c r="Q319" s="79" t="s">
        <v>1147</v>
      </c>
      <c r="R319" s="79" t="s">
        <v>736</v>
      </c>
      <c r="S319" s="79">
        <v>1</v>
      </c>
      <c r="T319" s="79"/>
      <c r="U319" s="79"/>
      <c r="V319" s="79"/>
      <c r="W319" s="79" t="s">
        <v>738</v>
      </c>
      <c r="X319" s="79"/>
      <c r="Y319" s="79"/>
      <c r="Z319" s="79"/>
      <c r="AA319" s="79"/>
      <c r="AB319" s="79"/>
      <c r="AC319" s="506"/>
      <c r="AD319" s="573">
        <v>1</v>
      </c>
      <c r="AE319" s="573">
        <v>2</v>
      </c>
      <c r="AF319" s="154">
        <v>1</v>
      </c>
      <c r="AG319" s="155" t="s">
        <v>5455</v>
      </c>
      <c r="AH319" s="121">
        <v>2</v>
      </c>
      <c r="AI319" s="484" t="s">
        <v>5454</v>
      </c>
      <c r="AJ319" s="202" t="s">
        <v>5444</v>
      </c>
      <c r="AK319" s="192">
        <v>1</v>
      </c>
      <c r="AL319" s="203" t="s">
        <v>24</v>
      </c>
      <c r="AM319" s="121">
        <v>79</v>
      </c>
      <c r="AN319" s="121">
        <v>45</v>
      </c>
      <c r="AO319" s="121">
        <v>34</v>
      </c>
      <c r="AP319" s="121" t="s">
        <v>5447</v>
      </c>
      <c r="AQ319" s="121" t="s">
        <v>5447</v>
      </c>
      <c r="AR319" s="121" t="s">
        <v>5448</v>
      </c>
      <c r="AS319" s="121" t="s">
        <v>24</v>
      </c>
      <c r="AT319" s="121" t="s">
        <v>5448</v>
      </c>
      <c r="AU319" s="121" t="s">
        <v>24</v>
      </c>
      <c r="AV319" s="121" t="s">
        <v>5442</v>
      </c>
      <c r="AW319" s="121" t="s">
        <v>24</v>
      </c>
      <c r="AX319" s="121" t="s">
        <v>24</v>
      </c>
      <c r="AY319" s="121" t="s">
        <v>2423</v>
      </c>
      <c r="AZ319" s="121" t="s">
        <v>3835</v>
      </c>
      <c r="BA319" s="121" t="s">
        <v>5443</v>
      </c>
      <c r="BB319" s="121"/>
      <c r="BC319" s="121"/>
      <c r="BD319" s="156"/>
      <c r="BE319" s="156"/>
      <c r="BF319" s="156"/>
      <c r="BG319" s="156"/>
      <c r="BH319" s="156"/>
      <c r="BI319" s="156"/>
      <c r="BJ319" s="156">
        <v>1</v>
      </c>
      <c r="BK319" s="156"/>
      <c r="BL319" s="156"/>
      <c r="BM319" s="156"/>
      <c r="BN319" s="156"/>
      <c r="BO319" s="156"/>
      <c r="BP319" s="156"/>
      <c r="BQ319" s="157" t="s">
        <v>4721</v>
      </c>
      <c r="BR319" s="134" t="s">
        <v>1876</v>
      </c>
      <c r="BS319" s="134">
        <v>2</v>
      </c>
      <c r="BT319" s="134" t="s">
        <v>5445</v>
      </c>
      <c r="BU319" s="134" t="s">
        <v>24</v>
      </c>
      <c r="BV319" s="134" t="s">
        <v>5446</v>
      </c>
      <c r="BW319" s="259" t="s">
        <v>5453</v>
      </c>
      <c r="BX319" s="138" t="s">
        <v>5449</v>
      </c>
      <c r="BY319" s="134">
        <v>15.755000000000001</v>
      </c>
      <c r="BZ319" s="134">
        <v>4.7149999999999999</v>
      </c>
      <c r="CA319" s="134" t="s">
        <v>24</v>
      </c>
      <c r="CB319" s="138" t="s">
        <v>5450</v>
      </c>
      <c r="CC319" s="134">
        <v>22.823</v>
      </c>
      <c r="CD319" s="134">
        <v>1.07</v>
      </c>
      <c r="CE319" s="134" t="s">
        <v>24</v>
      </c>
      <c r="CF319" s="288" t="s">
        <v>5451</v>
      </c>
      <c r="CG319" s="289" t="s">
        <v>5452</v>
      </c>
      <c r="CH319" s="138" t="s">
        <v>24</v>
      </c>
      <c r="CI319" s="134" t="s">
        <v>24</v>
      </c>
      <c r="CJ319" s="134" t="s">
        <v>24</v>
      </c>
      <c r="CK319" s="134" t="s">
        <v>24</v>
      </c>
      <c r="CL319" s="134" t="s">
        <v>24</v>
      </c>
      <c r="CM319" s="134" t="s">
        <v>24</v>
      </c>
      <c r="CN319" s="134" t="s">
        <v>24</v>
      </c>
      <c r="CO319" s="134" t="s">
        <v>24</v>
      </c>
      <c r="CP319" s="288"/>
      <c r="CQ319" s="289"/>
      <c r="CR319" s="276"/>
      <c r="CS319" s="308"/>
      <c r="CT319" s="138"/>
      <c r="CU319" s="134"/>
      <c r="CV319" s="134"/>
      <c r="CW319" s="134"/>
      <c r="CX319" s="134"/>
      <c r="CY319" s="134"/>
      <c r="CZ319" s="134"/>
      <c r="DA319" s="134"/>
      <c r="DB319" s="300"/>
      <c r="DC319" s="301"/>
      <c r="DD319" s="134"/>
      <c r="DE319" s="134"/>
      <c r="DF319" s="134"/>
      <c r="DG319" s="134"/>
      <c r="DH319" s="134"/>
      <c r="DI319" s="134"/>
      <c r="DJ319" s="134"/>
      <c r="DK319" s="134"/>
      <c r="DL319" s="300"/>
      <c r="DM319" s="301"/>
      <c r="DN319" s="276"/>
      <c r="DO319" s="277"/>
      <c r="DP319" s="134"/>
      <c r="DQ319" s="134"/>
      <c r="DR319" s="134"/>
      <c r="DS319" s="134"/>
      <c r="DT319" s="138"/>
      <c r="DU319" s="134"/>
      <c r="DV319" s="134"/>
      <c r="DW319" s="134"/>
      <c r="DX319" s="301"/>
      <c r="DY319" s="301"/>
      <c r="DZ319" s="138"/>
      <c r="EA319" s="134"/>
      <c r="EB319" s="134"/>
      <c r="EC319" s="134"/>
      <c r="ED319" s="138"/>
      <c r="EE319" s="134"/>
      <c r="EF319" s="134"/>
      <c r="EG319" s="134"/>
      <c r="EH319" s="301"/>
      <c r="EI319" s="301"/>
      <c r="EJ319" s="277"/>
      <c r="EK319" s="134"/>
      <c r="EL319" s="134"/>
      <c r="EM319" s="134"/>
      <c r="EN319" s="134"/>
      <c r="EO319" s="134"/>
      <c r="EP319" s="134"/>
      <c r="EQ319" s="134"/>
      <c r="ER319" s="134"/>
      <c r="ES319" s="301"/>
      <c r="ET319" s="301"/>
      <c r="EU319" s="134"/>
      <c r="EV319" s="134"/>
      <c r="EW319" s="134"/>
      <c r="EX319" s="134"/>
      <c r="EY319" s="134"/>
      <c r="EZ319" s="134"/>
      <c r="FA319" s="134"/>
      <c r="FB319" s="134"/>
      <c r="FC319" s="135"/>
      <c r="FD319" s="135"/>
      <c r="FE319" s="134"/>
      <c r="FF319" s="134"/>
      <c r="FG319" s="134"/>
      <c r="FH319" s="134"/>
      <c r="FI319" s="134"/>
      <c r="FJ319" s="134"/>
      <c r="FK319" s="134"/>
      <c r="FL319" s="134"/>
      <c r="FM319" s="135"/>
      <c r="FN319" s="135"/>
      <c r="FO319" s="134"/>
      <c r="FP319" s="134"/>
      <c r="FQ319" s="134"/>
      <c r="FR319" s="134"/>
      <c r="FS319" s="134"/>
      <c r="FT319" s="134"/>
      <c r="FU319" s="134"/>
      <c r="FV319" s="134"/>
      <c r="FW319" s="135"/>
      <c r="FX319" s="135"/>
      <c r="FY319" s="134"/>
      <c r="FZ319" s="134"/>
      <c r="GA319" s="134"/>
      <c r="GB319" s="134"/>
      <c r="GC319" s="134"/>
      <c r="GD319" s="134"/>
      <c r="GE319" s="134"/>
      <c r="GF319" s="134"/>
      <c r="GG319" s="135"/>
      <c r="GH319" s="135"/>
      <c r="GI319" s="134"/>
      <c r="GJ319" s="134"/>
      <c r="GK319" s="134"/>
      <c r="GL319" s="134"/>
      <c r="GM319" s="134"/>
      <c r="GN319" s="134"/>
      <c r="GO319" s="134"/>
      <c r="GP319" s="134"/>
      <c r="GQ319" s="135"/>
      <c r="GR319" s="135"/>
      <c r="GS319" s="134"/>
      <c r="GT319" s="134"/>
      <c r="GU319" s="134"/>
      <c r="GV319" s="134"/>
      <c r="GW319" s="134"/>
      <c r="GX319" s="134"/>
      <c r="GY319" s="134"/>
      <c r="GZ319" s="134"/>
      <c r="HA319" s="135"/>
      <c r="HB319" s="135"/>
      <c r="HC319" s="134"/>
      <c r="HD319" s="134"/>
      <c r="HE319" s="134"/>
      <c r="HF319" s="134"/>
      <c r="HG319" s="134"/>
      <c r="HH319" s="134"/>
      <c r="HI319" s="134"/>
      <c r="HJ319" s="134"/>
      <c r="HK319" s="135"/>
      <c r="HL319" s="135"/>
      <c r="HM319" s="134"/>
      <c r="HN319" s="134"/>
      <c r="HO319" s="134"/>
      <c r="HP319" s="134"/>
      <c r="HQ319" s="134"/>
      <c r="HR319" s="134"/>
      <c r="HS319" s="134"/>
      <c r="HT319" s="134"/>
      <c r="HU319" s="135"/>
      <c r="HV319" s="135"/>
      <c r="HW319" s="134"/>
      <c r="HX319" s="134"/>
      <c r="HY319" s="134"/>
      <c r="HZ319" s="134"/>
      <c r="IA319" s="134"/>
      <c r="IB319" s="134"/>
      <c r="IC319" s="134"/>
      <c r="ID319" s="134"/>
      <c r="IE319" s="135"/>
      <c r="IF319" s="135"/>
      <c r="IG319" s="134"/>
      <c r="IH319" s="134"/>
      <c r="II319" s="134"/>
      <c r="IJ319" s="134"/>
      <c r="IK319" s="134"/>
      <c r="IL319" s="134"/>
      <c r="IM319" s="134"/>
      <c r="IN319" s="134"/>
      <c r="IO319" s="135"/>
      <c r="IP319" s="135"/>
      <c r="IQ319" s="134"/>
      <c r="IR319" s="134"/>
      <c r="IS319" s="134"/>
      <c r="IT319" s="134"/>
      <c r="IU319" s="134"/>
      <c r="IV319" s="134"/>
      <c r="IW319" s="134"/>
      <c r="IX319" s="134"/>
      <c r="IY319" s="135"/>
      <c r="IZ319" s="135"/>
    </row>
    <row r="320" spans="1:260" customFormat="1" ht="17" customHeight="1">
      <c r="A320" s="79" t="s">
        <v>287</v>
      </c>
      <c r="B320" s="117">
        <v>205</v>
      </c>
      <c r="C320" s="117">
        <v>72</v>
      </c>
      <c r="D320" s="117"/>
      <c r="E320" s="123" t="s">
        <v>2013</v>
      </c>
      <c r="F320" s="124" t="s">
        <v>2245</v>
      </c>
      <c r="G320" s="125">
        <v>2016</v>
      </c>
      <c r="H320" s="79">
        <v>27353125</v>
      </c>
      <c r="I320" s="79">
        <v>1</v>
      </c>
      <c r="J320" s="126"/>
      <c r="K320" s="127"/>
      <c r="L320" s="79">
        <v>1</v>
      </c>
      <c r="M320" s="79"/>
      <c r="N320" s="79">
        <v>1</v>
      </c>
      <c r="O320" s="128">
        <v>1</v>
      </c>
      <c r="P320" s="79" t="s">
        <v>612</v>
      </c>
      <c r="Q320" s="79" t="s">
        <v>1147</v>
      </c>
      <c r="R320" s="79" t="s">
        <v>25</v>
      </c>
      <c r="S320" s="79">
        <v>1</v>
      </c>
      <c r="T320" s="79"/>
      <c r="U320" s="79"/>
      <c r="V320" s="79"/>
      <c r="W320" s="79" t="s">
        <v>750</v>
      </c>
      <c r="X320" s="79"/>
      <c r="Y320" s="79"/>
      <c r="Z320" s="79"/>
      <c r="AA320" s="79"/>
      <c r="AB320" s="79"/>
      <c r="AC320" s="506"/>
      <c r="AD320" s="573">
        <v>1</v>
      </c>
      <c r="AE320" s="573">
        <v>2</v>
      </c>
      <c r="AF320" s="154">
        <v>1</v>
      </c>
      <c r="AG320" s="155"/>
      <c r="AH320" s="121">
        <v>2</v>
      </c>
      <c r="AI320" s="484" t="s">
        <v>5456</v>
      </c>
      <c r="AJ320" s="202" t="s">
        <v>5460</v>
      </c>
      <c r="AK320" s="192">
        <v>1</v>
      </c>
      <c r="AL320" s="203" t="s">
        <v>24</v>
      </c>
      <c r="AM320" s="121">
        <f>Table665[[#This Row],[Subjects_n_ptsd]]+Table665[[#This Row],[Subjects_n_control]]</f>
        <v>78</v>
      </c>
      <c r="AN320" s="121">
        <v>40</v>
      </c>
      <c r="AO320" s="121">
        <v>38</v>
      </c>
      <c r="AP320" s="121" t="s">
        <v>5457</v>
      </c>
      <c r="AQ320" s="121" t="s">
        <v>5458</v>
      </c>
      <c r="AR320" s="121">
        <v>35.200000000000003</v>
      </c>
      <c r="AS320" s="121">
        <v>9.8000000000000007</v>
      </c>
      <c r="AT320" s="121">
        <v>32.9</v>
      </c>
      <c r="AU320" s="121">
        <v>8.9</v>
      </c>
      <c r="AV320" s="121" t="s">
        <v>1874</v>
      </c>
      <c r="AW320" s="121" t="s">
        <v>24</v>
      </c>
      <c r="AX320" s="121" t="s">
        <v>24</v>
      </c>
      <c r="AY320" s="121" t="s">
        <v>2423</v>
      </c>
      <c r="AZ320" s="121" t="s">
        <v>3835</v>
      </c>
      <c r="BA320" s="121" t="s">
        <v>5459</v>
      </c>
      <c r="BB320" s="121"/>
      <c r="BC320" s="121"/>
      <c r="BD320" s="156"/>
      <c r="BE320" s="156"/>
      <c r="BF320" s="156"/>
      <c r="BG320" s="156"/>
      <c r="BH320" s="156"/>
      <c r="BI320" s="156"/>
      <c r="BJ320" s="156">
        <v>1</v>
      </c>
      <c r="BK320" s="156"/>
      <c r="BL320" s="156"/>
      <c r="BM320" s="156"/>
      <c r="BN320" s="156"/>
      <c r="BO320" s="156"/>
      <c r="BP320" s="156"/>
      <c r="BQ320" s="157" t="s">
        <v>5479</v>
      </c>
      <c r="BR320" s="134" t="s">
        <v>1876</v>
      </c>
      <c r="BS320" s="134">
        <v>2</v>
      </c>
      <c r="BT320" s="134" t="s">
        <v>5475</v>
      </c>
      <c r="BU320" s="134" t="s">
        <v>24</v>
      </c>
      <c r="BV320" s="134" t="s">
        <v>5480</v>
      </c>
      <c r="BW320" s="259" t="s">
        <v>5495</v>
      </c>
      <c r="BX320" s="138" t="s">
        <v>5463</v>
      </c>
      <c r="BY320" s="134">
        <v>40.5</v>
      </c>
      <c r="BZ320" s="134">
        <v>8</v>
      </c>
      <c r="CA320" s="134" t="s">
        <v>24</v>
      </c>
      <c r="CB320" s="138" t="s">
        <v>5464</v>
      </c>
      <c r="CC320" s="134">
        <v>44.2</v>
      </c>
      <c r="CD320" s="134">
        <v>3.5</v>
      </c>
      <c r="CE320" s="134" t="s">
        <v>24</v>
      </c>
      <c r="CF320" s="288" t="s">
        <v>4742</v>
      </c>
      <c r="CG320" s="289" t="s">
        <v>5461</v>
      </c>
      <c r="CH320" s="138" t="s">
        <v>5462</v>
      </c>
      <c r="CI320" s="134">
        <v>7.3</v>
      </c>
      <c r="CJ320" s="134">
        <v>1.7</v>
      </c>
      <c r="CK320" s="134" t="s">
        <v>24</v>
      </c>
      <c r="CL320" s="138" t="s">
        <v>5465</v>
      </c>
      <c r="CM320" s="134">
        <v>7.8</v>
      </c>
      <c r="CN320" s="134">
        <v>0.6</v>
      </c>
      <c r="CO320" s="134" t="s">
        <v>24</v>
      </c>
      <c r="CP320" s="288" t="s">
        <v>5468</v>
      </c>
      <c r="CQ320" s="289" t="s">
        <v>5469</v>
      </c>
      <c r="CR320" s="276" t="s">
        <v>24</v>
      </c>
      <c r="CS320" s="308" t="s">
        <v>24</v>
      </c>
      <c r="CT320" s="138" t="s">
        <v>5466</v>
      </c>
      <c r="CU320" s="134">
        <v>6.3</v>
      </c>
      <c r="CV320" s="134">
        <v>1.4</v>
      </c>
      <c r="CW320" s="134" t="s">
        <v>24</v>
      </c>
      <c r="CX320" s="138" t="s">
        <v>5467</v>
      </c>
      <c r="CY320" s="134">
        <v>7</v>
      </c>
      <c r="CZ320" s="134">
        <v>1</v>
      </c>
      <c r="DA320" s="134" t="s">
        <v>24</v>
      </c>
      <c r="DB320" s="300" t="s">
        <v>5470</v>
      </c>
      <c r="DC320" s="301" t="s">
        <v>5471</v>
      </c>
      <c r="DD320" s="134" t="s">
        <v>5481</v>
      </c>
      <c r="DE320" s="134">
        <v>0.6</v>
      </c>
      <c r="DF320" s="134">
        <v>1</v>
      </c>
      <c r="DG320" s="134" t="s">
        <v>24</v>
      </c>
      <c r="DH320" s="134" t="s">
        <v>5485</v>
      </c>
      <c r="DI320" s="134">
        <v>0.2</v>
      </c>
      <c r="DJ320" s="134">
        <v>0.5</v>
      </c>
      <c r="DK320" s="134" t="s">
        <v>24</v>
      </c>
      <c r="DL320" s="304" t="s">
        <v>5490</v>
      </c>
      <c r="DM320" s="300" t="s">
        <v>5489</v>
      </c>
      <c r="DN320" s="276" t="s">
        <v>24</v>
      </c>
      <c r="DO320" s="277" t="s">
        <v>24</v>
      </c>
      <c r="DP320" s="163" t="s">
        <v>5482</v>
      </c>
      <c r="DQ320" s="134">
        <v>0.5</v>
      </c>
      <c r="DR320" s="134">
        <v>0.7</v>
      </c>
      <c r="DS320" s="134" t="s">
        <v>24</v>
      </c>
      <c r="DT320" s="163" t="s">
        <v>5486</v>
      </c>
      <c r="DU320" s="134">
        <v>0.2</v>
      </c>
      <c r="DV320" s="134">
        <v>0.5</v>
      </c>
      <c r="DW320" s="134" t="s">
        <v>24</v>
      </c>
      <c r="DX320" s="301" t="s">
        <v>5379</v>
      </c>
      <c r="DY320" s="301" t="s">
        <v>5491</v>
      </c>
      <c r="DZ320" s="121" t="s">
        <v>5483</v>
      </c>
      <c r="EA320" s="134">
        <v>0.4</v>
      </c>
      <c r="EB320" s="134">
        <v>0.6</v>
      </c>
      <c r="EC320" s="134" t="s">
        <v>24</v>
      </c>
      <c r="ED320" s="121" t="s">
        <v>5487</v>
      </c>
      <c r="EE320" s="134">
        <v>0.4</v>
      </c>
      <c r="EF320" s="134">
        <v>0.6</v>
      </c>
      <c r="EG320" s="480" t="s">
        <v>24</v>
      </c>
      <c r="EH320" s="301" t="s">
        <v>5379</v>
      </c>
      <c r="EI320" s="134" t="s">
        <v>5492</v>
      </c>
      <c r="EJ320" s="277" t="s">
        <v>24</v>
      </c>
      <c r="EK320" s="121" t="s">
        <v>5484</v>
      </c>
      <c r="EL320" s="134">
        <v>0.2</v>
      </c>
      <c r="EM320" s="134">
        <v>0.5</v>
      </c>
      <c r="EN320" s="134" t="s">
        <v>24</v>
      </c>
      <c r="EO320" s="121" t="s">
        <v>5488</v>
      </c>
      <c r="EP320" s="134">
        <v>0.2</v>
      </c>
      <c r="EQ320" s="134">
        <v>0.4</v>
      </c>
      <c r="ER320" s="134" t="s">
        <v>24</v>
      </c>
      <c r="ES320" s="301" t="s">
        <v>5379</v>
      </c>
      <c r="ET320" s="301" t="s">
        <v>5493</v>
      </c>
      <c r="EU320" s="134" t="s">
        <v>24</v>
      </c>
      <c r="EV320" s="134" t="s">
        <v>24</v>
      </c>
      <c r="EW320" s="134" t="s">
        <v>24</v>
      </c>
      <c r="EX320" s="134" t="s">
        <v>24</v>
      </c>
      <c r="EY320" s="134" t="s">
        <v>24</v>
      </c>
      <c r="EZ320" s="134" t="s">
        <v>24</v>
      </c>
      <c r="FA320" s="134" t="s">
        <v>24</v>
      </c>
      <c r="FB320" s="134" t="s">
        <v>24</v>
      </c>
      <c r="FC320" s="135"/>
      <c r="FD320" s="135"/>
      <c r="FE320" s="134"/>
      <c r="FF320" s="134"/>
      <c r="FG320" s="134"/>
      <c r="FH320" s="134"/>
      <c r="FI320" s="134"/>
      <c r="FJ320" s="134"/>
      <c r="FK320" s="134"/>
      <c r="FL320" s="134"/>
      <c r="FM320" s="135"/>
      <c r="FN320" s="135"/>
      <c r="FO320" s="134"/>
      <c r="FP320" s="134"/>
      <c r="FQ320" s="134"/>
      <c r="FR320" s="134"/>
      <c r="FS320" s="134"/>
      <c r="FT320" s="134"/>
      <c r="FU320" s="134"/>
      <c r="FV320" s="134"/>
      <c r="FW320" s="135"/>
      <c r="FX320" s="135"/>
      <c r="FY320" s="134"/>
      <c r="FZ320" s="134"/>
      <c r="GA320" s="134"/>
      <c r="GB320" s="134"/>
      <c r="GC320" s="134"/>
      <c r="GD320" s="134"/>
      <c r="GE320" s="134"/>
      <c r="GF320" s="134"/>
      <c r="GG320" s="135"/>
      <c r="GH320" s="135"/>
      <c r="GI320" s="134"/>
      <c r="GJ320" s="134"/>
      <c r="GK320" s="134"/>
      <c r="GL320" s="134"/>
      <c r="GM320" s="134"/>
      <c r="GN320" s="134"/>
      <c r="GO320" s="134"/>
      <c r="GP320" s="134"/>
      <c r="GQ320" s="135"/>
      <c r="GR320" s="135"/>
      <c r="GS320" s="134"/>
      <c r="GT320" s="134"/>
      <c r="GU320" s="134"/>
      <c r="GV320" s="134"/>
      <c r="GW320" s="134"/>
      <c r="GX320" s="134"/>
      <c r="GY320" s="134"/>
      <c r="GZ320" s="134"/>
      <c r="HA320" s="135"/>
      <c r="HB320" s="135"/>
      <c r="HC320" s="134"/>
      <c r="HD320" s="134"/>
      <c r="HE320" s="134"/>
      <c r="HF320" s="134"/>
      <c r="HG320" s="134"/>
      <c r="HH320" s="134"/>
      <c r="HI320" s="134"/>
      <c r="HJ320" s="134"/>
      <c r="HK320" s="135"/>
      <c r="HL320" s="135"/>
      <c r="HM320" s="134"/>
      <c r="HN320" s="134"/>
      <c r="HO320" s="134"/>
      <c r="HP320" s="134"/>
      <c r="HQ320" s="134"/>
      <c r="HR320" s="134"/>
      <c r="HS320" s="134"/>
      <c r="HT320" s="134"/>
      <c r="HU320" s="135"/>
      <c r="HV320" s="135"/>
      <c r="HW320" s="134"/>
      <c r="HX320" s="134"/>
      <c r="HY320" s="134"/>
      <c r="HZ320" s="134"/>
      <c r="IA320" s="134"/>
      <c r="IB320" s="134"/>
      <c r="IC320" s="134"/>
      <c r="ID320" s="134"/>
      <c r="IE320" s="135"/>
      <c r="IF320" s="135"/>
      <c r="IG320" s="134"/>
      <c r="IH320" s="134"/>
      <c r="II320" s="134"/>
      <c r="IJ320" s="134"/>
      <c r="IK320" s="134"/>
      <c r="IL320" s="134"/>
      <c r="IM320" s="134"/>
      <c r="IN320" s="134"/>
      <c r="IO320" s="135"/>
      <c r="IP320" s="135"/>
      <c r="IQ320" s="134"/>
      <c r="IR320" s="134"/>
      <c r="IS320" s="134"/>
      <c r="IT320" s="134"/>
      <c r="IU320" s="134"/>
      <c r="IV320" s="134"/>
      <c r="IW320" s="134"/>
      <c r="IX320" s="134"/>
      <c r="IY320" s="135"/>
      <c r="IZ320" s="135"/>
    </row>
    <row r="321" spans="1:260" customFormat="1" ht="17" customHeight="1">
      <c r="A321" s="118" t="s">
        <v>287</v>
      </c>
      <c r="B321" s="381">
        <v>205</v>
      </c>
      <c r="C321" s="381">
        <v>72</v>
      </c>
      <c r="D321" s="381"/>
      <c r="E321" s="139" t="s">
        <v>2013</v>
      </c>
      <c r="F321" s="140" t="s">
        <v>2245</v>
      </c>
      <c r="G321" s="141">
        <v>2016</v>
      </c>
      <c r="H321" s="118">
        <v>27353125</v>
      </c>
      <c r="I321" s="118">
        <v>1</v>
      </c>
      <c r="J321" s="118"/>
      <c r="K321" s="118"/>
      <c r="L321" s="118">
        <v>1</v>
      </c>
      <c r="M321" s="118"/>
      <c r="N321" s="118">
        <v>1</v>
      </c>
      <c r="O321" s="142">
        <v>1</v>
      </c>
      <c r="P321" s="118" t="s">
        <v>612</v>
      </c>
      <c r="Q321" s="118" t="s">
        <v>1147</v>
      </c>
      <c r="R321" s="118" t="s">
        <v>25</v>
      </c>
      <c r="S321" s="118">
        <v>1</v>
      </c>
      <c r="T321" s="118"/>
      <c r="U321" s="118"/>
      <c r="V321" s="118"/>
      <c r="W321" s="118" t="s">
        <v>750</v>
      </c>
      <c r="X321" s="118"/>
      <c r="Y321" s="118"/>
      <c r="Z321" s="118"/>
      <c r="AA321" s="118"/>
      <c r="AB321" s="118"/>
      <c r="AC321" s="145"/>
      <c r="AD321" s="573">
        <v>1</v>
      </c>
      <c r="AE321" s="573">
        <v>2</v>
      </c>
      <c r="AF321" s="159">
        <v>1</v>
      </c>
      <c r="AG321" s="160"/>
      <c r="AH321" s="122">
        <v>2</v>
      </c>
      <c r="AI321" s="485" t="s">
        <v>5456</v>
      </c>
      <c r="AJ321" s="204" t="s">
        <v>5460</v>
      </c>
      <c r="AK321" s="192">
        <v>1</v>
      </c>
      <c r="AL321" s="205" t="s">
        <v>24</v>
      </c>
      <c r="AM321" s="122">
        <f>Table665[[#This Row],[Subjects_n_ptsd]]+Table665[[#This Row],[Subjects_n_control]]</f>
        <v>78</v>
      </c>
      <c r="AN321" s="122">
        <v>40</v>
      </c>
      <c r="AO321" s="122">
        <v>38</v>
      </c>
      <c r="AP321" s="122" t="s">
        <v>5457</v>
      </c>
      <c r="AQ321" s="122" t="s">
        <v>5458</v>
      </c>
      <c r="AR321" s="122">
        <v>35.200000000000003</v>
      </c>
      <c r="AS321" s="122">
        <v>9.8000000000000007</v>
      </c>
      <c r="AT321" s="122">
        <v>32.9</v>
      </c>
      <c r="AU321" s="122">
        <v>8.9</v>
      </c>
      <c r="AV321" s="122" t="s">
        <v>1874</v>
      </c>
      <c r="AW321" s="122" t="s">
        <v>24</v>
      </c>
      <c r="AX321" s="122" t="s">
        <v>24</v>
      </c>
      <c r="AY321" s="122" t="s">
        <v>2423</v>
      </c>
      <c r="AZ321" s="122" t="s">
        <v>3835</v>
      </c>
      <c r="BA321" s="122" t="s">
        <v>5459</v>
      </c>
      <c r="BB321" s="122"/>
      <c r="BC321" s="122"/>
      <c r="BD321" s="161"/>
      <c r="BE321" s="161"/>
      <c r="BF321" s="161"/>
      <c r="BG321" s="161"/>
      <c r="BH321" s="161"/>
      <c r="BI321" s="161"/>
      <c r="BJ321" s="161">
        <v>1</v>
      </c>
      <c r="BK321" s="161"/>
      <c r="BL321" s="161"/>
      <c r="BM321" s="161"/>
      <c r="BN321" s="161"/>
      <c r="BO321" s="161"/>
      <c r="BP321" s="161"/>
      <c r="BQ321" s="162" t="s">
        <v>5478</v>
      </c>
      <c r="BR321" s="150" t="s">
        <v>1876</v>
      </c>
      <c r="BS321" s="150">
        <v>2</v>
      </c>
      <c r="BT321" s="150" t="s">
        <v>5476</v>
      </c>
      <c r="BU321" s="150" t="s">
        <v>24</v>
      </c>
      <c r="BV321" s="150" t="s">
        <v>5494</v>
      </c>
      <c r="BW321" s="258" t="s">
        <v>5477</v>
      </c>
      <c r="BX321" s="150" t="s">
        <v>5472</v>
      </c>
      <c r="BY321" s="150">
        <v>7.9</v>
      </c>
      <c r="BZ321" s="150">
        <v>0.4</v>
      </c>
      <c r="CA321" s="150" t="s">
        <v>24</v>
      </c>
      <c r="CB321" s="150" t="s">
        <v>5473</v>
      </c>
      <c r="CC321" s="150">
        <v>7.9</v>
      </c>
      <c r="CD321" s="150">
        <v>0.3</v>
      </c>
      <c r="CE321" s="150" t="s">
        <v>24</v>
      </c>
      <c r="CF321" s="543" t="s">
        <v>5379</v>
      </c>
      <c r="CG321" s="545" t="s">
        <v>5474</v>
      </c>
      <c r="CH321" s="138" t="s">
        <v>24</v>
      </c>
      <c r="CI321" s="134" t="s">
        <v>24</v>
      </c>
      <c r="CJ321" s="134" t="s">
        <v>24</v>
      </c>
      <c r="CK321" s="134" t="s">
        <v>24</v>
      </c>
      <c r="CL321" s="134" t="s">
        <v>24</v>
      </c>
      <c r="CM321" s="134" t="s">
        <v>24</v>
      </c>
      <c r="CN321" s="134" t="s">
        <v>24</v>
      </c>
      <c r="CO321" s="134" t="s">
        <v>24</v>
      </c>
      <c r="CP321" s="290"/>
      <c r="CQ321" s="291"/>
      <c r="CR321" s="278"/>
      <c r="CS321" s="285"/>
      <c r="CT321" s="151"/>
      <c r="CU321" s="150"/>
      <c r="CV321" s="150"/>
      <c r="CW321" s="150"/>
      <c r="CX321" s="151"/>
      <c r="CY321" s="150"/>
      <c r="CZ321" s="150"/>
      <c r="DA321" s="150"/>
      <c r="DB321" s="302"/>
      <c r="DC321" s="303"/>
      <c r="DD321" s="119"/>
      <c r="DE321" s="119"/>
      <c r="DF321" s="150"/>
      <c r="DG321" s="150"/>
      <c r="DH321" s="150"/>
      <c r="DI321" s="150"/>
      <c r="DJ321" s="150"/>
      <c r="DK321" s="150"/>
      <c r="DL321" s="302"/>
      <c r="DM321" s="303"/>
      <c r="DN321" s="278" t="s">
        <v>24</v>
      </c>
      <c r="DO321" s="279" t="s">
        <v>24</v>
      </c>
      <c r="DP321" s="150"/>
      <c r="DQ321" s="150"/>
      <c r="DR321" s="150"/>
      <c r="DS321" s="150"/>
      <c r="DT321" s="151"/>
      <c r="DU321" s="150"/>
      <c r="DV321" s="150"/>
      <c r="DW321" s="150"/>
      <c r="DX321" s="303"/>
      <c r="DY321" s="303"/>
      <c r="DZ321" s="151"/>
      <c r="EA321" s="150"/>
      <c r="EB321" s="150"/>
      <c r="EC321" s="150"/>
      <c r="ED321" s="151"/>
      <c r="EE321" s="150"/>
      <c r="EF321" s="150"/>
      <c r="EG321" s="150"/>
      <c r="EH321" s="303"/>
      <c r="EI321" s="303"/>
      <c r="EJ321" s="279"/>
      <c r="EK321" s="150"/>
      <c r="EL321" s="150"/>
      <c r="EM321" s="150"/>
      <c r="EN321" s="150"/>
      <c r="EO321" s="150"/>
      <c r="EP321" s="150"/>
      <c r="EQ321" s="150"/>
      <c r="ER321" s="150"/>
      <c r="ES321" s="303"/>
      <c r="ET321" s="303"/>
      <c r="EU321" s="150"/>
      <c r="EV321" s="150"/>
      <c r="EW321" s="150"/>
      <c r="EX321" s="150"/>
      <c r="EY321" s="150"/>
      <c r="EZ321" s="150"/>
      <c r="FA321" s="150"/>
      <c r="FB321" s="150"/>
      <c r="FC321" s="152"/>
      <c r="FD321" s="152"/>
      <c r="FE321" s="150"/>
      <c r="FF321" s="150"/>
      <c r="FG321" s="150"/>
      <c r="FH321" s="150"/>
      <c r="FI321" s="150"/>
      <c r="FJ321" s="150"/>
      <c r="FK321" s="150"/>
      <c r="FL321" s="150"/>
      <c r="FM321" s="152"/>
      <c r="FN321" s="152"/>
      <c r="FO321" s="150"/>
      <c r="FP321" s="150"/>
      <c r="FQ321" s="150"/>
      <c r="FR321" s="150"/>
      <c r="FS321" s="150"/>
      <c r="FT321" s="150"/>
      <c r="FU321" s="150"/>
      <c r="FV321" s="150"/>
      <c r="FW321" s="152"/>
      <c r="FX321" s="152"/>
      <c r="FY321" s="150"/>
      <c r="FZ321" s="150"/>
      <c r="GA321" s="150"/>
      <c r="GB321" s="150"/>
      <c r="GC321" s="150"/>
      <c r="GD321" s="150"/>
      <c r="GE321" s="150"/>
      <c r="GF321" s="150"/>
      <c r="GG321" s="152"/>
      <c r="GH321" s="152"/>
      <c r="GI321" s="150"/>
      <c r="GJ321" s="150"/>
      <c r="GK321" s="150"/>
      <c r="GL321" s="150"/>
      <c r="GM321" s="150"/>
      <c r="GN321" s="150"/>
      <c r="GO321" s="150"/>
      <c r="GP321" s="150"/>
      <c r="GQ321" s="152"/>
      <c r="GR321" s="152"/>
      <c r="GS321" s="134"/>
      <c r="GT321" s="134"/>
      <c r="GU321" s="134"/>
      <c r="GV321" s="134"/>
      <c r="GW321" s="134"/>
      <c r="GX321" s="134"/>
      <c r="GY321" s="134"/>
      <c r="GZ321" s="134"/>
      <c r="HA321" s="135"/>
      <c r="HB321" s="135"/>
      <c r="HC321" s="134"/>
      <c r="HD321" s="134"/>
      <c r="HE321" s="134"/>
      <c r="HF321" s="134"/>
      <c r="HG321" s="134"/>
      <c r="HH321" s="134"/>
      <c r="HI321" s="134"/>
      <c r="HJ321" s="134"/>
      <c r="HK321" s="135"/>
      <c r="HL321" s="135"/>
      <c r="HM321" s="134"/>
      <c r="HN321" s="134"/>
      <c r="HO321" s="134"/>
      <c r="HP321" s="134"/>
      <c r="HQ321" s="134"/>
      <c r="HR321" s="134"/>
      <c r="HS321" s="134"/>
      <c r="HT321" s="134"/>
      <c r="HU321" s="135"/>
      <c r="HV321" s="135"/>
      <c r="HW321" s="134"/>
      <c r="HX321" s="134"/>
      <c r="HY321" s="134"/>
      <c r="HZ321" s="134"/>
      <c r="IA321" s="134"/>
      <c r="IB321" s="134"/>
      <c r="IC321" s="134"/>
      <c r="ID321" s="134"/>
      <c r="IE321" s="135"/>
      <c r="IF321" s="135"/>
      <c r="IG321" s="134"/>
      <c r="IH321" s="134"/>
      <c r="II321" s="134"/>
      <c r="IJ321" s="134"/>
      <c r="IK321" s="134"/>
      <c r="IL321" s="134"/>
      <c r="IM321" s="134"/>
      <c r="IN321" s="134"/>
      <c r="IO321" s="135"/>
      <c r="IP321" s="135"/>
      <c r="IQ321" s="134"/>
      <c r="IR321" s="134"/>
      <c r="IS321" s="134"/>
      <c r="IT321" s="134"/>
      <c r="IU321" s="134"/>
      <c r="IV321" s="134"/>
      <c r="IW321" s="134"/>
      <c r="IX321" s="134"/>
      <c r="IY321" s="135"/>
      <c r="IZ321" s="135"/>
    </row>
    <row r="322" spans="1:260" customFormat="1" ht="17" customHeight="1">
      <c r="A322" s="79" t="s">
        <v>289</v>
      </c>
      <c r="B322" s="117">
        <v>207</v>
      </c>
      <c r="C322" s="117">
        <v>73</v>
      </c>
      <c r="D322" s="117"/>
      <c r="E322" s="123" t="s">
        <v>2015</v>
      </c>
      <c r="F322" s="124" t="s">
        <v>2247</v>
      </c>
      <c r="G322" s="125">
        <v>2011</v>
      </c>
      <c r="H322" s="79">
        <v>21715297</v>
      </c>
      <c r="I322" s="79">
        <v>1</v>
      </c>
      <c r="J322" s="126"/>
      <c r="K322" s="127"/>
      <c r="L322" s="79">
        <v>1</v>
      </c>
      <c r="M322" s="79"/>
      <c r="N322" s="79">
        <v>1</v>
      </c>
      <c r="O322" s="128">
        <v>1</v>
      </c>
      <c r="P322" s="79" t="s">
        <v>755</v>
      </c>
      <c r="Q322" s="79" t="s">
        <v>1147</v>
      </c>
      <c r="R322" s="79" t="s">
        <v>25</v>
      </c>
      <c r="S322" s="79">
        <v>1</v>
      </c>
      <c r="T322" s="79"/>
      <c r="U322" s="79"/>
      <c r="V322" s="79"/>
      <c r="W322" s="79" t="s">
        <v>756</v>
      </c>
      <c r="X322" s="79" t="s">
        <v>24</v>
      </c>
      <c r="Y322" s="79" t="s">
        <v>757</v>
      </c>
      <c r="Z322" s="79"/>
      <c r="AA322" s="79"/>
      <c r="AB322" s="79"/>
      <c r="AC322" s="506"/>
      <c r="AD322" s="573">
        <v>1</v>
      </c>
      <c r="AE322" s="573">
        <v>2</v>
      </c>
      <c r="AF322" s="233" t="s">
        <v>3003</v>
      </c>
      <c r="AG322" s="234" t="s">
        <v>5511</v>
      </c>
      <c r="AH322" s="121">
        <v>2</v>
      </c>
      <c r="AI322" s="484" t="s">
        <v>5509</v>
      </c>
      <c r="AJ322" s="213" t="s">
        <v>5498</v>
      </c>
      <c r="AK322" s="192">
        <v>0</v>
      </c>
      <c r="AL322" s="203" t="s">
        <v>24</v>
      </c>
      <c r="AM322" s="121">
        <v>416</v>
      </c>
      <c r="AN322" s="121">
        <v>54</v>
      </c>
      <c r="AO322" s="121">
        <f>Table665[[#This Row],[Subjects_n]]-Table665[[#This Row],[Subjects_n_ptsd]]</f>
        <v>362</v>
      </c>
      <c r="AP322" s="121" t="s">
        <v>803</v>
      </c>
      <c r="AQ322" s="121" t="s">
        <v>803</v>
      </c>
      <c r="AR322" s="121" t="s">
        <v>5496</v>
      </c>
      <c r="AS322" s="121" t="s">
        <v>5497</v>
      </c>
      <c r="AT322" s="121" t="s">
        <v>5496</v>
      </c>
      <c r="AU322" s="121" t="s">
        <v>5497</v>
      </c>
      <c r="AV322" s="121" t="s">
        <v>4249</v>
      </c>
      <c r="AW322" s="121" t="s">
        <v>24</v>
      </c>
      <c r="AX322" s="121" t="s">
        <v>24</v>
      </c>
      <c r="AY322" s="121" t="s">
        <v>2423</v>
      </c>
      <c r="AZ322" s="121" t="s">
        <v>3835</v>
      </c>
      <c r="BA322" s="121" t="s">
        <v>5499</v>
      </c>
      <c r="BB322" s="121"/>
      <c r="BC322" s="121"/>
      <c r="BD322" s="156"/>
      <c r="BE322" s="156"/>
      <c r="BF322" s="156"/>
      <c r="BG322" s="156"/>
      <c r="BH322" s="156"/>
      <c r="BI322" s="156" t="s">
        <v>4727</v>
      </c>
      <c r="BJ322" s="156">
        <v>1</v>
      </c>
      <c r="BK322" s="156"/>
      <c r="BL322" s="156"/>
      <c r="BM322" s="156"/>
      <c r="BN322" s="156" t="s">
        <v>4727</v>
      </c>
      <c r="BO322" s="156"/>
      <c r="BP322" s="156"/>
      <c r="BQ322" s="157" t="s">
        <v>5501</v>
      </c>
      <c r="BR322" s="134" t="s">
        <v>1876</v>
      </c>
      <c r="BS322" s="134" t="s">
        <v>5502</v>
      </c>
      <c r="BT322" s="134" t="s">
        <v>5500</v>
      </c>
      <c r="BU322" s="134" t="s">
        <v>24</v>
      </c>
      <c r="BV322" s="134" t="s">
        <v>5503</v>
      </c>
      <c r="BW322" s="259" t="s">
        <v>5506</v>
      </c>
      <c r="BX322" s="138" t="s">
        <v>5504</v>
      </c>
      <c r="BY322" s="134">
        <v>105</v>
      </c>
      <c r="BZ322" s="134" t="s">
        <v>2882</v>
      </c>
      <c r="CA322" s="134" t="s">
        <v>24</v>
      </c>
      <c r="CB322" s="138" t="s">
        <v>5505</v>
      </c>
      <c r="CC322" s="134">
        <v>111</v>
      </c>
      <c r="CD322" s="134" t="s">
        <v>2882</v>
      </c>
      <c r="CE322" s="134" t="s">
        <v>24</v>
      </c>
      <c r="CF322" s="288" t="s">
        <v>5508</v>
      </c>
      <c r="CG322" s="289" t="s">
        <v>5507</v>
      </c>
      <c r="CH322" s="138" t="s">
        <v>24</v>
      </c>
      <c r="CI322" s="134" t="s">
        <v>24</v>
      </c>
      <c r="CJ322" s="134" t="s">
        <v>24</v>
      </c>
      <c r="CK322" s="134" t="s">
        <v>24</v>
      </c>
      <c r="CL322" s="134" t="s">
        <v>24</v>
      </c>
      <c r="CM322" s="134" t="s">
        <v>24</v>
      </c>
      <c r="CN322" s="134" t="s">
        <v>24</v>
      </c>
      <c r="CO322" s="134" t="s">
        <v>24</v>
      </c>
      <c r="CP322" s="288"/>
      <c r="CQ322" s="289"/>
      <c r="CR322" s="276"/>
      <c r="CS322" s="308"/>
      <c r="CT322" s="138"/>
      <c r="CU322" s="134"/>
      <c r="CV322" s="134"/>
      <c r="CW322" s="134"/>
      <c r="CX322" s="134"/>
      <c r="CY322" s="134"/>
      <c r="CZ322" s="134"/>
      <c r="DA322" s="134"/>
      <c r="DB322" s="300"/>
      <c r="DC322" s="301"/>
      <c r="DD322" s="3"/>
      <c r="DE322" s="3"/>
      <c r="DF322" s="168"/>
      <c r="DG322" s="134"/>
      <c r="DH322" s="168"/>
      <c r="DI322" s="134"/>
      <c r="DJ322" s="168"/>
      <c r="DK322" s="134"/>
      <c r="DL322" s="304"/>
      <c r="DM322" s="312"/>
      <c r="DN322" s="276"/>
      <c r="DO322" s="277"/>
      <c r="DP322" s="134"/>
      <c r="DQ322" s="134"/>
      <c r="DR322" s="134"/>
      <c r="DS322" s="134"/>
      <c r="DT322" s="138"/>
      <c r="DU322" s="134"/>
      <c r="DV322" s="134"/>
      <c r="DW322" s="134"/>
      <c r="DX322" s="301"/>
      <c r="DY322" s="301"/>
      <c r="DZ322" s="138"/>
      <c r="EA322" s="134"/>
      <c r="EB322" s="134"/>
      <c r="EC322" s="134"/>
      <c r="ED322" s="138"/>
      <c r="EE322" s="134"/>
      <c r="EF322" s="134"/>
      <c r="EG322" s="134"/>
      <c r="EH322" s="301"/>
      <c r="EI322" s="301"/>
      <c r="EJ322" s="277"/>
      <c r="EK322" s="134"/>
      <c r="EL322" s="134"/>
      <c r="EM322" s="134"/>
      <c r="EN322" s="134"/>
      <c r="EO322" s="134"/>
      <c r="EP322" s="134"/>
      <c r="EQ322" s="134"/>
      <c r="ER322" s="134"/>
      <c r="ES322" s="301"/>
      <c r="ET322" s="301"/>
      <c r="EU322" s="134"/>
      <c r="EV322" s="134"/>
      <c r="EW322" s="134"/>
      <c r="EX322" s="134"/>
      <c r="EY322" s="134"/>
      <c r="EZ322" s="134"/>
      <c r="FA322" s="134"/>
      <c r="FB322" s="134"/>
      <c r="FC322" s="135"/>
      <c r="FD322" s="135"/>
      <c r="FE322" s="134"/>
      <c r="FF322" s="134"/>
      <c r="FG322" s="134"/>
      <c r="FH322" s="134"/>
      <c r="FI322" s="134"/>
      <c r="FJ322" s="134"/>
      <c r="FK322" s="134"/>
      <c r="FL322" s="134"/>
      <c r="FM322" s="135"/>
      <c r="FN322" s="135"/>
      <c r="FO322" s="134"/>
      <c r="FP322" s="134"/>
      <c r="FQ322" s="134"/>
      <c r="FR322" s="134"/>
      <c r="FS322" s="134"/>
      <c r="FT322" s="134"/>
      <c r="FU322" s="134"/>
      <c r="FV322" s="134"/>
      <c r="FW322" s="135"/>
      <c r="FX322" s="135"/>
      <c r="FY322" s="134"/>
      <c r="FZ322" s="134"/>
      <c r="GA322" s="134"/>
      <c r="GB322" s="134"/>
      <c r="GC322" s="134"/>
      <c r="GD322" s="134"/>
      <c r="GE322" s="134"/>
      <c r="GF322" s="134"/>
      <c r="GG322" s="135"/>
      <c r="GH322" s="135"/>
      <c r="GI322" s="134"/>
      <c r="GJ322" s="134"/>
      <c r="GK322" s="134"/>
      <c r="GL322" s="134"/>
      <c r="GM322" s="134"/>
      <c r="GN322" s="134"/>
      <c r="GO322" s="134"/>
      <c r="GP322" s="134"/>
      <c r="GQ322" s="135"/>
      <c r="GR322" s="135"/>
      <c r="GS322" s="134"/>
      <c r="GT322" s="134"/>
      <c r="GU322" s="134"/>
      <c r="GV322" s="134"/>
      <c r="GW322" s="134"/>
      <c r="GX322" s="134"/>
      <c r="GY322" s="134"/>
      <c r="GZ322" s="134"/>
      <c r="HA322" s="135"/>
      <c r="HB322" s="135"/>
      <c r="HC322" s="134"/>
      <c r="HD322" s="134"/>
      <c r="HE322" s="134"/>
      <c r="HF322" s="134"/>
      <c r="HG322" s="134"/>
      <c r="HH322" s="134"/>
      <c r="HI322" s="134"/>
      <c r="HJ322" s="134"/>
      <c r="HK322" s="135"/>
      <c r="HL322" s="135"/>
      <c r="HM322" s="134"/>
      <c r="HN322" s="134"/>
      <c r="HO322" s="134"/>
      <c r="HP322" s="134"/>
      <c r="HQ322" s="134"/>
      <c r="HR322" s="134"/>
      <c r="HS322" s="134"/>
      <c r="HT322" s="134"/>
      <c r="HU322" s="135"/>
      <c r="HV322" s="135"/>
      <c r="HW322" s="134"/>
      <c r="HX322" s="134"/>
      <c r="HY322" s="134"/>
      <c r="HZ322" s="134"/>
      <c r="IA322" s="134"/>
      <c r="IB322" s="134"/>
      <c r="IC322" s="134"/>
      <c r="ID322" s="134"/>
      <c r="IE322" s="135"/>
      <c r="IF322" s="135"/>
      <c r="IG322" s="134"/>
      <c r="IH322" s="134"/>
      <c r="II322" s="134"/>
      <c r="IJ322" s="134"/>
      <c r="IK322" s="134"/>
      <c r="IL322" s="134"/>
      <c r="IM322" s="134"/>
      <c r="IN322" s="134"/>
      <c r="IO322" s="135"/>
      <c r="IP322" s="135"/>
      <c r="IQ322" s="134"/>
      <c r="IR322" s="134"/>
      <c r="IS322" s="134"/>
      <c r="IT322" s="134"/>
      <c r="IU322" s="134"/>
      <c r="IV322" s="134"/>
      <c r="IW322" s="134"/>
      <c r="IX322" s="134"/>
      <c r="IY322" s="135"/>
      <c r="IZ322" s="135"/>
    </row>
    <row r="323" spans="1:260" customFormat="1" ht="17" customHeight="1">
      <c r="A323" s="79" t="s">
        <v>291</v>
      </c>
      <c r="B323" s="117">
        <v>209</v>
      </c>
      <c r="C323" s="117">
        <v>74</v>
      </c>
      <c r="D323" s="117"/>
      <c r="E323" s="123" t="s">
        <v>2017</v>
      </c>
      <c r="F323" s="124" t="s">
        <v>2249</v>
      </c>
      <c r="G323" s="125">
        <v>2013</v>
      </c>
      <c r="H323" s="79">
        <v>23755991</v>
      </c>
      <c r="I323" s="79">
        <v>1</v>
      </c>
      <c r="J323" s="126"/>
      <c r="K323" s="127"/>
      <c r="L323" s="79">
        <v>1</v>
      </c>
      <c r="M323" s="79"/>
      <c r="N323" s="79">
        <v>1</v>
      </c>
      <c r="O323" s="128">
        <v>1</v>
      </c>
      <c r="P323" s="79" t="s">
        <v>1914</v>
      </c>
      <c r="Q323" s="79" t="s">
        <v>1160</v>
      </c>
      <c r="R323" s="79" t="s">
        <v>762</v>
      </c>
      <c r="S323" s="79">
        <v>1</v>
      </c>
      <c r="T323" s="79"/>
      <c r="U323" s="79"/>
      <c r="V323" s="79"/>
      <c r="W323" s="79" t="s">
        <v>763</v>
      </c>
      <c r="X323" s="79"/>
      <c r="Y323" s="79"/>
      <c r="Z323" s="79"/>
      <c r="AA323" s="79"/>
      <c r="AB323" s="79"/>
      <c r="AC323" s="506"/>
      <c r="AD323" s="573">
        <v>1</v>
      </c>
      <c r="AE323" s="573">
        <v>2</v>
      </c>
      <c r="AF323" s="154">
        <v>1</v>
      </c>
      <c r="AG323" s="155"/>
      <c r="AH323" s="121">
        <v>2</v>
      </c>
      <c r="AI323" s="484"/>
      <c r="AJ323" s="202" t="s">
        <v>5512</v>
      </c>
      <c r="AK323" s="192">
        <v>1</v>
      </c>
      <c r="AL323" s="203" t="s">
        <v>24</v>
      </c>
      <c r="AM323" s="121">
        <f>Table665[[#This Row],[Subjects_n_ptsd]]+Table665[[#This Row],[Subjects_n_control]]</f>
        <v>40</v>
      </c>
      <c r="AN323" s="121">
        <v>19</v>
      </c>
      <c r="AO323" s="121">
        <v>21</v>
      </c>
      <c r="AP323" s="121" t="s">
        <v>5515</v>
      </c>
      <c r="AQ323" s="121" t="s">
        <v>5516</v>
      </c>
      <c r="AR323" s="121">
        <v>32.47</v>
      </c>
      <c r="AS323" s="121">
        <v>6.96</v>
      </c>
      <c r="AT323" s="121">
        <v>34</v>
      </c>
      <c r="AU323" s="121">
        <v>8.92</v>
      </c>
      <c r="AV323" s="121" t="s">
        <v>5510</v>
      </c>
      <c r="AW323" s="121" t="s">
        <v>24</v>
      </c>
      <c r="AX323" s="121" t="s">
        <v>24</v>
      </c>
      <c r="AY323" s="121" t="s">
        <v>2423</v>
      </c>
      <c r="AZ323" s="121" t="s">
        <v>3835</v>
      </c>
      <c r="BA323" s="121" t="s">
        <v>5513</v>
      </c>
      <c r="BB323" s="121"/>
      <c r="BC323" s="121"/>
      <c r="BD323" s="156"/>
      <c r="BE323" s="156"/>
      <c r="BF323" s="156"/>
      <c r="BG323" s="156"/>
      <c r="BH323" s="156"/>
      <c r="BI323" s="156" t="s">
        <v>4727</v>
      </c>
      <c r="BJ323" s="156">
        <v>1</v>
      </c>
      <c r="BK323" s="156"/>
      <c r="BL323" s="156"/>
      <c r="BM323" s="156"/>
      <c r="BN323" s="156" t="s">
        <v>4727</v>
      </c>
      <c r="BO323" s="156"/>
      <c r="BP323" s="156"/>
      <c r="BQ323" s="157" t="s">
        <v>5539</v>
      </c>
      <c r="BR323" s="134" t="s">
        <v>1876</v>
      </c>
      <c r="BS323" s="134" t="s">
        <v>5518</v>
      </c>
      <c r="BT323" s="134" t="s">
        <v>5514</v>
      </c>
      <c r="BU323" s="134" t="s">
        <v>24</v>
      </c>
      <c r="BV323" s="134" t="s">
        <v>5519</v>
      </c>
      <c r="BW323" s="259" t="s">
        <v>5530</v>
      </c>
      <c r="BX323" s="138" t="s">
        <v>5521</v>
      </c>
      <c r="BY323" s="134">
        <v>45.37</v>
      </c>
      <c r="BZ323" s="134">
        <v>12.85</v>
      </c>
      <c r="CA323" s="134" t="s">
        <v>24</v>
      </c>
      <c r="CB323" s="427" t="s">
        <v>5522</v>
      </c>
      <c r="CC323" s="134">
        <v>48.76</v>
      </c>
      <c r="CD323" s="134">
        <v>9.66</v>
      </c>
      <c r="CE323" s="134" t="s">
        <v>24</v>
      </c>
      <c r="CF323" s="288" t="s">
        <v>5529</v>
      </c>
      <c r="CG323" s="289" t="s">
        <v>5532</v>
      </c>
      <c r="CH323" s="138" t="s">
        <v>24</v>
      </c>
      <c r="CI323" s="134" t="s">
        <v>24</v>
      </c>
      <c r="CJ323" s="134" t="s">
        <v>24</v>
      </c>
      <c r="CK323" s="134" t="s">
        <v>24</v>
      </c>
      <c r="CL323" s="134" t="s">
        <v>24</v>
      </c>
      <c r="CM323" s="134" t="s">
        <v>24</v>
      </c>
      <c r="CN323" s="134" t="s">
        <v>24</v>
      </c>
      <c r="CO323" s="134" t="s">
        <v>24</v>
      </c>
      <c r="CP323" s="288"/>
      <c r="CQ323" s="289"/>
      <c r="CR323" s="276"/>
      <c r="CS323" s="308"/>
      <c r="CT323" s="138" t="s">
        <v>24</v>
      </c>
      <c r="CU323" s="134" t="s">
        <v>24</v>
      </c>
      <c r="CV323" s="134" t="s">
        <v>24</v>
      </c>
      <c r="CW323" s="134" t="s">
        <v>24</v>
      </c>
      <c r="CX323" s="134" t="s">
        <v>24</v>
      </c>
      <c r="CY323" s="134" t="s">
        <v>24</v>
      </c>
      <c r="CZ323" s="134" t="s">
        <v>24</v>
      </c>
      <c r="DA323" s="134" t="s">
        <v>24</v>
      </c>
      <c r="DB323" s="300"/>
      <c r="DC323" s="301"/>
      <c r="DD323" s="3"/>
      <c r="DE323" s="3"/>
      <c r="DF323" s="134"/>
      <c r="DG323" s="134"/>
      <c r="DH323" s="134"/>
      <c r="DI323" s="134"/>
      <c r="DJ323" s="134"/>
      <c r="DK323" s="134"/>
      <c r="DL323" s="300"/>
      <c r="DM323" s="301"/>
      <c r="DN323" s="276"/>
      <c r="DO323" s="277"/>
      <c r="DP323" s="134"/>
      <c r="DQ323" s="134"/>
      <c r="DR323" s="134"/>
      <c r="DS323" s="134"/>
      <c r="DT323" s="138"/>
      <c r="DU323" s="134"/>
      <c r="DV323" s="134"/>
      <c r="DW323" s="134"/>
      <c r="DX323" s="301"/>
      <c r="DY323" s="301"/>
      <c r="DZ323" s="138"/>
      <c r="EA323" s="134"/>
      <c r="EB323" s="134"/>
      <c r="EC323" s="134"/>
      <c r="ED323" s="138"/>
      <c r="EE323" s="134"/>
      <c r="EF323" s="134"/>
      <c r="EG323" s="134"/>
      <c r="EH323" s="301"/>
      <c r="EI323" s="301"/>
      <c r="EJ323" s="277"/>
      <c r="EK323" s="134"/>
      <c r="EL323" s="134"/>
      <c r="EM323" s="134"/>
      <c r="EN323" s="134"/>
      <c r="EO323" s="134"/>
      <c r="EP323" s="134"/>
      <c r="EQ323" s="134"/>
      <c r="ER323" s="134"/>
      <c r="ES323" s="301"/>
      <c r="ET323" s="301"/>
      <c r="EU323" s="134"/>
      <c r="EV323" s="134"/>
      <c r="EW323" s="134"/>
      <c r="EX323" s="134"/>
      <c r="EY323" s="134"/>
      <c r="EZ323" s="134"/>
      <c r="FA323" s="134"/>
      <c r="FB323" s="134"/>
      <c r="FC323" s="135"/>
      <c r="FD323" s="135"/>
      <c r="FE323" s="134"/>
      <c r="FF323" s="134"/>
      <c r="FG323" s="134"/>
      <c r="FH323" s="134"/>
      <c r="FI323" s="134"/>
      <c r="FJ323" s="134"/>
      <c r="FK323" s="134"/>
      <c r="FL323" s="134"/>
      <c r="FM323" s="135"/>
      <c r="FN323" s="135"/>
      <c r="FO323" s="134"/>
      <c r="FP323" s="134"/>
      <c r="FQ323" s="134"/>
      <c r="FR323" s="134"/>
      <c r="FS323" s="134"/>
      <c r="FT323" s="134"/>
      <c r="FU323" s="134"/>
      <c r="FV323" s="134"/>
      <c r="FW323" s="135"/>
      <c r="FX323" s="135"/>
      <c r="FY323" s="134"/>
      <c r="FZ323" s="134"/>
      <c r="GA323" s="134"/>
      <c r="GB323" s="134"/>
      <c r="GC323" s="134"/>
      <c r="GD323" s="134"/>
      <c r="GE323" s="134"/>
      <c r="GF323" s="134"/>
      <c r="GG323" s="135"/>
      <c r="GH323" s="135"/>
      <c r="GI323" s="134"/>
      <c r="GJ323" s="134"/>
      <c r="GK323" s="134"/>
      <c r="GL323" s="134"/>
      <c r="GM323" s="134"/>
      <c r="GN323" s="134"/>
      <c r="GO323" s="134"/>
      <c r="GP323" s="134"/>
      <c r="GQ323" s="135"/>
      <c r="GR323" s="135"/>
      <c r="GS323" s="134"/>
      <c r="GT323" s="134"/>
      <c r="GU323" s="134"/>
      <c r="GV323" s="134"/>
      <c r="GW323" s="134"/>
      <c r="GX323" s="134"/>
      <c r="GY323" s="134"/>
      <c r="GZ323" s="134"/>
      <c r="HA323" s="135"/>
      <c r="HB323" s="135"/>
      <c r="HC323" s="134"/>
      <c r="HD323" s="134"/>
      <c r="HE323" s="134"/>
      <c r="HF323" s="134"/>
      <c r="HG323" s="134"/>
      <c r="HH323" s="134"/>
      <c r="HI323" s="134"/>
      <c r="HJ323" s="134"/>
      <c r="HK323" s="135"/>
      <c r="HL323" s="135"/>
      <c r="HM323" s="134"/>
      <c r="HN323" s="134"/>
      <c r="HO323" s="134"/>
      <c r="HP323" s="134"/>
      <c r="HQ323" s="134"/>
      <c r="HR323" s="134"/>
      <c r="HS323" s="134"/>
      <c r="HT323" s="134"/>
      <c r="HU323" s="135"/>
      <c r="HV323" s="135"/>
      <c r="HW323" s="134"/>
      <c r="HX323" s="134"/>
      <c r="HY323" s="134"/>
      <c r="HZ323" s="134"/>
      <c r="IA323" s="134"/>
      <c r="IB323" s="134"/>
      <c r="IC323" s="134"/>
      <c r="ID323" s="134"/>
      <c r="IE323" s="135"/>
      <c r="IF323" s="135"/>
      <c r="IG323" s="134"/>
      <c r="IH323" s="134"/>
      <c r="II323" s="134"/>
      <c r="IJ323" s="134"/>
      <c r="IK323" s="134"/>
      <c r="IL323" s="134"/>
      <c r="IM323" s="134"/>
      <c r="IN323" s="134"/>
      <c r="IO323" s="135"/>
      <c r="IP323" s="135"/>
      <c r="IQ323" s="134"/>
      <c r="IR323" s="134"/>
      <c r="IS323" s="134"/>
      <c r="IT323" s="134"/>
      <c r="IU323" s="134"/>
      <c r="IV323" s="134"/>
      <c r="IW323" s="134"/>
      <c r="IX323" s="134"/>
      <c r="IY323" s="135"/>
      <c r="IZ323" s="135"/>
    </row>
    <row r="324" spans="1:260" customFormat="1" ht="17" customHeight="1">
      <c r="A324" s="118" t="s">
        <v>291</v>
      </c>
      <c r="B324" s="381">
        <v>209</v>
      </c>
      <c r="C324" s="381">
        <v>74</v>
      </c>
      <c r="D324" s="381"/>
      <c r="E324" s="139" t="s">
        <v>2017</v>
      </c>
      <c r="F324" s="140" t="s">
        <v>2249</v>
      </c>
      <c r="G324" s="141">
        <v>2013</v>
      </c>
      <c r="H324" s="118">
        <v>23755991</v>
      </c>
      <c r="I324" s="118">
        <v>1</v>
      </c>
      <c r="J324" s="118"/>
      <c r="K324" s="118"/>
      <c r="L324" s="118">
        <v>1</v>
      </c>
      <c r="M324" s="118"/>
      <c r="N324" s="118">
        <v>1</v>
      </c>
      <c r="O324" s="142">
        <v>1</v>
      </c>
      <c r="P324" s="118" t="s">
        <v>1914</v>
      </c>
      <c r="Q324" s="118" t="s">
        <v>1160</v>
      </c>
      <c r="R324" s="118" t="s">
        <v>762</v>
      </c>
      <c r="S324" s="118">
        <v>1</v>
      </c>
      <c r="T324" s="118"/>
      <c r="U324" s="118"/>
      <c r="V324" s="118"/>
      <c r="W324" s="118" t="s">
        <v>763</v>
      </c>
      <c r="X324" s="118"/>
      <c r="Y324" s="118"/>
      <c r="Z324" s="118"/>
      <c r="AA324" s="118"/>
      <c r="AB324" s="118"/>
      <c r="AC324" s="145"/>
      <c r="AD324" s="573">
        <v>1</v>
      </c>
      <c r="AE324" s="573">
        <v>2</v>
      </c>
      <c r="AF324" s="159">
        <v>1</v>
      </c>
      <c r="AG324" s="160"/>
      <c r="AH324" s="122">
        <v>2</v>
      </c>
      <c r="AI324" s="485"/>
      <c r="AJ324" s="204" t="s">
        <v>5512</v>
      </c>
      <c r="AK324" s="192">
        <v>1</v>
      </c>
      <c r="AL324" s="205" t="s">
        <v>24</v>
      </c>
      <c r="AM324" s="122">
        <f>Table665[[#This Row],[Subjects_n_ptsd]]+Table665[[#This Row],[Subjects_n_control]]</f>
        <v>40</v>
      </c>
      <c r="AN324" s="122">
        <v>19</v>
      </c>
      <c r="AO324" s="122">
        <v>21</v>
      </c>
      <c r="AP324" s="122" t="s">
        <v>5515</v>
      </c>
      <c r="AQ324" s="122" t="s">
        <v>5516</v>
      </c>
      <c r="AR324" s="122">
        <v>32.47</v>
      </c>
      <c r="AS324" s="122">
        <v>6.96</v>
      </c>
      <c r="AT324" s="122">
        <v>34</v>
      </c>
      <c r="AU324" s="122">
        <v>8.92</v>
      </c>
      <c r="AV324" s="122" t="s">
        <v>5510</v>
      </c>
      <c r="AW324" s="122" t="s">
        <v>24</v>
      </c>
      <c r="AX324" s="122" t="s">
        <v>24</v>
      </c>
      <c r="AY324" s="122" t="s">
        <v>2423</v>
      </c>
      <c r="AZ324" s="122" t="s">
        <v>3835</v>
      </c>
      <c r="BA324" s="122" t="s">
        <v>5513</v>
      </c>
      <c r="BB324" s="122"/>
      <c r="BC324" s="122"/>
      <c r="BD324" s="161"/>
      <c r="BE324" s="161"/>
      <c r="BF324" s="161"/>
      <c r="BG324" s="161"/>
      <c r="BH324" s="161"/>
      <c r="BI324" s="161" t="s">
        <v>4727</v>
      </c>
      <c r="BJ324" s="161">
        <v>1</v>
      </c>
      <c r="BK324" s="161"/>
      <c r="BL324" s="161"/>
      <c r="BM324" s="161"/>
      <c r="BN324" s="161" t="s">
        <v>4727</v>
      </c>
      <c r="BO324" s="161"/>
      <c r="BP324" s="161"/>
      <c r="BQ324" s="162" t="s">
        <v>5540</v>
      </c>
      <c r="BR324" s="150" t="s">
        <v>1876</v>
      </c>
      <c r="BS324" s="150" t="s">
        <v>5518</v>
      </c>
      <c r="BT324" s="150" t="s">
        <v>5517</v>
      </c>
      <c r="BU324" s="150" t="s">
        <v>24</v>
      </c>
      <c r="BV324" s="150" t="s">
        <v>5520</v>
      </c>
      <c r="BW324" s="258" t="s">
        <v>5538</v>
      </c>
      <c r="BX324" s="151" t="s">
        <v>5523</v>
      </c>
      <c r="BY324" s="150">
        <v>46.26</v>
      </c>
      <c r="BZ324" s="150">
        <v>8.41</v>
      </c>
      <c r="CA324" s="150" t="s">
        <v>24</v>
      </c>
      <c r="CB324" s="151" t="s">
        <v>5524</v>
      </c>
      <c r="CC324" s="150">
        <v>55</v>
      </c>
      <c r="CD324" s="150">
        <v>7.73</v>
      </c>
      <c r="CE324" s="150" t="s">
        <v>24</v>
      </c>
      <c r="CF324" s="290" t="s">
        <v>5533</v>
      </c>
      <c r="CG324" s="291" t="s">
        <v>5531</v>
      </c>
      <c r="CH324" s="151" t="s">
        <v>5525</v>
      </c>
      <c r="CI324" s="150">
        <v>-0.24</v>
      </c>
      <c r="CJ324" s="150">
        <v>0.89</v>
      </c>
      <c r="CK324" s="150" t="s">
        <v>24</v>
      </c>
      <c r="CL324" s="151" t="s">
        <v>5526</v>
      </c>
      <c r="CM324" s="150">
        <v>0.38</v>
      </c>
      <c r="CN324" s="150">
        <v>0.69</v>
      </c>
      <c r="CO324" s="150" t="s">
        <v>24</v>
      </c>
      <c r="CP324" s="290" t="s">
        <v>5534</v>
      </c>
      <c r="CQ324" s="291" t="s">
        <v>5536</v>
      </c>
      <c r="CR324" s="278" t="s">
        <v>24</v>
      </c>
      <c r="CS324" s="285" t="s">
        <v>24</v>
      </c>
      <c r="CT324" s="151" t="s">
        <v>5527</v>
      </c>
      <c r="CU324" s="150">
        <v>-0.05</v>
      </c>
      <c r="CV324" s="150">
        <v>0.94</v>
      </c>
      <c r="CW324" s="150" t="s">
        <v>24</v>
      </c>
      <c r="CX324" s="151" t="s">
        <v>5528</v>
      </c>
      <c r="CY324" s="150">
        <v>0.14000000000000001</v>
      </c>
      <c r="CZ324" s="150">
        <v>0.85</v>
      </c>
      <c r="DA324" s="150" t="s">
        <v>24</v>
      </c>
      <c r="DB324" s="302" t="s">
        <v>5535</v>
      </c>
      <c r="DC324" s="303" t="s">
        <v>5537</v>
      </c>
      <c r="DD324" s="229"/>
      <c r="DE324" s="229"/>
      <c r="DF324" s="150"/>
      <c r="DG324" s="150"/>
      <c r="DH324" s="150"/>
      <c r="DI324" s="150"/>
      <c r="DJ324" s="150"/>
      <c r="DK324" s="150"/>
      <c r="DL324" s="302"/>
      <c r="DM324" s="303"/>
      <c r="DN324" s="278"/>
      <c r="DO324" s="279"/>
      <c r="DP324" s="150"/>
      <c r="DQ324" s="150"/>
      <c r="DR324" s="150"/>
      <c r="DS324" s="150"/>
      <c r="DT324" s="151"/>
      <c r="DU324" s="150"/>
      <c r="DV324" s="150"/>
      <c r="DW324" s="150"/>
      <c r="DX324" s="303"/>
      <c r="DY324" s="303"/>
      <c r="DZ324" s="151"/>
      <c r="EA324" s="150"/>
      <c r="EB324" s="150"/>
      <c r="EC324" s="150"/>
      <c r="ED324" s="151"/>
      <c r="EE324" s="150"/>
      <c r="EF324" s="150"/>
      <c r="EG324" s="150"/>
      <c r="EH324" s="303"/>
      <c r="EI324" s="303"/>
      <c r="EJ324" s="279"/>
      <c r="EK324" s="150"/>
      <c r="EL324" s="150"/>
      <c r="EM324" s="150"/>
      <c r="EN324" s="150"/>
      <c r="EO324" s="150"/>
      <c r="EP324" s="150"/>
      <c r="EQ324" s="150"/>
      <c r="ER324" s="150"/>
      <c r="ES324" s="303"/>
      <c r="ET324" s="303"/>
      <c r="EU324" s="150"/>
      <c r="EV324" s="150"/>
      <c r="EW324" s="150"/>
      <c r="EX324" s="150"/>
      <c r="EY324" s="150"/>
      <c r="EZ324" s="150"/>
      <c r="FA324" s="150"/>
      <c r="FB324" s="150"/>
      <c r="FC324" s="152"/>
      <c r="FD324" s="152"/>
      <c r="FE324" s="150"/>
      <c r="FF324" s="150"/>
      <c r="FG324" s="150"/>
      <c r="FH324" s="150"/>
      <c r="FI324" s="150"/>
      <c r="FJ324" s="150"/>
      <c r="FK324" s="150"/>
      <c r="FL324" s="150"/>
      <c r="FM324" s="152"/>
      <c r="FN324" s="152"/>
      <c r="FO324" s="150"/>
      <c r="FP324" s="150"/>
      <c r="FQ324" s="150"/>
      <c r="FR324" s="150"/>
      <c r="FS324" s="150"/>
      <c r="FT324" s="150"/>
      <c r="FU324" s="150"/>
      <c r="FV324" s="150"/>
      <c r="FW324" s="152"/>
      <c r="FX324" s="152"/>
      <c r="FY324" s="150"/>
      <c r="FZ324" s="150"/>
      <c r="GA324" s="150"/>
      <c r="GB324" s="150"/>
      <c r="GC324" s="150"/>
      <c r="GD324" s="150"/>
      <c r="GE324" s="150"/>
      <c r="GF324" s="150"/>
      <c r="GG324" s="152"/>
      <c r="GH324" s="152"/>
      <c r="GI324" s="150"/>
      <c r="GJ324" s="150"/>
      <c r="GK324" s="150"/>
      <c r="GL324" s="150"/>
      <c r="GM324" s="150"/>
      <c r="GN324" s="150"/>
      <c r="GO324" s="150"/>
      <c r="GP324" s="150"/>
      <c r="GQ324" s="152"/>
      <c r="GR324" s="152"/>
      <c r="GS324" s="134"/>
      <c r="GT324" s="134"/>
      <c r="GU324" s="134"/>
      <c r="GV324" s="134"/>
      <c r="GW324" s="134"/>
      <c r="GX324" s="134"/>
      <c r="GY324" s="134"/>
      <c r="GZ324" s="134"/>
      <c r="HA324" s="135"/>
      <c r="HB324" s="135"/>
      <c r="HC324" s="134"/>
      <c r="HD324" s="134"/>
      <c r="HE324" s="134"/>
      <c r="HF324" s="134"/>
      <c r="HG324" s="134"/>
      <c r="HH324" s="134"/>
      <c r="HI324" s="134"/>
      <c r="HJ324" s="134"/>
      <c r="HK324" s="135"/>
      <c r="HL324" s="135"/>
      <c r="HM324" s="134"/>
      <c r="HN324" s="134"/>
      <c r="HO324" s="134"/>
      <c r="HP324" s="134"/>
      <c r="HQ324" s="134"/>
      <c r="HR324" s="134"/>
      <c r="HS324" s="134"/>
      <c r="HT324" s="134"/>
      <c r="HU324" s="135"/>
      <c r="HV324" s="135"/>
      <c r="HW324" s="134"/>
      <c r="HX324" s="134"/>
      <c r="HY324" s="134"/>
      <c r="HZ324" s="134"/>
      <c r="IA324" s="134"/>
      <c r="IB324" s="134"/>
      <c r="IC324" s="134"/>
      <c r="ID324" s="134"/>
      <c r="IE324" s="135"/>
      <c r="IF324" s="135"/>
      <c r="IG324" s="134"/>
      <c r="IH324" s="134"/>
      <c r="II324" s="134"/>
      <c r="IJ324" s="134"/>
      <c r="IK324" s="134"/>
      <c r="IL324" s="134"/>
      <c r="IM324" s="134"/>
      <c r="IN324" s="134"/>
      <c r="IO324" s="135"/>
      <c r="IP324" s="135"/>
      <c r="IQ324" s="134"/>
      <c r="IR324" s="134"/>
      <c r="IS324" s="134"/>
      <c r="IT324" s="134"/>
      <c r="IU324" s="134"/>
      <c r="IV324" s="134"/>
      <c r="IW324" s="134"/>
      <c r="IX324" s="134"/>
      <c r="IY324" s="135"/>
      <c r="IZ324" s="135"/>
    </row>
    <row r="325" spans="1:260" customFormat="1" ht="17" customHeight="1">
      <c r="A325" s="79" t="s">
        <v>298</v>
      </c>
      <c r="B325" s="117">
        <v>215</v>
      </c>
      <c r="C325" s="117">
        <v>75</v>
      </c>
      <c r="D325" s="117"/>
      <c r="E325" s="123" t="s">
        <v>2022</v>
      </c>
      <c r="F325" s="124" t="s">
        <v>2255</v>
      </c>
      <c r="G325" s="125">
        <v>2016</v>
      </c>
      <c r="H325" s="79">
        <v>26645315</v>
      </c>
      <c r="I325" s="79">
        <v>1</v>
      </c>
      <c r="J325" s="126"/>
      <c r="K325" s="127"/>
      <c r="L325" s="79">
        <v>1</v>
      </c>
      <c r="M325" s="79"/>
      <c r="N325" s="79">
        <v>1</v>
      </c>
      <c r="O325" s="128">
        <v>1</v>
      </c>
      <c r="P325" s="79" t="s">
        <v>781</v>
      </c>
      <c r="Q325" s="79" t="s">
        <v>1147</v>
      </c>
      <c r="R325" s="79" t="s">
        <v>783</v>
      </c>
      <c r="S325" s="79">
        <v>1</v>
      </c>
      <c r="T325" s="79"/>
      <c r="U325" s="79"/>
      <c r="V325" s="79"/>
      <c r="W325" s="79" t="s">
        <v>782</v>
      </c>
      <c r="X325" s="79" t="s">
        <v>24</v>
      </c>
      <c r="Y325" s="79"/>
      <c r="Z325" s="79"/>
      <c r="AA325" s="79"/>
      <c r="AB325" s="79" t="s">
        <v>784</v>
      </c>
      <c r="AC325" s="506"/>
      <c r="AD325" s="573">
        <v>1</v>
      </c>
      <c r="AE325" s="573">
        <v>2</v>
      </c>
      <c r="AF325" s="507" t="s">
        <v>3003</v>
      </c>
      <c r="AG325" s="508" t="s">
        <v>5542</v>
      </c>
      <c r="AH325" s="120">
        <v>2</v>
      </c>
      <c r="AI325" s="120"/>
      <c r="AJ325" s="206" t="s">
        <v>5543</v>
      </c>
      <c r="AK325" s="372"/>
      <c r="AL325" s="207"/>
      <c r="AM325" s="120"/>
      <c r="AN325" s="120"/>
      <c r="AO325" s="120"/>
      <c r="AP325" s="120"/>
      <c r="AQ325" s="120"/>
      <c r="AR325" s="120"/>
      <c r="AS325" s="120"/>
      <c r="AT325" s="120"/>
      <c r="AU325" s="120"/>
      <c r="AV325" s="120"/>
      <c r="AW325" s="120"/>
      <c r="AX325" s="120"/>
      <c r="AY325" s="120"/>
      <c r="AZ325" s="120"/>
      <c r="BA325" s="120" t="s">
        <v>5541</v>
      </c>
      <c r="BB325" s="120"/>
      <c r="BC325" s="120"/>
      <c r="BD325" s="373"/>
      <c r="BE325" s="373"/>
      <c r="BF325" s="373"/>
      <c r="BG325" s="373"/>
      <c r="BH325" s="373"/>
      <c r="BI325" s="373"/>
      <c r="BJ325" s="373">
        <v>1</v>
      </c>
      <c r="BK325" s="373"/>
      <c r="BL325" s="373"/>
      <c r="BM325" s="373"/>
      <c r="BN325" s="373"/>
      <c r="BO325" s="373"/>
      <c r="BP325" s="373"/>
      <c r="BQ325" s="374" t="s">
        <v>24</v>
      </c>
      <c r="BR325" s="120"/>
      <c r="BS325" s="120"/>
      <c r="BT325" s="120"/>
      <c r="BU325" s="384"/>
      <c r="BV325" s="120"/>
      <c r="BW325" s="375"/>
      <c r="BX325" s="138"/>
      <c r="BY325" s="134"/>
      <c r="BZ325" s="134"/>
      <c r="CA325" s="134"/>
      <c r="CB325" s="138"/>
      <c r="CC325" s="134"/>
      <c r="CD325" s="134"/>
      <c r="CE325" s="134"/>
      <c r="CF325" s="288"/>
      <c r="CG325" s="289"/>
      <c r="CH325" s="138"/>
      <c r="CI325" s="134"/>
      <c r="CJ325" s="134"/>
      <c r="CK325" s="134"/>
      <c r="CL325" s="138"/>
      <c r="CM325" s="134"/>
      <c r="CN325" s="134"/>
      <c r="CO325" s="134"/>
      <c r="CP325" s="288"/>
      <c r="CQ325" s="289"/>
      <c r="CR325" s="276"/>
      <c r="CS325" s="308"/>
      <c r="CT325" s="138"/>
      <c r="CU325" s="134"/>
      <c r="CV325" s="134"/>
      <c r="CW325" s="134"/>
      <c r="CX325" s="134"/>
      <c r="CY325" s="134"/>
      <c r="CZ325" s="134"/>
      <c r="DA325" s="134"/>
      <c r="DB325" s="300"/>
      <c r="DC325" s="301"/>
      <c r="DD325" s="134"/>
      <c r="DE325" s="134"/>
      <c r="DF325" s="134"/>
      <c r="DG325" s="134"/>
      <c r="DH325" s="134"/>
      <c r="DI325" s="134"/>
      <c r="DJ325" s="134"/>
      <c r="DK325" s="134"/>
      <c r="DL325" s="300"/>
      <c r="DM325" s="301"/>
      <c r="DN325" s="276"/>
      <c r="DO325" s="277"/>
      <c r="DP325" s="134"/>
      <c r="DQ325" s="134"/>
      <c r="DR325" s="134"/>
      <c r="DS325" s="134"/>
      <c r="DT325" s="138"/>
      <c r="DU325" s="134"/>
      <c r="DV325" s="134"/>
      <c r="DW325" s="134"/>
      <c r="DX325" s="301"/>
      <c r="DY325" s="301"/>
      <c r="DZ325" s="138"/>
      <c r="EA325" s="134"/>
      <c r="EB325" s="134"/>
      <c r="EC325" s="134"/>
      <c r="ED325" s="138"/>
      <c r="EE325" s="134"/>
      <c r="EF325" s="134"/>
      <c r="EG325" s="134"/>
      <c r="EH325" s="301"/>
      <c r="EI325" s="301"/>
      <c r="EJ325" s="277"/>
      <c r="EK325" s="134"/>
      <c r="EL325" s="134"/>
      <c r="EM325" s="134"/>
      <c r="EN325" s="134"/>
      <c r="EO325" s="134"/>
      <c r="EP325" s="134"/>
      <c r="EQ325" s="134"/>
      <c r="ER325" s="134"/>
      <c r="ES325" s="301"/>
      <c r="ET325" s="301"/>
      <c r="EU325" s="134"/>
      <c r="EV325" s="134"/>
      <c r="EW325" s="134"/>
      <c r="EX325" s="134"/>
      <c r="EY325" s="134"/>
      <c r="EZ325" s="134"/>
      <c r="FA325" s="134"/>
      <c r="FB325" s="134"/>
      <c r="FC325" s="135"/>
      <c r="FD325" s="135"/>
      <c r="FE325" s="134"/>
      <c r="FF325" s="134"/>
      <c r="FG325" s="134"/>
      <c r="FH325" s="134"/>
      <c r="FI325" s="134"/>
      <c r="FJ325" s="134"/>
      <c r="FK325" s="134"/>
      <c r="FL325" s="134"/>
      <c r="FM325" s="135"/>
      <c r="FN325" s="135"/>
      <c r="FO325" s="134"/>
      <c r="FP325" s="134"/>
      <c r="FQ325" s="134"/>
      <c r="FR325" s="134"/>
      <c r="FS325" s="134"/>
      <c r="FT325" s="134"/>
      <c r="FU325" s="134"/>
      <c r="FV325" s="134"/>
      <c r="FW325" s="135"/>
      <c r="FX325" s="135"/>
      <c r="FY325" s="134"/>
      <c r="FZ325" s="134"/>
      <c r="GA325" s="134"/>
      <c r="GB325" s="134"/>
      <c r="GC325" s="134"/>
      <c r="GD325" s="134"/>
      <c r="GE325" s="134"/>
      <c r="GF325" s="134"/>
      <c r="GG325" s="135"/>
      <c r="GH325" s="135"/>
      <c r="GI325" s="134"/>
      <c r="GJ325" s="134"/>
      <c r="GK325" s="134"/>
      <c r="GL325" s="134"/>
      <c r="GM325" s="134"/>
      <c r="GN325" s="134"/>
      <c r="GO325" s="134"/>
      <c r="GP325" s="134"/>
      <c r="GQ325" s="135"/>
      <c r="GR325" s="135"/>
      <c r="GS325" s="134"/>
      <c r="GT325" s="134"/>
      <c r="GU325" s="134"/>
      <c r="GV325" s="134"/>
      <c r="GW325" s="134"/>
      <c r="GX325" s="134"/>
      <c r="GY325" s="134"/>
      <c r="GZ325" s="134"/>
      <c r="HA325" s="135"/>
      <c r="HB325" s="135"/>
      <c r="HC325" s="134"/>
      <c r="HD325" s="134"/>
      <c r="HE325" s="134"/>
      <c r="HF325" s="134"/>
      <c r="HG325" s="134"/>
      <c r="HH325" s="134"/>
      <c r="HI325" s="134"/>
      <c r="HJ325" s="134"/>
      <c r="HK325" s="135"/>
      <c r="HL325" s="135"/>
      <c r="HM325" s="134"/>
      <c r="HN325" s="134"/>
      <c r="HO325" s="134"/>
      <c r="HP325" s="134"/>
      <c r="HQ325" s="134"/>
      <c r="HR325" s="134"/>
      <c r="HS325" s="134"/>
      <c r="HT325" s="134"/>
      <c r="HU325" s="135"/>
      <c r="HV325" s="135"/>
      <c r="HW325" s="134"/>
      <c r="HX325" s="134"/>
      <c r="HY325" s="134"/>
      <c r="HZ325" s="134"/>
      <c r="IA325" s="134"/>
      <c r="IB325" s="134"/>
      <c r="IC325" s="134"/>
      <c r="ID325" s="134"/>
      <c r="IE325" s="135"/>
      <c r="IF325" s="135"/>
      <c r="IG325" s="134"/>
      <c r="IH325" s="134"/>
      <c r="II325" s="134"/>
      <c r="IJ325" s="134"/>
      <c r="IK325" s="134"/>
      <c r="IL325" s="134"/>
      <c r="IM325" s="134"/>
      <c r="IN325" s="134"/>
      <c r="IO325" s="135"/>
      <c r="IP325" s="135"/>
      <c r="IQ325" s="134"/>
      <c r="IR325" s="134"/>
      <c r="IS325" s="134"/>
      <c r="IT325" s="134"/>
      <c r="IU325" s="134"/>
      <c r="IV325" s="134"/>
      <c r="IW325" s="134"/>
      <c r="IX325" s="134"/>
      <c r="IY325" s="135"/>
      <c r="IZ325" s="135"/>
    </row>
    <row r="326" spans="1:260" customFormat="1" ht="17" customHeight="1">
      <c r="A326" s="79" t="s">
        <v>974</v>
      </c>
      <c r="B326" s="458">
        <v>216</v>
      </c>
      <c r="C326" s="458">
        <v>76</v>
      </c>
      <c r="D326" s="458"/>
      <c r="E326" s="180" t="s">
        <v>2116</v>
      </c>
      <c r="F326" s="181" t="s">
        <v>2375</v>
      </c>
      <c r="G326" s="182">
        <v>2007</v>
      </c>
      <c r="H326" s="79">
        <v>17027033</v>
      </c>
      <c r="I326" s="79">
        <v>1</v>
      </c>
      <c r="J326" s="79">
        <v>1</v>
      </c>
      <c r="K326" s="79"/>
      <c r="L326" s="79">
        <v>1</v>
      </c>
      <c r="M326" s="79"/>
      <c r="N326" s="79">
        <v>1</v>
      </c>
      <c r="O326" s="128">
        <v>2</v>
      </c>
      <c r="P326" s="79" t="s">
        <v>1569</v>
      </c>
      <c r="Q326" s="79" t="s">
        <v>1216</v>
      </c>
      <c r="R326" s="79" t="s">
        <v>1568</v>
      </c>
      <c r="S326" s="79"/>
      <c r="T326" s="79" t="s">
        <v>1541</v>
      </c>
      <c r="U326" s="79"/>
      <c r="V326" s="79"/>
      <c r="W326" s="79" t="s">
        <v>1570</v>
      </c>
      <c r="X326" s="79"/>
      <c r="Y326" s="79" t="s">
        <v>1132</v>
      </c>
      <c r="Z326" s="79"/>
      <c r="AA326" s="79"/>
      <c r="AB326" s="79"/>
      <c r="AC326" s="506"/>
      <c r="AD326" s="573">
        <v>1</v>
      </c>
      <c r="AE326" s="573">
        <v>2</v>
      </c>
      <c r="AF326" s="230" t="s">
        <v>3003</v>
      </c>
      <c r="AG326" s="231" t="s">
        <v>5600</v>
      </c>
      <c r="AH326" s="346">
        <v>5</v>
      </c>
      <c r="AI326" s="487" t="s">
        <v>5603</v>
      </c>
      <c r="AJ326" s="459" t="s">
        <v>5556</v>
      </c>
      <c r="AK326" s="348">
        <v>2</v>
      </c>
      <c r="AL326" s="349">
        <v>0</v>
      </c>
      <c r="AM326" s="346">
        <v>8</v>
      </c>
      <c r="AN326" s="121">
        <v>8</v>
      </c>
      <c r="AO326" s="346" t="s">
        <v>5564</v>
      </c>
      <c r="AP326" s="346" t="s">
        <v>803</v>
      </c>
      <c r="AQ326" s="346" t="s">
        <v>803</v>
      </c>
      <c r="AR326" s="346" t="s">
        <v>4544</v>
      </c>
      <c r="AS326" s="346" t="s">
        <v>24</v>
      </c>
      <c r="AT326" s="346" t="s">
        <v>4544</v>
      </c>
      <c r="AU326" s="346" t="s">
        <v>24</v>
      </c>
      <c r="AV326" s="346" t="s">
        <v>5549</v>
      </c>
      <c r="AW326" s="346">
        <v>1</v>
      </c>
      <c r="AX326" s="346" t="s">
        <v>5553</v>
      </c>
      <c r="AY326" s="346" t="s">
        <v>5546</v>
      </c>
      <c r="AZ326" s="346" t="s">
        <v>5565</v>
      </c>
      <c r="BA326" s="346" t="s">
        <v>4508</v>
      </c>
      <c r="BB326" s="346"/>
      <c r="BC326" s="346"/>
      <c r="BD326" s="184">
        <v>1</v>
      </c>
      <c r="BE326" s="184" t="s">
        <v>5545</v>
      </c>
      <c r="BF326" s="184"/>
      <c r="BG326" s="184"/>
      <c r="BH326" s="184"/>
      <c r="BI326" s="184"/>
      <c r="BJ326" s="184"/>
      <c r="BK326" s="184"/>
      <c r="BL326" s="184"/>
      <c r="BM326" s="184"/>
      <c r="BN326" s="184"/>
      <c r="BO326" s="184"/>
      <c r="BP326" s="184"/>
      <c r="BQ326" s="185" t="s">
        <v>5567</v>
      </c>
      <c r="BR326" s="186" t="s">
        <v>23</v>
      </c>
      <c r="BS326" s="186" t="s">
        <v>5563</v>
      </c>
      <c r="BT326" s="186" t="s">
        <v>5551</v>
      </c>
      <c r="BU326" s="186" t="s">
        <v>5544</v>
      </c>
      <c r="BV326" s="186" t="s">
        <v>5562</v>
      </c>
      <c r="BW326" s="261" t="s">
        <v>5596</v>
      </c>
      <c r="BX326" s="267" t="s">
        <v>5568</v>
      </c>
      <c r="BY326" s="186">
        <v>57.49</v>
      </c>
      <c r="BZ326" s="186">
        <v>20.59</v>
      </c>
      <c r="CA326" s="186" t="s">
        <v>24</v>
      </c>
      <c r="CB326" s="267" t="s">
        <v>5569</v>
      </c>
      <c r="CC326" s="186">
        <v>9.86</v>
      </c>
      <c r="CD326" s="186">
        <v>3.48</v>
      </c>
      <c r="CE326" s="186" t="s">
        <v>24</v>
      </c>
      <c r="CF326" s="294" t="s">
        <v>5586</v>
      </c>
      <c r="CG326" s="295" t="s">
        <v>24</v>
      </c>
      <c r="CH326" s="267" t="s">
        <v>5570</v>
      </c>
      <c r="CI326" s="186">
        <v>41.05</v>
      </c>
      <c r="CJ326" s="186">
        <v>17.36</v>
      </c>
      <c r="CK326" s="186" t="s">
        <v>24</v>
      </c>
      <c r="CL326" s="267" t="s">
        <v>5571</v>
      </c>
      <c r="CM326" s="186">
        <v>7.49</v>
      </c>
      <c r="CN326" s="186">
        <v>8.4700000000000006</v>
      </c>
      <c r="CO326" s="186" t="s">
        <v>24</v>
      </c>
      <c r="CP326" s="294" t="s">
        <v>5587</v>
      </c>
      <c r="CQ326" s="295" t="s">
        <v>24</v>
      </c>
      <c r="CR326" s="280" t="s">
        <v>5591</v>
      </c>
      <c r="CS326" s="280" t="s">
        <v>5588</v>
      </c>
      <c r="CT326" s="150" t="s">
        <v>24</v>
      </c>
      <c r="CU326" s="150" t="s">
        <v>24</v>
      </c>
      <c r="CV326" s="150" t="s">
        <v>24</v>
      </c>
      <c r="CW326" s="150" t="s">
        <v>24</v>
      </c>
      <c r="CX326" s="150" t="s">
        <v>24</v>
      </c>
      <c r="CY326" s="150" t="s">
        <v>24</v>
      </c>
      <c r="CZ326" s="150" t="s">
        <v>24</v>
      </c>
      <c r="DA326" s="150" t="s">
        <v>24</v>
      </c>
      <c r="DB326" s="305"/>
      <c r="DC326" s="315"/>
      <c r="DD326" s="150" t="s">
        <v>24</v>
      </c>
      <c r="DE326" s="150" t="s">
        <v>24</v>
      </c>
      <c r="DF326" s="150" t="s">
        <v>24</v>
      </c>
      <c r="DG326" s="150" t="s">
        <v>24</v>
      </c>
      <c r="DH326" s="150" t="s">
        <v>24</v>
      </c>
      <c r="DI326" s="150" t="s">
        <v>24</v>
      </c>
      <c r="DJ326" s="150" t="s">
        <v>24</v>
      </c>
      <c r="DK326" s="150" t="s">
        <v>24</v>
      </c>
      <c r="DL326" s="305"/>
      <c r="DM326" s="315"/>
      <c r="DN326" s="280"/>
      <c r="DO326" s="281"/>
      <c r="DP326" s="186"/>
      <c r="DQ326" s="186"/>
      <c r="DR326" s="186"/>
      <c r="DS326" s="186"/>
      <c r="DT326" s="267"/>
      <c r="DU326" s="186"/>
      <c r="DV326" s="186"/>
      <c r="DW326" s="186"/>
      <c r="DX326" s="315"/>
      <c r="DY326" s="315"/>
      <c r="DZ326" s="267"/>
      <c r="EA326" s="186"/>
      <c r="EB326" s="186"/>
      <c r="EC326" s="186"/>
      <c r="ED326" s="267"/>
      <c r="EE326" s="186"/>
      <c r="EF326" s="186"/>
      <c r="EG326" s="186"/>
      <c r="EH326" s="315"/>
      <c r="EI326" s="315"/>
      <c r="EJ326" s="281"/>
      <c r="EK326" s="186"/>
      <c r="EL326" s="186"/>
      <c r="EM326" s="186"/>
      <c r="EN326" s="186"/>
      <c r="EO326" s="186"/>
      <c r="EP326" s="186"/>
      <c r="EQ326" s="186"/>
      <c r="ER326" s="186"/>
      <c r="ES326" s="315"/>
      <c r="ET326" s="315"/>
      <c r="EU326" s="186"/>
      <c r="EV326" s="186"/>
      <c r="EW326" s="186"/>
      <c r="EX326" s="186"/>
      <c r="EY326" s="186"/>
      <c r="EZ326" s="186"/>
      <c r="FA326" s="186"/>
      <c r="FB326" s="186"/>
      <c r="FC326" s="187"/>
      <c r="FD326" s="187"/>
      <c r="FE326" s="186"/>
      <c r="FF326" s="186"/>
      <c r="FG326" s="186"/>
      <c r="FH326" s="186"/>
      <c r="FI326" s="186"/>
      <c r="FJ326" s="186"/>
      <c r="FK326" s="186"/>
      <c r="FL326" s="186"/>
      <c r="FM326" s="187"/>
      <c r="FN326" s="187"/>
      <c r="FO326" s="186"/>
      <c r="FP326" s="186"/>
      <c r="FQ326" s="186"/>
      <c r="FR326" s="186"/>
      <c r="FS326" s="186"/>
      <c r="FT326" s="186"/>
      <c r="FU326" s="186"/>
      <c r="FV326" s="186"/>
      <c r="FW326" s="187"/>
      <c r="FX326" s="187"/>
      <c r="FY326" s="186"/>
      <c r="FZ326" s="186"/>
      <c r="GA326" s="186"/>
      <c r="GB326" s="186"/>
      <c r="GC326" s="186"/>
      <c r="GD326" s="186"/>
      <c r="GE326" s="186"/>
      <c r="GF326" s="186"/>
      <c r="GG326" s="187"/>
      <c r="GH326" s="187"/>
      <c r="GI326" s="186"/>
      <c r="GJ326" s="186"/>
      <c r="GK326" s="186"/>
      <c r="GL326" s="186"/>
      <c r="GM326" s="186"/>
      <c r="GN326" s="186"/>
      <c r="GO326" s="186"/>
      <c r="GP326" s="186"/>
      <c r="GQ326" s="187"/>
      <c r="GR326" s="187"/>
      <c r="GS326" s="134"/>
      <c r="GT326" s="134"/>
      <c r="GU326" s="134"/>
      <c r="GV326" s="134"/>
      <c r="GW326" s="134"/>
      <c r="GX326" s="134"/>
      <c r="GY326" s="134"/>
      <c r="GZ326" s="134"/>
      <c r="HA326" s="135"/>
      <c r="HB326" s="135"/>
      <c r="HC326" s="134"/>
      <c r="HD326" s="134"/>
      <c r="HE326" s="134"/>
      <c r="HF326" s="134"/>
      <c r="HG326" s="134"/>
      <c r="HH326" s="134"/>
      <c r="HI326" s="134"/>
      <c r="HJ326" s="134"/>
      <c r="HK326" s="135"/>
      <c r="HL326" s="135"/>
      <c r="HM326" s="134"/>
      <c r="HN326" s="134"/>
      <c r="HO326" s="134"/>
      <c r="HP326" s="134"/>
      <c r="HQ326" s="134"/>
      <c r="HR326" s="134"/>
      <c r="HS326" s="134"/>
      <c r="HT326" s="134"/>
      <c r="HU326" s="135"/>
      <c r="HV326" s="135"/>
      <c r="HW326" s="134"/>
      <c r="HX326" s="134"/>
      <c r="HY326" s="134"/>
      <c r="HZ326" s="134"/>
      <c r="IA326" s="134"/>
      <c r="IB326" s="134"/>
      <c r="IC326" s="134"/>
      <c r="ID326" s="134"/>
      <c r="IE326" s="135"/>
      <c r="IF326" s="135"/>
      <c r="IG326" s="134"/>
      <c r="IH326" s="134"/>
      <c r="II326" s="134"/>
      <c r="IJ326" s="134"/>
      <c r="IK326" s="134"/>
      <c r="IL326" s="134"/>
      <c r="IM326" s="134"/>
      <c r="IN326" s="134"/>
      <c r="IO326" s="135"/>
      <c r="IP326" s="135"/>
      <c r="IQ326" s="134"/>
      <c r="IR326" s="134"/>
      <c r="IS326" s="134"/>
      <c r="IT326" s="134"/>
      <c r="IU326" s="134"/>
      <c r="IV326" s="134"/>
      <c r="IW326" s="134"/>
      <c r="IX326" s="134"/>
      <c r="IY326" s="135"/>
      <c r="IZ326" s="135"/>
    </row>
    <row r="327" spans="1:260" customFormat="1" ht="17" customHeight="1">
      <c r="A327" s="118" t="s">
        <v>974</v>
      </c>
      <c r="B327" s="381">
        <v>216</v>
      </c>
      <c r="C327" s="381">
        <v>76</v>
      </c>
      <c r="D327" s="381"/>
      <c r="E327" s="139" t="s">
        <v>2116</v>
      </c>
      <c r="F327" s="140" t="s">
        <v>2375</v>
      </c>
      <c r="G327" s="141">
        <v>2007</v>
      </c>
      <c r="H327" s="118">
        <v>17027033</v>
      </c>
      <c r="I327" s="118">
        <v>1</v>
      </c>
      <c r="J327" s="118">
        <v>1</v>
      </c>
      <c r="K327" s="118"/>
      <c r="L327" s="118">
        <v>1</v>
      </c>
      <c r="M327" s="118"/>
      <c r="N327" s="118">
        <v>1</v>
      </c>
      <c r="O327" s="142">
        <v>2</v>
      </c>
      <c r="P327" s="118" t="s">
        <v>1569</v>
      </c>
      <c r="Q327" s="118" t="s">
        <v>1216</v>
      </c>
      <c r="R327" s="118" t="s">
        <v>1568</v>
      </c>
      <c r="S327" s="118"/>
      <c r="T327" s="118" t="s">
        <v>1541</v>
      </c>
      <c r="U327" s="118"/>
      <c r="V327" s="118"/>
      <c r="W327" s="118" t="s">
        <v>1570</v>
      </c>
      <c r="X327" s="118"/>
      <c r="Y327" s="118" t="s">
        <v>1132</v>
      </c>
      <c r="Z327" s="118"/>
      <c r="AA327" s="118"/>
      <c r="AB327" s="118"/>
      <c r="AC327" s="145"/>
      <c r="AD327" s="573">
        <v>1</v>
      </c>
      <c r="AE327" s="573">
        <v>2</v>
      </c>
      <c r="AF327" s="230" t="s">
        <v>3003</v>
      </c>
      <c r="AG327" s="231" t="s">
        <v>5599</v>
      </c>
      <c r="AH327" s="122">
        <v>5</v>
      </c>
      <c r="AI327" s="485" t="s">
        <v>5601</v>
      </c>
      <c r="AJ327" s="204" t="s">
        <v>5559</v>
      </c>
      <c r="AK327" s="192">
        <v>2</v>
      </c>
      <c r="AL327" s="205">
        <v>0</v>
      </c>
      <c r="AM327" s="122">
        <v>8</v>
      </c>
      <c r="AN327" s="121">
        <v>8</v>
      </c>
      <c r="AO327" s="346" t="s">
        <v>5564</v>
      </c>
      <c r="AP327" s="122" t="s">
        <v>803</v>
      </c>
      <c r="AQ327" s="122" t="s">
        <v>803</v>
      </c>
      <c r="AR327" s="122" t="s">
        <v>4544</v>
      </c>
      <c r="AS327" s="122" t="s">
        <v>24</v>
      </c>
      <c r="AT327" s="122" t="s">
        <v>4544</v>
      </c>
      <c r="AU327" s="122" t="s">
        <v>24</v>
      </c>
      <c r="AV327" s="122" t="s">
        <v>5549</v>
      </c>
      <c r="AW327" s="122">
        <v>1</v>
      </c>
      <c r="AX327" s="122" t="s">
        <v>5553</v>
      </c>
      <c r="AY327" s="122" t="s">
        <v>5546</v>
      </c>
      <c r="AZ327" s="122" t="s">
        <v>5566</v>
      </c>
      <c r="BA327" s="122" t="s">
        <v>4508</v>
      </c>
      <c r="BB327" s="122"/>
      <c r="BC327" s="122"/>
      <c r="BD327" s="161">
        <v>1</v>
      </c>
      <c r="BE327" s="161" t="s">
        <v>5545</v>
      </c>
      <c r="BF327" s="161"/>
      <c r="BG327" s="161"/>
      <c r="BH327" s="161"/>
      <c r="BI327" s="161"/>
      <c r="BJ327" s="161"/>
      <c r="BK327" s="161"/>
      <c r="BL327" s="161"/>
      <c r="BM327" s="161"/>
      <c r="BN327" s="161"/>
      <c r="BO327" s="161"/>
      <c r="BP327" s="161"/>
      <c r="BQ327" s="185" t="s">
        <v>5567</v>
      </c>
      <c r="BR327" s="186" t="s">
        <v>23</v>
      </c>
      <c r="BS327" s="186" t="s">
        <v>5563</v>
      </c>
      <c r="BT327" s="150" t="s">
        <v>5551</v>
      </c>
      <c r="BU327" s="150" t="s">
        <v>5544</v>
      </c>
      <c r="BV327" s="186" t="s">
        <v>5562</v>
      </c>
      <c r="BW327" s="258" t="s">
        <v>5595</v>
      </c>
      <c r="BX327" s="267" t="s">
        <v>5568</v>
      </c>
      <c r="BY327" s="186">
        <v>27.49</v>
      </c>
      <c r="BZ327" s="186">
        <v>13.47</v>
      </c>
      <c r="CA327" s="186"/>
      <c r="CB327" s="267" t="s">
        <v>5569</v>
      </c>
      <c r="CC327" s="186">
        <v>12.62</v>
      </c>
      <c r="CD327" s="186">
        <v>6.69</v>
      </c>
      <c r="CE327" s="186" t="s">
        <v>24</v>
      </c>
      <c r="CF327" s="294" t="s">
        <v>5586</v>
      </c>
      <c r="CG327" s="295" t="s">
        <v>24</v>
      </c>
      <c r="CH327" s="267" t="s">
        <v>5570</v>
      </c>
      <c r="CI327" s="186">
        <v>23.39</v>
      </c>
      <c r="CJ327" s="186">
        <v>14</v>
      </c>
      <c r="CK327" s="186" t="s">
        <v>24</v>
      </c>
      <c r="CL327" s="267" t="s">
        <v>5571</v>
      </c>
      <c r="CM327" s="186">
        <v>3.96</v>
      </c>
      <c r="CN327" s="150">
        <v>4.17</v>
      </c>
      <c r="CO327" s="150" t="s">
        <v>24</v>
      </c>
      <c r="CP327" s="294" t="s">
        <v>5587</v>
      </c>
      <c r="CQ327" s="295" t="s">
        <v>24</v>
      </c>
      <c r="CR327" s="280" t="s">
        <v>5592</v>
      </c>
      <c r="CS327" s="280" t="s">
        <v>5590</v>
      </c>
      <c r="CT327" s="150" t="s">
        <v>24</v>
      </c>
      <c r="CU327" s="150" t="s">
        <v>24</v>
      </c>
      <c r="CV327" s="150" t="s">
        <v>24</v>
      </c>
      <c r="CW327" s="150" t="s">
        <v>24</v>
      </c>
      <c r="CX327" s="150" t="s">
        <v>24</v>
      </c>
      <c r="CY327" s="150" t="s">
        <v>24</v>
      </c>
      <c r="CZ327" s="150" t="s">
        <v>24</v>
      </c>
      <c r="DA327" s="150" t="s">
        <v>24</v>
      </c>
      <c r="DB327" s="302"/>
      <c r="DC327" s="303"/>
      <c r="DD327" s="150" t="s">
        <v>24</v>
      </c>
      <c r="DE327" s="150" t="s">
        <v>24</v>
      </c>
      <c r="DF327" s="150" t="s">
        <v>24</v>
      </c>
      <c r="DG327" s="150" t="s">
        <v>24</v>
      </c>
      <c r="DH327" s="150" t="s">
        <v>24</v>
      </c>
      <c r="DI327" s="150" t="s">
        <v>24</v>
      </c>
      <c r="DJ327" s="150" t="s">
        <v>24</v>
      </c>
      <c r="DK327" s="150" t="s">
        <v>24</v>
      </c>
      <c r="DL327" s="302"/>
      <c r="DM327" s="303"/>
      <c r="DN327" s="278"/>
      <c r="DO327" s="279"/>
      <c r="DP327" s="150"/>
      <c r="DQ327" s="150"/>
      <c r="DR327" s="150"/>
      <c r="DS327" s="150"/>
      <c r="DT327" s="151"/>
      <c r="DU327" s="150"/>
      <c r="DV327" s="150"/>
      <c r="DW327" s="150"/>
      <c r="DX327" s="303"/>
      <c r="DY327" s="303"/>
      <c r="DZ327" s="151"/>
      <c r="EA327" s="150"/>
      <c r="EB327" s="150"/>
      <c r="EC327" s="150"/>
      <c r="ED327" s="151"/>
      <c r="EE327" s="150"/>
      <c r="EF327" s="150"/>
      <c r="EG327" s="150"/>
      <c r="EH327" s="303"/>
      <c r="EI327" s="303"/>
      <c r="EJ327" s="279"/>
      <c r="EK327" s="150"/>
      <c r="EL327" s="150"/>
      <c r="EM327" s="150"/>
      <c r="EN327" s="150"/>
      <c r="EO327" s="150"/>
      <c r="EP327" s="150"/>
      <c r="EQ327" s="150"/>
      <c r="ER327" s="150"/>
      <c r="ES327" s="303"/>
      <c r="ET327" s="303"/>
      <c r="EU327" s="150"/>
      <c r="EV327" s="150"/>
      <c r="EW327" s="150"/>
      <c r="EX327" s="150"/>
      <c r="EY327" s="150"/>
      <c r="EZ327" s="150"/>
      <c r="FA327" s="150"/>
      <c r="FB327" s="150"/>
      <c r="FC327" s="152"/>
      <c r="FD327" s="152"/>
      <c r="FE327" s="150"/>
      <c r="FF327" s="150"/>
      <c r="FG327" s="150"/>
      <c r="FH327" s="150"/>
      <c r="FI327" s="150"/>
      <c r="FJ327" s="150"/>
      <c r="FK327" s="150"/>
      <c r="FL327" s="150"/>
      <c r="FM327" s="152"/>
      <c r="FN327" s="152"/>
      <c r="FO327" s="150"/>
      <c r="FP327" s="150"/>
      <c r="FQ327" s="150"/>
      <c r="FR327" s="150"/>
      <c r="FS327" s="150"/>
      <c r="FT327" s="150"/>
      <c r="FU327" s="150"/>
      <c r="FV327" s="150"/>
      <c r="FW327" s="152"/>
      <c r="FX327" s="152"/>
      <c r="FY327" s="150"/>
      <c r="FZ327" s="150"/>
      <c r="GA327" s="150"/>
      <c r="GB327" s="150"/>
      <c r="GC327" s="150"/>
      <c r="GD327" s="150"/>
      <c r="GE327" s="150"/>
      <c r="GF327" s="150"/>
      <c r="GG327" s="152"/>
      <c r="GH327" s="152"/>
      <c r="GI327" s="150"/>
      <c r="GJ327" s="150"/>
      <c r="GK327" s="150"/>
      <c r="GL327" s="150"/>
      <c r="GM327" s="150"/>
      <c r="GN327" s="150"/>
      <c r="GO327" s="150"/>
      <c r="GP327" s="150"/>
      <c r="GQ327" s="152"/>
      <c r="GR327" s="152"/>
      <c r="GS327" s="134"/>
      <c r="GT327" s="134"/>
      <c r="GU327" s="134"/>
      <c r="GV327" s="134"/>
      <c r="GW327" s="134"/>
      <c r="GX327" s="134"/>
      <c r="GY327" s="134"/>
      <c r="GZ327" s="134"/>
      <c r="HA327" s="135"/>
      <c r="HB327" s="135"/>
      <c r="HC327" s="134"/>
      <c r="HD327" s="134"/>
      <c r="HE327" s="134"/>
      <c r="HF327" s="134"/>
      <c r="HG327" s="134"/>
      <c r="HH327" s="134"/>
      <c r="HI327" s="134"/>
      <c r="HJ327" s="134"/>
      <c r="HK327" s="135"/>
      <c r="HL327" s="135"/>
      <c r="HM327" s="134"/>
      <c r="HN327" s="134"/>
      <c r="HO327" s="134"/>
      <c r="HP327" s="134"/>
      <c r="HQ327" s="134"/>
      <c r="HR327" s="134"/>
      <c r="HS327" s="134"/>
      <c r="HT327" s="134"/>
      <c r="HU327" s="135"/>
      <c r="HV327" s="135"/>
      <c r="HW327" s="134"/>
      <c r="HX327" s="134"/>
      <c r="HY327" s="134"/>
      <c r="HZ327" s="134"/>
      <c r="IA327" s="134"/>
      <c r="IB327" s="134"/>
      <c r="IC327" s="134"/>
      <c r="ID327" s="134"/>
      <c r="IE327" s="135"/>
      <c r="IF327" s="135"/>
      <c r="IG327" s="134"/>
      <c r="IH327" s="134"/>
      <c r="II327" s="134"/>
      <c r="IJ327" s="134"/>
      <c r="IK327" s="134"/>
      <c r="IL327" s="134"/>
      <c r="IM327" s="134"/>
      <c r="IN327" s="134"/>
      <c r="IO327" s="135"/>
      <c r="IP327" s="135"/>
      <c r="IQ327" s="134"/>
      <c r="IR327" s="134"/>
      <c r="IS327" s="134"/>
      <c r="IT327" s="134"/>
      <c r="IU327" s="134"/>
      <c r="IV327" s="134"/>
      <c r="IW327" s="134"/>
      <c r="IX327" s="134"/>
      <c r="IY327" s="135"/>
      <c r="IZ327" s="135"/>
    </row>
    <row r="328" spans="1:260" customFormat="1" ht="17" customHeight="1">
      <c r="A328" s="118" t="s">
        <v>974</v>
      </c>
      <c r="B328" s="381">
        <v>216</v>
      </c>
      <c r="C328" s="381">
        <v>76</v>
      </c>
      <c r="D328" s="381"/>
      <c r="E328" s="139" t="s">
        <v>2116</v>
      </c>
      <c r="F328" s="140" t="s">
        <v>2375</v>
      </c>
      <c r="G328" s="141">
        <v>2007</v>
      </c>
      <c r="H328" s="118">
        <v>17027033</v>
      </c>
      <c r="I328" s="118">
        <v>1</v>
      </c>
      <c r="J328" s="118">
        <v>1</v>
      </c>
      <c r="K328" s="118"/>
      <c r="L328" s="118">
        <v>1</v>
      </c>
      <c r="M328" s="118"/>
      <c r="N328" s="118">
        <v>1</v>
      </c>
      <c r="O328" s="142">
        <v>2</v>
      </c>
      <c r="P328" s="118" t="s">
        <v>1569</v>
      </c>
      <c r="Q328" s="118" t="s">
        <v>1216</v>
      </c>
      <c r="R328" s="118" t="s">
        <v>1568</v>
      </c>
      <c r="S328" s="118"/>
      <c r="T328" s="118" t="s">
        <v>1541</v>
      </c>
      <c r="U328" s="118"/>
      <c r="V328" s="118"/>
      <c r="W328" s="118" t="s">
        <v>1570</v>
      </c>
      <c r="X328" s="118"/>
      <c r="Y328" s="118" t="s">
        <v>1132</v>
      </c>
      <c r="Z328" s="118"/>
      <c r="AA328" s="118"/>
      <c r="AB328" s="118"/>
      <c r="AC328" s="145"/>
      <c r="AD328" s="573">
        <v>1</v>
      </c>
      <c r="AE328" s="573">
        <v>2</v>
      </c>
      <c r="AF328" s="230" t="s">
        <v>3003</v>
      </c>
      <c r="AG328" s="231" t="s">
        <v>5600</v>
      </c>
      <c r="AH328" s="122">
        <v>5</v>
      </c>
      <c r="AI328" s="485" t="s">
        <v>5602</v>
      </c>
      <c r="AJ328" s="204" t="s">
        <v>5557</v>
      </c>
      <c r="AK328" s="192">
        <v>2</v>
      </c>
      <c r="AL328" s="205">
        <v>0</v>
      </c>
      <c r="AM328" s="122" t="s">
        <v>5585</v>
      </c>
      <c r="AN328" s="121" t="s">
        <v>5584</v>
      </c>
      <c r="AO328" s="346" t="s">
        <v>5564</v>
      </c>
      <c r="AP328" s="122" t="s">
        <v>803</v>
      </c>
      <c r="AQ328" s="122" t="s">
        <v>803</v>
      </c>
      <c r="AR328" s="122" t="s">
        <v>4544</v>
      </c>
      <c r="AS328" s="122" t="s">
        <v>24</v>
      </c>
      <c r="AT328" s="122" t="s">
        <v>4544</v>
      </c>
      <c r="AU328" s="122" t="s">
        <v>24</v>
      </c>
      <c r="AV328" s="122" t="s">
        <v>5549</v>
      </c>
      <c r="AW328" s="122">
        <v>1</v>
      </c>
      <c r="AX328" s="122" t="s">
        <v>5554</v>
      </c>
      <c r="AY328" s="122" t="s">
        <v>5546</v>
      </c>
      <c r="AZ328" s="122" t="s">
        <v>5565</v>
      </c>
      <c r="BA328" s="122" t="s">
        <v>4508</v>
      </c>
      <c r="BB328" s="122"/>
      <c r="BC328" s="122"/>
      <c r="BD328" s="161">
        <v>1</v>
      </c>
      <c r="BE328" s="161" t="s">
        <v>5545</v>
      </c>
      <c r="BF328" s="161"/>
      <c r="BG328" s="161"/>
      <c r="BH328" s="161"/>
      <c r="BI328" s="161"/>
      <c r="BJ328" s="161"/>
      <c r="BK328" s="161"/>
      <c r="BL328" s="161"/>
      <c r="BM328" s="161"/>
      <c r="BN328" s="161"/>
      <c r="BO328" s="161"/>
      <c r="BP328" s="161"/>
      <c r="BQ328" s="185" t="s">
        <v>5567</v>
      </c>
      <c r="BR328" s="186" t="s">
        <v>23</v>
      </c>
      <c r="BS328" s="186" t="s">
        <v>5563</v>
      </c>
      <c r="BT328" s="150" t="s">
        <v>5550</v>
      </c>
      <c r="BU328" s="150" t="s">
        <v>5544</v>
      </c>
      <c r="BV328" s="186" t="s">
        <v>5562</v>
      </c>
      <c r="BW328" s="261" t="s">
        <v>5593</v>
      </c>
      <c r="BX328" s="267" t="s">
        <v>5573</v>
      </c>
      <c r="BY328" s="186">
        <v>62.01</v>
      </c>
      <c r="BZ328" s="186">
        <v>10.59</v>
      </c>
      <c r="CA328" s="186" t="s">
        <v>24</v>
      </c>
      <c r="CB328" s="267" t="s">
        <v>5572</v>
      </c>
      <c r="CC328" s="186">
        <v>25.98</v>
      </c>
      <c r="CD328" s="186">
        <v>15.28</v>
      </c>
      <c r="CE328" s="186" t="s">
        <v>24</v>
      </c>
      <c r="CF328" s="294" t="s">
        <v>5586</v>
      </c>
      <c r="CG328" s="295" t="s">
        <v>24</v>
      </c>
      <c r="CH328" s="267" t="s">
        <v>5574</v>
      </c>
      <c r="CI328" s="186">
        <v>28.68</v>
      </c>
      <c r="CJ328" s="186">
        <v>10.85</v>
      </c>
      <c r="CK328" s="186" t="s">
        <v>24</v>
      </c>
      <c r="CL328" s="267" t="s">
        <v>5575</v>
      </c>
      <c r="CM328" s="186">
        <v>27.57</v>
      </c>
      <c r="CN328" s="150">
        <v>18.63</v>
      </c>
      <c r="CO328" s="150" t="s">
        <v>24</v>
      </c>
      <c r="CP328" s="294" t="s">
        <v>5587</v>
      </c>
      <c r="CQ328" s="295" t="s">
        <v>24</v>
      </c>
      <c r="CR328" s="280" t="s">
        <v>5591</v>
      </c>
      <c r="CS328" s="280" t="s">
        <v>5588</v>
      </c>
      <c r="CT328" s="150" t="s">
        <v>24</v>
      </c>
      <c r="CU328" s="150" t="s">
        <v>24</v>
      </c>
      <c r="CV328" s="150" t="s">
        <v>24</v>
      </c>
      <c r="CW328" s="150" t="s">
        <v>24</v>
      </c>
      <c r="CX328" s="150" t="s">
        <v>24</v>
      </c>
      <c r="CY328" s="150" t="s">
        <v>24</v>
      </c>
      <c r="CZ328" s="150" t="s">
        <v>24</v>
      </c>
      <c r="DA328" s="150" t="s">
        <v>24</v>
      </c>
      <c r="DB328" s="302"/>
      <c r="DC328" s="303"/>
      <c r="DD328" s="150" t="s">
        <v>24</v>
      </c>
      <c r="DE328" s="150" t="s">
        <v>24</v>
      </c>
      <c r="DF328" s="150" t="s">
        <v>24</v>
      </c>
      <c r="DG328" s="150" t="s">
        <v>24</v>
      </c>
      <c r="DH328" s="150" t="s">
        <v>24</v>
      </c>
      <c r="DI328" s="150" t="s">
        <v>24</v>
      </c>
      <c r="DJ328" s="150" t="s">
        <v>24</v>
      </c>
      <c r="DK328" s="150" t="s">
        <v>24</v>
      </c>
      <c r="DL328" s="302"/>
      <c r="DM328" s="303"/>
      <c r="DN328" s="278"/>
      <c r="DO328" s="279"/>
      <c r="DP328" s="150"/>
      <c r="DQ328" s="150"/>
      <c r="DR328" s="150"/>
      <c r="DS328" s="150"/>
      <c r="DT328" s="151"/>
      <c r="DU328" s="150"/>
      <c r="DV328" s="150"/>
      <c r="DW328" s="150"/>
      <c r="DX328" s="303"/>
      <c r="DY328" s="303"/>
      <c r="DZ328" s="151"/>
      <c r="EA328" s="150"/>
      <c r="EB328" s="150"/>
      <c r="EC328" s="150"/>
      <c r="ED328" s="151"/>
      <c r="EE328" s="150"/>
      <c r="EF328" s="150"/>
      <c r="EG328" s="150"/>
      <c r="EH328" s="303"/>
      <c r="EI328" s="303"/>
      <c r="EJ328" s="279"/>
      <c r="EK328" s="150"/>
      <c r="EL328" s="150"/>
      <c r="EM328" s="150"/>
      <c r="EN328" s="150"/>
      <c r="EO328" s="150"/>
      <c r="EP328" s="150"/>
      <c r="EQ328" s="150"/>
      <c r="ER328" s="150"/>
      <c r="ES328" s="303"/>
      <c r="ET328" s="303"/>
      <c r="EU328" s="150"/>
      <c r="EV328" s="150"/>
      <c r="EW328" s="150"/>
      <c r="EX328" s="150"/>
      <c r="EY328" s="150"/>
      <c r="EZ328" s="150"/>
      <c r="FA328" s="150"/>
      <c r="FB328" s="150"/>
      <c r="FC328" s="152"/>
      <c r="FD328" s="152"/>
      <c r="FE328" s="150"/>
      <c r="FF328" s="150"/>
      <c r="FG328" s="150"/>
      <c r="FH328" s="150"/>
      <c r="FI328" s="150"/>
      <c r="FJ328" s="150"/>
      <c r="FK328" s="150"/>
      <c r="FL328" s="150"/>
      <c r="FM328" s="152"/>
      <c r="FN328" s="152"/>
      <c r="FO328" s="150"/>
      <c r="FP328" s="150"/>
      <c r="FQ328" s="150"/>
      <c r="FR328" s="150"/>
      <c r="FS328" s="150"/>
      <c r="FT328" s="150"/>
      <c r="FU328" s="150"/>
      <c r="FV328" s="150"/>
      <c r="FW328" s="152"/>
      <c r="FX328" s="152"/>
      <c r="FY328" s="150"/>
      <c r="FZ328" s="150"/>
      <c r="GA328" s="150"/>
      <c r="GB328" s="150"/>
      <c r="GC328" s="150"/>
      <c r="GD328" s="150"/>
      <c r="GE328" s="150"/>
      <c r="GF328" s="150"/>
      <c r="GG328" s="152"/>
      <c r="GH328" s="152"/>
      <c r="GI328" s="150"/>
      <c r="GJ328" s="150"/>
      <c r="GK328" s="150"/>
      <c r="GL328" s="150"/>
      <c r="GM328" s="150"/>
      <c r="GN328" s="150"/>
      <c r="GO328" s="150"/>
      <c r="GP328" s="150"/>
      <c r="GQ328" s="152"/>
      <c r="GR328" s="152"/>
      <c r="GS328" s="134"/>
      <c r="GT328" s="134"/>
      <c r="GU328" s="134"/>
      <c r="GV328" s="134"/>
      <c r="GW328" s="134"/>
      <c r="GX328" s="134"/>
      <c r="GY328" s="134"/>
      <c r="GZ328" s="134"/>
      <c r="HA328" s="135"/>
      <c r="HB328" s="135"/>
      <c r="HC328" s="134"/>
      <c r="HD328" s="134"/>
      <c r="HE328" s="134"/>
      <c r="HF328" s="134"/>
      <c r="HG328" s="134"/>
      <c r="HH328" s="134"/>
      <c r="HI328" s="134"/>
      <c r="HJ328" s="134"/>
      <c r="HK328" s="135"/>
      <c r="HL328" s="135"/>
      <c r="HM328" s="134"/>
      <c r="HN328" s="134"/>
      <c r="HO328" s="134"/>
      <c r="HP328" s="134"/>
      <c r="HQ328" s="134"/>
      <c r="HR328" s="134"/>
      <c r="HS328" s="134"/>
      <c r="HT328" s="134"/>
      <c r="HU328" s="135"/>
      <c r="HV328" s="135"/>
      <c r="HW328" s="134"/>
      <c r="HX328" s="134"/>
      <c r="HY328" s="134"/>
      <c r="HZ328" s="134"/>
      <c r="IA328" s="134"/>
      <c r="IB328" s="134"/>
      <c r="IC328" s="134"/>
      <c r="ID328" s="134"/>
      <c r="IE328" s="135"/>
      <c r="IF328" s="135"/>
      <c r="IG328" s="134"/>
      <c r="IH328" s="134"/>
      <c r="II328" s="134"/>
      <c r="IJ328" s="134"/>
      <c r="IK328" s="134"/>
      <c r="IL328" s="134"/>
      <c r="IM328" s="134"/>
      <c r="IN328" s="134"/>
      <c r="IO328" s="135"/>
      <c r="IP328" s="135"/>
      <c r="IQ328" s="134"/>
      <c r="IR328" s="134"/>
      <c r="IS328" s="134"/>
      <c r="IT328" s="134"/>
      <c r="IU328" s="134"/>
      <c r="IV328" s="134"/>
      <c r="IW328" s="134"/>
      <c r="IX328" s="134"/>
      <c r="IY328" s="135"/>
      <c r="IZ328" s="135"/>
    </row>
    <row r="329" spans="1:260" customFormat="1" ht="17" customHeight="1">
      <c r="A329" s="118" t="s">
        <v>974</v>
      </c>
      <c r="B329" s="381">
        <v>216</v>
      </c>
      <c r="C329" s="381">
        <v>76</v>
      </c>
      <c r="D329" s="381"/>
      <c r="E329" s="139" t="s">
        <v>2116</v>
      </c>
      <c r="F329" s="140" t="s">
        <v>2375</v>
      </c>
      <c r="G329" s="141">
        <v>2007</v>
      </c>
      <c r="H329" s="118">
        <v>17027033</v>
      </c>
      <c r="I329" s="118">
        <v>1</v>
      </c>
      <c r="J329" s="118">
        <v>1</v>
      </c>
      <c r="K329" s="118"/>
      <c r="L329" s="118">
        <v>1</v>
      </c>
      <c r="M329" s="118"/>
      <c r="N329" s="118">
        <v>1</v>
      </c>
      <c r="O329" s="142">
        <v>2</v>
      </c>
      <c r="P329" s="118" t="s">
        <v>1569</v>
      </c>
      <c r="Q329" s="118" t="s">
        <v>1216</v>
      </c>
      <c r="R329" s="118" t="s">
        <v>1568</v>
      </c>
      <c r="S329" s="118"/>
      <c r="T329" s="118" t="s">
        <v>1541</v>
      </c>
      <c r="U329" s="118"/>
      <c r="V329" s="118"/>
      <c r="W329" s="118" t="s">
        <v>1570</v>
      </c>
      <c r="X329" s="118"/>
      <c r="Y329" s="118" t="s">
        <v>1132</v>
      </c>
      <c r="Z329" s="118"/>
      <c r="AA329" s="118"/>
      <c r="AB329" s="118"/>
      <c r="AC329" s="145"/>
      <c r="AD329" s="573">
        <v>1</v>
      </c>
      <c r="AE329" s="573">
        <v>2</v>
      </c>
      <c r="AF329" s="230" t="s">
        <v>3003</v>
      </c>
      <c r="AG329" s="231" t="s">
        <v>5600</v>
      </c>
      <c r="AH329" s="122">
        <v>5</v>
      </c>
      <c r="AI329" s="485" t="s">
        <v>5603</v>
      </c>
      <c r="AJ329" s="204" t="s">
        <v>5560</v>
      </c>
      <c r="AK329" s="192">
        <v>2</v>
      </c>
      <c r="AL329" s="205">
        <v>0</v>
      </c>
      <c r="AM329" s="122" t="s">
        <v>5585</v>
      </c>
      <c r="AN329" s="121" t="s">
        <v>5584</v>
      </c>
      <c r="AO329" s="346" t="s">
        <v>5564</v>
      </c>
      <c r="AP329" s="122" t="s">
        <v>803</v>
      </c>
      <c r="AQ329" s="122" t="s">
        <v>803</v>
      </c>
      <c r="AR329" s="122" t="s">
        <v>4544</v>
      </c>
      <c r="AS329" s="122" t="s">
        <v>24</v>
      </c>
      <c r="AT329" s="122" t="s">
        <v>4544</v>
      </c>
      <c r="AU329" s="122" t="s">
        <v>24</v>
      </c>
      <c r="AV329" s="122" t="s">
        <v>5549</v>
      </c>
      <c r="AW329" s="122">
        <v>1</v>
      </c>
      <c r="AX329" s="122" t="s">
        <v>5554</v>
      </c>
      <c r="AY329" s="122" t="s">
        <v>5546</v>
      </c>
      <c r="AZ329" s="122" t="s">
        <v>5566</v>
      </c>
      <c r="BA329" s="122" t="s">
        <v>4508</v>
      </c>
      <c r="BB329" s="122"/>
      <c r="BC329" s="122"/>
      <c r="BD329" s="161">
        <v>1</v>
      </c>
      <c r="BE329" s="161" t="s">
        <v>5545</v>
      </c>
      <c r="BF329" s="161"/>
      <c r="BG329" s="161"/>
      <c r="BH329" s="161"/>
      <c r="BI329" s="161"/>
      <c r="BJ329" s="161"/>
      <c r="BK329" s="161"/>
      <c r="BL329" s="161"/>
      <c r="BM329" s="161"/>
      <c r="BN329" s="161"/>
      <c r="BO329" s="161"/>
      <c r="BP329" s="161"/>
      <c r="BQ329" s="185" t="s">
        <v>5567</v>
      </c>
      <c r="BR329" s="186" t="s">
        <v>23</v>
      </c>
      <c r="BS329" s="186" t="s">
        <v>5563</v>
      </c>
      <c r="BT329" s="150" t="s">
        <v>5550</v>
      </c>
      <c r="BU329" s="150" t="s">
        <v>5544</v>
      </c>
      <c r="BV329" s="186" t="s">
        <v>5562</v>
      </c>
      <c r="BW329" s="261" t="s">
        <v>5597</v>
      </c>
      <c r="BX329" s="267" t="s">
        <v>5573</v>
      </c>
      <c r="BY329" s="186">
        <v>64.63</v>
      </c>
      <c r="BZ329" s="186">
        <v>6.58</v>
      </c>
      <c r="CA329" s="186" t="s">
        <v>24</v>
      </c>
      <c r="CB329" s="267" t="s">
        <v>5572</v>
      </c>
      <c r="CC329" s="186">
        <v>22.03</v>
      </c>
      <c r="CD329" s="186">
        <v>11.09</v>
      </c>
      <c r="CE329" s="186" t="s">
        <v>24</v>
      </c>
      <c r="CF329" s="294" t="s">
        <v>5586</v>
      </c>
      <c r="CG329" s="295" t="s">
        <v>24</v>
      </c>
      <c r="CH329" s="267" t="s">
        <v>5574</v>
      </c>
      <c r="CI329" s="186">
        <v>33.53</v>
      </c>
      <c r="CJ329" s="186">
        <v>17.71</v>
      </c>
      <c r="CK329" s="186" t="s">
        <v>24</v>
      </c>
      <c r="CL329" s="267" t="s">
        <v>5575</v>
      </c>
      <c r="CM329" s="150">
        <v>15.13</v>
      </c>
      <c r="CN329" s="150">
        <v>11.06</v>
      </c>
      <c r="CO329" s="150" t="s">
        <v>24</v>
      </c>
      <c r="CP329" s="294" t="s">
        <v>5587</v>
      </c>
      <c r="CQ329" s="295" t="s">
        <v>24</v>
      </c>
      <c r="CR329" s="280" t="s">
        <v>5592</v>
      </c>
      <c r="CS329" s="280" t="s">
        <v>5590</v>
      </c>
      <c r="CT329" s="150" t="s">
        <v>24</v>
      </c>
      <c r="CU329" s="150" t="s">
        <v>24</v>
      </c>
      <c r="CV329" s="150" t="s">
        <v>24</v>
      </c>
      <c r="CW329" s="150" t="s">
        <v>24</v>
      </c>
      <c r="CX329" s="150" t="s">
        <v>24</v>
      </c>
      <c r="CY329" s="150" t="s">
        <v>24</v>
      </c>
      <c r="CZ329" s="150" t="s">
        <v>24</v>
      </c>
      <c r="DA329" s="150" t="s">
        <v>24</v>
      </c>
      <c r="DB329" s="302"/>
      <c r="DC329" s="303"/>
      <c r="DD329" s="150" t="s">
        <v>24</v>
      </c>
      <c r="DE329" s="150" t="s">
        <v>24</v>
      </c>
      <c r="DF329" s="150" t="s">
        <v>24</v>
      </c>
      <c r="DG329" s="150" t="s">
        <v>24</v>
      </c>
      <c r="DH329" s="150" t="s">
        <v>24</v>
      </c>
      <c r="DI329" s="150" t="s">
        <v>24</v>
      </c>
      <c r="DJ329" s="150" t="s">
        <v>24</v>
      </c>
      <c r="DK329" s="150" t="s">
        <v>24</v>
      </c>
      <c r="DL329" s="302"/>
      <c r="DM329" s="303"/>
      <c r="DN329" s="278"/>
      <c r="DO329" s="279"/>
      <c r="DP329" s="150"/>
      <c r="DQ329" s="150"/>
      <c r="DR329" s="150"/>
      <c r="DS329" s="150"/>
      <c r="DT329" s="151"/>
      <c r="DU329" s="150"/>
      <c r="DV329" s="150"/>
      <c r="DW329" s="150"/>
      <c r="DX329" s="303"/>
      <c r="DY329" s="303"/>
      <c r="DZ329" s="151"/>
      <c r="EA329" s="150"/>
      <c r="EB329" s="150"/>
      <c r="EC329" s="150"/>
      <c r="ED329" s="151"/>
      <c r="EE329" s="150"/>
      <c r="EF329" s="150"/>
      <c r="EG329" s="150"/>
      <c r="EH329" s="303"/>
      <c r="EI329" s="303"/>
      <c r="EJ329" s="279"/>
      <c r="EK329" s="150"/>
      <c r="EL329" s="150"/>
      <c r="EM329" s="150"/>
      <c r="EN329" s="150"/>
      <c r="EO329" s="150"/>
      <c r="EP329" s="150"/>
      <c r="EQ329" s="150"/>
      <c r="ER329" s="150"/>
      <c r="ES329" s="303"/>
      <c r="ET329" s="303"/>
      <c r="EU329" s="150"/>
      <c r="EV329" s="150"/>
      <c r="EW329" s="150"/>
      <c r="EX329" s="150"/>
      <c r="EY329" s="150"/>
      <c r="EZ329" s="150"/>
      <c r="FA329" s="150"/>
      <c r="FB329" s="150"/>
      <c r="FC329" s="152"/>
      <c r="FD329" s="152"/>
      <c r="FE329" s="150"/>
      <c r="FF329" s="150"/>
      <c r="FG329" s="150"/>
      <c r="FH329" s="150"/>
      <c r="FI329" s="150"/>
      <c r="FJ329" s="150"/>
      <c r="FK329" s="150"/>
      <c r="FL329" s="150"/>
      <c r="FM329" s="152"/>
      <c r="FN329" s="152"/>
      <c r="FO329" s="150"/>
      <c r="FP329" s="150"/>
      <c r="FQ329" s="150"/>
      <c r="FR329" s="150"/>
      <c r="FS329" s="150"/>
      <c r="FT329" s="150"/>
      <c r="FU329" s="150"/>
      <c r="FV329" s="150"/>
      <c r="FW329" s="152"/>
      <c r="FX329" s="152"/>
      <c r="FY329" s="150"/>
      <c r="FZ329" s="150"/>
      <c r="GA329" s="150"/>
      <c r="GB329" s="150"/>
      <c r="GC329" s="150"/>
      <c r="GD329" s="150"/>
      <c r="GE329" s="150"/>
      <c r="GF329" s="150"/>
      <c r="GG329" s="152"/>
      <c r="GH329" s="152"/>
      <c r="GI329" s="150"/>
      <c r="GJ329" s="150"/>
      <c r="GK329" s="150"/>
      <c r="GL329" s="150"/>
      <c r="GM329" s="150"/>
      <c r="GN329" s="150"/>
      <c r="GO329" s="150"/>
      <c r="GP329" s="150"/>
      <c r="GQ329" s="152"/>
      <c r="GR329" s="152"/>
      <c r="GS329" s="134"/>
      <c r="GT329" s="134"/>
      <c r="GU329" s="134"/>
      <c r="GV329" s="134"/>
      <c r="GW329" s="134"/>
      <c r="GX329" s="134"/>
      <c r="GY329" s="134"/>
      <c r="GZ329" s="134"/>
      <c r="HA329" s="135"/>
      <c r="HB329" s="135"/>
      <c r="HC329" s="134"/>
      <c r="HD329" s="134"/>
      <c r="HE329" s="134"/>
      <c r="HF329" s="134"/>
      <c r="HG329" s="134"/>
      <c r="HH329" s="134"/>
      <c r="HI329" s="134"/>
      <c r="HJ329" s="134"/>
      <c r="HK329" s="135"/>
      <c r="HL329" s="135"/>
      <c r="HM329" s="134"/>
      <c r="HN329" s="134"/>
      <c r="HO329" s="134"/>
      <c r="HP329" s="134"/>
      <c r="HQ329" s="134"/>
      <c r="HR329" s="134"/>
      <c r="HS329" s="134"/>
      <c r="HT329" s="134"/>
      <c r="HU329" s="135"/>
      <c r="HV329" s="135"/>
      <c r="HW329" s="134"/>
      <c r="HX329" s="134"/>
      <c r="HY329" s="134"/>
      <c r="HZ329" s="134"/>
      <c r="IA329" s="134"/>
      <c r="IB329" s="134"/>
      <c r="IC329" s="134"/>
      <c r="ID329" s="134"/>
      <c r="IE329" s="135"/>
      <c r="IF329" s="135"/>
      <c r="IG329" s="134"/>
      <c r="IH329" s="134"/>
      <c r="II329" s="134"/>
      <c r="IJ329" s="134"/>
      <c r="IK329" s="134"/>
      <c r="IL329" s="134"/>
      <c r="IM329" s="134"/>
      <c r="IN329" s="134"/>
      <c r="IO329" s="135"/>
      <c r="IP329" s="135"/>
      <c r="IQ329" s="134"/>
      <c r="IR329" s="134"/>
      <c r="IS329" s="134"/>
      <c r="IT329" s="134"/>
      <c r="IU329" s="134"/>
      <c r="IV329" s="134"/>
      <c r="IW329" s="134"/>
      <c r="IX329" s="134"/>
      <c r="IY329" s="135"/>
      <c r="IZ329" s="135"/>
    </row>
    <row r="330" spans="1:260" customFormat="1" ht="17" customHeight="1">
      <c r="A330" s="118" t="s">
        <v>974</v>
      </c>
      <c r="B330" s="381">
        <v>216</v>
      </c>
      <c r="C330" s="381">
        <v>76</v>
      </c>
      <c r="D330" s="381"/>
      <c r="E330" s="139" t="s">
        <v>2116</v>
      </c>
      <c r="F330" s="140" t="s">
        <v>2375</v>
      </c>
      <c r="G330" s="141">
        <v>2007</v>
      </c>
      <c r="H330" s="118">
        <v>17027033</v>
      </c>
      <c r="I330" s="118">
        <v>1</v>
      </c>
      <c r="J330" s="118">
        <v>1</v>
      </c>
      <c r="K330" s="118"/>
      <c r="L330" s="118">
        <v>1</v>
      </c>
      <c r="M330" s="118"/>
      <c r="N330" s="118">
        <v>1</v>
      </c>
      <c r="O330" s="142">
        <v>2</v>
      </c>
      <c r="P330" s="118" t="s">
        <v>1569</v>
      </c>
      <c r="Q330" s="118" t="s">
        <v>1216</v>
      </c>
      <c r="R330" s="118" t="s">
        <v>1568</v>
      </c>
      <c r="S330" s="118"/>
      <c r="T330" s="118" t="s">
        <v>1541</v>
      </c>
      <c r="U330" s="118"/>
      <c r="V330" s="118"/>
      <c r="W330" s="118" t="s">
        <v>1570</v>
      </c>
      <c r="X330" s="118"/>
      <c r="Y330" s="118" t="s">
        <v>1132</v>
      </c>
      <c r="Z330" s="118"/>
      <c r="AA330" s="118"/>
      <c r="AB330" s="118"/>
      <c r="AC330" s="145"/>
      <c r="AD330" s="573">
        <v>1</v>
      </c>
      <c r="AE330" s="573">
        <v>2</v>
      </c>
      <c r="AF330" s="472" t="s">
        <v>1917</v>
      </c>
      <c r="AG330" s="473" t="s">
        <v>5548</v>
      </c>
      <c r="AH330" s="122">
        <v>5</v>
      </c>
      <c r="AI330" s="485" t="s">
        <v>5603</v>
      </c>
      <c r="AJ330" s="204" t="s">
        <v>5558</v>
      </c>
      <c r="AK330" s="192">
        <v>2</v>
      </c>
      <c r="AL330" s="205">
        <v>0</v>
      </c>
      <c r="AM330" s="122">
        <f>14+14</f>
        <v>28</v>
      </c>
      <c r="AN330" s="122">
        <v>14</v>
      </c>
      <c r="AO330" s="122">
        <v>14</v>
      </c>
      <c r="AP330" s="122" t="s">
        <v>803</v>
      </c>
      <c r="AQ330" s="122" t="s">
        <v>803</v>
      </c>
      <c r="AR330" s="122" t="s">
        <v>4544</v>
      </c>
      <c r="AS330" s="122" t="s">
        <v>24</v>
      </c>
      <c r="AT330" s="122" t="s">
        <v>4544</v>
      </c>
      <c r="AU330" s="122" t="s">
        <v>24</v>
      </c>
      <c r="AV330" s="122" t="s">
        <v>5549</v>
      </c>
      <c r="AW330" s="122">
        <v>1</v>
      </c>
      <c r="AX330" s="122" t="s">
        <v>5555</v>
      </c>
      <c r="AY330" s="122" t="s">
        <v>5546</v>
      </c>
      <c r="AZ330" s="122" t="s">
        <v>5565</v>
      </c>
      <c r="BA330" s="122" t="s">
        <v>4508</v>
      </c>
      <c r="BB330" s="122"/>
      <c r="BC330" s="122"/>
      <c r="BD330" s="161">
        <v>1</v>
      </c>
      <c r="BE330" s="161" t="s">
        <v>5545</v>
      </c>
      <c r="BF330" s="161"/>
      <c r="BG330" s="161"/>
      <c r="BH330" s="161"/>
      <c r="BI330" s="161"/>
      <c r="BJ330" s="161"/>
      <c r="BK330" s="161"/>
      <c r="BL330" s="161"/>
      <c r="BM330" s="161"/>
      <c r="BN330" s="161"/>
      <c r="BO330" s="161"/>
      <c r="BP330" s="161"/>
      <c r="BQ330" s="185" t="s">
        <v>5567</v>
      </c>
      <c r="BR330" s="186" t="s">
        <v>1876</v>
      </c>
      <c r="BS330" s="150">
        <v>2</v>
      </c>
      <c r="BT330" s="150" t="s">
        <v>5552</v>
      </c>
      <c r="BU330" s="150" t="s">
        <v>5544</v>
      </c>
      <c r="BV330" s="186" t="s">
        <v>5562</v>
      </c>
      <c r="BW330" s="261" t="s">
        <v>5594</v>
      </c>
      <c r="BX330" s="267" t="s">
        <v>5576</v>
      </c>
      <c r="BY330" s="186">
        <v>65.98</v>
      </c>
      <c r="BZ330" s="186">
        <v>16.95</v>
      </c>
      <c r="CA330" s="186" t="s">
        <v>24</v>
      </c>
      <c r="CB330" s="267" t="s">
        <v>5577</v>
      </c>
      <c r="CC330" s="150">
        <v>29.02</v>
      </c>
      <c r="CD330" s="150">
        <v>15.82</v>
      </c>
      <c r="CE330" s="150" t="s">
        <v>24</v>
      </c>
      <c r="CF330" s="294" t="s">
        <v>5586</v>
      </c>
      <c r="CG330" s="291" t="s">
        <v>24</v>
      </c>
      <c r="CH330" s="267" t="s">
        <v>5579</v>
      </c>
      <c r="CI330" s="186">
        <v>51.07</v>
      </c>
      <c r="CJ330" s="186">
        <v>14.96</v>
      </c>
      <c r="CK330" s="186" t="s">
        <v>24</v>
      </c>
      <c r="CL330" s="267" t="s">
        <v>5578</v>
      </c>
      <c r="CM330" s="150">
        <v>25.69</v>
      </c>
      <c r="CN330" s="150">
        <v>14.61</v>
      </c>
      <c r="CO330" s="150" t="s">
        <v>24</v>
      </c>
      <c r="CP330" s="294" t="s">
        <v>5587</v>
      </c>
      <c r="CQ330" s="295" t="s">
        <v>24</v>
      </c>
      <c r="CR330" s="280" t="s">
        <v>5591</v>
      </c>
      <c r="CS330" s="280" t="s">
        <v>5588</v>
      </c>
      <c r="CT330" s="267" t="s">
        <v>5580</v>
      </c>
      <c r="CU330" s="186">
        <v>7.54</v>
      </c>
      <c r="CV330" s="186">
        <v>11.1</v>
      </c>
      <c r="CW330" s="186" t="s">
        <v>24</v>
      </c>
      <c r="CX330" s="267" t="s">
        <v>5581</v>
      </c>
      <c r="CY330" s="150">
        <v>3.72</v>
      </c>
      <c r="CZ330" s="150">
        <v>6.58</v>
      </c>
      <c r="DA330" s="150" t="s">
        <v>24</v>
      </c>
      <c r="DB330" s="549" t="s">
        <v>5587</v>
      </c>
      <c r="DC330" s="551" t="s">
        <v>24</v>
      </c>
      <c r="DD330" s="267" t="s">
        <v>5582</v>
      </c>
      <c r="DE330" s="186">
        <v>10.49</v>
      </c>
      <c r="DF330" s="186">
        <v>11.92</v>
      </c>
      <c r="DG330" s="186" t="s">
        <v>24</v>
      </c>
      <c r="DH330" s="267" t="s">
        <v>5583</v>
      </c>
      <c r="DI330" s="150">
        <v>1.96</v>
      </c>
      <c r="DJ330" s="150">
        <v>4.45</v>
      </c>
      <c r="DK330" s="150" t="s">
        <v>24</v>
      </c>
      <c r="DL330" s="549" t="s">
        <v>5587</v>
      </c>
      <c r="DM330" s="551" t="s">
        <v>24</v>
      </c>
      <c r="DN330" s="278" t="s">
        <v>5589</v>
      </c>
      <c r="DO330" s="279" t="s">
        <v>24</v>
      </c>
      <c r="DP330" s="150"/>
      <c r="DQ330" s="150"/>
      <c r="DR330" s="150"/>
      <c r="DS330" s="150"/>
      <c r="DT330" s="151"/>
      <c r="DU330" s="150"/>
      <c r="DV330" s="150"/>
      <c r="DW330" s="150"/>
      <c r="DX330" s="303"/>
      <c r="DY330" s="303"/>
      <c r="DZ330" s="151"/>
      <c r="EA330" s="150"/>
      <c r="EB330" s="150"/>
      <c r="EC330" s="150"/>
      <c r="ED330" s="151"/>
      <c r="EE330" s="150"/>
      <c r="EF330" s="150"/>
      <c r="EG330" s="150"/>
      <c r="EH330" s="303"/>
      <c r="EI330" s="303"/>
      <c r="EJ330" s="279"/>
      <c r="EK330" s="150"/>
      <c r="EL330" s="150"/>
      <c r="EM330" s="150"/>
      <c r="EN330" s="150"/>
      <c r="EO330" s="150"/>
      <c r="EP330" s="150"/>
      <c r="EQ330" s="150"/>
      <c r="ER330" s="150"/>
      <c r="ES330" s="303"/>
      <c r="ET330" s="303"/>
      <c r="EU330" s="150"/>
      <c r="EV330" s="150"/>
      <c r="EW330" s="150"/>
      <c r="EX330" s="150"/>
      <c r="EY330" s="150"/>
      <c r="EZ330" s="150"/>
      <c r="FA330" s="150"/>
      <c r="FB330" s="150"/>
      <c r="FC330" s="152"/>
      <c r="FD330" s="152"/>
      <c r="FE330" s="150"/>
      <c r="FF330" s="150"/>
      <c r="FG330" s="150"/>
      <c r="FH330" s="150"/>
      <c r="FI330" s="150"/>
      <c r="FJ330" s="150"/>
      <c r="FK330" s="150"/>
      <c r="FL330" s="150"/>
      <c r="FM330" s="152"/>
      <c r="FN330" s="152"/>
      <c r="FO330" s="150"/>
      <c r="FP330" s="150"/>
      <c r="FQ330" s="150"/>
      <c r="FR330" s="150"/>
      <c r="FS330" s="150"/>
      <c r="FT330" s="150"/>
      <c r="FU330" s="150"/>
      <c r="FV330" s="150"/>
      <c r="FW330" s="152"/>
      <c r="FX330" s="152"/>
      <c r="FY330" s="150"/>
      <c r="FZ330" s="150"/>
      <c r="GA330" s="150"/>
      <c r="GB330" s="150"/>
      <c r="GC330" s="150"/>
      <c r="GD330" s="150"/>
      <c r="GE330" s="150"/>
      <c r="GF330" s="150"/>
      <c r="GG330" s="152"/>
      <c r="GH330" s="152"/>
      <c r="GI330" s="150"/>
      <c r="GJ330" s="150"/>
      <c r="GK330" s="150"/>
      <c r="GL330" s="150"/>
      <c r="GM330" s="150"/>
      <c r="GN330" s="150"/>
      <c r="GO330" s="150"/>
      <c r="GP330" s="150"/>
      <c r="GQ330" s="152"/>
      <c r="GR330" s="152"/>
      <c r="GS330" s="134"/>
      <c r="GT330" s="134"/>
      <c r="GU330" s="134"/>
      <c r="GV330" s="134"/>
      <c r="GW330" s="134"/>
      <c r="GX330" s="134"/>
      <c r="GY330" s="134"/>
      <c r="GZ330" s="134"/>
      <c r="HA330" s="135"/>
      <c r="HB330" s="135"/>
      <c r="HC330" s="134"/>
      <c r="HD330" s="134"/>
      <c r="HE330" s="134"/>
      <c r="HF330" s="134"/>
      <c r="HG330" s="134"/>
      <c r="HH330" s="134"/>
      <c r="HI330" s="134"/>
      <c r="HJ330" s="134"/>
      <c r="HK330" s="135"/>
      <c r="HL330" s="135"/>
      <c r="HM330" s="134"/>
      <c r="HN330" s="134"/>
      <c r="HO330" s="134"/>
      <c r="HP330" s="134"/>
      <c r="HQ330" s="134"/>
      <c r="HR330" s="134"/>
      <c r="HS330" s="134"/>
      <c r="HT330" s="134"/>
      <c r="HU330" s="135"/>
      <c r="HV330" s="135"/>
      <c r="HW330" s="134"/>
      <c r="HX330" s="134"/>
      <c r="HY330" s="134"/>
      <c r="HZ330" s="134"/>
      <c r="IA330" s="134"/>
      <c r="IB330" s="134"/>
      <c r="IC330" s="134"/>
      <c r="ID330" s="134"/>
      <c r="IE330" s="135"/>
      <c r="IF330" s="135"/>
      <c r="IG330" s="134"/>
      <c r="IH330" s="134"/>
      <c r="II330" s="134"/>
      <c r="IJ330" s="134"/>
      <c r="IK330" s="134"/>
      <c r="IL330" s="134"/>
      <c r="IM330" s="134"/>
      <c r="IN330" s="134"/>
      <c r="IO330" s="135"/>
      <c r="IP330" s="135"/>
      <c r="IQ330" s="134"/>
      <c r="IR330" s="134"/>
      <c r="IS330" s="134"/>
      <c r="IT330" s="134"/>
      <c r="IU330" s="134"/>
      <c r="IV330" s="134"/>
      <c r="IW330" s="134"/>
      <c r="IX330" s="134"/>
      <c r="IY330" s="135"/>
      <c r="IZ330" s="135"/>
    </row>
    <row r="331" spans="1:260" customFormat="1" ht="17" customHeight="1">
      <c r="A331" s="118" t="s">
        <v>974</v>
      </c>
      <c r="B331" s="381">
        <v>216</v>
      </c>
      <c r="C331" s="381">
        <v>76</v>
      </c>
      <c r="D331" s="381"/>
      <c r="E331" s="139" t="s">
        <v>2116</v>
      </c>
      <c r="F331" s="140" t="s">
        <v>2375</v>
      </c>
      <c r="G331" s="141">
        <v>2007</v>
      </c>
      <c r="H331" s="118">
        <v>17027033</v>
      </c>
      <c r="I331" s="118">
        <v>1</v>
      </c>
      <c r="J331" s="118">
        <v>1</v>
      </c>
      <c r="K331" s="118"/>
      <c r="L331" s="118">
        <v>1</v>
      </c>
      <c r="M331" s="118"/>
      <c r="N331" s="118">
        <v>1</v>
      </c>
      <c r="O331" s="142">
        <v>2</v>
      </c>
      <c r="P331" s="118" t="s">
        <v>1569</v>
      </c>
      <c r="Q331" s="118" t="s">
        <v>1216</v>
      </c>
      <c r="R331" s="118" t="s">
        <v>1568</v>
      </c>
      <c r="S331" s="118"/>
      <c r="T331" s="118" t="s">
        <v>1541</v>
      </c>
      <c r="U331" s="118"/>
      <c r="V331" s="118"/>
      <c r="W331" s="118" t="s">
        <v>1570</v>
      </c>
      <c r="X331" s="118"/>
      <c r="Y331" s="118" t="s">
        <v>1132</v>
      </c>
      <c r="Z331" s="118"/>
      <c r="AA331" s="118"/>
      <c r="AB331" s="118"/>
      <c r="AC331" s="145"/>
      <c r="AD331" s="573">
        <v>1</v>
      </c>
      <c r="AE331" s="573">
        <v>2</v>
      </c>
      <c r="AF331" s="472" t="s">
        <v>1917</v>
      </c>
      <c r="AG331" s="473" t="s">
        <v>5548</v>
      </c>
      <c r="AH331" s="122">
        <v>5</v>
      </c>
      <c r="AI331" s="485" t="s">
        <v>5603</v>
      </c>
      <c r="AJ331" s="204" t="s">
        <v>5561</v>
      </c>
      <c r="AK331" s="192">
        <v>2</v>
      </c>
      <c r="AL331" s="205">
        <v>0</v>
      </c>
      <c r="AM331" s="122">
        <f>14+13</f>
        <v>27</v>
      </c>
      <c r="AN331" s="122">
        <v>14</v>
      </c>
      <c r="AO331" s="122">
        <v>13</v>
      </c>
      <c r="AP331" s="122" t="s">
        <v>803</v>
      </c>
      <c r="AQ331" s="122" t="s">
        <v>803</v>
      </c>
      <c r="AR331" s="122" t="s">
        <v>4544</v>
      </c>
      <c r="AS331" s="122" t="s">
        <v>24</v>
      </c>
      <c r="AT331" s="122" t="s">
        <v>4544</v>
      </c>
      <c r="AU331" s="122" t="s">
        <v>24</v>
      </c>
      <c r="AV331" s="122" t="s">
        <v>5549</v>
      </c>
      <c r="AW331" s="122">
        <v>1</v>
      </c>
      <c r="AX331" s="122" t="s">
        <v>5555</v>
      </c>
      <c r="AY331" s="122" t="s">
        <v>5546</v>
      </c>
      <c r="AZ331" s="122" t="s">
        <v>5566</v>
      </c>
      <c r="BA331" s="122" t="s">
        <v>4508</v>
      </c>
      <c r="BB331" s="122"/>
      <c r="BC331" s="122"/>
      <c r="BD331" s="161">
        <v>1</v>
      </c>
      <c r="BE331" s="161" t="s">
        <v>5545</v>
      </c>
      <c r="BF331" s="161"/>
      <c r="BG331" s="161"/>
      <c r="BH331" s="161"/>
      <c r="BI331" s="161"/>
      <c r="BJ331" s="161"/>
      <c r="BK331" s="161"/>
      <c r="BL331" s="161"/>
      <c r="BM331" s="161"/>
      <c r="BN331" s="161"/>
      <c r="BO331" s="161"/>
      <c r="BP331" s="161"/>
      <c r="BQ331" s="185" t="s">
        <v>5567</v>
      </c>
      <c r="BR331" s="186" t="s">
        <v>1876</v>
      </c>
      <c r="BS331" s="150">
        <v>2</v>
      </c>
      <c r="BT331" s="150" t="s">
        <v>5552</v>
      </c>
      <c r="BU331" s="150" t="s">
        <v>5544</v>
      </c>
      <c r="BV331" s="186" t="s">
        <v>5562</v>
      </c>
      <c r="BW331" s="261" t="s">
        <v>5598</v>
      </c>
      <c r="BX331" s="267" t="s">
        <v>5576</v>
      </c>
      <c r="BY331" s="186">
        <v>46.26</v>
      </c>
      <c r="BZ331" s="186">
        <v>22.61</v>
      </c>
      <c r="CA331" s="186" t="s">
        <v>24</v>
      </c>
      <c r="CB331" s="267" t="s">
        <v>5577</v>
      </c>
      <c r="CC331" s="150">
        <v>17.739999999999998</v>
      </c>
      <c r="CD331" s="150">
        <v>18.36</v>
      </c>
      <c r="CE331" s="150" t="s">
        <v>24</v>
      </c>
      <c r="CF331" s="294" t="s">
        <v>5586</v>
      </c>
      <c r="CG331" s="291" t="s">
        <v>24</v>
      </c>
      <c r="CH331" s="267" t="s">
        <v>5579</v>
      </c>
      <c r="CI331" s="186">
        <v>28.81</v>
      </c>
      <c r="CJ331" s="186">
        <v>22.81</v>
      </c>
      <c r="CK331" s="186" t="s">
        <v>24</v>
      </c>
      <c r="CL331" s="267" t="s">
        <v>5578</v>
      </c>
      <c r="CM331" s="150">
        <v>8.94</v>
      </c>
      <c r="CN331" s="150">
        <v>8.2100000000000009</v>
      </c>
      <c r="CO331" s="150" t="s">
        <v>24</v>
      </c>
      <c r="CP331" s="294" t="s">
        <v>5587</v>
      </c>
      <c r="CQ331" s="295" t="s">
        <v>24</v>
      </c>
      <c r="CR331" s="280" t="s">
        <v>5592</v>
      </c>
      <c r="CS331" s="280" t="s">
        <v>5590</v>
      </c>
      <c r="CT331" s="267" t="s">
        <v>5580</v>
      </c>
      <c r="CU331" s="186">
        <v>1.1599999999999999</v>
      </c>
      <c r="CV331" s="186">
        <v>0.159</v>
      </c>
      <c r="CW331" s="186" t="s">
        <v>24</v>
      </c>
      <c r="CX331" s="267" t="s">
        <v>5581</v>
      </c>
      <c r="CY331" s="150">
        <v>2.3199999999999998</v>
      </c>
      <c r="CZ331" s="150">
        <v>2.33</v>
      </c>
      <c r="DA331" s="150" t="s">
        <v>24</v>
      </c>
      <c r="DB331" s="549" t="s">
        <v>5587</v>
      </c>
      <c r="DC331" s="551" t="s">
        <v>24</v>
      </c>
      <c r="DD331" s="267" t="s">
        <v>5582</v>
      </c>
      <c r="DE331" s="186">
        <v>4.4400000000000004</v>
      </c>
      <c r="DF331" s="186">
        <v>3.93</v>
      </c>
      <c r="DG331" s="186" t="s">
        <v>24</v>
      </c>
      <c r="DH331" s="267" t="s">
        <v>5583</v>
      </c>
      <c r="DI331" s="150">
        <v>0.66</v>
      </c>
      <c r="DJ331" s="150">
        <v>7.8E-2</v>
      </c>
      <c r="DK331" s="150" t="s">
        <v>24</v>
      </c>
      <c r="DL331" s="549" t="s">
        <v>5587</v>
      </c>
      <c r="DM331" s="551" t="s">
        <v>24</v>
      </c>
      <c r="DN331" s="278" t="s">
        <v>5589</v>
      </c>
      <c r="DO331" s="279" t="s">
        <v>24</v>
      </c>
      <c r="DP331" s="150"/>
      <c r="DQ331" s="150"/>
      <c r="DR331" s="150"/>
      <c r="DS331" s="150"/>
      <c r="DT331" s="151"/>
      <c r="DU331" s="150"/>
      <c r="DV331" s="150"/>
      <c r="DW331" s="150"/>
      <c r="DX331" s="303"/>
      <c r="DY331" s="303"/>
      <c r="DZ331" s="151"/>
      <c r="EA331" s="150"/>
      <c r="EB331" s="150"/>
      <c r="EC331" s="150"/>
      <c r="ED331" s="151"/>
      <c r="EE331" s="150"/>
      <c r="EF331" s="150"/>
      <c r="EG331" s="150"/>
      <c r="EH331" s="303"/>
      <c r="EI331" s="303"/>
      <c r="EJ331" s="279"/>
      <c r="EK331" s="150"/>
      <c r="EL331" s="150"/>
      <c r="EM331" s="150"/>
      <c r="EN331" s="150"/>
      <c r="EO331" s="150"/>
      <c r="EP331" s="150"/>
      <c r="EQ331" s="150"/>
      <c r="ER331" s="150"/>
      <c r="ES331" s="303"/>
      <c r="ET331" s="303"/>
      <c r="EU331" s="150"/>
      <c r="EV331" s="150"/>
      <c r="EW331" s="150"/>
      <c r="EX331" s="150"/>
      <c r="EY331" s="150"/>
      <c r="EZ331" s="150"/>
      <c r="FA331" s="150"/>
      <c r="FB331" s="150"/>
      <c r="FC331" s="152"/>
      <c r="FD331" s="152"/>
      <c r="FE331" s="150"/>
      <c r="FF331" s="150"/>
      <c r="FG331" s="150"/>
      <c r="FH331" s="150"/>
      <c r="FI331" s="150"/>
      <c r="FJ331" s="150"/>
      <c r="FK331" s="150"/>
      <c r="FL331" s="150"/>
      <c r="FM331" s="152"/>
      <c r="FN331" s="152"/>
      <c r="FO331" s="150"/>
      <c r="FP331" s="150"/>
      <c r="FQ331" s="150"/>
      <c r="FR331" s="150"/>
      <c r="FS331" s="150"/>
      <c r="FT331" s="150"/>
      <c r="FU331" s="150"/>
      <c r="FV331" s="150"/>
      <c r="FW331" s="152"/>
      <c r="FX331" s="152"/>
      <c r="FY331" s="150"/>
      <c r="FZ331" s="150"/>
      <c r="GA331" s="150"/>
      <c r="GB331" s="150"/>
      <c r="GC331" s="150"/>
      <c r="GD331" s="150"/>
      <c r="GE331" s="150"/>
      <c r="GF331" s="150"/>
      <c r="GG331" s="152"/>
      <c r="GH331" s="152"/>
      <c r="GI331" s="150"/>
      <c r="GJ331" s="150"/>
      <c r="GK331" s="150"/>
      <c r="GL331" s="150"/>
      <c r="GM331" s="150"/>
      <c r="GN331" s="150"/>
      <c r="GO331" s="150"/>
      <c r="GP331" s="150"/>
      <c r="GQ331" s="152"/>
      <c r="GR331" s="152"/>
      <c r="GS331" s="134"/>
      <c r="GT331" s="134"/>
      <c r="GU331" s="134"/>
      <c r="GV331" s="134"/>
      <c r="GW331" s="134"/>
      <c r="GX331" s="134"/>
      <c r="GY331" s="134"/>
      <c r="GZ331" s="134"/>
      <c r="HA331" s="135"/>
      <c r="HB331" s="135"/>
      <c r="HC331" s="134"/>
      <c r="HD331" s="134"/>
      <c r="HE331" s="134"/>
      <c r="HF331" s="134"/>
      <c r="HG331" s="134"/>
      <c r="HH331" s="134"/>
      <c r="HI331" s="134"/>
      <c r="HJ331" s="134"/>
      <c r="HK331" s="135"/>
      <c r="HL331" s="135"/>
      <c r="HM331" s="134"/>
      <c r="HN331" s="134"/>
      <c r="HO331" s="134"/>
      <c r="HP331" s="134"/>
      <c r="HQ331" s="134"/>
      <c r="HR331" s="134"/>
      <c r="HS331" s="134"/>
      <c r="HT331" s="134"/>
      <c r="HU331" s="135"/>
      <c r="HV331" s="135"/>
      <c r="HW331" s="134"/>
      <c r="HX331" s="134"/>
      <c r="HY331" s="134"/>
      <c r="HZ331" s="134"/>
      <c r="IA331" s="134"/>
      <c r="IB331" s="134"/>
      <c r="IC331" s="134"/>
      <c r="ID331" s="134"/>
      <c r="IE331" s="135"/>
      <c r="IF331" s="135"/>
      <c r="IG331" s="134"/>
      <c r="IH331" s="134"/>
      <c r="II331" s="134"/>
      <c r="IJ331" s="134"/>
      <c r="IK331" s="134"/>
      <c r="IL331" s="134"/>
      <c r="IM331" s="134"/>
      <c r="IN331" s="134"/>
      <c r="IO331" s="135"/>
      <c r="IP331" s="135"/>
      <c r="IQ331" s="134"/>
      <c r="IR331" s="134"/>
      <c r="IS331" s="134"/>
      <c r="IT331" s="134"/>
      <c r="IU331" s="134"/>
      <c r="IV331" s="134"/>
      <c r="IW331" s="134"/>
      <c r="IX331" s="134"/>
      <c r="IY331" s="135"/>
      <c r="IZ331" s="135"/>
    </row>
    <row r="332" spans="1:260" customFormat="1" ht="17" customHeight="1">
      <c r="A332" s="79" t="s">
        <v>303</v>
      </c>
      <c r="B332" s="117">
        <v>218</v>
      </c>
      <c r="C332" s="117">
        <v>77</v>
      </c>
      <c r="D332" s="117"/>
      <c r="E332" s="123" t="s">
        <v>2024</v>
      </c>
      <c r="F332" s="124" t="s">
        <v>2257</v>
      </c>
      <c r="G332" s="125">
        <v>2007</v>
      </c>
      <c r="H332" s="79">
        <v>17436378</v>
      </c>
      <c r="I332" s="79">
        <v>1</v>
      </c>
      <c r="J332" s="126"/>
      <c r="K332" s="127"/>
      <c r="L332" s="79">
        <v>1</v>
      </c>
      <c r="M332" s="79"/>
      <c r="N332" s="79">
        <v>1</v>
      </c>
      <c r="O332" s="128">
        <v>1</v>
      </c>
      <c r="P332" s="79" t="s">
        <v>794</v>
      </c>
      <c r="Q332" s="79" t="s">
        <v>1147</v>
      </c>
      <c r="R332" s="79" t="s">
        <v>591</v>
      </c>
      <c r="S332" s="79">
        <v>1</v>
      </c>
      <c r="T332" s="79"/>
      <c r="U332" s="79"/>
      <c r="V332" s="79"/>
      <c r="W332" s="79" t="s">
        <v>795</v>
      </c>
      <c r="X332" s="79" t="s">
        <v>24</v>
      </c>
      <c r="Y332" s="79" t="s">
        <v>24</v>
      </c>
      <c r="Z332" s="79"/>
      <c r="AA332" s="79"/>
      <c r="AB332" s="79"/>
      <c r="AC332" s="506"/>
      <c r="AD332" s="573">
        <v>1</v>
      </c>
      <c r="AE332" s="573">
        <v>2</v>
      </c>
      <c r="AF332" s="154">
        <v>1</v>
      </c>
      <c r="AG332" s="155"/>
      <c r="AH332" s="121">
        <v>2</v>
      </c>
      <c r="AI332" s="484" t="s">
        <v>5625</v>
      </c>
      <c r="AJ332" s="202" t="s">
        <v>5604</v>
      </c>
      <c r="AK332" s="192">
        <v>0</v>
      </c>
      <c r="AL332" s="203" t="s">
        <v>24</v>
      </c>
      <c r="AM332" s="121">
        <f>Table665[[#This Row],[Subjects_n_ptsd]]+Table665[[#This Row],[Subjects_n_control]]</f>
        <v>41</v>
      </c>
      <c r="AN332" s="121">
        <v>20</v>
      </c>
      <c r="AO332" s="121">
        <v>21</v>
      </c>
      <c r="AP332" s="121" t="s">
        <v>803</v>
      </c>
      <c r="AQ332" s="121" t="s">
        <v>803</v>
      </c>
      <c r="AR332" s="121">
        <v>38.1</v>
      </c>
      <c r="AS332" s="121">
        <v>5.7</v>
      </c>
      <c r="AT332" s="121">
        <v>38</v>
      </c>
      <c r="AU332" s="121">
        <v>6</v>
      </c>
      <c r="AV332" s="121" t="s">
        <v>5605</v>
      </c>
      <c r="AW332" s="121" t="s">
        <v>24</v>
      </c>
      <c r="AX332" s="121" t="s">
        <v>24</v>
      </c>
      <c r="AY332" s="121" t="s">
        <v>5607</v>
      </c>
      <c r="AZ332" s="121" t="s">
        <v>3835</v>
      </c>
      <c r="BA332" s="121" t="s">
        <v>5606</v>
      </c>
      <c r="BB332" s="121"/>
      <c r="BC332" s="121"/>
      <c r="BD332" s="156"/>
      <c r="BE332" s="156"/>
      <c r="BF332" s="156"/>
      <c r="BG332" s="156"/>
      <c r="BH332" s="156"/>
      <c r="BI332" s="156"/>
      <c r="BJ332" s="156">
        <v>1</v>
      </c>
      <c r="BK332" s="156"/>
      <c r="BL332" s="156"/>
      <c r="BM332" s="156"/>
      <c r="BN332" s="156"/>
      <c r="BO332" s="156"/>
      <c r="BP332" s="156"/>
      <c r="BQ332" s="157" t="s">
        <v>5337</v>
      </c>
      <c r="BR332" s="134" t="s">
        <v>1876</v>
      </c>
      <c r="BS332" s="134">
        <v>2</v>
      </c>
      <c r="BT332" s="134" t="s">
        <v>5608</v>
      </c>
      <c r="BU332" s="134" t="s">
        <v>24</v>
      </c>
      <c r="BV332" s="134" t="s">
        <v>5609</v>
      </c>
      <c r="BW332" s="259" t="s">
        <v>5624</v>
      </c>
      <c r="BX332" s="138" t="s">
        <v>5610</v>
      </c>
      <c r="BY332" s="134">
        <v>35.6</v>
      </c>
      <c r="BZ332" s="134">
        <v>0.8</v>
      </c>
      <c r="CA332" s="134" t="s">
        <v>24</v>
      </c>
      <c r="CB332" s="138" t="s">
        <v>5611</v>
      </c>
      <c r="CC332" s="134">
        <v>35.799999999999997</v>
      </c>
      <c r="CD332" s="134">
        <v>0</v>
      </c>
      <c r="CE332" s="134" t="s">
        <v>24</v>
      </c>
      <c r="CF332" s="288" t="s">
        <v>5379</v>
      </c>
      <c r="CG332" s="289" t="s">
        <v>5620</v>
      </c>
      <c r="CH332" s="138" t="s">
        <v>5612</v>
      </c>
      <c r="CI332" s="134">
        <v>16.3</v>
      </c>
      <c r="CJ332" s="134">
        <v>6.4</v>
      </c>
      <c r="CK332" s="134" t="s">
        <v>24</v>
      </c>
      <c r="CL332" s="138" t="s">
        <v>5613</v>
      </c>
      <c r="CM332" s="134">
        <v>26.7</v>
      </c>
      <c r="CN332" s="134">
        <v>4.5</v>
      </c>
      <c r="CO332" s="134" t="s">
        <v>24</v>
      </c>
      <c r="CP332" s="288" t="s">
        <v>4742</v>
      </c>
      <c r="CQ332" s="289" t="s">
        <v>5621</v>
      </c>
      <c r="CR332" s="276" t="s">
        <v>5623</v>
      </c>
      <c r="CS332" s="276" t="s">
        <v>5623</v>
      </c>
      <c r="CT332" s="138" t="s">
        <v>5614</v>
      </c>
      <c r="CU332" s="134">
        <v>15.7</v>
      </c>
      <c r="CV332" s="134">
        <v>6.1</v>
      </c>
      <c r="CW332" s="134" t="s">
        <v>24</v>
      </c>
      <c r="CX332" s="138" t="s">
        <v>5615</v>
      </c>
      <c r="CY332" s="134">
        <v>26.3</v>
      </c>
      <c r="CZ332" s="134">
        <v>4.5999999999999996</v>
      </c>
      <c r="DA332" s="134" t="s">
        <v>24</v>
      </c>
      <c r="DB332" s="300" t="s">
        <v>4742</v>
      </c>
      <c r="DC332" s="301" t="s">
        <v>5622</v>
      </c>
      <c r="DD332" s="134" t="s">
        <v>5616</v>
      </c>
      <c r="DE332" s="134">
        <v>7.8</v>
      </c>
      <c r="DF332" s="134">
        <v>3</v>
      </c>
      <c r="DG332" s="134" t="s">
        <v>24</v>
      </c>
      <c r="DH332" s="134" t="s">
        <v>5617</v>
      </c>
      <c r="DI332" s="134">
        <v>4</v>
      </c>
      <c r="DJ332" s="134">
        <v>1.9</v>
      </c>
      <c r="DK332" s="134" t="s">
        <v>24</v>
      </c>
      <c r="DL332" s="300" t="s">
        <v>5618</v>
      </c>
      <c r="DM332" s="301" t="s">
        <v>5619</v>
      </c>
      <c r="DN332" s="278"/>
      <c r="DO332" s="277"/>
      <c r="DP332" s="134"/>
      <c r="DQ332" s="134"/>
      <c r="DR332" s="134"/>
      <c r="DS332" s="134"/>
      <c r="DT332" s="138"/>
      <c r="DU332" s="134"/>
      <c r="DV332" s="134"/>
      <c r="DW332" s="134"/>
      <c r="DX332" s="301"/>
      <c r="DY332" s="301"/>
      <c r="DZ332" s="138"/>
      <c r="EA332" s="134"/>
      <c r="EB332" s="134"/>
      <c r="EC332" s="134"/>
      <c r="ED332" s="138"/>
      <c r="EE332" s="134"/>
      <c r="EF332" s="134"/>
      <c r="EG332" s="134"/>
      <c r="EH332" s="301"/>
      <c r="EI332" s="301"/>
      <c r="EJ332" s="277"/>
      <c r="EK332" s="134"/>
      <c r="EL332" s="134"/>
      <c r="EM332" s="134"/>
      <c r="EN332" s="134"/>
      <c r="EO332" s="134"/>
      <c r="EP332" s="134"/>
      <c r="EQ332" s="134"/>
      <c r="ER332" s="134"/>
      <c r="ES332" s="301"/>
      <c r="ET332" s="301"/>
      <c r="EU332" s="134"/>
      <c r="EV332" s="134"/>
      <c r="EW332" s="134"/>
      <c r="EX332" s="134"/>
      <c r="EY332" s="134"/>
      <c r="EZ332" s="134"/>
      <c r="FA332" s="134"/>
      <c r="FB332" s="134"/>
      <c r="FC332" s="135"/>
      <c r="FD332" s="135"/>
      <c r="FE332" s="134"/>
      <c r="FF332" s="134"/>
      <c r="FG332" s="134"/>
      <c r="FH332" s="134"/>
      <c r="FI332" s="134"/>
      <c r="FJ332" s="134"/>
      <c r="FK332" s="134"/>
      <c r="FL332" s="134"/>
      <c r="FM332" s="135"/>
      <c r="FN332" s="135"/>
      <c r="FO332" s="134"/>
      <c r="FP332" s="134"/>
      <c r="FQ332" s="134"/>
      <c r="FR332" s="134"/>
      <c r="FS332" s="134"/>
      <c r="FT332" s="134"/>
      <c r="FU332" s="134"/>
      <c r="FV332" s="134"/>
      <c r="FW332" s="135"/>
      <c r="FX332" s="135"/>
      <c r="FY332" s="134"/>
      <c r="FZ332" s="134"/>
      <c r="GA332" s="134"/>
      <c r="GB332" s="134"/>
      <c r="GC332" s="134"/>
      <c r="GD332" s="134"/>
      <c r="GE332" s="134"/>
      <c r="GF332" s="134"/>
      <c r="GG332" s="135"/>
      <c r="GH332" s="135"/>
      <c r="GI332" s="134"/>
      <c r="GJ332" s="134"/>
      <c r="GK332" s="134"/>
      <c r="GL332" s="134"/>
      <c r="GM332" s="134"/>
      <c r="GN332" s="134"/>
      <c r="GO332" s="134"/>
      <c r="GP332" s="134"/>
      <c r="GQ332" s="135"/>
      <c r="GR332" s="135"/>
      <c r="GS332" s="134"/>
      <c r="GT332" s="134"/>
      <c r="GU332" s="134"/>
      <c r="GV332" s="134"/>
      <c r="GW332" s="134"/>
      <c r="GX332" s="134"/>
      <c r="GY332" s="134"/>
      <c r="GZ332" s="134"/>
      <c r="HA332" s="135"/>
      <c r="HB332" s="135"/>
      <c r="HC332" s="134"/>
      <c r="HD332" s="134"/>
      <c r="HE332" s="134"/>
      <c r="HF332" s="134"/>
      <c r="HG332" s="134"/>
      <c r="HH332" s="134"/>
      <c r="HI332" s="134"/>
      <c r="HJ332" s="134"/>
      <c r="HK332" s="135"/>
      <c r="HL332" s="135"/>
      <c r="HM332" s="134"/>
      <c r="HN332" s="134"/>
      <c r="HO332" s="134"/>
      <c r="HP332" s="134"/>
      <c r="HQ332" s="134"/>
      <c r="HR332" s="134"/>
      <c r="HS332" s="134"/>
      <c r="HT332" s="134"/>
      <c r="HU332" s="135"/>
      <c r="HV332" s="135"/>
      <c r="HW332" s="134"/>
      <c r="HX332" s="134"/>
      <c r="HY332" s="134"/>
      <c r="HZ332" s="134"/>
      <c r="IA332" s="134"/>
      <c r="IB332" s="134"/>
      <c r="IC332" s="134"/>
      <c r="ID332" s="134"/>
      <c r="IE332" s="135"/>
      <c r="IF332" s="135"/>
      <c r="IG332" s="134"/>
      <c r="IH332" s="134"/>
      <c r="II332" s="134"/>
      <c r="IJ332" s="134"/>
      <c r="IK332" s="134"/>
      <c r="IL332" s="134"/>
      <c r="IM332" s="134"/>
      <c r="IN332" s="134"/>
      <c r="IO332" s="135"/>
      <c r="IP332" s="135"/>
      <c r="IQ332" s="134"/>
      <c r="IR332" s="134"/>
      <c r="IS332" s="134"/>
      <c r="IT332" s="134"/>
      <c r="IU332" s="134"/>
      <c r="IV332" s="134"/>
      <c r="IW332" s="134"/>
      <c r="IX332" s="134"/>
      <c r="IY332" s="135"/>
      <c r="IZ332" s="135"/>
    </row>
    <row r="333" spans="1:260" customFormat="1" ht="17" customHeight="1">
      <c r="A333" s="79" t="s">
        <v>971</v>
      </c>
      <c r="B333" s="117">
        <v>219</v>
      </c>
      <c r="C333" s="117">
        <v>78</v>
      </c>
      <c r="D333" s="117"/>
      <c r="E333" s="123" t="s">
        <v>2117</v>
      </c>
      <c r="F333" s="124" t="s">
        <v>2376</v>
      </c>
      <c r="G333" s="125">
        <v>2015</v>
      </c>
      <c r="H333" s="79">
        <v>25533441</v>
      </c>
      <c r="I333" s="79">
        <v>1</v>
      </c>
      <c r="J333" s="126"/>
      <c r="K333" s="127"/>
      <c r="L333" s="79">
        <v>1</v>
      </c>
      <c r="M333" s="79"/>
      <c r="N333" s="79">
        <v>1</v>
      </c>
      <c r="O333" s="128">
        <v>2</v>
      </c>
      <c r="P333" s="79" t="s">
        <v>1464</v>
      </c>
      <c r="Q333" s="79" t="s">
        <v>1216</v>
      </c>
      <c r="R333" s="79" t="s">
        <v>1130</v>
      </c>
      <c r="S333" s="79"/>
      <c r="T333" s="79" t="s">
        <v>1487</v>
      </c>
      <c r="U333" s="79" t="s">
        <v>803</v>
      </c>
      <c r="V333" s="79"/>
      <c r="W333" s="79" t="s">
        <v>1580</v>
      </c>
      <c r="X333" s="79" t="s">
        <v>1579</v>
      </c>
      <c r="Y333" s="79" t="s">
        <v>1209</v>
      </c>
      <c r="Z333" s="79"/>
      <c r="AA333" s="79" t="s">
        <v>1578</v>
      </c>
      <c r="AB333" s="79"/>
      <c r="AC333" s="506"/>
      <c r="AD333" s="573">
        <v>1</v>
      </c>
      <c r="AE333" s="573">
        <v>2</v>
      </c>
      <c r="AF333" s="154">
        <v>1</v>
      </c>
      <c r="AG333" s="155"/>
      <c r="AH333" s="121">
        <v>4</v>
      </c>
      <c r="AI333" s="484" t="s">
        <v>5640</v>
      </c>
      <c r="AJ333" s="202" t="s">
        <v>5639</v>
      </c>
      <c r="AK333" s="192">
        <v>0</v>
      </c>
      <c r="AL333" s="203">
        <v>0</v>
      </c>
      <c r="AM333" s="121">
        <f>Table665[[#This Row],[Subjects_n_ptsd]]+Table665[[#This Row],[Subjects_n_control]]</f>
        <v>20</v>
      </c>
      <c r="AN333" s="121">
        <v>10</v>
      </c>
      <c r="AO333" s="121">
        <v>10</v>
      </c>
      <c r="AP333" s="121" t="s">
        <v>803</v>
      </c>
      <c r="AQ333" s="121" t="s">
        <v>803</v>
      </c>
      <c r="AR333" s="121" t="s">
        <v>2882</v>
      </c>
      <c r="AS333" s="121" t="s">
        <v>24</v>
      </c>
      <c r="AT333" s="121" t="s">
        <v>2882</v>
      </c>
      <c r="AU333" s="121" t="s">
        <v>24</v>
      </c>
      <c r="AV333" s="121" t="s">
        <v>5627</v>
      </c>
      <c r="AW333" s="121">
        <v>1</v>
      </c>
      <c r="AX333" s="121">
        <v>1</v>
      </c>
      <c r="AY333" s="121" t="s">
        <v>5628</v>
      </c>
      <c r="AZ333" s="121" t="s">
        <v>3698</v>
      </c>
      <c r="BA333" s="121" t="s">
        <v>3045</v>
      </c>
      <c r="BB333" s="121"/>
      <c r="BC333" s="121"/>
      <c r="BD333" s="156"/>
      <c r="BE333" s="156"/>
      <c r="BF333" s="156"/>
      <c r="BG333" s="156"/>
      <c r="BH333" s="156"/>
      <c r="BI333" s="156"/>
      <c r="BJ333" s="156">
        <v>1</v>
      </c>
      <c r="BK333" s="156"/>
      <c r="BL333" s="156"/>
      <c r="BM333" s="156"/>
      <c r="BN333" s="156"/>
      <c r="BO333" s="156"/>
      <c r="BP333" s="156"/>
      <c r="BQ333" s="157" t="s">
        <v>5632</v>
      </c>
      <c r="BR333" s="134" t="s">
        <v>1876</v>
      </c>
      <c r="BS333" s="134" t="s">
        <v>5629</v>
      </c>
      <c r="BT333" s="134" t="s">
        <v>5630</v>
      </c>
      <c r="BU333" s="134" t="s">
        <v>5626</v>
      </c>
      <c r="BV333" s="134" t="s">
        <v>5631</v>
      </c>
      <c r="BW333" s="259" t="s">
        <v>5641</v>
      </c>
      <c r="BX333" s="138" t="s">
        <v>5636</v>
      </c>
      <c r="BY333" s="134">
        <v>4.9824599999999997</v>
      </c>
      <c r="BZ333" s="168" t="s">
        <v>24</v>
      </c>
      <c r="CA333" s="134">
        <f>5.75439-Table665[[#This Row],[Outcome1_M]]</f>
        <v>0.77193000000000023</v>
      </c>
      <c r="CB333" s="138" t="s">
        <v>5637</v>
      </c>
      <c r="CC333" s="134">
        <v>0.30409399999999998</v>
      </c>
      <c r="CD333" s="134" t="s">
        <v>24</v>
      </c>
      <c r="CE333" s="134">
        <f>0.561404-Table665[[#This Row],[Outcome2_M]]</f>
        <v>0.25731000000000004</v>
      </c>
      <c r="CF333" s="288" t="s">
        <v>5633</v>
      </c>
      <c r="CG333" s="289" t="s">
        <v>2555</v>
      </c>
      <c r="CH333" s="138" t="s">
        <v>5634</v>
      </c>
      <c r="CI333" s="134">
        <v>4.4299099999999996</v>
      </c>
      <c r="CJ333" s="134" t="s">
        <v>24</v>
      </c>
      <c r="CK333" s="134">
        <f>5.30841-Table665[[#This Row],[Outcome3_M]]</f>
        <v>0.87850000000000072</v>
      </c>
      <c r="CL333" s="138" t="s">
        <v>5635</v>
      </c>
      <c r="CM333" s="134">
        <v>0.80373799999999995</v>
      </c>
      <c r="CN333" s="134" t="s">
        <v>24</v>
      </c>
      <c r="CO333" s="134">
        <f>1.15888-Table665[[#This Row],[Outcome4_M]]</f>
        <v>0.35514199999999996</v>
      </c>
      <c r="CP333" s="288" t="s">
        <v>5638</v>
      </c>
      <c r="CQ333" s="289" t="s">
        <v>2555</v>
      </c>
      <c r="CR333" s="276"/>
      <c r="CS333" s="308"/>
      <c r="CT333" s="138"/>
      <c r="CU333" s="134"/>
      <c r="CV333" s="134"/>
      <c r="CW333" s="134"/>
      <c r="CX333" s="134"/>
      <c r="CY333" s="134"/>
      <c r="CZ333" s="134"/>
      <c r="DA333" s="134"/>
      <c r="DB333" s="300"/>
      <c r="DC333" s="301"/>
      <c r="DD333" s="134"/>
      <c r="DE333" s="134"/>
      <c r="DF333" s="134"/>
      <c r="DG333" s="134"/>
      <c r="DH333" s="134"/>
      <c r="DI333" s="134"/>
      <c r="DJ333" s="134"/>
      <c r="DK333" s="134"/>
      <c r="DL333" s="300"/>
      <c r="DM333" s="301"/>
      <c r="DN333" s="276"/>
      <c r="DO333" s="277"/>
      <c r="DP333" s="134"/>
      <c r="DQ333" s="134"/>
      <c r="DR333" s="134"/>
      <c r="DS333" s="134"/>
      <c r="DT333" s="138"/>
      <c r="DU333" s="134"/>
      <c r="DV333" s="134"/>
      <c r="DW333" s="134"/>
      <c r="DX333" s="301"/>
      <c r="DY333" s="301"/>
      <c r="DZ333" s="138"/>
      <c r="EA333" s="134"/>
      <c r="EB333" s="134"/>
      <c r="EC333" s="134"/>
      <c r="ED333" s="138"/>
      <c r="EE333" s="134"/>
      <c r="EF333" s="134"/>
      <c r="EG333" s="134"/>
      <c r="EH333" s="301"/>
      <c r="EI333" s="301"/>
      <c r="EJ333" s="277"/>
      <c r="EK333" s="134"/>
      <c r="EL333" s="134"/>
      <c r="EM333" s="134"/>
      <c r="EN333" s="134"/>
      <c r="EO333" s="134"/>
      <c r="EP333" s="134"/>
      <c r="EQ333" s="134"/>
      <c r="ER333" s="134"/>
      <c r="ES333" s="301"/>
      <c r="ET333" s="301"/>
      <c r="EU333" s="134"/>
      <c r="EV333" s="134"/>
      <c r="EW333" s="134"/>
      <c r="EX333" s="134"/>
      <c r="EY333" s="134"/>
      <c r="EZ333" s="134"/>
      <c r="FA333" s="134"/>
      <c r="FB333" s="134"/>
      <c r="FC333" s="135"/>
      <c r="FD333" s="135"/>
      <c r="FE333" s="134"/>
      <c r="FF333" s="134"/>
      <c r="FG333" s="134"/>
      <c r="FH333" s="134"/>
      <c r="FI333" s="134"/>
      <c r="FJ333" s="134"/>
      <c r="FK333" s="134"/>
      <c r="FL333" s="134"/>
      <c r="FM333" s="135"/>
      <c r="FN333" s="135"/>
      <c r="FO333" s="134"/>
      <c r="FP333" s="134"/>
      <c r="FQ333" s="134"/>
      <c r="FR333" s="134"/>
      <c r="FS333" s="134"/>
      <c r="FT333" s="134"/>
      <c r="FU333" s="134"/>
      <c r="FV333" s="134"/>
      <c r="FW333" s="135"/>
      <c r="FX333" s="135"/>
      <c r="FY333" s="134"/>
      <c r="FZ333" s="134"/>
      <c r="GA333" s="134"/>
      <c r="GB333" s="134"/>
      <c r="GC333" s="134"/>
      <c r="GD333" s="134"/>
      <c r="GE333" s="134"/>
      <c r="GF333" s="134"/>
      <c r="GG333" s="135"/>
      <c r="GH333" s="135"/>
      <c r="GI333" s="134"/>
      <c r="GJ333" s="134"/>
      <c r="GK333" s="134"/>
      <c r="GL333" s="134"/>
      <c r="GM333" s="134"/>
      <c r="GN333" s="134"/>
      <c r="GO333" s="134"/>
      <c r="GP333" s="134"/>
      <c r="GQ333" s="135"/>
      <c r="GR333" s="135"/>
      <c r="GS333" s="134"/>
      <c r="GT333" s="134"/>
      <c r="GU333" s="134"/>
      <c r="GV333" s="134"/>
      <c r="GW333" s="134"/>
      <c r="GX333" s="134"/>
      <c r="GY333" s="134"/>
      <c r="GZ333" s="134"/>
      <c r="HA333" s="135"/>
      <c r="HB333" s="135"/>
      <c r="HC333" s="134"/>
      <c r="HD333" s="134"/>
      <c r="HE333" s="134"/>
      <c r="HF333" s="134"/>
      <c r="HG333" s="134"/>
      <c r="HH333" s="134"/>
      <c r="HI333" s="134"/>
      <c r="HJ333" s="134"/>
      <c r="HK333" s="135"/>
      <c r="HL333" s="135"/>
      <c r="HM333" s="134"/>
      <c r="HN333" s="134"/>
      <c r="HO333" s="134"/>
      <c r="HP333" s="134"/>
      <c r="HQ333" s="134"/>
      <c r="HR333" s="134"/>
      <c r="HS333" s="134"/>
      <c r="HT333" s="134"/>
      <c r="HU333" s="135"/>
      <c r="HV333" s="135"/>
      <c r="HW333" s="134"/>
      <c r="HX333" s="134"/>
      <c r="HY333" s="134"/>
      <c r="HZ333" s="134"/>
      <c r="IA333" s="134"/>
      <c r="IB333" s="134"/>
      <c r="IC333" s="134"/>
      <c r="ID333" s="134"/>
      <c r="IE333" s="135"/>
      <c r="IF333" s="135"/>
      <c r="IG333" s="134"/>
      <c r="IH333" s="134"/>
      <c r="II333" s="134"/>
      <c r="IJ333" s="134"/>
      <c r="IK333" s="134"/>
      <c r="IL333" s="134"/>
      <c r="IM333" s="134"/>
      <c r="IN333" s="134"/>
      <c r="IO333" s="135"/>
      <c r="IP333" s="135"/>
      <c r="IQ333" s="134"/>
      <c r="IR333" s="134"/>
      <c r="IS333" s="134"/>
      <c r="IT333" s="134"/>
      <c r="IU333" s="134"/>
      <c r="IV333" s="134"/>
      <c r="IW333" s="134"/>
      <c r="IX333" s="134"/>
      <c r="IY333" s="135"/>
      <c r="IZ333" s="135"/>
    </row>
    <row r="334" spans="1:260" customFormat="1" ht="17" customHeight="1">
      <c r="A334" s="79" t="s">
        <v>305</v>
      </c>
      <c r="B334" s="117">
        <v>220</v>
      </c>
      <c r="C334" s="117">
        <v>79</v>
      </c>
      <c r="D334" s="117"/>
      <c r="E334" s="123" t="s">
        <v>2025</v>
      </c>
      <c r="F334" s="124" t="s">
        <v>2258</v>
      </c>
      <c r="G334" s="125">
        <v>2014</v>
      </c>
      <c r="H334" s="79">
        <v>24245926</v>
      </c>
      <c r="I334" s="79">
        <v>1</v>
      </c>
      <c r="J334" s="126"/>
      <c r="K334" s="127"/>
      <c r="L334" s="79">
        <v>1</v>
      </c>
      <c r="M334" s="79"/>
      <c r="N334" s="79">
        <v>1</v>
      </c>
      <c r="O334" s="128">
        <v>1</v>
      </c>
      <c r="P334" s="79" t="s">
        <v>797</v>
      </c>
      <c r="Q334" s="79" t="s">
        <v>1147</v>
      </c>
      <c r="R334" s="79" t="s">
        <v>514</v>
      </c>
      <c r="S334" s="79">
        <v>1</v>
      </c>
      <c r="T334" s="79"/>
      <c r="U334" s="79"/>
      <c r="V334" s="79"/>
      <c r="W334" s="79"/>
      <c r="X334" s="79"/>
      <c r="Y334" s="79"/>
      <c r="Z334" s="79"/>
      <c r="AA334" s="79"/>
      <c r="AB334" s="79" t="s">
        <v>799</v>
      </c>
      <c r="AC334" s="506"/>
      <c r="AD334" s="573">
        <v>1</v>
      </c>
      <c r="AE334" s="573">
        <v>2</v>
      </c>
      <c r="AF334" s="165">
        <v>0</v>
      </c>
      <c r="AG334" s="166" t="s">
        <v>5643</v>
      </c>
      <c r="AH334" s="120">
        <v>2</v>
      </c>
      <c r="AI334" s="120"/>
      <c r="AJ334" s="206" t="s">
        <v>5642</v>
      </c>
      <c r="AK334" s="372"/>
      <c r="AL334" s="207"/>
      <c r="AM334" s="120"/>
      <c r="AN334" s="120"/>
      <c r="AO334" s="120"/>
      <c r="AP334" s="120"/>
      <c r="AQ334" s="120"/>
      <c r="AR334" s="120"/>
      <c r="AS334" s="120"/>
      <c r="AT334" s="120"/>
      <c r="AU334" s="120"/>
      <c r="AV334" s="120"/>
      <c r="AW334" s="120"/>
      <c r="AX334" s="120"/>
      <c r="AY334" s="120"/>
      <c r="AZ334" s="120"/>
      <c r="BA334" s="120"/>
      <c r="BB334" s="120"/>
      <c r="BC334" s="120"/>
      <c r="BD334" s="373"/>
      <c r="BE334" s="373"/>
      <c r="BF334" s="373"/>
      <c r="BG334" s="373"/>
      <c r="BH334" s="373"/>
      <c r="BI334" s="373"/>
      <c r="BJ334" s="373">
        <v>1</v>
      </c>
      <c r="BK334" s="373"/>
      <c r="BL334" s="373"/>
      <c r="BM334" s="373"/>
      <c r="BN334" s="373"/>
      <c r="BO334" s="373"/>
      <c r="BP334" s="373"/>
      <c r="BQ334" s="374" t="s">
        <v>24</v>
      </c>
      <c r="BR334" s="120"/>
      <c r="BS334" s="120"/>
      <c r="BT334" s="120"/>
      <c r="BU334" s="120"/>
      <c r="BV334" s="120"/>
      <c r="BW334" s="375"/>
      <c r="BX334" s="138"/>
      <c r="BY334" s="134"/>
      <c r="BZ334" s="134"/>
      <c r="CA334" s="134"/>
      <c r="CB334" s="138"/>
      <c r="CC334" s="134"/>
      <c r="CD334" s="134"/>
      <c r="CE334" s="134"/>
      <c r="CF334" s="288"/>
      <c r="CG334" s="289"/>
      <c r="CH334" s="138"/>
      <c r="CI334" s="134"/>
      <c r="CJ334" s="134"/>
      <c r="CK334" s="134"/>
      <c r="CL334" s="138"/>
      <c r="CM334" s="134"/>
      <c r="CN334" s="134"/>
      <c r="CO334" s="134"/>
      <c r="CP334" s="288"/>
      <c r="CQ334" s="289"/>
      <c r="CR334" s="276"/>
      <c r="CS334" s="308"/>
      <c r="CT334" s="138"/>
      <c r="CU334" s="134"/>
      <c r="CV334" s="134"/>
      <c r="CW334" s="134"/>
      <c r="CX334" s="134"/>
      <c r="CY334" s="134"/>
      <c r="CZ334" s="134"/>
      <c r="DA334" s="134"/>
      <c r="DB334" s="300"/>
      <c r="DC334" s="301"/>
      <c r="DD334" s="134"/>
      <c r="DE334" s="134"/>
      <c r="DF334" s="134"/>
      <c r="DG334" s="134"/>
      <c r="DH334" s="134"/>
      <c r="DI334" s="134"/>
      <c r="DJ334" s="134"/>
      <c r="DK334" s="134"/>
      <c r="DL334" s="300"/>
      <c r="DM334" s="301"/>
      <c r="DN334" s="276"/>
      <c r="DO334" s="277"/>
      <c r="DP334" s="134"/>
      <c r="DQ334" s="134"/>
      <c r="DR334" s="134"/>
      <c r="DS334" s="134"/>
      <c r="DT334" s="138"/>
      <c r="DU334" s="134"/>
      <c r="DV334" s="134"/>
      <c r="DW334" s="134"/>
      <c r="DX334" s="301"/>
      <c r="DY334" s="301"/>
      <c r="DZ334" s="138"/>
      <c r="EA334" s="134"/>
      <c r="EB334" s="134"/>
      <c r="EC334" s="134"/>
      <c r="ED334" s="138"/>
      <c r="EE334" s="134"/>
      <c r="EF334" s="134"/>
      <c r="EG334" s="134"/>
      <c r="EH334" s="301"/>
      <c r="EI334" s="301"/>
      <c r="EJ334" s="277"/>
      <c r="EK334" s="134"/>
      <c r="EL334" s="134"/>
      <c r="EM334" s="134"/>
      <c r="EN334" s="134"/>
      <c r="EO334" s="134"/>
      <c r="EP334" s="134"/>
      <c r="EQ334" s="134"/>
      <c r="ER334" s="134"/>
      <c r="ES334" s="301"/>
      <c r="ET334" s="301"/>
      <c r="EU334" s="134"/>
      <c r="EV334" s="134"/>
      <c r="EW334" s="134"/>
      <c r="EX334" s="134"/>
      <c r="EY334" s="134"/>
      <c r="EZ334" s="134"/>
      <c r="FA334" s="134"/>
      <c r="FB334" s="134"/>
      <c r="FC334" s="135"/>
      <c r="FD334" s="135"/>
      <c r="FE334" s="134"/>
      <c r="FF334" s="134"/>
      <c r="FG334" s="134"/>
      <c r="FH334" s="134"/>
      <c r="FI334" s="134"/>
      <c r="FJ334" s="134"/>
      <c r="FK334" s="134"/>
      <c r="FL334" s="134"/>
      <c r="FM334" s="135"/>
      <c r="FN334" s="135"/>
      <c r="FO334" s="134"/>
      <c r="FP334" s="134"/>
      <c r="FQ334" s="134"/>
      <c r="FR334" s="134"/>
      <c r="FS334" s="134"/>
      <c r="FT334" s="134"/>
      <c r="FU334" s="134"/>
      <c r="FV334" s="134"/>
      <c r="FW334" s="135"/>
      <c r="FX334" s="135"/>
      <c r="FY334" s="134"/>
      <c r="FZ334" s="134"/>
      <c r="GA334" s="134"/>
      <c r="GB334" s="134"/>
      <c r="GC334" s="134"/>
      <c r="GD334" s="134"/>
      <c r="GE334" s="134"/>
      <c r="GF334" s="134"/>
      <c r="GG334" s="135"/>
      <c r="GH334" s="135"/>
      <c r="GI334" s="134"/>
      <c r="GJ334" s="134"/>
      <c r="GK334" s="134"/>
      <c r="GL334" s="134"/>
      <c r="GM334" s="134"/>
      <c r="GN334" s="134"/>
      <c r="GO334" s="134"/>
      <c r="GP334" s="134"/>
      <c r="GQ334" s="135"/>
      <c r="GR334" s="135"/>
      <c r="GS334" s="134"/>
      <c r="GT334" s="134"/>
      <c r="GU334" s="134"/>
      <c r="GV334" s="134"/>
      <c r="GW334" s="134"/>
      <c r="GX334" s="134"/>
      <c r="GY334" s="134"/>
      <c r="GZ334" s="134"/>
      <c r="HA334" s="135"/>
      <c r="HB334" s="135"/>
      <c r="HC334" s="134"/>
      <c r="HD334" s="134"/>
      <c r="HE334" s="134"/>
      <c r="HF334" s="134"/>
      <c r="HG334" s="134"/>
      <c r="HH334" s="134"/>
      <c r="HI334" s="134"/>
      <c r="HJ334" s="134"/>
      <c r="HK334" s="135"/>
      <c r="HL334" s="135"/>
      <c r="HM334" s="134"/>
      <c r="HN334" s="134"/>
      <c r="HO334" s="134"/>
      <c r="HP334" s="134"/>
      <c r="HQ334" s="134"/>
      <c r="HR334" s="134"/>
      <c r="HS334" s="134"/>
      <c r="HT334" s="134"/>
      <c r="HU334" s="135"/>
      <c r="HV334" s="135"/>
      <c r="HW334" s="134"/>
      <c r="HX334" s="134"/>
      <c r="HY334" s="134"/>
      <c r="HZ334" s="134"/>
      <c r="IA334" s="134"/>
      <c r="IB334" s="134"/>
      <c r="IC334" s="134"/>
      <c r="ID334" s="134"/>
      <c r="IE334" s="135"/>
      <c r="IF334" s="135"/>
      <c r="IG334" s="134"/>
      <c r="IH334" s="134"/>
      <c r="II334" s="134"/>
      <c r="IJ334" s="134"/>
      <c r="IK334" s="134"/>
      <c r="IL334" s="134"/>
      <c r="IM334" s="134"/>
      <c r="IN334" s="134"/>
      <c r="IO334" s="135"/>
      <c r="IP334" s="135"/>
      <c r="IQ334" s="134"/>
      <c r="IR334" s="134"/>
      <c r="IS334" s="134"/>
      <c r="IT334" s="134"/>
      <c r="IU334" s="134"/>
      <c r="IV334" s="134"/>
      <c r="IW334" s="134"/>
      <c r="IX334" s="134"/>
      <c r="IY334" s="135"/>
      <c r="IZ334" s="135"/>
    </row>
    <row r="335" spans="1:260" customFormat="1" ht="17" customHeight="1">
      <c r="A335" s="79" t="s">
        <v>313</v>
      </c>
      <c r="B335" s="117">
        <v>222</v>
      </c>
      <c r="C335" s="117">
        <v>80</v>
      </c>
      <c r="D335" s="117"/>
      <c r="E335" s="123" t="s">
        <v>2027</v>
      </c>
      <c r="F335" s="124" t="s">
        <v>2260</v>
      </c>
      <c r="G335" s="125">
        <v>2015</v>
      </c>
      <c r="H335" s="79">
        <v>25847622</v>
      </c>
      <c r="I335" s="79">
        <v>1</v>
      </c>
      <c r="J335" s="126"/>
      <c r="K335" s="127"/>
      <c r="L335" s="79">
        <v>1</v>
      </c>
      <c r="M335" s="79"/>
      <c r="N335" s="79">
        <v>1</v>
      </c>
      <c r="O335" s="128">
        <v>1</v>
      </c>
      <c r="P335" s="79" t="s">
        <v>815</v>
      </c>
      <c r="Q335" s="79" t="s">
        <v>1147</v>
      </c>
      <c r="R335" s="79" t="s">
        <v>1195</v>
      </c>
      <c r="S335" s="79">
        <v>1</v>
      </c>
      <c r="T335" s="79"/>
      <c r="U335" s="79"/>
      <c r="V335" s="79"/>
      <c r="W335" s="79" t="s">
        <v>813</v>
      </c>
      <c r="X335" s="79" t="s">
        <v>24</v>
      </c>
      <c r="Y335" s="79" t="s">
        <v>24</v>
      </c>
      <c r="Z335" s="79" t="s">
        <v>814</v>
      </c>
      <c r="AA335" s="79"/>
      <c r="AB335" s="79"/>
      <c r="AC335" s="506"/>
      <c r="AD335" s="573">
        <v>1</v>
      </c>
      <c r="AE335" s="573">
        <v>2</v>
      </c>
      <c r="AF335" s="154">
        <v>1</v>
      </c>
      <c r="AG335" s="155" t="s">
        <v>5657</v>
      </c>
      <c r="AH335" s="121">
        <v>2</v>
      </c>
      <c r="AI335" s="484" t="s">
        <v>5656</v>
      </c>
      <c r="AJ335" s="202" t="s">
        <v>5646</v>
      </c>
      <c r="AK335" s="192" t="s">
        <v>5658</v>
      </c>
      <c r="AL335" s="203" t="s">
        <v>24</v>
      </c>
      <c r="AM335" s="121">
        <f>Table665[[#This Row],[Subjects_n_ptsd]]+Table665[[#This Row],[Subjects_n_control]]</f>
        <v>109</v>
      </c>
      <c r="AN335" s="121">
        <v>56</v>
      </c>
      <c r="AO335" s="121">
        <v>53</v>
      </c>
      <c r="AP335" s="121" t="s">
        <v>1878</v>
      </c>
      <c r="AQ335" s="121" t="s">
        <v>1878</v>
      </c>
      <c r="AR335" s="121">
        <v>36.770000000000003</v>
      </c>
      <c r="AS335" s="121">
        <v>11.48</v>
      </c>
      <c r="AT335" s="121">
        <v>37.130000000000003</v>
      </c>
      <c r="AU335" s="121">
        <v>11.67</v>
      </c>
      <c r="AV335" s="121" t="s">
        <v>5645</v>
      </c>
      <c r="AW335" s="121" t="s">
        <v>24</v>
      </c>
      <c r="AX335" s="121" t="s">
        <v>24</v>
      </c>
      <c r="AY335" s="121" t="s">
        <v>5647</v>
      </c>
      <c r="AZ335" s="121" t="s">
        <v>5644</v>
      </c>
      <c r="BA335" s="121" t="s">
        <v>5648</v>
      </c>
      <c r="BB335" s="121"/>
      <c r="BC335" s="121"/>
      <c r="BD335" s="156"/>
      <c r="BE335" s="156"/>
      <c r="BF335" s="156"/>
      <c r="BG335" s="156"/>
      <c r="BH335" s="156"/>
      <c r="BI335" s="156" t="s">
        <v>4727</v>
      </c>
      <c r="BJ335" s="156">
        <v>1</v>
      </c>
      <c r="BK335" s="156"/>
      <c r="BL335" s="156"/>
      <c r="BM335" s="156"/>
      <c r="BN335" s="156" t="s">
        <v>4727</v>
      </c>
      <c r="BO335" s="156"/>
      <c r="BP335" s="156"/>
      <c r="BQ335" s="157" t="s">
        <v>4208</v>
      </c>
      <c r="BR335" s="134" t="s">
        <v>1876</v>
      </c>
      <c r="BS335" s="134">
        <v>2</v>
      </c>
      <c r="BT335" s="134" t="s">
        <v>5649</v>
      </c>
      <c r="BU335" s="134" t="s">
        <v>24</v>
      </c>
      <c r="BV335" s="134" t="s">
        <v>5650</v>
      </c>
      <c r="BW335" s="259" t="s">
        <v>5659</v>
      </c>
      <c r="BX335" s="138" t="s">
        <v>5651</v>
      </c>
      <c r="BY335" s="134">
        <v>0.04</v>
      </c>
      <c r="BZ335" s="134">
        <v>0.59</v>
      </c>
      <c r="CA335" s="134" t="s">
        <v>24</v>
      </c>
      <c r="CB335" s="138" t="s">
        <v>5652</v>
      </c>
      <c r="CC335" s="134">
        <v>0.42</v>
      </c>
      <c r="CD335" s="168">
        <v>0.44</v>
      </c>
      <c r="CE335" s="134" t="s">
        <v>24</v>
      </c>
      <c r="CF335" s="288" t="s">
        <v>5653</v>
      </c>
      <c r="CG335" s="289" t="s">
        <v>5660</v>
      </c>
      <c r="CH335" s="138" t="s">
        <v>5654</v>
      </c>
      <c r="CI335" s="134">
        <v>0.15</v>
      </c>
      <c r="CJ335" s="134">
        <v>0.99</v>
      </c>
      <c r="CK335" s="134" t="s">
        <v>24</v>
      </c>
      <c r="CL335" s="138" t="s">
        <v>5655</v>
      </c>
      <c r="CM335" s="134">
        <v>0.12</v>
      </c>
      <c r="CN335" s="134">
        <v>0.56999999999999995</v>
      </c>
      <c r="CO335" s="134" t="s">
        <v>24</v>
      </c>
      <c r="CP335" s="288" t="s">
        <v>5438</v>
      </c>
      <c r="CQ335" s="289" t="s">
        <v>5661</v>
      </c>
      <c r="CR335" s="276" t="s">
        <v>24</v>
      </c>
      <c r="CS335" s="308" t="s">
        <v>24</v>
      </c>
      <c r="CT335" s="138"/>
      <c r="CU335" s="134"/>
      <c r="CV335" s="134"/>
      <c r="CW335" s="134"/>
      <c r="CX335" s="134"/>
      <c r="CY335" s="134"/>
      <c r="CZ335" s="134"/>
      <c r="DA335" s="134"/>
      <c r="DB335" s="300"/>
      <c r="DC335" s="301"/>
      <c r="DD335" s="134"/>
      <c r="DE335" s="134"/>
      <c r="DF335" s="134"/>
      <c r="DG335" s="134"/>
      <c r="DH335" s="134"/>
      <c r="DI335" s="134"/>
      <c r="DJ335" s="134"/>
      <c r="DK335" s="134"/>
      <c r="DL335" s="300"/>
      <c r="DM335" s="301"/>
      <c r="DN335" s="276"/>
      <c r="DO335" s="277"/>
      <c r="DP335" s="134"/>
      <c r="DQ335" s="134"/>
      <c r="DR335" s="134"/>
      <c r="DS335" s="134"/>
      <c r="DT335" s="138"/>
      <c r="DU335" s="134"/>
      <c r="DV335" s="134"/>
      <c r="DW335" s="134"/>
      <c r="DX335" s="301"/>
      <c r="DY335" s="301"/>
      <c r="DZ335" s="138"/>
      <c r="EA335" s="134"/>
      <c r="EB335" s="134"/>
      <c r="EC335" s="134"/>
      <c r="ED335" s="138"/>
      <c r="EE335" s="134"/>
      <c r="EF335" s="134"/>
      <c r="EG335" s="134"/>
      <c r="EH335" s="301"/>
      <c r="EI335" s="301"/>
      <c r="EJ335" s="277"/>
      <c r="EK335" s="134"/>
      <c r="EL335" s="134"/>
      <c r="EM335" s="134"/>
      <c r="EN335" s="134"/>
      <c r="EO335" s="134"/>
      <c r="EP335" s="134"/>
      <c r="EQ335" s="134"/>
      <c r="ER335" s="134"/>
      <c r="ES335" s="301"/>
      <c r="ET335" s="301"/>
      <c r="EU335" s="134"/>
      <c r="EV335" s="134"/>
      <c r="EW335" s="134"/>
      <c r="EX335" s="134"/>
      <c r="EY335" s="134"/>
      <c r="EZ335" s="134"/>
      <c r="FA335" s="134"/>
      <c r="FB335" s="134"/>
      <c r="FC335" s="135"/>
      <c r="FD335" s="135"/>
      <c r="FE335" s="134"/>
      <c r="FF335" s="134"/>
      <c r="FG335" s="134"/>
      <c r="FH335" s="134"/>
      <c r="FI335" s="134"/>
      <c r="FJ335" s="134"/>
      <c r="FK335" s="134"/>
      <c r="FL335" s="134"/>
      <c r="FM335" s="135"/>
      <c r="FN335" s="135"/>
      <c r="FO335" s="134"/>
      <c r="FP335" s="134"/>
      <c r="FQ335" s="134"/>
      <c r="FR335" s="134"/>
      <c r="FS335" s="134"/>
      <c r="FT335" s="134"/>
      <c r="FU335" s="134"/>
      <c r="FV335" s="134"/>
      <c r="FW335" s="135"/>
      <c r="FX335" s="135"/>
      <c r="FY335" s="134"/>
      <c r="FZ335" s="134"/>
      <c r="GA335" s="134"/>
      <c r="GB335" s="134"/>
      <c r="GC335" s="134"/>
      <c r="GD335" s="134"/>
      <c r="GE335" s="134"/>
      <c r="GF335" s="134"/>
      <c r="GG335" s="135"/>
      <c r="GH335" s="135"/>
      <c r="GI335" s="134"/>
      <c r="GJ335" s="134"/>
      <c r="GK335" s="134"/>
      <c r="GL335" s="134"/>
      <c r="GM335" s="134"/>
      <c r="GN335" s="134"/>
      <c r="GO335" s="134"/>
      <c r="GP335" s="134"/>
      <c r="GQ335" s="135"/>
      <c r="GR335" s="135"/>
      <c r="GS335" s="134"/>
      <c r="GT335" s="134"/>
      <c r="GU335" s="134"/>
      <c r="GV335" s="134"/>
      <c r="GW335" s="134"/>
      <c r="GX335" s="134"/>
      <c r="GY335" s="134"/>
      <c r="GZ335" s="134"/>
      <c r="HA335" s="135"/>
      <c r="HB335" s="135"/>
      <c r="HC335" s="134"/>
      <c r="HD335" s="134"/>
      <c r="HE335" s="134"/>
      <c r="HF335" s="134"/>
      <c r="HG335" s="134"/>
      <c r="HH335" s="134"/>
      <c r="HI335" s="134"/>
      <c r="HJ335" s="134"/>
      <c r="HK335" s="135"/>
      <c r="HL335" s="135"/>
      <c r="HM335" s="134"/>
      <c r="HN335" s="134"/>
      <c r="HO335" s="134"/>
      <c r="HP335" s="134"/>
      <c r="HQ335" s="134"/>
      <c r="HR335" s="134"/>
      <c r="HS335" s="134"/>
      <c r="HT335" s="134"/>
      <c r="HU335" s="135"/>
      <c r="HV335" s="135"/>
      <c r="HW335" s="134"/>
      <c r="HX335" s="134"/>
      <c r="HY335" s="134"/>
      <c r="HZ335" s="134"/>
      <c r="IA335" s="134"/>
      <c r="IB335" s="134"/>
      <c r="IC335" s="134"/>
      <c r="ID335" s="134"/>
      <c r="IE335" s="135"/>
      <c r="IF335" s="135"/>
      <c r="IG335" s="134"/>
      <c r="IH335" s="134"/>
      <c r="II335" s="134"/>
      <c r="IJ335" s="134"/>
      <c r="IK335" s="134"/>
      <c r="IL335" s="134"/>
      <c r="IM335" s="134"/>
      <c r="IN335" s="134"/>
      <c r="IO335" s="135"/>
      <c r="IP335" s="135"/>
      <c r="IQ335" s="134"/>
      <c r="IR335" s="134"/>
      <c r="IS335" s="134"/>
      <c r="IT335" s="134"/>
      <c r="IU335" s="134"/>
      <c r="IV335" s="134"/>
      <c r="IW335" s="134"/>
      <c r="IX335" s="134"/>
      <c r="IY335" s="135"/>
      <c r="IZ335" s="135"/>
    </row>
    <row r="336" spans="1:260" customFormat="1" ht="17" customHeight="1">
      <c r="A336" s="79" t="s">
        <v>970</v>
      </c>
      <c r="B336" s="117">
        <v>224</v>
      </c>
      <c r="C336" s="117">
        <v>81</v>
      </c>
      <c r="D336" s="117"/>
      <c r="E336" s="123" t="s">
        <v>2118</v>
      </c>
      <c r="F336" s="124" t="s">
        <v>2377</v>
      </c>
      <c r="G336" s="125">
        <v>2016</v>
      </c>
      <c r="H336" s="79">
        <v>27297027</v>
      </c>
      <c r="I336" s="79">
        <v>1</v>
      </c>
      <c r="J336" s="126">
        <v>1</v>
      </c>
      <c r="K336" s="127"/>
      <c r="L336" s="79">
        <v>1</v>
      </c>
      <c r="M336" s="79"/>
      <c r="N336" s="79">
        <v>1</v>
      </c>
      <c r="O336" s="128">
        <v>2</v>
      </c>
      <c r="P336" s="79" t="s">
        <v>1588</v>
      </c>
      <c r="Q336" s="79" t="s">
        <v>1216</v>
      </c>
      <c r="R336" s="79" t="s">
        <v>1127</v>
      </c>
      <c r="S336" s="79"/>
      <c r="T336" s="79" t="s">
        <v>1498</v>
      </c>
      <c r="U336" s="79"/>
      <c r="V336" s="79"/>
      <c r="W336" s="79" t="s">
        <v>1583</v>
      </c>
      <c r="X336" s="79" t="s">
        <v>1582</v>
      </c>
      <c r="Y336" s="79"/>
      <c r="Z336" s="79"/>
      <c r="AA336" s="79" t="s">
        <v>1581</v>
      </c>
      <c r="AB336" s="79"/>
      <c r="AC336" s="506"/>
      <c r="AD336" s="573">
        <v>1</v>
      </c>
      <c r="AE336" s="573">
        <v>2</v>
      </c>
      <c r="AF336" s="154">
        <v>1</v>
      </c>
      <c r="AG336" s="155" t="s">
        <v>5671</v>
      </c>
      <c r="AH336" s="121">
        <v>4</v>
      </c>
      <c r="AI336" s="484" t="s">
        <v>5695</v>
      </c>
      <c r="AJ336" s="202" t="s">
        <v>5705</v>
      </c>
      <c r="AK336" s="192" t="s">
        <v>5666</v>
      </c>
      <c r="AL336" s="203">
        <v>0</v>
      </c>
      <c r="AM336" s="134">
        <f>Table665[[#This Row],[Subjects_n_ptsd]]+Table665[[#This Row],[Subjects_n_control]]</f>
        <v>24</v>
      </c>
      <c r="AN336" s="121">
        <v>12</v>
      </c>
      <c r="AO336" s="121">
        <v>12</v>
      </c>
      <c r="AP336" s="121" t="s">
        <v>803</v>
      </c>
      <c r="AQ336" s="121" t="s">
        <v>803</v>
      </c>
      <c r="AR336" s="355" t="s">
        <v>3403</v>
      </c>
      <c r="AS336" s="121" t="s">
        <v>24</v>
      </c>
      <c r="AT336" s="355" t="s">
        <v>3403</v>
      </c>
      <c r="AU336" s="121" t="s">
        <v>24</v>
      </c>
      <c r="AV336" s="121" t="s">
        <v>5665</v>
      </c>
      <c r="AW336" s="121">
        <v>1</v>
      </c>
      <c r="AX336" s="121" t="s">
        <v>5664</v>
      </c>
      <c r="AY336" s="121" t="s">
        <v>5662</v>
      </c>
      <c r="AZ336" s="121" t="s">
        <v>3698</v>
      </c>
      <c r="BA336" s="121" t="s">
        <v>4508</v>
      </c>
      <c r="BB336" s="121"/>
      <c r="BC336" s="121"/>
      <c r="BD336" s="156"/>
      <c r="BE336" s="156"/>
      <c r="BF336" s="156"/>
      <c r="BG336" s="156"/>
      <c r="BH336" s="156"/>
      <c r="BI336" s="156"/>
      <c r="BJ336" s="156">
        <v>1</v>
      </c>
      <c r="BK336" s="156"/>
      <c r="BL336" s="156"/>
      <c r="BM336" s="156"/>
      <c r="BN336" s="156"/>
      <c r="BO336" s="156"/>
      <c r="BP336" s="156"/>
      <c r="BQ336" s="157" t="s">
        <v>3282</v>
      </c>
      <c r="BR336" s="134" t="s">
        <v>1876</v>
      </c>
      <c r="BS336" s="134" t="s">
        <v>5663</v>
      </c>
      <c r="BT336" s="134" t="s">
        <v>5669</v>
      </c>
      <c r="BU336" s="134" t="s">
        <v>5667</v>
      </c>
      <c r="BV336" s="134" t="s">
        <v>5670</v>
      </c>
      <c r="BW336" s="259" t="s">
        <v>5702</v>
      </c>
      <c r="BX336" s="137" t="s">
        <v>5678</v>
      </c>
      <c r="BY336" s="134">
        <v>54.000399999999999</v>
      </c>
      <c r="BZ336" s="168" t="s">
        <v>24</v>
      </c>
      <c r="CA336" s="134" t="s">
        <v>24</v>
      </c>
      <c r="CB336" s="137" t="s">
        <v>5679</v>
      </c>
      <c r="CC336" s="134">
        <v>55.1843</v>
      </c>
      <c r="CD336" s="168" t="s">
        <v>24</v>
      </c>
      <c r="CE336" s="134" t="s">
        <v>24</v>
      </c>
      <c r="CF336" s="288" t="s">
        <v>5696</v>
      </c>
      <c r="CG336" s="289" t="s">
        <v>3790</v>
      </c>
      <c r="CH336" s="137" t="s">
        <v>5680</v>
      </c>
      <c r="CI336" s="134">
        <v>36.083799999999997</v>
      </c>
      <c r="CJ336" s="134" t="s">
        <v>24</v>
      </c>
      <c r="CK336" s="134" t="s">
        <v>24</v>
      </c>
      <c r="CL336" s="137" t="s">
        <v>5681</v>
      </c>
      <c r="CM336" s="134">
        <v>37.148899999999998</v>
      </c>
      <c r="CN336" s="134" t="s">
        <v>24</v>
      </c>
      <c r="CO336" s="134" t="s">
        <v>24</v>
      </c>
      <c r="CP336" s="288" t="s">
        <v>5697</v>
      </c>
      <c r="CQ336" s="289" t="s">
        <v>2480</v>
      </c>
      <c r="CR336" s="276" t="s">
        <v>24</v>
      </c>
      <c r="CS336" s="308" t="s">
        <v>24</v>
      </c>
      <c r="CT336" s="137" t="s">
        <v>5682</v>
      </c>
      <c r="CU336" s="134">
        <v>30.710899999999999</v>
      </c>
      <c r="CV336" s="168" t="s">
        <v>24</v>
      </c>
      <c r="CW336" s="134" t="s">
        <v>24</v>
      </c>
      <c r="CX336" s="137" t="s">
        <v>5683</v>
      </c>
      <c r="CY336" s="134">
        <v>25.029199999999999</v>
      </c>
      <c r="CZ336" s="134" t="s">
        <v>24</v>
      </c>
      <c r="DA336" s="134" t="s">
        <v>24</v>
      </c>
      <c r="DB336" s="300" t="s">
        <v>5698</v>
      </c>
      <c r="DC336" s="301" t="s">
        <v>2480</v>
      </c>
      <c r="DD336" s="137" t="s">
        <v>5684</v>
      </c>
      <c r="DE336" s="134">
        <v>22.9694</v>
      </c>
      <c r="DF336" s="168" t="s">
        <v>24</v>
      </c>
      <c r="DG336" s="134" t="s">
        <v>24</v>
      </c>
      <c r="DH336" s="137" t="s">
        <v>5685</v>
      </c>
      <c r="DI336" s="134">
        <v>15.158099999999999</v>
      </c>
      <c r="DJ336" s="134" t="s">
        <v>24</v>
      </c>
      <c r="DK336" s="134" t="s">
        <v>24</v>
      </c>
      <c r="DL336" s="300" t="s">
        <v>5699</v>
      </c>
      <c r="DM336" s="301" t="s">
        <v>5700</v>
      </c>
      <c r="DN336" s="276" t="s">
        <v>24</v>
      </c>
      <c r="DO336" s="277" t="s">
        <v>24</v>
      </c>
      <c r="DP336" s="137" t="s">
        <v>5686</v>
      </c>
      <c r="DQ336" s="134">
        <v>17.360800000000001</v>
      </c>
      <c r="DR336" s="168" t="s">
        <v>24</v>
      </c>
      <c r="DS336" s="134" t="s">
        <v>24</v>
      </c>
      <c r="DT336" s="137" t="s">
        <v>5687</v>
      </c>
      <c r="DU336" s="134">
        <v>10.7324</v>
      </c>
      <c r="DV336" s="134" t="s">
        <v>24</v>
      </c>
      <c r="DW336" s="134" t="s">
        <v>24</v>
      </c>
      <c r="DX336" s="301" t="s">
        <v>5699</v>
      </c>
      <c r="DY336" s="301" t="s">
        <v>5701</v>
      </c>
      <c r="DZ336" s="427" t="s">
        <v>5688</v>
      </c>
      <c r="EA336" s="424">
        <v>12.717499999999999</v>
      </c>
      <c r="EB336" s="424" t="s">
        <v>24</v>
      </c>
      <c r="EC336" s="424">
        <f>13.4131-Table665[[#This Row],[Outcome11_M]]</f>
        <v>0.69560000000000066</v>
      </c>
      <c r="ED336" s="427" t="s">
        <v>5689</v>
      </c>
      <c r="EE336" s="134">
        <v>19.587</v>
      </c>
      <c r="EF336" s="134" t="s">
        <v>24</v>
      </c>
      <c r="EG336" s="134">
        <f>20.1957-Table665[[#This Row],[Outcome12_M]]</f>
        <v>0.60869999999999891</v>
      </c>
      <c r="EH336" s="301" t="s">
        <v>5703</v>
      </c>
      <c r="EI336" s="301" t="s">
        <v>5704</v>
      </c>
      <c r="EJ336" s="277" t="s">
        <v>24</v>
      </c>
      <c r="EK336" s="134"/>
      <c r="EL336" s="134"/>
      <c r="EM336" s="134"/>
      <c r="EN336" s="134"/>
      <c r="EO336" s="134"/>
      <c r="EP336" s="134"/>
      <c r="EQ336" s="134"/>
      <c r="ER336" s="134"/>
      <c r="ES336" s="301"/>
      <c r="ET336" s="301"/>
      <c r="EU336" s="134"/>
      <c r="EV336" s="134"/>
      <c r="EW336" s="134"/>
      <c r="EX336" s="134"/>
      <c r="EY336" s="134"/>
      <c r="EZ336" s="134"/>
      <c r="FA336" s="134"/>
      <c r="FB336" s="134"/>
      <c r="FC336" s="135"/>
      <c r="FD336" s="135"/>
      <c r="FE336" s="134"/>
      <c r="FF336" s="134"/>
      <c r="FG336" s="134"/>
      <c r="FH336" s="134"/>
      <c r="FI336" s="134"/>
      <c r="FJ336" s="134"/>
      <c r="FK336" s="134"/>
      <c r="FL336" s="134"/>
      <c r="FM336" s="135"/>
      <c r="FN336" s="135"/>
      <c r="FO336" s="134"/>
      <c r="FP336" s="134"/>
      <c r="FQ336" s="134"/>
      <c r="FR336" s="134"/>
      <c r="FS336" s="134"/>
      <c r="FT336" s="134"/>
      <c r="FU336" s="134"/>
      <c r="FV336" s="134"/>
      <c r="FW336" s="135"/>
      <c r="FX336" s="135"/>
      <c r="FY336" s="134"/>
      <c r="FZ336" s="134"/>
      <c r="GA336" s="134"/>
      <c r="GB336" s="134"/>
      <c r="GC336" s="134"/>
      <c r="GD336" s="134"/>
      <c r="GE336" s="134"/>
      <c r="GF336" s="134"/>
      <c r="GG336" s="135"/>
      <c r="GH336" s="135"/>
      <c r="GI336" s="134"/>
      <c r="GJ336" s="134"/>
      <c r="GK336" s="134"/>
      <c r="GL336" s="134"/>
      <c r="GM336" s="134"/>
      <c r="GN336" s="134"/>
      <c r="GO336" s="134"/>
      <c r="GP336" s="134"/>
      <c r="GQ336" s="135"/>
      <c r="GR336" s="135"/>
      <c r="GS336" s="134"/>
      <c r="GT336" s="134"/>
      <c r="GU336" s="134"/>
      <c r="GV336" s="134"/>
      <c r="GW336" s="134"/>
      <c r="GX336" s="134"/>
      <c r="GY336" s="134"/>
      <c r="GZ336" s="134"/>
      <c r="HA336" s="135"/>
      <c r="HB336" s="135"/>
      <c r="HC336" s="134"/>
      <c r="HD336" s="134"/>
      <c r="HE336" s="134"/>
      <c r="HF336" s="134"/>
      <c r="HG336" s="134"/>
      <c r="HH336" s="134"/>
      <c r="HI336" s="134"/>
      <c r="HJ336" s="134"/>
      <c r="HK336" s="135"/>
      <c r="HL336" s="135"/>
      <c r="HM336" s="134"/>
      <c r="HN336" s="134"/>
      <c r="HO336" s="134"/>
      <c r="HP336" s="134"/>
      <c r="HQ336" s="134"/>
      <c r="HR336" s="134"/>
      <c r="HS336" s="134"/>
      <c r="HT336" s="134"/>
      <c r="HU336" s="135"/>
      <c r="HV336" s="135"/>
      <c r="HW336" s="134"/>
      <c r="HX336" s="134"/>
      <c r="HY336" s="134"/>
      <c r="HZ336" s="134"/>
      <c r="IA336" s="134"/>
      <c r="IB336" s="134"/>
      <c r="IC336" s="134"/>
      <c r="ID336" s="134"/>
      <c r="IE336" s="135"/>
      <c r="IF336" s="135"/>
      <c r="IG336" s="134"/>
      <c r="IH336" s="134"/>
      <c r="II336" s="134"/>
      <c r="IJ336" s="134"/>
      <c r="IK336" s="134"/>
      <c r="IL336" s="134"/>
      <c r="IM336" s="134"/>
      <c r="IN336" s="134"/>
      <c r="IO336" s="135"/>
      <c r="IP336" s="135"/>
      <c r="IQ336" s="134"/>
      <c r="IR336" s="134"/>
      <c r="IS336" s="134"/>
      <c r="IT336" s="134"/>
      <c r="IU336" s="134"/>
      <c r="IV336" s="134"/>
      <c r="IW336" s="134"/>
      <c r="IX336" s="134"/>
      <c r="IY336" s="135"/>
      <c r="IZ336" s="135"/>
    </row>
    <row r="337" spans="1:260" customFormat="1" ht="17" customHeight="1">
      <c r="A337" s="118" t="s">
        <v>970</v>
      </c>
      <c r="B337" s="381">
        <v>224</v>
      </c>
      <c r="C337" s="381">
        <v>81</v>
      </c>
      <c r="D337" s="381"/>
      <c r="E337" s="139" t="s">
        <v>2118</v>
      </c>
      <c r="F337" s="140" t="s">
        <v>2377</v>
      </c>
      <c r="G337" s="141">
        <v>2016</v>
      </c>
      <c r="H337" s="118">
        <v>27297027</v>
      </c>
      <c r="I337" s="118">
        <v>1</v>
      </c>
      <c r="J337" s="118">
        <v>1</v>
      </c>
      <c r="K337" s="118"/>
      <c r="L337" s="118">
        <v>1</v>
      </c>
      <c r="M337" s="118"/>
      <c r="N337" s="118">
        <v>1</v>
      </c>
      <c r="O337" s="142">
        <v>2</v>
      </c>
      <c r="P337" s="118" t="s">
        <v>1588</v>
      </c>
      <c r="Q337" s="118" t="s">
        <v>1216</v>
      </c>
      <c r="R337" s="118" t="s">
        <v>1127</v>
      </c>
      <c r="S337" s="118"/>
      <c r="T337" s="118" t="s">
        <v>1498</v>
      </c>
      <c r="U337" s="118"/>
      <c r="V337" s="118"/>
      <c r="W337" s="118" t="s">
        <v>1583</v>
      </c>
      <c r="X337" s="118" t="s">
        <v>1582</v>
      </c>
      <c r="Y337" s="118"/>
      <c r="Z337" s="118"/>
      <c r="AA337" s="118" t="s">
        <v>1581</v>
      </c>
      <c r="AB337" s="118"/>
      <c r="AC337" s="145"/>
      <c r="AD337" s="573">
        <v>1</v>
      </c>
      <c r="AE337" s="573">
        <v>2</v>
      </c>
      <c r="AF337" s="159">
        <v>1</v>
      </c>
      <c r="AG337" s="160" t="s">
        <v>5671</v>
      </c>
      <c r="AH337" s="122">
        <v>4</v>
      </c>
      <c r="AI337" s="485"/>
      <c r="AJ337" s="204" t="s">
        <v>5705</v>
      </c>
      <c r="AK337" s="192" t="s">
        <v>5666</v>
      </c>
      <c r="AL337" s="205">
        <v>0</v>
      </c>
      <c r="AM337" s="150">
        <f>Table665[[#This Row],[Subjects_n_ptsd]]+Table665[[#This Row],[Subjects_n_control]]</f>
        <v>24</v>
      </c>
      <c r="AN337" s="122">
        <v>12</v>
      </c>
      <c r="AO337" s="122">
        <v>12</v>
      </c>
      <c r="AP337" s="122" t="s">
        <v>803</v>
      </c>
      <c r="AQ337" s="122" t="s">
        <v>803</v>
      </c>
      <c r="AR337" s="358" t="s">
        <v>3403</v>
      </c>
      <c r="AS337" s="122" t="s">
        <v>24</v>
      </c>
      <c r="AT337" s="358" t="s">
        <v>3403</v>
      </c>
      <c r="AU337" s="122" t="s">
        <v>24</v>
      </c>
      <c r="AV337" s="122" t="s">
        <v>5665</v>
      </c>
      <c r="AW337" s="122">
        <v>1</v>
      </c>
      <c r="AX337" s="122" t="s">
        <v>5664</v>
      </c>
      <c r="AY337" s="122" t="s">
        <v>5662</v>
      </c>
      <c r="AZ337" s="122" t="s">
        <v>3698</v>
      </c>
      <c r="BA337" s="122" t="s">
        <v>4508</v>
      </c>
      <c r="BB337" s="122"/>
      <c r="BC337" s="122"/>
      <c r="BD337" s="161">
        <v>1</v>
      </c>
      <c r="BE337" s="161"/>
      <c r="BF337" s="161"/>
      <c r="BG337" s="161"/>
      <c r="BH337" s="161"/>
      <c r="BI337" s="161"/>
      <c r="BJ337" s="161"/>
      <c r="BK337" s="161"/>
      <c r="BL337" s="161"/>
      <c r="BM337" s="161"/>
      <c r="BN337" s="161"/>
      <c r="BO337" s="161"/>
      <c r="BP337" s="161"/>
      <c r="BQ337" s="162" t="s">
        <v>5672</v>
      </c>
      <c r="BR337" s="150" t="s">
        <v>1876</v>
      </c>
      <c r="BS337" s="150" t="s">
        <v>5663</v>
      </c>
      <c r="BT337" s="150" t="s">
        <v>5668</v>
      </c>
      <c r="BU337" s="150" t="s">
        <v>5667</v>
      </c>
      <c r="BV337" s="150" t="s">
        <v>5673</v>
      </c>
      <c r="BW337" s="258" t="s">
        <v>5694</v>
      </c>
      <c r="BX337" s="167" t="s">
        <v>5676</v>
      </c>
      <c r="BY337" s="150">
        <v>62.805999999999997</v>
      </c>
      <c r="BZ337" s="228" t="s">
        <v>24</v>
      </c>
      <c r="CA337" s="150">
        <f>65.9104-Table665[[#This Row],[Outcome1_M]]</f>
        <v>3.1043999999999983</v>
      </c>
      <c r="CB337" s="167" t="s">
        <v>5677</v>
      </c>
      <c r="CC337" s="150">
        <v>42.746299999999998</v>
      </c>
      <c r="CD337" s="150" t="s">
        <v>24</v>
      </c>
      <c r="CE337" s="150">
        <f>45.6119-Table665[[#This Row],[Outcome2_M]]</f>
        <v>2.8656000000000006</v>
      </c>
      <c r="CF337" s="290" t="s">
        <v>5690</v>
      </c>
      <c r="CG337" s="291" t="s">
        <v>5692</v>
      </c>
      <c r="CH337" s="167" t="s">
        <v>5674</v>
      </c>
      <c r="CI337" s="150">
        <v>78.171099999999996</v>
      </c>
      <c r="CJ337" s="228" t="s">
        <v>24</v>
      </c>
      <c r="CK337" s="150">
        <f>82.8909-Table665[[#This Row],[Outcome3_M]]</f>
        <v>4.7198000000000064</v>
      </c>
      <c r="CL337" s="167" t="s">
        <v>5675</v>
      </c>
      <c r="CM337" s="150">
        <v>64.306799999999996</v>
      </c>
      <c r="CN337" s="150" t="s">
        <v>24</v>
      </c>
      <c r="CO337" s="150">
        <f>69.6165-Table665[[#This Row],[Outcome4_M]]</f>
        <v>5.3097000000000065</v>
      </c>
      <c r="CP337" s="290" t="s">
        <v>5691</v>
      </c>
      <c r="CQ337" s="291" t="s">
        <v>5693</v>
      </c>
      <c r="CR337" s="278"/>
      <c r="CS337" s="285"/>
      <c r="CT337" s="151"/>
      <c r="CU337" s="150"/>
      <c r="CV337" s="150"/>
      <c r="CW337" s="150"/>
      <c r="CX337" s="150"/>
      <c r="CY337" s="150"/>
      <c r="CZ337" s="150"/>
      <c r="DA337" s="150"/>
      <c r="DB337" s="302"/>
      <c r="DC337" s="303"/>
      <c r="DD337" s="150"/>
      <c r="DE337" s="150"/>
      <c r="DF337" s="150"/>
      <c r="DG337" s="150"/>
      <c r="DH337" s="150"/>
      <c r="DI337" s="150"/>
      <c r="DJ337" s="150"/>
      <c r="DK337" s="150"/>
      <c r="DL337" s="302"/>
      <c r="DM337" s="303"/>
      <c r="DN337" s="278"/>
      <c r="DO337" s="279"/>
      <c r="DP337" s="150"/>
      <c r="DQ337" s="150"/>
      <c r="DR337" s="150"/>
      <c r="DS337" s="150"/>
      <c r="DT337" s="151"/>
      <c r="DU337" s="150"/>
      <c r="DV337" s="150"/>
      <c r="DW337" s="150"/>
      <c r="DX337" s="303"/>
      <c r="DY337" s="303"/>
      <c r="DZ337" s="151"/>
      <c r="EA337" s="150"/>
      <c r="EB337" s="150"/>
      <c r="EC337" s="150"/>
      <c r="ED337" s="151"/>
      <c r="EE337" s="150"/>
      <c r="EF337" s="150"/>
      <c r="EG337" s="150"/>
      <c r="EH337" s="303"/>
      <c r="EI337" s="303"/>
      <c r="EJ337" s="279"/>
      <c r="EK337" s="150"/>
      <c r="EL337" s="150"/>
      <c r="EM337" s="150"/>
      <c r="EN337" s="150"/>
      <c r="EO337" s="150"/>
      <c r="EP337" s="150"/>
      <c r="EQ337" s="150"/>
      <c r="ER337" s="150"/>
      <c r="ES337" s="303"/>
      <c r="ET337" s="303"/>
      <c r="EU337" s="150"/>
      <c r="EV337" s="150"/>
      <c r="EW337" s="150"/>
      <c r="EX337" s="150"/>
      <c r="EY337" s="150"/>
      <c r="EZ337" s="150"/>
      <c r="FA337" s="150"/>
      <c r="FB337" s="150"/>
      <c r="FC337" s="152"/>
      <c r="FD337" s="152"/>
      <c r="FE337" s="150"/>
      <c r="FF337" s="150"/>
      <c r="FG337" s="150"/>
      <c r="FH337" s="150"/>
      <c r="FI337" s="150"/>
      <c r="FJ337" s="150"/>
      <c r="FK337" s="150"/>
      <c r="FL337" s="150"/>
      <c r="FM337" s="152"/>
      <c r="FN337" s="152"/>
      <c r="FO337" s="150"/>
      <c r="FP337" s="150"/>
      <c r="FQ337" s="150"/>
      <c r="FR337" s="150"/>
      <c r="FS337" s="150"/>
      <c r="FT337" s="150"/>
      <c r="FU337" s="150"/>
      <c r="FV337" s="150"/>
      <c r="FW337" s="152"/>
      <c r="FX337" s="152"/>
      <c r="FY337" s="150"/>
      <c r="FZ337" s="150"/>
      <c r="GA337" s="150"/>
      <c r="GB337" s="150"/>
      <c r="GC337" s="150"/>
      <c r="GD337" s="150"/>
      <c r="GE337" s="150"/>
      <c r="GF337" s="150"/>
      <c r="GG337" s="152"/>
      <c r="GH337" s="152"/>
      <c r="GI337" s="150"/>
      <c r="GJ337" s="150"/>
      <c r="GK337" s="150"/>
      <c r="GL337" s="150"/>
      <c r="GM337" s="150"/>
      <c r="GN337" s="150"/>
      <c r="GO337" s="150"/>
      <c r="GP337" s="150"/>
      <c r="GQ337" s="152"/>
      <c r="GR337" s="152"/>
      <c r="GS337" s="134"/>
      <c r="GT337" s="134"/>
      <c r="GU337" s="134"/>
      <c r="GV337" s="134"/>
      <c r="GW337" s="134"/>
      <c r="GX337" s="134"/>
      <c r="GY337" s="134"/>
      <c r="GZ337" s="134"/>
      <c r="HA337" s="135"/>
      <c r="HB337" s="135"/>
      <c r="HC337" s="134"/>
      <c r="HD337" s="134"/>
      <c r="HE337" s="134"/>
      <c r="HF337" s="134"/>
      <c r="HG337" s="134"/>
      <c r="HH337" s="134"/>
      <c r="HI337" s="134"/>
      <c r="HJ337" s="134"/>
      <c r="HK337" s="135"/>
      <c r="HL337" s="135"/>
      <c r="HM337" s="134"/>
      <c r="HN337" s="134"/>
      <c r="HO337" s="134"/>
      <c r="HP337" s="134"/>
      <c r="HQ337" s="134"/>
      <c r="HR337" s="134"/>
      <c r="HS337" s="134"/>
      <c r="HT337" s="134"/>
      <c r="HU337" s="135"/>
      <c r="HV337" s="135"/>
      <c r="HW337" s="134"/>
      <c r="HX337" s="134"/>
      <c r="HY337" s="134"/>
      <c r="HZ337" s="134"/>
      <c r="IA337" s="134"/>
      <c r="IB337" s="134"/>
      <c r="IC337" s="134"/>
      <c r="ID337" s="134"/>
      <c r="IE337" s="135"/>
      <c r="IF337" s="135"/>
      <c r="IG337" s="134"/>
      <c r="IH337" s="134"/>
      <c r="II337" s="134"/>
      <c r="IJ337" s="134"/>
      <c r="IK337" s="134"/>
      <c r="IL337" s="134"/>
      <c r="IM337" s="134"/>
      <c r="IN337" s="134"/>
      <c r="IO337" s="135"/>
      <c r="IP337" s="135"/>
      <c r="IQ337" s="134"/>
      <c r="IR337" s="134"/>
      <c r="IS337" s="134"/>
      <c r="IT337" s="134"/>
      <c r="IU337" s="134"/>
      <c r="IV337" s="134"/>
      <c r="IW337" s="134"/>
      <c r="IX337" s="134"/>
      <c r="IY337" s="135"/>
      <c r="IZ337" s="135"/>
    </row>
    <row r="338" spans="1:260" customFormat="1" ht="17" customHeight="1">
      <c r="A338" s="153" t="s">
        <v>969</v>
      </c>
      <c r="B338" s="366">
        <v>46</v>
      </c>
      <c r="C338" s="366"/>
      <c r="D338" s="366"/>
      <c r="E338" s="367" t="s">
        <v>2118</v>
      </c>
      <c r="F338" s="368" t="s">
        <v>2378</v>
      </c>
      <c r="G338" s="369">
        <v>2014</v>
      </c>
      <c r="H338" s="153">
        <v>24667363</v>
      </c>
      <c r="I338" s="153">
        <v>1</v>
      </c>
      <c r="J338" s="370">
        <v>1</v>
      </c>
      <c r="K338" s="371"/>
      <c r="L338" s="153">
        <v>1</v>
      </c>
      <c r="M338" s="153"/>
      <c r="N338" s="153">
        <v>1</v>
      </c>
      <c r="O338" s="153">
        <v>2</v>
      </c>
      <c r="P338" s="153" t="s">
        <v>1588</v>
      </c>
      <c r="Q338" s="153" t="s">
        <v>1216</v>
      </c>
      <c r="R338" s="153" t="s">
        <v>1127</v>
      </c>
      <c r="S338" s="153"/>
      <c r="T338" s="153" t="s">
        <v>1501</v>
      </c>
      <c r="U338" s="153" t="s">
        <v>1539</v>
      </c>
      <c r="V338" s="153"/>
      <c r="W338" s="153" t="s">
        <v>1589</v>
      </c>
      <c r="X338" s="153" t="s">
        <v>1213</v>
      </c>
      <c r="Y338" s="153"/>
      <c r="Z338" s="153"/>
      <c r="AA338" s="153"/>
      <c r="AB338" s="153"/>
      <c r="AC338" s="536"/>
      <c r="AD338" s="573">
        <v>1</v>
      </c>
      <c r="AE338" s="573">
        <v>2</v>
      </c>
      <c r="AF338" s="165">
        <v>0</v>
      </c>
      <c r="AG338" s="166" t="s">
        <v>3594</v>
      </c>
      <c r="AH338" s="120">
        <v>4</v>
      </c>
      <c r="AI338" s="484"/>
      <c r="AJ338" s="206"/>
      <c r="AK338" s="372"/>
      <c r="AL338" s="207"/>
      <c r="AM338" s="120"/>
      <c r="AN338" s="120"/>
      <c r="AO338" s="120"/>
      <c r="AP338" s="120"/>
      <c r="AQ338" s="120"/>
      <c r="AR338" s="120"/>
      <c r="AS338" s="120"/>
      <c r="AT338" s="120"/>
      <c r="AU338" s="120"/>
      <c r="AV338" s="120"/>
      <c r="AW338" s="120"/>
      <c r="AX338" s="120"/>
      <c r="AY338" s="120"/>
      <c r="AZ338" s="120"/>
      <c r="BA338" s="120"/>
      <c r="BB338" s="120"/>
      <c r="BC338" s="120"/>
      <c r="BD338" s="373">
        <v>1</v>
      </c>
      <c r="BE338" s="373"/>
      <c r="BF338" s="373"/>
      <c r="BG338" s="373"/>
      <c r="BH338" s="373"/>
      <c r="BI338" s="373"/>
      <c r="BJ338" s="373"/>
      <c r="BK338" s="373"/>
      <c r="BL338" s="373"/>
      <c r="BM338" s="373"/>
      <c r="BN338" s="373"/>
      <c r="BO338" s="373"/>
      <c r="BP338" s="373"/>
      <c r="BQ338" s="374"/>
      <c r="BR338" s="120"/>
      <c r="BS338" s="120"/>
      <c r="BT338" s="120"/>
      <c r="BU338" s="120"/>
      <c r="BV338" s="120"/>
      <c r="BW338" s="518"/>
      <c r="BX338" s="376"/>
      <c r="BY338" s="120"/>
      <c r="BZ338" s="120"/>
      <c r="CA338" s="120"/>
      <c r="CB338" s="376"/>
      <c r="CC338" s="120"/>
      <c r="CD338" s="120"/>
      <c r="CE338" s="120"/>
      <c r="CF338" s="375"/>
      <c r="CG338" s="377"/>
      <c r="CH338" s="376"/>
      <c r="CI338" s="120"/>
      <c r="CJ338" s="120"/>
      <c r="CK338" s="120"/>
      <c r="CL338" s="376"/>
      <c r="CM338" s="120"/>
      <c r="CN338" s="120"/>
      <c r="CO338" s="120"/>
      <c r="CP338" s="375"/>
      <c r="CQ338" s="377"/>
      <c r="CR338" s="380"/>
      <c r="CS338" s="376"/>
      <c r="CT338" s="376"/>
      <c r="CU338" s="120"/>
      <c r="CV338" s="120"/>
      <c r="CW338" s="120"/>
      <c r="CX338" s="120"/>
      <c r="CY338" s="120"/>
      <c r="CZ338" s="120"/>
      <c r="DA338" s="120"/>
      <c r="DB338" s="380"/>
      <c r="DC338" s="120"/>
      <c r="DD338" s="120"/>
      <c r="DE338" s="120"/>
      <c r="DF338" s="120"/>
      <c r="DG338" s="120"/>
      <c r="DH338" s="120"/>
      <c r="DI338" s="120"/>
      <c r="DJ338" s="120"/>
      <c r="DK338" s="120"/>
      <c r="DL338" s="380"/>
      <c r="DM338" s="120"/>
      <c r="DN338" s="380"/>
      <c r="DO338" s="120"/>
      <c r="DP338" s="120"/>
      <c r="DQ338" s="120"/>
      <c r="DR338" s="120"/>
      <c r="DS338" s="120"/>
      <c r="DT338" s="376"/>
      <c r="DU338" s="120"/>
      <c r="DV338" s="120"/>
      <c r="DW338" s="120"/>
      <c r="DX338" s="120"/>
      <c r="DY338" s="120"/>
      <c r="DZ338" s="376"/>
      <c r="EA338" s="120"/>
      <c r="EB338" s="120"/>
      <c r="EC338" s="120"/>
      <c r="ED338" s="376"/>
      <c r="EE338" s="120"/>
      <c r="EF338" s="120"/>
      <c r="EG338" s="120"/>
      <c r="EH338" s="120"/>
      <c r="EI338" s="120"/>
      <c r="EJ338" s="120"/>
      <c r="EK338" s="120"/>
      <c r="EL338" s="120"/>
      <c r="EM338" s="120"/>
      <c r="EN338" s="120"/>
      <c r="EO338" s="120"/>
      <c r="EP338" s="120"/>
      <c r="EQ338" s="120"/>
      <c r="ER338" s="120"/>
      <c r="ES338" s="120"/>
      <c r="ET338" s="120"/>
      <c r="EU338" s="120"/>
      <c r="EV338" s="120"/>
      <c r="EW338" s="120"/>
      <c r="EX338" s="120"/>
      <c r="EY338" s="134"/>
      <c r="EZ338" s="134"/>
      <c r="FA338" s="134"/>
      <c r="FB338" s="134"/>
      <c r="FC338" s="135"/>
      <c r="FD338" s="135"/>
      <c r="FE338" s="134"/>
      <c r="FF338" s="134"/>
      <c r="FG338" s="134"/>
      <c r="FH338" s="134"/>
      <c r="FI338" s="134"/>
      <c r="FJ338" s="134"/>
      <c r="FK338" s="134"/>
      <c r="FL338" s="134"/>
      <c r="FM338" s="135"/>
      <c r="FN338" s="135"/>
      <c r="FO338" s="134"/>
      <c r="FP338" s="134"/>
      <c r="FQ338" s="134"/>
      <c r="FR338" s="134"/>
      <c r="FS338" s="134"/>
      <c r="FT338" s="134"/>
      <c r="FU338" s="134"/>
      <c r="FV338" s="134"/>
      <c r="FW338" s="135"/>
      <c r="FX338" s="135"/>
      <c r="FY338" s="134"/>
      <c r="FZ338" s="134"/>
      <c r="GA338" s="134"/>
      <c r="GB338" s="134"/>
      <c r="GC338" s="134"/>
      <c r="GD338" s="134"/>
      <c r="GE338" s="134"/>
      <c r="GF338" s="134"/>
      <c r="GG338" s="135"/>
      <c r="GH338" s="135"/>
      <c r="GI338" s="134"/>
      <c r="GJ338" s="134"/>
      <c r="GK338" s="134"/>
      <c r="GL338" s="134"/>
      <c r="GM338" s="134"/>
      <c r="GN338" s="134"/>
      <c r="GO338" s="134"/>
      <c r="GP338" s="134"/>
      <c r="GQ338" s="135"/>
      <c r="GR338" s="135"/>
      <c r="GS338" s="134"/>
      <c r="GT338" s="134"/>
      <c r="GU338" s="134"/>
      <c r="GV338" s="134"/>
      <c r="GW338" s="134"/>
      <c r="GX338" s="134"/>
      <c r="GY338" s="134"/>
      <c r="GZ338" s="134"/>
      <c r="HA338" s="135"/>
      <c r="HB338" s="135"/>
      <c r="HC338" s="134"/>
      <c r="HD338" s="134"/>
      <c r="HE338" s="134"/>
      <c r="HF338" s="134"/>
      <c r="HG338" s="134"/>
      <c r="HH338" s="134"/>
      <c r="HI338" s="134"/>
      <c r="HJ338" s="134"/>
      <c r="HK338" s="135"/>
      <c r="HL338" s="135"/>
      <c r="HM338" s="134"/>
      <c r="HN338" s="134"/>
      <c r="HO338" s="134"/>
      <c r="HP338" s="134"/>
      <c r="HQ338" s="134"/>
      <c r="HR338" s="134"/>
      <c r="HS338" s="134"/>
      <c r="HT338" s="134"/>
      <c r="HU338" s="135"/>
      <c r="HV338" s="135"/>
      <c r="HW338" s="134"/>
      <c r="HX338" s="134"/>
      <c r="HY338" s="134"/>
      <c r="HZ338" s="134"/>
      <c r="IA338" s="134"/>
      <c r="IB338" s="134"/>
      <c r="IC338" s="134"/>
      <c r="ID338" s="134"/>
      <c r="IE338" s="135"/>
      <c r="IF338" s="135"/>
      <c r="IG338" s="134"/>
      <c r="IH338" s="134"/>
      <c r="II338" s="134"/>
      <c r="IJ338" s="134"/>
      <c r="IK338" s="134"/>
      <c r="IL338" s="134"/>
      <c r="IM338" s="134"/>
      <c r="IN338" s="134"/>
      <c r="IO338" s="135"/>
      <c r="IP338" s="135"/>
      <c r="IQ338" s="134"/>
      <c r="IR338" s="134"/>
      <c r="IS338" s="134"/>
      <c r="IT338" s="134"/>
      <c r="IU338" s="134"/>
      <c r="IV338" s="134"/>
      <c r="IW338" s="134"/>
      <c r="IX338" s="134"/>
      <c r="IY338" s="135"/>
      <c r="IZ338" s="135"/>
    </row>
    <row r="339" spans="1:260" customFormat="1" ht="17" customHeight="1">
      <c r="A339" s="128" t="s">
        <v>315</v>
      </c>
      <c r="B339" s="117">
        <v>225</v>
      </c>
      <c r="C339" s="117">
        <v>82</v>
      </c>
      <c r="D339" s="117"/>
      <c r="E339" s="123" t="s">
        <v>2029</v>
      </c>
      <c r="F339" s="124" t="s">
        <v>2262</v>
      </c>
      <c r="G339" s="125">
        <v>2010</v>
      </c>
      <c r="H339" s="128">
        <v>21180658</v>
      </c>
      <c r="I339" s="128">
        <v>1</v>
      </c>
      <c r="J339" s="220"/>
      <c r="K339" s="221"/>
      <c r="L339" s="128">
        <v>1</v>
      </c>
      <c r="M339" s="128"/>
      <c r="N339" s="128">
        <v>1</v>
      </c>
      <c r="O339" s="128">
        <v>1</v>
      </c>
      <c r="P339" s="128" t="s">
        <v>1178</v>
      </c>
      <c r="Q339" s="128" t="s">
        <v>1142</v>
      </c>
      <c r="R339" s="128" t="s">
        <v>819</v>
      </c>
      <c r="S339" s="128">
        <v>1</v>
      </c>
      <c r="T339" s="128"/>
      <c r="U339" s="128"/>
      <c r="V339" s="128"/>
      <c r="W339" s="128" t="s">
        <v>820</v>
      </c>
      <c r="X339" s="128"/>
      <c r="Y339" s="128" t="s">
        <v>821</v>
      </c>
      <c r="Z339" s="128"/>
      <c r="AA339" s="128"/>
      <c r="AB339" s="128" t="s">
        <v>818</v>
      </c>
      <c r="AC339" s="466"/>
      <c r="AD339" s="573">
        <v>1</v>
      </c>
      <c r="AE339" s="573">
        <v>2</v>
      </c>
      <c r="AF339" s="165">
        <v>0</v>
      </c>
      <c r="AG339" s="166" t="s">
        <v>5706</v>
      </c>
      <c r="AH339" s="120">
        <v>2</v>
      </c>
      <c r="AI339" s="120"/>
      <c r="AJ339" s="206"/>
      <c r="AK339" s="372"/>
      <c r="AL339" s="207"/>
      <c r="AM339" s="120"/>
      <c r="AN339" s="120"/>
      <c r="AO339" s="120"/>
      <c r="AP339" s="120"/>
      <c r="AQ339" s="120"/>
      <c r="AR339" s="120"/>
      <c r="AS339" s="120"/>
      <c r="AT339" s="120"/>
      <c r="AU339" s="120"/>
      <c r="AV339" s="120"/>
      <c r="AW339" s="120"/>
      <c r="AX339" s="120"/>
      <c r="AY339" s="120"/>
      <c r="AZ339" s="120"/>
      <c r="BA339" s="120"/>
      <c r="BB339" s="120"/>
      <c r="BC339" s="120"/>
      <c r="BD339" s="373"/>
      <c r="BE339" s="373"/>
      <c r="BF339" s="373"/>
      <c r="BG339" s="373"/>
      <c r="BH339" s="373"/>
      <c r="BI339" s="373"/>
      <c r="BJ339" s="373">
        <v>1</v>
      </c>
      <c r="BK339" s="373"/>
      <c r="BL339" s="373"/>
      <c r="BM339" s="373"/>
      <c r="BN339" s="373"/>
      <c r="BO339" s="373"/>
      <c r="BP339" s="373"/>
      <c r="BQ339" s="374"/>
      <c r="BR339" s="120"/>
      <c r="BS339" s="120"/>
      <c r="BT339" s="120"/>
      <c r="BU339" s="120"/>
      <c r="BV339" s="120"/>
      <c r="BW339" s="375"/>
      <c r="BX339" s="138"/>
      <c r="BY339" s="134"/>
      <c r="BZ339" s="134"/>
      <c r="CA339" s="134"/>
      <c r="CB339" s="138"/>
      <c r="CC339" s="134"/>
      <c r="CD339" s="134"/>
      <c r="CE339" s="134"/>
      <c r="CF339" s="288"/>
      <c r="CG339" s="289"/>
      <c r="CH339" s="138"/>
      <c r="CI339" s="134"/>
      <c r="CJ339" s="134"/>
      <c r="CK339" s="134"/>
      <c r="CL339" s="138"/>
      <c r="CM339" s="134"/>
      <c r="CN339" s="134"/>
      <c r="CO339" s="134"/>
      <c r="CP339" s="288"/>
      <c r="CQ339" s="289"/>
      <c r="CR339" s="276"/>
      <c r="CS339" s="308"/>
      <c r="CT339" s="138"/>
      <c r="CU339" s="134"/>
      <c r="CV339" s="134"/>
      <c r="CW339" s="134"/>
      <c r="CX339" s="134"/>
      <c r="CY339" s="134"/>
      <c r="CZ339" s="134"/>
      <c r="DA339" s="134"/>
      <c r="DB339" s="300"/>
      <c r="DC339" s="301"/>
      <c r="DD339" s="134"/>
      <c r="DE339" s="134"/>
      <c r="DF339" s="134"/>
      <c r="DG339" s="134"/>
      <c r="DH339" s="134"/>
      <c r="DI339" s="134"/>
      <c r="DJ339" s="134"/>
      <c r="DK339" s="134"/>
      <c r="DL339" s="300"/>
      <c r="DM339" s="301"/>
      <c r="DN339" s="276"/>
      <c r="DO339" s="277"/>
      <c r="DP339" s="134"/>
      <c r="DQ339" s="134"/>
      <c r="DR339" s="134"/>
      <c r="DS339" s="134"/>
      <c r="DT339" s="138"/>
      <c r="DU339" s="134"/>
      <c r="DV339" s="134"/>
      <c r="DW339" s="134"/>
      <c r="DX339" s="301"/>
      <c r="DY339" s="301"/>
      <c r="DZ339" s="138"/>
      <c r="EA339" s="134"/>
      <c r="EB339" s="134"/>
      <c r="EC339" s="134"/>
      <c r="ED339" s="138"/>
      <c r="EE339" s="134"/>
      <c r="EF339" s="134"/>
      <c r="EG339" s="134"/>
      <c r="EH339" s="301"/>
      <c r="EI339" s="301"/>
      <c r="EJ339" s="277"/>
      <c r="EK339" s="134"/>
      <c r="EL339" s="134"/>
      <c r="EM339" s="134"/>
      <c r="EN339" s="134"/>
      <c r="EO339" s="134"/>
      <c r="EP339" s="134"/>
      <c r="EQ339" s="134"/>
      <c r="ER339" s="134"/>
      <c r="ES339" s="301"/>
      <c r="ET339" s="301"/>
      <c r="EU339" s="134"/>
      <c r="EV339" s="134"/>
      <c r="EW339" s="134"/>
      <c r="EX339" s="134"/>
      <c r="EY339" s="134"/>
      <c r="EZ339" s="134"/>
      <c r="FA339" s="134"/>
      <c r="FB339" s="134"/>
      <c r="FC339" s="135"/>
      <c r="FD339" s="135"/>
      <c r="FE339" s="134"/>
      <c r="FF339" s="134"/>
      <c r="FG339" s="134"/>
      <c r="FH339" s="134"/>
      <c r="FI339" s="134"/>
      <c r="FJ339" s="134"/>
      <c r="FK339" s="134"/>
      <c r="FL339" s="134"/>
      <c r="FM339" s="135"/>
      <c r="FN339" s="135"/>
      <c r="FO339" s="134"/>
      <c r="FP339" s="134"/>
      <c r="FQ339" s="134"/>
      <c r="FR339" s="134"/>
      <c r="FS339" s="134"/>
      <c r="FT339" s="134"/>
      <c r="FU339" s="134"/>
      <c r="FV339" s="134"/>
      <c r="FW339" s="135"/>
      <c r="FX339" s="135"/>
      <c r="FY339" s="134"/>
      <c r="FZ339" s="134"/>
      <c r="GA339" s="134"/>
      <c r="GB339" s="134"/>
      <c r="GC339" s="134"/>
      <c r="GD339" s="134"/>
      <c r="GE339" s="134"/>
      <c r="GF339" s="134"/>
      <c r="GG339" s="135"/>
      <c r="GH339" s="135"/>
      <c r="GI339" s="134"/>
      <c r="GJ339" s="134"/>
      <c r="GK339" s="134"/>
      <c r="GL339" s="134"/>
      <c r="GM339" s="134"/>
      <c r="GN339" s="134"/>
      <c r="GO339" s="134"/>
      <c r="GP339" s="134"/>
      <c r="GQ339" s="135"/>
      <c r="GR339" s="135"/>
      <c r="GS339" s="134"/>
      <c r="GT339" s="134"/>
      <c r="GU339" s="134"/>
      <c r="GV339" s="134"/>
      <c r="GW339" s="134"/>
      <c r="GX339" s="134"/>
      <c r="GY339" s="134"/>
      <c r="GZ339" s="134"/>
      <c r="HA339" s="135"/>
      <c r="HB339" s="135"/>
      <c r="HC339" s="134"/>
      <c r="HD339" s="134"/>
      <c r="HE339" s="134"/>
      <c r="HF339" s="134"/>
      <c r="HG339" s="134"/>
      <c r="HH339" s="134"/>
      <c r="HI339" s="134"/>
      <c r="HJ339" s="134"/>
      <c r="HK339" s="135"/>
      <c r="HL339" s="135"/>
      <c r="HM339" s="134"/>
      <c r="HN339" s="134"/>
      <c r="HO339" s="134"/>
      <c r="HP339" s="134"/>
      <c r="HQ339" s="134"/>
      <c r="HR339" s="134"/>
      <c r="HS339" s="134"/>
      <c r="HT339" s="134"/>
      <c r="HU339" s="135"/>
      <c r="HV339" s="135"/>
      <c r="HW339" s="134"/>
      <c r="HX339" s="134"/>
      <c r="HY339" s="134"/>
      <c r="HZ339" s="134"/>
      <c r="IA339" s="134"/>
      <c r="IB339" s="134"/>
      <c r="IC339" s="134"/>
      <c r="ID339" s="134"/>
      <c r="IE339" s="135"/>
      <c r="IF339" s="135"/>
      <c r="IG339" s="134"/>
      <c r="IH339" s="134"/>
      <c r="II339" s="134"/>
      <c r="IJ339" s="134"/>
      <c r="IK339" s="134"/>
      <c r="IL339" s="134"/>
      <c r="IM339" s="134"/>
      <c r="IN339" s="134"/>
      <c r="IO339" s="135"/>
      <c r="IP339" s="135"/>
      <c r="IQ339" s="134"/>
      <c r="IR339" s="134"/>
      <c r="IS339" s="134"/>
      <c r="IT339" s="134"/>
      <c r="IU339" s="134"/>
      <c r="IV339" s="134"/>
      <c r="IW339" s="134"/>
      <c r="IX339" s="134"/>
      <c r="IY339" s="135"/>
      <c r="IZ339" s="135"/>
    </row>
    <row r="340" spans="1:260" customFormat="1" ht="17" customHeight="1">
      <c r="A340" s="79" t="s">
        <v>316</v>
      </c>
      <c r="B340" s="117">
        <v>226</v>
      </c>
      <c r="C340" s="117">
        <v>83</v>
      </c>
      <c r="D340" s="117"/>
      <c r="E340" s="123" t="s">
        <v>2030</v>
      </c>
      <c r="F340" s="124" t="s">
        <v>2263</v>
      </c>
      <c r="G340" s="125">
        <v>1990</v>
      </c>
      <c r="H340" s="79">
        <v>2365895</v>
      </c>
      <c r="I340" s="79">
        <v>1</v>
      </c>
      <c r="J340" s="170" t="s">
        <v>1784</v>
      </c>
      <c r="K340" s="127"/>
      <c r="L340" s="174">
        <v>1</v>
      </c>
      <c r="M340" s="79"/>
      <c r="N340" s="79">
        <v>0</v>
      </c>
      <c r="O340" s="128">
        <v>1</v>
      </c>
      <c r="P340" s="79" t="s">
        <v>825</v>
      </c>
      <c r="Q340" s="79" t="s">
        <v>1172</v>
      </c>
      <c r="R340" s="79" t="s">
        <v>822</v>
      </c>
      <c r="S340" s="79">
        <v>0</v>
      </c>
      <c r="T340" s="79"/>
      <c r="U340" s="79"/>
      <c r="V340" s="79"/>
      <c r="W340" s="79" t="s">
        <v>823</v>
      </c>
      <c r="X340" s="79"/>
      <c r="Y340" s="79"/>
      <c r="Z340" s="79"/>
      <c r="AA340" s="79"/>
      <c r="AB340" s="79" t="s">
        <v>824</v>
      </c>
      <c r="AC340" s="506"/>
      <c r="AD340" s="573">
        <v>1</v>
      </c>
      <c r="AE340" s="573">
        <v>2</v>
      </c>
      <c r="AF340" s="165">
        <v>0</v>
      </c>
      <c r="AG340" s="166" t="s">
        <v>5707</v>
      </c>
      <c r="AH340" s="120">
        <v>2</v>
      </c>
      <c r="AI340" s="120"/>
      <c r="AJ340" s="206"/>
      <c r="AK340" s="372"/>
      <c r="AL340" s="207"/>
      <c r="AM340" s="120"/>
      <c r="AN340" s="120"/>
      <c r="AO340" s="120"/>
      <c r="AP340" s="120"/>
      <c r="AQ340" s="120"/>
      <c r="AR340" s="120"/>
      <c r="AS340" s="120"/>
      <c r="AT340" s="120"/>
      <c r="AU340" s="120"/>
      <c r="AV340" s="120"/>
      <c r="AW340" s="120"/>
      <c r="AX340" s="120"/>
      <c r="AY340" s="120"/>
      <c r="AZ340" s="120"/>
      <c r="BA340" s="120"/>
      <c r="BB340" s="120"/>
      <c r="BC340" s="120"/>
      <c r="BD340" s="373"/>
      <c r="BE340" s="373"/>
      <c r="BF340" s="373">
        <v>1</v>
      </c>
      <c r="BG340" s="373"/>
      <c r="BH340" s="373"/>
      <c r="BI340" s="373"/>
      <c r="BJ340" s="373">
        <v>1</v>
      </c>
      <c r="BK340" s="373"/>
      <c r="BL340" s="373"/>
      <c r="BM340" s="373"/>
      <c r="BN340" s="373"/>
      <c r="BO340" s="373"/>
      <c r="BP340" s="373"/>
      <c r="BQ340" s="374"/>
      <c r="BR340" s="120"/>
      <c r="BS340" s="120"/>
      <c r="BT340" s="120"/>
      <c r="BU340" s="120"/>
      <c r="BV340" s="120"/>
      <c r="BW340" s="375"/>
      <c r="BX340" s="138"/>
      <c r="BY340" s="134"/>
      <c r="BZ340" s="134"/>
      <c r="CA340" s="134"/>
      <c r="CB340" s="138"/>
      <c r="CC340" s="134"/>
      <c r="CD340" s="134"/>
      <c r="CE340" s="134"/>
      <c r="CF340" s="288"/>
      <c r="CG340" s="289"/>
      <c r="CH340" s="138"/>
      <c r="CI340" s="134"/>
      <c r="CJ340" s="134"/>
      <c r="CK340" s="134"/>
      <c r="CL340" s="138"/>
      <c r="CM340" s="134"/>
      <c r="CN340" s="134"/>
      <c r="CO340" s="134"/>
      <c r="CP340" s="288"/>
      <c r="CQ340" s="289"/>
      <c r="CR340" s="276"/>
      <c r="CS340" s="308"/>
      <c r="CT340" s="138"/>
      <c r="CU340" s="134"/>
      <c r="CV340" s="134"/>
      <c r="CW340" s="134"/>
      <c r="CX340" s="134"/>
      <c r="CY340" s="134"/>
      <c r="CZ340" s="134"/>
      <c r="DA340" s="134"/>
      <c r="DB340" s="300"/>
      <c r="DC340" s="301"/>
      <c r="DD340" s="134"/>
      <c r="DE340" s="134"/>
      <c r="DF340" s="134"/>
      <c r="DG340" s="134"/>
      <c r="DH340" s="134"/>
      <c r="DI340" s="134"/>
      <c r="DJ340" s="134"/>
      <c r="DK340" s="134"/>
      <c r="DL340" s="300"/>
      <c r="DM340" s="301"/>
      <c r="DN340" s="276"/>
      <c r="DO340" s="277"/>
      <c r="DP340" s="134"/>
      <c r="DQ340" s="134"/>
      <c r="DR340" s="134"/>
      <c r="DS340" s="134"/>
      <c r="DT340" s="138"/>
      <c r="DU340" s="134"/>
      <c r="DV340" s="134"/>
      <c r="DW340" s="134"/>
      <c r="DX340" s="301"/>
      <c r="DY340" s="301"/>
      <c r="DZ340" s="138"/>
      <c r="EA340" s="134"/>
      <c r="EB340" s="134"/>
      <c r="EC340" s="134"/>
      <c r="ED340" s="138"/>
      <c r="EE340" s="134"/>
      <c r="EF340" s="134"/>
      <c r="EG340" s="134"/>
      <c r="EH340" s="301"/>
      <c r="EI340" s="301"/>
      <c r="EJ340" s="277"/>
      <c r="EK340" s="134"/>
      <c r="EL340" s="134"/>
      <c r="EM340" s="134"/>
      <c r="EN340" s="134"/>
      <c r="EO340" s="134"/>
      <c r="EP340" s="134"/>
      <c r="EQ340" s="134"/>
      <c r="ER340" s="134"/>
      <c r="ES340" s="301"/>
      <c r="ET340" s="301"/>
      <c r="EU340" s="134"/>
      <c r="EV340" s="134"/>
      <c r="EW340" s="134"/>
      <c r="EX340" s="134"/>
      <c r="EY340" s="134"/>
      <c r="EZ340" s="134"/>
      <c r="FA340" s="134"/>
      <c r="FB340" s="134"/>
      <c r="FC340" s="135"/>
      <c r="FD340" s="135"/>
      <c r="FE340" s="134"/>
      <c r="FF340" s="134"/>
      <c r="FG340" s="134"/>
      <c r="FH340" s="134"/>
      <c r="FI340" s="134"/>
      <c r="FJ340" s="134"/>
      <c r="FK340" s="134"/>
      <c r="FL340" s="134"/>
      <c r="FM340" s="135"/>
      <c r="FN340" s="135"/>
      <c r="FO340" s="134"/>
      <c r="FP340" s="134"/>
      <c r="FQ340" s="134"/>
      <c r="FR340" s="134"/>
      <c r="FS340" s="134"/>
      <c r="FT340" s="134"/>
      <c r="FU340" s="134"/>
      <c r="FV340" s="134"/>
      <c r="FW340" s="135"/>
      <c r="FX340" s="135"/>
      <c r="FY340" s="134"/>
      <c r="FZ340" s="134"/>
      <c r="GA340" s="134"/>
      <c r="GB340" s="134"/>
      <c r="GC340" s="134"/>
      <c r="GD340" s="134"/>
      <c r="GE340" s="134"/>
      <c r="GF340" s="134"/>
      <c r="GG340" s="135"/>
      <c r="GH340" s="135"/>
      <c r="GI340" s="134"/>
      <c r="GJ340" s="134"/>
      <c r="GK340" s="134"/>
      <c r="GL340" s="134"/>
      <c r="GM340" s="134"/>
      <c r="GN340" s="134"/>
      <c r="GO340" s="134"/>
      <c r="GP340" s="134"/>
      <c r="GQ340" s="135"/>
      <c r="GR340" s="135"/>
      <c r="GS340" s="134"/>
      <c r="GT340" s="134"/>
      <c r="GU340" s="134"/>
      <c r="GV340" s="134"/>
      <c r="GW340" s="134"/>
      <c r="GX340" s="134"/>
      <c r="GY340" s="134"/>
      <c r="GZ340" s="134"/>
      <c r="HA340" s="135"/>
      <c r="HB340" s="135"/>
      <c r="HC340" s="134"/>
      <c r="HD340" s="134"/>
      <c r="HE340" s="134"/>
      <c r="HF340" s="134"/>
      <c r="HG340" s="134"/>
      <c r="HH340" s="134"/>
      <c r="HI340" s="134"/>
      <c r="HJ340" s="134"/>
      <c r="HK340" s="135"/>
      <c r="HL340" s="135"/>
      <c r="HM340" s="134"/>
      <c r="HN340" s="134"/>
      <c r="HO340" s="134"/>
      <c r="HP340" s="134"/>
      <c r="HQ340" s="134"/>
      <c r="HR340" s="134"/>
      <c r="HS340" s="134"/>
      <c r="HT340" s="134"/>
      <c r="HU340" s="135"/>
      <c r="HV340" s="135"/>
      <c r="HW340" s="134"/>
      <c r="HX340" s="134"/>
      <c r="HY340" s="134"/>
      <c r="HZ340" s="134"/>
      <c r="IA340" s="134"/>
      <c r="IB340" s="134"/>
      <c r="IC340" s="134"/>
      <c r="ID340" s="134"/>
      <c r="IE340" s="135"/>
      <c r="IF340" s="135"/>
      <c r="IG340" s="134"/>
      <c r="IH340" s="134"/>
      <c r="II340" s="134"/>
      <c r="IJ340" s="134"/>
      <c r="IK340" s="134"/>
      <c r="IL340" s="134"/>
      <c r="IM340" s="134"/>
      <c r="IN340" s="134"/>
      <c r="IO340" s="135"/>
      <c r="IP340" s="135"/>
      <c r="IQ340" s="134"/>
      <c r="IR340" s="134"/>
      <c r="IS340" s="134"/>
      <c r="IT340" s="134"/>
      <c r="IU340" s="134"/>
      <c r="IV340" s="134"/>
      <c r="IW340" s="134"/>
      <c r="IX340" s="134"/>
      <c r="IY340" s="135"/>
      <c r="IZ340" s="135"/>
    </row>
    <row r="341" spans="1:260" customFormat="1" ht="17" customHeight="1">
      <c r="A341" s="79" t="s">
        <v>317</v>
      </c>
      <c r="B341" s="117">
        <v>227</v>
      </c>
      <c r="C341" s="117"/>
      <c r="D341" s="117"/>
      <c r="E341" s="123" t="s">
        <v>2030</v>
      </c>
      <c r="F341" s="124" t="s">
        <v>2264</v>
      </c>
      <c r="G341" s="125">
        <v>1991</v>
      </c>
      <c r="H341" s="79">
        <v>1984709</v>
      </c>
      <c r="I341" s="79">
        <v>1</v>
      </c>
      <c r="J341" s="170" t="s">
        <v>1784</v>
      </c>
      <c r="K341" s="127" t="s">
        <v>1767</v>
      </c>
      <c r="L341" s="164">
        <v>1</v>
      </c>
      <c r="M341" s="79"/>
      <c r="N341" s="164">
        <v>0</v>
      </c>
      <c r="O341" s="128">
        <v>1</v>
      </c>
      <c r="P341" s="79" t="s">
        <v>538</v>
      </c>
      <c r="Q341" s="79" t="s">
        <v>538</v>
      </c>
      <c r="R341" s="79" t="s">
        <v>822</v>
      </c>
      <c r="S341" s="79">
        <v>0</v>
      </c>
      <c r="T341" s="79"/>
      <c r="U341" s="79"/>
      <c r="V341" s="79"/>
      <c r="W341" s="79" t="s">
        <v>826</v>
      </c>
      <c r="X341" s="79"/>
      <c r="Y341" s="79"/>
      <c r="Z341" s="79" t="s">
        <v>827</v>
      </c>
      <c r="AA341" s="79"/>
      <c r="AB341" s="79" t="s">
        <v>828</v>
      </c>
      <c r="AC341" s="506"/>
      <c r="AD341" s="573">
        <v>1</v>
      </c>
      <c r="AE341" s="573">
        <v>2</v>
      </c>
      <c r="AF341" s="165">
        <v>0</v>
      </c>
      <c r="AG341" s="166" t="s">
        <v>5708</v>
      </c>
      <c r="AH341" s="121">
        <v>2</v>
      </c>
      <c r="AI341" s="484"/>
      <c r="AJ341" s="202"/>
      <c r="AK341" s="192"/>
      <c r="AL341" s="203"/>
      <c r="AM341" s="121"/>
      <c r="AN341" s="121"/>
      <c r="AO341" s="121"/>
      <c r="AP341" s="121"/>
      <c r="AQ341" s="121"/>
      <c r="AR341" s="121"/>
      <c r="AS341" s="121"/>
      <c r="AT341" s="121"/>
      <c r="AU341" s="121"/>
      <c r="AV341" s="121"/>
      <c r="AW341" s="121"/>
      <c r="AX341" s="121"/>
      <c r="AY341" s="121"/>
      <c r="AZ341" s="121"/>
      <c r="BA341" s="121"/>
      <c r="BB341" s="121"/>
      <c r="BC341" s="121"/>
      <c r="BD341" s="156"/>
      <c r="BE341" s="156"/>
      <c r="BF341" s="156"/>
      <c r="BG341" s="156"/>
      <c r="BH341" s="156"/>
      <c r="BI341" s="156"/>
      <c r="BJ341" s="156">
        <v>1</v>
      </c>
      <c r="BK341" s="156"/>
      <c r="BL341" s="156"/>
      <c r="BM341" s="156"/>
      <c r="BN341" s="156"/>
      <c r="BO341" s="156"/>
      <c r="BP341" s="156"/>
      <c r="BQ341" s="157"/>
      <c r="BR341" s="134"/>
      <c r="BS341" s="134"/>
      <c r="BT341" s="134"/>
      <c r="BU341" s="134"/>
      <c r="BV341" s="134"/>
      <c r="BW341" s="259"/>
      <c r="BX341" s="138"/>
      <c r="BY341" s="134"/>
      <c r="BZ341" s="134"/>
      <c r="CA341" s="134"/>
      <c r="CB341" s="138"/>
      <c r="CC341" s="134"/>
      <c r="CD341" s="134"/>
      <c r="CE341" s="134"/>
      <c r="CF341" s="288"/>
      <c r="CG341" s="289"/>
      <c r="CH341" s="138"/>
      <c r="CI341" s="134"/>
      <c r="CJ341" s="134"/>
      <c r="CK341" s="134"/>
      <c r="CL341" s="138"/>
      <c r="CM341" s="134"/>
      <c r="CN341" s="134"/>
      <c r="CO341" s="134"/>
      <c r="CP341" s="288"/>
      <c r="CQ341" s="289"/>
      <c r="CR341" s="276"/>
      <c r="CS341" s="308"/>
      <c r="CT341" s="138"/>
      <c r="CU341" s="134"/>
      <c r="CV341" s="134"/>
      <c r="CW341" s="134"/>
      <c r="CX341" s="134"/>
      <c r="CY341" s="134"/>
      <c r="CZ341" s="134"/>
      <c r="DA341" s="134"/>
      <c r="DB341" s="300"/>
      <c r="DC341" s="301"/>
      <c r="DD341" s="134"/>
      <c r="DE341" s="134"/>
      <c r="DF341" s="134"/>
      <c r="DG341" s="134"/>
      <c r="DH341" s="134"/>
      <c r="DI341" s="134"/>
      <c r="DJ341" s="134"/>
      <c r="DK341" s="134"/>
      <c r="DL341" s="300"/>
      <c r="DM341" s="301"/>
      <c r="DN341" s="276"/>
      <c r="DO341" s="277"/>
      <c r="DP341" s="134"/>
      <c r="DQ341" s="134"/>
      <c r="DR341" s="134"/>
      <c r="DS341" s="134"/>
      <c r="DT341" s="138"/>
      <c r="DU341" s="134"/>
      <c r="DV341" s="134"/>
      <c r="DW341" s="134"/>
      <c r="DX341" s="301"/>
      <c r="DY341" s="301"/>
      <c r="DZ341" s="138"/>
      <c r="EA341" s="134"/>
      <c r="EB341" s="134"/>
      <c r="EC341" s="134"/>
      <c r="ED341" s="138"/>
      <c r="EE341" s="134"/>
      <c r="EF341" s="134"/>
      <c r="EG341" s="134"/>
      <c r="EH341" s="301"/>
      <c r="EI341" s="301"/>
      <c r="EJ341" s="277"/>
      <c r="EK341" s="134"/>
      <c r="EL341" s="134"/>
      <c r="EM341" s="134"/>
      <c r="EN341" s="134"/>
      <c r="EO341" s="134"/>
      <c r="EP341" s="134"/>
      <c r="EQ341" s="134"/>
      <c r="ER341" s="134"/>
      <c r="ES341" s="301"/>
      <c r="ET341" s="301"/>
      <c r="EU341" s="134"/>
      <c r="EV341" s="134"/>
      <c r="EW341" s="134"/>
      <c r="EX341" s="134"/>
      <c r="EY341" s="134"/>
      <c r="EZ341" s="134"/>
      <c r="FA341" s="134"/>
      <c r="FB341" s="134"/>
      <c r="FC341" s="135"/>
      <c r="FD341" s="135"/>
      <c r="FE341" s="134"/>
      <c r="FF341" s="134"/>
      <c r="FG341" s="134"/>
      <c r="FH341" s="134"/>
      <c r="FI341" s="134"/>
      <c r="FJ341" s="134"/>
      <c r="FK341" s="134"/>
      <c r="FL341" s="134"/>
      <c r="FM341" s="135"/>
      <c r="FN341" s="135"/>
      <c r="FO341" s="134"/>
      <c r="FP341" s="134"/>
      <c r="FQ341" s="134"/>
      <c r="FR341" s="134"/>
      <c r="FS341" s="134"/>
      <c r="FT341" s="134"/>
      <c r="FU341" s="134"/>
      <c r="FV341" s="134"/>
      <c r="FW341" s="135"/>
      <c r="FX341" s="135"/>
      <c r="FY341" s="134"/>
      <c r="FZ341" s="134"/>
      <c r="GA341" s="134"/>
      <c r="GB341" s="134"/>
      <c r="GC341" s="134"/>
      <c r="GD341" s="134"/>
      <c r="GE341" s="134"/>
      <c r="GF341" s="134"/>
      <c r="GG341" s="135"/>
      <c r="GH341" s="135"/>
      <c r="GI341" s="134"/>
      <c r="GJ341" s="134"/>
      <c r="GK341" s="134"/>
      <c r="GL341" s="134"/>
      <c r="GM341" s="134"/>
      <c r="GN341" s="134"/>
      <c r="GO341" s="134"/>
      <c r="GP341" s="134"/>
      <c r="GQ341" s="135"/>
      <c r="GR341" s="135"/>
      <c r="GS341" s="134"/>
      <c r="GT341" s="134"/>
      <c r="GU341" s="134"/>
      <c r="GV341" s="134"/>
      <c r="GW341" s="134"/>
      <c r="GX341" s="134"/>
      <c r="GY341" s="134"/>
      <c r="GZ341" s="134"/>
      <c r="HA341" s="135"/>
      <c r="HB341" s="135"/>
      <c r="HC341" s="134"/>
      <c r="HD341" s="134"/>
      <c r="HE341" s="134"/>
      <c r="HF341" s="134"/>
      <c r="HG341" s="134"/>
      <c r="HH341" s="134"/>
      <c r="HI341" s="134"/>
      <c r="HJ341" s="134"/>
      <c r="HK341" s="135"/>
      <c r="HL341" s="135"/>
      <c r="HM341" s="134"/>
      <c r="HN341" s="134"/>
      <c r="HO341" s="134"/>
      <c r="HP341" s="134"/>
      <c r="HQ341" s="134"/>
      <c r="HR341" s="134"/>
      <c r="HS341" s="134"/>
      <c r="HT341" s="134"/>
      <c r="HU341" s="135"/>
      <c r="HV341" s="135"/>
      <c r="HW341" s="134"/>
      <c r="HX341" s="134"/>
      <c r="HY341" s="134"/>
      <c r="HZ341" s="134"/>
      <c r="IA341" s="134"/>
      <c r="IB341" s="134"/>
      <c r="IC341" s="134"/>
      <c r="ID341" s="134"/>
      <c r="IE341" s="135"/>
      <c r="IF341" s="135"/>
      <c r="IG341" s="134"/>
      <c r="IH341" s="134"/>
      <c r="II341" s="134"/>
      <c r="IJ341" s="134"/>
      <c r="IK341" s="134"/>
      <c r="IL341" s="134"/>
      <c r="IM341" s="134"/>
      <c r="IN341" s="134"/>
      <c r="IO341" s="135"/>
      <c r="IP341" s="135"/>
      <c r="IQ341" s="134"/>
      <c r="IR341" s="134"/>
      <c r="IS341" s="134"/>
      <c r="IT341" s="134"/>
      <c r="IU341" s="134"/>
      <c r="IV341" s="134"/>
      <c r="IW341" s="134"/>
      <c r="IX341" s="134"/>
      <c r="IY341" s="135"/>
      <c r="IZ341" s="135"/>
    </row>
    <row r="342" spans="1:260" customFormat="1" ht="17" customHeight="1">
      <c r="A342" s="79" t="s">
        <v>968</v>
      </c>
      <c r="B342" s="117">
        <v>47</v>
      </c>
      <c r="C342" s="117"/>
      <c r="D342" s="117"/>
      <c r="E342" s="123" t="s">
        <v>2119</v>
      </c>
      <c r="F342" s="124" t="s">
        <v>2379</v>
      </c>
      <c r="G342" s="125">
        <v>2006</v>
      </c>
      <c r="H342" s="79">
        <v>17031709</v>
      </c>
      <c r="I342" s="79">
        <v>1</v>
      </c>
      <c r="J342" s="126">
        <v>1</v>
      </c>
      <c r="K342" s="127"/>
      <c r="L342" s="79">
        <v>1</v>
      </c>
      <c r="M342" s="79"/>
      <c r="N342" s="153">
        <v>1</v>
      </c>
      <c r="O342" s="128">
        <v>2</v>
      </c>
      <c r="P342" s="79" t="s">
        <v>1227</v>
      </c>
      <c r="Q342" s="79" t="s">
        <v>1216</v>
      </c>
      <c r="R342" s="79" t="s">
        <v>1127</v>
      </c>
      <c r="S342" s="79"/>
      <c r="T342" s="79" t="s">
        <v>1487</v>
      </c>
      <c r="U342" s="79" t="s">
        <v>803</v>
      </c>
      <c r="V342" s="79"/>
      <c r="W342" s="79" t="s">
        <v>1501</v>
      </c>
      <c r="X342" s="79"/>
      <c r="Y342" s="79" t="s">
        <v>1132</v>
      </c>
      <c r="Z342" s="79"/>
      <c r="AA342" s="79" t="s">
        <v>1590</v>
      </c>
      <c r="AB342" s="79"/>
      <c r="AC342" s="506"/>
      <c r="AD342" s="573">
        <v>1</v>
      </c>
      <c r="AE342" s="573">
        <v>2</v>
      </c>
      <c r="AF342" s="154">
        <v>1</v>
      </c>
      <c r="AG342" s="155"/>
      <c r="AH342" s="121">
        <v>4</v>
      </c>
      <c r="AI342" s="484"/>
      <c r="AJ342" s="202" t="s">
        <v>3600</v>
      </c>
      <c r="AK342" s="192">
        <v>2</v>
      </c>
      <c r="AL342" s="203">
        <v>1</v>
      </c>
      <c r="AM342" s="121">
        <f>Table665[[#This Row],[Subjects_n_ptsd]]+Table665[[#This Row],[Subjects_n_control]]</f>
        <v>18</v>
      </c>
      <c r="AN342" s="121">
        <v>9</v>
      </c>
      <c r="AO342" s="121">
        <v>9</v>
      </c>
      <c r="AP342" s="121" t="s">
        <v>803</v>
      </c>
      <c r="AQ342" s="121" t="s">
        <v>803</v>
      </c>
      <c r="AR342" s="121" t="s">
        <v>3595</v>
      </c>
      <c r="AS342" s="121" t="s">
        <v>24</v>
      </c>
      <c r="AT342" s="121" t="s">
        <v>3595</v>
      </c>
      <c r="AU342" s="121" t="s">
        <v>24</v>
      </c>
      <c r="AV342" s="121" t="s">
        <v>3596</v>
      </c>
      <c r="AW342" s="121">
        <v>1</v>
      </c>
      <c r="AX342" s="121">
        <v>1</v>
      </c>
      <c r="AY342" s="121" t="s">
        <v>3597</v>
      </c>
      <c r="AZ342" s="121" t="s">
        <v>1130</v>
      </c>
      <c r="BA342" s="121" t="s">
        <v>2798</v>
      </c>
      <c r="BB342" s="121"/>
      <c r="BC342" s="121"/>
      <c r="BD342" s="156">
        <v>1</v>
      </c>
      <c r="BE342" s="156"/>
      <c r="BF342" s="156"/>
      <c r="BG342" s="156"/>
      <c r="BH342" s="156"/>
      <c r="BI342" s="156"/>
      <c r="BJ342" s="156"/>
      <c r="BK342" s="156"/>
      <c r="BL342" s="156"/>
      <c r="BM342" s="156"/>
      <c r="BN342" s="156"/>
      <c r="BO342" s="156"/>
      <c r="BP342" s="156"/>
      <c r="BQ342" s="157" t="s">
        <v>3611</v>
      </c>
      <c r="BR342" s="134" t="s">
        <v>1876</v>
      </c>
      <c r="BS342" s="134">
        <v>2</v>
      </c>
      <c r="BT342" s="150" t="s">
        <v>3605</v>
      </c>
      <c r="BU342" s="134" t="s">
        <v>3514</v>
      </c>
      <c r="BV342" s="134" t="s">
        <v>3237</v>
      </c>
      <c r="BW342" s="259" t="s">
        <v>3604</v>
      </c>
      <c r="BX342" s="138" t="s">
        <v>3598</v>
      </c>
      <c r="BY342" s="134">
        <v>115.836</v>
      </c>
      <c r="BZ342" s="168" t="s">
        <v>24</v>
      </c>
      <c r="CA342" s="134">
        <f>125.091-Table665[[#This Row],[Outcome1_M]]</f>
        <v>9.2549999999999955</v>
      </c>
      <c r="CB342" s="138" t="s">
        <v>3599</v>
      </c>
      <c r="CC342" s="134">
        <v>65.167400000000001</v>
      </c>
      <c r="CD342" s="134" t="s">
        <v>24</v>
      </c>
      <c r="CE342" s="134">
        <f>73.4964-Table665[[#This Row],[Outcome2_M]]</f>
        <v>8.3289999999999935</v>
      </c>
      <c r="CF342" s="288" t="s">
        <v>3603</v>
      </c>
      <c r="CG342" s="289" t="s">
        <v>2555</v>
      </c>
      <c r="CH342" s="138" t="s">
        <v>24</v>
      </c>
      <c r="CI342" s="134" t="s">
        <v>24</v>
      </c>
      <c r="CJ342" s="134" t="s">
        <v>24</v>
      </c>
      <c r="CK342" s="134" t="s">
        <v>24</v>
      </c>
      <c r="CL342" s="138"/>
      <c r="CM342" s="134"/>
      <c r="CN342" s="134"/>
      <c r="CO342" s="134"/>
      <c r="CP342" s="288"/>
      <c r="CQ342" s="289"/>
      <c r="CR342" s="276"/>
      <c r="CS342" s="308"/>
      <c r="CT342" s="138"/>
      <c r="CU342" s="134"/>
      <c r="CV342" s="134"/>
      <c r="CW342" s="134"/>
      <c r="CX342" s="134"/>
      <c r="CY342" s="134"/>
      <c r="CZ342" s="134"/>
      <c r="DA342" s="134"/>
      <c r="DB342" s="300"/>
      <c r="DC342" s="301"/>
      <c r="DD342" s="134"/>
      <c r="DE342" s="134"/>
      <c r="DF342" s="134"/>
      <c r="DG342" s="134"/>
      <c r="DH342" s="134"/>
      <c r="DI342" s="134"/>
      <c r="DJ342" s="134"/>
      <c r="DK342" s="134"/>
      <c r="DL342" s="300"/>
      <c r="DM342" s="301"/>
      <c r="DN342" s="276"/>
      <c r="DO342" s="277"/>
      <c r="DP342" s="134"/>
      <c r="DQ342" s="134"/>
      <c r="DR342" s="134"/>
      <c r="DS342" s="134"/>
      <c r="DT342" s="138"/>
      <c r="DU342" s="134"/>
      <c r="DV342" s="134"/>
      <c r="DW342" s="134"/>
      <c r="DX342" s="301"/>
      <c r="DY342" s="301"/>
      <c r="DZ342" s="138"/>
      <c r="EA342" s="134"/>
      <c r="EB342" s="134"/>
      <c r="EC342" s="134"/>
      <c r="ED342" s="138"/>
      <c r="EE342" s="134"/>
      <c r="EF342" s="134"/>
      <c r="EG342" s="134"/>
      <c r="EH342" s="301"/>
      <c r="EI342" s="301"/>
      <c r="EJ342" s="277"/>
      <c r="EK342" s="134"/>
      <c r="EL342" s="134"/>
      <c r="EM342" s="134"/>
      <c r="EN342" s="134"/>
      <c r="EO342" s="134"/>
      <c r="EP342" s="134"/>
      <c r="EQ342" s="134"/>
      <c r="ER342" s="134"/>
      <c r="ES342" s="301"/>
      <c r="ET342" s="301"/>
      <c r="EU342" s="134"/>
      <c r="EV342" s="134"/>
      <c r="EW342" s="134"/>
      <c r="EX342" s="134"/>
      <c r="EY342" s="134"/>
      <c r="EZ342" s="134"/>
      <c r="FA342" s="134"/>
      <c r="FB342" s="134"/>
      <c r="FC342" s="135"/>
      <c r="FD342" s="135"/>
      <c r="FE342" s="134"/>
      <c r="FF342" s="134"/>
      <c r="FG342" s="134"/>
      <c r="FH342" s="134"/>
      <c r="FI342" s="134"/>
      <c r="FJ342" s="134"/>
      <c r="FK342" s="134"/>
      <c r="FL342" s="134"/>
      <c r="FM342" s="135"/>
      <c r="FN342" s="135"/>
      <c r="FO342" s="134"/>
      <c r="FP342" s="134"/>
      <c r="FQ342" s="134"/>
      <c r="FR342" s="134"/>
      <c r="FS342" s="134"/>
      <c r="FT342" s="134"/>
      <c r="FU342" s="134"/>
      <c r="FV342" s="134"/>
      <c r="FW342" s="135"/>
      <c r="FX342" s="135"/>
      <c r="FY342" s="134"/>
      <c r="FZ342" s="134"/>
      <c r="GA342" s="134"/>
      <c r="GB342" s="134"/>
      <c r="GC342" s="134"/>
      <c r="GD342" s="134"/>
      <c r="GE342" s="134"/>
      <c r="GF342" s="134"/>
      <c r="GG342" s="135"/>
      <c r="GH342" s="135"/>
      <c r="GI342" s="134"/>
      <c r="GJ342" s="134"/>
      <c r="GK342" s="134"/>
      <c r="GL342" s="134"/>
      <c r="GM342" s="134"/>
      <c r="GN342" s="134"/>
      <c r="GO342" s="134"/>
      <c r="GP342" s="134"/>
      <c r="GQ342" s="135"/>
      <c r="GR342" s="135"/>
      <c r="GS342" s="134"/>
      <c r="GT342" s="134"/>
      <c r="GU342" s="134"/>
      <c r="GV342" s="134"/>
      <c r="GW342" s="134"/>
      <c r="GX342" s="134"/>
      <c r="GY342" s="134"/>
      <c r="GZ342" s="134"/>
      <c r="HA342" s="135"/>
      <c r="HB342" s="135"/>
      <c r="HC342" s="134"/>
      <c r="HD342" s="134"/>
      <c r="HE342" s="134"/>
      <c r="HF342" s="134"/>
      <c r="HG342" s="134"/>
      <c r="HH342" s="134"/>
      <c r="HI342" s="134"/>
      <c r="HJ342" s="134"/>
      <c r="HK342" s="135"/>
      <c r="HL342" s="135"/>
      <c r="HM342" s="134"/>
      <c r="HN342" s="134"/>
      <c r="HO342" s="134"/>
      <c r="HP342" s="134"/>
      <c r="HQ342" s="134"/>
      <c r="HR342" s="134"/>
      <c r="HS342" s="134"/>
      <c r="HT342" s="134"/>
      <c r="HU342" s="135"/>
      <c r="HV342" s="135"/>
      <c r="HW342" s="134"/>
      <c r="HX342" s="134"/>
      <c r="HY342" s="134"/>
      <c r="HZ342" s="134"/>
      <c r="IA342" s="134"/>
      <c r="IB342" s="134"/>
      <c r="IC342" s="134"/>
      <c r="ID342" s="134"/>
      <c r="IE342" s="135"/>
      <c r="IF342" s="135"/>
      <c r="IG342" s="134"/>
      <c r="IH342" s="134"/>
      <c r="II342" s="134"/>
      <c r="IJ342" s="134"/>
      <c r="IK342" s="134"/>
      <c r="IL342" s="134"/>
      <c r="IM342" s="134"/>
      <c r="IN342" s="134"/>
      <c r="IO342" s="135"/>
      <c r="IP342" s="135"/>
      <c r="IQ342" s="134"/>
      <c r="IR342" s="134"/>
      <c r="IS342" s="134"/>
      <c r="IT342" s="134"/>
      <c r="IU342" s="134"/>
      <c r="IV342" s="134"/>
      <c r="IW342" s="134"/>
      <c r="IX342" s="134"/>
      <c r="IY342" s="135"/>
      <c r="IZ342" s="135"/>
    </row>
    <row r="343" spans="1:260" customFormat="1" ht="17" customHeight="1">
      <c r="A343" s="118" t="s">
        <v>968</v>
      </c>
      <c r="B343" s="381">
        <v>47</v>
      </c>
      <c r="C343" s="381"/>
      <c r="D343" s="381"/>
      <c r="E343" s="139" t="s">
        <v>2119</v>
      </c>
      <c r="F343" s="140" t="s">
        <v>2379</v>
      </c>
      <c r="G343" s="141">
        <v>2006</v>
      </c>
      <c r="H343" s="118">
        <v>17031709</v>
      </c>
      <c r="I343" s="118">
        <v>1</v>
      </c>
      <c r="J343" s="118">
        <v>1</v>
      </c>
      <c r="K343" s="118"/>
      <c r="L343" s="118">
        <v>1</v>
      </c>
      <c r="M343" s="118"/>
      <c r="N343" s="158">
        <v>1</v>
      </c>
      <c r="O343" s="142">
        <v>2</v>
      </c>
      <c r="P343" s="118" t="s">
        <v>1227</v>
      </c>
      <c r="Q343" s="118" t="s">
        <v>1216</v>
      </c>
      <c r="R343" s="118" t="s">
        <v>1127</v>
      </c>
      <c r="S343" s="118"/>
      <c r="T343" s="118" t="s">
        <v>1487</v>
      </c>
      <c r="U343" s="118" t="s">
        <v>803</v>
      </c>
      <c r="V343" s="118"/>
      <c r="W343" s="118" t="s">
        <v>1501</v>
      </c>
      <c r="X343" s="118"/>
      <c r="Y343" s="118" t="s">
        <v>1132</v>
      </c>
      <c r="Z343" s="118"/>
      <c r="AA343" s="118" t="s">
        <v>1590</v>
      </c>
      <c r="AB343" s="118"/>
      <c r="AC343" s="145"/>
      <c r="AD343" s="573">
        <v>1</v>
      </c>
      <c r="AE343" s="573">
        <v>2</v>
      </c>
      <c r="AF343" s="159">
        <v>1</v>
      </c>
      <c r="AG343" s="160"/>
      <c r="AH343" s="122">
        <v>4</v>
      </c>
      <c r="AI343" s="485"/>
      <c r="AJ343" s="202" t="s">
        <v>3601</v>
      </c>
      <c r="AK343" s="192">
        <v>2</v>
      </c>
      <c r="AL343" s="205">
        <v>1</v>
      </c>
      <c r="AM343" s="122">
        <f>Table665[[#This Row],[Subjects_n_ptsd]]+Table665[[#This Row],[Subjects_n_control]]</f>
        <v>18</v>
      </c>
      <c r="AN343" s="122">
        <v>9</v>
      </c>
      <c r="AO343" s="122">
        <v>9</v>
      </c>
      <c r="AP343" s="122" t="s">
        <v>803</v>
      </c>
      <c r="AQ343" s="122" t="s">
        <v>803</v>
      </c>
      <c r="AR343" s="122" t="s">
        <v>3595</v>
      </c>
      <c r="AS343" s="122" t="s">
        <v>24</v>
      </c>
      <c r="AT343" s="122" t="s">
        <v>3595</v>
      </c>
      <c r="AU343" s="122" t="s">
        <v>24</v>
      </c>
      <c r="AV343" s="122" t="s">
        <v>3596</v>
      </c>
      <c r="AW343" s="122">
        <v>1</v>
      </c>
      <c r="AX343" s="122">
        <v>1</v>
      </c>
      <c r="AY343" s="122" t="s">
        <v>3597</v>
      </c>
      <c r="AZ343" s="122" t="s">
        <v>1130</v>
      </c>
      <c r="BA343" s="122" t="s">
        <v>2798</v>
      </c>
      <c r="BB343" s="122"/>
      <c r="BC343" s="122"/>
      <c r="BD343" s="161">
        <v>1</v>
      </c>
      <c r="BE343" s="161"/>
      <c r="BF343" s="161"/>
      <c r="BG343" s="161"/>
      <c r="BH343" s="161"/>
      <c r="BI343" s="161"/>
      <c r="BJ343" s="161"/>
      <c r="BK343" s="161"/>
      <c r="BL343" s="161"/>
      <c r="BM343" s="161"/>
      <c r="BN343" s="161"/>
      <c r="BO343" s="161"/>
      <c r="BP343" s="161"/>
      <c r="BQ343" s="157" t="s">
        <v>3611</v>
      </c>
      <c r="BR343" s="150" t="s">
        <v>1876</v>
      </c>
      <c r="BS343" s="150">
        <v>2</v>
      </c>
      <c r="BT343" s="150" t="s">
        <v>3605</v>
      </c>
      <c r="BU343" s="150" t="s">
        <v>3514</v>
      </c>
      <c r="BV343" s="150" t="s">
        <v>3237</v>
      </c>
      <c r="BW343" s="259" t="s">
        <v>3604</v>
      </c>
      <c r="BX343" s="151" t="s">
        <v>3598</v>
      </c>
      <c r="BY343" s="150">
        <v>107.661</v>
      </c>
      <c r="BZ343" s="150" t="s">
        <v>24</v>
      </c>
      <c r="CA343" s="150">
        <f>118.766-Table665[[#This Row],[Outcome1_M]]</f>
        <v>11.105000000000004</v>
      </c>
      <c r="CB343" s="151" t="s">
        <v>3599</v>
      </c>
      <c r="CC343" s="150">
        <v>68.789199999999994</v>
      </c>
      <c r="CD343" s="150" t="s">
        <v>24</v>
      </c>
      <c r="CE343" s="150">
        <f>79.4352-Table665[[#This Row],[Outcome2_M]]</f>
        <v>10.646000000000001</v>
      </c>
      <c r="CF343" s="288" t="s">
        <v>3603</v>
      </c>
      <c r="CG343" s="289" t="s">
        <v>2555</v>
      </c>
      <c r="CH343" s="151"/>
      <c r="CI343" s="150"/>
      <c r="CJ343" s="150"/>
      <c r="CK343" s="150"/>
      <c r="CL343" s="151"/>
      <c r="CM343" s="150"/>
      <c r="CN343" s="150"/>
      <c r="CO343" s="150"/>
      <c r="CP343" s="290"/>
      <c r="CQ343" s="291"/>
      <c r="CR343" s="278"/>
      <c r="CS343" s="285"/>
      <c r="CT343" s="151"/>
      <c r="CU343" s="150"/>
      <c r="CV343" s="150"/>
      <c r="CW343" s="150"/>
      <c r="CX343" s="150"/>
      <c r="CY343" s="150"/>
      <c r="CZ343" s="150"/>
      <c r="DA343" s="150"/>
      <c r="DB343" s="302"/>
      <c r="DC343" s="303"/>
      <c r="DD343" s="150"/>
      <c r="DE343" s="150"/>
      <c r="DF343" s="150"/>
      <c r="DG343" s="150"/>
      <c r="DH343" s="150"/>
      <c r="DI343" s="150"/>
      <c r="DJ343" s="150"/>
      <c r="DK343" s="150"/>
      <c r="DL343" s="302"/>
      <c r="DM343" s="303"/>
      <c r="DN343" s="278"/>
      <c r="DO343" s="279"/>
      <c r="DP343" s="150"/>
      <c r="DQ343" s="150"/>
      <c r="DR343" s="150"/>
      <c r="DS343" s="150"/>
      <c r="DT343" s="151"/>
      <c r="DU343" s="150"/>
      <c r="DV343" s="150"/>
      <c r="DW343" s="150"/>
      <c r="DX343" s="303"/>
      <c r="DY343" s="303"/>
      <c r="DZ343" s="151"/>
      <c r="EA343" s="150"/>
      <c r="EB343" s="150"/>
      <c r="EC343" s="150"/>
      <c r="ED343" s="151"/>
      <c r="EE343" s="150"/>
      <c r="EF343" s="150"/>
      <c r="EG343" s="150"/>
      <c r="EH343" s="303"/>
      <c r="EI343" s="303"/>
      <c r="EJ343" s="279"/>
      <c r="EK343" s="150"/>
      <c r="EL343" s="150"/>
      <c r="EM343" s="150"/>
      <c r="EN343" s="150"/>
      <c r="EO343" s="150"/>
      <c r="EP343" s="150"/>
      <c r="EQ343" s="150"/>
      <c r="ER343" s="150"/>
      <c r="ES343" s="303"/>
      <c r="ET343" s="303"/>
      <c r="EU343" s="150"/>
      <c r="EV343" s="150"/>
      <c r="EW343" s="150"/>
      <c r="EX343" s="150"/>
      <c r="EY343" s="134"/>
      <c r="EZ343" s="134"/>
      <c r="FA343" s="134"/>
      <c r="FB343" s="134"/>
      <c r="FC343" s="135"/>
      <c r="FD343" s="135"/>
      <c r="FE343" s="134"/>
      <c r="FF343" s="134"/>
      <c r="FG343" s="134"/>
      <c r="FH343" s="134"/>
      <c r="FI343" s="134"/>
      <c r="FJ343" s="134"/>
      <c r="FK343" s="134"/>
      <c r="FL343" s="134"/>
      <c r="FM343" s="135"/>
      <c r="FN343" s="135"/>
      <c r="FO343" s="134"/>
      <c r="FP343" s="134"/>
      <c r="FQ343" s="134"/>
      <c r="FR343" s="134"/>
      <c r="FS343" s="134"/>
      <c r="FT343" s="134"/>
      <c r="FU343" s="134"/>
      <c r="FV343" s="134"/>
      <c r="FW343" s="135"/>
      <c r="FX343" s="135"/>
      <c r="FY343" s="134"/>
      <c r="FZ343" s="134"/>
      <c r="GA343" s="134"/>
      <c r="GB343" s="134"/>
      <c r="GC343" s="134"/>
      <c r="GD343" s="134"/>
      <c r="GE343" s="134"/>
      <c r="GF343" s="134"/>
      <c r="GG343" s="135"/>
      <c r="GH343" s="135"/>
      <c r="GI343" s="134"/>
      <c r="GJ343" s="134"/>
      <c r="GK343" s="134"/>
      <c r="GL343" s="134"/>
      <c r="GM343" s="134"/>
      <c r="GN343" s="134"/>
      <c r="GO343" s="134"/>
      <c r="GP343" s="134"/>
      <c r="GQ343" s="135"/>
      <c r="GR343" s="135"/>
      <c r="GS343" s="134"/>
      <c r="GT343" s="134"/>
      <c r="GU343" s="134"/>
      <c r="GV343" s="134"/>
      <c r="GW343" s="134"/>
      <c r="GX343" s="134"/>
      <c r="GY343" s="134"/>
      <c r="GZ343" s="134"/>
      <c r="HA343" s="135"/>
      <c r="HB343" s="135"/>
      <c r="HC343" s="134"/>
      <c r="HD343" s="134"/>
      <c r="HE343" s="134"/>
      <c r="HF343" s="134"/>
      <c r="HG343" s="134"/>
      <c r="HH343" s="134"/>
      <c r="HI343" s="134"/>
      <c r="HJ343" s="134"/>
      <c r="HK343" s="135"/>
      <c r="HL343" s="135"/>
      <c r="HM343" s="134"/>
      <c r="HN343" s="134"/>
      <c r="HO343" s="134"/>
      <c r="HP343" s="134"/>
      <c r="HQ343" s="134"/>
      <c r="HR343" s="134"/>
      <c r="HS343" s="134"/>
      <c r="HT343" s="134"/>
      <c r="HU343" s="135"/>
      <c r="HV343" s="135"/>
      <c r="HW343" s="134"/>
      <c r="HX343" s="134"/>
      <c r="HY343" s="134"/>
      <c r="HZ343" s="134"/>
      <c r="IA343" s="134"/>
      <c r="IB343" s="134"/>
      <c r="IC343" s="134"/>
      <c r="ID343" s="134"/>
      <c r="IE343" s="135"/>
      <c r="IF343" s="135"/>
      <c r="IG343" s="134"/>
      <c r="IH343" s="134"/>
      <c r="II343" s="134"/>
      <c r="IJ343" s="134"/>
      <c r="IK343" s="134"/>
      <c r="IL343" s="134"/>
      <c r="IM343" s="134"/>
      <c r="IN343" s="134"/>
      <c r="IO343" s="135"/>
      <c r="IP343" s="135"/>
      <c r="IQ343" s="134"/>
      <c r="IR343" s="134"/>
      <c r="IS343" s="134"/>
      <c r="IT343" s="134"/>
      <c r="IU343" s="134"/>
      <c r="IV343" s="134"/>
      <c r="IW343" s="134"/>
      <c r="IX343" s="134"/>
      <c r="IY343" s="135"/>
      <c r="IZ343" s="135"/>
    </row>
    <row r="344" spans="1:260" customFormat="1" ht="17" customHeight="1">
      <c r="A344" s="118" t="s">
        <v>968</v>
      </c>
      <c r="B344" s="381">
        <v>47</v>
      </c>
      <c r="C344" s="381"/>
      <c r="D344" s="381"/>
      <c r="E344" s="139" t="s">
        <v>2119</v>
      </c>
      <c r="F344" s="140" t="s">
        <v>2379</v>
      </c>
      <c r="G344" s="141">
        <v>2006</v>
      </c>
      <c r="H344" s="118">
        <v>17031709</v>
      </c>
      <c r="I344" s="118">
        <v>1</v>
      </c>
      <c r="J344" s="118">
        <v>1</v>
      </c>
      <c r="K344" s="118"/>
      <c r="L344" s="118">
        <v>1</v>
      </c>
      <c r="M344" s="118"/>
      <c r="N344" s="158">
        <v>1</v>
      </c>
      <c r="O344" s="142">
        <v>2</v>
      </c>
      <c r="P344" s="118" t="s">
        <v>1227</v>
      </c>
      <c r="Q344" s="118" t="s">
        <v>1216</v>
      </c>
      <c r="R344" s="118" t="s">
        <v>1127</v>
      </c>
      <c r="S344" s="118"/>
      <c r="T344" s="118" t="s">
        <v>1487</v>
      </c>
      <c r="U344" s="118" t="s">
        <v>803</v>
      </c>
      <c r="V344" s="118"/>
      <c r="W344" s="118" t="s">
        <v>1501</v>
      </c>
      <c r="X344" s="118"/>
      <c r="Y344" s="118" t="s">
        <v>1132</v>
      </c>
      <c r="Z344" s="118"/>
      <c r="AA344" s="118" t="s">
        <v>1590</v>
      </c>
      <c r="AB344" s="118"/>
      <c r="AC344" s="145"/>
      <c r="AD344" s="573">
        <v>1</v>
      </c>
      <c r="AE344" s="573">
        <v>2</v>
      </c>
      <c r="AF344" s="159">
        <v>1</v>
      </c>
      <c r="AG344" s="160"/>
      <c r="AH344" s="122">
        <v>4</v>
      </c>
      <c r="AI344" s="485"/>
      <c r="AJ344" s="202" t="s">
        <v>3602</v>
      </c>
      <c r="AK344" s="192">
        <v>2</v>
      </c>
      <c r="AL344" s="205">
        <v>1</v>
      </c>
      <c r="AM344" s="122">
        <f>Table665[[#This Row],[Subjects_n_ptsd]]+Table665[[#This Row],[Subjects_n_control]]</f>
        <v>18</v>
      </c>
      <c r="AN344" s="122">
        <v>9</v>
      </c>
      <c r="AO344" s="122">
        <v>9</v>
      </c>
      <c r="AP344" s="122" t="s">
        <v>803</v>
      </c>
      <c r="AQ344" s="122" t="s">
        <v>803</v>
      </c>
      <c r="AR344" s="122" t="s">
        <v>3595</v>
      </c>
      <c r="AS344" s="122" t="s">
        <v>24</v>
      </c>
      <c r="AT344" s="122" t="s">
        <v>3595</v>
      </c>
      <c r="AU344" s="122" t="s">
        <v>24</v>
      </c>
      <c r="AV344" s="122" t="s">
        <v>3596</v>
      </c>
      <c r="AW344" s="122">
        <v>1</v>
      </c>
      <c r="AX344" s="122">
        <v>1</v>
      </c>
      <c r="AY344" s="122" t="s">
        <v>3597</v>
      </c>
      <c r="AZ344" s="122" t="s">
        <v>1130</v>
      </c>
      <c r="BA344" s="122" t="s">
        <v>2798</v>
      </c>
      <c r="BB344" s="122"/>
      <c r="BC344" s="122"/>
      <c r="BD344" s="161">
        <v>1</v>
      </c>
      <c r="BE344" s="161"/>
      <c r="BF344" s="161"/>
      <c r="BG344" s="161"/>
      <c r="BH344" s="161"/>
      <c r="BI344" s="161"/>
      <c r="BJ344" s="161"/>
      <c r="BK344" s="161"/>
      <c r="BL344" s="161"/>
      <c r="BM344" s="161"/>
      <c r="BN344" s="161"/>
      <c r="BO344" s="161"/>
      <c r="BP344" s="161"/>
      <c r="BQ344" s="157" t="s">
        <v>3611</v>
      </c>
      <c r="BR344" s="150" t="s">
        <v>1876</v>
      </c>
      <c r="BS344" s="150">
        <v>2</v>
      </c>
      <c r="BT344" s="150" t="s">
        <v>3605</v>
      </c>
      <c r="BU344" s="150" t="s">
        <v>3514</v>
      </c>
      <c r="BV344" s="150" t="s">
        <v>3237</v>
      </c>
      <c r="BW344" s="259" t="s">
        <v>3604</v>
      </c>
      <c r="BX344" s="151" t="s">
        <v>3598</v>
      </c>
      <c r="BY344" s="150">
        <v>110.181</v>
      </c>
      <c r="BZ344" s="150" t="s">
        <v>24</v>
      </c>
      <c r="CA344" s="150">
        <f>125.143-Table665[[#This Row],[Outcome1_M]]</f>
        <v>14.962000000000003</v>
      </c>
      <c r="CB344" s="151" t="s">
        <v>3599</v>
      </c>
      <c r="CC344" s="150">
        <v>64.597700000000003</v>
      </c>
      <c r="CD344" s="150" t="s">
        <v>24</v>
      </c>
      <c r="CE344" s="150">
        <f>75.3511-Table665[[#This Row],[Outcome2_M]]</f>
        <v>10.753399999999999</v>
      </c>
      <c r="CF344" s="288" t="s">
        <v>3603</v>
      </c>
      <c r="CG344" s="289" t="s">
        <v>2555</v>
      </c>
      <c r="CH344" s="151"/>
      <c r="CI344" s="150"/>
      <c r="CJ344" s="150"/>
      <c r="CK344" s="150"/>
      <c r="CL344" s="151"/>
      <c r="CM344" s="150"/>
      <c r="CN344" s="150"/>
      <c r="CO344" s="150"/>
      <c r="CP344" s="290"/>
      <c r="CQ344" s="291"/>
      <c r="CR344" s="278"/>
      <c r="CS344" s="285"/>
      <c r="CT344" s="151"/>
      <c r="CU344" s="150"/>
      <c r="CV344" s="150"/>
      <c r="CW344" s="150"/>
      <c r="CX344" s="150"/>
      <c r="CY344" s="150"/>
      <c r="CZ344" s="150"/>
      <c r="DA344" s="150"/>
      <c r="DB344" s="302"/>
      <c r="DC344" s="303"/>
      <c r="DD344" s="150"/>
      <c r="DE344" s="150"/>
      <c r="DF344" s="150"/>
      <c r="DG344" s="150"/>
      <c r="DH344" s="150"/>
      <c r="DI344" s="150"/>
      <c r="DJ344" s="150"/>
      <c r="DK344" s="150"/>
      <c r="DL344" s="302"/>
      <c r="DM344" s="303"/>
      <c r="DN344" s="278"/>
      <c r="DO344" s="279"/>
      <c r="DP344" s="150"/>
      <c r="DQ344" s="150"/>
      <c r="DR344" s="150"/>
      <c r="DS344" s="150"/>
      <c r="DT344" s="151"/>
      <c r="DU344" s="150"/>
      <c r="DV344" s="150"/>
      <c r="DW344" s="150"/>
      <c r="DX344" s="303"/>
      <c r="DY344" s="303"/>
      <c r="DZ344" s="151"/>
      <c r="EA344" s="150"/>
      <c r="EB344" s="150"/>
      <c r="EC344" s="150"/>
      <c r="ED344" s="151"/>
      <c r="EE344" s="150"/>
      <c r="EF344" s="150"/>
      <c r="EG344" s="150"/>
      <c r="EH344" s="303"/>
      <c r="EI344" s="303"/>
      <c r="EJ344" s="279"/>
      <c r="EK344" s="150"/>
      <c r="EL344" s="150"/>
      <c r="EM344" s="150"/>
      <c r="EN344" s="150"/>
      <c r="EO344" s="150"/>
      <c r="EP344" s="150"/>
      <c r="EQ344" s="150"/>
      <c r="ER344" s="150"/>
      <c r="ES344" s="303"/>
      <c r="ET344" s="303"/>
      <c r="EU344" s="150"/>
      <c r="EV344" s="150"/>
      <c r="EW344" s="150"/>
      <c r="EX344" s="150"/>
      <c r="EY344" s="134"/>
      <c r="EZ344" s="134"/>
      <c r="FA344" s="134"/>
      <c r="FB344" s="134"/>
      <c r="FC344" s="135"/>
      <c r="FD344" s="135"/>
      <c r="FE344" s="134"/>
      <c r="FF344" s="134"/>
      <c r="FG344" s="134"/>
      <c r="FH344" s="134"/>
      <c r="FI344" s="134"/>
      <c r="FJ344" s="134"/>
      <c r="FK344" s="134"/>
      <c r="FL344" s="134"/>
      <c r="FM344" s="135"/>
      <c r="FN344" s="135"/>
      <c r="FO344" s="134"/>
      <c r="FP344" s="134"/>
      <c r="FQ344" s="134"/>
      <c r="FR344" s="134"/>
      <c r="FS344" s="134"/>
      <c r="FT344" s="134"/>
      <c r="FU344" s="134"/>
      <c r="FV344" s="134"/>
      <c r="FW344" s="135"/>
      <c r="FX344" s="135"/>
      <c r="FY344" s="134"/>
      <c r="FZ344" s="134"/>
      <c r="GA344" s="134"/>
      <c r="GB344" s="134"/>
      <c r="GC344" s="134"/>
      <c r="GD344" s="134"/>
      <c r="GE344" s="134"/>
      <c r="GF344" s="134"/>
      <c r="GG344" s="135"/>
      <c r="GH344" s="135"/>
      <c r="GI344" s="134"/>
      <c r="GJ344" s="134"/>
      <c r="GK344" s="134"/>
      <c r="GL344" s="134"/>
      <c r="GM344" s="134"/>
      <c r="GN344" s="134"/>
      <c r="GO344" s="134"/>
      <c r="GP344" s="134"/>
      <c r="GQ344" s="135"/>
      <c r="GR344" s="135"/>
      <c r="GS344" s="134"/>
      <c r="GT344" s="134"/>
      <c r="GU344" s="134"/>
      <c r="GV344" s="134"/>
      <c r="GW344" s="134"/>
      <c r="GX344" s="134"/>
      <c r="GY344" s="134"/>
      <c r="GZ344" s="134"/>
      <c r="HA344" s="135"/>
      <c r="HB344" s="135"/>
      <c r="HC344" s="134"/>
      <c r="HD344" s="134"/>
      <c r="HE344" s="134"/>
      <c r="HF344" s="134"/>
      <c r="HG344" s="134"/>
      <c r="HH344" s="134"/>
      <c r="HI344" s="134"/>
      <c r="HJ344" s="134"/>
      <c r="HK344" s="135"/>
      <c r="HL344" s="135"/>
      <c r="HM344" s="134"/>
      <c r="HN344" s="134"/>
      <c r="HO344" s="134"/>
      <c r="HP344" s="134"/>
      <c r="HQ344" s="134"/>
      <c r="HR344" s="134"/>
      <c r="HS344" s="134"/>
      <c r="HT344" s="134"/>
      <c r="HU344" s="135"/>
      <c r="HV344" s="135"/>
      <c r="HW344" s="134"/>
      <c r="HX344" s="134"/>
      <c r="HY344" s="134"/>
      <c r="HZ344" s="134"/>
      <c r="IA344" s="134"/>
      <c r="IB344" s="134"/>
      <c r="IC344" s="134"/>
      <c r="ID344" s="134"/>
      <c r="IE344" s="135"/>
      <c r="IF344" s="135"/>
      <c r="IG344" s="134"/>
      <c r="IH344" s="134"/>
      <c r="II344" s="134"/>
      <c r="IJ344" s="134"/>
      <c r="IK344" s="134"/>
      <c r="IL344" s="134"/>
      <c r="IM344" s="134"/>
      <c r="IN344" s="134"/>
      <c r="IO344" s="135"/>
      <c r="IP344" s="135"/>
      <c r="IQ344" s="134"/>
      <c r="IR344" s="134"/>
      <c r="IS344" s="134"/>
      <c r="IT344" s="134"/>
      <c r="IU344" s="134"/>
      <c r="IV344" s="134"/>
      <c r="IW344" s="134"/>
      <c r="IX344" s="134"/>
      <c r="IY344" s="135"/>
      <c r="IZ344" s="135"/>
    </row>
    <row r="345" spans="1:260" customFormat="1" ht="17" customHeight="1">
      <c r="A345" s="118" t="s">
        <v>968</v>
      </c>
      <c r="B345" s="381">
        <v>47</v>
      </c>
      <c r="C345" s="381"/>
      <c r="D345" s="381"/>
      <c r="E345" s="139" t="s">
        <v>2119</v>
      </c>
      <c r="F345" s="140" t="s">
        <v>2379</v>
      </c>
      <c r="G345" s="141">
        <v>2006</v>
      </c>
      <c r="H345" s="118">
        <v>17031709</v>
      </c>
      <c r="I345" s="118">
        <v>1</v>
      </c>
      <c r="J345" s="118">
        <v>1</v>
      </c>
      <c r="K345" s="118"/>
      <c r="L345" s="118">
        <v>1</v>
      </c>
      <c r="M345" s="118"/>
      <c r="N345" s="158">
        <v>1</v>
      </c>
      <c r="O345" s="142">
        <v>2</v>
      </c>
      <c r="P345" s="118" t="s">
        <v>1227</v>
      </c>
      <c r="Q345" s="118" t="s">
        <v>1216</v>
      </c>
      <c r="R345" s="118" t="s">
        <v>1127</v>
      </c>
      <c r="S345" s="118"/>
      <c r="T345" s="118" t="s">
        <v>1487</v>
      </c>
      <c r="U345" s="118" t="s">
        <v>803</v>
      </c>
      <c r="V345" s="118"/>
      <c r="W345" s="118" t="s">
        <v>1501</v>
      </c>
      <c r="X345" s="118"/>
      <c r="Y345" s="118" t="s">
        <v>1132</v>
      </c>
      <c r="Z345" s="118"/>
      <c r="AA345" s="118" t="s">
        <v>1590</v>
      </c>
      <c r="AB345" s="118"/>
      <c r="AC345" s="145"/>
      <c r="AD345" s="573">
        <v>1</v>
      </c>
      <c r="AE345" s="573">
        <v>2</v>
      </c>
      <c r="AF345" s="159">
        <v>1</v>
      </c>
      <c r="AG345" s="160"/>
      <c r="AH345" s="122">
        <v>4</v>
      </c>
      <c r="AI345" s="485"/>
      <c r="AJ345" s="202" t="s">
        <v>3602</v>
      </c>
      <c r="AK345" s="192">
        <v>2</v>
      </c>
      <c r="AL345" s="205">
        <v>1</v>
      </c>
      <c r="AM345" s="122">
        <f>Table665[[#This Row],[Subjects_n_ptsd]]+Table665[[#This Row],[Subjects_n_control]]</f>
        <v>18</v>
      </c>
      <c r="AN345" s="122">
        <v>9</v>
      </c>
      <c r="AO345" s="122">
        <v>9</v>
      </c>
      <c r="AP345" s="122" t="s">
        <v>803</v>
      </c>
      <c r="AQ345" s="122" t="s">
        <v>803</v>
      </c>
      <c r="AR345" s="122" t="s">
        <v>3595</v>
      </c>
      <c r="AS345" s="122" t="s">
        <v>24</v>
      </c>
      <c r="AT345" s="122" t="s">
        <v>3595</v>
      </c>
      <c r="AU345" s="122" t="s">
        <v>24</v>
      </c>
      <c r="AV345" s="122" t="s">
        <v>3596</v>
      </c>
      <c r="AW345" s="122">
        <v>1</v>
      </c>
      <c r="AX345" s="122">
        <v>1</v>
      </c>
      <c r="AY345" s="122" t="s">
        <v>3597</v>
      </c>
      <c r="AZ345" s="122" t="s">
        <v>1130</v>
      </c>
      <c r="BA345" s="122" t="s">
        <v>2798</v>
      </c>
      <c r="BB345" s="122"/>
      <c r="BC345" s="122"/>
      <c r="BD345" s="161">
        <v>1</v>
      </c>
      <c r="BE345" s="161"/>
      <c r="BF345" s="161"/>
      <c r="BG345" s="161"/>
      <c r="BH345" s="161"/>
      <c r="BI345" s="161"/>
      <c r="BJ345" s="161"/>
      <c r="BK345" s="161"/>
      <c r="BL345" s="161"/>
      <c r="BM345" s="161"/>
      <c r="BN345" s="161"/>
      <c r="BO345" s="161"/>
      <c r="BP345" s="161"/>
      <c r="BQ345" s="157" t="s">
        <v>3610</v>
      </c>
      <c r="BR345" s="150" t="s">
        <v>1876</v>
      </c>
      <c r="BS345" s="150">
        <v>2</v>
      </c>
      <c r="BT345" s="150" t="s">
        <v>3606</v>
      </c>
      <c r="BU345" s="150" t="s">
        <v>3514</v>
      </c>
      <c r="BV345" s="150" t="s">
        <v>3237</v>
      </c>
      <c r="BW345" s="259" t="s">
        <v>3607</v>
      </c>
      <c r="BX345" s="151" t="s">
        <v>3608</v>
      </c>
      <c r="BY345" s="150">
        <v>68.599999999999994</v>
      </c>
      <c r="BZ345" s="150" t="s">
        <v>24</v>
      </c>
      <c r="CA345" s="150">
        <v>21.2</v>
      </c>
      <c r="CB345" s="433" t="s">
        <v>3609</v>
      </c>
      <c r="CC345" s="150">
        <v>77.5</v>
      </c>
      <c r="CD345" s="150" t="s">
        <v>24</v>
      </c>
      <c r="CE345" s="150">
        <v>23.3</v>
      </c>
      <c r="CF345" s="288" t="s">
        <v>3390</v>
      </c>
      <c r="CG345" s="289" t="s">
        <v>2480</v>
      </c>
      <c r="CH345" s="151"/>
      <c r="CI345" s="150"/>
      <c r="CJ345" s="150"/>
      <c r="CK345" s="150"/>
      <c r="CL345" s="151"/>
      <c r="CM345" s="150"/>
      <c r="CN345" s="150"/>
      <c r="CO345" s="150"/>
      <c r="CP345" s="290"/>
      <c r="CQ345" s="291"/>
      <c r="CR345" s="278"/>
      <c r="CS345" s="285"/>
      <c r="CT345" s="151"/>
      <c r="CU345" s="150"/>
      <c r="CV345" s="150"/>
      <c r="CW345" s="150"/>
      <c r="CX345" s="150"/>
      <c r="CY345" s="150"/>
      <c r="CZ345" s="150"/>
      <c r="DA345" s="150"/>
      <c r="DB345" s="302"/>
      <c r="DC345" s="303"/>
      <c r="DD345" s="150"/>
      <c r="DE345" s="150"/>
      <c r="DF345" s="150"/>
      <c r="DG345" s="150"/>
      <c r="DH345" s="150"/>
      <c r="DI345" s="150"/>
      <c r="DJ345" s="150"/>
      <c r="DK345" s="150"/>
      <c r="DL345" s="302"/>
      <c r="DM345" s="303"/>
      <c r="DN345" s="278"/>
      <c r="DO345" s="279"/>
      <c r="DP345" s="150"/>
      <c r="DQ345" s="150"/>
      <c r="DR345" s="150"/>
      <c r="DS345" s="150"/>
      <c r="DT345" s="151"/>
      <c r="DU345" s="150"/>
      <c r="DV345" s="150"/>
      <c r="DW345" s="150"/>
      <c r="DX345" s="303"/>
      <c r="DY345" s="303"/>
      <c r="DZ345" s="151"/>
      <c r="EA345" s="150"/>
      <c r="EB345" s="150"/>
      <c r="EC345" s="150"/>
      <c r="ED345" s="151"/>
      <c r="EE345" s="150"/>
      <c r="EF345" s="150"/>
      <c r="EG345" s="150"/>
      <c r="EH345" s="303"/>
      <c r="EI345" s="303"/>
      <c r="EJ345" s="279"/>
      <c r="EK345" s="150"/>
      <c r="EL345" s="150"/>
      <c r="EM345" s="150"/>
      <c r="EN345" s="150"/>
      <c r="EO345" s="150"/>
      <c r="EP345" s="150"/>
      <c r="EQ345" s="150"/>
      <c r="ER345" s="150"/>
      <c r="ES345" s="303"/>
      <c r="ET345" s="303"/>
      <c r="EU345" s="150"/>
      <c r="EV345" s="150"/>
      <c r="EW345" s="150"/>
      <c r="EX345" s="150"/>
      <c r="EY345" s="134"/>
      <c r="EZ345" s="134"/>
      <c r="FA345" s="134"/>
      <c r="FB345" s="134"/>
      <c r="FC345" s="135"/>
      <c r="FD345" s="135"/>
      <c r="FE345" s="134"/>
      <c r="FF345" s="134"/>
      <c r="FG345" s="134"/>
      <c r="FH345" s="134"/>
      <c r="FI345" s="134"/>
      <c r="FJ345" s="134"/>
      <c r="FK345" s="134"/>
      <c r="FL345" s="134"/>
      <c r="FM345" s="135"/>
      <c r="FN345" s="135"/>
      <c r="FO345" s="134"/>
      <c r="FP345" s="134"/>
      <c r="FQ345" s="134"/>
      <c r="FR345" s="134"/>
      <c r="FS345" s="134"/>
      <c r="FT345" s="134"/>
      <c r="FU345" s="134"/>
      <c r="FV345" s="134"/>
      <c r="FW345" s="135"/>
      <c r="FX345" s="135"/>
      <c r="FY345" s="134"/>
      <c r="FZ345" s="134"/>
      <c r="GA345" s="134"/>
      <c r="GB345" s="134"/>
      <c r="GC345" s="134"/>
      <c r="GD345" s="134"/>
      <c r="GE345" s="134"/>
      <c r="GF345" s="134"/>
      <c r="GG345" s="135"/>
      <c r="GH345" s="135"/>
      <c r="GI345" s="134"/>
      <c r="GJ345" s="134"/>
      <c r="GK345" s="134"/>
      <c r="GL345" s="134"/>
      <c r="GM345" s="134"/>
      <c r="GN345" s="134"/>
      <c r="GO345" s="134"/>
      <c r="GP345" s="134"/>
      <c r="GQ345" s="135"/>
      <c r="GR345" s="135"/>
      <c r="GS345" s="134"/>
      <c r="GT345" s="134"/>
      <c r="GU345" s="134"/>
      <c r="GV345" s="134"/>
      <c r="GW345" s="134"/>
      <c r="GX345" s="134"/>
      <c r="GY345" s="134"/>
      <c r="GZ345" s="134"/>
      <c r="HA345" s="135"/>
      <c r="HB345" s="135"/>
      <c r="HC345" s="134"/>
      <c r="HD345" s="134"/>
      <c r="HE345" s="134"/>
      <c r="HF345" s="134"/>
      <c r="HG345" s="134"/>
      <c r="HH345" s="134"/>
      <c r="HI345" s="134"/>
      <c r="HJ345" s="134"/>
      <c r="HK345" s="135"/>
      <c r="HL345" s="135"/>
      <c r="HM345" s="134"/>
      <c r="HN345" s="134"/>
      <c r="HO345" s="134"/>
      <c r="HP345" s="134"/>
      <c r="HQ345" s="134"/>
      <c r="HR345" s="134"/>
      <c r="HS345" s="134"/>
      <c r="HT345" s="134"/>
      <c r="HU345" s="135"/>
      <c r="HV345" s="135"/>
      <c r="HW345" s="134"/>
      <c r="HX345" s="134"/>
      <c r="HY345" s="134"/>
      <c r="HZ345" s="134"/>
      <c r="IA345" s="134"/>
      <c r="IB345" s="134"/>
      <c r="IC345" s="134"/>
      <c r="ID345" s="134"/>
      <c r="IE345" s="135"/>
      <c r="IF345" s="135"/>
      <c r="IG345" s="134"/>
      <c r="IH345" s="134"/>
      <c r="II345" s="134"/>
      <c r="IJ345" s="134"/>
      <c r="IK345" s="134"/>
      <c r="IL345" s="134"/>
      <c r="IM345" s="134"/>
      <c r="IN345" s="134"/>
      <c r="IO345" s="135"/>
      <c r="IP345" s="135"/>
      <c r="IQ345" s="134"/>
      <c r="IR345" s="134"/>
      <c r="IS345" s="134"/>
      <c r="IT345" s="134"/>
      <c r="IU345" s="134"/>
      <c r="IV345" s="134"/>
      <c r="IW345" s="134"/>
      <c r="IX345" s="134"/>
      <c r="IY345" s="135"/>
      <c r="IZ345" s="135"/>
    </row>
    <row r="346" spans="1:260" customFormat="1" ht="17" customHeight="1">
      <c r="A346" s="79" t="s">
        <v>326</v>
      </c>
      <c r="B346" s="117">
        <v>233</v>
      </c>
      <c r="C346" s="117">
        <v>84</v>
      </c>
      <c r="D346" s="117"/>
      <c r="E346" s="123" t="s">
        <v>2033</v>
      </c>
      <c r="F346" s="124" t="s">
        <v>2269</v>
      </c>
      <c r="G346" s="125">
        <v>2006</v>
      </c>
      <c r="H346" s="79">
        <v>16891587</v>
      </c>
      <c r="I346" s="79">
        <v>1</v>
      </c>
      <c r="J346" s="126"/>
      <c r="K346" s="127"/>
      <c r="L346" s="79">
        <v>1</v>
      </c>
      <c r="M346" s="79"/>
      <c r="N346" s="79">
        <v>1</v>
      </c>
      <c r="O346" s="128">
        <v>1</v>
      </c>
      <c r="P346" s="79" t="s">
        <v>457</v>
      </c>
      <c r="Q346" s="79" t="s">
        <v>1147</v>
      </c>
      <c r="R346" s="79" t="s">
        <v>847</v>
      </c>
      <c r="S346" s="79">
        <v>1</v>
      </c>
      <c r="T346" s="79"/>
      <c r="U346" s="79"/>
      <c r="V346" s="79"/>
      <c r="W346" s="79" t="s">
        <v>848</v>
      </c>
      <c r="X346" s="79" t="s">
        <v>56</v>
      </c>
      <c r="Y346" s="79" t="s">
        <v>24</v>
      </c>
      <c r="Z346" s="79"/>
      <c r="AA346" s="79"/>
      <c r="AB346" s="79"/>
      <c r="AC346" s="506"/>
      <c r="AD346" s="573">
        <v>1</v>
      </c>
      <c r="AE346" s="573">
        <v>2</v>
      </c>
      <c r="AF346" s="233" t="s">
        <v>3003</v>
      </c>
      <c r="AG346" s="234" t="s">
        <v>5714</v>
      </c>
      <c r="AH346" s="121">
        <v>2</v>
      </c>
      <c r="AI346" s="484" t="s">
        <v>5713</v>
      </c>
      <c r="AJ346" s="202" t="s">
        <v>5710</v>
      </c>
      <c r="AK346" s="192">
        <v>0</v>
      </c>
      <c r="AL346" s="203" t="s">
        <v>24</v>
      </c>
      <c r="AM346" s="121">
        <v>33</v>
      </c>
      <c r="AN346" s="121">
        <v>16</v>
      </c>
      <c r="AO346" s="121">
        <v>17</v>
      </c>
      <c r="AP346" s="121" t="s">
        <v>803</v>
      </c>
      <c r="AQ346" s="121" t="s">
        <v>803</v>
      </c>
      <c r="AR346" s="121"/>
      <c r="AS346" s="121"/>
      <c r="AT346" s="121"/>
      <c r="AU346" s="121"/>
      <c r="AV346" s="121" t="s">
        <v>1874</v>
      </c>
      <c r="AW346" s="121" t="s">
        <v>24</v>
      </c>
      <c r="AX346" s="121" t="s">
        <v>24</v>
      </c>
      <c r="AY346" s="121" t="s">
        <v>5711</v>
      </c>
      <c r="AZ346" s="121" t="s">
        <v>3835</v>
      </c>
      <c r="BA346" s="121" t="s">
        <v>5709</v>
      </c>
      <c r="BB346" s="121"/>
      <c r="BC346" s="121"/>
      <c r="BD346" s="156"/>
      <c r="BE346" s="156"/>
      <c r="BF346" s="156" t="s">
        <v>4727</v>
      </c>
      <c r="BG346" s="156"/>
      <c r="BH346" s="156"/>
      <c r="BI346" s="156"/>
      <c r="BJ346" s="156">
        <v>1</v>
      </c>
      <c r="BK346" s="156"/>
      <c r="BL346" s="156"/>
      <c r="BM346" s="156"/>
      <c r="BN346" s="156" t="s">
        <v>4727</v>
      </c>
      <c r="BO346" s="156"/>
      <c r="BP346" s="156"/>
      <c r="BQ346" s="157" t="s">
        <v>4208</v>
      </c>
      <c r="BR346" s="134" t="s">
        <v>1876</v>
      </c>
      <c r="BS346" s="134">
        <v>2</v>
      </c>
      <c r="BT346" s="134" t="s">
        <v>935</v>
      </c>
      <c r="BU346" s="134" t="s">
        <v>24</v>
      </c>
      <c r="BV346" s="134" t="s">
        <v>5712</v>
      </c>
      <c r="BW346" s="259"/>
      <c r="BX346" s="138"/>
      <c r="BY346" s="134"/>
      <c r="BZ346" s="134"/>
      <c r="CA346" s="134"/>
      <c r="CB346" s="138"/>
      <c r="CC346" s="134"/>
      <c r="CD346" s="134"/>
      <c r="CE346" s="134"/>
      <c r="CF346" s="288"/>
      <c r="CG346" s="289"/>
      <c r="CH346" s="138"/>
      <c r="CI346" s="134"/>
      <c r="CJ346" s="134"/>
      <c r="CK346" s="134"/>
      <c r="CL346" s="138"/>
      <c r="CM346" s="134"/>
      <c r="CN346" s="134"/>
      <c r="CO346" s="134"/>
      <c r="CP346" s="288"/>
      <c r="CQ346" s="289"/>
      <c r="CR346" s="276"/>
      <c r="CS346" s="308"/>
      <c r="CT346" s="138"/>
      <c r="CU346" s="134"/>
      <c r="CV346" s="134"/>
      <c r="CW346" s="134"/>
      <c r="CX346" s="134"/>
      <c r="CY346" s="134"/>
      <c r="CZ346" s="134"/>
      <c r="DA346" s="134"/>
      <c r="DB346" s="300"/>
      <c r="DC346" s="301"/>
      <c r="DD346" s="134"/>
      <c r="DE346" s="134"/>
      <c r="DF346" s="134"/>
      <c r="DG346" s="134"/>
      <c r="DH346" s="134"/>
      <c r="DI346" s="134"/>
      <c r="DJ346" s="134"/>
      <c r="DK346" s="134"/>
      <c r="DL346" s="300"/>
      <c r="DM346" s="301"/>
      <c r="DN346" s="276"/>
      <c r="DO346" s="277"/>
      <c r="DP346" s="134"/>
      <c r="DQ346" s="134"/>
      <c r="DR346" s="134"/>
      <c r="DS346" s="134"/>
      <c r="DT346" s="138"/>
      <c r="DU346" s="134"/>
      <c r="DV346" s="134"/>
      <c r="DW346" s="134"/>
      <c r="DX346" s="301"/>
      <c r="DY346" s="301"/>
      <c r="DZ346" s="138"/>
      <c r="EA346" s="134"/>
      <c r="EB346" s="134"/>
      <c r="EC346" s="134"/>
      <c r="ED346" s="138"/>
      <c r="EE346" s="134"/>
      <c r="EF346" s="134"/>
      <c r="EG346" s="134"/>
      <c r="EH346" s="301"/>
      <c r="EI346" s="301"/>
      <c r="EJ346" s="277"/>
      <c r="EK346" s="134"/>
      <c r="EL346" s="134"/>
      <c r="EM346" s="134"/>
      <c r="EN346" s="134"/>
      <c r="EO346" s="134"/>
      <c r="EP346" s="134"/>
      <c r="EQ346" s="134"/>
      <c r="ER346" s="134"/>
      <c r="ES346" s="301"/>
      <c r="ET346" s="301"/>
      <c r="EU346" s="134"/>
      <c r="EV346" s="134"/>
      <c r="EW346" s="134"/>
      <c r="EX346" s="134"/>
      <c r="EY346" s="134"/>
      <c r="EZ346" s="134"/>
      <c r="FA346" s="134"/>
      <c r="FB346" s="134"/>
      <c r="FC346" s="135"/>
      <c r="FD346" s="135"/>
      <c r="FE346" s="134"/>
      <c r="FF346" s="134"/>
      <c r="FG346" s="134"/>
      <c r="FH346" s="134"/>
      <c r="FI346" s="134"/>
      <c r="FJ346" s="134"/>
      <c r="FK346" s="134"/>
      <c r="FL346" s="134"/>
      <c r="FM346" s="135"/>
      <c r="FN346" s="135"/>
      <c r="FO346" s="134"/>
      <c r="FP346" s="134"/>
      <c r="FQ346" s="134"/>
      <c r="FR346" s="134"/>
      <c r="FS346" s="134"/>
      <c r="FT346" s="134"/>
      <c r="FU346" s="134"/>
      <c r="FV346" s="134"/>
      <c r="FW346" s="135"/>
      <c r="FX346" s="135"/>
      <c r="FY346" s="134"/>
      <c r="FZ346" s="134"/>
      <c r="GA346" s="134"/>
      <c r="GB346" s="134"/>
      <c r="GC346" s="134"/>
      <c r="GD346" s="134"/>
      <c r="GE346" s="134"/>
      <c r="GF346" s="134"/>
      <c r="GG346" s="135"/>
      <c r="GH346" s="135"/>
      <c r="GI346" s="134"/>
      <c r="GJ346" s="134"/>
      <c r="GK346" s="134"/>
      <c r="GL346" s="134"/>
      <c r="GM346" s="134"/>
      <c r="GN346" s="134"/>
      <c r="GO346" s="134"/>
      <c r="GP346" s="134"/>
      <c r="GQ346" s="135"/>
      <c r="GR346" s="135"/>
      <c r="GS346" s="134"/>
      <c r="GT346" s="134"/>
      <c r="GU346" s="134"/>
      <c r="GV346" s="134"/>
      <c r="GW346" s="134"/>
      <c r="GX346" s="134"/>
      <c r="GY346" s="134"/>
      <c r="GZ346" s="134"/>
      <c r="HA346" s="135"/>
      <c r="HB346" s="135"/>
      <c r="HC346" s="134"/>
      <c r="HD346" s="134"/>
      <c r="HE346" s="134"/>
      <c r="HF346" s="134"/>
      <c r="HG346" s="134"/>
      <c r="HH346" s="134"/>
      <c r="HI346" s="134"/>
      <c r="HJ346" s="134"/>
      <c r="HK346" s="135"/>
      <c r="HL346" s="135"/>
      <c r="HM346" s="134"/>
      <c r="HN346" s="134"/>
      <c r="HO346" s="134"/>
      <c r="HP346" s="134"/>
      <c r="HQ346" s="134"/>
      <c r="HR346" s="134"/>
      <c r="HS346" s="134"/>
      <c r="HT346" s="134"/>
      <c r="HU346" s="135"/>
      <c r="HV346" s="135"/>
      <c r="HW346" s="134"/>
      <c r="HX346" s="134"/>
      <c r="HY346" s="134"/>
      <c r="HZ346" s="134"/>
      <c r="IA346" s="134"/>
      <c r="IB346" s="134"/>
      <c r="IC346" s="134"/>
      <c r="ID346" s="134"/>
      <c r="IE346" s="135"/>
      <c r="IF346" s="135"/>
      <c r="IG346" s="134"/>
      <c r="IH346" s="134"/>
      <c r="II346" s="134"/>
      <c r="IJ346" s="134"/>
      <c r="IK346" s="134"/>
      <c r="IL346" s="134"/>
      <c r="IM346" s="134"/>
      <c r="IN346" s="134"/>
      <c r="IO346" s="135"/>
      <c r="IP346" s="135"/>
      <c r="IQ346" s="134"/>
      <c r="IR346" s="134"/>
      <c r="IS346" s="134"/>
      <c r="IT346" s="134"/>
      <c r="IU346" s="134"/>
      <c r="IV346" s="134"/>
      <c r="IW346" s="134"/>
      <c r="IX346" s="134"/>
      <c r="IY346" s="135"/>
      <c r="IZ346" s="135"/>
    </row>
    <row r="347" spans="1:260" customFormat="1" ht="17" customHeight="1">
      <c r="A347" s="79" t="s">
        <v>965</v>
      </c>
      <c r="B347" s="458">
        <v>234</v>
      </c>
      <c r="C347" s="458">
        <v>85</v>
      </c>
      <c r="D347" s="458"/>
      <c r="E347" s="180" t="s">
        <v>2120</v>
      </c>
      <c r="F347" s="181" t="s">
        <v>2381</v>
      </c>
      <c r="G347" s="182">
        <v>2014</v>
      </c>
      <c r="H347" s="79">
        <v>24975424</v>
      </c>
      <c r="I347" s="79">
        <v>1</v>
      </c>
      <c r="J347" s="79" t="s">
        <v>1788</v>
      </c>
      <c r="K347" s="79" t="s">
        <v>23</v>
      </c>
      <c r="L347" s="79">
        <v>1</v>
      </c>
      <c r="M347" s="79"/>
      <c r="N347" s="79">
        <v>1</v>
      </c>
      <c r="O347" s="128">
        <v>2</v>
      </c>
      <c r="P347" s="79" t="s">
        <v>1398</v>
      </c>
      <c r="Q347" s="79" t="s">
        <v>1216</v>
      </c>
      <c r="R347" s="79" t="s">
        <v>1127</v>
      </c>
      <c r="S347" s="79"/>
      <c r="T347" s="79" t="s">
        <v>1487</v>
      </c>
      <c r="U347" s="79" t="s">
        <v>803</v>
      </c>
      <c r="V347" s="79"/>
      <c r="W347" s="79" t="s">
        <v>1599</v>
      </c>
      <c r="X347" s="79"/>
      <c r="Y347" s="79" t="s">
        <v>1132</v>
      </c>
      <c r="Z347" s="79"/>
      <c r="AA347" s="79" t="s">
        <v>1598</v>
      </c>
      <c r="AB347" s="79"/>
      <c r="AC347" s="506"/>
      <c r="AD347" s="573">
        <v>1</v>
      </c>
      <c r="AE347" s="573">
        <v>2</v>
      </c>
      <c r="AF347" s="352">
        <v>1</v>
      </c>
      <c r="AG347" s="353" t="s">
        <v>5861</v>
      </c>
      <c r="AH347" s="346">
        <v>4</v>
      </c>
      <c r="AI347" s="487" t="s">
        <v>5875</v>
      </c>
      <c r="AJ347" s="459"/>
      <c r="AK347" s="348" t="s">
        <v>5860</v>
      </c>
      <c r="AL347" s="349"/>
      <c r="AM347" s="346">
        <f>Table665[[#This Row],[Subjects_n_ptsd]]+Table665[[#This Row],[Subjects_n_control]]</f>
        <v>32</v>
      </c>
      <c r="AN347" s="346">
        <v>16</v>
      </c>
      <c r="AO347" s="346">
        <v>16</v>
      </c>
      <c r="AP347" s="346" t="s">
        <v>803</v>
      </c>
      <c r="AQ347" s="346" t="s">
        <v>803</v>
      </c>
      <c r="AR347" s="346" t="s">
        <v>2882</v>
      </c>
      <c r="AS347" s="346" t="s">
        <v>24</v>
      </c>
      <c r="AT347" s="346" t="s">
        <v>2882</v>
      </c>
      <c r="AU347" s="346" t="s">
        <v>24</v>
      </c>
      <c r="AV347" s="346" t="s">
        <v>5830</v>
      </c>
      <c r="AW347" s="346">
        <v>1</v>
      </c>
      <c r="AX347" s="346">
        <v>1</v>
      </c>
      <c r="AY347" s="346" t="s">
        <v>5831</v>
      </c>
      <c r="AZ347" s="346" t="s">
        <v>1130</v>
      </c>
      <c r="BA347" s="346" t="s">
        <v>4508</v>
      </c>
      <c r="BB347" s="346"/>
      <c r="BC347" s="346"/>
      <c r="BD347" s="184"/>
      <c r="BE347" s="184"/>
      <c r="BF347" s="184"/>
      <c r="BG347" s="184"/>
      <c r="BH347" s="184"/>
      <c r="BI347" s="184"/>
      <c r="BJ347" s="184">
        <v>1</v>
      </c>
      <c r="BK347" s="184"/>
      <c r="BL347" s="184"/>
      <c r="BM347" s="184"/>
      <c r="BN347" s="184"/>
      <c r="BO347" s="184"/>
      <c r="BP347" s="184"/>
      <c r="BQ347" s="185" t="s">
        <v>5832</v>
      </c>
      <c r="BR347" s="186" t="s">
        <v>1876</v>
      </c>
      <c r="BS347" s="186" t="s">
        <v>5856</v>
      </c>
      <c r="BT347" s="186" t="s">
        <v>5833</v>
      </c>
      <c r="BU347" s="186" t="s">
        <v>5829</v>
      </c>
      <c r="BV347" s="186" t="s">
        <v>5834</v>
      </c>
      <c r="BW347" s="261" t="s">
        <v>5852</v>
      </c>
      <c r="BX347" s="267" t="s">
        <v>5835</v>
      </c>
      <c r="BY347" s="186">
        <v>21.710100000000001</v>
      </c>
      <c r="BZ347" s="186" t="s">
        <v>24</v>
      </c>
      <c r="CA347" s="186">
        <f>25.9554-Table665[[#This Row],[Outcome1_M]]</f>
        <v>4.2453000000000003</v>
      </c>
      <c r="CB347" s="267" t="s">
        <v>5836</v>
      </c>
      <c r="CC347" s="186">
        <v>23.459800000000001</v>
      </c>
      <c r="CD347" s="186" t="s">
        <v>24</v>
      </c>
      <c r="CE347" s="186">
        <f>26.1455-Table665[[#This Row],[Outcome2_M]]</f>
        <v>2.6856999999999971</v>
      </c>
      <c r="CF347" s="294" t="s">
        <v>5840</v>
      </c>
      <c r="CG347" s="295" t="s">
        <v>3790</v>
      </c>
      <c r="CH347" s="267" t="s">
        <v>5837</v>
      </c>
      <c r="CI347" s="186">
        <v>11.313700000000001</v>
      </c>
      <c r="CJ347" s="186" t="s">
        <v>24</v>
      </c>
      <c r="CK347" s="186">
        <f>13.7399-Table665[[#This Row],[Outcome3_M]]</f>
        <v>2.4261999999999997</v>
      </c>
      <c r="CL347" s="267" t="s">
        <v>5839</v>
      </c>
      <c r="CM347" s="186">
        <v>21.813300000000002</v>
      </c>
      <c r="CN347" s="186" t="s">
        <v>24</v>
      </c>
      <c r="CO347" s="186">
        <f>25.0195-Table665[[#This Row],[Outcome4_M]]</f>
        <v>3.2061999999999991</v>
      </c>
      <c r="CP347" s="294" t="s">
        <v>5838</v>
      </c>
      <c r="CQ347" s="295" t="s">
        <v>5876</v>
      </c>
      <c r="CR347" s="280" t="s">
        <v>5841</v>
      </c>
      <c r="CS347" s="310" t="s">
        <v>5877</v>
      </c>
      <c r="CT347" s="267" t="s">
        <v>5842</v>
      </c>
      <c r="CU347" s="186">
        <v>3.7082600000000001</v>
      </c>
      <c r="CV347" s="186" t="s">
        <v>24</v>
      </c>
      <c r="CW347" s="186">
        <f>5.41246-Table665[[#This Row],[Outcome5_M]]</f>
        <v>1.7042000000000002</v>
      </c>
      <c r="CX347" s="267" t="s">
        <v>5843</v>
      </c>
      <c r="CY347" s="186">
        <v>2.8119700000000001</v>
      </c>
      <c r="CZ347" s="186" t="s">
        <v>24</v>
      </c>
      <c r="DA347" s="186">
        <f>3.81436-Table665[[#This Row],[Outcome6_M]]</f>
        <v>1.0023900000000001</v>
      </c>
      <c r="DB347" s="305" t="s">
        <v>5848</v>
      </c>
      <c r="DC347" s="315" t="s">
        <v>2480</v>
      </c>
      <c r="DD347" s="267" t="s">
        <v>5844</v>
      </c>
      <c r="DE347" s="186">
        <v>11.3642</v>
      </c>
      <c r="DF347" s="186" t="s">
        <v>24</v>
      </c>
      <c r="DG347" s="186">
        <f>13.77-Table665[[#This Row],[Outcome7_M]]</f>
        <v>2.4057999999999993</v>
      </c>
      <c r="DH347" s="267" t="s">
        <v>5845</v>
      </c>
      <c r="DI347" s="186">
        <v>6.8587999999999996</v>
      </c>
      <c r="DJ347" s="186" t="s">
        <v>24</v>
      </c>
      <c r="DK347" s="186">
        <f>9.13116-Table665[[#This Row],[Outcome8_M]]</f>
        <v>2.2723599999999999</v>
      </c>
      <c r="DL347" s="305" t="s">
        <v>5849</v>
      </c>
      <c r="DM347" s="315" t="s">
        <v>2480</v>
      </c>
      <c r="DN347" s="280" t="s">
        <v>5850</v>
      </c>
      <c r="DO347" s="281" t="s">
        <v>5851</v>
      </c>
      <c r="DP347" s="267" t="s">
        <v>5846</v>
      </c>
      <c r="DQ347" s="186">
        <v>13.3727</v>
      </c>
      <c r="DR347" s="186" t="s">
        <v>24</v>
      </c>
      <c r="DS347" s="186">
        <f>16.7143-Table665[[#This Row],[Outcome9_M]]</f>
        <v>3.3416000000000015</v>
      </c>
      <c r="DT347" s="267" t="s">
        <v>5847</v>
      </c>
      <c r="DU347" s="186">
        <v>4.4232100000000001</v>
      </c>
      <c r="DV347" s="186" t="s">
        <v>24</v>
      </c>
      <c r="DW347" s="186">
        <f>5.69302-Table665[[#This Row],[Outcome10_M]]</f>
        <v>1.2698099999999997</v>
      </c>
      <c r="DX347" s="315" t="s">
        <v>5879</v>
      </c>
      <c r="DY347" s="315" t="s">
        <v>5878</v>
      </c>
      <c r="DZ347" s="267" t="s">
        <v>24</v>
      </c>
      <c r="EA347" s="186" t="s">
        <v>24</v>
      </c>
      <c r="EB347" s="186" t="s">
        <v>24</v>
      </c>
      <c r="EC347" s="186" t="s">
        <v>24</v>
      </c>
      <c r="ED347" s="267" t="s">
        <v>24</v>
      </c>
      <c r="EE347" s="186" t="s">
        <v>24</v>
      </c>
      <c r="EF347" s="186" t="s">
        <v>24</v>
      </c>
      <c r="EG347" s="186" t="s">
        <v>24</v>
      </c>
      <c r="EH347" s="315"/>
      <c r="EI347" s="315"/>
      <c r="EJ347" s="281"/>
      <c r="EK347" s="186"/>
      <c r="EL347" s="186"/>
      <c r="EM347" s="186"/>
      <c r="EN347" s="186"/>
      <c r="EO347" s="186"/>
      <c r="EP347" s="186"/>
      <c r="EQ347" s="186"/>
      <c r="ER347" s="186"/>
      <c r="ES347" s="315"/>
      <c r="ET347" s="315"/>
      <c r="EU347" s="186"/>
      <c r="EV347" s="186"/>
      <c r="EW347" s="186"/>
      <c r="EX347" s="186"/>
      <c r="EY347" s="186"/>
      <c r="EZ347" s="186"/>
      <c r="FA347" s="186"/>
      <c r="FB347" s="186"/>
      <c r="FC347" s="187"/>
      <c r="FD347" s="187"/>
      <c r="FE347" s="186"/>
      <c r="FF347" s="186"/>
      <c r="FG347" s="186"/>
      <c r="FH347" s="186"/>
      <c r="FI347" s="186"/>
      <c r="FJ347" s="186"/>
      <c r="FK347" s="186"/>
      <c r="FL347" s="186"/>
      <c r="FM347" s="187"/>
      <c r="FN347" s="187"/>
      <c r="FO347" s="186"/>
      <c r="FP347" s="186"/>
      <c r="FQ347" s="186"/>
      <c r="FR347" s="186"/>
      <c r="FS347" s="186"/>
      <c r="FT347" s="186"/>
      <c r="FU347" s="186"/>
      <c r="FV347" s="186"/>
      <c r="FW347" s="187"/>
      <c r="FX347" s="187"/>
      <c r="FY347" s="186"/>
      <c r="FZ347" s="186"/>
      <c r="GA347" s="186"/>
      <c r="GB347" s="186"/>
      <c r="GC347" s="186"/>
      <c r="GD347" s="186"/>
      <c r="GE347" s="186"/>
      <c r="GF347" s="186"/>
      <c r="GG347" s="187"/>
      <c r="GH347" s="187"/>
      <c r="GI347" s="186"/>
      <c r="GJ347" s="186"/>
      <c r="GK347" s="186"/>
      <c r="GL347" s="186"/>
      <c r="GM347" s="186"/>
      <c r="GN347" s="186"/>
      <c r="GO347" s="186"/>
      <c r="GP347" s="186"/>
      <c r="GQ347" s="187"/>
      <c r="GR347" s="187"/>
      <c r="GS347" s="134"/>
      <c r="GT347" s="134"/>
      <c r="GU347" s="134"/>
      <c r="GV347" s="134"/>
      <c r="GW347" s="134"/>
      <c r="GX347" s="134"/>
      <c r="GY347" s="134"/>
      <c r="GZ347" s="134"/>
      <c r="HA347" s="135"/>
      <c r="HB347" s="135"/>
      <c r="HC347" s="134"/>
      <c r="HD347" s="134"/>
      <c r="HE347" s="134"/>
      <c r="HF347" s="134"/>
      <c r="HG347" s="134"/>
      <c r="HH347" s="134"/>
      <c r="HI347" s="134"/>
      <c r="HJ347" s="134"/>
      <c r="HK347" s="135"/>
      <c r="HL347" s="135"/>
      <c r="HM347" s="134"/>
      <c r="HN347" s="134"/>
      <c r="HO347" s="134"/>
      <c r="HP347" s="134"/>
      <c r="HQ347" s="134"/>
      <c r="HR347" s="134"/>
      <c r="HS347" s="134"/>
      <c r="HT347" s="134"/>
      <c r="HU347" s="135"/>
      <c r="HV347" s="135"/>
      <c r="HW347" s="134"/>
      <c r="HX347" s="134"/>
      <c r="HY347" s="134"/>
      <c r="HZ347" s="134"/>
      <c r="IA347" s="134"/>
      <c r="IB347" s="134"/>
      <c r="IC347" s="134"/>
      <c r="ID347" s="134"/>
      <c r="IE347" s="135"/>
      <c r="IF347" s="135"/>
      <c r="IG347" s="134"/>
      <c r="IH347" s="134"/>
      <c r="II347" s="134"/>
      <c r="IJ347" s="134"/>
      <c r="IK347" s="134"/>
      <c r="IL347" s="134"/>
      <c r="IM347" s="134"/>
      <c r="IN347" s="134"/>
      <c r="IO347" s="135"/>
      <c r="IP347" s="135"/>
      <c r="IQ347" s="134"/>
      <c r="IR347" s="134"/>
      <c r="IS347" s="134"/>
      <c r="IT347" s="134"/>
      <c r="IU347" s="134"/>
      <c r="IV347" s="134"/>
      <c r="IW347" s="134"/>
      <c r="IX347" s="134"/>
      <c r="IY347" s="135"/>
      <c r="IZ347" s="135"/>
    </row>
    <row r="348" spans="1:260" customFormat="1" ht="17" customHeight="1">
      <c r="A348" s="118" t="s">
        <v>965</v>
      </c>
      <c r="B348" s="381">
        <v>234</v>
      </c>
      <c r="C348" s="381">
        <v>85</v>
      </c>
      <c r="D348" s="381"/>
      <c r="E348" s="139" t="s">
        <v>2120</v>
      </c>
      <c r="F348" s="140" t="s">
        <v>2381</v>
      </c>
      <c r="G348" s="141">
        <v>2014</v>
      </c>
      <c r="H348" s="118">
        <v>24975424</v>
      </c>
      <c r="I348" s="118">
        <v>1</v>
      </c>
      <c r="J348" s="118" t="s">
        <v>1788</v>
      </c>
      <c r="K348" s="118" t="s">
        <v>23</v>
      </c>
      <c r="L348" s="118">
        <v>1</v>
      </c>
      <c r="M348" s="118"/>
      <c r="N348" s="118">
        <v>1</v>
      </c>
      <c r="O348" s="142">
        <v>2</v>
      </c>
      <c r="P348" s="118" t="s">
        <v>1398</v>
      </c>
      <c r="Q348" s="118" t="s">
        <v>1216</v>
      </c>
      <c r="R348" s="118" t="s">
        <v>1127</v>
      </c>
      <c r="S348" s="118"/>
      <c r="T348" s="118" t="s">
        <v>1487</v>
      </c>
      <c r="U348" s="118" t="s">
        <v>803</v>
      </c>
      <c r="V348" s="118"/>
      <c r="W348" s="118" t="s">
        <v>1599</v>
      </c>
      <c r="X348" s="118"/>
      <c r="Y348" s="118" t="s">
        <v>1132</v>
      </c>
      <c r="Z348" s="118"/>
      <c r="AA348" s="118" t="s">
        <v>1598</v>
      </c>
      <c r="AB348" s="118"/>
      <c r="AC348" s="145"/>
      <c r="AD348" s="573">
        <v>1</v>
      </c>
      <c r="AE348" s="573">
        <v>2</v>
      </c>
      <c r="AF348" s="159">
        <v>1</v>
      </c>
      <c r="AG348" s="160" t="s">
        <v>5862</v>
      </c>
      <c r="AH348" s="122">
        <v>4</v>
      </c>
      <c r="AI348" s="485" t="s">
        <v>5875</v>
      </c>
      <c r="AJ348" s="204"/>
      <c r="AK348" s="192" t="s">
        <v>5860</v>
      </c>
      <c r="AL348" s="205"/>
      <c r="AM348" s="122">
        <f>10+6+16</f>
        <v>32</v>
      </c>
      <c r="AN348" s="122" t="s">
        <v>5853</v>
      </c>
      <c r="AO348" s="122">
        <v>16</v>
      </c>
      <c r="AP348" s="122" t="s">
        <v>803</v>
      </c>
      <c r="AQ348" s="122" t="s">
        <v>803</v>
      </c>
      <c r="AR348" s="122" t="s">
        <v>2882</v>
      </c>
      <c r="AS348" s="122" t="s">
        <v>24</v>
      </c>
      <c r="AT348" s="122" t="s">
        <v>2882</v>
      </c>
      <c r="AU348" s="122" t="s">
        <v>24</v>
      </c>
      <c r="AV348" s="122" t="s">
        <v>5854</v>
      </c>
      <c r="AW348" s="122">
        <v>1</v>
      </c>
      <c r="AX348" s="122">
        <v>1</v>
      </c>
      <c r="AY348" s="122" t="s">
        <v>5831</v>
      </c>
      <c r="AZ348" s="122" t="s">
        <v>1130</v>
      </c>
      <c r="BA348" s="526" t="s">
        <v>5880</v>
      </c>
      <c r="BB348" s="526"/>
      <c r="BC348" s="526"/>
      <c r="BD348" s="161"/>
      <c r="BE348" s="161"/>
      <c r="BF348" s="161"/>
      <c r="BG348" s="161"/>
      <c r="BH348" s="161"/>
      <c r="BI348" s="161"/>
      <c r="BJ348" s="161">
        <v>1</v>
      </c>
      <c r="BK348" s="161"/>
      <c r="BL348" s="161"/>
      <c r="BM348" s="161"/>
      <c r="BN348" s="161"/>
      <c r="BO348" s="161"/>
      <c r="BP348" s="161"/>
      <c r="BQ348" s="162" t="s">
        <v>5832</v>
      </c>
      <c r="BR348" s="150" t="s">
        <v>1876</v>
      </c>
      <c r="BS348" s="150" t="s">
        <v>5855</v>
      </c>
      <c r="BT348" s="150" t="s">
        <v>5833</v>
      </c>
      <c r="BU348" s="150" t="s">
        <v>5829</v>
      </c>
      <c r="BV348" s="150" t="s">
        <v>5834</v>
      </c>
      <c r="BW348" s="258" t="s">
        <v>5887</v>
      </c>
      <c r="BX348" s="151" t="s">
        <v>5857</v>
      </c>
      <c r="BY348" s="150">
        <v>28.716799999999999</v>
      </c>
      <c r="BZ348" s="150" t="s">
        <v>24</v>
      </c>
      <c r="CA348" s="150">
        <f>33.4623-Table665[[#This Row],[Outcome1_M]]</f>
        <v>4.7454999999999998</v>
      </c>
      <c r="CB348" s="151" t="s">
        <v>5858</v>
      </c>
      <c r="CC348" s="150">
        <v>11.016500000000001</v>
      </c>
      <c r="CD348" s="150" t="s">
        <v>24</v>
      </c>
      <c r="CE348" s="150">
        <f>16.8274-Table665[[#This Row],[Outcome2_M]]</f>
        <v>5.8109000000000002</v>
      </c>
      <c r="CF348" s="290" t="s">
        <v>5882</v>
      </c>
      <c r="CG348" s="527" t="s">
        <v>5881</v>
      </c>
      <c r="CH348" s="151" t="s">
        <v>5859</v>
      </c>
      <c r="CI348" s="150">
        <v>23.5595</v>
      </c>
      <c r="CJ348" s="150" t="s">
        <v>24</v>
      </c>
      <c r="CK348" s="150">
        <f>26.1743-Table665[[#This Row],[Outcome3_M]]</f>
        <v>2.6147999999999989</v>
      </c>
      <c r="CL348" s="151" t="s">
        <v>5863</v>
      </c>
      <c r="CM348" s="150">
        <v>21.7194</v>
      </c>
      <c r="CN348" s="150" t="s">
        <v>24</v>
      </c>
      <c r="CO348" s="150">
        <f>25.1092-Table665[[#This Row],[Outcome4_M]]</f>
        <v>3.389800000000001</v>
      </c>
      <c r="CP348" s="290" t="s">
        <v>24</v>
      </c>
      <c r="CQ348" s="291" t="s">
        <v>24</v>
      </c>
      <c r="CR348" s="278" t="s">
        <v>24</v>
      </c>
      <c r="CS348" s="285" t="s">
        <v>24</v>
      </c>
      <c r="CT348" s="151" t="s">
        <v>5864</v>
      </c>
      <c r="CU348" s="150">
        <v>13.9953</v>
      </c>
      <c r="CV348" s="150" t="s">
        <v>24</v>
      </c>
      <c r="CW348" s="150">
        <f>17.9657-Table665[[#This Row],[Outcome5_M]]</f>
        <v>3.9703999999999979</v>
      </c>
      <c r="CX348" s="151" t="s">
        <v>5865</v>
      </c>
      <c r="CY348" s="150">
        <v>7.0451100000000002</v>
      </c>
      <c r="CZ348" s="150" t="s">
        <v>24</v>
      </c>
      <c r="DA348" s="150">
        <f>9.5635-Table665[[#This Row],[Outcome6_M]]</f>
        <v>2.5183899999999992</v>
      </c>
      <c r="DB348" s="302" t="s">
        <v>5883</v>
      </c>
      <c r="DC348" s="303" t="s">
        <v>5866</v>
      </c>
      <c r="DD348" s="150" t="s">
        <v>5867</v>
      </c>
      <c r="DE348" s="150">
        <v>0.88554200000000005</v>
      </c>
      <c r="DF348" s="150" t="s">
        <v>24</v>
      </c>
      <c r="DG348" s="150">
        <f>1.32831-Table665[[#This Row],[Outcome7_M]]</f>
        <v>0.44276800000000005</v>
      </c>
      <c r="DH348" s="150" t="s">
        <v>5868</v>
      </c>
      <c r="DI348" s="150">
        <v>5.0602400000000003</v>
      </c>
      <c r="DJ348" s="150" t="s">
        <v>24</v>
      </c>
      <c r="DK348" s="150">
        <f>7.46386-Table665[[#This Row],[Outcome8_M]]</f>
        <v>2.4036200000000001</v>
      </c>
      <c r="DL348" s="302" t="s">
        <v>5873</v>
      </c>
      <c r="DM348" s="303" t="s">
        <v>2480</v>
      </c>
      <c r="DN348" s="278" t="s">
        <v>24</v>
      </c>
      <c r="DO348" s="279" t="s">
        <v>24</v>
      </c>
      <c r="DP348" s="150" t="s">
        <v>5843</v>
      </c>
      <c r="DQ348" s="150">
        <v>2.84639</v>
      </c>
      <c r="DR348" s="150" t="s">
        <v>24</v>
      </c>
      <c r="DS348" s="150">
        <f>3.92169-Table665[[#This Row],[Outcome9_M]]</f>
        <v>1.0752999999999999</v>
      </c>
      <c r="DT348" s="150" t="s">
        <v>5845</v>
      </c>
      <c r="DU348" s="150">
        <v>6.9578300000000004</v>
      </c>
      <c r="DV348" s="150" t="s">
        <v>24</v>
      </c>
      <c r="DW348" s="150">
        <f>9.23494-Table665[[#This Row],[Outcome10_M]]</f>
        <v>2.2771099999999995</v>
      </c>
      <c r="DX348" s="303" t="s">
        <v>24</v>
      </c>
      <c r="DY348" s="303" t="s">
        <v>24</v>
      </c>
      <c r="DZ348" s="150" t="s">
        <v>5869</v>
      </c>
      <c r="EA348" s="150">
        <v>5.88253</v>
      </c>
      <c r="EB348" s="150" t="s">
        <v>24</v>
      </c>
      <c r="EC348" s="150">
        <f>7.96988-Table665[[#This Row],[Outcome11_M]]</f>
        <v>2.0873499999999998</v>
      </c>
      <c r="ED348" s="150" t="s">
        <v>5870</v>
      </c>
      <c r="EE348" s="150">
        <v>17.584299999999999</v>
      </c>
      <c r="EF348" s="150" t="s">
        <v>24</v>
      </c>
      <c r="EG348" s="150">
        <f>21.4428-Table665[[#This Row],[Outcome12_M]]</f>
        <v>3.8584999999999994</v>
      </c>
      <c r="EH348" s="303" t="s">
        <v>5884</v>
      </c>
      <c r="EI348" s="303" t="s">
        <v>5886</v>
      </c>
      <c r="EJ348" s="279" t="s">
        <v>24</v>
      </c>
      <c r="EK348" s="150" t="s">
        <v>5871</v>
      </c>
      <c r="EL348" s="150">
        <v>7.1475900000000001</v>
      </c>
      <c r="EM348" s="150" t="s">
        <v>24</v>
      </c>
      <c r="EN348" s="150">
        <f>9.67771-Table665[[#This Row],[Outcome13_M]]</f>
        <v>2.5301199999999993</v>
      </c>
      <c r="EO348" s="150" t="s">
        <v>5872</v>
      </c>
      <c r="EP348" s="150">
        <v>22.012</v>
      </c>
      <c r="EQ348" s="150" t="s">
        <v>24</v>
      </c>
      <c r="ER348" s="150">
        <f>28.7169-Table665[[#This Row],[Outcome14_M]]</f>
        <v>6.7048999999999985</v>
      </c>
      <c r="ES348" s="303" t="s">
        <v>5874</v>
      </c>
      <c r="ET348" s="303" t="s">
        <v>5885</v>
      </c>
      <c r="EU348" s="150" t="s">
        <v>5847</v>
      </c>
      <c r="EV348" s="150">
        <v>4.5542199999999999</v>
      </c>
      <c r="EW348" s="150" t="s">
        <v>24</v>
      </c>
      <c r="EX348" s="150">
        <f>5.94578-Table665[[#This Row],[Outcome15_M]]</f>
        <v>1.3915600000000001</v>
      </c>
      <c r="EY348" s="150" t="s">
        <v>24</v>
      </c>
      <c r="EZ348" s="150" t="s">
        <v>24</v>
      </c>
      <c r="FA348" s="150" t="s">
        <v>24</v>
      </c>
      <c r="FB348" s="150" t="s">
        <v>24</v>
      </c>
      <c r="FC348" s="152"/>
      <c r="FD348" s="152"/>
      <c r="FE348" s="150"/>
      <c r="FF348" s="150"/>
      <c r="FG348" s="150"/>
      <c r="FH348" s="150"/>
      <c r="FI348" s="150"/>
      <c r="FJ348" s="150"/>
      <c r="FK348" s="150"/>
      <c r="FL348" s="150"/>
      <c r="FM348" s="152"/>
      <c r="FN348" s="152"/>
      <c r="FO348" s="150"/>
      <c r="FP348" s="150"/>
      <c r="FQ348" s="150"/>
      <c r="FR348" s="150"/>
      <c r="FS348" s="150"/>
      <c r="FT348" s="150"/>
      <c r="FU348" s="150"/>
      <c r="FV348" s="150"/>
      <c r="FW348" s="152"/>
      <c r="FX348" s="152"/>
      <c r="FY348" s="150"/>
      <c r="FZ348" s="150"/>
      <c r="GA348" s="150"/>
      <c r="GB348" s="150"/>
      <c r="GC348" s="150"/>
      <c r="GD348" s="150"/>
      <c r="GE348" s="150"/>
      <c r="GF348" s="150"/>
      <c r="GG348" s="152"/>
      <c r="GH348" s="152"/>
      <c r="GI348" s="150"/>
      <c r="GJ348" s="150"/>
      <c r="GK348" s="150"/>
      <c r="GL348" s="150"/>
      <c r="GM348" s="150"/>
      <c r="GN348" s="150"/>
      <c r="GO348" s="150"/>
      <c r="GP348" s="150"/>
      <c r="GQ348" s="152"/>
      <c r="GR348" s="152"/>
      <c r="GS348" s="134"/>
      <c r="GT348" s="134"/>
      <c r="GU348" s="134"/>
      <c r="GV348" s="134"/>
      <c r="GW348" s="134"/>
      <c r="GX348" s="134"/>
      <c r="GY348" s="134"/>
      <c r="GZ348" s="134"/>
      <c r="HA348" s="135"/>
      <c r="HB348" s="135"/>
      <c r="HC348" s="134"/>
      <c r="HD348" s="134"/>
      <c r="HE348" s="134"/>
      <c r="HF348" s="134"/>
      <c r="HG348" s="134"/>
      <c r="HH348" s="134"/>
      <c r="HI348" s="134"/>
      <c r="HJ348" s="134"/>
      <c r="HK348" s="135"/>
      <c r="HL348" s="135"/>
      <c r="HM348" s="134"/>
      <c r="HN348" s="134"/>
      <c r="HO348" s="134"/>
      <c r="HP348" s="134"/>
      <c r="HQ348" s="134"/>
      <c r="HR348" s="134"/>
      <c r="HS348" s="134"/>
      <c r="HT348" s="134"/>
      <c r="HU348" s="135"/>
      <c r="HV348" s="135"/>
      <c r="HW348" s="134"/>
      <c r="HX348" s="134"/>
      <c r="HY348" s="134"/>
      <c r="HZ348" s="134"/>
      <c r="IA348" s="134"/>
      <c r="IB348" s="134"/>
      <c r="IC348" s="134"/>
      <c r="ID348" s="134"/>
      <c r="IE348" s="135"/>
      <c r="IF348" s="135"/>
      <c r="IG348" s="134"/>
      <c r="IH348" s="134"/>
      <c r="II348" s="134"/>
      <c r="IJ348" s="134"/>
      <c r="IK348" s="134"/>
      <c r="IL348" s="134"/>
      <c r="IM348" s="134"/>
      <c r="IN348" s="134"/>
      <c r="IO348" s="135"/>
      <c r="IP348" s="135"/>
      <c r="IQ348" s="134"/>
      <c r="IR348" s="134"/>
      <c r="IS348" s="134"/>
      <c r="IT348" s="134"/>
      <c r="IU348" s="134"/>
      <c r="IV348" s="134"/>
      <c r="IW348" s="134"/>
      <c r="IX348" s="134"/>
      <c r="IY348" s="135"/>
      <c r="IZ348" s="135"/>
    </row>
    <row r="349" spans="1:260" customFormat="1" ht="17" customHeight="1">
      <c r="A349" s="79" t="s">
        <v>330</v>
      </c>
      <c r="B349" s="117">
        <v>236</v>
      </c>
      <c r="C349" s="117">
        <v>86</v>
      </c>
      <c r="D349" s="117"/>
      <c r="E349" s="123" t="s">
        <v>2034</v>
      </c>
      <c r="F349" s="124" t="s">
        <v>2270</v>
      </c>
      <c r="G349" s="125">
        <v>2015</v>
      </c>
      <c r="H349" s="79">
        <v>25735018</v>
      </c>
      <c r="I349" s="79">
        <v>1</v>
      </c>
      <c r="J349" s="126"/>
      <c r="K349" s="127"/>
      <c r="L349" s="79">
        <v>1</v>
      </c>
      <c r="M349" s="79"/>
      <c r="N349" s="79">
        <v>1</v>
      </c>
      <c r="O349" s="128">
        <v>1</v>
      </c>
      <c r="P349" s="79" t="s">
        <v>860</v>
      </c>
      <c r="Q349" s="79" t="s">
        <v>1154</v>
      </c>
      <c r="R349" s="79" t="s">
        <v>835</v>
      </c>
      <c r="S349" s="79">
        <v>1</v>
      </c>
      <c r="T349" s="79"/>
      <c r="U349" s="79"/>
      <c r="V349" s="79"/>
      <c r="W349" s="79" t="s">
        <v>858</v>
      </c>
      <c r="X349" s="79" t="s">
        <v>24</v>
      </c>
      <c r="Y349" s="79" t="s">
        <v>24</v>
      </c>
      <c r="Z349" s="79" t="s">
        <v>859</v>
      </c>
      <c r="AA349" s="79"/>
      <c r="AB349" s="79"/>
      <c r="AC349" s="506"/>
      <c r="AD349" s="573">
        <v>1</v>
      </c>
      <c r="AE349" s="573">
        <v>2</v>
      </c>
      <c r="AF349" s="165">
        <v>0</v>
      </c>
      <c r="AG349" s="166" t="s">
        <v>5718</v>
      </c>
      <c r="AH349" s="120">
        <v>2</v>
      </c>
      <c r="AI349" s="120"/>
      <c r="AJ349" s="206"/>
      <c r="AK349" s="372"/>
      <c r="AL349" s="207"/>
      <c r="AM349" s="120"/>
      <c r="AN349" s="120"/>
      <c r="AO349" s="120"/>
      <c r="AP349" s="120"/>
      <c r="AQ349" s="120"/>
      <c r="AR349" s="120"/>
      <c r="AS349" s="120"/>
      <c r="AT349" s="120"/>
      <c r="AU349" s="120"/>
      <c r="AV349" s="120"/>
      <c r="AW349" s="120" t="s">
        <v>24</v>
      </c>
      <c r="AX349" s="120" t="s">
        <v>24</v>
      </c>
      <c r="AY349" s="120"/>
      <c r="AZ349" s="120"/>
      <c r="BA349" s="120"/>
      <c r="BB349" s="120"/>
      <c r="BC349" s="120"/>
      <c r="BD349" s="373"/>
      <c r="BE349" s="373"/>
      <c r="BF349" s="373" t="s">
        <v>4727</v>
      </c>
      <c r="BG349" s="373" t="s">
        <v>5716</v>
      </c>
      <c r="BH349" s="373"/>
      <c r="BI349" s="373" t="s">
        <v>5717</v>
      </c>
      <c r="BJ349" s="373">
        <v>1</v>
      </c>
      <c r="BK349" s="373"/>
      <c r="BL349" s="373"/>
      <c r="BM349" s="373"/>
      <c r="BN349" s="373" t="s">
        <v>4727</v>
      </c>
      <c r="BO349" s="373" t="s">
        <v>5715</v>
      </c>
      <c r="BP349" s="373"/>
      <c r="BQ349" s="374"/>
      <c r="BR349" s="120"/>
      <c r="BS349" s="120"/>
      <c r="BT349" s="120"/>
      <c r="BU349" s="120"/>
      <c r="BV349" s="120"/>
      <c r="BW349" s="375"/>
      <c r="BX349" s="138"/>
      <c r="BY349" s="134"/>
      <c r="BZ349" s="134"/>
      <c r="CA349" s="134"/>
      <c r="CB349" s="138"/>
      <c r="CC349" s="134"/>
      <c r="CD349" s="134"/>
      <c r="CE349" s="134"/>
      <c r="CF349" s="288"/>
      <c r="CG349" s="289"/>
      <c r="CH349" s="138"/>
      <c r="CI349" s="134"/>
      <c r="CJ349" s="134"/>
      <c r="CK349" s="134"/>
      <c r="CL349" s="138"/>
      <c r="CM349" s="134"/>
      <c r="CN349" s="134"/>
      <c r="CO349" s="134"/>
      <c r="CP349" s="288"/>
      <c r="CQ349" s="289"/>
      <c r="CR349" s="276"/>
      <c r="CS349" s="308"/>
      <c r="CT349" s="138"/>
      <c r="CU349" s="134"/>
      <c r="CV349" s="134"/>
      <c r="CW349" s="134"/>
      <c r="CX349" s="134"/>
      <c r="CY349" s="134"/>
      <c r="CZ349" s="134"/>
      <c r="DA349" s="134"/>
      <c r="DB349" s="300"/>
      <c r="DC349" s="301"/>
      <c r="DD349" s="134"/>
      <c r="DE349" s="134"/>
      <c r="DF349" s="134"/>
      <c r="DG349" s="134"/>
      <c r="DH349" s="134"/>
      <c r="DI349" s="134"/>
      <c r="DJ349" s="134"/>
      <c r="DK349" s="134"/>
      <c r="DL349" s="300"/>
      <c r="DM349" s="301"/>
      <c r="DN349" s="276"/>
      <c r="DO349" s="277"/>
      <c r="DP349" s="134"/>
      <c r="DQ349" s="134"/>
      <c r="DR349" s="134"/>
      <c r="DS349" s="134"/>
      <c r="DT349" s="138"/>
      <c r="DU349" s="134"/>
      <c r="DV349" s="134"/>
      <c r="DW349" s="134"/>
      <c r="DX349" s="301"/>
      <c r="DY349" s="301"/>
      <c r="DZ349" s="138"/>
      <c r="EA349" s="134"/>
      <c r="EB349" s="134"/>
      <c r="EC349" s="134"/>
      <c r="ED349" s="138"/>
      <c r="EE349" s="134"/>
      <c r="EF349" s="134"/>
      <c r="EG349" s="134"/>
      <c r="EH349" s="301"/>
      <c r="EI349" s="301"/>
      <c r="EJ349" s="277"/>
      <c r="EK349" s="134"/>
      <c r="EL349" s="134"/>
      <c r="EM349" s="134"/>
      <c r="EN349" s="134"/>
      <c r="EO349" s="134"/>
      <c r="EP349" s="134"/>
      <c r="EQ349" s="134"/>
      <c r="ER349" s="134"/>
      <c r="ES349" s="301"/>
      <c r="ET349" s="301"/>
      <c r="EU349" s="134"/>
      <c r="EV349" s="134"/>
      <c r="EW349" s="134"/>
      <c r="EX349" s="134"/>
      <c r="EY349" s="134"/>
      <c r="EZ349" s="134"/>
      <c r="FA349" s="134"/>
      <c r="FB349" s="134"/>
      <c r="FC349" s="135"/>
      <c r="FD349" s="135"/>
      <c r="FE349" s="134"/>
      <c r="FF349" s="134"/>
      <c r="FG349" s="134"/>
      <c r="FH349" s="134"/>
      <c r="FI349" s="134"/>
      <c r="FJ349" s="134"/>
      <c r="FK349" s="134"/>
      <c r="FL349" s="134"/>
      <c r="FM349" s="135"/>
      <c r="FN349" s="135"/>
      <c r="FO349" s="134"/>
      <c r="FP349" s="134"/>
      <c r="FQ349" s="134"/>
      <c r="FR349" s="134"/>
      <c r="FS349" s="134"/>
      <c r="FT349" s="134"/>
      <c r="FU349" s="134"/>
      <c r="FV349" s="134"/>
      <c r="FW349" s="135"/>
      <c r="FX349" s="135"/>
      <c r="FY349" s="134"/>
      <c r="FZ349" s="134"/>
      <c r="GA349" s="134"/>
      <c r="GB349" s="134"/>
      <c r="GC349" s="134"/>
      <c r="GD349" s="134"/>
      <c r="GE349" s="134"/>
      <c r="GF349" s="134"/>
      <c r="GG349" s="135"/>
      <c r="GH349" s="135"/>
      <c r="GI349" s="134"/>
      <c r="GJ349" s="134"/>
      <c r="GK349" s="134"/>
      <c r="GL349" s="134"/>
      <c r="GM349" s="134"/>
      <c r="GN349" s="134"/>
      <c r="GO349" s="134"/>
      <c r="GP349" s="134"/>
      <c r="GQ349" s="135"/>
      <c r="GR349" s="135"/>
      <c r="GS349" s="134"/>
      <c r="GT349" s="134"/>
      <c r="GU349" s="134"/>
      <c r="GV349" s="134"/>
      <c r="GW349" s="134"/>
      <c r="GX349" s="134"/>
      <c r="GY349" s="134"/>
      <c r="GZ349" s="134"/>
      <c r="HA349" s="135"/>
      <c r="HB349" s="135"/>
      <c r="HC349" s="134"/>
      <c r="HD349" s="134"/>
      <c r="HE349" s="134"/>
      <c r="HF349" s="134"/>
      <c r="HG349" s="134"/>
      <c r="HH349" s="134"/>
      <c r="HI349" s="134"/>
      <c r="HJ349" s="134"/>
      <c r="HK349" s="135"/>
      <c r="HL349" s="135"/>
      <c r="HM349" s="134"/>
      <c r="HN349" s="134"/>
      <c r="HO349" s="134"/>
      <c r="HP349" s="134"/>
      <c r="HQ349" s="134"/>
      <c r="HR349" s="134"/>
      <c r="HS349" s="134"/>
      <c r="HT349" s="134"/>
      <c r="HU349" s="135"/>
      <c r="HV349" s="135"/>
      <c r="HW349" s="134"/>
      <c r="HX349" s="134"/>
      <c r="HY349" s="134"/>
      <c r="HZ349" s="134"/>
      <c r="IA349" s="134"/>
      <c r="IB349" s="134"/>
      <c r="IC349" s="134"/>
      <c r="ID349" s="134"/>
      <c r="IE349" s="135"/>
      <c r="IF349" s="135"/>
      <c r="IG349" s="134"/>
      <c r="IH349" s="134"/>
      <c r="II349" s="134"/>
      <c r="IJ349" s="134"/>
      <c r="IK349" s="134"/>
      <c r="IL349" s="134"/>
      <c r="IM349" s="134"/>
      <c r="IN349" s="134"/>
      <c r="IO349" s="135"/>
      <c r="IP349" s="135"/>
      <c r="IQ349" s="134"/>
      <c r="IR349" s="134"/>
      <c r="IS349" s="134"/>
      <c r="IT349" s="134"/>
      <c r="IU349" s="134"/>
      <c r="IV349" s="134"/>
      <c r="IW349" s="134"/>
      <c r="IX349" s="134"/>
      <c r="IY349" s="135"/>
      <c r="IZ349" s="135"/>
    </row>
    <row r="350" spans="1:260" customFormat="1" ht="17" customHeight="1">
      <c r="A350" s="118" t="s">
        <v>963</v>
      </c>
      <c r="B350" s="381">
        <v>48</v>
      </c>
      <c r="C350" s="381"/>
      <c r="D350" s="381"/>
      <c r="E350" s="139" t="s">
        <v>2122</v>
      </c>
      <c r="F350" s="140" t="s">
        <v>2383</v>
      </c>
      <c r="G350" s="141">
        <v>2012</v>
      </c>
      <c r="H350" s="118">
        <v>22516520</v>
      </c>
      <c r="I350" s="118">
        <v>1</v>
      </c>
      <c r="J350" s="118" t="s">
        <v>1788</v>
      </c>
      <c r="K350" s="118" t="s">
        <v>23</v>
      </c>
      <c r="L350" s="118">
        <v>1</v>
      </c>
      <c r="M350" s="118"/>
      <c r="N350" s="118">
        <v>1</v>
      </c>
      <c r="O350" s="142">
        <v>2</v>
      </c>
      <c r="P350" s="118" t="s">
        <v>1220</v>
      </c>
      <c r="Q350" s="118" t="s">
        <v>1162</v>
      </c>
      <c r="R350" s="118" t="s">
        <v>1229</v>
      </c>
      <c r="S350" s="118"/>
      <c r="T350" s="118" t="s">
        <v>1488</v>
      </c>
      <c r="U350" s="118" t="s">
        <v>803</v>
      </c>
      <c r="V350" s="118"/>
      <c r="W350" s="118" t="s">
        <v>1501</v>
      </c>
      <c r="X350" s="118" t="s">
        <v>1602</v>
      </c>
      <c r="Y350" s="118" t="s">
        <v>1132</v>
      </c>
      <c r="Z350" s="118"/>
      <c r="AA350" s="118"/>
      <c r="AB350" s="118"/>
      <c r="AC350" s="145"/>
      <c r="AD350" s="573">
        <v>1</v>
      </c>
      <c r="AE350" s="573">
        <v>2</v>
      </c>
      <c r="AF350" s="159">
        <v>1</v>
      </c>
      <c r="AG350" s="160" t="s">
        <v>3365</v>
      </c>
      <c r="AH350" s="122">
        <v>4</v>
      </c>
      <c r="AI350" s="485"/>
      <c r="AJ350" s="204" t="s">
        <v>3622</v>
      </c>
      <c r="AK350" s="192">
        <v>2</v>
      </c>
      <c r="AL350" s="205">
        <v>0</v>
      </c>
      <c r="AM350" s="122">
        <f>Table665[[#This Row],[Subjects_n_ptsd]]+Table665[[#This Row],[Subjects_n_control]]</f>
        <v>18</v>
      </c>
      <c r="AN350" s="122">
        <v>9</v>
      </c>
      <c r="AO350" s="122">
        <v>9</v>
      </c>
      <c r="AP350" s="122" t="s">
        <v>803</v>
      </c>
      <c r="AQ350" s="122" t="s">
        <v>803</v>
      </c>
      <c r="AR350" s="122" t="s">
        <v>24</v>
      </c>
      <c r="AS350" s="122" t="s">
        <v>24</v>
      </c>
      <c r="AT350" s="122" t="s">
        <v>24</v>
      </c>
      <c r="AU350" s="122" t="s">
        <v>24</v>
      </c>
      <c r="AV350" s="122" t="s">
        <v>3624</v>
      </c>
      <c r="AW350" s="122">
        <v>1</v>
      </c>
      <c r="AX350" s="122" t="s">
        <v>3612</v>
      </c>
      <c r="AY350" s="122" t="s">
        <v>3515</v>
      </c>
      <c r="AZ350" s="122" t="s">
        <v>2912</v>
      </c>
      <c r="BA350" s="122" t="s">
        <v>3279</v>
      </c>
      <c r="BB350" s="122"/>
      <c r="BC350" s="122"/>
      <c r="BD350" s="161">
        <v>1</v>
      </c>
      <c r="BE350" s="161"/>
      <c r="BF350" s="161"/>
      <c r="BG350" s="161"/>
      <c r="BH350" s="161"/>
      <c r="BI350" s="161"/>
      <c r="BJ350" s="161"/>
      <c r="BK350" s="161"/>
      <c r="BL350" s="161"/>
      <c r="BM350" s="161"/>
      <c r="BN350" s="161"/>
      <c r="BO350" s="161"/>
      <c r="BP350" s="161"/>
      <c r="BQ350" s="162" t="s">
        <v>2879</v>
      </c>
      <c r="BR350" s="150" t="s">
        <v>1876</v>
      </c>
      <c r="BS350" s="150">
        <v>2</v>
      </c>
      <c r="BT350" s="150" t="s">
        <v>3626</v>
      </c>
      <c r="BU350" s="150" t="s">
        <v>3613</v>
      </c>
      <c r="BV350" s="150" t="s">
        <v>3224</v>
      </c>
      <c r="BW350" s="258" t="s">
        <v>3628</v>
      </c>
      <c r="BX350" s="151" t="s">
        <v>3615</v>
      </c>
      <c r="BY350" s="150">
        <v>84.1815</v>
      </c>
      <c r="BZ350" s="150" t="s">
        <v>24</v>
      </c>
      <c r="CA350" s="150">
        <f>88.2574-Table665[[#This Row],[Outcome1_M]]</f>
        <v>4.0759000000000043</v>
      </c>
      <c r="CB350" s="151" t="s">
        <v>3616</v>
      </c>
      <c r="CC350" s="150">
        <v>13.0784</v>
      </c>
      <c r="CD350" s="150" t="s">
        <v>24</v>
      </c>
      <c r="CE350" s="150">
        <f>15.2522-Table665[[#This Row],[Outcome2_M]]</f>
        <v>2.1738</v>
      </c>
      <c r="CF350" s="290" t="s">
        <v>3620</v>
      </c>
      <c r="CG350" s="291" t="s">
        <v>3619</v>
      </c>
      <c r="CH350" s="151"/>
      <c r="CI350" s="150"/>
      <c r="CJ350" s="150"/>
      <c r="CK350" s="150"/>
      <c r="CL350" s="151"/>
      <c r="CM350" s="150"/>
      <c r="CN350" s="150"/>
      <c r="CO350" s="150"/>
      <c r="CP350" s="290"/>
      <c r="CQ350" s="291"/>
      <c r="CR350" s="278"/>
      <c r="CS350" s="285"/>
      <c r="CT350" s="151"/>
      <c r="CU350" s="150"/>
      <c r="CV350" s="150"/>
      <c r="CW350" s="150"/>
      <c r="CX350" s="150"/>
      <c r="CY350" s="150"/>
      <c r="CZ350" s="150"/>
      <c r="DA350" s="150"/>
      <c r="DB350" s="302"/>
      <c r="DC350" s="303"/>
      <c r="DD350" s="150"/>
      <c r="DE350" s="150"/>
      <c r="DF350" s="150"/>
      <c r="DG350" s="150"/>
      <c r="DH350" s="150"/>
      <c r="DI350" s="150"/>
      <c r="DJ350" s="150"/>
      <c r="DK350" s="150"/>
      <c r="DL350" s="302"/>
      <c r="DM350" s="303"/>
      <c r="DN350" s="278"/>
      <c r="DO350" s="279"/>
      <c r="DP350" s="150"/>
      <c r="DQ350" s="150"/>
      <c r="DR350" s="150"/>
      <c r="DS350" s="150"/>
      <c r="DT350" s="151"/>
      <c r="DU350" s="150"/>
      <c r="DV350" s="150"/>
      <c r="DW350" s="150"/>
      <c r="DX350" s="303"/>
      <c r="DY350" s="303"/>
      <c r="DZ350" s="151"/>
      <c r="EA350" s="150"/>
      <c r="EB350" s="150"/>
      <c r="EC350" s="150"/>
      <c r="ED350" s="151"/>
      <c r="EE350" s="150"/>
      <c r="EF350" s="150"/>
      <c r="EG350" s="150"/>
      <c r="EH350" s="303"/>
      <c r="EI350" s="303"/>
      <c r="EJ350" s="279"/>
      <c r="EK350" s="150"/>
      <c r="EL350" s="150"/>
      <c r="EM350" s="150"/>
      <c r="EN350" s="150"/>
      <c r="EO350" s="150"/>
      <c r="EP350" s="150"/>
      <c r="EQ350" s="150"/>
      <c r="ER350" s="150"/>
      <c r="ES350" s="303"/>
      <c r="ET350" s="303"/>
      <c r="EU350" s="150"/>
      <c r="EV350" s="150"/>
      <c r="EW350" s="150"/>
      <c r="EX350" s="150"/>
      <c r="EY350" s="134"/>
      <c r="EZ350" s="134"/>
      <c r="FA350" s="134"/>
      <c r="FB350" s="134"/>
      <c r="FC350" s="135"/>
      <c r="FD350" s="135"/>
      <c r="FE350" s="134"/>
      <c r="FF350" s="134"/>
      <c r="FG350" s="134"/>
      <c r="FH350" s="134"/>
      <c r="FI350" s="134"/>
      <c r="FJ350" s="134"/>
      <c r="FK350" s="134"/>
      <c r="FL350" s="134"/>
      <c r="FM350" s="135"/>
      <c r="FN350" s="135"/>
      <c r="FO350" s="134"/>
      <c r="FP350" s="134"/>
      <c r="FQ350" s="134"/>
      <c r="FR350" s="134"/>
      <c r="FS350" s="134"/>
      <c r="FT350" s="134"/>
      <c r="FU350" s="134"/>
      <c r="FV350" s="134"/>
      <c r="FW350" s="135"/>
      <c r="FX350" s="135"/>
      <c r="FY350" s="134"/>
      <c r="FZ350" s="134"/>
      <c r="GA350" s="134"/>
      <c r="GB350" s="134"/>
      <c r="GC350" s="134"/>
      <c r="GD350" s="134"/>
      <c r="GE350" s="134"/>
      <c r="GF350" s="134"/>
      <c r="GG350" s="135"/>
      <c r="GH350" s="135"/>
      <c r="GI350" s="134"/>
      <c r="GJ350" s="134"/>
      <c r="GK350" s="134"/>
      <c r="GL350" s="134"/>
      <c r="GM350" s="134"/>
      <c r="GN350" s="134"/>
      <c r="GO350" s="134"/>
      <c r="GP350" s="134"/>
      <c r="GQ350" s="135"/>
      <c r="GR350" s="135"/>
      <c r="GS350" s="134"/>
      <c r="GT350" s="134"/>
      <c r="GU350" s="134"/>
      <c r="GV350" s="134"/>
      <c r="GW350" s="134"/>
      <c r="GX350" s="134"/>
      <c r="GY350" s="134"/>
      <c r="GZ350" s="134"/>
      <c r="HA350" s="135"/>
      <c r="HB350" s="135"/>
      <c r="HC350" s="134"/>
      <c r="HD350" s="134"/>
      <c r="HE350" s="134"/>
      <c r="HF350" s="134"/>
      <c r="HG350" s="134"/>
      <c r="HH350" s="134"/>
      <c r="HI350" s="134"/>
      <c r="HJ350" s="134"/>
      <c r="HK350" s="135"/>
      <c r="HL350" s="135"/>
      <c r="HM350" s="134"/>
      <c r="HN350" s="134"/>
      <c r="HO350" s="134"/>
      <c r="HP350" s="134"/>
      <c r="HQ350" s="134"/>
      <c r="HR350" s="134"/>
      <c r="HS350" s="134"/>
      <c r="HT350" s="134"/>
      <c r="HU350" s="135"/>
      <c r="HV350" s="135"/>
      <c r="HW350" s="134"/>
      <c r="HX350" s="134"/>
      <c r="HY350" s="134"/>
      <c r="HZ350" s="134"/>
      <c r="IA350" s="134"/>
      <c r="IB350" s="134"/>
      <c r="IC350" s="134"/>
      <c r="ID350" s="134"/>
      <c r="IE350" s="135"/>
      <c r="IF350" s="135"/>
      <c r="IG350" s="134"/>
      <c r="IH350" s="134"/>
      <c r="II350" s="134"/>
      <c r="IJ350" s="134"/>
      <c r="IK350" s="134"/>
      <c r="IL350" s="134"/>
      <c r="IM350" s="134"/>
      <c r="IN350" s="134"/>
      <c r="IO350" s="135"/>
      <c r="IP350" s="135"/>
      <c r="IQ350" s="134"/>
      <c r="IR350" s="134"/>
      <c r="IS350" s="134"/>
      <c r="IT350" s="134"/>
      <c r="IU350" s="134"/>
      <c r="IV350" s="134"/>
      <c r="IW350" s="134"/>
      <c r="IX350" s="134"/>
      <c r="IY350" s="135"/>
      <c r="IZ350" s="135"/>
    </row>
    <row r="351" spans="1:260" customFormat="1" ht="17" customHeight="1">
      <c r="A351" s="79" t="s">
        <v>963</v>
      </c>
      <c r="B351" s="117">
        <v>48</v>
      </c>
      <c r="C351" s="117"/>
      <c r="D351" s="117"/>
      <c r="E351" s="123" t="s">
        <v>2122</v>
      </c>
      <c r="F351" s="124" t="s">
        <v>2383</v>
      </c>
      <c r="G351" s="125">
        <v>2012</v>
      </c>
      <c r="H351" s="79">
        <v>22516520</v>
      </c>
      <c r="I351" s="79">
        <v>1</v>
      </c>
      <c r="J351" s="126" t="s">
        <v>1788</v>
      </c>
      <c r="K351" s="127" t="s">
        <v>23</v>
      </c>
      <c r="L351" s="79">
        <v>1</v>
      </c>
      <c r="M351" s="79"/>
      <c r="N351" s="79">
        <v>1</v>
      </c>
      <c r="O351" s="128">
        <v>2</v>
      </c>
      <c r="P351" s="79" t="s">
        <v>1220</v>
      </c>
      <c r="Q351" s="79" t="s">
        <v>1162</v>
      </c>
      <c r="R351" s="79" t="s">
        <v>1229</v>
      </c>
      <c r="S351" s="79"/>
      <c r="T351" s="79" t="s">
        <v>1488</v>
      </c>
      <c r="U351" s="79" t="s">
        <v>803</v>
      </c>
      <c r="V351" s="79"/>
      <c r="W351" s="79" t="s">
        <v>1501</v>
      </c>
      <c r="X351" s="79" t="s">
        <v>1602</v>
      </c>
      <c r="Y351" s="79" t="s">
        <v>1132</v>
      </c>
      <c r="Z351" s="79"/>
      <c r="AA351" s="79"/>
      <c r="AB351" s="79"/>
      <c r="AC351" s="506"/>
      <c r="AD351" s="573">
        <v>1</v>
      </c>
      <c r="AE351" s="573">
        <v>2</v>
      </c>
      <c r="AF351" s="233" t="s">
        <v>3003</v>
      </c>
      <c r="AG351" s="234" t="s">
        <v>3631</v>
      </c>
      <c r="AH351" s="121">
        <v>4</v>
      </c>
      <c r="AI351" s="484"/>
      <c r="AJ351" s="202" t="s">
        <v>3622</v>
      </c>
      <c r="AK351" s="192">
        <v>2</v>
      </c>
      <c r="AL351" s="203">
        <v>0</v>
      </c>
      <c r="AM351" s="121" t="s">
        <v>3630</v>
      </c>
      <c r="AN351" s="121">
        <v>9</v>
      </c>
      <c r="AO351" s="121">
        <v>9</v>
      </c>
      <c r="AP351" s="121" t="s">
        <v>803</v>
      </c>
      <c r="AQ351" s="121" t="s">
        <v>803</v>
      </c>
      <c r="AR351" s="121" t="s">
        <v>24</v>
      </c>
      <c r="AS351" s="121" t="s">
        <v>24</v>
      </c>
      <c r="AT351" s="121" t="s">
        <v>24</v>
      </c>
      <c r="AU351" s="121" t="s">
        <v>24</v>
      </c>
      <c r="AV351" s="121" t="s">
        <v>3623</v>
      </c>
      <c r="AW351" s="121">
        <v>1</v>
      </c>
      <c r="AX351" s="121" t="s">
        <v>3629</v>
      </c>
      <c r="AY351" s="121" t="s">
        <v>3515</v>
      </c>
      <c r="AZ351" s="121" t="s">
        <v>2912</v>
      </c>
      <c r="BA351" s="121" t="s">
        <v>3279</v>
      </c>
      <c r="BB351" s="121"/>
      <c r="BC351" s="121"/>
      <c r="BD351" s="156">
        <v>1</v>
      </c>
      <c r="BE351" s="156"/>
      <c r="BF351" s="156"/>
      <c r="BG351" s="156"/>
      <c r="BH351" s="156"/>
      <c r="BI351" s="156"/>
      <c r="BJ351" s="156"/>
      <c r="BK351" s="156"/>
      <c r="BL351" s="156"/>
      <c r="BM351" s="156"/>
      <c r="BN351" s="156"/>
      <c r="BO351" s="156"/>
      <c r="BP351" s="156"/>
      <c r="BQ351" s="157" t="s">
        <v>2879</v>
      </c>
      <c r="BR351" s="134" t="s">
        <v>1876</v>
      </c>
      <c r="BS351" s="134">
        <v>2</v>
      </c>
      <c r="BT351" s="134" t="s">
        <v>3625</v>
      </c>
      <c r="BU351" s="134" t="s">
        <v>3613</v>
      </c>
      <c r="BV351" s="134" t="s">
        <v>3224</v>
      </c>
      <c r="BW351" s="259" t="s">
        <v>3627</v>
      </c>
      <c r="BX351" s="138" t="s">
        <v>3614</v>
      </c>
      <c r="BY351" s="134">
        <v>73.751800000000003</v>
      </c>
      <c r="BZ351" s="134"/>
      <c r="CA351" s="134">
        <f>78.6429-Table665[[#This Row],[Outcome1_M]]</f>
        <v>4.8910999999999945</v>
      </c>
      <c r="CB351" s="138" t="s">
        <v>3617</v>
      </c>
      <c r="CC351" s="134">
        <v>2.91533</v>
      </c>
      <c r="CD351" s="134" t="s">
        <v>24</v>
      </c>
      <c r="CE351" s="134">
        <f>5.08914-Table665[[#This Row],[Outcome2_M]]</f>
        <v>2.1738100000000005</v>
      </c>
      <c r="CF351" s="288" t="s">
        <v>3618</v>
      </c>
      <c r="CG351" s="289" t="s">
        <v>3621</v>
      </c>
      <c r="CH351" s="138"/>
      <c r="CI351" s="134"/>
      <c r="CJ351" s="134"/>
      <c r="CK351" s="134"/>
      <c r="CL351" s="138"/>
      <c r="CM351" s="134"/>
      <c r="CN351" s="134"/>
      <c r="CO351" s="134"/>
      <c r="CP351" s="288"/>
      <c r="CQ351" s="289"/>
      <c r="CR351" s="276"/>
      <c r="CS351" s="308"/>
      <c r="CT351" s="138"/>
      <c r="CU351" s="134"/>
      <c r="CV351" s="134"/>
      <c r="CW351" s="134"/>
      <c r="CX351" s="134"/>
      <c r="CY351" s="134"/>
      <c r="CZ351" s="134"/>
      <c r="DA351" s="134"/>
      <c r="DB351" s="300"/>
      <c r="DC351" s="301"/>
      <c r="DD351" s="134"/>
      <c r="DE351" s="134"/>
      <c r="DF351" s="134"/>
      <c r="DG351" s="134"/>
      <c r="DH351" s="134"/>
      <c r="DI351" s="134"/>
      <c r="DJ351" s="134"/>
      <c r="DK351" s="134"/>
      <c r="DL351" s="300"/>
      <c r="DM351" s="301"/>
      <c r="DN351" s="276"/>
      <c r="DO351" s="277"/>
      <c r="DP351" s="134"/>
      <c r="DQ351" s="134"/>
      <c r="DR351" s="134"/>
      <c r="DS351" s="134"/>
      <c r="DT351" s="138"/>
      <c r="DU351" s="134"/>
      <c r="DV351" s="134"/>
      <c r="DW351" s="134"/>
      <c r="DX351" s="301"/>
      <c r="DY351" s="301"/>
      <c r="DZ351" s="138"/>
      <c r="EA351" s="134"/>
      <c r="EB351" s="134"/>
      <c r="EC351" s="134"/>
      <c r="ED351" s="138"/>
      <c r="EE351" s="134"/>
      <c r="EF351" s="134"/>
      <c r="EG351" s="134"/>
      <c r="EH351" s="301"/>
      <c r="EI351" s="301"/>
      <c r="EJ351" s="277"/>
      <c r="EK351" s="134"/>
      <c r="EL351" s="134"/>
      <c r="EM351" s="134"/>
      <c r="EN351" s="134"/>
      <c r="EO351" s="134"/>
      <c r="EP351" s="134"/>
      <c r="EQ351" s="134"/>
      <c r="ER351" s="134"/>
      <c r="ES351" s="301"/>
      <c r="ET351" s="301"/>
      <c r="EU351" s="134"/>
      <c r="EV351" s="134"/>
      <c r="EW351" s="134"/>
      <c r="EX351" s="134"/>
      <c r="EY351" s="134"/>
      <c r="EZ351" s="134"/>
      <c r="FA351" s="134"/>
      <c r="FB351" s="134"/>
      <c r="FC351" s="135"/>
      <c r="FD351" s="135"/>
      <c r="FE351" s="134"/>
      <c r="FF351" s="134"/>
      <c r="FG351" s="134"/>
      <c r="FH351" s="134"/>
      <c r="FI351" s="134"/>
      <c r="FJ351" s="134"/>
      <c r="FK351" s="134"/>
      <c r="FL351" s="134"/>
      <c r="FM351" s="135"/>
      <c r="FN351" s="135"/>
      <c r="FO351" s="134"/>
      <c r="FP351" s="134"/>
      <c r="FQ351" s="134"/>
      <c r="FR351" s="134"/>
      <c r="FS351" s="134"/>
      <c r="FT351" s="134"/>
      <c r="FU351" s="134"/>
      <c r="FV351" s="134"/>
      <c r="FW351" s="135"/>
      <c r="FX351" s="135"/>
      <c r="FY351" s="134"/>
      <c r="FZ351" s="134"/>
      <c r="GA351" s="134"/>
      <c r="GB351" s="134"/>
      <c r="GC351" s="134"/>
      <c r="GD351" s="134"/>
      <c r="GE351" s="134"/>
      <c r="GF351" s="134"/>
      <c r="GG351" s="135"/>
      <c r="GH351" s="135"/>
      <c r="GI351" s="134"/>
      <c r="GJ351" s="134"/>
      <c r="GK351" s="134"/>
      <c r="GL351" s="134"/>
      <c r="GM351" s="134"/>
      <c r="GN351" s="134"/>
      <c r="GO351" s="134"/>
      <c r="GP351" s="134"/>
      <c r="GQ351" s="135"/>
      <c r="GR351" s="135"/>
      <c r="GS351" s="134"/>
      <c r="GT351" s="134"/>
      <c r="GU351" s="134"/>
      <c r="GV351" s="134"/>
      <c r="GW351" s="134"/>
      <c r="GX351" s="134"/>
      <c r="GY351" s="134"/>
      <c r="GZ351" s="134"/>
      <c r="HA351" s="135"/>
      <c r="HB351" s="135"/>
      <c r="HC351" s="134"/>
      <c r="HD351" s="134"/>
      <c r="HE351" s="134"/>
      <c r="HF351" s="134"/>
      <c r="HG351" s="134"/>
      <c r="HH351" s="134"/>
      <c r="HI351" s="134"/>
      <c r="HJ351" s="134"/>
      <c r="HK351" s="135"/>
      <c r="HL351" s="135"/>
      <c r="HM351" s="134"/>
      <c r="HN351" s="134"/>
      <c r="HO351" s="134"/>
      <c r="HP351" s="134"/>
      <c r="HQ351" s="134"/>
      <c r="HR351" s="134"/>
      <c r="HS351" s="134"/>
      <c r="HT351" s="134"/>
      <c r="HU351" s="135"/>
      <c r="HV351" s="135"/>
      <c r="HW351" s="134"/>
      <c r="HX351" s="134"/>
      <c r="HY351" s="134"/>
      <c r="HZ351" s="134"/>
      <c r="IA351" s="134"/>
      <c r="IB351" s="134"/>
      <c r="IC351" s="134"/>
      <c r="ID351" s="134"/>
      <c r="IE351" s="135"/>
      <c r="IF351" s="135"/>
      <c r="IG351" s="134"/>
      <c r="IH351" s="134"/>
      <c r="II351" s="134"/>
      <c r="IJ351" s="134"/>
      <c r="IK351" s="134"/>
      <c r="IL351" s="134"/>
      <c r="IM351" s="134"/>
      <c r="IN351" s="134"/>
      <c r="IO351" s="135"/>
      <c r="IP351" s="135"/>
      <c r="IQ351" s="134"/>
      <c r="IR351" s="134"/>
      <c r="IS351" s="134"/>
      <c r="IT351" s="134"/>
      <c r="IU351" s="134"/>
      <c r="IV351" s="134"/>
      <c r="IW351" s="134"/>
      <c r="IX351" s="134"/>
      <c r="IY351" s="135"/>
      <c r="IZ351" s="135"/>
    </row>
    <row r="352" spans="1:260" customFormat="1" ht="17" customHeight="1">
      <c r="A352" s="79" t="s">
        <v>333</v>
      </c>
      <c r="B352" s="117">
        <v>238</v>
      </c>
      <c r="C352" s="117">
        <v>87</v>
      </c>
      <c r="D352" s="117"/>
      <c r="E352" s="123" t="s">
        <v>333</v>
      </c>
      <c r="F352" s="124" t="s">
        <v>333</v>
      </c>
      <c r="G352" s="125">
        <v>2011</v>
      </c>
      <c r="H352" s="79">
        <v>21489700</v>
      </c>
      <c r="I352" s="79">
        <v>1</v>
      </c>
      <c r="J352" s="126"/>
      <c r="K352" s="127"/>
      <c r="L352" s="79">
        <v>1</v>
      </c>
      <c r="M352" s="79"/>
      <c r="N352" s="79">
        <v>1</v>
      </c>
      <c r="O352" s="128">
        <v>1</v>
      </c>
      <c r="P352" s="79" t="s">
        <v>867</v>
      </c>
      <c r="Q352" s="79" t="s">
        <v>1147</v>
      </c>
      <c r="R352" s="79" t="s">
        <v>25</v>
      </c>
      <c r="S352" s="79">
        <v>1</v>
      </c>
      <c r="T352" s="79"/>
      <c r="U352" s="79"/>
      <c r="V352" s="79"/>
      <c r="W352" s="79" t="s">
        <v>868</v>
      </c>
      <c r="X352" s="79" t="s">
        <v>436</v>
      </c>
      <c r="Y352" s="79" t="s">
        <v>866</v>
      </c>
      <c r="Z352" s="79"/>
      <c r="AA352" s="79"/>
      <c r="AB352" s="79"/>
      <c r="AC352" s="506"/>
      <c r="AD352" s="573">
        <v>1</v>
      </c>
      <c r="AE352" s="573">
        <v>2</v>
      </c>
      <c r="AF352" s="154">
        <v>1</v>
      </c>
      <c r="AG352" s="155" t="s">
        <v>5737</v>
      </c>
      <c r="AH352" s="121">
        <v>2</v>
      </c>
      <c r="AI352" s="484" t="s">
        <v>5740</v>
      </c>
      <c r="AJ352" s="202" t="s">
        <v>5723</v>
      </c>
      <c r="AK352" s="192">
        <v>0</v>
      </c>
      <c r="AL352" s="203" t="s">
        <v>5724</v>
      </c>
      <c r="AM352" s="121">
        <f>13+15+15</f>
        <v>43</v>
      </c>
      <c r="AN352" s="121">
        <v>13</v>
      </c>
      <c r="AO352" s="121" t="s">
        <v>5727</v>
      </c>
      <c r="AP352" s="121" t="s">
        <v>803</v>
      </c>
      <c r="AQ352" s="121" t="s">
        <v>803</v>
      </c>
      <c r="AR352" s="121">
        <v>38</v>
      </c>
      <c r="AS352" s="121">
        <v>6.4</v>
      </c>
      <c r="AT352" s="121" t="s">
        <v>5728</v>
      </c>
      <c r="AU352" s="121" t="s">
        <v>5729</v>
      </c>
      <c r="AV352" s="121" t="s">
        <v>5721</v>
      </c>
      <c r="AW352" s="121" t="s">
        <v>24</v>
      </c>
      <c r="AX352" s="121" t="s">
        <v>24</v>
      </c>
      <c r="AY352" s="121" t="s">
        <v>5720</v>
      </c>
      <c r="AZ352" s="121" t="s">
        <v>5719</v>
      </c>
      <c r="BA352" s="121" t="s">
        <v>5722</v>
      </c>
      <c r="BB352" s="121"/>
      <c r="BC352" s="121"/>
      <c r="BD352" s="156"/>
      <c r="BE352" s="156"/>
      <c r="BF352" s="156"/>
      <c r="BG352" s="156"/>
      <c r="BH352" s="156"/>
      <c r="BI352" s="156"/>
      <c r="BJ352" s="156">
        <v>1</v>
      </c>
      <c r="BK352" s="156"/>
      <c r="BL352" s="156"/>
      <c r="BM352" s="156"/>
      <c r="BN352" s="156"/>
      <c r="BO352" s="156"/>
      <c r="BP352" s="156"/>
      <c r="BQ352" s="157" t="s">
        <v>4208</v>
      </c>
      <c r="BR352" s="134" t="s">
        <v>1876</v>
      </c>
      <c r="BS352" s="134" t="s">
        <v>5726</v>
      </c>
      <c r="BT352" s="134" t="s">
        <v>5725</v>
      </c>
      <c r="BU352" s="134" t="s">
        <v>24</v>
      </c>
      <c r="BV352" s="134" t="s">
        <v>5730</v>
      </c>
      <c r="BW352" s="259" t="s">
        <v>5743</v>
      </c>
      <c r="BX352" s="138" t="s">
        <v>5731</v>
      </c>
      <c r="BY352" s="134">
        <v>10.8</v>
      </c>
      <c r="BZ352" s="168">
        <v>2</v>
      </c>
      <c r="CA352" s="134" t="s">
        <v>24</v>
      </c>
      <c r="CB352" s="138" t="s">
        <v>5733</v>
      </c>
      <c r="CC352" s="134">
        <v>11.9</v>
      </c>
      <c r="CD352" s="134">
        <v>1.7</v>
      </c>
      <c r="CE352" s="134" t="s">
        <v>24</v>
      </c>
      <c r="CF352" s="288" t="s">
        <v>24</v>
      </c>
      <c r="CG352" s="289" t="s">
        <v>24</v>
      </c>
      <c r="CH352" s="138" t="s">
        <v>5735</v>
      </c>
      <c r="CI352" s="134">
        <v>12.1</v>
      </c>
      <c r="CJ352" s="134">
        <v>1.1000000000000001</v>
      </c>
      <c r="CK352" s="134" t="s">
        <v>24</v>
      </c>
      <c r="CL352" s="427" t="s">
        <v>5732</v>
      </c>
      <c r="CM352" s="134">
        <v>7.5</v>
      </c>
      <c r="CN352" s="134">
        <v>2.9</v>
      </c>
      <c r="CO352" s="134" t="s">
        <v>24</v>
      </c>
      <c r="CP352" s="288" t="s">
        <v>24</v>
      </c>
      <c r="CQ352" s="289" t="s">
        <v>24</v>
      </c>
      <c r="CR352" s="276" t="s">
        <v>5738</v>
      </c>
      <c r="CS352" s="308" t="s">
        <v>5739</v>
      </c>
      <c r="CT352" s="427" t="s">
        <v>5734</v>
      </c>
      <c r="CU352" s="134">
        <v>9.5</v>
      </c>
      <c r="CV352" s="168">
        <v>2.5</v>
      </c>
      <c r="CW352" s="424" t="s">
        <v>24</v>
      </c>
      <c r="CX352" s="427" t="s">
        <v>5736</v>
      </c>
      <c r="CY352" s="134">
        <v>10.199999999999999</v>
      </c>
      <c r="CZ352" s="134">
        <v>2.7</v>
      </c>
      <c r="DA352" s="134" t="s">
        <v>24</v>
      </c>
      <c r="DB352" s="300" t="s">
        <v>5742</v>
      </c>
      <c r="DC352" s="301" t="s">
        <v>5741</v>
      </c>
      <c r="DD352" s="134" t="s">
        <v>24</v>
      </c>
      <c r="DE352" s="134" t="s">
        <v>24</v>
      </c>
      <c r="DF352" s="134"/>
      <c r="DG352" s="134"/>
      <c r="DH352" s="134"/>
      <c r="DI352" s="134"/>
      <c r="DJ352" s="134"/>
      <c r="DK352" s="134"/>
      <c r="DL352" s="300"/>
      <c r="DM352" s="301"/>
      <c r="DN352" s="276"/>
      <c r="DO352" s="277"/>
      <c r="DP352" s="134"/>
      <c r="DQ352" s="134"/>
      <c r="DR352" s="134"/>
      <c r="DS352" s="134"/>
      <c r="DT352" s="138"/>
      <c r="DU352" s="134"/>
      <c r="DV352" s="134"/>
      <c r="DW352" s="134"/>
      <c r="DX352" s="301"/>
      <c r="DY352" s="301"/>
      <c r="DZ352" s="138"/>
      <c r="EA352" s="134"/>
      <c r="EB352" s="134"/>
      <c r="EC352" s="134"/>
      <c r="ED352" s="138"/>
      <c r="EE352" s="134"/>
      <c r="EF352" s="134"/>
      <c r="EG352" s="134"/>
      <c r="EH352" s="301"/>
      <c r="EI352" s="301"/>
      <c r="EJ352" s="277"/>
      <c r="EK352" s="134"/>
      <c r="EL352" s="134"/>
      <c r="EM352" s="134"/>
      <c r="EN352" s="134"/>
      <c r="EO352" s="134"/>
      <c r="EP352" s="134"/>
      <c r="EQ352" s="134"/>
      <c r="ER352" s="134"/>
      <c r="ES352" s="301"/>
      <c r="ET352" s="301"/>
      <c r="EU352" s="134"/>
      <c r="EV352" s="134"/>
      <c r="EW352" s="134"/>
      <c r="EX352" s="134"/>
      <c r="EY352" s="134"/>
      <c r="EZ352" s="134"/>
      <c r="FA352" s="134"/>
      <c r="FB352" s="134"/>
      <c r="FC352" s="135"/>
      <c r="FD352" s="135"/>
      <c r="FE352" s="134"/>
      <c r="FF352" s="134"/>
      <c r="FG352" s="134"/>
      <c r="FH352" s="134"/>
      <c r="FI352" s="134"/>
      <c r="FJ352" s="134"/>
      <c r="FK352" s="134"/>
      <c r="FL352" s="134"/>
      <c r="FM352" s="135"/>
      <c r="FN352" s="135"/>
      <c r="FO352" s="134"/>
      <c r="FP352" s="134"/>
      <c r="FQ352" s="134"/>
      <c r="FR352" s="134"/>
      <c r="FS352" s="134"/>
      <c r="FT352" s="134"/>
      <c r="FU352" s="134"/>
      <c r="FV352" s="134"/>
      <c r="FW352" s="135"/>
      <c r="FX352" s="135"/>
      <c r="FY352" s="134"/>
      <c r="FZ352" s="134"/>
      <c r="GA352" s="134"/>
      <c r="GB352" s="134"/>
      <c r="GC352" s="134"/>
      <c r="GD352" s="134"/>
      <c r="GE352" s="134"/>
      <c r="GF352" s="134"/>
      <c r="GG352" s="135"/>
      <c r="GH352" s="135"/>
      <c r="GI352" s="134"/>
      <c r="GJ352" s="134"/>
      <c r="GK352" s="134"/>
      <c r="GL352" s="134"/>
      <c r="GM352" s="134"/>
      <c r="GN352" s="134"/>
      <c r="GO352" s="134"/>
      <c r="GP352" s="134"/>
      <c r="GQ352" s="135"/>
      <c r="GR352" s="135"/>
      <c r="GS352" s="134"/>
      <c r="GT352" s="134"/>
      <c r="GU352" s="134"/>
      <c r="GV352" s="134"/>
      <c r="GW352" s="134"/>
      <c r="GX352" s="134"/>
      <c r="GY352" s="134"/>
      <c r="GZ352" s="134"/>
      <c r="HA352" s="135"/>
      <c r="HB352" s="135"/>
      <c r="HC352" s="134"/>
      <c r="HD352" s="134"/>
      <c r="HE352" s="134"/>
      <c r="HF352" s="134"/>
      <c r="HG352" s="134"/>
      <c r="HH352" s="134"/>
      <c r="HI352" s="134"/>
      <c r="HJ352" s="134"/>
      <c r="HK352" s="135"/>
      <c r="HL352" s="135"/>
      <c r="HM352" s="134"/>
      <c r="HN352" s="134"/>
      <c r="HO352" s="134"/>
      <c r="HP352" s="134"/>
      <c r="HQ352" s="134"/>
      <c r="HR352" s="134"/>
      <c r="HS352" s="134"/>
      <c r="HT352" s="134"/>
      <c r="HU352" s="135"/>
      <c r="HV352" s="135"/>
      <c r="HW352" s="134"/>
      <c r="HX352" s="134"/>
      <c r="HY352" s="134"/>
      <c r="HZ352" s="134"/>
      <c r="IA352" s="134"/>
      <c r="IB352" s="134"/>
      <c r="IC352" s="134"/>
      <c r="ID352" s="134"/>
      <c r="IE352" s="135"/>
      <c r="IF352" s="135"/>
      <c r="IG352" s="134"/>
      <c r="IH352" s="134"/>
      <c r="II352" s="134"/>
      <c r="IJ352" s="134"/>
      <c r="IK352" s="134"/>
      <c r="IL352" s="134"/>
      <c r="IM352" s="134"/>
      <c r="IN352" s="134"/>
      <c r="IO352" s="135"/>
      <c r="IP352" s="135"/>
      <c r="IQ352" s="134"/>
      <c r="IR352" s="134"/>
      <c r="IS352" s="134"/>
      <c r="IT352" s="134"/>
      <c r="IU352" s="134"/>
      <c r="IV352" s="134"/>
      <c r="IW352" s="134"/>
      <c r="IX352" s="134"/>
      <c r="IY352" s="135"/>
      <c r="IZ352" s="135"/>
    </row>
    <row r="353" spans="1:260" customFormat="1" ht="17" customHeight="1">
      <c r="A353" s="79" t="s">
        <v>962</v>
      </c>
      <c r="B353" s="117">
        <v>49</v>
      </c>
      <c r="C353" s="117"/>
      <c r="D353" s="117"/>
      <c r="E353" s="123" t="s">
        <v>2123</v>
      </c>
      <c r="F353" s="124" t="s">
        <v>2384</v>
      </c>
      <c r="G353" s="125">
        <v>2015</v>
      </c>
      <c r="H353" s="79">
        <v>26019008</v>
      </c>
      <c r="I353" s="79">
        <v>1</v>
      </c>
      <c r="J353" s="126"/>
      <c r="K353" s="127"/>
      <c r="L353" s="79">
        <v>1</v>
      </c>
      <c r="M353" s="79"/>
      <c r="N353" s="164">
        <v>1</v>
      </c>
      <c r="O353" s="128">
        <v>2</v>
      </c>
      <c r="P353" s="79" t="s">
        <v>1604</v>
      </c>
      <c r="Q353" s="79" t="s">
        <v>1216</v>
      </c>
      <c r="R353" s="79" t="s">
        <v>1603</v>
      </c>
      <c r="S353" s="79"/>
      <c r="T353" s="79" t="s">
        <v>1487</v>
      </c>
      <c r="U353" s="79" t="s">
        <v>803</v>
      </c>
      <c r="V353" s="79"/>
      <c r="W353" s="79" t="s">
        <v>1605</v>
      </c>
      <c r="X353" s="79"/>
      <c r="Y353" s="79"/>
      <c r="Z353" s="79"/>
      <c r="AA353" s="79"/>
      <c r="AB353" s="79"/>
      <c r="AC353" s="506"/>
      <c r="AD353" s="573">
        <v>1</v>
      </c>
      <c r="AE353" s="573">
        <v>2</v>
      </c>
      <c r="AF353" s="154">
        <v>1</v>
      </c>
      <c r="AG353" s="155" t="s">
        <v>3657</v>
      </c>
      <c r="AH353" s="121">
        <v>4</v>
      </c>
      <c r="AI353" s="484"/>
      <c r="AJ353" s="202" t="s">
        <v>3635</v>
      </c>
      <c r="AK353" s="192">
        <v>1</v>
      </c>
      <c r="AL353" s="203" t="s">
        <v>3632</v>
      </c>
      <c r="AM353" s="121">
        <v>28</v>
      </c>
      <c r="AN353" s="121" t="s">
        <v>3634</v>
      </c>
      <c r="AO353" s="121">
        <v>11</v>
      </c>
      <c r="AP353" s="121" t="s">
        <v>803</v>
      </c>
      <c r="AQ353" s="121" t="s">
        <v>803</v>
      </c>
      <c r="AR353" s="121" t="s">
        <v>3633</v>
      </c>
      <c r="AS353" s="121" t="s">
        <v>24</v>
      </c>
      <c r="AT353" s="121" t="s">
        <v>3633</v>
      </c>
      <c r="AU353" s="121" t="s">
        <v>24</v>
      </c>
      <c r="AV353" s="121" t="s">
        <v>2963</v>
      </c>
      <c r="AW353" s="121">
        <v>1</v>
      </c>
      <c r="AX353" s="121">
        <v>1</v>
      </c>
      <c r="AY353" s="121" t="s">
        <v>3004</v>
      </c>
      <c r="AZ353" s="121" t="s">
        <v>2730</v>
      </c>
      <c r="BA353" s="121" t="s">
        <v>2798</v>
      </c>
      <c r="BB353" s="121"/>
      <c r="BC353" s="121"/>
      <c r="BD353" s="156">
        <v>1</v>
      </c>
      <c r="BE353" s="156"/>
      <c r="BF353" s="156"/>
      <c r="BG353" s="156"/>
      <c r="BH353" s="156"/>
      <c r="BI353" s="156"/>
      <c r="BJ353" s="156"/>
      <c r="BK353" s="156"/>
      <c r="BL353" s="156"/>
      <c r="BM353" s="156"/>
      <c r="BN353" s="156"/>
      <c r="BO353" s="156"/>
      <c r="BP353" s="156"/>
      <c r="BQ353" s="157" t="s">
        <v>2528</v>
      </c>
      <c r="BR353" s="134" t="s">
        <v>1876</v>
      </c>
      <c r="BS353" s="134">
        <v>2</v>
      </c>
      <c r="BT353" s="134" t="s">
        <v>3638</v>
      </c>
      <c r="BU353" s="134" t="s">
        <v>3656</v>
      </c>
      <c r="BV353" s="134" t="s">
        <v>3640</v>
      </c>
      <c r="BW353" s="259" t="s">
        <v>3654</v>
      </c>
      <c r="BX353" s="138" t="s">
        <v>3641</v>
      </c>
      <c r="BY353" s="134">
        <v>41.8</v>
      </c>
      <c r="BZ353" s="134">
        <v>3.98</v>
      </c>
      <c r="CA353" s="134" t="s">
        <v>24</v>
      </c>
      <c r="CB353" s="138" t="s">
        <v>3644</v>
      </c>
      <c r="CC353" s="134">
        <v>43.7</v>
      </c>
      <c r="CD353" s="134">
        <v>5.08</v>
      </c>
      <c r="CE353" s="134" t="s">
        <v>24</v>
      </c>
      <c r="CF353" s="288" t="s">
        <v>3647</v>
      </c>
      <c r="CG353" s="289" t="s">
        <v>3648</v>
      </c>
      <c r="CH353" s="138"/>
      <c r="CI353" s="134"/>
      <c r="CJ353" s="134"/>
      <c r="CK353" s="134"/>
      <c r="CL353" s="138"/>
      <c r="CM353" s="134"/>
      <c r="CN353" s="134"/>
      <c r="CO353" s="134"/>
      <c r="CP353" s="288"/>
      <c r="CQ353" s="289"/>
      <c r="CR353" s="276"/>
      <c r="CS353" s="308"/>
      <c r="CT353" s="138"/>
      <c r="CU353" s="134"/>
      <c r="CV353" s="134"/>
      <c r="CW353" s="134"/>
      <c r="CX353" s="134"/>
      <c r="CY353" s="134"/>
      <c r="CZ353" s="134"/>
      <c r="DA353" s="134"/>
      <c r="DB353" s="300"/>
      <c r="DC353" s="301"/>
      <c r="DD353" s="134"/>
      <c r="DE353" s="134"/>
      <c r="DF353" s="134"/>
      <c r="DG353" s="134"/>
      <c r="DH353" s="134"/>
      <c r="DI353" s="134"/>
      <c r="DJ353" s="134"/>
      <c r="DK353" s="134"/>
      <c r="DL353" s="300"/>
      <c r="DM353" s="301"/>
      <c r="DN353" s="276"/>
      <c r="DO353" s="277"/>
      <c r="DP353" s="134"/>
      <c r="DQ353" s="134"/>
      <c r="DR353" s="134"/>
      <c r="DS353" s="134"/>
      <c r="DT353" s="138"/>
      <c r="DU353" s="134"/>
      <c r="DV353" s="134"/>
      <c r="DW353" s="134"/>
      <c r="DX353" s="301"/>
      <c r="DY353" s="301"/>
      <c r="DZ353" s="138"/>
      <c r="EA353" s="134"/>
      <c r="EB353" s="134"/>
      <c r="EC353" s="134"/>
      <c r="ED353" s="138"/>
      <c r="EE353" s="134"/>
      <c r="EF353" s="134"/>
      <c r="EG353" s="134"/>
      <c r="EH353" s="301"/>
      <c r="EI353" s="301"/>
      <c r="EJ353" s="277"/>
      <c r="EK353" s="134"/>
      <c r="EL353" s="134"/>
      <c r="EM353" s="134"/>
      <c r="EN353" s="134"/>
      <c r="EO353" s="134"/>
      <c r="EP353" s="134"/>
      <c r="EQ353" s="134"/>
      <c r="ER353" s="134"/>
      <c r="ES353" s="301"/>
      <c r="ET353" s="301"/>
      <c r="EU353" s="134"/>
      <c r="EV353" s="134"/>
      <c r="EW353" s="134"/>
      <c r="EX353" s="134"/>
      <c r="EY353" s="134"/>
      <c r="EZ353" s="134"/>
      <c r="FA353" s="134"/>
      <c r="FB353" s="134"/>
      <c r="FC353" s="135"/>
      <c r="FD353" s="135"/>
      <c r="FE353" s="134"/>
      <c r="FF353" s="134"/>
      <c r="FG353" s="134"/>
      <c r="FH353" s="134"/>
      <c r="FI353" s="134"/>
      <c r="FJ353" s="134"/>
      <c r="FK353" s="134"/>
      <c r="FL353" s="134"/>
      <c r="FM353" s="135"/>
      <c r="FN353" s="135"/>
      <c r="FO353" s="134"/>
      <c r="FP353" s="134"/>
      <c r="FQ353" s="134"/>
      <c r="FR353" s="134"/>
      <c r="FS353" s="134"/>
      <c r="FT353" s="134"/>
      <c r="FU353" s="134"/>
      <c r="FV353" s="134"/>
      <c r="FW353" s="135"/>
      <c r="FX353" s="135"/>
      <c r="FY353" s="134"/>
      <c r="FZ353" s="134"/>
      <c r="GA353" s="134"/>
      <c r="GB353" s="134"/>
      <c r="GC353" s="134"/>
      <c r="GD353" s="134"/>
      <c r="GE353" s="134"/>
      <c r="GF353" s="134"/>
      <c r="GG353" s="135"/>
      <c r="GH353" s="135"/>
      <c r="GI353" s="134"/>
      <c r="GJ353" s="134"/>
      <c r="GK353" s="134"/>
      <c r="GL353" s="134"/>
      <c r="GM353" s="134"/>
      <c r="GN353" s="134"/>
      <c r="GO353" s="134"/>
      <c r="GP353" s="134"/>
      <c r="GQ353" s="135"/>
      <c r="GR353" s="135"/>
      <c r="GS353" s="134"/>
      <c r="GT353" s="134"/>
      <c r="GU353" s="134"/>
      <c r="GV353" s="134"/>
      <c r="GW353" s="134"/>
      <c r="GX353" s="134"/>
      <c r="GY353" s="134"/>
      <c r="GZ353" s="134"/>
      <c r="HA353" s="135"/>
      <c r="HB353" s="135"/>
      <c r="HC353" s="134"/>
      <c r="HD353" s="134"/>
      <c r="HE353" s="134"/>
      <c r="HF353" s="134"/>
      <c r="HG353" s="134"/>
      <c r="HH353" s="134"/>
      <c r="HI353" s="134"/>
      <c r="HJ353" s="134"/>
      <c r="HK353" s="135"/>
      <c r="HL353" s="135"/>
      <c r="HM353" s="134"/>
      <c r="HN353" s="134"/>
      <c r="HO353" s="134"/>
      <c r="HP353" s="134"/>
      <c r="HQ353" s="134"/>
      <c r="HR353" s="134"/>
      <c r="HS353" s="134"/>
      <c r="HT353" s="134"/>
      <c r="HU353" s="135"/>
      <c r="HV353" s="135"/>
      <c r="HW353" s="134"/>
      <c r="HX353" s="134"/>
      <c r="HY353" s="134"/>
      <c r="HZ353" s="134"/>
      <c r="IA353" s="134"/>
      <c r="IB353" s="134"/>
      <c r="IC353" s="134"/>
      <c r="ID353" s="134"/>
      <c r="IE353" s="135"/>
      <c r="IF353" s="135"/>
      <c r="IG353" s="134"/>
      <c r="IH353" s="134"/>
      <c r="II353" s="134"/>
      <c r="IJ353" s="134"/>
      <c r="IK353" s="134"/>
      <c r="IL353" s="134"/>
      <c r="IM353" s="134"/>
      <c r="IN353" s="134"/>
      <c r="IO353" s="135"/>
      <c r="IP353" s="135"/>
      <c r="IQ353" s="134"/>
      <c r="IR353" s="134"/>
      <c r="IS353" s="134"/>
      <c r="IT353" s="134"/>
      <c r="IU353" s="134"/>
      <c r="IV353" s="134"/>
      <c r="IW353" s="134"/>
      <c r="IX353" s="134"/>
      <c r="IY353" s="135"/>
      <c r="IZ353" s="135"/>
    </row>
    <row r="354" spans="1:260" customFormat="1" ht="17" customHeight="1">
      <c r="A354" s="118" t="s">
        <v>962</v>
      </c>
      <c r="B354" s="381">
        <v>49</v>
      </c>
      <c r="C354" s="381"/>
      <c r="D354" s="381"/>
      <c r="E354" s="139" t="s">
        <v>2123</v>
      </c>
      <c r="F354" s="140" t="s">
        <v>2384</v>
      </c>
      <c r="G354" s="141">
        <v>2015</v>
      </c>
      <c r="H354" s="118">
        <v>26019008</v>
      </c>
      <c r="I354" s="118">
        <v>1</v>
      </c>
      <c r="J354" s="118"/>
      <c r="K354" s="118"/>
      <c r="L354" s="118">
        <v>1</v>
      </c>
      <c r="M354" s="118"/>
      <c r="N354" s="387">
        <v>1</v>
      </c>
      <c r="O354" s="142">
        <v>2</v>
      </c>
      <c r="P354" s="118" t="s">
        <v>1604</v>
      </c>
      <c r="Q354" s="118" t="s">
        <v>1216</v>
      </c>
      <c r="R354" s="118" t="s">
        <v>1603</v>
      </c>
      <c r="S354" s="118"/>
      <c r="T354" s="118" t="s">
        <v>1487</v>
      </c>
      <c r="U354" s="118" t="s">
        <v>803</v>
      </c>
      <c r="V354" s="118"/>
      <c r="W354" s="118" t="s">
        <v>1605</v>
      </c>
      <c r="X354" s="118"/>
      <c r="Y354" s="118"/>
      <c r="Z354" s="118"/>
      <c r="AA354" s="118"/>
      <c r="AB354" s="118"/>
      <c r="AC354" s="145"/>
      <c r="AD354" s="573">
        <v>1</v>
      </c>
      <c r="AE354" s="573">
        <v>2</v>
      </c>
      <c r="AF354" s="159">
        <v>1</v>
      </c>
      <c r="AG354" s="155" t="s">
        <v>3657</v>
      </c>
      <c r="AH354" s="122">
        <v>4</v>
      </c>
      <c r="AI354" s="485"/>
      <c r="AJ354" s="204" t="s">
        <v>3635</v>
      </c>
      <c r="AK354" s="192">
        <v>1</v>
      </c>
      <c r="AL354" s="205" t="s">
        <v>3632</v>
      </c>
      <c r="AM354" s="122">
        <v>28</v>
      </c>
      <c r="AN354" s="122" t="s">
        <v>3634</v>
      </c>
      <c r="AO354" s="122">
        <v>11</v>
      </c>
      <c r="AP354" s="122" t="s">
        <v>803</v>
      </c>
      <c r="AQ354" s="122" t="s">
        <v>803</v>
      </c>
      <c r="AR354" s="122" t="s">
        <v>3633</v>
      </c>
      <c r="AS354" s="122" t="s">
        <v>24</v>
      </c>
      <c r="AT354" s="122" t="s">
        <v>3633</v>
      </c>
      <c r="AU354" s="122" t="s">
        <v>24</v>
      </c>
      <c r="AV354" s="122" t="s">
        <v>2963</v>
      </c>
      <c r="AW354" s="122">
        <v>1</v>
      </c>
      <c r="AX354" s="122">
        <v>1</v>
      </c>
      <c r="AY354" s="122" t="s">
        <v>3004</v>
      </c>
      <c r="AZ354" s="122" t="s">
        <v>2730</v>
      </c>
      <c r="BA354" s="122" t="s">
        <v>2798</v>
      </c>
      <c r="BB354" s="122"/>
      <c r="BC354" s="122"/>
      <c r="BD354" s="161">
        <v>1</v>
      </c>
      <c r="BE354" s="161"/>
      <c r="BF354" s="161"/>
      <c r="BG354" s="161"/>
      <c r="BH354" s="161"/>
      <c r="BI354" s="161"/>
      <c r="BJ354" s="161"/>
      <c r="BK354" s="161"/>
      <c r="BL354" s="161"/>
      <c r="BM354" s="161"/>
      <c r="BN354" s="161"/>
      <c r="BO354" s="161"/>
      <c r="BP354" s="161"/>
      <c r="BQ354" s="162" t="s">
        <v>2529</v>
      </c>
      <c r="BR354" s="150" t="s">
        <v>1876</v>
      </c>
      <c r="BS354" s="150">
        <v>2</v>
      </c>
      <c r="BT354" s="150" t="s">
        <v>3637</v>
      </c>
      <c r="BU354" s="150" t="s">
        <v>3656</v>
      </c>
      <c r="BV354" s="145" t="s">
        <v>3640</v>
      </c>
      <c r="BW354" s="258" t="s">
        <v>3655</v>
      </c>
      <c r="BX354" s="151" t="s">
        <v>3642</v>
      </c>
      <c r="BY354" s="150">
        <v>37.700000000000003</v>
      </c>
      <c r="BZ354" s="150">
        <v>4.03</v>
      </c>
      <c r="CA354" s="150" t="s">
        <v>24</v>
      </c>
      <c r="CB354" s="151" t="s">
        <v>3645</v>
      </c>
      <c r="CC354" s="150">
        <v>25.4</v>
      </c>
      <c r="CD354" s="150">
        <v>4.9800000000000004</v>
      </c>
      <c r="CE354" s="150" t="s">
        <v>24</v>
      </c>
      <c r="CF354" s="290" t="s">
        <v>3649</v>
      </c>
      <c r="CG354" s="291" t="s">
        <v>3650</v>
      </c>
      <c r="CH354" s="151"/>
      <c r="CI354" s="150"/>
      <c r="CJ354" s="150"/>
      <c r="CK354" s="150"/>
      <c r="CL354" s="151"/>
      <c r="CM354" s="150"/>
      <c r="CN354" s="150"/>
      <c r="CO354" s="150"/>
      <c r="CP354" s="290"/>
      <c r="CQ354" s="291"/>
      <c r="CR354" s="278"/>
      <c r="CS354" s="285"/>
      <c r="CT354" s="151"/>
      <c r="CU354" s="150"/>
      <c r="CV354" s="150"/>
      <c r="CW354" s="150"/>
      <c r="CX354" s="150"/>
      <c r="CY354" s="150"/>
      <c r="CZ354" s="150"/>
      <c r="DA354" s="150"/>
      <c r="DB354" s="302"/>
      <c r="DC354" s="303"/>
      <c r="DD354" s="150"/>
      <c r="DE354" s="150"/>
      <c r="DF354" s="150"/>
      <c r="DG354" s="150"/>
      <c r="DH354" s="150"/>
      <c r="DI354" s="150"/>
      <c r="DJ354" s="150"/>
      <c r="DK354" s="150"/>
      <c r="DL354" s="302"/>
      <c r="DM354" s="303"/>
      <c r="DN354" s="278"/>
      <c r="DO354" s="279"/>
      <c r="DP354" s="150"/>
      <c r="DQ354" s="150"/>
      <c r="DR354" s="150"/>
      <c r="DS354" s="150"/>
      <c r="DT354" s="151"/>
      <c r="DU354" s="150"/>
      <c r="DV354" s="150"/>
      <c r="DW354" s="150"/>
      <c r="DX354" s="303"/>
      <c r="DY354" s="303"/>
      <c r="DZ354" s="151"/>
      <c r="EA354" s="150"/>
      <c r="EB354" s="150"/>
      <c r="EC354" s="150"/>
      <c r="ED354" s="151"/>
      <c r="EE354" s="150"/>
      <c r="EF354" s="150"/>
      <c r="EG354" s="150"/>
      <c r="EH354" s="303"/>
      <c r="EI354" s="303"/>
      <c r="EJ354" s="279"/>
      <c r="EK354" s="150"/>
      <c r="EL354" s="150"/>
      <c r="EM354" s="150"/>
      <c r="EN354" s="150"/>
      <c r="EO354" s="150"/>
      <c r="EP354" s="150"/>
      <c r="EQ354" s="150"/>
      <c r="ER354" s="150"/>
      <c r="ES354" s="303"/>
      <c r="ET354" s="303"/>
      <c r="EU354" s="150"/>
      <c r="EV354" s="150"/>
      <c r="EW354" s="150"/>
      <c r="EX354" s="150"/>
      <c r="EY354" s="134"/>
      <c r="EZ354" s="134"/>
      <c r="FA354" s="134"/>
      <c r="FB354" s="134"/>
      <c r="FC354" s="135"/>
      <c r="FD354" s="135"/>
      <c r="FE354" s="134"/>
      <c r="FF354" s="134"/>
      <c r="FG354" s="134"/>
      <c r="FH354" s="134"/>
      <c r="FI354" s="134"/>
      <c r="FJ354" s="134"/>
      <c r="FK354" s="134"/>
      <c r="FL354" s="134"/>
      <c r="FM354" s="135"/>
      <c r="FN354" s="135"/>
      <c r="FO354" s="134"/>
      <c r="FP354" s="134"/>
      <c r="FQ354" s="134"/>
      <c r="FR354" s="134"/>
      <c r="FS354" s="134"/>
      <c r="FT354" s="134"/>
      <c r="FU354" s="134"/>
      <c r="FV354" s="134"/>
      <c r="FW354" s="135"/>
      <c r="FX354" s="135"/>
      <c r="FY354" s="134"/>
      <c r="FZ354" s="134"/>
      <c r="GA354" s="134"/>
      <c r="GB354" s="134"/>
      <c r="GC354" s="134"/>
      <c r="GD354" s="134"/>
      <c r="GE354" s="134"/>
      <c r="GF354" s="134"/>
      <c r="GG354" s="135"/>
      <c r="GH354" s="135"/>
      <c r="GI354" s="134"/>
      <c r="GJ354" s="134"/>
      <c r="GK354" s="134"/>
      <c r="GL354" s="134"/>
      <c r="GM354" s="134"/>
      <c r="GN354" s="134"/>
      <c r="GO354" s="134"/>
      <c r="GP354" s="134"/>
      <c r="GQ354" s="135"/>
      <c r="GR354" s="135"/>
      <c r="GS354" s="134"/>
      <c r="GT354" s="134"/>
      <c r="GU354" s="134"/>
      <c r="GV354" s="134"/>
      <c r="GW354" s="134"/>
      <c r="GX354" s="134"/>
      <c r="GY354" s="134"/>
      <c r="GZ354" s="134"/>
      <c r="HA354" s="135"/>
      <c r="HB354" s="135"/>
      <c r="HC354" s="134"/>
      <c r="HD354" s="134"/>
      <c r="HE354" s="134"/>
      <c r="HF354" s="134"/>
      <c r="HG354" s="134"/>
      <c r="HH354" s="134"/>
      <c r="HI354" s="134"/>
      <c r="HJ354" s="134"/>
      <c r="HK354" s="135"/>
      <c r="HL354" s="135"/>
      <c r="HM354" s="134"/>
      <c r="HN354" s="134"/>
      <c r="HO354" s="134"/>
      <c r="HP354" s="134"/>
      <c r="HQ354" s="134"/>
      <c r="HR354" s="134"/>
      <c r="HS354" s="134"/>
      <c r="HT354" s="134"/>
      <c r="HU354" s="135"/>
      <c r="HV354" s="135"/>
      <c r="HW354" s="134"/>
      <c r="HX354" s="134"/>
      <c r="HY354" s="134"/>
      <c r="HZ354" s="134"/>
      <c r="IA354" s="134"/>
      <c r="IB354" s="134"/>
      <c r="IC354" s="134"/>
      <c r="ID354" s="134"/>
      <c r="IE354" s="135"/>
      <c r="IF354" s="135"/>
      <c r="IG354" s="134"/>
      <c r="IH354" s="134"/>
      <c r="II354" s="134"/>
      <c r="IJ354" s="134"/>
      <c r="IK354" s="134"/>
      <c r="IL354" s="134"/>
      <c r="IM354" s="134"/>
      <c r="IN354" s="134"/>
      <c r="IO354" s="135"/>
      <c r="IP354" s="135"/>
      <c r="IQ354" s="134"/>
      <c r="IR354" s="134"/>
      <c r="IS354" s="134"/>
      <c r="IT354" s="134"/>
      <c r="IU354" s="134"/>
      <c r="IV354" s="134"/>
      <c r="IW354" s="134"/>
      <c r="IX354" s="134"/>
      <c r="IY354" s="135"/>
      <c r="IZ354" s="135"/>
    </row>
    <row r="355" spans="1:260" customFormat="1" ht="17" customHeight="1">
      <c r="A355" s="118" t="s">
        <v>962</v>
      </c>
      <c r="B355" s="381">
        <v>49</v>
      </c>
      <c r="C355" s="381"/>
      <c r="D355" s="381"/>
      <c r="E355" s="139" t="s">
        <v>2123</v>
      </c>
      <c r="F355" s="140" t="s">
        <v>2384</v>
      </c>
      <c r="G355" s="141">
        <v>2015</v>
      </c>
      <c r="H355" s="118">
        <v>26019008</v>
      </c>
      <c r="I355" s="118">
        <v>1</v>
      </c>
      <c r="J355" s="118"/>
      <c r="K355" s="118"/>
      <c r="L355" s="118">
        <v>1</v>
      </c>
      <c r="M355" s="118"/>
      <c r="N355" s="387">
        <v>1</v>
      </c>
      <c r="O355" s="142">
        <v>2</v>
      </c>
      <c r="P355" s="118" t="s">
        <v>1604</v>
      </c>
      <c r="Q355" s="118" t="s">
        <v>1216</v>
      </c>
      <c r="R355" s="118" t="s">
        <v>1603</v>
      </c>
      <c r="S355" s="118"/>
      <c r="T355" s="118" t="s">
        <v>1487</v>
      </c>
      <c r="U355" s="118" t="s">
        <v>803</v>
      </c>
      <c r="V355" s="118"/>
      <c r="W355" s="118" t="s">
        <v>1605</v>
      </c>
      <c r="X355" s="118"/>
      <c r="Y355" s="118"/>
      <c r="Z355" s="118"/>
      <c r="AA355" s="118"/>
      <c r="AB355" s="118"/>
      <c r="AC355" s="145"/>
      <c r="AD355" s="573">
        <v>1</v>
      </c>
      <c r="AE355" s="573">
        <v>2</v>
      </c>
      <c r="AF355" s="159">
        <v>1</v>
      </c>
      <c r="AG355" s="155" t="s">
        <v>3657</v>
      </c>
      <c r="AH355" s="122">
        <v>4</v>
      </c>
      <c r="AI355" s="485"/>
      <c r="AJ355" s="204" t="s">
        <v>3635</v>
      </c>
      <c r="AK355" s="192">
        <v>1</v>
      </c>
      <c r="AL355" s="205" t="s">
        <v>3632</v>
      </c>
      <c r="AM355" s="122">
        <v>28</v>
      </c>
      <c r="AN355" s="122" t="s">
        <v>3634</v>
      </c>
      <c r="AO355" s="122">
        <v>11</v>
      </c>
      <c r="AP355" s="122" t="s">
        <v>803</v>
      </c>
      <c r="AQ355" s="122" t="s">
        <v>803</v>
      </c>
      <c r="AR355" s="122" t="s">
        <v>3633</v>
      </c>
      <c r="AS355" s="122" t="s">
        <v>24</v>
      </c>
      <c r="AT355" s="122" t="s">
        <v>3633</v>
      </c>
      <c r="AU355" s="122" t="s">
        <v>24</v>
      </c>
      <c r="AV355" s="122" t="s">
        <v>2963</v>
      </c>
      <c r="AW355" s="122">
        <v>1</v>
      </c>
      <c r="AX355" s="122">
        <v>1</v>
      </c>
      <c r="AY355" s="122" t="s">
        <v>3004</v>
      </c>
      <c r="AZ355" s="122" t="s">
        <v>2730</v>
      </c>
      <c r="BA355" s="122" t="s">
        <v>2798</v>
      </c>
      <c r="BB355" s="122"/>
      <c r="BC355" s="122"/>
      <c r="BD355" s="161">
        <v>1</v>
      </c>
      <c r="BE355" s="161"/>
      <c r="BF355" s="161"/>
      <c r="BG355" s="161"/>
      <c r="BH355" s="161"/>
      <c r="BI355" s="161"/>
      <c r="BJ355" s="161"/>
      <c r="BK355" s="161"/>
      <c r="BL355" s="161"/>
      <c r="BM355" s="161"/>
      <c r="BN355" s="161"/>
      <c r="BO355" s="161"/>
      <c r="BP355" s="161"/>
      <c r="BQ355" s="162" t="s">
        <v>3636</v>
      </c>
      <c r="BR355" s="150" t="s">
        <v>1876</v>
      </c>
      <c r="BS355" s="150">
        <v>2</v>
      </c>
      <c r="BT355" s="150" t="s">
        <v>3639</v>
      </c>
      <c r="BU355" s="150" t="s">
        <v>3656</v>
      </c>
      <c r="BV355" s="145" t="s">
        <v>3640</v>
      </c>
      <c r="BW355" s="258" t="s">
        <v>3653</v>
      </c>
      <c r="BX355" s="151" t="s">
        <v>3643</v>
      </c>
      <c r="BY355" s="150">
        <v>18.100000000000001</v>
      </c>
      <c r="BZ355" s="150">
        <v>4.5999999999999996</v>
      </c>
      <c r="CA355" s="150" t="s">
        <v>24</v>
      </c>
      <c r="CB355" s="151" t="s">
        <v>3646</v>
      </c>
      <c r="CC355" s="150">
        <v>6</v>
      </c>
      <c r="CD355" s="228">
        <v>2</v>
      </c>
      <c r="CE355" s="150" t="s">
        <v>24</v>
      </c>
      <c r="CF355" s="290" t="s">
        <v>3651</v>
      </c>
      <c r="CG355" s="291" t="s">
        <v>3652</v>
      </c>
      <c r="CH355" s="151"/>
      <c r="CI355" s="150"/>
      <c r="CJ355" s="150"/>
      <c r="CK355" s="150"/>
      <c r="CL355" s="151"/>
      <c r="CM355" s="150"/>
      <c r="CN355" s="150"/>
      <c r="CO355" s="150"/>
      <c r="CP355" s="290"/>
      <c r="CQ355" s="291"/>
      <c r="CR355" s="278"/>
      <c r="CS355" s="285"/>
      <c r="CT355" s="151"/>
      <c r="CU355" s="150"/>
      <c r="CV355" s="150"/>
      <c r="CW355" s="150"/>
      <c r="CX355" s="150"/>
      <c r="CY355" s="150"/>
      <c r="CZ355" s="150"/>
      <c r="DA355" s="150"/>
      <c r="DB355" s="302"/>
      <c r="DC355" s="303"/>
      <c r="DD355" s="150"/>
      <c r="DE355" s="150"/>
      <c r="DF355" s="150"/>
      <c r="DG355" s="150"/>
      <c r="DH355" s="150"/>
      <c r="DI355" s="150"/>
      <c r="DJ355" s="150"/>
      <c r="DK355" s="150"/>
      <c r="DL355" s="302"/>
      <c r="DM355" s="303"/>
      <c r="DN355" s="278"/>
      <c r="DO355" s="279"/>
      <c r="DP355" s="150"/>
      <c r="DQ355" s="150"/>
      <c r="DR355" s="150"/>
      <c r="DS355" s="150"/>
      <c r="DT355" s="151"/>
      <c r="DU355" s="150"/>
      <c r="DV355" s="150"/>
      <c r="DW355" s="150"/>
      <c r="DX355" s="303"/>
      <c r="DY355" s="303"/>
      <c r="DZ355" s="151"/>
      <c r="EA355" s="150"/>
      <c r="EB355" s="150"/>
      <c r="EC355" s="150"/>
      <c r="ED355" s="151"/>
      <c r="EE355" s="150"/>
      <c r="EF355" s="150"/>
      <c r="EG355" s="150"/>
      <c r="EH355" s="303"/>
      <c r="EI355" s="303"/>
      <c r="EJ355" s="279"/>
      <c r="EK355" s="150"/>
      <c r="EL355" s="150"/>
      <c r="EM355" s="150"/>
      <c r="EN355" s="150"/>
      <c r="EO355" s="150"/>
      <c r="EP355" s="150"/>
      <c r="EQ355" s="150"/>
      <c r="ER355" s="150"/>
      <c r="ES355" s="303"/>
      <c r="ET355" s="303"/>
      <c r="EU355" s="150"/>
      <c r="EV355" s="150"/>
      <c r="EW355" s="150"/>
      <c r="EX355" s="150"/>
      <c r="EY355" s="134"/>
      <c r="EZ355" s="134"/>
      <c r="FA355" s="134"/>
      <c r="FB355" s="134"/>
      <c r="FC355" s="135"/>
      <c r="FD355" s="135"/>
      <c r="FE355" s="134"/>
      <c r="FF355" s="134"/>
      <c r="FG355" s="134"/>
      <c r="FH355" s="134"/>
      <c r="FI355" s="134"/>
      <c r="FJ355" s="134"/>
      <c r="FK355" s="134"/>
      <c r="FL355" s="134"/>
      <c r="FM355" s="135"/>
      <c r="FN355" s="135"/>
      <c r="FO355" s="134"/>
      <c r="FP355" s="134"/>
      <c r="FQ355" s="134"/>
      <c r="FR355" s="134"/>
      <c r="FS355" s="134"/>
      <c r="FT355" s="134"/>
      <c r="FU355" s="134"/>
      <c r="FV355" s="134"/>
      <c r="FW355" s="135"/>
      <c r="FX355" s="135"/>
      <c r="FY355" s="134"/>
      <c r="FZ355" s="134"/>
      <c r="GA355" s="134"/>
      <c r="GB355" s="134"/>
      <c r="GC355" s="134"/>
      <c r="GD355" s="134"/>
      <c r="GE355" s="134"/>
      <c r="GF355" s="134"/>
      <c r="GG355" s="135"/>
      <c r="GH355" s="135"/>
      <c r="GI355" s="134"/>
      <c r="GJ355" s="134"/>
      <c r="GK355" s="134"/>
      <c r="GL355" s="134"/>
      <c r="GM355" s="134"/>
      <c r="GN355" s="134"/>
      <c r="GO355" s="134"/>
      <c r="GP355" s="134"/>
      <c r="GQ355" s="135"/>
      <c r="GR355" s="135"/>
      <c r="GS355" s="134"/>
      <c r="GT355" s="134"/>
      <c r="GU355" s="134"/>
      <c r="GV355" s="134"/>
      <c r="GW355" s="134"/>
      <c r="GX355" s="134"/>
      <c r="GY355" s="134"/>
      <c r="GZ355" s="134"/>
      <c r="HA355" s="135"/>
      <c r="HB355" s="135"/>
      <c r="HC355" s="134"/>
      <c r="HD355" s="134"/>
      <c r="HE355" s="134"/>
      <c r="HF355" s="134"/>
      <c r="HG355" s="134"/>
      <c r="HH355" s="134"/>
      <c r="HI355" s="134"/>
      <c r="HJ355" s="134"/>
      <c r="HK355" s="135"/>
      <c r="HL355" s="135"/>
      <c r="HM355" s="134"/>
      <c r="HN355" s="134"/>
      <c r="HO355" s="134"/>
      <c r="HP355" s="134"/>
      <c r="HQ355" s="134"/>
      <c r="HR355" s="134"/>
      <c r="HS355" s="134"/>
      <c r="HT355" s="134"/>
      <c r="HU355" s="135"/>
      <c r="HV355" s="135"/>
      <c r="HW355" s="134"/>
      <c r="HX355" s="134"/>
      <c r="HY355" s="134"/>
      <c r="HZ355" s="134"/>
      <c r="IA355" s="134"/>
      <c r="IB355" s="134"/>
      <c r="IC355" s="134"/>
      <c r="ID355" s="134"/>
      <c r="IE355" s="135"/>
      <c r="IF355" s="135"/>
      <c r="IG355" s="134"/>
      <c r="IH355" s="134"/>
      <c r="II355" s="134"/>
      <c r="IJ355" s="134"/>
      <c r="IK355" s="134"/>
      <c r="IL355" s="134"/>
      <c r="IM355" s="134"/>
      <c r="IN355" s="134"/>
      <c r="IO355" s="135"/>
      <c r="IP355" s="135"/>
      <c r="IQ355" s="134"/>
      <c r="IR355" s="134"/>
      <c r="IS355" s="134"/>
      <c r="IT355" s="134"/>
      <c r="IU355" s="134"/>
      <c r="IV355" s="134"/>
      <c r="IW355" s="134"/>
      <c r="IX355" s="134"/>
      <c r="IY355" s="135"/>
      <c r="IZ355" s="135"/>
    </row>
    <row r="356" spans="1:260" customFormat="1" ht="17" customHeight="1">
      <c r="A356" s="79" t="s">
        <v>336</v>
      </c>
      <c r="B356" s="117">
        <v>241</v>
      </c>
      <c r="C356" s="117"/>
      <c r="D356" s="117"/>
      <c r="E356" s="123" t="s">
        <v>2036</v>
      </c>
      <c r="F356" s="124" t="s">
        <v>2274</v>
      </c>
      <c r="G356" s="125">
        <v>1998</v>
      </c>
      <c r="H356" s="79">
        <v>9460740</v>
      </c>
      <c r="I356" s="79">
        <v>1</v>
      </c>
      <c r="J356" s="126"/>
      <c r="K356" s="127"/>
      <c r="L356" s="79">
        <v>1</v>
      </c>
      <c r="M356" s="79"/>
      <c r="N356" s="79">
        <v>1</v>
      </c>
      <c r="O356" s="128">
        <v>1</v>
      </c>
      <c r="P356" s="79" t="s">
        <v>31</v>
      </c>
      <c r="Q356" s="79" t="s">
        <v>1157</v>
      </c>
      <c r="R356" s="79" t="s">
        <v>819</v>
      </c>
      <c r="S356" s="79">
        <v>1</v>
      </c>
      <c r="T356" s="79"/>
      <c r="U356" s="79"/>
      <c r="V356" s="79"/>
      <c r="W356" s="79" t="s">
        <v>873</v>
      </c>
      <c r="X356" s="79" t="s">
        <v>24</v>
      </c>
      <c r="Y356" s="79" t="s">
        <v>24</v>
      </c>
      <c r="Z356" s="79"/>
      <c r="AA356" s="79"/>
      <c r="AB356" s="79"/>
      <c r="AC356" s="506"/>
      <c r="AD356" s="573">
        <v>1</v>
      </c>
      <c r="AE356" s="573">
        <v>2</v>
      </c>
      <c r="AF356" s="154">
        <v>1</v>
      </c>
      <c r="AG356" s="522"/>
      <c r="AH356" s="121">
        <v>2</v>
      </c>
      <c r="AI356" s="484"/>
      <c r="AJ356" s="202" t="s">
        <v>5804</v>
      </c>
      <c r="AK356" s="192">
        <v>1</v>
      </c>
      <c r="AL356" s="203" t="s">
        <v>24</v>
      </c>
      <c r="AM356" s="121">
        <f>Table665[[#This Row],[Subjects_n_ptsd]]+Table665[[#This Row],[Subjects_n_control]]</f>
        <v>43</v>
      </c>
      <c r="AN356" s="121">
        <v>24</v>
      </c>
      <c r="AO356" s="121">
        <v>19</v>
      </c>
      <c r="AP356" s="134" t="s">
        <v>5744</v>
      </c>
      <c r="AQ356" s="121" t="s">
        <v>5745</v>
      </c>
      <c r="AR356" s="121">
        <v>36.299999999999997</v>
      </c>
      <c r="AS356" s="121">
        <v>9.8000000000000007</v>
      </c>
      <c r="AT356" s="121">
        <v>35.299999999999997</v>
      </c>
      <c r="AU356" s="121">
        <v>8.6999999999999993</v>
      </c>
      <c r="AV356" s="121" t="s">
        <v>5746</v>
      </c>
      <c r="AW356" s="121" t="s">
        <v>24</v>
      </c>
      <c r="AX356" s="121" t="s">
        <v>24</v>
      </c>
      <c r="AY356" s="121" t="s">
        <v>5749</v>
      </c>
      <c r="AZ356" s="121" t="s">
        <v>5747</v>
      </c>
      <c r="BA356" s="121" t="s">
        <v>5748</v>
      </c>
      <c r="BB356" s="121"/>
      <c r="BC356" s="121"/>
      <c r="BD356" s="156"/>
      <c r="BE356" s="156"/>
      <c r="BF356" s="156" t="s">
        <v>4727</v>
      </c>
      <c r="BG356" s="156"/>
      <c r="BH356" s="156"/>
      <c r="BI356" s="156"/>
      <c r="BJ356" s="156">
        <v>1</v>
      </c>
      <c r="BK356" s="156"/>
      <c r="BL356" s="156"/>
      <c r="BM356" s="156"/>
      <c r="BN356" s="156" t="s">
        <v>4727</v>
      </c>
      <c r="BO356" s="156"/>
      <c r="BP356" s="156"/>
      <c r="BQ356" s="157" t="s">
        <v>3843</v>
      </c>
      <c r="BR356" s="134" t="s">
        <v>1876</v>
      </c>
      <c r="BS356" s="134">
        <v>2</v>
      </c>
      <c r="BT356" s="134" t="s">
        <v>5750</v>
      </c>
      <c r="BU356" s="134" t="s">
        <v>24</v>
      </c>
      <c r="BV356" s="134" t="s">
        <v>5751</v>
      </c>
      <c r="BW356" s="259" t="s">
        <v>5802</v>
      </c>
      <c r="BX356" s="138" t="s">
        <v>5754</v>
      </c>
      <c r="BY356" s="134">
        <v>44.3</v>
      </c>
      <c r="BZ356" s="168">
        <v>7.9</v>
      </c>
      <c r="CA356" s="134" t="s">
        <v>24</v>
      </c>
      <c r="CB356" s="138" t="s">
        <v>5764</v>
      </c>
      <c r="CC356" s="134">
        <v>49.7</v>
      </c>
      <c r="CD356" s="134">
        <v>7.3</v>
      </c>
      <c r="CE356" s="134" t="s">
        <v>24</v>
      </c>
      <c r="CF356" s="288" t="s">
        <v>5653</v>
      </c>
      <c r="CG356" s="289" t="s">
        <v>5774</v>
      </c>
      <c r="CH356" s="138" t="s">
        <v>5755</v>
      </c>
      <c r="CI356" s="134">
        <v>8.5</v>
      </c>
      <c r="CJ356" s="134">
        <v>2.7</v>
      </c>
      <c r="CK356" s="134" t="s">
        <v>24</v>
      </c>
      <c r="CL356" s="138" t="s">
        <v>5765</v>
      </c>
      <c r="CM356" s="134">
        <v>10.9</v>
      </c>
      <c r="CN356" s="134">
        <v>2.6</v>
      </c>
      <c r="CO356" s="134" t="s">
        <v>24</v>
      </c>
      <c r="CP356" s="288" t="s">
        <v>5775</v>
      </c>
      <c r="CQ356" s="289" t="s">
        <v>5776</v>
      </c>
      <c r="CR356" s="276" t="s">
        <v>24</v>
      </c>
      <c r="CS356" s="308" t="s">
        <v>24</v>
      </c>
      <c r="CT356" s="134" t="s">
        <v>5756</v>
      </c>
      <c r="CU356" s="400">
        <v>7.6</v>
      </c>
      <c r="CV356" s="400">
        <v>3.3</v>
      </c>
      <c r="CW356" s="400" t="s">
        <v>24</v>
      </c>
      <c r="CX356" s="134" t="s">
        <v>5766</v>
      </c>
      <c r="CY356" s="134">
        <v>9.6999999999999993</v>
      </c>
      <c r="CZ356" s="134">
        <v>2.8</v>
      </c>
      <c r="DA356" s="134" t="s">
        <v>24</v>
      </c>
      <c r="DB356" s="300" t="s">
        <v>5777</v>
      </c>
      <c r="DC356" s="301" t="s">
        <v>5778</v>
      </c>
      <c r="DD356" s="134" t="s">
        <v>5757</v>
      </c>
      <c r="DE356" s="134">
        <v>0.9</v>
      </c>
      <c r="DF356" s="134">
        <v>0.2</v>
      </c>
      <c r="DG356" s="134" t="s">
        <v>24</v>
      </c>
      <c r="DH356" s="134" t="s">
        <v>5767</v>
      </c>
      <c r="DI356" s="134">
        <v>0.9</v>
      </c>
      <c r="DJ356" s="134">
        <v>0.2</v>
      </c>
      <c r="DK356" s="134" t="s">
        <v>24</v>
      </c>
      <c r="DL356" s="300" t="s">
        <v>5379</v>
      </c>
      <c r="DM356" s="301" t="s">
        <v>5779</v>
      </c>
      <c r="DN356" s="276" t="s">
        <v>24</v>
      </c>
      <c r="DO356" s="277" t="s">
        <v>24</v>
      </c>
      <c r="DP356" s="134" t="s">
        <v>5758</v>
      </c>
      <c r="DQ356" s="134">
        <v>0.9</v>
      </c>
      <c r="DR356" s="134">
        <v>0.5</v>
      </c>
      <c r="DS356" s="134" t="s">
        <v>24</v>
      </c>
      <c r="DT356" s="134" t="s">
        <v>5768</v>
      </c>
      <c r="DU356" s="134">
        <v>0.9</v>
      </c>
      <c r="DV356" s="134">
        <v>0.4</v>
      </c>
      <c r="DW356" s="134" t="s">
        <v>24</v>
      </c>
      <c r="DX356" s="301" t="s">
        <v>5379</v>
      </c>
      <c r="DY356" s="301" t="s">
        <v>5780</v>
      </c>
      <c r="DZ356" s="138" t="s">
        <v>5759</v>
      </c>
      <c r="EA356" s="134">
        <v>0.8</v>
      </c>
      <c r="EB356" s="134">
        <v>0.2</v>
      </c>
      <c r="EC356" s="134" t="s">
        <v>24</v>
      </c>
      <c r="ED356" s="138" t="s">
        <v>5769</v>
      </c>
      <c r="EE356" s="134">
        <v>0.9</v>
      </c>
      <c r="EF356" s="134">
        <v>0.2</v>
      </c>
      <c r="EG356" s="134" t="s">
        <v>24</v>
      </c>
      <c r="EH356" s="301" t="s">
        <v>4742</v>
      </c>
      <c r="EI356" s="301" t="s">
        <v>5781</v>
      </c>
      <c r="EJ356" s="277" t="s">
        <v>24</v>
      </c>
      <c r="EK356" s="134" t="s">
        <v>5760</v>
      </c>
      <c r="EL356" s="134">
        <v>6.9</v>
      </c>
      <c r="EM356" s="134">
        <v>5.4</v>
      </c>
      <c r="EN356" s="134" t="s">
        <v>24</v>
      </c>
      <c r="EO356" s="134" t="s">
        <v>5770</v>
      </c>
      <c r="EP356" s="134">
        <v>6.8</v>
      </c>
      <c r="EQ356" s="134">
        <v>6.9</v>
      </c>
      <c r="ER356" s="134" t="s">
        <v>24</v>
      </c>
      <c r="ES356" s="301" t="s">
        <v>5379</v>
      </c>
      <c r="ET356" s="301" t="s">
        <v>5782</v>
      </c>
      <c r="EU356" s="134" t="s">
        <v>5761</v>
      </c>
      <c r="EV356" s="134">
        <v>3.8</v>
      </c>
      <c r="EW356" s="134">
        <v>3.4</v>
      </c>
      <c r="EX356" s="134" t="s">
        <v>24</v>
      </c>
      <c r="EY356" s="134" t="s">
        <v>5771</v>
      </c>
      <c r="EZ356" s="134">
        <v>2</v>
      </c>
      <c r="FA356" s="134">
        <v>2.1</v>
      </c>
      <c r="FB356" s="134" t="s">
        <v>24</v>
      </c>
      <c r="FC356" s="135" t="s">
        <v>5783</v>
      </c>
      <c r="FD356" s="135" t="s">
        <v>5784</v>
      </c>
      <c r="FE356" s="134" t="s">
        <v>5762</v>
      </c>
      <c r="FF356" s="134">
        <v>13</v>
      </c>
      <c r="FG356" s="134">
        <v>1.9</v>
      </c>
      <c r="FH356" s="134" t="s">
        <v>24</v>
      </c>
      <c r="FI356" s="134" t="s">
        <v>5772</v>
      </c>
      <c r="FJ356" s="134">
        <v>13.3</v>
      </c>
      <c r="FK356" s="134">
        <v>1.8</v>
      </c>
      <c r="FL356" s="134" t="s">
        <v>24</v>
      </c>
      <c r="FM356" s="135" t="s">
        <v>5785</v>
      </c>
      <c r="FN356" s="135" t="s">
        <v>5786</v>
      </c>
      <c r="FO356" s="134" t="s">
        <v>5763</v>
      </c>
      <c r="FP356" s="134">
        <v>3.8</v>
      </c>
      <c r="FQ356" s="134">
        <v>3.6</v>
      </c>
      <c r="FR356" s="134" t="s">
        <v>24</v>
      </c>
      <c r="FS356" s="134" t="s">
        <v>5773</v>
      </c>
      <c r="FT356" s="134">
        <v>1.8</v>
      </c>
      <c r="FU356" s="134">
        <v>2.1</v>
      </c>
      <c r="FV356" s="134" t="s">
        <v>24</v>
      </c>
      <c r="FW356" s="135" t="s">
        <v>5787</v>
      </c>
      <c r="FX356" s="135" t="s">
        <v>5788</v>
      </c>
      <c r="FY356" s="134" t="s">
        <v>24</v>
      </c>
      <c r="FZ356" s="134"/>
      <c r="GA356" s="134"/>
      <c r="GB356" s="134"/>
      <c r="GC356" s="134"/>
      <c r="GD356" s="134"/>
      <c r="GE356" s="134"/>
      <c r="GF356" s="134"/>
      <c r="GG356" s="135"/>
      <c r="GH356" s="135"/>
      <c r="GI356" s="134"/>
      <c r="GJ356" s="134"/>
      <c r="GK356" s="134"/>
      <c r="GL356" s="134"/>
      <c r="GM356" s="134"/>
      <c r="GN356" s="134"/>
      <c r="GO356" s="134"/>
      <c r="GP356" s="134"/>
      <c r="GQ356" s="135"/>
      <c r="GR356" s="135"/>
      <c r="GS356" s="134"/>
      <c r="GT356" s="134"/>
      <c r="GU356" s="134"/>
      <c r="GV356" s="134"/>
      <c r="GW356" s="134"/>
      <c r="GX356" s="134"/>
      <c r="GY356" s="134"/>
      <c r="GZ356" s="134"/>
      <c r="HA356" s="135"/>
      <c r="HB356" s="135"/>
      <c r="HC356" s="134"/>
      <c r="HD356" s="134"/>
      <c r="HE356" s="134"/>
      <c r="HF356" s="134"/>
      <c r="HG356" s="134"/>
      <c r="HH356" s="134"/>
      <c r="HI356" s="134"/>
      <c r="HJ356" s="134"/>
      <c r="HK356" s="135"/>
      <c r="HL356" s="135"/>
      <c r="HM356" s="134"/>
      <c r="HN356" s="134"/>
      <c r="HO356" s="134"/>
      <c r="HP356" s="134"/>
      <c r="HQ356" s="134"/>
      <c r="HR356" s="134"/>
      <c r="HS356" s="134"/>
      <c r="HT356" s="134"/>
      <c r="HU356" s="135"/>
      <c r="HV356" s="135"/>
      <c r="HW356" s="134"/>
      <c r="HX356" s="134"/>
      <c r="HY356" s="134"/>
      <c r="HZ356" s="134"/>
      <c r="IA356" s="134"/>
      <c r="IB356" s="134"/>
      <c r="IC356" s="134"/>
      <c r="ID356" s="134"/>
      <c r="IE356" s="135"/>
      <c r="IF356" s="135"/>
      <c r="IG356" s="134"/>
      <c r="IH356" s="134"/>
      <c r="II356" s="134"/>
      <c r="IJ356" s="134"/>
      <c r="IK356" s="134"/>
      <c r="IL356" s="134"/>
      <c r="IM356" s="134"/>
      <c r="IN356" s="134"/>
      <c r="IO356" s="135"/>
      <c r="IP356" s="135"/>
      <c r="IQ356" s="134"/>
      <c r="IR356" s="134"/>
      <c r="IS356" s="134"/>
      <c r="IT356" s="134"/>
      <c r="IU356" s="134"/>
      <c r="IV356" s="134"/>
      <c r="IW356" s="134"/>
      <c r="IX356" s="134"/>
      <c r="IY356" s="135"/>
      <c r="IZ356" s="135"/>
    </row>
    <row r="357" spans="1:260" customFormat="1" ht="17" customHeight="1">
      <c r="A357" s="118" t="s">
        <v>336</v>
      </c>
      <c r="B357" s="381">
        <v>241</v>
      </c>
      <c r="C357" s="381"/>
      <c r="D357" s="381"/>
      <c r="E357" s="139" t="s">
        <v>2036</v>
      </c>
      <c r="F357" s="140" t="s">
        <v>2274</v>
      </c>
      <c r="G357" s="141">
        <v>1998</v>
      </c>
      <c r="H357" s="118">
        <v>9460740</v>
      </c>
      <c r="I357" s="118">
        <v>1</v>
      </c>
      <c r="J357" s="118"/>
      <c r="K357" s="118"/>
      <c r="L357" s="118">
        <v>1</v>
      </c>
      <c r="M357" s="118"/>
      <c r="N357" s="118">
        <v>1</v>
      </c>
      <c r="O357" s="142">
        <v>1</v>
      </c>
      <c r="P357" s="118" t="s">
        <v>31</v>
      </c>
      <c r="Q357" s="118" t="s">
        <v>1157</v>
      </c>
      <c r="R357" s="118" t="s">
        <v>819</v>
      </c>
      <c r="S357" s="118">
        <v>1</v>
      </c>
      <c r="T357" s="118"/>
      <c r="U357" s="118"/>
      <c r="V357" s="118"/>
      <c r="W357" s="118" t="s">
        <v>873</v>
      </c>
      <c r="X357" s="118" t="s">
        <v>24</v>
      </c>
      <c r="Y357" s="118" t="s">
        <v>24</v>
      </c>
      <c r="Z357" s="118"/>
      <c r="AA357" s="118"/>
      <c r="AB357" s="118"/>
      <c r="AC357" s="145"/>
      <c r="AD357" s="573">
        <v>1</v>
      </c>
      <c r="AE357" s="573">
        <v>2</v>
      </c>
      <c r="AF357" s="159">
        <v>1</v>
      </c>
      <c r="AG357" s="523"/>
      <c r="AH357" s="122">
        <v>2</v>
      </c>
      <c r="AI357" s="485"/>
      <c r="AJ357" s="204" t="s">
        <v>5804</v>
      </c>
      <c r="AK357" s="192">
        <v>1</v>
      </c>
      <c r="AL357" s="205" t="s">
        <v>24</v>
      </c>
      <c r="AM357" s="122">
        <f>Table665[[#This Row],[Subjects_n_ptsd]]+Table665[[#This Row],[Subjects_n_control]]</f>
        <v>43</v>
      </c>
      <c r="AN357" s="122">
        <v>24</v>
      </c>
      <c r="AO357" s="122">
        <v>19</v>
      </c>
      <c r="AP357" s="150" t="s">
        <v>5744</v>
      </c>
      <c r="AQ357" s="122" t="s">
        <v>5745</v>
      </c>
      <c r="AR357" s="122">
        <v>36.299999999999997</v>
      </c>
      <c r="AS357" s="122">
        <v>9.8000000000000007</v>
      </c>
      <c r="AT357" s="122">
        <v>35.299999999999997</v>
      </c>
      <c r="AU357" s="122">
        <v>8.6999999999999993</v>
      </c>
      <c r="AV357" s="122" t="s">
        <v>5746</v>
      </c>
      <c r="AW357" s="122" t="s">
        <v>24</v>
      </c>
      <c r="AX357" s="122" t="s">
        <v>24</v>
      </c>
      <c r="AY357" s="122" t="s">
        <v>5749</v>
      </c>
      <c r="AZ357" s="122" t="s">
        <v>5747</v>
      </c>
      <c r="BA357" s="122" t="s">
        <v>5748</v>
      </c>
      <c r="BB357" s="122"/>
      <c r="BC357" s="122"/>
      <c r="BD357" s="161"/>
      <c r="BE357" s="161"/>
      <c r="BF357" s="161" t="s">
        <v>4727</v>
      </c>
      <c r="BG357" s="161"/>
      <c r="BH357" s="161"/>
      <c r="BI357" s="161"/>
      <c r="BJ357" s="161">
        <v>1</v>
      </c>
      <c r="BK357" s="161"/>
      <c r="BL357" s="161"/>
      <c r="BM357" s="161"/>
      <c r="BN357" s="161" t="s">
        <v>4727</v>
      </c>
      <c r="BO357" s="161"/>
      <c r="BP357" s="161"/>
      <c r="BQ357" s="162" t="s">
        <v>4001</v>
      </c>
      <c r="BR357" s="150" t="s">
        <v>1876</v>
      </c>
      <c r="BS357" s="150">
        <v>2</v>
      </c>
      <c r="BT357" s="150" t="s">
        <v>5752</v>
      </c>
      <c r="BU357" s="150" t="s">
        <v>24</v>
      </c>
      <c r="BV357" s="150" t="s">
        <v>5753</v>
      </c>
      <c r="BW357" s="258" t="s">
        <v>5803</v>
      </c>
      <c r="BX357" s="151" t="s">
        <v>5789</v>
      </c>
      <c r="BY357" s="150">
        <v>71.099999999999994</v>
      </c>
      <c r="BZ357" s="150">
        <v>6.1</v>
      </c>
      <c r="CA357" s="150" t="s">
        <v>24</v>
      </c>
      <c r="CB357" s="151" t="s">
        <v>5790</v>
      </c>
      <c r="CC357" s="150">
        <v>77.2</v>
      </c>
      <c r="CD357" s="150">
        <v>6.9</v>
      </c>
      <c r="CE357" s="150" t="s">
        <v>24</v>
      </c>
      <c r="CF357" s="290" t="s">
        <v>5799</v>
      </c>
      <c r="CG357" s="291" t="s">
        <v>5795</v>
      </c>
      <c r="CH357" s="151" t="s">
        <v>5791</v>
      </c>
      <c r="CI357" s="150">
        <v>3.2</v>
      </c>
      <c r="CJ357" s="150">
        <v>1.3</v>
      </c>
      <c r="CK357" s="150" t="s">
        <v>24</v>
      </c>
      <c r="CL357" s="151" t="s">
        <v>5792</v>
      </c>
      <c r="CM357" s="150">
        <v>4.3</v>
      </c>
      <c r="CN357" s="150">
        <v>1.8</v>
      </c>
      <c r="CO357" s="150" t="s">
        <v>24</v>
      </c>
      <c r="CP357" s="290" t="s">
        <v>5800</v>
      </c>
      <c r="CQ357" s="291" t="s">
        <v>5796</v>
      </c>
      <c r="CR357" s="278" t="s">
        <v>5801</v>
      </c>
      <c r="CS357" s="285" t="s">
        <v>3026</v>
      </c>
      <c r="CT357" s="151" t="s">
        <v>5793</v>
      </c>
      <c r="CU357" s="150">
        <v>18.3</v>
      </c>
      <c r="CV357" s="150">
        <v>6.4</v>
      </c>
      <c r="CW357" s="150" t="s">
        <v>24</v>
      </c>
      <c r="CX357" s="151" t="s">
        <v>5794</v>
      </c>
      <c r="CY357" s="150">
        <v>14.1</v>
      </c>
      <c r="CZ357" s="150">
        <v>5.7</v>
      </c>
      <c r="DA357" s="150" t="s">
        <v>24</v>
      </c>
      <c r="DB357" s="302" t="s">
        <v>5797</v>
      </c>
      <c r="DC357" s="303" t="s">
        <v>5798</v>
      </c>
      <c r="DD357" s="228"/>
      <c r="DE357" s="150"/>
      <c r="DF357" s="228"/>
      <c r="DG357" s="150"/>
      <c r="DH357" s="228"/>
      <c r="DI357" s="150"/>
      <c r="DJ357" s="150"/>
      <c r="DK357" s="150"/>
      <c r="DL357" s="302"/>
      <c r="DM357" s="303"/>
      <c r="DN357" s="278"/>
      <c r="DO357" s="279"/>
      <c r="DP357" s="150"/>
      <c r="DQ357" s="150"/>
      <c r="DR357" s="228"/>
      <c r="DS357" s="555"/>
      <c r="DT357" s="150"/>
      <c r="DU357" s="150"/>
      <c r="DV357" s="150"/>
      <c r="DW357" s="150"/>
      <c r="DX357" s="303"/>
      <c r="DY357" s="303"/>
      <c r="DZ357" s="150"/>
      <c r="EA357" s="150"/>
      <c r="EB357" s="150"/>
      <c r="EC357" s="555"/>
      <c r="ED357" s="150"/>
      <c r="EE357" s="150"/>
      <c r="EF357" s="150"/>
      <c r="EG357" s="150"/>
      <c r="EH357" s="303"/>
      <c r="EI357" s="303"/>
      <c r="EJ357" s="279"/>
      <c r="EK357" s="150"/>
      <c r="EL357" s="150"/>
      <c r="EM357" s="150"/>
      <c r="EN357" s="555"/>
      <c r="EO357" s="150"/>
      <c r="EP357" s="150"/>
      <c r="EQ357" s="150"/>
      <c r="ER357" s="150"/>
      <c r="ES357" s="303"/>
      <c r="ET357" s="303"/>
      <c r="EU357" s="150"/>
      <c r="EV357" s="150"/>
      <c r="EW357" s="150"/>
      <c r="EX357" s="555"/>
      <c r="EY357" s="150"/>
      <c r="EZ357" s="150"/>
      <c r="FA357" s="150"/>
      <c r="FB357" s="150"/>
      <c r="FC357" s="152"/>
      <c r="FD357" s="152"/>
      <c r="FE357" s="150"/>
      <c r="FF357" s="150"/>
      <c r="FG357" s="150"/>
      <c r="FH357" s="150"/>
      <c r="FI357" s="150"/>
      <c r="FJ357" s="150"/>
      <c r="FK357" s="150"/>
      <c r="FL357" s="150"/>
      <c r="FM357" s="152"/>
      <c r="FN357" s="152"/>
      <c r="FO357" s="150"/>
      <c r="FP357" s="150"/>
      <c r="FQ357" s="150"/>
      <c r="FR357" s="150"/>
      <c r="FS357" s="150"/>
      <c r="FT357" s="150"/>
      <c r="FU357" s="150"/>
      <c r="FV357" s="150"/>
      <c r="FW357" s="152"/>
      <c r="FX357" s="152"/>
      <c r="FY357" s="150"/>
      <c r="FZ357" s="150"/>
      <c r="GA357" s="150"/>
      <c r="GB357" s="150"/>
      <c r="GC357" s="150"/>
      <c r="GD357" s="150"/>
      <c r="GE357" s="150"/>
      <c r="GF357" s="150"/>
      <c r="GG357" s="152"/>
      <c r="GH357" s="152"/>
      <c r="GI357" s="150"/>
      <c r="GJ357" s="150"/>
      <c r="GK357" s="150"/>
      <c r="GL357" s="150"/>
      <c r="GM357" s="150"/>
      <c r="GN357" s="150"/>
      <c r="GO357" s="150"/>
      <c r="GP357" s="150"/>
      <c r="GQ357" s="152"/>
      <c r="GR357" s="152"/>
      <c r="GS357" s="134"/>
      <c r="GT357" s="134"/>
      <c r="GU357" s="134"/>
      <c r="GV357" s="134"/>
      <c r="GW357" s="134"/>
      <c r="GX357" s="134"/>
      <c r="GY357" s="134"/>
      <c r="GZ357" s="134"/>
      <c r="HA357" s="135"/>
      <c r="HB357" s="135"/>
      <c r="HC357" s="134"/>
      <c r="HD357" s="134"/>
      <c r="HE357" s="134"/>
      <c r="HF357" s="134"/>
      <c r="HG357" s="134"/>
      <c r="HH357" s="134"/>
      <c r="HI357" s="134"/>
      <c r="HJ357" s="134"/>
      <c r="HK357" s="135"/>
      <c r="HL357" s="135"/>
      <c r="HM357" s="134"/>
      <c r="HN357" s="134"/>
      <c r="HO357" s="134"/>
      <c r="HP357" s="134"/>
      <c r="HQ357" s="134"/>
      <c r="HR357" s="134"/>
      <c r="HS357" s="134"/>
      <c r="HT357" s="134"/>
      <c r="HU357" s="135"/>
      <c r="HV357" s="135"/>
      <c r="HW357" s="134"/>
      <c r="HX357" s="134"/>
      <c r="HY357" s="134"/>
      <c r="HZ357" s="134"/>
      <c r="IA357" s="134"/>
      <c r="IB357" s="134"/>
      <c r="IC357" s="134"/>
      <c r="ID357" s="134"/>
      <c r="IE357" s="135"/>
      <c r="IF357" s="135"/>
      <c r="IG357" s="134"/>
      <c r="IH357" s="134"/>
      <c r="II357" s="134"/>
      <c r="IJ357" s="134"/>
      <c r="IK357" s="134"/>
      <c r="IL357" s="134"/>
      <c r="IM357" s="134"/>
      <c r="IN357" s="134"/>
      <c r="IO357" s="135"/>
      <c r="IP357" s="135"/>
      <c r="IQ357" s="134"/>
      <c r="IR357" s="134"/>
      <c r="IS357" s="134"/>
      <c r="IT357" s="134"/>
      <c r="IU357" s="134"/>
      <c r="IV357" s="134"/>
      <c r="IW357" s="134"/>
      <c r="IX357" s="134"/>
      <c r="IY357" s="135"/>
      <c r="IZ357" s="135"/>
    </row>
    <row r="358" spans="1:260" customFormat="1" ht="17" customHeight="1">
      <c r="A358" s="79" t="s">
        <v>337</v>
      </c>
      <c r="B358" s="117">
        <v>242</v>
      </c>
      <c r="C358" s="117">
        <v>88</v>
      </c>
      <c r="D358" s="117"/>
      <c r="E358" s="123" t="s">
        <v>2036</v>
      </c>
      <c r="F358" s="124" t="s">
        <v>2275</v>
      </c>
      <c r="G358" s="125">
        <v>2002</v>
      </c>
      <c r="H358" s="79">
        <v>11853357</v>
      </c>
      <c r="I358" s="79">
        <v>1</v>
      </c>
      <c r="J358" s="126"/>
      <c r="K358" s="127"/>
      <c r="L358" s="79">
        <v>1</v>
      </c>
      <c r="M358" s="79"/>
      <c r="N358" s="79">
        <v>1</v>
      </c>
      <c r="O358" s="128">
        <v>1</v>
      </c>
      <c r="P358" s="79" t="s">
        <v>874</v>
      </c>
      <c r="Q358" s="79" t="s">
        <v>1172</v>
      </c>
      <c r="R358" s="79" t="s">
        <v>25</v>
      </c>
      <c r="S358" s="79">
        <v>1</v>
      </c>
      <c r="T358" s="79"/>
      <c r="U358" s="79"/>
      <c r="V358" s="79"/>
      <c r="W358" s="79" t="s">
        <v>875</v>
      </c>
      <c r="X358" s="79" t="s">
        <v>24</v>
      </c>
      <c r="Y358" s="79" t="s">
        <v>24</v>
      </c>
      <c r="Z358" s="79"/>
      <c r="AA358" s="79"/>
      <c r="AB358" s="79"/>
      <c r="AC358" s="506"/>
      <c r="AD358" s="573">
        <v>1</v>
      </c>
      <c r="AE358" s="573">
        <v>2</v>
      </c>
      <c r="AF358" s="154">
        <v>1</v>
      </c>
      <c r="AG358" s="155"/>
      <c r="AH358" s="121">
        <v>2</v>
      </c>
      <c r="AI358" s="524" t="s">
        <v>5806</v>
      </c>
      <c r="AJ358" s="202"/>
      <c r="AK358" s="192">
        <v>1</v>
      </c>
      <c r="AL358" s="203">
        <v>0</v>
      </c>
      <c r="AM358" s="121">
        <f>Table665[[#This Row],[Subjects_n_ptsd]]+Table665[[#This Row],[Subjects_n_control]]</f>
        <v>47</v>
      </c>
      <c r="AN358" s="121">
        <v>26</v>
      </c>
      <c r="AO358" s="121">
        <v>21</v>
      </c>
      <c r="AP358" s="121" t="s">
        <v>803</v>
      </c>
      <c r="AQ358" s="121" t="s">
        <v>803</v>
      </c>
      <c r="AR358" s="121">
        <v>50.19</v>
      </c>
      <c r="AS358" s="121">
        <v>3.28</v>
      </c>
      <c r="AT358" s="121">
        <v>51.57</v>
      </c>
      <c r="AU358" s="121">
        <v>4.91</v>
      </c>
      <c r="AV358" s="121" t="s">
        <v>3206</v>
      </c>
      <c r="AW358" s="121" t="s">
        <v>24</v>
      </c>
      <c r="AX358" s="121" t="s">
        <v>24</v>
      </c>
      <c r="AY358" s="121" t="s">
        <v>5021</v>
      </c>
      <c r="AZ358" s="121" t="s">
        <v>3835</v>
      </c>
      <c r="BA358" s="121" t="s">
        <v>5805</v>
      </c>
      <c r="BB358" s="121"/>
      <c r="BC358" s="121"/>
      <c r="BD358" s="156"/>
      <c r="BE358" s="156"/>
      <c r="BF358" s="156" t="s">
        <v>4727</v>
      </c>
      <c r="BG358" s="156"/>
      <c r="BH358" s="156"/>
      <c r="BI358" s="156"/>
      <c r="BJ358" s="156">
        <v>1</v>
      </c>
      <c r="BK358" s="156"/>
      <c r="BL358" s="156"/>
      <c r="BM358" s="156"/>
      <c r="BN358" s="156" t="s">
        <v>4727</v>
      </c>
      <c r="BO358" s="156"/>
      <c r="BP358" s="156"/>
      <c r="BQ358" s="157" t="s">
        <v>5808</v>
      </c>
      <c r="BR358" s="134" t="s">
        <v>1876</v>
      </c>
      <c r="BS358" s="134">
        <v>2</v>
      </c>
      <c r="BT358" s="134" t="s">
        <v>4178</v>
      </c>
      <c r="BU358" s="134" t="s">
        <v>24</v>
      </c>
      <c r="BV358" s="134" t="s">
        <v>5810</v>
      </c>
      <c r="BW358" s="259" t="s">
        <v>5824</v>
      </c>
      <c r="BX358" s="138" t="s">
        <v>4231</v>
      </c>
      <c r="BY358" s="138">
        <v>40.46</v>
      </c>
      <c r="BZ358" s="138">
        <v>8.91</v>
      </c>
      <c r="CA358" s="134" t="s">
        <v>24</v>
      </c>
      <c r="CB358" s="138" t="s">
        <v>5812</v>
      </c>
      <c r="CC358" s="134">
        <v>46.33</v>
      </c>
      <c r="CD358" s="134">
        <v>4.5999999999999996</v>
      </c>
      <c r="CE358" s="134" t="s">
        <v>24</v>
      </c>
      <c r="CF358" s="288" t="s">
        <v>5815</v>
      </c>
      <c r="CG358" s="289" t="s">
        <v>5816</v>
      </c>
      <c r="CH358" s="138" t="s">
        <v>5817</v>
      </c>
      <c r="CI358" s="134">
        <v>0.76</v>
      </c>
      <c r="CJ358" s="134">
        <v>0.21</v>
      </c>
      <c r="CK358" s="134" t="s">
        <v>24</v>
      </c>
      <c r="CL358" s="138" t="s">
        <v>5818</v>
      </c>
      <c r="CM358" s="134">
        <v>0.8</v>
      </c>
      <c r="CN358" s="134">
        <v>0.13</v>
      </c>
      <c r="CO358" s="134" t="s">
        <v>24</v>
      </c>
      <c r="CP358" s="288" t="s">
        <v>5821</v>
      </c>
      <c r="CQ358" s="289" t="s">
        <v>5822</v>
      </c>
      <c r="CR358" s="276" t="s">
        <v>24</v>
      </c>
      <c r="CS358" s="308" t="s">
        <v>24</v>
      </c>
      <c r="CT358" s="138" t="s">
        <v>5819</v>
      </c>
      <c r="CU358" s="134">
        <v>0.98</v>
      </c>
      <c r="CV358" s="134">
        <v>0.28999999999999998</v>
      </c>
      <c r="CW358" s="134" t="s">
        <v>24</v>
      </c>
      <c r="CX358" s="138" t="s">
        <v>5820</v>
      </c>
      <c r="CY358" s="134">
        <v>0.98</v>
      </c>
      <c r="CZ358" s="134">
        <v>0.16</v>
      </c>
      <c r="DA358" s="134" t="s">
        <v>24</v>
      </c>
      <c r="DB358" s="300" t="s">
        <v>5823</v>
      </c>
      <c r="DC358" s="301" t="s">
        <v>5827</v>
      </c>
      <c r="DD358" s="134" t="s">
        <v>24</v>
      </c>
      <c r="DE358" s="134" t="s">
        <v>24</v>
      </c>
      <c r="DF358" s="134"/>
      <c r="DG358" s="134"/>
      <c r="DH358" s="134"/>
      <c r="DI358" s="134"/>
      <c r="DJ358" s="134"/>
      <c r="DK358" s="134"/>
      <c r="DL358" s="300"/>
      <c r="DM358" s="301"/>
      <c r="DN358" s="276"/>
      <c r="DO358" s="277"/>
      <c r="DP358" s="134"/>
      <c r="DQ358" s="134"/>
      <c r="DR358" s="134"/>
      <c r="DS358" s="134"/>
      <c r="DT358" s="138"/>
      <c r="DU358" s="134"/>
      <c r="DV358" s="134"/>
      <c r="DW358" s="134"/>
      <c r="DX358" s="301"/>
      <c r="DY358" s="301"/>
      <c r="DZ358" s="138"/>
      <c r="EA358" s="134"/>
      <c r="EB358" s="134"/>
      <c r="EC358" s="134"/>
      <c r="ED358" s="138"/>
      <c r="EE358" s="134"/>
      <c r="EF358" s="134"/>
      <c r="EG358" s="134"/>
      <c r="EH358" s="301"/>
      <c r="EI358" s="301"/>
      <c r="EJ358" s="277"/>
      <c r="EK358" s="134"/>
      <c r="EL358" s="134"/>
      <c r="EM358" s="134"/>
      <c r="EN358" s="134"/>
      <c r="EO358" s="134"/>
      <c r="EP358" s="134"/>
      <c r="EQ358" s="134"/>
      <c r="ER358" s="134"/>
      <c r="ES358" s="301"/>
      <c r="ET358" s="301"/>
      <c r="EU358" s="134"/>
      <c r="EV358" s="134"/>
      <c r="EW358" s="134"/>
      <c r="EX358" s="134"/>
      <c r="EY358" s="134"/>
      <c r="EZ358" s="134"/>
      <c r="FA358" s="134"/>
      <c r="FB358" s="134"/>
      <c r="FC358" s="135"/>
      <c r="FD358" s="135"/>
      <c r="FE358" s="134"/>
      <c r="FF358" s="134"/>
      <c r="FG358" s="134"/>
      <c r="FH358" s="134"/>
      <c r="FI358" s="134"/>
      <c r="FJ358" s="134"/>
      <c r="FK358" s="134"/>
      <c r="FL358" s="134"/>
      <c r="FM358" s="135"/>
      <c r="FN358" s="135"/>
      <c r="FO358" s="134"/>
      <c r="FP358" s="134"/>
      <c r="FQ358" s="134"/>
      <c r="FR358" s="134"/>
      <c r="FS358" s="134"/>
      <c r="FT358" s="134"/>
      <c r="FU358" s="134"/>
      <c r="FV358" s="134"/>
      <c r="FW358" s="135"/>
      <c r="FX358" s="135"/>
      <c r="FY358" s="134"/>
      <c r="FZ358" s="134"/>
      <c r="GA358" s="134"/>
      <c r="GB358" s="134"/>
      <c r="GC358" s="134"/>
      <c r="GD358" s="134"/>
      <c r="GE358" s="134"/>
      <c r="GF358" s="134"/>
      <c r="GG358" s="135"/>
      <c r="GH358" s="135"/>
      <c r="GI358" s="134"/>
      <c r="GJ358" s="134"/>
      <c r="GK358" s="134"/>
      <c r="GL358" s="134"/>
      <c r="GM358" s="134"/>
      <c r="GN358" s="134"/>
      <c r="GO358" s="134"/>
      <c r="GP358" s="134"/>
      <c r="GQ358" s="135"/>
      <c r="GR358" s="135"/>
      <c r="GS358" s="134"/>
      <c r="GT358" s="134"/>
      <c r="GU358" s="134"/>
      <c r="GV358" s="134"/>
      <c r="GW358" s="134"/>
      <c r="GX358" s="134"/>
      <c r="GY358" s="134"/>
      <c r="GZ358" s="134"/>
      <c r="HA358" s="135"/>
      <c r="HB358" s="135"/>
      <c r="HC358" s="134"/>
      <c r="HD358" s="134"/>
      <c r="HE358" s="134"/>
      <c r="HF358" s="134"/>
      <c r="HG358" s="134"/>
      <c r="HH358" s="134"/>
      <c r="HI358" s="134"/>
      <c r="HJ358" s="134"/>
      <c r="HK358" s="135"/>
      <c r="HL358" s="135"/>
      <c r="HM358" s="134"/>
      <c r="HN358" s="134"/>
      <c r="HO358" s="134"/>
      <c r="HP358" s="134"/>
      <c r="HQ358" s="134"/>
      <c r="HR358" s="134"/>
      <c r="HS358" s="134"/>
      <c r="HT358" s="134"/>
      <c r="HU358" s="135"/>
      <c r="HV358" s="135"/>
      <c r="HW358" s="134"/>
      <c r="HX358" s="134"/>
      <c r="HY358" s="134"/>
      <c r="HZ358" s="134"/>
      <c r="IA358" s="134"/>
      <c r="IB358" s="134"/>
      <c r="IC358" s="134"/>
      <c r="ID358" s="134"/>
      <c r="IE358" s="135"/>
      <c r="IF358" s="135"/>
      <c r="IG358" s="134"/>
      <c r="IH358" s="134"/>
      <c r="II358" s="134"/>
      <c r="IJ358" s="134"/>
      <c r="IK358" s="134"/>
      <c r="IL358" s="134"/>
      <c r="IM358" s="134"/>
      <c r="IN358" s="134"/>
      <c r="IO358" s="135"/>
      <c r="IP358" s="135"/>
      <c r="IQ358" s="134"/>
      <c r="IR358" s="134"/>
      <c r="IS358" s="134"/>
      <c r="IT358" s="134"/>
      <c r="IU358" s="134"/>
      <c r="IV358" s="134"/>
      <c r="IW358" s="134"/>
      <c r="IX358" s="134"/>
      <c r="IY358" s="135"/>
      <c r="IZ358" s="135"/>
    </row>
    <row r="359" spans="1:260" customFormat="1" ht="17" customHeight="1">
      <c r="A359" s="118" t="s">
        <v>337</v>
      </c>
      <c r="B359" s="381">
        <v>242</v>
      </c>
      <c r="C359" s="381">
        <v>88</v>
      </c>
      <c r="D359" s="381"/>
      <c r="E359" s="139" t="s">
        <v>2036</v>
      </c>
      <c r="F359" s="140" t="s">
        <v>2275</v>
      </c>
      <c r="G359" s="141">
        <v>2002</v>
      </c>
      <c r="H359" s="118">
        <v>11853357</v>
      </c>
      <c r="I359" s="118">
        <v>1</v>
      </c>
      <c r="J359" s="118"/>
      <c r="K359" s="118"/>
      <c r="L359" s="118">
        <v>1</v>
      </c>
      <c r="M359" s="118"/>
      <c r="N359" s="118">
        <v>1</v>
      </c>
      <c r="O359" s="142">
        <v>1</v>
      </c>
      <c r="P359" s="118" t="s">
        <v>874</v>
      </c>
      <c r="Q359" s="118" t="s">
        <v>1172</v>
      </c>
      <c r="R359" s="118" t="s">
        <v>25</v>
      </c>
      <c r="S359" s="118">
        <v>1</v>
      </c>
      <c r="T359" s="118"/>
      <c r="U359" s="118"/>
      <c r="V359" s="118"/>
      <c r="W359" s="118" t="s">
        <v>875</v>
      </c>
      <c r="X359" s="118" t="s">
        <v>24</v>
      </c>
      <c r="Y359" s="118" t="s">
        <v>24</v>
      </c>
      <c r="Z359" s="118"/>
      <c r="AA359" s="118"/>
      <c r="AB359" s="118"/>
      <c r="AC359" s="145"/>
      <c r="AD359" s="573">
        <v>1</v>
      </c>
      <c r="AE359" s="573">
        <v>2</v>
      </c>
      <c r="AF359" s="159">
        <v>1</v>
      </c>
      <c r="AG359" s="160"/>
      <c r="AH359" s="122">
        <v>2</v>
      </c>
      <c r="AI359" s="525" t="s">
        <v>5806</v>
      </c>
      <c r="AJ359" s="204"/>
      <c r="AK359" s="192">
        <v>1</v>
      </c>
      <c r="AL359" s="205">
        <v>0</v>
      </c>
      <c r="AM359" s="122">
        <f>Table665[[#This Row],[Subjects_n_ptsd]]+Table665[[#This Row],[Subjects_n_control]]</f>
        <v>47</v>
      </c>
      <c r="AN359" s="122">
        <v>26</v>
      </c>
      <c r="AO359" s="122">
        <v>21</v>
      </c>
      <c r="AP359" s="122" t="s">
        <v>803</v>
      </c>
      <c r="AQ359" s="122" t="s">
        <v>803</v>
      </c>
      <c r="AR359" s="122">
        <v>50.19</v>
      </c>
      <c r="AS359" s="122">
        <v>3.28</v>
      </c>
      <c r="AT359" s="122">
        <v>51.57</v>
      </c>
      <c r="AU359" s="122">
        <v>4.91</v>
      </c>
      <c r="AV359" s="122" t="s">
        <v>3206</v>
      </c>
      <c r="AW359" s="122" t="s">
        <v>24</v>
      </c>
      <c r="AX359" s="122" t="s">
        <v>24</v>
      </c>
      <c r="AY359" s="122" t="s">
        <v>5021</v>
      </c>
      <c r="AZ359" s="122" t="s">
        <v>3835</v>
      </c>
      <c r="BA359" s="122" t="s">
        <v>5805</v>
      </c>
      <c r="BB359" s="122"/>
      <c r="BC359" s="122"/>
      <c r="BD359" s="161"/>
      <c r="BE359" s="161"/>
      <c r="BF359" s="161" t="s">
        <v>4727</v>
      </c>
      <c r="BG359" s="161"/>
      <c r="BH359" s="161"/>
      <c r="BI359" s="161"/>
      <c r="BJ359" s="161">
        <v>1</v>
      </c>
      <c r="BK359" s="161"/>
      <c r="BL359" s="161"/>
      <c r="BM359" s="161"/>
      <c r="BN359" s="161" t="s">
        <v>4727</v>
      </c>
      <c r="BO359" s="161"/>
      <c r="BP359" s="161"/>
      <c r="BQ359" s="162" t="s">
        <v>5809</v>
      </c>
      <c r="BR359" s="150" t="s">
        <v>1876</v>
      </c>
      <c r="BS359" s="150">
        <v>2</v>
      </c>
      <c r="BT359" s="150" t="s">
        <v>5807</v>
      </c>
      <c r="BU359" s="150" t="s">
        <v>24</v>
      </c>
      <c r="BV359" s="134" t="s">
        <v>5811</v>
      </c>
      <c r="BW359" s="258" t="s">
        <v>5828</v>
      </c>
      <c r="BX359" s="151" t="s">
        <v>5789</v>
      </c>
      <c r="BY359" s="151">
        <v>71.69</v>
      </c>
      <c r="BZ359" s="151">
        <v>8.39</v>
      </c>
      <c r="CA359" s="150" t="s">
        <v>24</v>
      </c>
      <c r="CB359" s="151" t="s">
        <v>5790</v>
      </c>
      <c r="CC359" s="150">
        <v>72.05</v>
      </c>
      <c r="CD359" s="150">
        <v>5.8</v>
      </c>
      <c r="CE359" s="150" t="s">
        <v>24</v>
      </c>
      <c r="CF359" s="290" t="s">
        <v>3229</v>
      </c>
      <c r="CG359" s="291" t="s">
        <v>5826</v>
      </c>
      <c r="CH359" s="151" t="s">
        <v>5813</v>
      </c>
      <c r="CI359" s="150">
        <v>3.54</v>
      </c>
      <c r="CJ359" s="150">
        <v>1.42</v>
      </c>
      <c r="CK359" s="150" t="s">
        <v>24</v>
      </c>
      <c r="CL359" s="151" t="s">
        <v>5814</v>
      </c>
      <c r="CM359" s="150">
        <v>3.59</v>
      </c>
      <c r="CN359" s="150">
        <v>1.28</v>
      </c>
      <c r="CO359" s="150" t="s">
        <v>24</v>
      </c>
      <c r="CP359" s="290" t="s">
        <v>3229</v>
      </c>
      <c r="CQ359" s="291" t="s">
        <v>5825</v>
      </c>
      <c r="CR359" s="278"/>
      <c r="CS359" s="285"/>
      <c r="CT359" s="151"/>
      <c r="CU359" s="150"/>
      <c r="CV359" s="150"/>
      <c r="CW359" s="150"/>
      <c r="CX359" s="150"/>
      <c r="CY359" s="150"/>
      <c r="CZ359" s="150"/>
      <c r="DA359" s="150"/>
      <c r="DB359" s="302"/>
      <c r="DC359" s="303"/>
      <c r="DD359" s="150"/>
      <c r="DE359" s="150"/>
      <c r="DF359" s="150"/>
      <c r="DG359" s="150"/>
      <c r="DH359" s="150"/>
      <c r="DI359" s="150"/>
      <c r="DJ359" s="150"/>
      <c r="DK359" s="150"/>
      <c r="DL359" s="302"/>
      <c r="DM359" s="303"/>
      <c r="DN359" s="278"/>
      <c r="DO359" s="279"/>
      <c r="DP359" s="150"/>
      <c r="DQ359" s="150"/>
      <c r="DR359" s="150"/>
      <c r="DS359" s="150"/>
      <c r="DT359" s="151"/>
      <c r="DU359" s="150"/>
      <c r="DV359" s="150"/>
      <c r="DW359" s="150"/>
      <c r="DX359" s="303"/>
      <c r="DY359" s="303"/>
      <c r="DZ359" s="151"/>
      <c r="EA359" s="150"/>
      <c r="EB359" s="150"/>
      <c r="EC359" s="150"/>
      <c r="ED359" s="151"/>
      <c r="EE359" s="150"/>
      <c r="EF359" s="150"/>
      <c r="EG359" s="150"/>
      <c r="EH359" s="303"/>
      <c r="EI359" s="303"/>
      <c r="EJ359" s="279"/>
      <c r="EK359" s="150"/>
      <c r="EL359" s="150"/>
      <c r="EM359" s="150"/>
      <c r="EN359" s="150"/>
      <c r="EO359" s="150"/>
      <c r="EP359" s="150"/>
      <c r="EQ359" s="150"/>
      <c r="ER359" s="150"/>
      <c r="ES359" s="303"/>
      <c r="ET359" s="303"/>
      <c r="EU359" s="150"/>
      <c r="EV359" s="150"/>
      <c r="EW359" s="150"/>
      <c r="EX359" s="150"/>
      <c r="EY359" s="150"/>
      <c r="EZ359" s="150"/>
      <c r="FA359" s="150"/>
      <c r="FB359" s="150"/>
      <c r="FC359" s="152"/>
      <c r="FD359" s="152"/>
      <c r="FE359" s="150"/>
      <c r="FF359" s="150"/>
      <c r="FG359" s="150"/>
      <c r="FH359" s="150"/>
      <c r="FI359" s="150"/>
      <c r="FJ359" s="150"/>
      <c r="FK359" s="150"/>
      <c r="FL359" s="150"/>
      <c r="FM359" s="152"/>
      <c r="FN359" s="152"/>
      <c r="FO359" s="150"/>
      <c r="FP359" s="150"/>
      <c r="FQ359" s="150"/>
      <c r="FR359" s="150"/>
      <c r="FS359" s="150"/>
      <c r="FT359" s="150"/>
      <c r="FU359" s="150"/>
      <c r="FV359" s="150"/>
      <c r="FW359" s="152"/>
      <c r="FX359" s="152"/>
      <c r="FY359" s="150"/>
      <c r="FZ359" s="150"/>
      <c r="GA359" s="150"/>
      <c r="GB359" s="150"/>
      <c r="GC359" s="150"/>
      <c r="GD359" s="150"/>
      <c r="GE359" s="150"/>
      <c r="GF359" s="150"/>
      <c r="GG359" s="152"/>
      <c r="GH359" s="152"/>
      <c r="GI359" s="150"/>
      <c r="GJ359" s="150"/>
      <c r="GK359" s="150"/>
      <c r="GL359" s="150"/>
      <c r="GM359" s="150"/>
      <c r="GN359" s="150"/>
      <c r="GO359" s="150"/>
      <c r="GP359" s="150"/>
      <c r="GQ359" s="152"/>
      <c r="GR359" s="152"/>
      <c r="GS359" s="134"/>
      <c r="GT359" s="134"/>
      <c r="GU359" s="134"/>
      <c r="GV359" s="134"/>
      <c r="GW359" s="134"/>
      <c r="GX359" s="134"/>
      <c r="GY359" s="134"/>
      <c r="GZ359" s="134"/>
      <c r="HA359" s="135"/>
      <c r="HB359" s="135"/>
      <c r="HC359" s="134"/>
      <c r="HD359" s="134"/>
      <c r="HE359" s="134"/>
      <c r="HF359" s="134"/>
      <c r="HG359" s="134"/>
      <c r="HH359" s="134"/>
      <c r="HI359" s="134"/>
      <c r="HJ359" s="134"/>
      <c r="HK359" s="135"/>
      <c r="HL359" s="135"/>
      <c r="HM359" s="134"/>
      <c r="HN359" s="134"/>
      <c r="HO359" s="134"/>
      <c r="HP359" s="134"/>
      <c r="HQ359" s="134"/>
      <c r="HR359" s="134"/>
      <c r="HS359" s="134"/>
      <c r="HT359" s="134"/>
      <c r="HU359" s="135"/>
      <c r="HV359" s="135"/>
      <c r="HW359" s="134"/>
      <c r="HX359" s="134"/>
      <c r="HY359" s="134"/>
      <c r="HZ359" s="134"/>
      <c r="IA359" s="134"/>
      <c r="IB359" s="134"/>
      <c r="IC359" s="134"/>
      <c r="ID359" s="134"/>
      <c r="IE359" s="135"/>
      <c r="IF359" s="135"/>
      <c r="IG359" s="134"/>
      <c r="IH359" s="134"/>
      <c r="II359" s="134"/>
      <c r="IJ359" s="134"/>
      <c r="IK359" s="134"/>
      <c r="IL359" s="134"/>
      <c r="IM359" s="134"/>
      <c r="IN359" s="134"/>
      <c r="IO359" s="135"/>
      <c r="IP359" s="135"/>
      <c r="IQ359" s="134"/>
      <c r="IR359" s="134"/>
      <c r="IS359" s="134"/>
      <c r="IT359" s="134"/>
      <c r="IU359" s="134"/>
      <c r="IV359" s="134"/>
      <c r="IW359" s="134"/>
      <c r="IX359" s="134"/>
      <c r="IY359" s="135"/>
      <c r="IZ359" s="135"/>
    </row>
    <row r="360" spans="1:260" customFormat="1" ht="17" customHeight="1">
      <c r="A360" s="79" t="s">
        <v>338</v>
      </c>
      <c r="B360" s="117">
        <v>243</v>
      </c>
      <c r="C360" s="117">
        <v>89</v>
      </c>
      <c r="D360" s="117"/>
      <c r="E360" s="123" t="s">
        <v>2037</v>
      </c>
      <c r="F360" s="124" t="s">
        <v>2276</v>
      </c>
      <c r="G360" s="125">
        <v>2014</v>
      </c>
      <c r="H360" s="79">
        <v>24245929</v>
      </c>
      <c r="I360" s="79">
        <v>1</v>
      </c>
      <c r="J360" s="126"/>
      <c r="K360" s="127"/>
      <c r="L360" s="79">
        <v>1</v>
      </c>
      <c r="M360" s="79"/>
      <c r="N360" s="79">
        <v>1</v>
      </c>
      <c r="O360" s="128">
        <v>1</v>
      </c>
      <c r="P360" s="79" t="s">
        <v>876</v>
      </c>
      <c r="Q360" s="79" t="s">
        <v>1191</v>
      </c>
      <c r="R360" s="79" t="s">
        <v>878</v>
      </c>
      <c r="S360" s="79">
        <v>1</v>
      </c>
      <c r="T360" s="79"/>
      <c r="U360" s="79"/>
      <c r="V360" s="79"/>
      <c r="W360" s="79" t="s">
        <v>1190</v>
      </c>
      <c r="X360" s="79" t="s">
        <v>24</v>
      </c>
      <c r="Y360" s="79" t="s">
        <v>24</v>
      </c>
      <c r="Z360" s="79" t="s">
        <v>877</v>
      </c>
      <c r="AA360" s="79"/>
      <c r="AB360" s="79"/>
      <c r="AC360" s="506"/>
      <c r="AD360" s="573">
        <v>1</v>
      </c>
      <c r="AE360" s="573">
        <v>2</v>
      </c>
      <c r="AF360" s="165">
        <v>0</v>
      </c>
      <c r="AG360" s="166" t="s">
        <v>5888</v>
      </c>
      <c r="AH360" s="120">
        <v>2</v>
      </c>
      <c r="AI360" s="120"/>
      <c r="AJ360" s="206"/>
      <c r="AK360" s="372"/>
      <c r="AL360" s="207"/>
      <c r="AM360" s="120"/>
      <c r="AN360" s="120"/>
      <c r="AO360" s="120"/>
      <c r="AP360" s="120"/>
      <c r="AQ360" s="120"/>
      <c r="AR360" s="120"/>
      <c r="AS360" s="120"/>
      <c r="AT360" s="120"/>
      <c r="AU360" s="120"/>
      <c r="AV360" s="120"/>
      <c r="AW360" s="120"/>
      <c r="AX360" s="120"/>
      <c r="AY360" s="120"/>
      <c r="AZ360" s="120"/>
      <c r="BA360" s="120"/>
      <c r="BB360" s="120"/>
      <c r="BC360" s="120"/>
      <c r="BD360" s="373"/>
      <c r="BE360" s="373"/>
      <c r="BF360" s="373"/>
      <c r="BG360" s="373"/>
      <c r="BH360" s="373"/>
      <c r="BI360" s="373"/>
      <c r="BJ360" s="373">
        <v>1</v>
      </c>
      <c r="BK360" s="373"/>
      <c r="BL360" s="373"/>
      <c r="BM360" s="373"/>
      <c r="BN360" s="373"/>
      <c r="BO360" s="373"/>
      <c r="BP360" s="373"/>
      <c r="BQ360" s="374"/>
      <c r="BR360" s="120"/>
      <c r="BS360" s="120"/>
      <c r="BT360" s="120"/>
      <c r="BU360" s="120"/>
      <c r="BV360" s="120"/>
      <c r="BW360" s="375"/>
      <c r="BX360" s="138"/>
      <c r="BY360" s="134"/>
      <c r="BZ360" s="134"/>
      <c r="CA360" s="134"/>
      <c r="CB360" s="138"/>
      <c r="CC360" s="134"/>
      <c r="CD360" s="134"/>
      <c r="CE360" s="134"/>
      <c r="CF360" s="288"/>
      <c r="CG360" s="289"/>
      <c r="CH360" s="138"/>
      <c r="CI360" s="134"/>
      <c r="CJ360" s="134"/>
      <c r="CK360" s="134"/>
      <c r="CL360" s="138"/>
      <c r="CM360" s="134"/>
      <c r="CN360" s="134"/>
      <c r="CO360" s="134"/>
      <c r="CP360" s="288"/>
      <c r="CQ360" s="289"/>
      <c r="CR360" s="276"/>
      <c r="CS360" s="308"/>
      <c r="CT360" s="138"/>
      <c r="CU360" s="134"/>
      <c r="CV360" s="134"/>
      <c r="CW360" s="134"/>
      <c r="CX360" s="134"/>
      <c r="CY360" s="134"/>
      <c r="CZ360" s="134"/>
      <c r="DA360" s="134"/>
      <c r="DB360" s="300"/>
      <c r="DC360" s="301"/>
      <c r="DD360" s="134"/>
      <c r="DE360" s="134"/>
      <c r="DF360" s="134"/>
      <c r="DG360" s="134"/>
      <c r="DH360" s="134"/>
      <c r="DI360" s="134"/>
      <c r="DJ360" s="134"/>
      <c r="DK360" s="134"/>
      <c r="DL360" s="300"/>
      <c r="DM360" s="301"/>
      <c r="DN360" s="276"/>
      <c r="DO360" s="277"/>
      <c r="DP360" s="134"/>
      <c r="DQ360" s="134"/>
      <c r="DR360" s="134"/>
      <c r="DS360" s="134"/>
      <c r="DT360" s="138"/>
      <c r="DU360" s="134"/>
      <c r="DV360" s="134"/>
      <c r="DW360" s="134"/>
      <c r="DX360" s="301"/>
      <c r="DY360" s="301"/>
      <c r="DZ360" s="138"/>
      <c r="EA360" s="134"/>
      <c r="EB360" s="134"/>
      <c r="EC360" s="134"/>
      <c r="ED360" s="138"/>
      <c r="EE360" s="134"/>
      <c r="EF360" s="134"/>
      <c r="EG360" s="134"/>
      <c r="EH360" s="301"/>
      <c r="EI360" s="301"/>
      <c r="EJ360" s="277"/>
      <c r="EK360" s="134"/>
      <c r="EL360" s="134"/>
      <c r="EM360" s="134"/>
      <c r="EN360" s="134"/>
      <c r="EO360" s="134"/>
      <c r="EP360" s="134"/>
      <c r="EQ360" s="134"/>
      <c r="ER360" s="134"/>
      <c r="ES360" s="301"/>
      <c r="ET360" s="301"/>
      <c r="EU360" s="134"/>
      <c r="EV360" s="134"/>
      <c r="EW360" s="134"/>
      <c r="EX360" s="134"/>
      <c r="EY360" s="134"/>
      <c r="EZ360" s="134"/>
      <c r="FA360" s="134"/>
      <c r="FB360" s="134"/>
      <c r="FC360" s="135"/>
      <c r="FD360" s="135"/>
      <c r="FE360" s="134"/>
      <c r="FF360" s="134"/>
      <c r="FG360" s="134"/>
      <c r="FH360" s="134"/>
      <c r="FI360" s="134"/>
      <c r="FJ360" s="134"/>
      <c r="FK360" s="134"/>
      <c r="FL360" s="134"/>
      <c r="FM360" s="135"/>
      <c r="FN360" s="135"/>
      <c r="FO360" s="134"/>
      <c r="FP360" s="134"/>
      <c r="FQ360" s="134"/>
      <c r="FR360" s="134"/>
      <c r="FS360" s="134"/>
      <c r="FT360" s="134"/>
      <c r="FU360" s="134"/>
      <c r="FV360" s="134"/>
      <c r="FW360" s="135"/>
      <c r="FX360" s="135"/>
      <c r="FY360" s="134"/>
      <c r="FZ360" s="134"/>
      <c r="GA360" s="134"/>
      <c r="GB360" s="134"/>
      <c r="GC360" s="134"/>
      <c r="GD360" s="134"/>
      <c r="GE360" s="134"/>
      <c r="GF360" s="134"/>
      <c r="GG360" s="135"/>
      <c r="GH360" s="135"/>
      <c r="GI360" s="134"/>
      <c r="GJ360" s="134"/>
      <c r="GK360" s="134"/>
      <c r="GL360" s="134"/>
      <c r="GM360" s="134"/>
      <c r="GN360" s="134"/>
      <c r="GO360" s="134"/>
      <c r="GP360" s="134"/>
      <c r="GQ360" s="135"/>
      <c r="GR360" s="135"/>
      <c r="GS360" s="134"/>
      <c r="GT360" s="134"/>
      <c r="GU360" s="134"/>
      <c r="GV360" s="134"/>
      <c r="GW360" s="134"/>
      <c r="GX360" s="134"/>
      <c r="GY360" s="134"/>
      <c r="GZ360" s="134"/>
      <c r="HA360" s="135"/>
      <c r="HB360" s="135"/>
      <c r="HC360" s="134"/>
      <c r="HD360" s="134"/>
      <c r="HE360" s="134"/>
      <c r="HF360" s="134"/>
      <c r="HG360" s="134"/>
      <c r="HH360" s="134"/>
      <c r="HI360" s="134"/>
      <c r="HJ360" s="134"/>
      <c r="HK360" s="135"/>
      <c r="HL360" s="135"/>
      <c r="HM360" s="134"/>
      <c r="HN360" s="134"/>
      <c r="HO360" s="134"/>
      <c r="HP360" s="134"/>
      <c r="HQ360" s="134"/>
      <c r="HR360" s="134"/>
      <c r="HS360" s="134"/>
      <c r="HT360" s="134"/>
      <c r="HU360" s="135"/>
      <c r="HV360" s="135"/>
      <c r="HW360" s="134"/>
      <c r="HX360" s="134"/>
      <c r="HY360" s="134"/>
      <c r="HZ360" s="134"/>
      <c r="IA360" s="134"/>
      <c r="IB360" s="134"/>
      <c r="IC360" s="134"/>
      <c r="ID360" s="134"/>
      <c r="IE360" s="135"/>
      <c r="IF360" s="135"/>
      <c r="IG360" s="134"/>
      <c r="IH360" s="134"/>
      <c r="II360" s="134"/>
      <c r="IJ360" s="134"/>
      <c r="IK360" s="134"/>
      <c r="IL360" s="134"/>
      <c r="IM360" s="134"/>
      <c r="IN360" s="134"/>
      <c r="IO360" s="135"/>
      <c r="IP360" s="135"/>
      <c r="IQ360" s="134"/>
      <c r="IR360" s="134"/>
      <c r="IS360" s="134"/>
      <c r="IT360" s="134"/>
      <c r="IU360" s="134"/>
      <c r="IV360" s="134"/>
      <c r="IW360" s="134"/>
      <c r="IX360" s="134"/>
      <c r="IY360" s="135"/>
      <c r="IZ360" s="135"/>
    </row>
    <row r="361" spans="1:260" s="119" customFormat="1" ht="17" customHeight="1">
      <c r="A361" s="79" t="s">
        <v>957</v>
      </c>
      <c r="B361" s="117">
        <v>247</v>
      </c>
      <c r="C361" s="117">
        <v>90</v>
      </c>
      <c r="D361" s="117"/>
      <c r="E361" s="123" t="s">
        <v>2126</v>
      </c>
      <c r="F361" s="124" t="s">
        <v>2388</v>
      </c>
      <c r="G361" s="125">
        <v>2000</v>
      </c>
      <c r="H361" s="79">
        <v>11006431</v>
      </c>
      <c r="I361" s="79">
        <v>1</v>
      </c>
      <c r="J361" s="126"/>
      <c r="K361" s="127"/>
      <c r="L361" s="79">
        <v>1</v>
      </c>
      <c r="M361" s="79"/>
      <c r="N361" s="79">
        <v>1</v>
      </c>
      <c r="O361" s="128">
        <v>2</v>
      </c>
      <c r="P361" s="79" t="s">
        <v>1586</v>
      </c>
      <c r="Q361" s="79" t="s">
        <v>1147</v>
      </c>
      <c r="R361" s="79"/>
      <c r="S361" s="79"/>
      <c r="T361" s="79" t="s">
        <v>1721</v>
      </c>
      <c r="U361" s="79"/>
      <c r="V361" s="79"/>
      <c r="W361" s="79" t="s">
        <v>1617</v>
      </c>
      <c r="X361" s="79" t="s">
        <v>1616</v>
      </c>
      <c r="Y361" s="79"/>
      <c r="Z361" s="79"/>
      <c r="AA361" s="79"/>
      <c r="AB361" s="79"/>
      <c r="AC361" s="506"/>
      <c r="AD361" s="573">
        <v>1</v>
      </c>
      <c r="AE361" s="573">
        <v>2</v>
      </c>
      <c r="AF361" s="154">
        <v>1</v>
      </c>
      <c r="AG361" s="155"/>
      <c r="AH361" s="121">
        <v>4</v>
      </c>
      <c r="AI361" s="484" t="s">
        <v>5907</v>
      </c>
      <c r="AJ361" s="202" t="s">
        <v>5910</v>
      </c>
      <c r="AK361" s="192">
        <v>0</v>
      </c>
      <c r="AL361" s="203">
        <v>0</v>
      </c>
      <c r="AM361" s="121">
        <f>Table665[[#This Row],[Subjects_n_ptsd]]+Table665[[#This Row],[Subjects_n_control]]</f>
        <v>15</v>
      </c>
      <c r="AN361" s="121">
        <v>10</v>
      </c>
      <c r="AO361" s="121">
        <v>5</v>
      </c>
      <c r="AP361" s="121" t="s">
        <v>803</v>
      </c>
      <c r="AQ361" s="121" t="s">
        <v>803</v>
      </c>
      <c r="AR361" s="355" t="s">
        <v>3403</v>
      </c>
      <c r="AS361" s="121" t="s">
        <v>24</v>
      </c>
      <c r="AT361" s="355" t="s">
        <v>3403</v>
      </c>
      <c r="AU361" s="121" t="s">
        <v>24</v>
      </c>
      <c r="AV361" s="121" t="s">
        <v>5890</v>
      </c>
      <c r="AW361" s="121">
        <v>1</v>
      </c>
      <c r="AX361" s="121">
        <v>1</v>
      </c>
      <c r="AY361" s="121" t="s">
        <v>5891</v>
      </c>
      <c r="AZ361" s="121" t="s">
        <v>3698</v>
      </c>
      <c r="BA361" s="121" t="s">
        <v>4508</v>
      </c>
      <c r="BB361" s="121"/>
      <c r="BC361" s="121"/>
      <c r="BD361" s="156"/>
      <c r="BE361" s="156"/>
      <c r="BF361" s="156"/>
      <c r="BG361" s="156"/>
      <c r="BH361" s="156"/>
      <c r="BI361" s="156"/>
      <c r="BJ361" s="156">
        <v>1</v>
      </c>
      <c r="BK361" s="156"/>
      <c r="BL361" s="156"/>
      <c r="BM361" s="156"/>
      <c r="BN361" s="156"/>
      <c r="BO361" s="156"/>
      <c r="BP361" s="156"/>
      <c r="BQ361" s="157" t="s">
        <v>5893</v>
      </c>
      <c r="BR361" s="134" t="s">
        <v>1876</v>
      </c>
      <c r="BS361" s="134">
        <v>2</v>
      </c>
      <c r="BT361" s="134" t="s">
        <v>5892</v>
      </c>
      <c r="BU361" s="134" t="s">
        <v>5889</v>
      </c>
      <c r="BV361" s="168" t="s">
        <v>5901</v>
      </c>
      <c r="BW361" s="259" t="s">
        <v>5904</v>
      </c>
      <c r="BX361" s="138" t="s">
        <v>5894</v>
      </c>
      <c r="BY361" s="134">
        <v>53.112200000000001</v>
      </c>
      <c r="BZ361" s="134" t="s">
        <v>5898</v>
      </c>
      <c r="CA361" s="134">
        <f>56.8311-Table665[[#This Row],[Outcome1_M]]</f>
        <v>3.7188999999999979</v>
      </c>
      <c r="CB361" s="138" t="s">
        <v>5895</v>
      </c>
      <c r="CC361" s="134">
        <v>44.869799999999998</v>
      </c>
      <c r="CD361" s="134" t="s">
        <v>5898</v>
      </c>
      <c r="CE361" s="134">
        <f>47.349-Table665[[#This Row],[Outcome2_M]]</f>
        <v>2.4791999999999987</v>
      </c>
      <c r="CF361" s="288" t="s">
        <v>5900</v>
      </c>
      <c r="CG361" s="289" t="s">
        <v>5899</v>
      </c>
      <c r="CH361" s="138" t="s">
        <v>5897</v>
      </c>
      <c r="CI361" s="134">
        <v>28.795000000000002</v>
      </c>
      <c r="CJ361" s="134" t="s">
        <v>5898</v>
      </c>
      <c r="CK361" s="134">
        <f>31.0687-Table665[[#This Row],[Outcome3_M]]</f>
        <v>2.2736999999999981</v>
      </c>
      <c r="CL361" s="138" t="s">
        <v>5896</v>
      </c>
      <c r="CM361" s="134">
        <v>45.845399999999998</v>
      </c>
      <c r="CN361" s="134" t="s">
        <v>5898</v>
      </c>
      <c r="CO361" s="134">
        <f>48.7482-Table665[[#This Row],[Outcome4_M]]</f>
        <v>2.9027999999999992</v>
      </c>
      <c r="CP361" s="288" t="s">
        <v>5902</v>
      </c>
      <c r="CQ361" s="289" t="s">
        <v>5899</v>
      </c>
      <c r="CR361" s="276" t="s">
        <v>5903</v>
      </c>
      <c r="CS361" s="308"/>
      <c r="CT361" s="138" t="s">
        <v>5906</v>
      </c>
      <c r="CU361" s="134">
        <v>24.32</v>
      </c>
      <c r="CV361" s="134" t="s">
        <v>5898</v>
      </c>
      <c r="CW361" s="134">
        <v>3.89</v>
      </c>
      <c r="CX361" s="138" t="s">
        <v>5905</v>
      </c>
      <c r="CY361" s="134">
        <v>-0.36</v>
      </c>
      <c r="CZ361" s="134" t="s">
        <v>5898</v>
      </c>
      <c r="DA361" s="134">
        <v>3.94</v>
      </c>
      <c r="DB361" s="300" t="s">
        <v>5908</v>
      </c>
      <c r="DC361" s="301" t="s">
        <v>5909</v>
      </c>
      <c r="DD361" s="134" t="s">
        <v>24</v>
      </c>
      <c r="DE361" s="134" t="s">
        <v>24</v>
      </c>
      <c r="DF361" s="134" t="s">
        <v>24</v>
      </c>
      <c r="DG361" s="134" t="s">
        <v>24</v>
      </c>
      <c r="DH361" s="134" t="s">
        <v>24</v>
      </c>
      <c r="DI361" s="134" t="s">
        <v>24</v>
      </c>
      <c r="DJ361" s="134" t="s">
        <v>24</v>
      </c>
      <c r="DK361" s="134" t="s">
        <v>24</v>
      </c>
      <c r="DL361" s="300"/>
      <c r="DM361" s="301"/>
      <c r="DN361" s="276"/>
      <c r="DO361" s="277"/>
      <c r="DP361" s="134"/>
      <c r="DQ361" s="134"/>
      <c r="DR361" s="134"/>
      <c r="DS361" s="134"/>
      <c r="DT361" s="138"/>
      <c r="DU361" s="134"/>
      <c r="DV361" s="134"/>
      <c r="DW361" s="134"/>
      <c r="DX361" s="301"/>
      <c r="DY361" s="301"/>
      <c r="DZ361" s="138"/>
      <c r="EA361" s="134"/>
      <c r="EB361" s="134"/>
      <c r="EC361" s="134"/>
      <c r="ED361" s="138"/>
      <c r="EE361" s="134"/>
      <c r="EF361" s="134"/>
      <c r="EG361" s="134"/>
      <c r="EH361" s="301"/>
      <c r="EI361" s="301"/>
      <c r="EJ361" s="277"/>
      <c r="EK361" s="134"/>
      <c r="EL361" s="134"/>
      <c r="EM361" s="134"/>
      <c r="EN361" s="134"/>
      <c r="EO361" s="134"/>
      <c r="EP361" s="134"/>
      <c r="EQ361" s="134"/>
      <c r="ER361" s="134"/>
      <c r="ES361" s="301"/>
      <c r="ET361" s="301"/>
      <c r="EU361" s="134"/>
      <c r="EV361" s="134"/>
      <c r="EW361" s="134"/>
      <c r="EX361" s="134"/>
      <c r="EY361" s="134"/>
      <c r="EZ361" s="134"/>
      <c r="FA361" s="134"/>
      <c r="FB361" s="134"/>
      <c r="FC361" s="135"/>
      <c r="FD361" s="135"/>
      <c r="FE361" s="134"/>
      <c r="FF361" s="134"/>
      <c r="FG361" s="134"/>
      <c r="FH361" s="134"/>
      <c r="FI361" s="134"/>
      <c r="FJ361" s="134"/>
      <c r="FK361" s="134"/>
      <c r="FL361" s="134"/>
      <c r="FM361" s="135"/>
      <c r="FN361" s="135"/>
      <c r="FO361" s="134"/>
      <c r="FP361" s="134"/>
      <c r="FQ361" s="134"/>
      <c r="FR361" s="134"/>
      <c r="FS361" s="134"/>
      <c r="FT361" s="134"/>
      <c r="FU361" s="134"/>
      <c r="FV361" s="134"/>
      <c r="FW361" s="135"/>
      <c r="FX361" s="135"/>
      <c r="FY361" s="134"/>
      <c r="FZ361" s="134"/>
      <c r="GA361" s="134"/>
      <c r="GB361" s="134"/>
      <c r="GC361" s="134"/>
      <c r="GD361" s="134"/>
      <c r="GE361" s="134"/>
      <c r="GF361" s="134"/>
      <c r="GG361" s="135"/>
      <c r="GH361" s="135"/>
      <c r="GI361" s="134"/>
      <c r="GJ361" s="134"/>
      <c r="GK361" s="134"/>
      <c r="GL361" s="134"/>
      <c r="GM361" s="134"/>
      <c r="GN361" s="134"/>
      <c r="GO361" s="134"/>
      <c r="GP361" s="134"/>
      <c r="GQ361" s="135"/>
      <c r="GR361" s="135"/>
      <c r="GS361" s="134"/>
      <c r="GT361" s="134"/>
      <c r="GU361" s="134"/>
      <c r="GV361" s="134"/>
      <c r="GW361" s="134"/>
      <c r="GX361" s="134"/>
      <c r="GY361" s="134"/>
      <c r="GZ361" s="134"/>
      <c r="HA361" s="135"/>
      <c r="HB361" s="135"/>
      <c r="HC361" s="134"/>
      <c r="HD361" s="134"/>
      <c r="HE361" s="134"/>
      <c r="HF361" s="134"/>
      <c r="HG361" s="134"/>
      <c r="HH361" s="134"/>
      <c r="HI361" s="134"/>
      <c r="HJ361" s="134"/>
      <c r="HK361" s="135"/>
      <c r="HL361" s="135"/>
      <c r="HM361" s="134"/>
      <c r="HN361" s="134"/>
      <c r="HO361" s="134"/>
      <c r="HP361" s="134"/>
      <c r="HQ361" s="134"/>
      <c r="HR361" s="134"/>
      <c r="HS361" s="134"/>
      <c r="HT361" s="134"/>
      <c r="HU361" s="135"/>
      <c r="HV361" s="135"/>
      <c r="HW361" s="134"/>
      <c r="HX361" s="134"/>
      <c r="HY361" s="134"/>
      <c r="HZ361" s="134"/>
      <c r="IA361" s="134"/>
      <c r="IB361" s="134"/>
      <c r="IC361" s="134"/>
      <c r="ID361" s="134"/>
      <c r="IE361" s="135"/>
      <c r="IF361" s="135"/>
      <c r="IG361" s="134"/>
      <c r="IH361" s="134"/>
      <c r="II361" s="134"/>
      <c r="IJ361" s="134"/>
      <c r="IK361" s="134"/>
      <c r="IL361" s="134"/>
      <c r="IM361" s="134"/>
      <c r="IN361" s="134"/>
      <c r="IO361" s="135"/>
      <c r="IP361" s="135"/>
      <c r="IQ361" s="134"/>
      <c r="IR361" s="134"/>
      <c r="IS361" s="134"/>
      <c r="IT361" s="134"/>
      <c r="IU361" s="134"/>
      <c r="IV361" s="134"/>
      <c r="IW361" s="134"/>
      <c r="IX361" s="134"/>
      <c r="IY361" s="135"/>
      <c r="IZ361" s="135"/>
    </row>
    <row r="362" spans="1:260" ht="17" customHeight="1">
      <c r="A362" s="79" t="s">
        <v>955</v>
      </c>
      <c r="B362" s="117">
        <v>50</v>
      </c>
      <c r="C362" s="117"/>
      <c r="D362" s="117"/>
      <c r="E362" s="123" t="s">
        <v>2126</v>
      </c>
      <c r="F362" s="124" t="s">
        <v>2389</v>
      </c>
      <c r="G362" s="125">
        <v>2008</v>
      </c>
      <c r="H362" s="79">
        <v>18577419</v>
      </c>
      <c r="I362" s="79">
        <v>1</v>
      </c>
      <c r="J362" s="126"/>
      <c r="K362" s="127"/>
      <c r="L362" s="79">
        <v>1</v>
      </c>
      <c r="M362" s="79"/>
      <c r="N362" s="169">
        <v>1</v>
      </c>
      <c r="O362" s="128">
        <v>2</v>
      </c>
      <c r="P362" s="79" t="s">
        <v>22</v>
      </c>
      <c r="Q362" s="79" t="s">
        <v>24</v>
      </c>
      <c r="R362" s="79" t="s">
        <v>1130</v>
      </c>
      <c r="S362" s="79"/>
      <c r="T362" s="79" t="s">
        <v>1619</v>
      </c>
      <c r="U362" s="79" t="s">
        <v>803</v>
      </c>
      <c r="V362" s="79"/>
      <c r="W362" s="79" t="s">
        <v>1722</v>
      </c>
      <c r="X362" s="79"/>
      <c r="Y362" s="79"/>
      <c r="Z362" s="79"/>
      <c r="AA362" s="79" t="s">
        <v>1620</v>
      </c>
      <c r="AB362" s="79" t="s">
        <v>424</v>
      </c>
      <c r="AC362" s="506"/>
      <c r="AD362" s="573">
        <v>1</v>
      </c>
      <c r="AE362" s="573">
        <v>2</v>
      </c>
      <c r="AF362" s="154">
        <v>1</v>
      </c>
      <c r="AG362" s="155" t="s">
        <v>3682</v>
      </c>
      <c r="AH362" s="121">
        <v>4</v>
      </c>
      <c r="AI362" s="484"/>
      <c r="AJ362" s="202" t="s">
        <v>3660</v>
      </c>
      <c r="AK362" s="192">
        <v>2</v>
      </c>
      <c r="AL362" s="203">
        <v>1</v>
      </c>
      <c r="AM362" s="121">
        <f>12+9+12</f>
        <v>33</v>
      </c>
      <c r="AN362" s="121">
        <v>12</v>
      </c>
      <c r="AO362" s="121" t="s">
        <v>3675</v>
      </c>
      <c r="AP362" s="121" t="s">
        <v>803</v>
      </c>
      <c r="AQ362" s="121" t="s">
        <v>803</v>
      </c>
      <c r="AR362" s="121" t="s">
        <v>2667</v>
      </c>
      <c r="AS362" s="121" t="s">
        <v>24</v>
      </c>
      <c r="AT362" s="121" t="s">
        <v>2667</v>
      </c>
      <c r="AU362" s="121" t="s">
        <v>24</v>
      </c>
      <c r="AV362" s="121" t="s">
        <v>3662</v>
      </c>
      <c r="AW362" s="121">
        <v>1</v>
      </c>
      <c r="AX362" s="121">
        <v>1</v>
      </c>
      <c r="AY362" s="121" t="s">
        <v>3661</v>
      </c>
      <c r="AZ362" s="121" t="s">
        <v>1130</v>
      </c>
      <c r="BA362" s="121" t="s">
        <v>2798</v>
      </c>
      <c r="BB362" s="121"/>
      <c r="BC362" s="121"/>
      <c r="BD362" s="156">
        <v>1</v>
      </c>
      <c r="BE362" s="156"/>
      <c r="BF362" s="156"/>
      <c r="BG362" s="156"/>
      <c r="BH362" s="156"/>
      <c r="BI362" s="156"/>
      <c r="BJ362" s="156"/>
      <c r="BK362" s="156"/>
      <c r="BL362" s="156"/>
      <c r="BM362" s="156"/>
      <c r="BN362" s="156"/>
      <c r="BO362" s="156"/>
      <c r="BP362" s="156"/>
      <c r="BQ362" s="157" t="s">
        <v>3681</v>
      </c>
      <c r="BR362" s="134" t="s">
        <v>1876</v>
      </c>
      <c r="BS362" s="134" t="s">
        <v>3659</v>
      </c>
      <c r="BT362" s="134" t="s">
        <v>3663</v>
      </c>
      <c r="BU362" s="134" t="s">
        <v>3658</v>
      </c>
      <c r="BV362" s="134" t="s">
        <v>3237</v>
      </c>
      <c r="BW362" s="259" t="s">
        <v>3679</v>
      </c>
      <c r="BX362" s="138" t="s">
        <v>3666</v>
      </c>
      <c r="BY362" s="134">
        <v>100.126</v>
      </c>
      <c r="BZ362" s="134" t="s">
        <v>24</v>
      </c>
      <c r="CA362" s="134">
        <f>115.891-Table665[[#This Row],[Outcome1_M]]</f>
        <v>15.765000000000001</v>
      </c>
      <c r="CB362" s="138" t="s">
        <v>3667</v>
      </c>
      <c r="CC362" s="134">
        <v>65.911900000000003</v>
      </c>
      <c r="CD362" s="134" t="s">
        <v>24</v>
      </c>
      <c r="CE362" s="134">
        <f>71.6143-Table665[[#This Row],[Outcome2_M]]</f>
        <v>5.7023999999999972</v>
      </c>
      <c r="CF362" s="288" t="s">
        <v>24</v>
      </c>
      <c r="CG362" s="289" t="s">
        <v>24</v>
      </c>
      <c r="CH362" s="138" t="s">
        <v>3668</v>
      </c>
      <c r="CI362" s="134">
        <v>31.6981</v>
      </c>
      <c r="CJ362" s="134" t="s">
        <v>24</v>
      </c>
      <c r="CK362" s="134">
        <f>35.3878-Table665[[#This Row],[Outcome3_M]]</f>
        <v>3.6896999999999984</v>
      </c>
      <c r="CL362" s="138" t="s">
        <v>24</v>
      </c>
      <c r="CM362" s="134"/>
      <c r="CN362" s="134"/>
      <c r="CO362" s="134"/>
      <c r="CP362" s="288" t="s">
        <v>24</v>
      </c>
      <c r="CQ362" s="289" t="s">
        <v>24</v>
      </c>
      <c r="CR362" s="276" t="s">
        <v>3677</v>
      </c>
      <c r="CS362" s="308" t="s">
        <v>3678</v>
      </c>
      <c r="CT362" s="138"/>
      <c r="CU362" s="134"/>
      <c r="CV362" s="134"/>
      <c r="CW362" s="134"/>
      <c r="CX362" s="134"/>
      <c r="CY362" s="134"/>
      <c r="CZ362" s="134"/>
      <c r="DA362" s="134"/>
      <c r="DB362" s="300"/>
      <c r="DC362" s="301"/>
      <c r="DD362" s="134"/>
      <c r="DE362" s="134"/>
      <c r="DF362" s="134"/>
      <c r="DG362" s="134"/>
      <c r="DH362" s="134"/>
      <c r="DI362" s="134"/>
      <c r="DJ362" s="134"/>
      <c r="DK362" s="134"/>
      <c r="DL362" s="300"/>
      <c r="DM362" s="301"/>
      <c r="DN362" s="276"/>
      <c r="DO362" s="277"/>
      <c r="DP362" s="134"/>
      <c r="DQ362" s="134"/>
      <c r="DR362" s="134"/>
      <c r="DS362" s="134"/>
      <c r="DT362" s="138"/>
      <c r="DU362" s="134"/>
      <c r="DV362" s="134"/>
      <c r="DW362" s="134"/>
      <c r="DX362" s="301"/>
      <c r="DY362" s="301"/>
      <c r="DZ362" s="138"/>
      <c r="EA362" s="134"/>
      <c r="EB362" s="134"/>
      <c r="EC362" s="134"/>
      <c r="ED362" s="138"/>
      <c r="EE362" s="134"/>
      <c r="EF362" s="134"/>
      <c r="EG362" s="134"/>
      <c r="EH362" s="301"/>
      <c r="EI362" s="301"/>
      <c r="EJ362" s="277"/>
      <c r="EK362" s="134"/>
      <c r="EL362" s="134"/>
      <c r="EM362" s="134"/>
      <c r="EN362" s="134"/>
      <c r="EO362" s="134"/>
      <c r="EP362" s="134"/>
      <c r="EQ362" s="134"/>
      <c r="ER362" s="134"/>
      <c r="ES362" s="301"/>
      <c r="ET362" s="301"/>
      <c r="EU362" s="134"/>
      <c r="EV362" s="134"/>
      <c r="EW362" s="134"/>
      <c r="EX362" s="134"/>
      <c r="EY362" s="134"/>
      <c r="EZ362" s="134"/>
      <c r="FA362" s="134"/>
      <c r="FB362" s="134"/>
      <c r="FC362" s="135"/>
      <c r="FD362" s="135"/>
      <c r="FE362" s="134"/>
      <c r="FF362" s="134"/>
      <c r="FG362" s="134"/>
      <c r="FH362" s="134"/>
      <c r="FI362" s="134"/>
      <c r="FJ362" s="134"/>
      <c r="FK362" s="134"/>
      <c r="FL362" s="134"/>
      <c r="FM362" s="135"/>
      <c r="FN362" s="135"/>
      <c r="FO362" s="134"/>
      <c r="FP362" s="134"/>
      <c r="FQ362" s="134"/>
      <c r="FR362" s="134"/>
      <c r="FS362" s="134"/>
      <c r="FT362" s="134"/>
      <c r="FU362" s="134"/>
      <c r="FV362" s="134"/>
      <c r="FW362" s="135"/>
      <c r="FX362" s="135"/>
      <c r="FY362" s="134"/>
      <c r="FZ362" s="134"/>
      <c r="GA362" s="134"/>
      <c r="GB362" s="134"/>
      <c r="GC362" s="134"/>
      <c r="GD362" s="134"/>
      <c r="GE362" s="134"/>
      <c r="GF362" s="134"/>
      <c r="GG362" s="135"/>
      <c r="GH362" s="135"/>
      <c r="GI362" s="134"/>
      <c r="GJ362" s="134"/>
      <c r="GK362" s="134"/>
      <c r="GL362" s="134"/>
      <c r="GM362" s="134"/>
      <c r="GN362" s="134"/>
      <c r="GO362" s="134"/>
      <c r="GP362" s="134"/>
      <c r="GQ362" s="135"/>
      <c r="GR362" s="135"/>
      <c r="GS362" s="134"/>
      <c r="GT362" s="134"/>
      <c r="GU362" s="134"/>
      <c r="GV362" s="134"/>
      <c r="GW362" s="134"/>
      <c r="GX362" s="134"/>
      <c r="GY362" s="134"/>
      <c r="GZ362" s="134"/>
      <c r="HA362" s="135"/>
      <c r="HB362" s="135"/>
      <c r="HC362" s="134"/>
      <c r="HD362" s="134"/>
      <c r="HE362" s="134"/>
      <c r="HF362" s="134"/>
      <c r="HG362" s="134"/>
      <c r="HH362" s="134"/>
      <c r="HI362" s="134"/>
      <c r="HJ362" s="134"/>
      <c r="HK362" s="135"/>
      <c r="HL362" s="135"/>
      <c r="HM362" s="134"/>
      <c r="HN362" s="134"/>
      <c r="HO362" s="134"/>
      <c r="HP362" s="134"/>
      <c r="HQ362" s="134"/>
      <c r="HR362" s="134"/>
      <c r="HS362" s="134"/>
      <c r="HT362" s="134"/>
      <c r="HU362" s="135"/>
      <c r="HV362" s="135"/>
      <c r="HW362" s="134"/>
      <c r="HX362" s="134"/>
      <c r="HY362" s="134"/>
      <c r="HZ362" s="134"/>
      <c r="IA362" s="134"/>
      <c r="IB362" s="134"/>
      <c r="IC362" s="134"/>
      <c r="ID362" s="134"/>
      <c r="IE362" s="135"/>
      <c r="IF362" s="135"/>
      <c r="IG362" s="134"/>
      <c r="IH362" s="134"/>
      <c r="II362" s="134"/>
      <c r="IJ362" s="134"/>
      <c r="IK362" s="134"/>
      <c r="IL362" s="134"/>
      <c r="IM362" s="134"/>
      <c r="IN362" s="134"/>
      <c r="IO362" s="135"/>
      <c r="IP362" s="135"/>
      <c r="IQ362" s="134"/>
      <c r="IR362" s="134"/>
      <c r="IS362" s="134"/>
      <c r="IT362" s="134"/>
      <c r="IU362" s="134"/>
      <c r="IV362" s="134"/>
      <c r="IW362" s="134"/>
      <c r="IX362" s="134"/>
      <c r="IY362" s="135"/>
      <c r="IZ362" s="135"/>
    </row>
    <row r="363" spans="1:260" ht="17" customHeight="1">
      <c r="A363" s="118" t="s">
        <v>955</v>
      </c>
      <c r="B363" s="381">
        <v>50</v>
      </c>
      <c r="C363" s="381"/>
      <c r="D363" s="381"/>
      <c r="E363" s="139" t="s">
        <v>2126</v>
      </c>
      <c r="F363" s="140" t="s">
        <v>2389</v>
      </c>
      <c r="G363" s="141">
        <v>2008</v>
      </c>
      <c r="H363" s="118">
        <v>18577419</v>
      </c>
      <c r="I363" s="118">
        <v>1</v>
      </c>
      <c r="J363" s="118"/>
      <c r="K363" s="118"/>
      <c r="L363" s="118">
        <v>1</v>
      </c>
      <c r="M363" s="118"/>
      <c r="N363" s="158">
        <v>1</v>
      </c>
      <c r="O363" s="142">
        <v>2</v>
      </c>
      <c r="P363" s="118" t="s">
        <v>22</v>
      </c>
      <c r="Q363" s="118" t="s">
        <v>24</v>
      </c>
      <c r="R363" s="118" t="s">
        <v>1130</v>
      </c>
      <c r="S363" s="118"/>
      <c r="T363" s="118" t="s">
        <v>1619</v>
      </c>
      <c r="U363" s="118" t="s">
        <v>803</v>
      </c>
      <c r="V363" s="118"/>
      <c r="W363" s="118" t="s">
        <v>1722</v>
      </c>
      <c r="X363" s="118"/>
      <c r="Y363" s="118"/>
      <c r="Z363" s="118"/>
      <c r="AA363" s="118" t="s">
        <v>1620</v>
      </c>
      <c r="AB363" s="118" t="s">
        <v>424</v>
      </c>
      <c r="AC363" s="145"/>
      <c r="AD363" s="573">
        <v>1</v>
      </c>
      <c r="AE363" s="573">
        <v>2</v>
      </c>
      <c r="AF363" s="159">
        <v>1</v>
      </c>
      <c r="AG363" s="155" t="s">
        <v>3682</v>
      </c>
      <c r="AH363" s="122">
        <v>4</v>
      </c>
      <c r="AI363" s="485"/>
      <c r="AJ363" s="204" t="s">
        <v>3660</v>
      </c>
      <c r="AK363" s="192">
        <v>2</v>
      </c>
      <c r="AL363" s="205">
        <v>1</v>
      </c>
      <c r="AM363" s="122">
        <f>14+9+12</f>
        <v>35</v>
      </c>
      <c r="AN363" s="122">
        <v>14</v>
      </c>
      <c r="AO363" s="122" t="s">
        <v>3675</v>
      </c>
      <c r="AP363" s="122" t="s">
        <v>803</v>
      </c>
      <c r="AQ363" s="122" t="s">
        <v>803</v>
      </c>
      <c r="AR363" s="122" t="s">
        <v>2667</v>
      </c>
      <c r="AS363" s="122" t="s">
        <v>24</v>
      </c>
      <c r="AT363" s="122" t="s">
        <v>2667</v>
      </c>
      <c r="AU363" s="122" t="s">
        <v>24</v>
      </c>
      <c r="AV363" s="122" t="s">
        <v>3662</v>
      </c>
      <c r="AW363" s="122">
        <v>1</v>
      </c>
      <c r="AX363" s="122">
        <v>1</v>
      </c>
      <c r="AY363" s="122" t="s">
        <v>3661</v>
      </c>
      <c r="AZ363" s="122" t="s">
        <v>1130</v>
      </c>
      <c r="BA363" s="122" t="s">
        <v>2798</v>
      </c>
      <c r="BB363" s="122"/>
      <c r="BC363" s="122"/>
      <c r="BD363" s="161">
        <v>1</v>
      </c>
      <c r="BE363" s="161"/>
      <c r="BF363" s="161"/>
      <c r="BG363" s="161"/>
      <c r="BH363" s="161"/>
      <c r="BI363" s="161"/>
      <c r="BJ363" s="161"/>
      <c r="BK363" s="161"/>
      <c r="BL363" s="161"/>
      <c r="BM363" s="161"/>
      <c r="BN363" s="161"/>
      <c r="BO363" s="161"/>
      <c r="BP363" s="161"/>
      <c r="BQ363" s="157" t="s">
        <v>3680</v>
      </c>
      <c r="BR363" s="150" t="s">
        <v>1876</v>
      </c>
      <c r="BS363" s="150" t="s">
        <v>3659</v>
      </c>
      <c r="BT363" s="150" t="s">
        <v>3664</v>
      </c>
      <c r="BU363" s="150" t="s">
        <v>3658</v>
      </c>
      <c r="BV363" s="150" t="s">
        <v>3237</v>
      </c>
      <c r="BW363" s="259" t="s">
        <v>3679</v>
      </c>
      <c r="BX363" s="429" t="s">
        <v>3670</v>
      </c>
      <c r="BY363" s="150">
        <v>109.182</v>
      </c>
      <c r="BZ363" s="150" t="s">
        <v>24</v>
      </c>
      <c r="CA363" s="150">
        <f>125.618-Table665[[#This Row],[Outcome1_M]]</f>
        <v>16.435999999999993</v>
      </c>
      <c r="CB363" s="151" t="s">
        <v>3671</v>
      </c>
      <c r="CC363" s="150">
        <v>28.679200000000002</v>
      </c>
      <c r="CD363" s="150" t="s">
        <v>24</v>
      </c>
      <c r="CE363" s="150">
        <f>32.7044-Table665[[#This Row],[Outcome2_M]]</f>
        <v>4.0251999999999981</v>
      </c>
      <c r="CF363" s="290" t="s">
        <v>24</v>
      </c>
      <c r="CG363" s="291" t="s">
        <v>24</v>
      </c>
      <c r="CH363" s="151" t="s">
        <v>3673</v>
      </c>
      <c r="CI363" s="150">
        <v>19.622599999999998</v>
      </c>
      <c r="CJ363" s="150" t="s">
        <v>24</v>
      </c>
      <c r="CK363" s="150">
        <f>23.3124-Table665[[#This Row],[Outcome3_M]]</f>
        <v>3.6898000000000017</v>
      </c>
      <c r="CL363" s="151" t="s">
        <v>24</v>
      </c>
      <c r="CM363" s="150"/>
      <c r="CN363" s="150"/>
      <c r="CO363" s="150"/>
      <c r="CP363" s="290" t="s">
        <v>24</v>
      </c>
      <c r="CQ363" s="291" t="s">
        <v>24</v>
      </c>
      <c r="CR363" s="276" t="s">
        <v>3677</v>
      </c>
      <c r="CS363" s="308" t="s">
        <v>3678</v>
      </c>
      <c r="CT363" s="151"/>
      <c r="CU363" s="150"/>
      <c r="CV363" s="150"/>
      <c r="CW363" s="150"/>
      <c r="CX363" s="150"/>
      <c r="CY363" s="150"/>
      <c r="CZ363" s="150"/>
      <c r="DA363" s="150"/>
      <c r="DB363" s="302"/>
      <c r="DC363" s="303"/>
      <c r="DD363" s="150"/>
      <c r="DE363" s="150"/>
      <c r="DF363" s="150"/>
      <c r="DG363" s="150"/>
      <c r="DH363" s="150"/>
      <c r="DI363" s="150"/>
      <c r="DJ363" s="150"/>
      <c r="DK363" s="150"/>
      <c r="DL363" s="302"/>
      <c r="DM363" s="303"/>
      <c r="DN363" s="278"/>
      <c r="DO363" s="279"/>
      <c r="DP363" s="150"/>
      <c r="DQ363" s="150"/>
      <c r="DR363" s="150"/>
      <c r="DS363" s="150"/>
      <c r="DT363" s="151"/>
      <c r="DU363" s="150"/>
      <c r="DV363" s="150"/>
      <c r="DW363" s="150"/>
      <c r="DX363" s="303"/>
      <c r="DY363" s="303"/>
      <c r="DZ363" s="151"/>
      <c r="EA363" s="150"/>
      <c r="EB363" s="150"/>
      <c r="EC363" s="150"/>
      <c r="ED363" s="151"/>
      <c r="EE363" s="150"/>
      <c r="EF363" s="150"/>
      <c r="EG363" s="150"/>
      <c r="EH363" s="303"/>
      <c r="EI363" s="303"/>
      <c r="EJ363" s="279"/>
      <c r="EK363" s="150"/>
      <c r="EL363" s="150"/>
      <c r="EM363" s="150"/>
      <c r="EN363" s="150"/>
      <c r="EO363" s="150"/>
      <c r="EP363" s="150"/>
      <c r="EQ363" s="150"/>
      <c r="ER363" s="150"/>
      <c r="ES363" s="303"/>
      <c r="ET363" s="303"/>
      <c r="EU363" s="150"/>
      <c r="EV363" s="150"/>
      <c r="EW363" s="150"/>
      <c r="EX363" s="150"/>
      <c r="EY363" s="134"/>
      <c r="EZ363" s="134"/>
      <c r="FA363" s="134"/>
      <c r="FB363" s="134"/>
      <c r="FC363" s="135"/>
      <c r="FD363" s="135"/>
      <c r="FE363" s="134"/>
      <c r="FF363" s="134"/>
      <c r="FG363" s="134"/>
      <c r="FH363" s="134"/>
      <c r="FI363" s="134"/>
      <c r="FJ363" s="134"/>
      <c r="FK363" s="134"/>
      <c r="FL363" s="134"/>
      <c r="FM363" s="135"/>
      <c r="FN363" s="135"/>
      <c r="FO363" s="134"/>
      <c r="FP363" s="134"/>
      <c r="FQ363" s="134"/>
      <c r="FR363" s="134"/>
      <c r="FS363" s="134"/>
      <c r="FT363" s="134"/>
      <c r="FU363" s="134"/>
      <c r="FV363" s="134"/>
      <c r="FW363" s="135"/>
      <c r="FX363" s="135"/>
      <c r="FY363" s="134"/>
      <c r="FZ363" s="134"/>
      <c r="GA363" s="134"/>
      <c r="GB363" s="134"/>
      <c r="GC363" s="134"/>
      <c r="GD363" s="134"/>
      <c r="GE363" s="134"/>
      <c r="GF363" s="134"/>
      <c r="GG363" s="135"/>
      <c r="GH363" s="135"/>
      <c r="GI363" s="134"/>
      <c r="GJ363" s="134"/>
      <c r="GK363" s="134"/>
      <c r="GL363" s="134"/>
      <c r="GM363" s="134"/>
      <c r="GN363" s="134"/>
      <c r="GO363" s="134"/>
      <c r="GP363" s="134"/>
      <c r="GQ363" s="135"/>
      <c r="GR363" s="135"/>
      <c r="GS363" s="134"/>
      <c r="GT363" s="134"/>
      <c r="GU363" s="134"/>
      <c r="GV363" s="134"/>
      <c r="GW363" s="134"/>
      <c r="GX363" s="134"/>
      <c r="GY363" s="134"/>
      <c r="GZ363" s="134"/>
      <c r="HA363" s="135"/>
      <c r="HB363" s="135"/>
      <c r="HC363" s="134"/>
      <c r="HD363" s="134"/>
      <c r="HE363" s="134"/>
      <c r="HF363" s="134"/>
      <c r="HG363" s="134"/>
      <c r="HH363" s="134"/>
      <c r="HI363" s="134"/>
      <c r="HJ363" s="134"/>
      <c r="HK363" s="135"/>
      <c r="HL363" s="135"/>
      <c r="HM363" s="134"/>
      <c r="HN363" s="134"/>
      <c r="HO363" s="134"/>
      <c r="HP363" s="134"/>
      <c r="HQ363" s="134"/>
      <c r="HR363" s="134"/>
      <c r="HS363" s="134"/>
      <c r="HT363" s="134"/>
      <c r="HU363" s="135"/>
      <c r="HV363" s="135"/>
      <c r="HW363" s="134"/>
      <c r="HX363" s="134"/>
      <c r="HY363" s="134"/>
      <c r="HZ363" s="134"/>
      <c r="IA363" s="134"/>
      <c r="IB363" s="134"/>
      <c r="IC363" s="134"/>
      <c r="ID363" s="134"/>
      <c r="IE363" s="135"/>
      <c r="IF363" s="135"/>
      <c r="IG363" s="134"/>
      <c r="IH363" s="134"/>
      <c r="II363" s="134"/>
      <c r="IJ363" s="134"/>
      <c r="IK363" s="134"/>
      <c r="IL363" s="134"/>
      <c r="IM363" s="134"/>
      <c r="IN363" s="134"/>
      <c r="IO363" s="135"/>
      <c r="IP363" s="135"/>
      <c r="IQ363" s="134"/>
      <c r="IR363" s="134"/>
      <c r="IS363" s="134"/>
      <c r="IT363" s="134"/>
      <c r="IU363" s="134"/>
      <c r="IV363" s="134"/>
      <c r="IW363" s="134"/>
      <c r="IX363" s="134"/>
      <c r="IY363" s="135"/>
      <c r="IZ363" s="135"/>
    </row>
    <row r="364" spans="1:260" ht="17" customHeight="1">
      <c r="A364" s="118" t="s">
        <v>955</v>
      </c>
      <c r="B364" s="381">
        <v>50</v>
      </c>
      <c r="C364" s="381"/>
      <c r="D364" s="381"/>
      <c r="E364" s="139" t="s">
        <v>2126</v>
      </c>
      <c r="F364" s="140" t="s">
        <v>2389</v>
      </c>
      <c r="G364" s="141">
        <v>2008</v>
      </c>
      <c r="H364" s="118">
        <v>18577419</v>
      </c>
      <c r="I364" s="118">
        <v>1</v>
      </c>
      <c r="J364" s="118"/>
      <c r="K364" s="118"/>
      <c r="L364" s="118">
        <v>1</v>
      </c>
      <c r="M364" s="118"/>
      <c r="N364" s="158">
        <v>1</v>
      </c>
      <c r="O364" s="142">
        <v>2</v>
      </c>
      <c r="P364" s="118" t="s">
        <v>22</v>
      </c>
      <c r="Q364" s="118" t="s">
        <v>24</v>
      </c>
      <c r="R364" s="118" t="s">
        <v>1130</v>
      </c>
      <c r="S364" s="118"/>
      <c r="T364" s="118" t="s">
        <v>1619</v>
      </c>
      <c r="U364" s="118" t="s">
        <v>803</v>
      </c>
      <c r="V364" s="118"/>
      <c r="W364" s="118" t="s">
        <v>1722</v>
      </c>
      <c r="X364" s="118"/>
      <c r="Y364" s="118"/>
      <c r="Z364" s="118"/>
      <c r="AA364" s="118" t="s">
        <v>1620</v>
      </c>
      <c r="AB364" s="118" t="s">
        <v>424</v>
      </c>
      <c r="AC364" s="145"/>
      <c r="AD364" s="573">
        <v>1</v>
      </c>
      <c r="AE364" s="573">
        <v>2</v>
      </c>
      <c r="AF364" s="159">
        <v>1</v>
      </c>
      <c r="AG364" s="155" t="s">
        <v>3682</v>
      </c>
      <c r="AH364" s="122">
        <v>4</v>
      </c>
      <c r="AI364" s="485"/>
      <c r="AJ364" s="204" t="s">
        <v>3660</v>
      </c>
      <c r="AK364" s="192">
        <v>2</v>
      </c>
      <c r="AL364" s="205">
        <v>1</v>
      </c>
      <c r="AM364" s="122">
        <f>14+9+15</f>
        <v>38</v>
      </c>
      <c r="AN364" s="122">
        <v>14</v>
      </c>
      <c r="AO364" s="122" t="s">
        <v>3676</v>
      </c>
      <c r="AP364" s="122" t="s">
        <v>803</v>
      </c>
      <c r="AQ364" s="122" t="s">
        <v>803</v>
      </c>
      <c r="AR364" s="122" t="s">
        <v>2667</v>
      </c>
      <c r="AS364" s="122" t="s">
        <v>24</v>
      </c>
      <c r="AT364" s="122" t="s">
        <v>2667</v>
      </c>
      <c r="AU364" s="122" t="s">
        <v>24</v>
      </c>
      <c r="AV364" s="122" t="s">
        <v>3662</v>
      </c>
      <c r="AW364" s="122">
        <v>1</v>
      </c>
      <c r="AX364" s="122">
        <v>1</v>
      </c>
      <c r="AY364" s="122" t="s">
        <v>3661</v>
      </c>
      <c r="AZ364" s="122" t="s">
        <v>1130</v>
      </c>
      <c r="BA364" s="122" t="s">
        <v>2798</v>
      </c>
      <c r="BB364" s="122"/>
      <c r="BC364" s="122"/>
      <c r="BD364" s="161">
        <v>1</v>
      </c>
      <c r="BE364" s="161"/>
      <c r="BF364" s="161"/>
      <c r="BG364" s="161"/>
      <c r="BH364" s="161"/>
      <c r="BI364" s="161"/>
      <c r="BJ364" s="161"/>
      <c r="BK364" s="161"/>
      <c r="BL364" s="161"/>
      <c r="BM364" s="161"/>
      <c r="BN364" s="161"/>
      <c r="BO364" s="161"/>
      <c r="BP364" s="161"/>
      <c r="BQ364" s="162" t="s">
        <v>3680</v>
      </c>
      <c r="BR364" s="150" t="s">
        <v>1876</v>
      </c>
      <c r="BS364" s="150" t="s">
        <v>3659</v>
      </c>
      <c r="BT364" s="145" t="s">
        <v>3665</v>
      </c>
      <c r="BU364" s="150" t="s">
        <v>3658</v>
      </c>
      <c r="BV364" s="150" t="s">
        <v>3237</v>
      </c>
      <c r="BW364" s="259" t="s">
        <v>3679</v>
      </c>
      <c r="BX364" s="151" t="s">
        <v>3669</v>
      </c>
      <c r="BY364" s="150">
        <v>106.499</v>
      </c>
      <c r="BZ364" s="150" t="s">
        <v>24</v>
      </c>
      <c r="CA364" s="150">
        <f>120.587-Table665[[#This Row],[Outcome1_M]]</f>
        <v>14.088000000000008</v>
      </c>
      <c r="CB364" s="542" t="s">
        <v>3672</v>
      </c>
      <c r="CC364" s="150">
        <v>21.635200000000001</v>
      </c>
      <c r="CD364" s="150" t="s">
        <v>24</v>
      </c>
      <c r="CE364" s="150">
        <f>24.3187-Table665[[#This Row],[Outcome2_M]]</f>
        <v>2.6834999999999987</v>
      </c>
      <c r="CF364" s="290" t="s">
        <v>24</v>
      </c>
      <c r="CG364" s="291" t="s">
        <v>24</v>
      </c>
      <c r="CH364" s="151" t="s">
        <v>3674</v>
      </c>
      <c r="CI364" s="150">
        <v>12.2432</v>
      </c>
      <c r="CJ364" s="150" t="s">
        <v>24</v>
      </c>
      <c r="CK364" s="150">
        <f>14.5912-Table665[[#This Row],[Outcome3_M]]</f>
        <v>2.3480000000000008</v>
      </c>
      <c r="CL364" s="151" t="s">
        <v>24</v>
      </c>
      <c r="CM364" s="150"/>
      <c r="CN364" s="150"/>
      <c r="CO364" s="150"/>
      <c r="CP364" s="290" t="s">
        <v>24</v>
      </c>
      <c r="CQ364" s="291" t="s">
        <v>24</v>
      </c>
      <c r="CR364" s="276" t="s">
        <v>3677</v>
      </c>
      <c r="CS364" s="308" t="s">
        <v>3678</v>
      </c>
      <c r="CT364" s="151"/>
      <c r="CU364" s="150"/>
      <c r="CV364" s="150"/>
      <c r="CW364" s="150"/>
      <c r="CX364" s="150"/>
      <c r="CY364" s="150"/>
      <c r="CZ364" s="150"/>
      <c r="DA364" s="150"/>
      <c r="DB364" s="302"/>
      <c r="DC364" s="303"/>
      <c r="DD364" s="150"/>
      <c r="DE364" s="150"/>
      <c r="DF364" s="150"/>
      <c r="DG364" s="150"/>
      <c r="DH364" s="150"/>
      <c r="DI364" s="150"/>
      <c r="DJ364" s="150"/>
      <c r="DK364" s="150"/>
      <c r="DL364" s="302"/>
      <c r="DM364" s="303"/>
      <c r="DN364" s="278"/>
      <c r="DO364" s="279"/>
      <c r="DP364" s="150"/>
      <c r="DQ364" s="150"/>
      <c r="DR364" s="150"/>
      <c r="DS364" s="150"/>
      <c r="DT364" s="151"/>
      <c r="DU364" s="150"/>
      <c r="DV364" s="150"/>
      <c r="DW364" s="150"/>
      <c r="DX364" s="303"/>
      <c r="DY364" s="303"/>
      <c r="DZ364" s="151"/>
      <c r="EA364" s="150"/>
      <c r="EB364" s="150"/>
      <c r="EC364" s="150"/>
      <c r="ED364" s="151"/>
      <c r="EE364" s="150"/>
      <c r="EF364" s="150"/>
      <c r="EG364" s="150"/>
      <c r="EH364" s="303"/>
      <c r="EI364" s="303"/>
      <c r="EJ364" s="279"/>
      <c r="EK364" s="150"/>
      <c r="EL364" s="150"/>
      <c r="EM364" s="150"/>
      <c r="EN364" s="150"/>
      <c r="EO364" s="150"/>
      <c r="EP364" s="150"/>
      <c r="EQ364" s="150"/>
      <c r="ER364" s="150"/>
      <c r="ES364" s="303"/>
      <c r="ET364" s="303"/>
      <c r="EU364" s="150"/>
      <c r="EV364" s="150"/>
      <c r="EW364" s="150"/>
      <c r="EX364" s="150"/>
      <c r="EY364" s="134"/>
      <c r="EZ364" s="134"/>
      <c r="FA364" s="134"/>
      <c r="FB364" s="134"/>
      <c r="FC364" s="135"/>
      <c r="FD364" s="135"/>
      <c r="FE364" s="134"/>
      <c r="FF364" s="134"/>
      <c r="FG364" s="134"/>
      <c r="FH364" s="134"/>
      <c r="FI364" s="134"/>
      <c r="FJ364" s="134"/>
      <c r="FK364" s="134"/>
      <c r="FL364" s="134"/>
      <c r="FM364" s="135"/>
      <c r="FN364" s="135"/>
      <c r="FO364" s="134"/>
      <c r="FP364" s="134"/>
      <c r="FQ364" s="134"/>
      <c r="FR364" s="134"/>
      <c r="FS364" s="134"/>
      <c r="FT364" s="134"/>
      <c r="FU364" s="134"/>
      <c r="FV364" s="134"/>
      <c r="FW364" s="135"/>
      <c r="FX364" s="135"/>
      <c r="FY364" s="134"/>
      <c r="FZ364" s="134"/>
      <c r="GA364" s="134"/>
      <c r="GB364" s="134"/>
      <c r="GC364" s="134"/>
      <c r="GD364" s="134"/>
      <c r="GE364" s="134"/>
      <c r="GF364" s="134"/>
      <c r="GG364" s="135"/>
      <c r="GH364" s="135"/>
      <c r="GI364" s="134"/>
      <c r="GJ364" s="134"/>
      <c r="GK364" s="134"/>
      <c r="GL364" s="134"/>
      <c r="GM364" s="134"/>
      <c r="GN364" s="134"/>
      <c r="GO364" s="134"/>
      <c r="GP364" s="134"/>
      <c r="GQ364" s="135"/>
      <c r="GR364" s="135"/>
      <c r="GS364" s="134"/>
      <c r="GT364" s="134"/>
      <c r="GU364" s="134"/>
      <c r="GV364" s="134"/>
      <c r="GW364" s="134"/>
      <c r="GX364" s="134"/>
      <c r="GY364" s="134"/>
      <c r="GZ364" s="134"/>
      <c r="HA364" s="135"/>
      <c r="HB364" s="135"/>
      <c r="HC364" s="134"/>
      <c r="HD364" s="134"/>
      <c r="HE364" s="134"/>
      <c r="HF364" s="134"/>
      <c r="HG364" s="134"/>
      <c r="HH364" s="134"/>
      <c r="HI364" s="134"/>
      <c r="HJ364" s="134"/>
      <c r="HK364" s="135"/>
      <c r="HL364" s="135"/>
      <c r="HM364" s="134"/>
      <c r="HN364" s="134"/>
      <c r="HO364" s="134"/>
      <c r="HP364" s="134"/>
      <c r="HQ364" s="134"/>
      <c r="HR364" s="134"/>
      <c r="HS364" s="134"/>
      <c r="HT364" s="134"/>
      <c r="HU364" s="135"/>
      <c r="HV364" s="135"/>
      <c r="HW364" s="134"/>
      <c r="HX364" s="134"/>
      <c r="HY364" s="134"/>
      <c r="HZ364" s="134"/>
      <c r="IA364" s="134"/>
      <c r="IB364" s="134"/>
      <c r="IC364" s="134"/>
      <c r="ID364" s="134"/>
      <c r="IE364" s="135"/>
      <c r="IF364" s="135"/>
      <c r="IG364" s="134"/>
      <c r="IH364" s="134"/>
      <c r="II364" s="134"/>
      <c r="IJ364" s="134"/>
      <c r="IK364" s="134"/>
      <c r="IL364" s="134"/>
      <c r="IM364" s="134"/>
      <c r="IN364" s="134"/>
      <c r="IO364" s="135"/>
      <c r="IP364" s="135"/>
      <c r="IQ364" s="134"/>
      <c r="IR364" s="134"/>
      <c r="IS364" s="134"/>
      <c r="IT364" s="134"/>
      <c r="IU364" s="134"/>
      <c r="IV364" s="134"/>
      <c r="IW364" s="134"/>
      <c r="IX364" s="134"/>
      <c r="IY364" s="135"/>
      <c r="IZ364" s="135"/>
    </row>
    <row r="365" spans="1:260" ht="17" customHeight="1">
      <c r="A365" s="79" t="s">
        <v>952</v>
      </c>
      <c r="B365" s="117">
        <v>51</v>
      </c>
      <c r="C365" s="117"/>
      <c r="D365" s="117"/>
      <c r="E365" s="123" t="s">
        <v>2127</v>
      </c>
      <c r="F365" s="124" t="s">
        <v>2391</v>
      </c>
      <c r="G365" s="125">
        <v>2014</v>
      </c>
      <c r="H365" s="79">
        <v>24519098</v>
      </c>
      <c r="I365" s="79">
        <v>1</v>
      </c>
      <c r="J365" s="126">
        <v>1</v>
      </c>
      <c r="K365" s="127"/>
      <c r="L365" s="79">
        <v>1</v>
      </c>
      <c r="M365" s="79"/>
      <c r="N365" s="164">
        <v>1</v>
      </c>
      <c r="O365" s="128">
        <v>2</v>
      </c>
      <c r="P365" s="79" t="s">
        <v>1626</v>
      </c>
      <c r="Q365" s="79" t="s">
        <v>1251</v>
      </c>
      <c r="R365" s="79" t="s">
        <v>1229</v>
      </c>
      <c r="S365" s="79"/>
      <c r="T365" s="79" t="s">
        <v>1498</v>
      </c>
      <c r="U365" s="79"/>
      <c r="V365" s="79"/>
      <c r="W365" s="79" t="s">
        <v>1667</v>
      </c>
      <c r="X365" s="79" t="s">
        <v>436</v>
      </c>
      <c r="Y365" s="79" t="s">
        <v>1625</v>
      </c>
      <c r="Z365" s="79"/>
      <c r="AA365" s="79"/>
      <c r="AB365" s="79" t="s">
        <v>1279</v>
      </c>
      <c r="AC365" s="506"/>
      <c r="AD365" s="573">
        <v>1</v>
      </c>
      <c r="AE365" s="573">
        <v>2</v>
      </c>
      <c r="AF365" s="233" t="s">
        <v>3003</v>
      </c>
      <c r="AG365" s="234" t="s">
        <v>3689</v>
      </c>
      <c r="AH365" s="121">
        <v>4</v>
      </c>
      <c r="AI365" s="484"/>
      <c r="AJ365" s="202" t="s">
        <v>3689</v>
      </c>
      <c r="AK365" s="192">
        <v>0</v>
      </c>
      <c r="AL365" s="203" t="s">
        <v>3688</v>
      </c>
      <c r="AM365" s="121">
        <v>7</v>
      </c>
      <c r="AN365" s="121" t="s">
        <v>3687</v>
      </c>
      <c r="AO365" s="135" t="s">
        <v>24</v>
      </c>
      <c r="AP365" s="121" t="s">
        <v>23</v>
      </c>
      <c r="AQ365" s="121" t="s">
        <v>24</v>
      </c>
      <c r="AR365" s="121" t="s">
        <v>3031</v>
      </c>
      <c r="AS365" s="121" t="s">
        <v>24</v>
      </c>
      <c r="AT365" s="121" t="s">
        <v>24</v>
      </c>
      <c r="AU365" s="121" t="s">
        <v>24</v>
      </c>
      <c r="AV365" s="121" t="s">
        <v>3685</v>
      </c>
      <c r="AW365" s="121">
        <v>1</v>
      </c>
      <c r="AX365" s="121" t="s">
        <v>3683</v>
      </c>
      <c r="AY365" s="121" t="s">
        <v>24</v>
      </c>
      <c r="AZ365" s="121" t="s">
        <v>2912</v>
      </c>
      <c r="BA365" s="121" t="s">
        <v>3466</v>
      </c>
      <c r="BB365" s="121"/>
      <c r="BC365" s="121"/>
      <c r="BD365" s="156">
        <v>1</v>
      </c>
      <c r="BE365" s="156"/>
      <c r="BF365" s="156"/>
      <c r="BG365" s="156"/>
      <c r="BH365" s="156"/>
      <c r="BI365" s="156"/>
      <c r="BJ365" s="156"/>
      <c r="BK365" s="156"/>
      <c r="BL365" s="156"/>
      <c r="BM365" s="156"/>
      <c r="BN365" s="156"/>
      <c r="BO365" s="156"/>
      <c r="BP365" s="156"/>
      <c r="BQ365" s="157" t="s">
        <v>2493</v>
      </c>
      <c r="BR365" s="134" t="s">
        <v>2789</v>
      </c>
      <c r="BS365" s="134" t="s">
        <v>3686</v>
      </c>
      <c r="BT365" s="134" t="s">
        <v>3684</v>
      </c>
      <c r="BU365" s="134" t="s">
        <v>2471</v>
      </c>
      <c r="BV365" s="134" t="s">
        <v>3224</v>
      </c>
      <c r="BW365" s="259" t="s">
        <v>3696</v>
      </c>
      <c r="BX365" s="138" t="s">
        <v>3692</v>
      </c>
      <c r="BY365" s="134">
        <v>0.149533</v>
      </c>
      <c r="BZ365" s="134" t="s">
        <v>24</v>
      </c>
      <c r="CA365" s="134">
        <f>0.224299-Table665[[#This Row],[Outcome1_M]]</f>
        <v>7.4765999999999999E-2</v>
      </c>
      <c r="CB365" s="138" t="s">
        <v>3690</v>
      </c>
      <c r="CC365" s="134">
        <v>17.981300000000001</v>
      </c>
      <c r="CD365" s="134" t="s">
        <v>24</v>
      </c>
      <c r="CE365" s="134">
        <f>22.6916-Table665[[#This Row],[Outcome2_M]]</f>
        <v>4.7103000000000002</v>
      </c>
      <c r="CF365" s="288" t="s">
        <v>3695</v>
      </c>
      <c r="CG365" s="289" t="s">
        <v>3060</v>
      </c>
      <c r="CH365" s="427" t="s">
        <v>3691</v>
      </c>
      <c r="CI365" s="134">
        <v>14.7563</v>
      </c>
      <c r="CJ365" s="134" t="s">
        <v>24</v>
      </c>
      <c r="CK365" s="134">
        <f>18.1919-Table665[[#This Row],[Outcome3_M]]</f>
        <v>3.4356000000000009</v>
      </c>
      <c r="CL365" s="138" t="s">
        <v>24</v>
      </c>
      <c r="CM365" s="134" t="s">
        <v>24</v>
      </c>
      <c r="CN365" s="134" t="s">
        <v>24</v>
      </c>
      <c r="CO365" s="134" t="s">
        <v>24</v>
      </c>
      <c r="CP365" s="288" t="s">
        <v>3694</v>
      </c>
      <c r="CQ365" s="289" t="s">
        <v>2850</v>
      </c>
      <c r="CR365" s="276" t="s">
        <v>3693</v>
      </c>
      <c r="CS365" s="308" t="s">
        <v>2785</v>
      </c>
      <c r="CT365" s="138"/>
      <c r="CU365" s="134"/>
      <c r="CV365" s="134"/>
      <c r="CW365" s="134"/>
      <c r="CX365" s="134"/>
      <c r="CY365" s="134"/>
      <c r="CZ365" s="134"/>
      <c r="DA365" s="134"/>
      <c r="DB365" s="300"/>
      <c r="DC365" s="301"/>
      <c r="DD365" s="134"/>
      <c r="DE365" s="134"/>
      <c r="DF365" s="134"/>
      <c r="DG365" s="134"/>
      <c r="DH365" s="134"/>
      <c r="DI365" s="134"/>
      <c r="DJ365" s="134"/>
      <c r="DK365" s="134"/>
      <c r="DL365" s="300"/>
      <c r="DM365" s="301"/>
      <c r="DN365" s="276"/>
      <c r="DO365" s="277"/>
      <c r="DP365" s="134"/>
      <c r="DQ365" s="134"/>
      <c r="DR365" s="134"/>
      <c r="DS365" s="134"/>
      <c r="DT365" s="138"/>
      <c r="DU365" s="134"/>
      <c r="DV365" s="134"/>
      <c r="DW365" s="134"/>
      <c r="DX365" s="301"/>
      <c r="DY365" s="301"/>
      <c r="DZ365" s="138"/>
      <c r="EA365" s="134"/>
      <c r="EB365" s="134"/>
      <c r="EC365" s="134"/>
      <c r="ED365" s="138"/>
      <c r="EE365" s="134"/>
      <c r="EF365" s="134"/>
      <c r="EG365" s="134"/>
      <c r="EH365" s="301"/>
      <c r="EI365" s="301"/>
      <c r="EJ365" s="277"/>
      <c r="EK365" s="134"/>
      <c r="EL365" s="134"/>
      <c r="EM365" s="134"/>
      <c r="EN365" s="134"/>
      <c r="EO365" s="134"/>
      <c r="EP365" s="134"/>
      <c r="EQ365" s="134"/>
      <c r="ER365" s="134"/>
      <c r="ES365" s="301"/>
      <c r="ET365" s="301"/>
      <c r="EU365" s="134"/>
      <c r="EV365" s="134"/>
      <c r="EW365" s="134"/>
      <c r="EX365" s="134"/>
      <c r="EY365" s="134"/>
      <c r="EZ365" s="134"/>
      <c r="FA365" s="134"/>
      <c r="FB365" s="134"/>
      <c r="FC365" s="135"/>
      <c r="FD365" s="135"/>
      <c r="FE365" s="134"/>
      <c r="FF365" s="134"/>
      <c r="FG365" s="134"/>
      <c r="FH365" s="134"/>
      <c r="FI365" s="134"/>
      <c r="FJ365" s="134"/>
      <c r="FK365" s="134"/>
      <c r="FL365" s="134"/>
      <c r="FM365" s="135"/>
      <c r="FN365" s="135"/>
      <c r="FO365" s="134"/>
      <c r="FP365" s="134"/>
      <c r="FQ365" s="134"/>
      <c r="FR365" s="134"/>
      <c r="FS365" s="134"/>
      <c r="FT365" s="134"/>
      <c r="FU365" s="134"/>
      <c r="FV365" s="134"/>
      <c r="FW365" s="135"/>
      <c r="FX365" s="135"/>
      <c r="FY365" s="134"/>
      <c r="FZ365" s="134"/>
      <c r="GA365" s="134"/>
      <c r="GB365" s="134"/>
      <c r="GC365" s="134"/>
      <c r="GD365" s="134"/>
      <c r="GE365" s="134"/>
      <c r="GF365" s="134"/>
      <c r="GG365" s="135"/>
      <c r="GH365" s="135"/>
      <c r="GI365" s="134"/>
      <c r="GJ365" s="134"/>
      <c r="GK365" s="134"/>
      <c r="GL365" s="134"/>
      <c r="GM365" s="134"/>
      <c r="GN365" s="134"/>
      <c r="GO365" s="134"/>
      <c r="GP365" s="134"/>
      <c r="GQ365" s="135"/>
      <c r="GR365" s="135"/>
      <c r="GS365" s="134"/>
      <c r="GT365" s="134"/>
      <c r="GU365" s="134"/>
      <c r="GV365" s="134"/>
      <c r="GW365" s="134"/>
      <c r="GX365" s="134"/>
      <c r="GY365" s="134"/>
      <c r="GZ365" s="134"/>
      <c r="HA365" s="135"/>
      <c r="HB365" s="135"/>
      <c r="HC365" s="134"/>
      <c r="HD365" s="134"/>
      <c r="HE365" s="134"/>
      <c r="HF365" s="134"/>
      <c r="HG365" s="134"/>
      <c r="HH365" s="134"/>
      <c r="HI365" s="134"/>
      <c r="HJ365" s="134"/>
      <c r="HK365" s="135"/>
      <c r="HL365" s="135"/>
      <c r="HM365" s="134"/>
      <c r="HN365" s="134"/>
      <c r="HO365" s="134"/>
      <c r="HP365" s="134"/>
      <c r="HQ365" s="134"/>
      <c r="HR365" s="134"/>
      <c r="HS365" s="134"/>
      <c r="HT365" s="134"/>
      <c r="HU365" s="135"/>
      <c r="HV365" s="135"/>
      <c r="HW365" s="134"/>
      <c r="HX365" s="134"/>
      <c r="HY365" s="134"/>
      <c r="HZ365" s="134"/>
      <c r="IA365" s="134"/>
      <c r="IB365" s="134"/>
      <c r="IC365" s="134"/>
      <c r="ID365" s="134"/>
      <c r="IE365" s="135"/>
      <c r="IF365" s="135"/>
      <c r="IG365" s="134"/>
      <c r="IH365" s="134"/>
      <c r="II365" s="134"/>
      <c r="IJ365" s="134"/>
      <c r="IK365" s="134"/>
      <c r="IL365" s="134"/>
      <c r="IM365" s="134"/>
      <c r="IN365" s="134"/>
      <c r="IO365" s="135"/>
      <c r="IP365" s="135"/>
      <c r="IQ365" s="134"/>
      <c r="IR365" s="134"/>
      <c r="IS365" s="134"/>
      <c r="IT365" s="134"/>
      <c r="IU365" s="134"/>
      <c r="IV365" s="134"/>
      <c r="IW365" s="134"/>
      <c r="IX365" s="134"/>
      <c r="IY365" s="135"/>
      <c r="IZ365" s="135"/>
    </row>
    <row r="366" spans="1:260" ht="17" customHeight="1">
      <c r="A366" s="79" t="s">
        <v>355</v>
      </c>
      <c r="B366" s="117">
        <v>255</v>
      </c>
      <c r="C366" s="117">
        <v>91</v>
      </c>
      <c r="D366" s="117"/>
      <c r="E366" s="123" t="s">
        <v>2044</v>
      </c>
      <c r="F366" s="124" t="s">
        <v>2283</v>
      </c>
      <c r="G366" s="125">
        <v>2009</v>
      </c>
      <c r="H366" s="79">
        <v>19703322</v>
      </c>
      <c r="I366" s="79">
        <v>1</v>
      </c>
      <c r="J366" s="126"/>
      <c r="K366" s="127"/>
      <c r="L366" s="79">
        <v>1</v>
      </c>
      <c r="M366" s="79"/>
      <c r="N366" s="79">
        <v>1</v>
      </c>
      <c r="O366" s="128">
        <v>1</v>
      </c>
      <c r="P366" s="79" t="s">
        <v>457</v>
      </c>
      <c r="Q366" s="79" t="s">
        <v>1147</v>
      </c>
      <c r="R366" s="79" t="s">
        <v>819</v>
      </c>
      <c r="S366" s="79">
        <v>1</v>
      </c>
      <c r="T366" s="79"/>
      <c r="U366" s="79"/>
      <c r="V366" s="79"/>
      <c r="W366" s="79"/>
      <c r="X366" s="79" t="s">
        <v>917</v>
      </c>
      <c r="Y366" s="79"/>
      <c r="Z366" s="79"/>
      <c r="AA366" s="79"/>
      <c r="AB366" s="79"/>
      <c r="AC366" s="506"/>
      <c r="AD366" s="573">
        <v>1</v>
      </c>
      <c r="AE366" s="573">
        <v>2</v>
      </c>
      <c r="AF366" s="154">
        <v>1</v>
      </c>
      <c r="AG366" s="155"/>
      <c r="AH366" s="121">
        <v>2</v>
      </c>
      <c r="AI366" s="484" t="s">
        <v>5915</v>
      </c>
      <c r="AJ366" s="202" t="s">
        <v>5916</v>
      </c>
      <c r="AK366" s="192">
        <v>1</v>
      </c>
      <c r="AL366" s="203" t="s">
        <v>24</v>
      </c>
      <c r="AM366" s="121">
        <v>95</v>
      </c>
      <c r="AN366" s="121">
        <f>23+25</f>
        <v>48</v>
      </c>
      <c r="AO366" s="417">
        <f>19+28</f>
        <v>47</v>
      </c>
      <c r="AP366" s="417" t="s">
        <v>5914</v>
      </c>
      <c r="AQ366" s="121" t="s">
        <v>5914</v>
      </c>
      <c r="AR366" s="121">
        <f>AVERAGE(50.2,48.3)</f>
        <v>49.25</v>
      </c>
      <c r="AS366" s="121">
        <f>AVERAGE(7.3,9)</f>
        <v>8.15</v>
      </c>
      <c r="AT366" s="121">
        <f>AVERAGE(47.1,45.9)</f>
        <v>46.5</v>
      </c>
      <c r="AU366" s="121">
        <f>AVERAGE(11.1,9.5)</f>
        <v>10.3</v>
      </c>
      <c r="AV366" s="121" t="s">
        <v>5913</v>
      </c>
      <c r="AW366" s="121" t="s">
        <v>24</v>
      </c>
      <c r="AX366" s="121" t="s">
        <v>24</v>
      </c>
      <c r="AY366" s="121" t="s">
        <v>5912</v>
      </c>
      <c r="AZ366" s="121" t="s">
        <v>3835</v>
      </c>
      <c r="BA366" s="121" t="s">
        <v>5911</v>
      </c>
      <c r="BB366" s="121"/>
      <c r="BC366" s="121"/>
      <c r="BD366" s="156"/>
      <c r="BE366" s="156"/>
      <c r="BF366" s="156"/>
      <c r="BG366" s="156"/>
      <c r="BH366" s="156"/>
      <c r="BI366" s="156"/>
      <c r="BJ366" s="156">
        <v>1</v>
      </c>
      <c r="BK366" s="156"/>
      <c r="BL366" s="156"/>
      <c r="BM366" s="156"/>
      <c r="BN366" s="156"/>
      <c r="BO366" s="156"/>
      <c r="BP366" s="156"/>
      <c r="BQ366" s="157" t="s">
        <v>5923</v>
      </c>
      <c r="BR366" s="134" t="s">
        <v>1876</v>
      </c>
      <c r="BS366" s="134" t="s">
        <v>5917</v>
      </c>
      <c r="BT366" s="134" t="s">
        <v>5920</v>
      </c>
      <c r="BU366" s="134" t="s">
        <v>24</v>
      </c>
      <c r="BV366" s="134" t="s">
        <v>5926</v>
      </c>
      <c r="BW366" s="259" t="s">
        <v>5957</v>
      </c>
      <c r="BX366" s="138" t="s">
        <v>5930</v>
      </c>
      <c r="BY366" s="190">
        <v>27.9</v>
      </c>
      <c r="BZ366" s="134">
        <v>5.7</v>
      </c>
      <c r="CA366" s="190" t="s">
        <v>24</v>
      </c>
      <c r="CB366" s="138" t="s">
        <v>5931</v>
      </c>
      <c r="CC366" s="190">
        <v>32.799999999999997</v>
      </c>
      <c r="CD366" s="134">
        <v>5.5</v>
      </c>
      <c r="CE366" s="134" t="s">
        <v>24</v>
      </c>
      <c r="CF366" s="288" t="s">
        <v>24</v>
      </c>
      <c r="CG366" s="289" t="s">
        <v>24</v>
      </c>
      <c r="CH366" s="138" t="s">
        <v>5932</v>
      </c>
      <c r="CI366" s="134">
        <v>23.6</v>
      </c>
      <c r="CJ366" s="134">
        <v>7.3</v>
      </c>
      <c r="CK366" s="134" t="s">
        <v>24</v>
      </c>
      <c r="CL366" s="138" t="s">
        <v>5933</v>
      </c>
      <c r="CM366" s="134">
        <v>27.7</v>
      </c>
      <c r="CN366" s="134">
        <v>7.2</v>
      </c>
      <c r="CO366" s="134" t="s">
        <v>24</v>
      </c>
      <c r="CP366" s="288" t="s">
        <v>24</v>
      </c>
      <c r="CQ366" s="289" t="s">
        <v>24</v>
      </c>
      <c r="CR366" s="276" t="s">
        <v>5949</v>
      </c>
      <c r="CS366" s="308" t="s">
        <v>5948</v>
      </c>
      <c r="CT366" s="138" t="s">
        <v>5934</v>
      </c>
      <c r="CU366" s="134">
        <v>26.3</v>
      </c>
      <c r="CV366" s="134">
        <v>4.0999999999999996</v>
      </c>
      <c r="CW366" s="134" t="s">
        <v>24</v>
      </c>
      <c r="CX366" s="138" t="s">
        <v>5935</v>
      </c>
      <c r="CY366" s="134">
        <v>28.6</v>
      </c>
      <c r="CZ366" s="134">
        <v>3.7</v>
      </c>
      <c r="DA366" s="134" t="s">
        <v>24</v>
      </c>
      <c r="DB366" s="300" t="s">
        <v>5952</v>
      </c>
      <c r="DC366" s="301" t="s">
        <v>5950</v>
      </c>
      <c r="DD366" s="138" t="s">
        <v>5936</v>
      </c>
      <c r="DE366" s="134">
        <v>0.92</v>
      </c>
      <c r="DF366" s="134">
        <v>0.12</v>
      </c>
      <c r="DG366" s="134" t="s">
        <v>24</v>
      </c>
      <c r="DH366" s="138" t="s">
        <v>5937</v>
      </c>
      <c r="DI366" s="134">
        <v>0.93</v>
      </c>
      <c r="DJ366" s="134">
        <v>0.13</v>
      </c>
      <c r="DK366" s="134" t="s">
        <v>24</v>
      </c>
      <c r="DL366" s="300" t="s">
        <v>5954</v>
      </c>
      <c r="DM366" s="301" t="s">
        <v>5955</v>
      </c>
      <c r="DN366" s="276"/>
      <c r="DO366" s="277"/>
      <c r="DP366" s="478" t="s">
        <v>24</v>
      </c>
      <c r="DQ366" s="134" t="s">
        <v>24</v>
      </c>
      <c r="DR366" s="134" t="s">
        <v>24</v>
      </c>
      <c r="DS366" s="134" t="s">
        <v>24</v>
      </c>
      <c r="DT366" s="463" t="s">
        <v>24</v>
      </c>
      <c r="DU366" s="134" t="s">
        <v>24</v>
      </c>
      <c r="DV366" s="134" t="s">
        <v>24</v>
      </c>
      <c r="DW366" s="134" t="s">
        <v>24</v>
      </c>
      <c r="DX366" s="301" t="s">
        <v>24</v>
      </c>
      <c r="DY366" s="301" t="s">
        <v>24</v>
      </c>
      <c r="DZ366" s="138"/>
      <c r="EA366" s="134"/>
      <c r="EB366" s="134"/>
      <c r="EC366" s="134"/>
      <c r="ED366" s="138"/>
      <c r="EE366" s="134"/>
      <c r="EF366" s="134"/>
      <c r="EG366" s="134"/>
      <c r="EH366" s="301"/>
      <c r="EI366" s="301"/>
      <c r="EJ366" s="277"/>
      <c r="EK366" s="134"/>
      <c r="EL366" s="134"/>
      <c r="EM366" s="134"/>
      <c r="EN366" s="134"/>
      <c r="EO366" s="134"/>
      <c r="EP366" s="134"/>
      <c r="EQ366" s="134"/>
      <c r="ER366" s="134"/>
      <c r="ES366" s="301"/>
      <c r="ET366" s="301"/>
      <c r="EU366" s="134"/>
      <c r="EV366" s="134"/>
      <c r="EW366" s="134"/>
      <c r="EX366" s="134"/>
      <c r="EY366" s="134"/>
      <c r="EZ366" s="134"/>
      <c r="FA366" s="134"/>
      <c r="FB366" s="134"/>
      <c r="FC366" s="135"/>
      <c r="FD366" s="135"/>
      <c r="FE366" s="134"/>
      <c r="FF366" s="134"/>
      <c r="FG366" s="134"/>
      <c r="FH366" s="134"/>
      <c r="FI366" s="134"/>
      <c r="FJ366" s="134"/>
      <c r="FK366" s="134"/>
      <c r="FL366" s="134"/>
      <c r="FM366" s="135"/>
      <c r="FN366" s="135"/>
      <c r="FO366" s="134"/>
      <c r="FP366" s="134"/>
      <c r="FQ366" s="134"/>
      <c r="FR366" s="134"/>
      <c r="FS366" s="134"/>
      <c r="FT366" s="134"/>
      <c r="FU366" s="134"/>
      <c r="FV366" s="134"/>
      <c r="FW366" s="135"/>
      <c r="FX366" s="135"/>
      <c r="FY366" s="134"/>
      <c r="FZ366" s="134"/>
      <c r="GA366" s="134"/>
      <c r="GB366" s="134"/>
      <c r="GC366" s="134"/>
      <c r="GD366" s="134"/>
      <c r="GE366" s="134"/>
      <c r="GF366" s="134"/>
      <c r="GG366" s="135"/>
      <c r="GH366" s="135"/>
      <c r="GI366" s="134"/>
      <c r="GJ366" s="134"/>
      <c r="GK366" s="134"/>
      <c r="GL366" s="134"/>
      <c r="GM366" s="134"/>
      <c r="GN366" s="134"/>
      <c r="GO366" s="134"/>
      <c r="GP366" s="134"/>
      <c r="GQ366" s="135"/>
      <c r="GR366" s="135"/>
      <c r="GS366" s="134"/>
      <c r="GT366" s="134"/>
      <c r="GU366" s="134"/>
      <c r="GV366" s="134"/>
      <c r="GW366" s="134"/>
      <c r="GX366" s="134"/>
      <c r="GY366" s="134"/>
      <c r="GZ366" s="134"/>
      <c r="HA366" s="135"/>
      <c r="HB366" s="135"/>
      <c r="HC366" s="134"/>
      <c r="HD366" s="134"/>
      <c r="HE366" s="134"/>
      <c r="HF366" s="134"/>
      <c r="HG366" s="134"/>
      <c r="HH366" s="134"/>
      <c r="HI366" s="134"/>
      <c r="HJ366" s="134"/>
      <c r="HK366" s="135"/>
      <c r="HL366" s="135"/>
      <c r="HM366" s="134"/>
      <c r="HN366" s="134"/>
      <c r="HO366" s="134"/>
      <c r="HP366" s="134"/>
      <c r="HQ366" s="134"/>
      <c r="HR366" s="134"/>
      <c r="HS366" s="134"/>
      <c r="HT366" s="134"/>
      <c r="HU366" s="135"/>
      <c r="HV366" s="135"/>
      <c r="HW366" s="134"/>
      <c r="HX366" s="134"/>
      <c r="HY366" s="134"/>
      <c r="HZ366" s="134"/>
      <c r="IA366" s="134"/>
      <c r="IB366" s="134"/>
      <c r="IC366" s="134"/>
      <c r="ID366" s="134"/>
      <c r="IE366" s="135"/>
      <c r="IF366" s="135"/>
      <c r="IG366" s="134"/>
      <c r="IH366" s="134"/>
      <c r="II366" s="134"/>
      <c r="IJ366" s="134"/>
      <c r="IK366" s="134"/>
      <c r="IL366" s="134"/>
      <c r="IM366" s="134"/>
      <c r="IN366" s="134"/>
      <c r="IO366" s="135"/>
      <c r="IP366" s="135"/>
      <c r="IQ366" s="134"/>
      <c r="IR366" s="134"/>
      <c r="IS366" s="134"/>
      <c r="IT366" s="134"/>
      <c r="IU366" s="134"/>
      <c r="IV366" s="134"/>
      <c r="IW366" s="134"/>
      <c r="IX366" s="134"/>
      <c r="IY366" s="135"/>
      <c r="IZ366" s="135"/>
    </row>
    <row r="367" spans="1:260" ht="17" customHeight="1">
      <c r="A367" s="118" t="s">
        <v>355</v>
      </c>
      <c r="B367" s="381">
        <v>255</v>
      </c>
      <c r="C367" s="381">
        <v>91</v>
      </c>
      <c r="D367" s="381"/>
      <c r="E367" s="139" t="s">
        <v>2044</v>
      </c>
      <c r="F367" s="140" t="s">
        <v>2283</v>
      </c>
      <c r="G367" s="141">
        <v>2009</v>
      </c>
      <c r="H367" s="118">
        <v>19703322</v>
      </c>
      <c r="I367" s="118">
        <v>1</v>
      </c>
      <c r="J367" s="118"/>
      <c r="K367" s="118"/>
      <c r="L367" s="118">
        <v>1</v>
      </c>
      <c r="M367" s="118"/>
      <c r="N367" s="118">
        <v>1</v>
      </c>
      <c r="O367" s="142">
        <v>1</v>
      </c>
      <c r="P367" s="118" t="s">
        <v>457</v>
      </c>
      <c r="Q367" s="118" t="s">
        <v>1147</v>
      </c>
      <c r="R367" s="118" t="s">
        <v>819</v>
      </c>
      <c r="S367" s="118">
        <v>1</v>
      </c>
      <c r="T367" s="118"/>
      <c r="U367" s="118"/>
      <c r="V367" s="118"/>
      <c r="W367" s="118"/>
      <c r="X367" s="118" t="s">
        <v>917</v>
      </c>
      <c r="Y367" s="118"/>
      <c r="Z367" s="118"/>
      <c r="AA367" s="118"/>
      <c r="AB367" s="118"/>
      <c r="AC367" s="145"/>
      <c r="AD367" s="573">
        <v>1</v>
      </c>
      <c r="AE367" s="573">
        <v>2</v>
      </c>
      <c r="AF367" s="159">
        <v>1</v>
      </c>
      <c r="AG367" s="160"/>
      <c r="AH367" s="122">
        <v>2</v>
      </c>
      <c r="AI367" s="485" t="s">
        <v>5915</v>
      </c>
      <c r="AJ367" s="204" t="s">
        <v>5916</v>
      </c>
      <c r="AK367" s="192">
        <v>1</v>
      </c>
      <c r="AL367" s="205" t="s">
        <v>24</v>
      </c>
      <c r="AM367" s="122">
        <v>95</v>
      </c>
      <c r="AN367" s="122">
        <f>23+25</f>
        <v>48</v>
      </c>
      <c r="AO367" s="500">
        <f>19+28</f>
        <v>47</v>
      </c>
      <c r="AP367" s="500" t="s">
        <v>5914</v>
      </c>
      <c r="AQ367" s="122" t="s">
        <v>5914</v>
      </c>
      <c r="AR367" s="122">
        <f>AVERAGE(50.2,48.3)</f>
        <v>49.25</v>
      </c>
      <c r="AS367" s="122">
        <f>AVERAGE(7.3,9)</f>
        <v>8.15</v>
      </c>
      <c r="AT367" s="122">
        <f>AVERAGE(47.1,45.9)</f>
        <v>46.5</v>
      </c>
      <c r="AU367" s="122">
        <f>AVERAGE(11.1,9.5)</f>
        <v>10.3</v>
      </c>
      <c r="AV367" s="122" t="s">
        <v>5913</v>
      </c>
      <c r="AW367" s="122" t="s">
        <v>24</v>
      </c>
      <c r="AX367" s="122" t="s">
        <v>24</v>
      </c>
      <c r="AY367" s="122" t="s">
        <v>5912</v>
      </c>
      <c r="AZ367" s="122" t="s">
        <v>3835</v>
      </c>
      <c r="BA367" s="122" t="s">
        <v>5911</v>
      </c>
      <c r="BB367" s="122"/>
      <c r="BC367" s="122"/>
      <c r="BD367" s="161"/>
      <c r="BE367" s="161"/>
      <c r="BF367" s="161"/>
      <c r="BG367" s="161"/>
      <c r="BH367" s="161"/>
      <c r="BI367" s="161"/>
      <c r="BJ367" s="161">
        <v>1</v>
      </c>
      <c r="BK367" s="161"/>
      <c r="BL367" s="161"/>
      <c r="BM367" s="161"/>
      <c r="BN367" s="161"/>
      <c r="BO367" s="161"/>
      <c r="BP367" s="161"/>
      <c r="BQ367" s="162" t="s">
        <v>5922</v>
      </c>
      <c r="BR367" s="150" t="s">
        <v>1876</v>
      </c>
      <c r="BS367" s="150" t="s">
        <v>5917</v>
      </c>
      <c r="BT367" s="150" t="s">
        <v>5925</v>
      </c>
      <c r="BU367" s="150" t="s">
        <v>24</v>
      </c>
      <c r="BV367" s="150" t="s">
        <v>5929</v>
      </c>
      <c r="BW367" s="258" t="s">
        <v>5956</v>
      </c>
      <c r="BX367" s="151" t="s">
        <v>5610</v>
      </c>
      <c r="BY367" s="150">
        <v>60</v>
      </c>
      <c r="BZ367" s="150">
        <v>7.3</v>
      </c>
      <c r="CA367" s="150" t="s">
        <v>24</v>
      </c>
      <c r="CB367" s="151" t="s">
        <v>5611</v>
      </c>
      <c r="CC367" s="150">
        <v>63.4</v>
      </c>
      <c r="CD367" s="150">
        <v>7.5</v>
      </c>
      <c r="CE367" s="150" t="s">
        <v>24</v>
      </c>
      <c r="CF367" s="290" t="s">
        <v>24</v>
      </c>
      <c r="CG367" s="291" t="s">
        <v>24</v>
      </c>
      <c r="CH367" s="151" t="s">
        <v>5940</v>
      </c>
      <c r="CI367" s="150">
        <v>30.6</v>
      </c>
      <c r="CJ367" s="150">
        <v>13.3</v>
      </c>
      <c r="CK367" s="150" t="s">
        <v>24</v>
      </c>
      <c r="CL367" s="151" t="s">
        <v>5939</v>
      </c>
      <c r="CM367" s="150">
        <v>36.9</v>
      </c>
      <c r="CN367" s="150">
        <v>10.9</v>
      </c>
      <c r="CO367" s="150" t="s">
        <v>24</v>
      </c>
      <c r="CP367" s="290" t="s">
        <v>24</v>
      </c>
      <c r="CQ367" s="291" t="s">
        <v>24</v>
      </c>
      <c r="CR367" s="278" t="s">
        <v>5951</v>
      </c>
      <c r="CS367" s="278" t="s">
        <v>5951</v>
      </c>
      <c r="CT367" s="151" t="s">
        <v>5938</v>
      </c>
      <c r="CU367" s="150">
        <v>9.4</v>
      </c>
      <c r="CV367" s="150">
        <v>2.9</v>
      </c>
      <c r="CW367" s="150" t="s">
        <v>24</v>
      </c>
      <c r="CX367" s="151" t="s">
        <v>5941</v>
      </c>
      <c r="CY367" s="150">
        <v>10.6</v>
      </c>
      <c r="CZ367" s="150">
        <v>2.7</v>
      </c>
      <c r="DA367" s="150" t="s">
        <v>24</v>
      </c>
      <c r="DB367" s="302"/>
      <c r="DC367" s="303"/>
      <c r="DD367" s="150" t="s">
        <v>5942</v>
      </c>
      <c r="DE367" s="266">
        <v>0.89</v>
      </c>
      <c r="DF367" s="150">
        <v>0.28999999999999998</v>
      </c>
      <c r="DG367" s="266" t="s">
        <v>24</v>
      </c>
      <c r="DH367" s="150" t="s">
        <v>5943</v>
      </c>
      <c r="DI367" s="150">
        <v>0.97</v>
      </c>
      <c r="DJ367" s="150">
        <v>0.13</v>
      </c>
      <c r="DK367" s="150" t="s">
        <v>24</v>
      </c>
      <c r="DL367" s="302" t="s">
        <v>5958</v>
      </c>
      <c r="DM367" s="303" t="s">
        <v>2480</v>
      </c>
      <c r="DN367" s="278"/>
      <c r="DO367" s="279"/>
      <c r="DP367" s="360"/>
      <c r="DQ367" s="266"/>
      <c r="DR367" s="150"/>
      <c r="DS367" s="266"/>
      <c r="DT367" s="468"/>
      <c r="DU367" s="150"/>
      <c r="DV367" s="150"/>
      <c r="DW367" s="150"/>
      <c r="DX367" s="303"/>
      <c r="DY367" s="303"/>
      <c r="DZ367" s="151"/>
      <c r="EA367" s="266"/>
      <c r="EB367" s="266"/>
      <c r="EC367" s="266"/>
      <c r="ED367" s="468"/>
      <c r="EE367" s="150"/>
      <c r="EF367" s="150"/>
      <c r="EG367" s="150"/>
      <c r="EH367" s="303"/>
      <c r="EI367" s="303"/>
      <c r="EJ367" s="279"/>
      <c r="EK367" s="266"/>
      <c r="EL367" s="266"/>
      <c r="EM367" s="266"/>
      <c r="EN367" s="266"/>
      <c r="EO367" s="266"/>
      <c r="EP367" s="150"/>
      <c r="EQ367" s="150"/>
      <c r="ER367" s="150"/>
      <c r="ES367" s="303"/>
      <c r="ET367" s="303"/>
      <c r="EU367" s="266"/>
      <c r="EV367" s="266"/>
      <c r="EW367" s="266"/>
      <c r="EX367" s="266"/>
      <c r="EY367" s="150"/>
      <c r="EZ367" s="150"/>
      <c r="FA367" s="150"/>
      <c r="FB367" s="150"/>
      <c r="FC367" s="152"/>
      <c r="FD367" s="152"/>
      <c r="FE367" s="150"/>
      <c r="FF367" s="266"/>
      <c r="FG367" s="150"/>
      <c r="FH367" s="150"/>
      <c r="FI367" s="150"/>
      <c r="FJ367" s="150"/>
      <c r="FK367" s="150"/>
      <c r="FL367" s="150"/>
      <c r="FM367" s="152"/>
      <c r="FN367" s="152"/>
      <c r="FO367" s="150"/>
      <c r="FP367" s="150"/>
      <c r="FQ367" s="150"/>
      <c r="FR367" s="150"/>
      <c r="FS367" s="150"/>
      <c r="FT367" s="150"/>
      <c r="FU367" s="150"/>
      <c r="FV367" s="150"/>
      <c r="FW367" s="152"/>
      <c r="FX367" s="152"/>
      <c r="FY367" s="150"/>
      <c r="FZ367" s="150"/>
      <c r="GA367" s="150"/>
      <c r="GB367" s="150"/>
      <c r="GC367" s="150"/>
      <c r="GD367" s="150"/>
      <c r="GE367" s="150"/>
      <c r="GF367" s="150"/>
      <c r="GG367" s="152"/>
      <c r="GH367" s="152"/>
      <c r="GI367" s="150"/>
      <c r="GJ367" s="150"/>
      <c r="GK367" s="150"/>
      <c r="GL367" s="150"/>
      <c r="GM367" s="150"/>
      <c r="GN367" s="150"/>
      <c r="GO367" s="150"/>
      <c r="GP367" s="150"/>
      <c r="GQ367" s="152"/>
      <c r="GR367" s="152"/>
      <c r="GS367" s="134"/>
      <c r="GT367" s="134"/>
      <c r="GU367" s="134"/>
      <c r="GV367" s="134"/>
      <c r="GW367" s="134"/>
      <c r="GX367" s="134"/>
      <c r="GY367" s="134"/>
      <c r="GZ367" s="134"/>
      <c r="HA367" s="135"/>
      <c r="HB367" s="135"/>
      <c r="HC367" s="134"/>
      <c r="HD367" s="134"/>
      <c r="HE367" s="134"/>
      <c r="HF367" s="134"/>
      <c r="HG367" s="134"/>
      <c r="HH367" s="134"/>
      <c r="HI367" s="134"/>
      <c r="HJ367" s="134"/>
      <c r="HK367" s="135"/>
      <c r="HL367" s="135"/>
      <c r="HM367" s="134"/>
      <c r="HN367" s="134"/>
      <c r="HO367" s="134"/>
      <c r="HP367" s="134"/>
      <c r="HQ367" s="134"/>
      <c r="HR367" s="134"/>
      <c r="HS367" s="134"/>
      <c r="HT367" s="134"/>
      <c r="HU367" s="135"/>
      <c r="HV367" s="135"/>
      <c r="HW367" s="134"/>
      <c r="HX367" s="134"/>
      <c r="HY367" s="134"/>
      <c r="HZ367" s="134"/>
      <c r="IA367" s="134"/>
      <c r="IB367" s="134"/>
      <c r="IC367" s="134"/>
      <c r="ID367" s="134"/>
      <c r="IE367" s="135"/>
      <c r="IF367" s="135"/>
      <c r="IG367" s="134"/>
      <c r="IH367" s="134"/>
      <c r="II367" s="134"/>
      <c r="IJ367" s="134"/>
      <c r="IK367" s="134"/>
      <c r="IL367" s="134"/>
      <c r="IM367" s="134"/>
      <c r="IN367" s="134"/>
      <c r="IO367" s="135"/>
      <c r="IP367" s="135"/>
      <c r="IQ367" s="134"/>
      <c r="IR367" s="134"/>
      <c r="IS367" s="134"/>
      <c r="IT367" s="134"/>
      <c r="IU367" s="134"/>
      <c r="IV367" s="134"/>
      <c r="IW367" s="134"/>
      <c r="IX367" s="134"/>
      <c r="IY367" s="135"/>
      <c r="IZ367" s="135"/>
    </row>
    <row r="368" spans="1:260" ht="17" customHeight="1">
      <c r="A368" s="118" t="s">
        <v>355</v>
      </c>
      <c r="B368" s="381">
        <v>255</v>
      </c>
      <c r="C368" s="381">
        <v>91</v>
      </c>
      <c r="D368" s="381"/>
      <c r="E368" s="139" t="s">
        <v>2044</v>
      </c>
      <c r="F368" s="140" t="s">
        <v>2283</v>
      </c>
      <c r="G368" s="141">
        <v>2009</v>
      </c>
      <c r="H368" s="118">
        <v>19703322</v>
      </c>
      <c r="I368" s="118">
        <v>1</v>
      </c>
      <c r="J368" s="118"/>
      <c r="K368" s="118"/>
      <c r="L368" s="118">
        <v>1</v>
      </c>
      <c r="M368" s="118"/>
      <c r="N368" s="118">
        <v>1</v>
      </c>
      <c r="O368" s="142">
        <v>1</v>
      </c>
      <c r="P368" s="118" t="s">
        <v>457</v>
      </c>
      <c r="Q368" s="118" t="s">
        <v>1147</v>
      </c>
      <c r="R368" s="118" t="s">
        <v>819</v>
      </c>
      <c r="S368" s="118">
        <v>1</v>
      </c>
      <c r="T368" s="118"/>
      <c r="U368" s="118"/>
      <c r="V368" s="118"/>
      <c r="W368" s="118"/>
      <c r="X368" s="118" t="s">
        <v>917</v>
      </c>
      <c r="Y368" s="118"/>
      <c r="Z368" s="118"/>
      <c r="AA368" s="118"/>
      <c r="AB368" s="118"/>
      <c r="AC368" s="145"/>
      <c r="AD368" s="573">
        <v>1</v>
      </c>
      <c r="AE368" s="573">
        <v>2</v>
      </c>
      <c r="AF368" s="159">
        <v>1</v>
      </c>
      <c r="AG368" s="160"/>
      <c r="AH368" s="122">
        <v>2</v>
      </c>
      <c r="AI368" s="485" t="s">
        <v>5915</v>
      </c>
      <c r="AJ368" s="204" t="s">
        <v>5916</v>
      </c>
      <c r="AK368" s="192">
        <v>1</v>
      </c>
      <c r="AL368" s="205" t="s">
        <v>24</v>
      </c>
      <c r="AM368" s="122">
        <v>95</v>
      </c>
      <c r="AN368" s="122">
        <f>23+25</f>
        <v>48</v>
      </c>
      <c r="AO368" s="122">
        <f>19+28</f>
        <v>47</v>
      </c>
      <c r="AP368" s="122" t="s">
        <v>5914</v>
      </c>
      <c r="AQ368" s="122" t="s">
        <v>5914</v>
      </c>
      <c r="AR368" s="122">
        <f>AVERAGE(50.2,48.3)</f>
        <v>49.25</v>
      </c>
      <c r="AS368" s="122">
        <f>AVERAGE(7.3,9)</f>
        <v>8.15</v>
      </c>
      <c r="AT368" s="122">
        <f>AVERAGE(47.1,45.9)</f>
        <v>46.5</v>
      </c>
      <c r="AU368" s="122">
        <f>AVERAGE(11.1,9.5)</f>
        <v>10.3</v>
      </c>
      <c r="AV368" s="122" t="s">
        <v>5913</v>
      </c>
      <c r="AW368" s="122" t="s">
        <v>24</v>
      </c>
      <c r="AX368" s="122" t="s">
        <v>24</v>
      </c>
      <c r="AY368" s="122" t="s">
        <v>5912</v>
      </c>
      <c r="AZ368" s="122" t="s">
        <v>3835</v>
      </c>
      <c r="BA368" s="122" t="s">
        <v>5911</v>
      </c>
      <c r="BB368" s="122"/>
      <c r="BC368" s="122"/>
      <c r="BD368" s="161"/>
      <c r="BE368" s="161"/>
      <c r="BF368" s="161"/>
      <c r="BG368" s="161"/>
      <c r="BH368" s="161"/>
      <c r="BI368" s="161"/>
      <c r="BJ368" s="161">
        <v>1</v>
      </c>
      <c r="BK368" s="161"/>
      <c r="BL368" s="161"/>
      <c r="BM368" s="161"/>
      <c r="BN368" s="161"/>
      <c r="BO368" s="161"/>
      <c r="BP368" s="161"/>
      <c r="BQ368" s="162" t="s">
        <v>5918</v>
      </c>
      <c r="BR368" s="150" t="s">
        <v>1876</v>
      </c>
      <c r="BS368" s="150" t="s">
        <v>5917</v>
      </c>
      <c r="BT368" s="150" t="s">
        <v>5921</v>
      </c>
      <c r="BU368" s="150" t="s">
        <v>24</v>
      </c>
      <c r="BV368" s="150" t="s">
        <v>5927</v>
      </c>
      <c r="BW368" s="258" t="s">
        <v>5962</v>
      </c>
      <c r="BX368" s="151" t="s">
        <v>5944</v>
      </c>
      <c r="BY368" s="266">
        <v>0.6</v>
      </c>
      <c r="BZ368" s="150">
        <v>3.9</v>
      </c>
      <c r="CA368" s="266" t="s">
        <v>24</v>
      </c>
      <c r="CB368" s="542" t="s">
        <v>5945</v>
      </c>
      <c r="CC368" s="266">
        <v>-0.2</v>
      </c>
      <c r="CD368" s="150">
        <v>4.0999999999999996</v>
      </c>
      <c r="CE368" s="150" t="s">
        <v>24</v>
      </c>
      <c r="CF368" s="290" t="s">
        <v>5959</v>
      </c>
      <c r="CG368" s="291" t="s">
        <v>5953</v>
      </c>
      <c r="CH368" s="438" t="s">
        <v>24</v>
      </c>
      <c r="CI368" s="266"/>
      <c r="CJ368" s="150"/>
      <c r="CK368" s="266"/>
      <c r="CL368" s="542"/>
      <c r="CM368" s="150"/>
      <c r="CN368" s="150"/>
      <c r="CO368" s="150"/>
      <c r="CP368" s="290"/>
      <c r="CQ368" s="291"/>
      <c r="CR368" s="278"/>
      <c r="CS368" s="285"/>
      <c r="CT368" s="151"/>
      <c r="CU368" s="266"/>
      <c r="CV368" s="150"/>
      <c r="CW368" s="266"/>
      <c r="CX368" s="150"/>
      <c r="CY368" s="150"/>
      <c r="CZ368" s="150"/>
      <c r="DA368" s="150"/>
      <c r="DB368" s="302"/>
      <c r="DC368" s="303"/>
      <c r="DD368" s="150"/>
      <c r="DE368" s="266"/>
      <c r="DF368" s="150"/>
      <c r="DG368" s="266"/>
      <c r="DH368" s="150"/>
      <c r="DI368" s="150"/>
      <c r="DJ368" s="150"/>
      <c r="DK368" s="150"/>
      <c r="DL368" s="302"/>
      <c r="DM368" s="303"/>
      <c r="DN368" s="278"/>
      <c r="DO368" s="279"/>
      <c r="DP368" s="266"/>
      <c r="DQ368" s="266"/>
      <c r="DR368" s="266"/>
      <c r="DS368" s="266"/>
      <c r="DT368" s="468"/>
      <c r="DU368" s="150"/>
      <c r="DV368" s="150"/>
      <c r="DW368" s="150"/>
      <c r="DX368" s="303"/>
      <c r="DY368" s="303"/>
      <c r="DZ368" s="151"/>
      <c r="EA368" s="150"/>
      <c r="EB368" s="150"/>
      <c r="EC368" s="150"/>
      <c r="ED368" s="151"/>
      <c r="EE368" s="150"/>
      <c r="EF368" s="150"/>
      <c r="EG368" s="150"/>
      <c r="EH368" s="303"/>
      <c r="EI368" s="303"/>
      <c r="EJ368" s="279"/>
      <c r="EK368" s="150"/>
      <c r="EL368" s="150"/>
      <c r="EM368" s="150"/>
      <c r="EN368" s="150"/>
      <c r="EO368" s="150"/>
      <c r="EP368" s="150"/>
      <c r="EQ368" s="150"/>
      <c r="ER368" s="150"/>
      <c r="ES368" s="303"/>
      <c r="ET368" s="303"/>
      <c r="EU368" s="150"/>
      <c r="EV368" s="150"/>
      <c r="EW368" s="150"/>
      <c r="EX368" s="150"/>
      <c r="EY368" s="150"/>
      <c r="EZ368" s="150"/>
      <c r="FA368" s="150"/>
      <c r="FB368" s="150"/>
      <c r="FC368" s="152"/>
      <c r="FD368" s="152"/>
      <c r="FE368" s="150"/>
      <c r="FF368" s="150"/>
      <c r="FG368" s="150"/>
      <c r="FH368" s="150"/>
      <c r="FI368" s="150"/>
      <c r="FJ368" s="150"/>
      <c r="FK368" s="150"/>
      <c r="FL368" s="150"/>
      <c r="FM368" s="152"/>
      <c r="FN368" s="152"/>
      <c r="FO368" s="150"/>
      <c r="FP368" s="150"/>
      <c r="FQ368" s="150"/>
      <c r="FR368" s="150"/>
      <c r="FS368" s="150"/>
      <c r="FT368" s="150"/>
      <c r="FU368" s="150"/>
      <c r="FV368" s="150"/>
      <c r="FW368" s="152"/>
      <c r="FX368" s="152"/>
      <c r="FY368" s="150"/>
      <c r="FZ368" s="150"/>
      <c r="GA368" s="150"/>
      <c r="GB368" s="150"/>
      <c r="GC368" s="150"/>
      <c r="GD368" s="150"/>
      <c r="GE368" s="150"/>
      <c r="GF368" s="150"/>
      <c r="GG368" s="152"/>
      <c r="GH368" s="152"/>
      <c r="GI368" s="150"/>
      <c r="GJ368" s="150"/>
      <c r="GK368" s="150"/>
      <c r="GL368" s="150"/>
      <c r="GM368" s="150"/>
      <c r="GN368" s="150"/>
      <c r="GO368" s="150"/>
      <c r="GP368" s="150"/>
      <c r="GQ368" s="152"/>
      <c r="GR368" s="152"/>
      <c r="GS368" s="134"/>
      <c r="GT368" s="134"/>
      <c r="GU368" s="134"/>
      <c r="GV368" s="134"/>
      <c r="GW368" s="134"/>
      <c r="GX368" s="134"/>
      <c r="GY368" s="134"/>
      <c r="GZ368" s="134"/>
      <c r="HA368" s="135"/>
      <c r="HB368" s="135"/>
      <c r="HC368" s="134"/>
      <c r="HD368" s="134"/>
      <c r="HE368" s="134"/>
      <c r="HF368" s="134"/>
      <c r="HG368" s="134"/>
      <c r="HH368" s="134"/>
      <c r="HI368" s="134"/>
      <c r="HJ368" s="134"/>
      <c r="HK368" s="135"/>
      <c r="HL368" s="135"/>
      <c r="HM368" s="134"/>
      <c r="HN368" s="134"/>
      <c r="HO368" s="134"/>
      <c r="HP368" s="134"/>
      <c r="HQ368" s="134"/>
      <c r="HR368" s="134"/>
      <c r="HS368" s="134"/>
      <c r="HT368" s="134"/>
      <c r="HU368" s="135"/>
      <c r="HV368" s="135"/>
      <c r="HW368" s="134"/>
      <c r="HX368" s="134"/>
      <c r="HY368" s="134"/>
      <c r="HZ368" s="134"/>
      <c r="IA368" s="134"/>
      <c r="IB368" s="134"/>
      <c r="IC368" s="134"/>
      <c r="ID368" s="134"/>
      <c r="IE368" s="135"/>
      <c r="IF368" s="135"/>
      <c r="IG368" s="134"/>
      <c r="IH368" s="134"/>
      <c r="II368" s="134"/>
      <c r="IJ368" s="134"/>
      <c r="IK368" s="134"/>
      <c r="IL368" s="134"/>
      <c r="IM368" s="134"/>
      <c r="IN368" s="134"/>
      <c r="IO368" s="135"/>
      <c r="IP368" s="135"/>
      <c r="IQ368" s="134"/>
      <c r="IR368" s="134"/>
      <c r="IS368" s="134"/>
      <c r="IT368" s="134"/>
      <c r="IU368" s="134"/>
      <c r="IV368" s="134"/>
      <c r="IW368" s="134"/>
      <c r="IX368" s="134"/>
      <c r="IY368" s="135"/>
      <c r="IZ368" s="135"/>
    </row>
    <row r="369" spans="1:260" ht="17" customHeight="1">
      <c r="A369" s="118" t="s">
        <v>355</v>
      </c>
      <c r="B369" s="381">
        <v>255</v>
      </c>
      <c r="C369" s="381">
        <v>91</v>
      </c>
      <c r="D369" s="381"/>
      <c r="E369" s="139" t="s">
        <v>2044</v>
      </c>
      <c r="F369" s="140" t="s">
        <v>2283</v>
      </c>
      <c r="G369" s="141">
        <v>2009</v>
      </c>
      <c r="H369" s="118">
        <v>19703322</v>
      </c>
      <c r="I369" s="118">
        <v>1</v>
      </c>
      <c r="J369" s="118"/>
      <c r="K369" s="118"/>
      <c r="L369" s="118">
        <v>1</v>
      </c>
      <c r="M369" s="118"/>
      <c r="N369" s="118">
        <v>1</v>
      </c>
      <c r="O369" s="142">
        <v>1</v>
      </c>
      <c r="P369" s="118" t="s">
        <v>457</v>
      </c>
      <c r="Q369" s="118" t="s">
        <v>1147</v>
      </c>
      <c r="R369" s="118" t="s">
        <v>819</v>
      </c>
      <c r="S369" s="118">
        <v>1</v>
      </c>
      <c r="T369" s="118"/>
      <c r="U369" s="118"/>
      <c r="V369" s="118"/>
      <c r="W369" s="118"/>
      <c r="X369" s="118" t="s">
        <v>917</v>
      </c>
      <c r="Y369" s="118"/>
      <c r="Z369" s="118"/>
      <c r="AA369" s="118"/>
      <c r="AB369" s="118"/>
      <c r="AC369" s="145"/>
      <c r="AD369" s="573">
        <v>1</v>
      </c>
      <c r="AE369" s="573">
        <v>2</v>
      </c>
      <c r="AF369" s="159">
        <v>1</v>
      </c>
      <c r="AG369" s="160"/>
      <c r="AH369" s="122">
        <v>2</v>
      </c>
      <c r="AI369" s="485" t="s">
        <v>5915</v>
      </c>
      <c r="AJ369" s="204" t="s">
        <v>5916</v>
      </c>
      <c r="AK369" s="192">
        <v>1</v>
      </c>
      <c r="AL369" s="205" t="s">
        <v>24</v>
      </c>
      <c r="AM369" s="122">
        <v>95</v>
      </c>
      <c r="AN369" s="122">
        <f>23+25</f>
        <v>48</v>
      </c>
      <c r="AO369" s="122">
        <f>19+28</f>
        <v>47</v>
      </c>
      <c r="AP369" s="122" t="s">
        <v>5914</v>
      </c>
      <c r="AQ369" s="122" t="s">
        <v>5914</v>
      </c>
      <c r="AR369" s="122">
        <f>AVERAGE(50.2,48.3)</f>
        <v>49.25</v>
      </c>
      <c r="AS369" s="122">
        <f>AVERAGE(7.3,9)</f>
        <v>8.15</v>
      </c>
      <c r="AT369" s="122">
        <f>AVERAGE(47.1,45.9)</f>
        <v>46.5</v>
      </c>
      <c r="AU369" s="122">
        <f>AVERAGE(11.1,9.5)</f>
        <v>10.3</v>
      </c>
      <c r="AV369" s="122" t="s">
        <v>5913</v>
      </c>
      <c r="AW369" s="122" t="s">
        <v>24</v>
      </c>
      <c r="AX369" s="122" t="s">
        <v>24</v>
      </c>
      <c r="AY369" s="122" t="s">
        <v>5912</v>
      </c>
      <c r="AZ369" s="122" t="s">
        <v>3835</v>
      </c>
      <c r="BA369" s="122" t="s">
        <v>5911</v>
      </c>
      <c r="BB369" s="122"/>
      <c r="BC369" s="122"/>
      <c r="BD369" s="161"/>
      <c r="BE369" s="161"/>
      <c r="BF369" s="161"/>
      <c r="BG369" s="161"/>
      <c r="BH369" s="161"/>
      <c r="BI369" s="161"/>
      <c r="BJ369" s="161">
        <v>1</v>
      </c>
      <c r="BK369" s="161"/>
      <c r="BL369" s="161"/>
      <c r="BM369" s="161"/>
      <c r="BN369" s="161"/>
      <c r="BO369" s="161"/>
      <c r="BP369" s="161"/>
      <c r="BQ369" s="162" t="s">
        <v>5919</v>
      </c>
      <c r="BR369" s="150" t="s">
        <v>1876</v>
      </c>
      <c r="BS369" s="150" t="s">
        <v>5917</v>
      </c>
      <c r="BT369" s="150" t="s">
        <v>5924</v>
      </c>
      <c r="BU369" s="150" t="s">
        <v>24</v>
      </c>
      <c r="BV369" s="150" t="s">
        <v>5928</v>
      </c>
      <c r="BW369" s="258" t="s">
        <v>5961</v>
      </c>
      <c r="BX369" s="151" t="s">
        <v>5946</v>
      </c>
      <c r="BY369" s="266">
        <v>0.3</v>
      </c>
      <c r="BZ369" s="150">
        <v>3.8</v>
      </c>
      <c r="CA369" s="266" t="s">
        <v>24</v>
      </c>
      <c r="CB369" s="542" t="s">
        <v>5947</v>
      </c>
      <c r="CC369" s="266">
        <v>-0.3</v>
      </c>
      <c r="CD369" s="150">
        <v>3.7</v>
      </c>
      <c r="CE369" s="150" t="s">
        <v>24</v>
      </c>
      <c r="CF369" s="290" t="s">
        <v>5960</v>
      </c>
      <c r="CG369" s="291" t="s">
        <v>2480</v>
      </c>
      <c r="CH369" s="151" t="s">
        <v>24</v>
      </c>
      <c r="CI369" s="150"/>
      <c r="CJ369" s="150"/>
      <c r="CK369" s="150"/>
      <c r="CL369" s="151"/>
      <c r="CM369" s="150"/>
      <c r="CN369" s="150"/>
      <c r="CO369" s="150"/>
      <c r="CP369" s="290"/>
      <c r="CQ369" s="291"/>
      <c r="CR369" s="278"/>
      <c r="CS369" s="285"/>
      <c r="CT369" s="151"/>
      <c r="CU369" s="266"/>
      <c r="CV369" s="150"/>
      <c r="CW369" s="266"/>
      <c r="CX369" s="150"/>
      <c r="CY369" s="150"/>
      <c r="CZ369" s="150"/>
      <c r="DA369" s="150"/>
      <c r="DB369" s="302"/>
      <c r="DC369" s="303"/>
      <c r="DD369" s="150"/>
      <c r="DE369" s="150"/>
      <c r="DF369" s="150"/>
      <c r="DG369" s="150"/>
      <c r="DH369" s="150"/>
      <c r="DI369" s="150"/>
      <c r="DJ369" s="150"/>
      <c r="DK369" s="150"/>
      <c r="DL369" s="302"/>
      <c r="DM369" s="303"/>
      <c r="DN369" s="278"/>
      <c r="DO369" s="279"/>
      <c r="DP369" s="150"/>
      <c r="DQ369" s="150"/>
      <c r="DR369" s="150"/>
      <c r="DS369" s="150"/>
      <c r="DT369" s="151"/>
      <c r="DU369" s="150"/>
      <c r="DV369" s="150"/>
      <c r="DW369" s="150"/>
      <c r="DX369" s="303"/>
      <c r="DY369" s="303"/>
      <c r="DZ369" s="151"/>
      <c r="EA369" s="150"/>
      <c r="EB369" s="150"/>
      <c r="EC369" s="150"/>
      <c r="ED369" s="151"/>
      <c r="EE369" s="150"/>
      <c r="EF369" s="150"/>
      <c r="EG369" s="150"/>
      <c r="EH369" s="303"/>
      <c r="EI369" s="303"/>
      <c r="EJ369" s="279"/>
      <c r="EK369" s="150"/>
      <c r="EL369" s="150"/>
      <c r="EM369" s="150"/>
      <c r="EN369" s="150"/>
      <c r="EO369" s="150"/>
      <c r="EP369" s="150"/>
      <c r="EQ369" s="150"/>
      <c r="ER369" s="150"/>
      <c r="ES369" s="303"/>
      <c r="ET369" s="303"/>
      <c r="EU369" s="150"/>
      <c r="EV369" s="150"/>
      <c r="EW369" s="150"/>
      <c r="EX369" s="150"/>
      <c r="EY369" s="150"/>
      <c r="EZ369" s="150"/>
      <c r="FA369" s="150"/>
      <c r="FB369" s="150"/>
      <c r="FC369" s="152"/>
      <c r="FD369" s="152"/>
      <c r="FE369" s="150"/>
      <c r="FF369" s="150"/>
      <c r="FG369" s="150"/>
      <c r="FH369" s="150"/>
      <c r="FI369" s="150"/>
      <c r="FJ369" s="150"/>
      <c r="FK369" s="150"/>
      <c r="FL369" s="150"/>
      <c r="FM369" s="152"/>
      <c r="FN369" s="152"/>
      <c r="FO369" s="150"/>
      <c r="FP369" s="150"/>
      <c r="FQ369" s="150"/>
      <c r="FR369" s="150"/>
      <c r="FS369" s="150"/>
      <c r="FT369" s="150"/>
      <c r="FU369" s="150"/>
      <c r="FV369" s="150"/>
      <c r="FW369" s="152"/>
      <c r="FX369" s="152"/>
      <c r="FY369" s="150"/>
      <c r="FZ369" s="150"/>
      <c r="GA369" s="150"/>
      <c r="GB369" s="150"/>
      <c r="GC369" s="150"/>
      <c r="GD369" s="150"/>
      <c r="GE369" s="150"/>
      <c r="GF369" s="150"/>
      <c r="GG369" s="152"/>
      <c r="GH369" s="152"/>
      <c r="GI369" s="150"/>
      <c r="GJ369" s="150"/>
      <c r="GK369" s="150"/>
      <c r="GL369" s="150"/>
      <c r="GM369" s="150"/>
      <c r="GN369" s="150"/>
      <c r="GO369" s="150"/>
      <c r="GP369" s="150"/>
      <c r="GQ369" s="152"/>
      <c r="GR369" s="152"/>
      <c r="GS369" s="134"/>
      <c r="GT369" s="134"/>
      <c r="GU369" s="134"/>
      <c r="GV369" s="134"/>
      <c r="GW369" s="134"/>
      <c r="GX369" s="134"/>
      <c r="GY369" s="134"/>
      <c r="GZ369" s="134"/>
      <c r="HA369" s="135"/>
      <c r="HB369" s="135"/>
      <c r="HC369" s="134"/>
      <c r="HD369" s="134"/>
      <c r="HE369" s="134"/>
      <c r="HF369" s="134"/>
      <c r="HG369" s="134"/>
      <c r="HH369" s="134"/>
      <c r="HI369" s="134"/>
      <c r="HJ369" s="134"/>
      <c r="HK369" s="135"/>
      <c r="HL369" s="135"/>
      <c r="HM369" s="134"/>
      <c r="HN369" s="134"/>
      <c r="HO369" s="134"/>
      <c r="HP369" s="134"/>
      <c r="HQ369" s="134"/>
      <c r="HR369" s="134"/>
      <c r="HS369" s="134"/>
      <c r="HT369" s="134"/>
      <c r="HU369" s="135"/>
      <c r="HV369" s="135"/>
      <c r="HW369" s="134"/>
      <c r="HX369" s="134"/>
      <c r="HY369" s="134"/>
      <c r="HZ369" s="134"/>
      <c r="IA369" s="134"/>
      <c r="IB369" s="134"/>
      <c r="IC369" s="134"/>
      <c r="ID369" s="134"/>
      <c r="IE369" s="135"/>
      <c r="IF369" s="135"/>
      <c r="IG369" s="134"/>
      <c r="IH369" s="134"/>
      <c r="II369" s="134"/>
      <c r="IJ369" s="134"/>
      <c r="IK369" s="134"/>
      <c r="IL369" s="134"/>
      <c r="IM369" s="134"/>
      <c r="IN369" s="134"/>
      <c r="IO369" s="135"/>
      <c r="IP369" s="135"/>
      <c r="IQ369" s="134"/>
      <c r="IR369" s="134"/>
      <c r="IS369" s="134"/>
      <c r="IT369" s="134"/>
      <c r="IU369" s="134"/>
      <c r="IV369" s="134"/>
      <c r="IW369" s="134"/>
      <c r="IX369" s="134"/>
      <c r="IY369" s="135"/>
      <c r="IZ369" s="135"/>
    </row>
    <row r="370" spans="1:260" ht="17" customHeight="1">
      <c r="A370" s="79" t="s">
        <v>947</v>
      </c>
      <c r="B370" s="117">
        <v>52</v>
      </c>
      <c r="C370" s="117"/>
      <c r="D370" s="117"/>
      <c r="E370" s="123" t="s">
        <v>2128</v>
      </c>
      <c r="F370" s="124" t="s">
        <v>2392</v>
      </c>
      <c r="G370" s="125">
        <v>2008</v>
      </c>
      <c r="H370" s="79">
        <v>17957211</v>
      </c>
      <c r="I370" s="79">
        <v>1</v>
      </c>
      <c r="J370" s="126">
        <v>1</v>
      </c>
      <c r="K370" s="127"/>
      <c r="L370" s="79">
        <v>1</v>
      </c>
      <c r="M370" s="79"/>
      <c r="N370" s="153">
        <v>1</v>
      </c>
      <c r="O370" s="128">
        <v>2</v>
      </c>
      <c r="P370" s="79" t="s">
        <v>1220</v>
      </c>
      <c r="Q370" s="79" t="s">
        <v>1216</v>
      </c>
      <c r="R370" s="79" t="s">
        <v>1127</v>
      </c>
      <c r="S370" s="79"/>
      <c r="T370" s="79" t="s">
        <v>1487</v>
      </c>
      <c r="U370" s="79" t="s">
        <v>803</v>
      </c>
      <c r="V370" s="79"/>
      <c r="W370" s="79" t="s">
        <v>1501</v>
      </c>
      <c r="X370" s="79" t="s">
        <v>1636</v>
      </c>
      <c r="Y370" s="79"/>
      <c r="Z370" s="79"/>
      <c r="AA370" s="79" t="s">
        <v>1549</v>
      </c>
      <c r="AB370" s="79"/>
      <c r="AC370" s="506"/>
      <c r="AD370" s="573">
        <v>1</v>
      </c>
      <c r="AE370" s="573">
        <v>2</v>
      </c>
      <c r="AF370" s="154">
        <v>1</v>
      </c>
      <c r="AG370" s="155"/>
      <c r="AH370" s="121">
        <v>4</v>
      </c>
      <c r="AI370" s="484"/>
      <c r="AJ370" s="202" t="s">
        <v>3699</v>
      </c>
      <c r="AK370" s="192">
        <v>0</v>
      </c>
      <c r="AL370" s="203"/>
      <c r="AM370" s="121">
        <v>20</v>
      </c>
      <c r="AN370" s="121">
        <v>10</v>
      </c>
      <c r="AO370" s="121">
        <v>10</v>
      </c>
      <c r="AP370" s="121" t="s">
        <v>803</v>
      </c>
      <c r="AQ370" s="121" t="s">
        <v>803</v>
      </c>
      <c r="AR370" s="121" t="s">
        <v>24</v>
      </c>
      <c r="AS370" s="121" t="s">
        <v>24</v>
      </c>
      <c r="AT370" s="121" t="s">
        <v>24</v>
      </c>
      <c r="AU370" s="121" t="s">
        <v>24</v>
      </c>
      <c r="AV370" s="121" t="s">
        <v>2963</v>
      </c>
      <c r="AW370" s="121">
        <v>1</v>
      </c>
      <c r="AX370" s="121">
        <v>1</v>
      </c>
      <c r="AY370" s="121" t="s">
        <v>3697</v>
      </c>
      <c r="AZ370" s="121" t="s">
        <v>3698</v>
      </c>
      <c r="BA370" s="121" t="s">
        <v>2798</v>
      </c>
      <c r="BB370" s="121"/>
      <c r="BC370" s="121"/>
      <c r="BD370" s="156">
        <v>1</v>
      </c>
      <c r="BE370" s="156"/>
      <c r="BF370" s="156"/>
      <c r="BG370" s="156"/>
      <c r="BH370" s="156"/>
      <c r="BI370" s="156"/>
      <c r="BJ370" s="156"/>
      <c r="BK370" s="156"/>
      <c r="BL370" s="156"/>
      <c r="BM370" s="156"/>
      <c r="BN370" s="156"/>
      <c r="BO370" s="156"/>
      <c r="BP370" s="156"/>
      <c r="BQ370" s="157" t="s">
        <v>3402</v>
      </c>
      <c r="BR370" s="134" t="s">
        <v>1876</v>
      </c>
      <c r="BS370" s="134">
        <v>2</v>
      </c>
      <c r="BT370" s="134" t="s">
        <v>3700</v>
      </c>
      <c r="BU370" s="134" t="s">
        <v>3514</v>
      </c>
      <c r="BV370" s="134" t="s">
        <v>3224</v>
      </c>
      <c r="BW370" s="259" t="s">
        <v>3716</v>
      </c>
      <c r="BX370" s="138" t="s">
        <v>3701</v>
      </c>
      <c r="BY370" s="134">
        <v>78.253299999999996</v>
      </c>
      <c r="BZ370" s="134" t="s">
        <v>24</v>
      </c>
      <c r="CA370" s="134">
        <f>83.3222-Table665[[#This Row],[Outcome1_M]]</f>
        <v>5.0688999999999993</v>
      </c>
      <c r="CB370" s="138" t="s">
        <v>3702</v>
      </c>
      <c r="CC370" s="134">
        <v>68.776799999999994</v>
      </c>
      <c r="CD370" s="134" t="s">
        <v>24</v>
      </c>
      <c r="CE370" s="134">
        <f>72.9646-Table665[[#This Row],[Outcome2_M]]</f>
        <v>4.18780000000001</v>
      </c>
      <c r="CF370" s="288" t="s">
        <v>3711</v>
      </c>
      <c r="CG370" s="289" t="s">
        <v>3717</v>
      </c>
      <c r="CH370" s="138" t="s">
        <v>3703</v>
      </c>
      <c r="CI370" s="134">
        <v>57.459899999999998</v>
      </c>
      <c r="CJ370" s="134" t="s">
        <v>24</v>
      </c>
      <c r="CK370" s="134">
        <f>62.3083-Table665[[#This Row],[Outcome3_M]]</f>
        <v>4.8484000000000052</v>
      </c>
      <c r="CL370" s="138" t="s">
        <v>3704</v>
      </c>
      <c r="CM370" s="134">
        <v>33.988999999999997</v>
      </c>
      <c r="CN370" s="134" t="s">
        <v>24</v>
      </c>
      <c r="CO370" s="134">
        <f>40.3802-Table665[[#This Row],[Outcome4_M]]</f>
        <v>6.3912000000000049</v>
      </c>
      <c r="CP370" s="288" t="s">
        <v>3712</v>
      </c>
      <c r="CQ370" s="289" t="s">
        <v>3718</v>
      </c>
      <c r="CR370" s="276" t="s">
        <v>24</v>
      </c>
      <c r="CS370" s="308" t="s">
        <v>24</v>
      </c>
      <c r="CT370" s="427" t="s">
        <v>3705</v>
      </c>
      <c r="CU370" s="424">
        <v>53.415999999999997</v>
      </c>
      <c r="CV370" s="427" t="s">
        <v>24</v>
      </c>
      <c r="CW370" s="424">
        <f>59.9173-Table665[[#This Row],[Outcome5_M]]</f>
        <v>6.5013000000000005</v>
      </c>
      <c r="CX370" s="427" t="s">
        <v>3706</v>
      </c>
      <c r="CY370" s="134">
        <v>22.2315</v>
      </c>
      <c r="CZ370" s="134" t="s">
        <v>24</v>
      </c>
      <c r="DA370" s="134">
        <f>27.3004-Table665[[#This Row],[Outcome6_M]]</f>
        <v>5.0688999999999993</v>
      </c>
      <c r="DB370" s="300" t="s">
        <v>3713</v>
      </c>
      <c r="DC370" s="301" t="s">
        <v>3719</v>
      </c>
      <c r="DD370" s="427" t="s">
        <v>3707</v>
      </c>
      <c r="DE370" s="427">
        <v>47.1676</v>
      </c>
      <c r="DF370" s="427" t="s">
        <v>24</v>
      </c>
      <c r="DG370" s="424">
        <f>54.1098-Table665[[#This Row],[Outcome7_M]]</f>
        <v>6.9421999999999997</v>
      </c>
      <c r="DH370" s="427" t="s">
        <v>3708</v>
      </c>
      <c r="DI370" s="134">
        <v>13.8894</v>
      </c>
      <c r="DJ370" s="134" t="s">
        <v>24</v>
      </c>
      <c r="DK370" s="134">
        <f>18.6277-Table665[[#This Row],[Outcome8_M]]</f>
        <v>4.7383000000000006</v>
      </c>
      <c r="DL370" s="300" t="s">
        <v>3714</v>
      </c>
      <c r="DM370" s="301" t="s">
        <v>3720</v>
      </c>
      <c r="DN370" s="276" t="s">
        <v>24</v>
      </c>
      <c r="DO370" s="277" t="s">
        <v>24</v>
      </c>
      <c r="DP370" s="427" t="s">
        <v>3709</v>
      </c>
      <c r="DQ370" s="427">
        <v>44.886499999999998</v>
      </c>
      <c r="DR370" s="427" t="s">
        <v>24</v>
      </c>
      <c r="DS370" s="424">
        <f>52.9307-Table665[[#This Row],[Outcome9_M]]</f>
        <v>8.0442000000000036</v>
      </c>
      <c r="DT370" s="427" t="s">
        <v>3710</v>
      </c>
      <c r="DU370" s="134">
        <v>7.7513399999999999</v>
      </c>
      <c r="DV370" s="134" t="s">
        <v>24</v>
      </c>
      <c r="DW370" s="134">
        <f>10.727-Table665[[#This Row],[Outcome10_M]]</f>
        <v>2.9756600000000004</v>
      </c>
      <c r="DX370" s="301" t="s">
        <v>3715</v>
      </c>
      <c r="DY370" s="301" t="s">
        <v>3721</v>
      </c>
      <c r="DZ370" s="138" t="s">
        <v>24</v>
      </c>
      <c r="EA370" s="134" t="s">
        <v>24</v>
      </c>
      <c r="EB370" s="134" t="s">
        <v>24</v>
      </c>
      <c r="EC370" s="134" t="s">
        <v>24</v>
      </c>
      <c r="ED370" s="138"/>
      <c r="EE370" s="134"/>
      <c r="EF370" s="134"/>
      <c r="EG370" s="134"/>
      <c r="EH370" s="301"/>
      <c r="EI370" s="301"/>
      <c r="EJ370" s="277"/>
      <c r="EK370" s="134"/>
      <c r="EL370" s="134"/>
      <c r="EM370" s="134"/>
      <c r="EN370" s="134"/>
      <c r="EO370" s="134"/>
      <c r="EP370" s="134"/>
      <c r="EQ370" s="134"/>
      <c r="ER370" s="134"/>
      <c r="ES370" s="301"/>
      <c r="ET370" s="301"/>
      <c r="EU370" s="134"/>
      <c r="EV370" s="134"/>
      <c r="EW370" s="134"/>
      <c r="EX370" s="134"/>
      <c r="EY370" s="134"/>
      <c r="EZ370" s="134"/>
      <c r="FA370" s="134"/>
      <c r="FB370" s="134"/>
      <c r="FC370" s="135"/>
      <c r="FD370" s="135"/>
      <c r="FE370" s="134"/>
      <c r="FF370" s="134"/>
      <c r="FG370" s="134"/>
      <c r="FH370" s="134"/>
      <c r="FI370" s="134"/>
      <c r="FJ370" s="134"/>
      <c r="FK370" s="134"/>
      <c r="FL370" s="134"/>
      <c r="FM370" s="135"/>
      <c r="FN370" s="135"/>
      <c r="FO370" s="134"/>
      <c r="FP370" s="134"/>
      <c r="FQ370" s="134"/>
      <c r="FR370" s="134"/>
      <c r="FS370" s="134"/>
      <c r="FT370" s="134"/>
      <c r="FU370" s="134"/>
      <c r="FV370" s="134"/>
      <c r="FW370" s="135"/>
      <c r="FX370" s="135"/>
      <c r="FY370" s="134"/>
      <c r="FZ370" s="134"/>
      <c r="GA370" s="134"/>
      <c r="GB370" s="134"/>
      <c r="GC370" s="134"/>
      <c r="GD370" s="134"/>
      <c r="GE370" s="134"/>
      <c r="GF370" s="134"/>
      <c r="GG370" s="135"/>
      <c r="GH370" s="135"/>
      <c r="GI370" s="134"/>
      <c r="GJ370" s="134"/>
      <c r="GK370" s="134"/>
      <c r="GL370" s="134"/>
      <c r="GM370" s="134"/>
      <c r="GN370" s="134"/>
      <c r="GO370" s="134"/>
      <c r="GP370" s="134"/>
      <c r="GQ370" s="135"/>
      <c r="GR370" s="135"/>
      <c r="GS370" s="134"/>
      <c r="GT370" s="134"/>
      <c r="GU370" s="134"/>
      <c r="GV370" s="134"/>
      <c r="GW370" s="134"/>
      <c r="GX370" s="134"/>
      <c r="GY370" s="134"/>
      <c r="GZ370" s="134"/>
      <c r="HA370" s="135"/>
      <c r="HB370" s="135"/>
      <c r="HC370" s="134"/>
      <c r="HD370" s="134"/>
      <c r="HE370" s="134"/>
      <c r="HF370" s="134"/>
      <c r="HG370" s="134"/>
      <c r="HH370" s="134"/>
      <c r="HI370" s="134"/>
      <c r="HJ370" s="134"/>
      <c r="HK370" s="135"/>
      <c r="HL370" s="135"/>
      <c r="HM370" s="134"/>
      <c r="HN370" s="134"/>
      <c r="HO370" s="134"/>
      <c r="HP370" s="134"/>
      <c r="HQ370" s="134"/>
      <c r="HR370" s="134"/>
      <c r="HS370" s="134"/>
      <c r="HT370" s="134"/>
      <c r="HU370" s="135"/>
      <c r="HV370" s="135"/>
      <c r="HW370" s="134"/>
      <c r="HX370" s="134"/>
      <c r="HY370" s="134"/>
      <c r="HZ370" s="134"/>
      <c r="IA370" s="134"/>
      <c r="IB370" s="134"/>
      <c r="IC370" s="134"/>
      <c r="ID370" s="134"/>
      <c r="IE370" s="135"/>
      <c r="IF370" s="135"/>
      <c r="IG370" s="134"/>
      <c r="IH370" s="134"/>
      <c r="II370" s="134"/>
      <c r="IJ370" s="134"/>
      <c r="IK370" s="134"/>
      <c r="IL370" s="134"/>
      <c r="IM370" s="134"/>
      <c r="IN370" s="134"/>
      <c r="IO370" s="135"/>
      <c r="IP370" s="135"/>
      <c r="IQ370" s="134"/>
      <c r="IR370" s="134"/>
      <c r="IS370" s="134"/>
      <c r="IT370" s="134"/>
      <c r="IU370" s="134"/>
      <c r="IV370" s="134"/>
      <c r="IW370" s="134"/>
      <c r="IX370" s="134"/>
      <c r="IY370" s="135"/>
      <c r="IZ370" s="135"/>
    </row>
    <row r="371" spans="1:260" ht="17" customHeight="1">
      <c r="A371" s="79" t="s">
        <v>363</v>
      </c>
      <c r="B371" s="117">
        <v>259</v>
      </c>
      <c r="C371" s="117">
        <v>92</v>
      </c>
      <c r="D371" s="117"/>
      <c r="E371" s="123" t="s">
        <v>2047</v>
      </c>
      <c r="F371" s="124" t="s">
        <v>2287</v>
      </c>
      <c r="G371" s="125">
        <v>2007</v>
      </c>
      <c r="H371" s="79">
        <v>16445942</v>
      </c>
      <c r="I371" s="79">
        <v>1</v>
      </c>
      <c r="J371" s="126"/>
      <c r="K371" s="127"/>
      <c r="L371" s="79">
        <v>1</v>
      </c>
      <c r="M371" s="79"/>
      <c r="N371" s="79">
        <v>1</v>
      </c>
      <c r="O371" s="128">
        <v>1</v>
      </c>
      <c r="P371" s="79" t="s">
        <v>73</v>
      </c>
      <c r="Q371" s="79" t="s">
        <v>1147</v>
      </c>
      <c r="R371" s="79" t="s">
        <v>25</v>
      </c>
      <c r="S371" s="79">
        <v>1</v>
      </c>
      <c r="T371" s="79"/>
      <c r="U371" s="79"/>
      <c r="V371" s="79"/>
      <c r="W371" s="79" t="s">
        <v>934</v>
      </c>
      <c r="X371" s="79"/>
      <c r="Y371" s="79"/>
      <c r="Z371" s="79"/>
      <c r="AA371" s="79"/>
      <c r="AB371" s="79" t="s">
        <v>937</v>
      </c>
      <c r="AC371" s="506"/>
      <c r="AD371" s="573">
        <v>1</v>
      </c>
      <c r="AE371" s="573">
        <v>2</v>
      </c>
      <c r="AF371" s="154">
        <v>1</v>
      </c>
      <c r="AG371" s="155"/>
      <c r="AH371" s="121">
        <v>2</v>
      </c>
      <c r="AI371" s="484" t="s">
        <v>5973</v>
      </c>
      <c r="AJ371" s="202" t="s">
        <v>5963</v>
      </c>
      <c r="AK371" s="192">
        <v>0</v>
      </c>
      <c r="AL371" s="203" t="s">
        <v>24</v>
      </c>
      <c r="AM371" s="121">
        <f>Table665[[#This Row],[Subjects_n_ptsd]]+Table665[[#This Row],[Subjects_n_control]]</f>
        <v>33</v>
      </c>
      <c r="AN371" s="121">
        <v>17</v>
      </c>
      <c r="AO371" s="121">
        <v>16</v>
      </c>
      <c r="AP371" s="121" t="s">
        <v>803</v>
      </c>
      <c r="AQ371" s="121" t="s">
        <v>803</v>
      </c>
      <c r="AR371" s="121">
        <v>60.6</v>
      </c>
      <c r="AS371" s="121">
        <v>7</v>
      </c>
      <c r="AT371" s="121">
        <v>65.099999999999994</v>
      </c>
      <c r="AU371" s="121">
        <v>9.9</v>
      </c>
      <c r="AV371" s="121" t="s">
        <v>1874</v>
      </c>
      <c r="AW371" s="121" t="s">
        <v>24</v>
      </c>
      <c r="AX371" s="121" t="s">
        <v>24</v>
      </c>
      <c r="AY371" s="121" t="s">
        <v>2423</v>
      </c>
      <c r="AZ371" s="121" t="s">
        <v>3835</v>
      </c>
      <c r="BA371" s="121" t="s">
        <v>5964</v>
      </c>
      <c r="BB371" s="121"/>
      <c r="BC371" s="121"/>
      <c r="BD371" s="156"/>
      <c r="BE371" s="156"/>
      <c r="BF371" s="156" t="s">
        <v>4727</v>
      </c>
      <c r="BG371" s="156"/>
      <c r="BH371" s="156"/>
      <c r="BI371" s="156"/>
      <c r="BJ371" s="156">
        <v>1</v>
      </c>
      <c r="BK371" s="156"/>
      <c r="BL371" s="156" t="s">
        <v>4727</v>
      </c>
      <c r="BM371" s="156"/>
      <c r="BN371" s="156" t="s">
        <v>4727</v>
      </c>
      <c r="BO371" s="156"/>
      <c r="BP371" s="156"/>
      <c r="BQ371" s="157" t="s">
        <v>5968</v>
      </c>
      <c r="BR371" s="134" t="s">
        <v>1876</v>
      </c>
      <c r="BS371" s="134">
        <v>2</v>
      </c>
      <c r="BT371" s="134" t="s">
        <v>5965</v>
      </c>
      <c r="BU371" s="134" t="s">
        <v>24</v>
      </c>
      <c r="BV371" s="134" t="s">
        <v>5970</v>
      </c>
      <c r="BW371" s="259" t="s">
        <v>5971</v>
      </c>
      <c r="BX371" s="138" t="s">
        <v>5966</v>
      </c>
      <c r="BY371" s="134">
        <v>77.3</v>
      </c>
      <c r="BZ371" s="134">
        <v>4.0999999999999996</v>
      </c>
      <c r="CA371" s="134" t="s">
        <v>24</v>
      </c>
      <c r="CB371" s="138" t="s">
        <v>5967</v>
      </c>
      <c r="CC371" s="134">
        <v>92.1</v>
      </c>
      <c r="CD371" s="134">
        <v>4.3</v>
      </c>
      <c r="CE371" s="134" t="s">
        <v>24</v>
      </c>
      <c r="CF371" s="288" t="s">
        <v>5969</v>
      </c>
      <c r="CG371" s="289" t="s">
        <v>5972</v>
      </c>
      <c r="CH371" s="138" t="s">
        <v>24</v>
      </c>
      <c r="CI371" s="134" t="s">
        <v>24</v>
      </c>
      <c r="CJ371" s="134"/>
      <c r="CK371" s="134"/>
      <c r="CL371" s="138"/>
      <c r="CM371" s="134"/>
      <c r="CN371" s="134"/>
      <c r="CO371" s="134"/>
      <c r="CP371" s="288"/>
      <c r="CQ371" s="289"/>
      <c r="CR371" s="276"/>
      <c r="CS371" s="308"/>
      <c r="CT371" s="138"/>
      <c r="CU371" s="134"/>
      <c r="CV371" s="134"/>
      <c r="CW371" s="134"/>
      <c r="CX371" s="134"/>
      <c r="CY371" s="134"/>
      <c r="CZ371" s="134"/>
      <c r="DA371" s="134"/>
      <c r="DB371" s="300"/>
      <c r="DC371" s="301"/>
      <c r="DD371" s="134"/>
      <c r="DE371" s="134"/>
      <c r="DF371" s="134"/>
      <c r="DG371" s="134"/>
      <c r="DH371" s="134"/>
      <c r="DI371" s="134"/>
      <c r="DJ371" s="134"/>
      <c r="DK371" s="134"/>
      <c r="DL371" s="300"/>
      <c r="DM371" s="301"/>
      <c r="DN371" s="276"/>
      <c r="DO371" s="277"/>
      <c r="DP371" s="134"/>
      <c r="DQ371" s="134"/>
      <c r="DR371" s="134"/>
      <c r="DS371" s="134"/>
      <c r="DT371" s="138"/>
      <c r="DU371" s="134"/>
      <c r="DV371" s="134"/>
      <c r="DW371" s="134"/>
      <c r="DX371" s="301"/>
      <c r="DY371" s="301"/>
      <c r="DZ371" s="138"/>
      <c r="EA371" s="134"/>
      <c r="EB371" s="134"/>
      <c r="EC371" s="134"/>
      <c r="ED371" s="138"/>
      <c r="EE371" s="134"/>
      <c r="EF371" s="134"/>
      <c r="EG371" s="134"/>
      <c r="EH371" s="301"/>
      <c r="EI371" s="301"/>
      <c r="EJ371" s="277"/>
      <c r="EK371" s="134"/>
      <c r="EL371" s="134"/>
      <c r="EM371" s="134"/>
      <c r="EN371" s="134"/>
      <c r="EO371" s="134"/>
      <c r="EP371" s="134"/>
      <c r="EQ371" s="134"/>
      <c r="ER371" s="134"/>
      <c r="ES371" s="301"/>
      <c r="ET371" s="301"/>
      <c r="EU371" s="134"/>
      <c r="EV371" s="134"/>
      <c r="EW371" s="134"/>
      <c r="EX371" s="134"/>
      <c r="EY371" s="134"/>
      <c r="EZ371" s="134"/>
      <c r="FA371" s="134"/>
      <c r="FB371" s="134"/>
      <c r="FC371" s="135"/>
      <c r="FD371" s="135"/>
      <c r="FE371" s="134"/>
      <c r="FF371" s="134"/>
      <c r="FG371" s="134"/>
      <c r="FH371" s="134"/>
      <c r="FI371" s="134"/>
      <c r="FJ371" s="134"/>
      <c r="FK371" s="134"/>
      <c r="FL371" s="134"/>
      <c r="FM371" s="135"/>
      <c r="FN371" s="135"/>
      <c r="FO371" s="134"/>
      <c r="FP371" s="134"/>
      <c r="FQ371" s="134"/>
      <c r="FR371" s="134"/>
      <c r="FS371" s="134"/>
      <c r="FT371" s="134"/>
      <c r="FU371" s="134"/>
      <c r="FV371" s="134"/>
      <c r="FW371" s="135"/>
      <c r="FX371" s="135"/>
      <c r="FY371" s="134"/>
      <c r="FZ371" s="134"/>
      <c r="GA371" s="134"/>
      <c r="GB371" s="134"/>
      <c r="GC371" s="134"/>
      <c r="GD371" s="134"/>
      <c r="GE371" s="134"/>
      <c r="GF371" s="134"/>
      <c r="GG371" s="135"/>
      <c r="GH371" s="135"/>
      <c r="GI371" s="134"/>
      <c r="GJ371" s="134"/>
      <c r="GK371" s="134"/>
      <c r="GL371" s="134"/>
      <c r="GM371" s="134"/>
      <c r="GN371" s="134"/>
      <c r="GO371" s="134"/>
      <c r="GP371" s="134"/>
      <c r="GQ371" s="135"/>
      <c r="GR371" s="135"/>
      <c r="GS371" s="134"/>
      <c r="GT371" s="134"/>
      <c r="GU371" s="134"/>
      <c r="GV371" s="134"/>
      <c r="GW371" s="134"/>
      <c r="GX371" s="134"/>
      <c r="GY371" s="134"/>
      <c r="GZ371" s="134"/>
      <c r="HA371" s="135"/>
      <c r="HB371" s="135"/>
      <c r="HC371" s="134"/>
      <c r="HD371" s="134"/>
      <c r="HE371" s="134"/>
      <c r="HF371" s="134"/>
      <c r="HG371" s="134"/>
      <c r="HH371" s="134"/>
      <c r="HI371" s="134"/>
      <c r="HJ371" s="134"/>
      <c r="HK371" s="135"/>
      <c r="HL371" s="135"/>
      <c r="HM371" s="134"/>
      <c r="HN371" s="134"/>
      <c r="HO371" s="134"/>
      <c r="HP371" s="134"/>
      <c r="HQ371" s="134"/>
      <c r="HR371" s="134"/>
      <c r="HS371" s="134"/>
      <c r="HT371" s="134"/>
      <c r="HU371" s="135"/>
      <c r="HV371" s="135"/>
      <c r="HW371" s="134"/>
      <c r="HX371" s="134"/>
      <c r="HY371" s="134"/>
      <c r="HZ371" s="134"/>
      <c r="IA371" s="134"/>
      <c r="IB371" s="134"/>
      <c r="IC371" s="134"/>
      <c r="ID371" s="134"/>
      <c r="IE371" s="135"/>
      <c r="IF371" s="135"/>
      <c r="IG371" s="134"/>
      <c r="IH371" s="134"/>
      <c r="II371" s="134"/>
      <c r="IJ371" s="134"/>
      <c r="IK371" s="134"/>
      <c r="IL371" s="134"/>
      <c r="IM371" s="134"/>
      <c r="IN371" s="134"/>
      <c r="IO371" s="135"/>
      <c r="IP371" s="135"/>
      <c r="IQ371" s="134"/>
      <c r="IR371" s="134"/>
      <c r="IS371" s="134"/>
      <c r="IT371" s="134"/>
      <c r="IU371" s="134"/>
      <c r="IV371" s="134"/>
      <c r="IW371" s="134"/>
      <c r="IX371" s="134"/>
      <c r="IY371" s="135"/>
      <c r="IZ371" s="135"/>
    </row>
    <row r="372" spans="1:260" ht="17" customHeight="1">
      <c r="A372" s="79" t="s">
        <v>364</v>
      </c>
      <c r="B372" s="117">
        <v>260</v>
      </c>
      <c r="C372" s="117">
        <v>93</v>
      </c>
      <c r="D372" s="117"/>
      <c r="E372" s="123" t="s">
        <v>2047</v>
      </c>
      <c r="F372" s="124" t="s">
        <v>2288</v>
      </c>
      <c r="G372" s="125">
        <v>2005</v>
      </c>
      <c r="H372" s="79">
        <v>15962694</v>
      </c>
      <c r="I372" s="79">
        <v>1</v>
      </c>
      <c r="J372" s="126"/>
      <c r="K372" s="127"/>
      <c r="L372" s="79">
        <v>1</v>
      </c>
      <c r="M372" s="79"/>
      <c r="N372" s="79">
        <v>1</v>
      </c>
      <c r="O372" s="128">
        <v>1</v>
      </c>
      <c r="P372" s="79" t="s">
        <v>936</v>
      </c>
      <c r="Q372" s="79" t="s">
        <v>1147</v>
      </c>
      <c r="R372" s="79" t="s">
        <v>25</v>
      </c>
      <c r="S372" s="79">
        <v>1</v>
      </c>
      <c r="T372" s="79"/>
      <c r="U372" s="79"/>
      <c r="V372" s="79"/>
      <c r="W372" s="79" t="s">
        <v>935</v>
      </c>
      <c r="X372" s="79"/>
      <c r="Y372" s="79"/>
      <c r="Z372" s="79"/>
      <c r="AA372" s="79"/>
      <c r="AB372" s="79" t="s">
        <v>937</v>
      </c>
      <c r="AC372" s="506"/>
      <c r="AD372" s="573">
        <v>1</v>
      </c>
      <c r="AE372" s="573">
        <v>2</v>
      </c>
      <c r="AF372" s="154">
        <v>1</v>
      </c>
      <c r="AG372" s="155"/>
      <c r="AH372" s="121">
        <v>2</v>
      </c>
      <c r="AI372" s="484" t="s">
        <v>6078</v>
      </c>
      <c r="AJ372" s="202" t="s">
        <v>6103</v>
      </c>
      <c r="AK372" s="192" t="s">
        <v>6101</v>
      </c>
      <c r="AL372" s="203" t="s">
        <v>24</v>
      </c>
      <c r="AM372" s="121" t="s">
        <v>6079</v>
      </c>
      <c r="AN372" s="121">
        <v>30</v>
      </c>
      <c r="AO372" s="121" t="s">
        <v>4369</v>
      </c>
      <c r="AP372" s="121" t="s">
        <v>803</v>
      </c>
      <c r="AQ372" s="121" t="s">
        <v>803</v>
      </c>
      <c r="AR372" s="121">
        <v>65.599999999999994</v>
      </c>
      <c r="AS372" s="121">
        <v>9.6999999999999993</v>
      </c>
      <c r="AT372" s="121" t="s">
        <v>5980</v>
      </c>
      <c r="AU372" s="121" t="s">
        <v>5981</v>
      </c>
      <c r="AV372" s="121" t="s">
        <v>5975</v>
      </c>
      <c r="AW372" s="121" t="s">
        <v>24</v>
      </c>
      <c r="AX372" s="121" t="s">
        <v>24</v>
      </c>
      <c r="AY372" s="121" t="s">
        <v>5974</v>
      </c>
      <c r="AZ372" s="121" t="s">
        <v>3835</v>
      </c>
      <c r="BA372" s="121" t="s">
        <v>5976</v>
      </c>
      <c r="BB372" s="121"/>
      <c r="BC372" s="121"/>
      <c r="BD372" s="156"/>
      <c r="BE372" s="156"/>
      <c r="BF372" s="156">
        <v>1</v>
      </c>
      <c r="BG372" s="156"/>
      <c r="BH372" s="156"/>
      <c r="BI372" s="156"/>
      <c r="BJ372" s="156">
        <v>1</v>
      </c>
      <c r="BK372" s="156"/>
      <c r="BL372" s="156"/>
      <c r="BM372" s="156"/>
      <c r="BN372" s="156" t="s">
        <v>4727</v>
      </c>
      <c r="BO372" s="156"/>
      <c r="BP372" s="156"/>
      <c r="BQ372" s="157" t="s">
        <v>6083</v>
      </c>
      <c r="BR372" s="134" t="s">
        <v>1876</v>
      </c>
      <c r="BS372" s="134" t="s">
        <v>5977</v>
      </c>
      <c r="BT372" s="134" t="s">
        <v>5978</v>
      </c>
      <c r="BU372" s="134" t="s">
        <v>24</v>
      </c>
      <c r="BV372" s="168" t="s">
        <v>5979</v>
      </c>
      <c r="BW372" s="259" t="s">
        <v>6102</v>
      </c>
      <c r="BX372" s="138" t="s">
        <v>5982</v>
      </c>
      <c r="BY372" s="134">
        <v>5.2</v>
      </c>
      <c r="BZ372" s="134">
        <v>1.7</v>
      </c>
      <c r="CA372" s="134" t="s">
        <v>24</v>
      </c>
      <c r="CB372" s="138" t="s">
        <v>5984</v>
      </c>
      <c r="CC372" s="134">
        <v>5.5</v>
      </c>
      <c r="CD372" s="134">
        <v>1.8</v>
      </c>
      <c r="CE372" s="134" t="s">
        <v>24</v>
      </c>
      <c r="CF372" s="288" t="s">
        <v>6080</v>
      </c>
      <c r="CG372" s="289" t="s">
        <v>6081</v>
      </c>
      <c r="CH372" s="138" t="s">
        <v>5985</v>
      </c>
      <c r="CI372" s="134">
        <v>5.2</v>
      </c>
      <c r="CJ372" s="134">
        <v>1.3</v>
      </c>
      <c r="CK372" s="134" t="s">
        <v>24</v>
      </c>
      <c r="CL372" s="138" t="s">
        <v>5983</v>
      </c>
      <c r="CM372" s="134">
        <v>36.700000000000003</v>
      </c>
      <c r="CN372" s="134">
        <v>10.4</v>
      </c>
      <c r="CO372" s="134" t="s">
        <v>24</v>
      </c>
      <c r="CP372" s="288" t="s">
        <v>6084</v>
      </c>
      <c r="CQ372" s="289" t="s">
        <v>6085</v>
      </c>
      <c r="CR372" s="276" t="s">
        <v>6082</v>
      </c>
      <c r="CS372" s="308" t="s">
        <v>24</v>
      </c>
      <c r="CT372" s="138" t="s">
        <v>5986</v>
      </c>
      <c r="CU372" s="134">
        <v>41.9</v>
      </c>
      <c r="CV372" s="134">
        <v>9.4</v>
      </c>
      <c r="CW372" s="134" t="s">
        <v>24</v>
      </c>
      <c r="CX372" s="138" t="s">
        <v>5987</v>
      </c>
      <c r="CY372" s="134">
        <v>47.1</v>
      </c>
      <c r="CZ372" s="134">
        <v>7.6</v>
      </c>
      <c r="DA372" s="134" t="s">
        <v>24</v>
      </c>
      <c r="DB372" s="300" t="s">
        <v>24</v>
      </c>
      <c r="DC372" s="301" t="s">
        <v>24</v>
      </c>
      <c r="DD372" s="134" t="s">
        <v>5988</v>
      </c>
      <c r="DE372" s="134">
        <v>4.5</v>
      </c>
      <c r="DF372" s="134">
        <v>1.9</v>
      </c>
      <c r="DG372" s="134" t="s">
        <v>24</v>
      </c>
      <c r="DH372" s="134" t="s">
        <v>5989</v>
      </c>
      <c r="DI372" s="134">
        <v>4.7</v>
      </c>
      <c r="DJ372" s="134">
        <v>1.9</v>
      </c>
      <c r="DK372" s="134" t="s">
        <v>24</v>
      </c>
      <c r="DL372" s="300" t="s">
        <v>6095</v>
      </c>
      <c r="DM372" s="301" t="s">
        <v>6086</v>
      </c>
      <c r="DN372" s="276" t="s">
        <v>24</v>
      </c>
      <c r="DO372" s="277" t="s">
        <v>24</v>
      </c>
      <c r="DP372" s="134" t="s">
        <v>5990</v>
      </c>
      <c r="DQ372" s="134">
        <v>6.5</v>
      </c>
      <c r="DR372" s="134">
        <v>2.2000000000000002</v>
      </c>
      <c r="DS372" s="134" t="s">
        <v>24</v>
      </c>
      <c r="DT372" s="138" t="s">
        <v>5991</v>
      </c>
      <c r="DU372" s="134">
        <v>6.5</v>
      </c>
      <c r="DV372" s="134">
        <v>2.4</v>
      </c>
      <c r="DW372" s="134" t="s">
        <v>24</v>
      </c>
      <c r="DX372" s="301" t="s">
        <v>6087</v>
      </c>
      <c r="DY372" s="301" t="s">
        <v>6088</v>
      </c>
      <c r="DZ372" s="138" t="s">
        <v>5992</v>
      </c>
      <c r="EA372" s="134">
        <v>8.1999999999999993</v>
      </c>
      <c r="EB372" s="134">
        <v>3.1</v>
      </c>
      <c r="EC372" s="134" t="s">
        <v>24</v>
      </c>
      <c r="ED372" s="138" t="s">
        <v>5993</v>
      </c>
      <c r="EE372" s="134">
        <v>9.9</v>
      </c>
      <c r="EF372" s="134">
        <v>2.4</v>
      </c>
      <c r="EG372" s="134" t="s">
        <v>24</v>
      </c>
      <c r="EH372" s="301" t="s">
        <v>24</v>
      </c>
      <c r="EI372" s="301" t="s">
        <v>24</v>
      </c>
      <c r="EJ372" s="277" t="s">
        <v>24</v>
      </c>
      <c r="EK372" s="134" t="s">
        <v>5994</v>
      </c>
      <c r="EL372" s="134">
        <v>7.2</v>
      </c>
      <c r="EM372" s="134">
        <v>3.1</v>
      </c>
      <c r="EN372" s="134" t="s">
        <v>24</v>
      </c>
      <c r="EO372" s="134" t="s">
        <v>5995</v>
      </c>
      <c r="EP372" s="134">
        <v>8.6999999999999993</v>
      </c>
      <c r="EQ372" s="134">
        <v>2.7</v>
      </c>
      <c r="ER372" s="134" t="s">
        <v>24</v>
      </c>
      <c r="ES372" s="301" t="s">
        <v>6094</v>
      </c>
      <c r="ET372" s="301" t="s">
        <v>6089</v>
      </c>
      <c r="EU372" s="134" t="s">
        <v>5996</v>
      </c>
      <c r="EV372" s="134">
        <v>11</v>
      </c>
      <c r="EW372" s="134">
        <v>2</v>
      </c>
      <c r="EX372" s="134" t="s">
        <v>24</v>
      </c>
      <c r="EY372" s="134" t="s">
        <v>5997</v>
      </c>
      <c r="EZ372" s="134">
        <v>8.3000000000000007</v>
      </c>
      <c r="FA372" s="134">
        <v>2.7</v>
      </c>
      <c r="FB372" s="134" t="s">
        <v>24</v>
      </c>
      <c r="FC372" s="135" t="s">
        <v>6093</v>
      </c>
      <c r="FD372" s="135" t="s">
        <v>6090</v>
      </c>
      <c r="FE372" s="134" t="s">
        <v>5998</v>
      </c>
      <c r="FF372" s="134">
        <v>10.199999999999999</v>
      </c>
      <c r="FG372" s="134">
        <v>2.6</v>
      </c>
      <c r="FH372" s="134" t="s">
        <v>24</v>
      </c>
      <c r="FI372" s="134" t="s">
        <v>5999</v>
      </c>
      <c r="FJ372" s="134">
        <v>10.6</v>
      </c>
      <c r="FK372" s="134">
        <v>2.8</v>
      </c>
      <c r="FL372" s="134" t="s">
        <v>24</v>
      </c>
      <c r="FM372" s="135" t="s">
        <v>24</v>
      </c>
      <c r="FN372" s="135" t="s">
        <v>24</v>
      </c>
      <c r="FO372" s="528" t="s">
        <v>6000</v>
      </c>
      <c r="FP372" s="134">
        <v>8.3000000000000007</v>
      </c>
      <c r="FQ372" s="134">
        <v>2.9</v>
      </c>
      <c r="FR372" s="134" t="s">
        <v>24</v>
      </c>
      <c r="FS372" s="528" t="s">
        <v>6001</v>
      </c>
      <c r="FT372" s="134">
        <v>10.6</v>
      </c>
      <c r="FU372" s="134">
        <v>2.5</v>
      </c>
      <c r="FV372" s="134" t="s">
        <v>24</v>
      </c>
      <c r="FW372" s="135" t="s">
        <v>6092</v>
      </c>
      <c r="FX372" s="135" t="s">
        <v>6091</v>
      </c>
      <c r="FY372" s="528" t="s">
        <v>6002</v>
      </c>
      <c r="FZ372" s="134">
        <v>11.3</v>
      </c>
      <c r="GA372" s="134">
        <v>2.2999999999999998</v>
      </c>
      <c r="GB372" s="134" t="s">
        <v>24</v>
      </c>
      <c r="GC372" s="528" t="s">
        <v>6003</v>
      </c>
      <c r="GD372" s="134">
        <v>-0.7</v>
      </c>
      <c r="GE372" s="134">
        <v>1.7</v>
      </c>
      <c r="GF372" s="134" t="s">
        <v>24</v>
      </c>
      <c r="GG372" s="531" t="s">
        <v>6096</v>
      </c>
      <c r="GH372" s="135"/>
      <c r="GI372" s="528" t="s">
        <v>6004</v>
      </c>
      <c r="GJ372" s="134">
        <v>-0.8</v>
      </c>
      <c r="GK372" s="134">
        <v>2.1</v>
      </c>
      <c r="GL372" s="134" t="s">
        <v>24</v>
      </c>
      <c r="GM372" s="528" t="s">
        <v>6005</v>
      </c>
      <c r="GN372" s="134">
        <v>1.3</v>
      </c>
      <c r="GO372" s="134">
        <v>2.1</v>
      </c>
      <c r="GP372" s="134" t="s">
        <v>24</v>
      </c>
      <c r="GQ372" s="135" t="s">
        <v>24</v>
      </c>
      <c r="GR372" s="135" t="s">
        <v>24</v>
      </c>
      <c r="GS372" s="528" t="s">
        <v>6072</v>
      </c>
      <c r="GT372" s="134">
        <v>-2.1</v>
      </c>
      <c r="GU372" s="134">
        <v>1.7</v>
      </c>
      <c r="GV372" s="134" t="s">
        <v>24</v>
      </c>
      <c r="GW372" s="528" t="s">
        <v>6073</v>
      </c>
      <c r="GX372" s="134">
        <v>-2.2999999999999998</v>
      </c>
      <c r="GY372" s="134">
        <v>2</v>
      </c>
      <c r="GZ372" s="134" t="s">
        <v>24</v>
      </c>
      <c r="HA372" s="135" t="s">
        <v>6097</v>
      </c>
      <c r="HB372" s="135" t="s">
        <v>2480</v>
      </c>
      <c r="HC372" s="528" t="s">
        <v>6074</v>
      </c>
      <c r="HD372" s="134">
        <v>-2.4</v>
      </c>
      <c r="HE372" s="134">
        <v>1.6</v>
      </c>
      <c r="HF372" s="134" t="s">
        <v>24</v>
      </c>
      <c r="HG372" s="134" t="s">
        <v>6075</v>
      </c>
      <c r="HH372" s="134">
        <v>0.7</v>
      </c>
      <c r="HI372" s="134">
        <v>1.8</v>
      </c>
      <c r="HJ372" s="134" t="s">
        <v>24</v>
      </c>
      <c r="HK372" s="135" t="s">
        <v>6097</v>
      </c>
      <c r="HL372" s="135" t="s">
        <v>2480</v>
      </c>
      <c r="HM372" s="134" t="s">
        <v>6076</v>
      </c>
      <c r="HN372" s="134">
        <v>0.6</v>
      </c>
      <c r="HO372" s="134">
        <v>2.4</v>
      </c>
      <c r="HP372" s="134" t="s">
        <v>24</v>
      </c>
      <c r="HQ372" s="134" t="s">
        <v>6077</v>
      </c>
      <c r="HR372" s="134">
        <v>1.1000000000000001</v>
      </c>
      <c r="HS372" s="134">
        <v>2.4</v>
      </c>
      <c r="HT372" s="134" t="s">
        <v>24</v>
      </c>
      <c r="HU372" s="135" t="s">
        <v>24</v>
      </c>
      <c r="HV372" s="135" t="s">
        <v>24</v>
      </c>
      <c r="HW372" s="528" t="s">
        <v>6036</v>
      </c>
      <c r="HX372" s="134">
        <v>13.1</v>
      </c>
      <c r="HY372" s="134">
        <v>2.8</v>
      </c>
      <c r="HZ372" s="134" t="s">
        <v>24</v>
      </c>
      <c r="IA372" s="528" t="s">
        <v>6037</v>
      </c>
      <c r="IB372" s="134">
        <v>13.8</v>
      </c>
      <c r="IC372" s="134">
        <v>1.8</v>
      </c>
      <c r="ID372" s="134" t="s">
        <v>24</v>
      </c>
      <c r="IE372" s="135" t="s">
        <v>6098</v>
      </c>
      <c r="IF372" s="135" t="s">
        <v>6099</v>
      </c>
      <c r="IG372" s="528" t="s">
        <v>6038</v>
      </c>
      <c r="IH372" s="134">
        <v>15.1</v>
      </c>
      <c r="II372" s="134">
        <v>0.92</v>
      </c>
      <c r="IJ372" s="134" t="s">
        <v>24</v>
      </c>
      <c r="IK372" s="528" t="s">
        <v>6049</v>
      </c>
      <c r="IL372" s="134">
        <v>-6.8000000000000005E-2</v>
      </c>
      <c r="IM372" s="134">
        <v>0.48</v>
      </c>
      <c r="IN372" s="134" t="s">
        <v>24</v>
      </c>
      <c r="IO372" s="135" t="s">
        <v>6100</v>
      </c>
      <c r="IP372" s="135"/>
      <c r="IQ372" s="528" t="s">
        <v>6050</v>
      </c>
      <c r="IR372" s="134">
        <v>-7.2999999999999995E-2</v>
      </c>
      <c r="IS372" s="134">
        <v>0.41</v>
      </c>
      <c r="IT372" s="134" t="s">
        <v>24</v>
      </c>
      <c r="IU372" s="528" t="s">
        <v>6061</v>
      </c>
      <c r="IV372" s="134">
        <v>-2E-3</v>
      </c>
      <c r="IW372" s="134">
        <v>0.32</v>
      </c>
      <c r="IX372" s="134" t="s">
        <v>24</v>
      </c>
      <c r="IY372" s="135"/>
      <c r="IZ372" s="135"/>
    </row>
    <row r="373" spans="1:260" ht="17" customHeight="1">
      <c r="A373" s="79" t="s">
        <v>365</v>
      </c>
      <c r="B373" s="117">
        <v>261</v>
      </c>
      <c r="C373" s="117">
        <v>94</v>
      </c>
      <c r="D373" s="117"/>
      <c r="E373" s="123" t="s">
        <v>2047</v>
      </c>
      <c r="F373" s="124" t="s">
        <v>2289</v>
      </c>
      <c r="G373" s="125">
        <v>2007</v>
      </c>
      <c r="H373" s="79">
        <v>17392739</v>
      </c>
      <c r="I373" s="79">
        <v>1</v>
      </c>
      <c r="J373" s="126"/>
      <c r="K373" s="127"/>
      <c r="L373" s="79">
        <v>1</v>
      </c>
      <c r="M373" s="79"/>
      <c r="N373" s="79">
        <v>1</v>
      </c>
      <c r="O373" s="128">
        <v>1</v>
      </c>
      <c r="P373" s="79" t="s">
        <v>938</v>
      </c>
      <c r="Q373" s="79" t="s">
        <v>1153</v>
      </c>
      <c r="R373" s="79" t="s">
        <v>25</v>
      </c>
      <c r="S373" s="79">
        <v>1</v>
      </c>
      <c r="T373" s="79"/>
      <c r="U373" s="79"/>
      <c r="V373" s="79"/>
      <c r="W373" s="79" t="s">
        <v>938</v>
      </c>
      <c r="X373" s="79"/>
      <c r="Y373" s="79" t="s">
        <v>565</v>
      </c>
      <c r="Z373" s="79"/>
      <c r="AA373" s="79"/>
      <c r="AB373" s="79"/>
      <c r="AC373" s="506"/>
      <c r="AD373" s="573">
        <v>1</v>
      </c>
      <c r="AE373" s="573">
        <v>2</v>
      </c>
      <c r="AF373" s="154">
        <v>1</v>
      </c>
      <c r="AG373" s="155"/>
      <c r="AH373" s="121">
        <v>2</v>
      </c>
      <c r="AI373" s="484" t="s">
        <v>6111</v>
      </c>
      <c r="AJ373" s="202" t="s">
        <v>6112</v>
      </c>
      <c r="AK373" s="192">
        <v>0</v>
      </c>
      <c r="AL373" s="203" t="s">
        <v>6104</v>
      </c>
      <c r="AM373" s="121">
        <f>Table665[[#This Row],[Subjects_n_ptsd]]+Table665[[#This Row],[Subjects_n_control]]</f>
        <v>30</v>
      </c>
      <c r="AN373" s="121">
        <v>13</v>
      </c>
      <c r="AO373" s="121">
        <v>17</v>
      </c>
      <c r="AP373" s="121" t="s">
        <v>803</v>
      </c>
      <c r="AQ373" s="121" t="s">
        <v>803</v>
      </c>
      <c r="AR373" s="121">
        <v>60.1</v>
      </c>
      <c r="AS373" s="121">
        <v>7.3</v>
      </c>
      <c r="AT373" s="121">
        <v>64.599999999999994</v>
      </c>
      <c r="AU373" s="121">
        <v>9.8000000000000007</v>
      </c>
      <c r="AV373" s="121" t="s">
        <v>6105</v>
      </c>
      <c r="AW373" s="121" t="s">
        <v>24</v>
      </c>
      <c r="AX373" s="121" t="s">
        <v>24</v>
      </c>
      <c r="AY373" s="121" t="s">
        <v>6106</v>
      </c>
      <c r="AZ373" s="121" t="s">
        <v>3835</v>
      </c>
      <c r="BA373" s="121" t="s">
        <v>5976</v>
      </c>
      <c r="BB373" s="121"/>
      <c r="BC373" s="121"/>
      <c r="BD373" s="156"/>
      <c r="BE373" s="156"/>
      <c r="BF373" s="156" t="s">
        <v>4727</v>
      </c>
      <c r="BG373" s="156"/>
      <c r="BH373" s="156"/>
      <c r="BI373" s="156"/>
      <c r="BJ373" s="156">
        <v>1</v>
      </c>
      <c r="BK373" s="156"/>
      <c r="BL373" s="156" t="s">
        <v>4727</v>
      </c>
      <c r="BM373" s="156"/>
      <c r="BN373" s="156"/>
      <c r="BO373" s="156"/>
      <c r="BP373" s="156"/>
      <c r="BQ373" s="157" t="s">
        <v>6121</v>
      </c>
      <c r="BR373" s="134" t="s">
        <v>1876</v>
      </c>
      <c r="BS373" s="134">
        <v>2</v>
      </c>
      <c r="BT373" s="134" t="s">
        <v>5965</v>
      </c>
      <c r="BU373" s="134" t="s">
        <v>24</v>
      </c>
      <c r="BV373" s="134" t="s">
        <v>6117</v>
      </c>
      <c r="BW373" s="259" t="s">
        <v>6120</v>
      </c>
      <c r="BX373" s="138" t="s">
        <v>6109</v>
      </c>
      <c r="BY373" s="134">
        <v>12.3</v>
      </c>
      <c r="BZ373" s="168" t="s">
        <v>24</v>
      </c>
      <c r="CA373" s="134">
        <v>1.8</v>
      </c>
      <c r="CB373" s="138" t="s">
        <v>6110</v>
      </c>
      <c r="CC373" s="134">
        <v>13.2</v>
      </c>
      <c r="CD373" s="134" t="s">
        <v>24</v>
      </c>
      <c r="CE373" s="134">
        <v>2</v>
      </c>
      <c r="CF373" s="288" t="s">
        <v>24</v>
      </c>
      <c r="CG373" s="289" t="s">
        <v>24</v>
      </c>
      <c r="CH373" s="138" t="s">
        <v>6107</v>
      </c>
      <c r="CI373" s="134">
        <v>9.6</v>
      </c>
      <c r="CJ373" s="168" t="s">
        <v>24</v>
      </c>
      <c r="CK373" s="134">
        <v>1.2</v>
      </c>
      <c r="CL373" s="138" t="s">
        <v>6108</v>
      </c>
      <c r="CM373" s="134">
        <v>12.1</v>
      </c>
      <c r="CN373" s="134" t="s">
        <v>24</v>
      </c>
      <c r="CO373" s="134">
        <v>1.1000000000000001</v>
      </c>
      <c r="CP373" s="288" t="s">
        <v>24</v>
      </c>
      <c r="CQ373" s="289" t="s">
        <v>24</v>
      </c>
      <c r="CR373" s="276" t="s">
        <v>6119</v>
      </c>
      <c r="CS373" s="308" t="s">
        <v>6118</v>
      </c>
      <c r="CT373" s="138" t="s">
        <v>6115</v>
      </c>
      <c r="CU373" s="532">
        <v>0.89200000000000002</v>
      </c>
      <c r="CV373" s="134" t="s">
        <v>24</v>
      </c>
      <c r="CW373" s="134" t="s">
        <v>24</v>
      </c>
      <c r="CX373" s="138" t="s">
        <v>6114</v>
      </c>
      <c r="CY373" s="532">
        <v>0.95799999999999996</v>
      </c>
      <c r="CZ373" s="134" t="s">
        <v>24</v>
      </c>
      <c r="DA373" s="134" t="s">
        <v>24</v>
      </c>
      <c r="DB373" s="300" t="s">
        <v>6116</v>
      </c>
      <c r="DC373" s="301" t="s">
        <v>6113</v>
      </c>
      <c r="DD373" s="134"/>
      <c r="DE373" s="134"/>
      <c r="DF373" s="134"/>
      <c r="DG373" s="134"/>
      <c r="DH373" s="134"/>
      <c r="DI373" s="134"/>
      <c r="DJ373" s="134"/>
      <c r="DK373" s="134"/>
      <c r="DL373" s="300"/>
      <c r="DM373" s="301"/>
      <c r="DN373" s="276"/>
      <c r="DO373" s="277"/>
      <c r="DP373" s="134"/>
      <c r="DQ373" s="134"/>
      <c r="DR373" s="134"/>
      <c r="DS373" s="134"/>
      <c r="DT373" s="138"/>
      <c r="DU373" s="134"/>
      <c r="DV373" s="134"/>
      <c r="DW373" s="134"/>
      <c r="DX373" s="301"/>
      <c r="DY373" s="301"/>
      <c r="DZ373" s="138"/>
      <c r="EA373" s="134"/>
      <c r="EB373" s="134"/>
      <c r="EC373" s="134"/>
      <c r="ED373" s="138"/>
      <c r="EE373" s="134"/>
      <c r="EF373" s="134"/>
      <c r="EG373" s="134"/>
      <c r="EH373" s="301"/>
      <c r="EI373" s="301"/>
      <c r="EJ373" s="277"/>
      <c r="EK373" s="134"/>
      <c r="EL373" s="134"/>
      <c r="EM373" s="134"/>
      <c r="EN373" s="134"/>
      <c r="EO373" s="134"/>
      <c r="EP373" s="134"/>
      <c r="EQ373" s="134"/>
      <c r="ER373" s="134"/>
      <c r="ES373" s="301"/>
      <c r="ET373" s="301"/>
      <c r="EU373" s="134"/>
      <c r="EV373" s="134"/>
      <c r="EW373" s="134"/>
      <c r="EX373" s="134"/>
      <c r="EY373" s="134"/>
      <c r="EZ373" s="134"/>
      <c r="FA373" s="134"/>
      <c r="FB373" s="134"/>
      <c r="FC373" s="135"/>
      <c r="FD373" s="135"/>
      <c r="FE373" s="134"/>
      <c r="FF373" s="134"/>
      <c r="FG373" s="134"/>
      <c r="FH373" s="134"/>
      <c r="FI373" s="134"/>
      <c r="FJ373" s="134"/>
      <c r="FK373" s="134"/>
      <c r="FL373" s="134"/>
      <c r="FM373" s="135"/>
      <c r="FN373" s="135"/>
      <c r="FO373" s="134"/>
      <c r="FP373" s="134"/>
      <c r="FQ373" s="134"/>
      <c r="FR373" s="134"/>
      <c r="FS373" s="134"/>
      <c r="FT373" s="134"/>
      <c r="FU373" s="134"/>
      <c r="FV373" s="134"/>
      <c r="FW373" s="135"/>
      <c r="FX373" s="135"/>
      <c r="FY373" s="134"/>
      <c r="FZ373" s="134"/>
      <c r="GA373" s="134"/>
      <c r="GB373" s="134"/>
      <c r="GC373" s="134"/>
      <c r="GD373" s="134"/>
      <c r="GE373" s="134"/>
      <c r="GF373" s="134"/>
      <c r="GG373" s="135"/>
      <c r="GH373" s="135"/>
      <c r="GI373" s="134"/>
      <c r="GJ373" s="134"/>
      <c r="GK373" s="134"/>
      <c r="GL373" s="134"/>
      <c r="GM373" s="134"/>
      <c r="GN373" s="134"/>
      <c r="GO373" s="134"/>
      <c r="GP373" s="134"/>
      <c r="GQ373" s="135"/>
      <c r="GR373" s="135"/>
      <c r="GS373" s="134"/>
      <c r="GT373" s="134"/>
      <c r="GU373" s="134"/>
      <c r="GV373" s="134"/>
      <c r="GW373" s="134"/>
      <c r="GX373" s="134"/>
      <c r="GY373" s="134"/>
      <c r="GZ373" s="134"/>
      <c r="HA373" s="135"/>
      <c r="HB373" s="135"/>
      <c r="HC373" s="134"/>
      <c r="HD373" s="134"/>
      <c r="HE373" s="134"/>
      <c r="HF373" s="134"/>
      <c r="HG373" s="134"/>
      <c r="HH373" s="134"/>
      <c r="HI373" s="134"/>
      <c r="HJ373" s="134"/>
      <c r="HK373" s="135"/>
      <c r="HL373" s="135"/>
      <c r="HM373" s="134"/>
      <c r="HN373" s="134"/>
      <c r="HO373" s="134"/>
      <c r="HP373" s="134"/>
      <c r="HQ373" s="134"/>
      <c r="HR373" s="134"/>
      <c r="HS373" s="134"/>
      <c r="HT373" s="134"/>
      <c r="HU373" s="135"/>
      <c r="HV373" s="135"/>
      <c r="HW373" s="134"/>
      <c r="HX373" s="134"/>
      <c r="HY373" s="134"/>
      <c r="HZ373" s="134"/>
      <c r="IA373" s="134"/>
      <c r="IB373" s="134"/>
      <c r="IC373" s="134"/>
      <c r="ID373" s="134"/>
      <c r="IE373" s="135"/>
      <c r="IF373" s="135"/>
      <c r="IG373" s="134"/>
      <c r="IH373" s="134"/>
      <c r="II373" s="134"/>
      <c r="IJ373" s="134"/>
      <c r="IK373" s="134"/>
      <c r="IL373" s="134"/>
      <c r="IM373" s="134"/>
      <c r="IN373" s="134"/>
      <c r="IO373" s="135"/>
      <c r="IP373" s="135"/>
      <c r="IQ373" s="134"/>
      <c r="IR373" s="134"/>
      <c r="IS373" s="134"/>
      <c r="IT373" s="134"/>
      <c r="IU373" s="134"/>
      <c r="IV373" s="134"/>
      <c r="IW373" s="134"/>
      <c r="IX373" s="134"/>
      <c r="IY373" s="135"/>
      <c r="IZ373" s="135"/>
    </row>
    <row r="374" spans="1:260" ht="17" customHeight="1">
      <c r="A374" s="79" t="s">
        <v>361</v>
      </c>
      <c r="B374" s="117">
        <v>262</v>
      </c>
      <c r="C374" s="117">
        <v>95</v>
      </c>
      <c r="D374" s="117"/>
      <c r="E374" s="123" t="s">
        <v>2047</v>
      </c>
      <c r="F374" s="124" t="s">
        <v>2290</v>
      </c>
      <c r="G374" s="125">
        <v>1995</v>
      </c>
      <c r="H374" s="79">
        <v>7802106</v>
      </c>
      <c r="I374" s="79">
        <v>1</v>
      </c>
      <c r="J374" s="126"/>
      <c r="K374" s="127"/>
      <c r="L374" s="79">
        <v>1</v>
      </c>
      <c r="M374" s="79"/>
      <c r="N374" s="79">
        <v>1</v>
      </c>
      <c r="O374" s="128">
        <v>1</v>
      </c>
      <c r="P374" s="79" t="s">
        <v>931</v>
      </c>
      <c r="Q374" s="79" t="s">
        <v>1154</v>
      </c>
      <c r="R374" s="79" t="s">
        <v>819</v>
      </c>
      <c r="S374" s="79">
        <v>1</v>
      </c>
      <c r="T374" s="79"/>
      <c r="U374" s="79"/>
      <c r="V374" s="79"/>
      <c r="W374" s="79" t="s">
        <v>930</v>
      </c>
      <c r="X374" s="79"/>
      <c r="Y374" s="79"/>
      <c r="Z374" s="79"/>
      <c r="AA374" s="79"/>
      <c r="AB374" s="79"/>
      <c r="AC374" s="506"/>
      <c r="AD374" s="573">
        <v>1</v>
      </c>
      <c r="AE374" s="573">
        <v>2</v>
      </c>
      <c r="AF374" s="154">
        <v>1</v>
      </c>
      <c r="AG374" s="155"/>
      <c r="AH374" s="121">
        <v>2</v>
      </c>
      <c r="AI374" s="484" t="s">
        <v>6152</v>
      </c>
      <c r="AJ374" s="202"/>
      <c r="AK374" s="192"/>
      <c r="AL374" s="203"/>
      <c r="AM374" s="121">
        <f>Table665[[#This Row],[Subjects_n_ptsd]]+Table665[[#This Row],[Subjects_n_control]]</f>
        <v>32</v>
      </c>
      <c r="AN374" s="121">
        <v>20</v>
      </c>
      <c r="AO374" s="121">
        <v>12</v>
      </c>
      <c r="AP374" s="121" t="s">
        <v>803</v>
      </c>
      <c r="AQ374" s="121" t="s">
        <v>803</v>
      </c>
      <c r="AR374" s="121">
        <v>44.7</v>
      </c>
      <c r="AS374" s="121">
        <v>3.4</v>
      </c>
      <c r="AT374" s="121">
        <v>43.9</v>
      </c>
      <c r="AU374" s="121">
        <v>7.3</v>
      </c>
      <c r="AV374" s="121" t="s">
        <v>1874</v>
      </c>
      <c r="AW374" s="121" t="s">
        <v>24</v>
      </c>
      <c r="AX374" s="121" t="s">
        <v>24</v>
      </c>
      <c r="AY374" s="121" t="s">
        <v>6122</v>
      </c>
      <c r="AZ374" s="121" t="s">
        <v>3835</v>
      </c>
      <c r="BA374" s="121" t="s">
        <v>6123</v>
      </c>
      <c r="BB374" s="121"/>
      <c r="BC374" s="121"/>
      <c r="BD374" s="156"/>
      <c r="BE374" s="156"/>
      <c r="BF374" s="156"/>
      <c r="BG374" s="156"/>
      <c r="BH374" s="156"/>
      <c r="BI374" s="156"/>
      <c r="BJ374" s="156">
        <v>1</v>
      </c>
      <c r="BK374" s="156"/>
      <c r="BL374" s="156"/>
      <c r="BM374" s="156"/>
      <c r="BN374" s="156" t="s">
        <v>4727</v>
      </c>
      <c r="BO374" s="156"/>
      <c r="BP374" s="156"/>
      <c r="BQ374" s="157" t="s">
        <v>4208</v>
      </c>
      <c r="BR374" s="134" t="s">
        <v>1876</v>
      </c>
      <c r="BS374" s="134">
        <v>2</v>
      </c>
      <c r="BT374" s="134" t="s">
        <v>6124</v>
      </c>
      <c r="BU374" s="134" t="s">
        <v>24</v>
      </c>
      <c r="BV374" s="168" t="s">
        <v>6125</v>
      </c>
      <c r="BW374" s="259" t="s">
        <v>6151</v>
      </c>
      <c r="BX374" s="138" t="s">
        <v>6127</v>
      </c>
      <c r="BY374" s="134">
        <v>5.2</v>
      </c>
      <c r="BZ374" s="134">
        <v>1.8</v>
      </c>
      <c r="CA374" s="134" t="s">
        <v>24</v>
      </c>
      <c r="CB374" s="138" t="s">
        <v>6128</v>
      </c>
      <c r="CC374" s="134">
        <v>5.7</v>
      </c>
      <c r="CD374" s="134">
        <v>1.7</v>
      </c>
      <c r="CE374" s="134" t="s">
        <v>24</v>
      </c>
      <c r="CF374" s="288" t="s">
        <v>6137</v>
      </c>
      <c r="CG374" s="289" t="s">
        <v>6138</v>
      </c>
      <c r="CH374" s="138" t="s">
        <v>6126</v>
      </c>
      <c r="CI374" s="134">
        <v>9.1</v>
      </c>
      <c r="CJ374" s="134">
        <v>2.9</v>
      </c>
      <c r="CK374" s="134" t="s">
        <v>24</v>
      </c>
      <c r="CL374" s="138" t="s">
        <v>6129</v>
      </c>
      <c r="CM374" s="134">
        <v>10.199999999999999</v>
      </c>
      <c r="CN374" s="134">
        <v>3.1</v>
      </c>
      <c r="CO374" s="134" t="s">
        <v>24</v>
      </c>
      <c r="CP374" s="288" t="s">
        <v>6139</v>
      </c>
      <c r="CQ374" s="289" t="s">
        <v>6140</v>
      </c>
      <c r="CR374" s="276" t="s">
        <v>6141</v>
      </c>
      <c r="CS374" s="308"/>
      <c r="CT374" s="137" t="s">
        <v>6130</v>
      </c>
      <c r="CU374" s="134">
        <v>3.9</v>
      </c>
      <c r="CV374" s="134">
        <v>2.7</v>
      </c>
      <c r="CW374" s="134" t="s">
        <v>24</v>
      </c>
      <c r="CX374" s="137" t="s">
        <v>6131</v>
      </c>
      <c r="CY374" s="134">
        <v>4.5999999999999996</v>
      </c>
      <c r="CZ374" s="134">
        <v>3.1</v>
      </c>
      <c r="DA374" s="134" t="s">
        <v>24</v>
      </c>
      <c r="DB374" s="300" t="s">
        <v>6132</v>
      </c>
      <c r="DC374" s="301" t="s">
        <v>6133</v>
      </c>
      <c r="DD374" s="137" t="s">
        <v>6134</v>
      </c>
      <c r="DE374" s="134">
        <v>5.2</v>
      </c>
      <c r="DF374" s="134">
        <v>2.1</v>
      </c>
      <c r="DG374" s="134" t="s">
        <v>24</v>
      </c>
      <c r="DH374" s="137" t="s">
        <v>6135</v>
      </c>
      <c r="DI374" s="134">
        <v>4.7</v>
      </c>
      <c r="DJ374" s="134">
        <v>2.4</v>
      </c>
      <c r="DK374" s="134" t="s">
        <v>24</v>
      </c>
      <c r="DL374" s="300" t="s">
        <v>5438</v>
      </c>
      <c r="DM374" s="301" t="s">
        <v>6136</v>
      </c>
      <c r="DN374" s="276"/>
      <c r="DO374" s="277"/>
      <c r="DP374" s="134" t="s">
        <v>6142</v>
      </c>
      <c r="DQ374" s="134">
        <v>2</v>
      </c>
      <c r="DR374" s="134">
        <v>2.1</v>
      </c>
      <c r="DS374" s="134" t="s">
        <v>24</v>
      </c>
      <c r="DT374" s="134" t="s">
        <v>6143</v>
      </c>
      <c r="DU374" s="134">
        <v>0</v>
      </c>
      <c r="DV374" s="134">
        <v>1.35</v>
      </c>
      <c r="DW374" s="134" t="s">
        <v>24</v>
      </c>
      <c r="DX374" s="301" t="s">
        <v>6144</v>
      </c>
      <c r="DY374" s="301" t="s">
        <v>6145</v>
      </c>
      <c r="DZ374" s="138" t="s">
        <v>6146</v>
      </c>
      <c r="EA374" s="134">
        <v>1.9</v>
      </c>
      <c r="EB374" s="134">
        <v>2.2000000000000002</v>
      </c>
      <c r="EC374" s="134" t="s">
        <v>24</v>
      </c>
      <c r="ED374" s="138" t="s">
        <v>6147</v>
      </c>
      <c r="EE374" s="134">
        <v>0.2</v>
      </c>
      <c r="EF374" s="134">
        <v>2.2999999999999998</v>
      </c>
      <c r="EG374" s="134" t="s">
        <v>24</v>
      </c>
      <c r="EH374" s="301" t="s">
        <v>6148</v>
      </c>
      <c r="EI374" s="301" t="s">
        <v>6149</v>
      </c>
      <c r="EJ374" s="277" t="s">
        <v>6150</v>
      </c>
      <c r="EK374" s="134" t="s">
        <v>24</v>
      </c>
      <c r="EL374" s="134"/>
      <c r="EM374" s="134"/>
      <c r="EN374" s="134"/>
      <c r="EO374" s="134"/>
      <c r="EP374" s="134"/>
      <c r="EQ374" s="134"/>
      <c r="ER374" s="134"/>
      <c r="ES374" s="301"/>
      <c r="ET374" s="301"/>
      <c r="EU374" s="134"/>
      <c r="EV374" s="134"/>
      <c r="EW374" s="134"/>
      <c r="EX374" s="134"/>
      <c r="EY374" s="134"/>
      <c r="EZ374" s="134"/>
      <c r="FA374" s="134"/>
      <c r="FB374" s="134"/>
      <c r="FC374" s="135"/>
      <c r="FD374" s="135"/>
      <c r="FE374" s="134"/>
      <c r="FF374" s="134"/>
      <c r="FG374" s="134"/>
      <c r="FH374" s="134"/>
      <c r="FI374" s="134"/>
      <c r="FJ374" s="134"/>
      <c r="FK374" s="134"/>
      <c r="FL374" s="134"/>
      <c r="FM374" s="135"/>
      <c r="FN374" s="135"/>
      <c r="FO374" s="134"/>
      <c r="FP374" s="134"/>
      <c r="FQ374" s="134"/>
      <c r="FR374" s="134"/>
      <c r="FS374" s="134"/>
      <c r="FT374" s="134"/>
      <c r="FU374" s="134"/>
      <c r="FV374" s="134"/>
      <c r="FW374" s="135"/>
      <c r="FX374" s="135"/>
      <c r="FY374" s="134"/>
      <c r="FZ374" s="134"/>
      <c r="GA374" s="134"/>
      <c r="GB374" s="134"/>
      <c r="GC374" s="134"/>
      <c r="GD374" s="134"/>
      <c r="GE374" s="134"/>
      <c r="GF374" s="134"/>
      <c r="GG374" s="135"/>
      <c r="GH374" s="135"/>
      <c r="GI374" s="134"/>
      <c r="GJ374" s="134"/>
      <c r="GK374" s="134"/>
      <c r="GL374" s="134"/>
      <c r="GM374" s="134"/>
      <c r="GN374" s="134"/>
      <c r="GO374" s="134"/>
      <c r="GP374" s="134"/>
      <c r="GQ374" s="135"/>
      <c r="GR374" s="135"/>
      <c r="GS374" s="134"/>
      <c r="GT374" s="134"/>
      <c r="GU374" s="134"/>
      <c r="GV374" s="134"/>
      <c r="GW374" s="134"/>
      <c r="GX374" s="134"/>
      <c r="GY374" s="134"/>
      <c r="GZ374" s="134"/>
      <c r="HA374" s="135"/>
      <c r="HB374" s="135"/>
      <c r="HC374" s="134"/>
      <c r="HD374" s="134"/>
      <c r="HE374" s="134"/>
      <c r="HF374" s="134"/>
      <c r="HG374" s="134"/>
      <c r="HH374" s="134"/>
      <c r="HI374" s="134"/>
      <c r="HJ374" s="134"/>
      <c r="HK374" s="135"/>
      <c r="HL374" s="135"/>
      <c r="HM374" s="134"/>
      <c r="HN374" s="134"/>
      <c r="HO374" s="134"/>
      <c r="HP374" s="134"/>
      <c r="HQ374" s="134"/>
      <c r="HR374" s="134"/>
      <c r="HS374" s="134"/>
      <c r="HT374" s="134"/>
      <c r="HU374" s="135"/>
      <c r="HV374" s="135"/>
      <c r="HW374" s="134"/>
      <c r="HX374" s="134"/>
      <c r="HY374" s="134"/>
      <c r="HZ374" s="134"/>
      <c r="IA374" s="134"/>
      <c r="IB374" s="134"/>
      <c r="IC374" s="134"/>
      <c r="ID374" s="134"/>
      <c r="IE374" s="135"/>
      <c r="IF374" s="135"/>
      <c r="IG374" s="134"/>
      <c r="IH374" s="134"/>
      <c r="II374" s="134"/>
      <c r="IJ374" s="134"/>
      <c r="IK374" s="134"/>
      <c r="IL374" s="134"/>
      <c r="IM374" s="134"/>
      <c r="IN374" s="134"/>
      <c r="IO374" s="135"/>
      <c r="IP374" s="135"/>
      <c r="IQ374" s="134"/>
      <c r="IR374" s="134"/>
      <c r="IS374" s="134"/>
      <c r="IT374" s="134"/>
      <c r="IU374" s="134"/>
      <c r="IV374" s="134"/>
      <c r="IW374" s="134"/>
      <c r="IX374" s="134"/>
      <c r="IY374" s="135"/>
      <c r="IZ374" s="135"/>
    </row>
    <row r="375" spans="1:260" ht="17" customHeight="1">
      <c r="A375" s="79" t="s">
        <v>946</v>
      </c>
      <c r="B375" s="117">
        <v>53</v>
      </c>
      <c r="C375" s="117"/>
      <c r="D375" s="117"/>
      <c r="E375" s="123" t="s">
        <v>2129</v>
      </c>
      <c r="F375" s="124" t="s">
        <v>2393</v>
      </c>
      <c r="G375" s="125">
        <v>2012</v>
      </c>
      <c r="H375" s="79">
        <v>22927935</v>
      </c>
      <c r="I375" s="79">
        <v>1</v>
      </c>
      <c r="J375" s="126">
        <v>1</v>
      </c>
      <c r="K375" s="127"/>
      <c r="L375" s="79">
        <v>1</v>
      </c>
      <c r="M375" s="79"/>
      <c r="N375" s="79">
        <v>1</v>
      </c>
      <c r="O375" s="128">
        <v>2</v>
      </c>
      <c r="P375" s="79" t="s">
        <v>1220</v>
      </c>
      <c r="Q375" s="79" t="s">
        <v>1216</v>
      </c>
      <c r="R375" s="79" t="s">
        <v>1138</v>
      </c>
      <c r="S375" s="79"/>
      <c r="T375" s="79" t="s">
        <v>1541</v>
      </c>
      <c r="U375" s="79" t="s">
        <v>1638</v>
      </c>
      <c r="V375" s="79"/>
      <c r="W375" s="79" t="s">
        <v>1501</v>
      </c>
      <c r="X375" s="79"/>
      <c r="Y375" s="79" t="s">
        <v>1637</v>
      </c>
      <c r="Z375" s="79"/>
      <c r="AA375" s="79"/>
      <c r="AB375" s="79"/>
      <c r="AC375" s="506"/>
      <c r="AD375" s="573">
        <v>1</v>
      </c>
      <c r="AE375" s="573">
        <v>2</v>
      </c>
      <c r="AF375" s="154">
        <v>1</v>
      </c>
      <c r="AG375" s="155"/>
      <c r="AH375" s="121">
        <v>5</v>
      </c>
      <c r="AI375" s="484"/>
      <c r="AJ375" s="202"/>
      <c r="AK375" s="192">
        <v>2</v>
      </c>
      <c r="AL375" s="203">
        <v>0</v>
      </c>
      <c r="AM375" s="121">
        <f>Table665[[#This Row],[Subjects_n_ptsd]]+Table665[[#This Row],[Subjects_n_control]]</f>
        <v>36</v>
      </c>
      <c r="AN375" s="121">
        <v>24</v>
      </c>
      <c r="AO375" s="121">
        <v>12</v>
      </c>
      <c r="AP375" s="121" t="s">
        <v>1878</v>
      </c>
      <c r="AQ375" s="121" t="s">
        <v>1878</v>
      </c>
      <c r="AR375" s="121" t="s">
        <v>3723</v>
      </c>
      <c r="AS375" s="121" t="s">
        <v>24</v>
      </c>
      <c r="AT375" s="121" t="s">
        <v>3723</v>
      </c>
      <c r="AU375" s="121" t="s">
        <v>24</v>
      </c>
      <c r="AV375" s="121" t="s">
        <v>3724</v>
      </c>
      <c r="AW375" s="121">
        <v>1</v>
      </c>
      <c r="AX375" s="121" t="s">
        <v>3731</v>
      </c>
      <c r="AY375" s="121" t="s">
        <v>3515</v>
      </c>
      <c r="AZ375" s="121" t="s">
        <v>3725</v>
      </c>
      <c r="BA375" s="121" t="s">
        <v>3279</v>
      </c>
      <c r="BB375" s="121"/>
      <c r="BC375" s="121"/>
      <c r="BD375" s="156">
        <v>1</v>
      </c>
      <c r="BE375" s="156"/>
      <c r="BF375" s="156"/>
      <c r="BG375" s="156"/>
      <c r="BH375" s="156"/>
      <c r="BI375" s="156"/>
      <c r="BJ375" s="156"/>
      <c r="BK375" s="156"/>
      <c r="BL375" s="156"/>
      <c r="BM375" s="156"/>
      <c r="BN375" s="156"/>
      <c r="BO375" s="156"/>
      <c r="BP375" s="156"/>
      <c r="BQ375" s="157" t="s">
        <v>3736</v>
      </c>
      <c r="BR375" s="134" t="s">
        <v>1876</v>
      </c>
      <c r="BS375" s="134">
        <v>2</v>
      </c>
      <c r="BT375" s="134" t="s">
        <v>3733</v>
      </c>
      <c r="BU375" s="134" t="s">
        <v>3726</v>
      </c>
      <c r="BV375" s="134" t="s">
        <v>3722</v>
      </c>
      <c r="BW375" s="259" t="s">
        <v>3758</v>
      </c>
      <c r="BX375" s="138" t="s">
        <v>3738</v>
      </c>
      <c r="BY375" s="134">
        <v>3.84</v>
      </c>
      <c r="BZ375" s="134" t="s">
        <v>24</v>
      </c>
      <c r="CA375" s="134">
        <v>0.37</v>
      </c>
      <c r="CB375" s="138" t="s">
        <v>3739</v>
      </c>
      <c r="CC375" s="134">
        <v>1.17</v>
      </c>
      <c r="CD375" s="134" t="s">
        <v>24</v>
      </c>
      <c r="CE375" s="134">
        <v>0.13</v>
      </c>
      <c r="CF375" s="288" t="s">
        <v>3744</v>
      </c>
      <c r="CG375" s="289" t="s">
        <v>2588</v>
      </c>
      <c r="CH375" s="138" t="s">
        <v>3740</v>
      </c>
      <c r="CI375" s="134">
        <v>4.13</v>
      </c>
      <c r="CJ375" s="168" t="s">
        <v>24</v>
      </c>
      <c r="CK375" s="134">
        <v>0.35</v>
      </c>
      <c r="CL375" s="138" t="s">
        <v>3741</v>
      </c>
      <c r="CM375" s="134">
        <v>1.56</v>
      </c>
      <c r="CN375" s="168" t="s">
        <v>24</v>
      </c>
      <c r="CO375" s="134">
        <v>0.4</v>
      </c>
      <c r="CP375" s="288" t="s">
        <v>3745</v>
      </c>
      <c r="CQ375" s="289" t="s">
        <v>2588</v>
      </c>
      <c r="CR375" s="276" t="s">
        <v>24</v>
      </c>
      <c r="CS375" s="308" t="s">
        <v>24</v>
      </c>
      <c r="CT375" s="427" t="s">
        <v>3742</v>
      </c>
      <c r="CU375" s="427">
        <v>4.71</v>
      </c>
      <c r="CV375" s="134" t="s">
        <v>24</v>
      </c>
      <c r="CW375" s="134">
        <v>0.47</v>
      </c>
      <c r="CX375" s="138" t="s">
        <v>3743</v>
      </c>
      <c r="CY375" s="134">
        <v>1.95</v>
      </c>
      <c r="CZ375" s="134" t="s">
        <v>24</v>
      </c>
      <c r="DA375" s="134">
        <v>0.31</v>
      </c>
      <c r="DB375" s="443" t="s">
        <v>3746</v>
      </c>
      <c r="DC375" s="444" t="s">
        <v>2588</v>
      </c>
      <c r="DD375" s="134" t="s">
        <v>24</v>
      </c>
      <c r="DE375" s="134" t="s">
        <v>24</v>
      </c>
      <c r="DF375" s="134" t="s">
        <v>24</v>
      </c>
      <c r="DG375" s="134" t="s">
        <v>24</v>
      </c>
      <c r="DH375" s="134" t="s">
        <v>24</v>
      </c>
      <c r="DI375" s="134" t="s">
        <v>24</v>
      </c>
      <c r="DJ375" s="134" t="s">
        <v>24</v>
      </c>
      <c r="DK375" s="134" t="s">
        <v>24</v>
      </c>
      <c r="DL375" s="300" t="s">
        <v>24</v>
      </c>
      <c r="DM375" s="301" t="s">
        <v>24</v>
      </c>
      <c r="DN375" s="276" t="s">
        <v>24</v>
      </c>
      <c r="DO375" s="277" t="s">
        <v>24</v>
      </c>
      <c r="DP375" s="134"/>
      <c r="DQ375" s="134"/>
      <c r="DR375" s="134"/>
      <c r="DS375" s="134"/>
      <c r="DT375" s="138"/>
      <c r="DU375" s="134"/>
      <c r="DV375" s="134"/>
      <c r="DW375" s="134"/>
      <c r="DX375" s="301"/>
      <c r="DY375" s="301"/>
      <c r="DZ375" s="138"/>
      <c r="EA375" s="134"/>
      <c r="EB375" s="134"/>
      <c r="EC375" s="134"/>
      <c r="ED375" s="138"/>
      <c r="EE375" s="134"/>
      <c r="EF375" s="134"/>
      <c r="EG375" s="134"/>
      <c r="EH375" s="301"/>
      <c r="EI375" s="301"/>
      <c r="EJ375" s="277"/>
      <c r="EK375" s="134"/>
      <c r="EL375" s="134"/>
      <c r="EM375" s="134"/>
      <c r="EN375" s="134"/>
      <c r="EO375" s="134"/>
      <c r="EP375" s="134"/>
      <c r="EQ375" s="134"/>
      <c r="ER375" s="134"/>
      <c r="ES375" s="301"/>
      <c r="ET375" s="301"/>
      <c r="EU375" s="134"/>
      <c r="EV375" s="134"/>
      <c r="EW375" s="134"/>
      <c r="EX375" s="134"/>
      <c r="EY375" s="134"/>
      <c r="EZ375" s="134"/>
      <c r="FA375" s="134"/>
      <c r="FB375" s="134"/>
      <c r="FC375" s="135"/>
      <c r="FD375" s="135"/>
      <c r="FE375" s="134"/>
      <c r="FF375" s="134"/>
      <c r="FG375" s="134"/>
      <c r="FH375" s="134"/>
      <c r="FI375" s="134"/>
      <c r="FJ375" s="134"/>
      <c r="FK375" s="134"/>
      <c r="FL375" s="134"/>
      <c r="FM375" s="135"/>
      <c r="FN375" s="135"/>
      <c r="FO375" s="134"/>
      <c r="FP375" s="134"/>
      <c r="FQ375" s="134"/>
      <c r="FR375" s="134"/>
      <c r="FS375" s="134"/>
      <c r="FT375" s="134"/>
      <c r="FU375" s="134"/>
      <c r="FV375" s="134"/>
      <c r="FW375" s="135"/>
      <c r="FX375" s="135"/>
      <c r="FY375" s="134"/>
      <c r="FZ375" s="134"/>
      <c r="GA375" s="134"/>
      <c r="GB375" s="134"/>
      <c r="GC375" s="134"/>
      <c r="GD375" s="134"/>
      <c r="GE375" s="134"/>
      <c r="GF375" s="134"/>
      <c r="GG375" s="135"/>
      <c r="GH375" s="135"/>
      <c r="GI375" s="134"/>
      <c r="GJ375" s="134"/>
      <c r="GK375" s="134"/>
      <c r="GL375" s="134"/>
      <c r="GM375" s="134"/>
      <c r="GN375" s="134"/>
      <c r="GO375" s="134"/>
      <c r="GP375" s="134"/>
      <c r="GQ375" s="135"/>
      <c r="GR375" s="135"/>
      <c r="GS375" s="134"/>
      <c r="GT375" s="134"/>
      <c r="GU375" s="134"/>
      <c r="GV375" s="134"/>
      <c r="GW375" s="134"/>
      <c r="GX375" s="134"/>
      <c r="GY375" s="134"/>
      <c r="GZ375" s="134"/>
      <c r="HA375" s="135"/>
      <c r="HB375" s="135"/>
      <c r="HC375" s="134"/>
      <c r="HD375" s="134"/>
      <c r="HE375" s="134"/>
      <c r="HF375" s="134"/>
      <c r="HG375" s="134"/>
      <c r="HH375" s="134"/>
      <c r="HI375" s="134"/>
      <c r="HJ375" s="134"/>
      <c r="HK375" s="135"/>
      <c r="HL375" s="135"/>
      <c r="HM375" s="134"/>
      <c r="HN375" s="134"/>
      <c r="HO375" s="134"/>
      <c r="HP375" s="134"/>
      <c r="HQ375" s="134"/>
      <c r="HR375" s="134"/>
      <c r="HS375" s="134"/>
      <c r="HT375" s="134"/>
      <c r="HU375" s="135"/>
      <c r="HV375" s="135"/>
      <c r="HW375" s="134"/>
      <c r="HX375" s="134"/>
      <c r="HY375" s="134"/>
      <c r="HZ375" s="134"/>
      <c r="IA375" s="134"/>
      <c r="IB375" s="134"/>
      <c r="IC375" s="134"/>
      <c r="ID375" s="134"/>
      <c r="IE375" s="135"/>
      <c r="IF375" s="135"/>
      <c r="IG375" s="134"/>
      <c r="IH375" s="134"/>
      <c r="II375" s="134"/>
      <c r="IJ375" s="134"/>
      <c r="IK375" s="134"/>
      <c r="IL375" s="134"/>
      <c r="IM375" s="134"/>
      <c r="IN375" s="134"/>
      <c r="IO375" s="135"/>
      <c r="IP375" s="135"/>
      <c r="IQ375" s="134"/>
      <c r="IR375" s="134"/>
      <c r="IS375" s="134"/>
      <c r="IT375" s="134"/>
      <c r="IU375" s="134"/>
      <c r="IV375" s="134"/>
      <c r="IW375" s="134"/>
      <c r="IX375" s="134"/>
      <c r="IY375" s="135"/>
      <c r="IZ375" s="135"/>
    </row>
    <row r="376" spans="1:260" ht="17" customHeight="1">
      <c r="A376" s="127" t="s">
        <v>946</v>
      </c>
      <c r="B376" s="390">
        <v>53</v>
      </c>
      <c r="C376" s="390"/>
      <c r="D376" s="390"/>
      <c r="E376" s="391" t="s">
        <v>2129</v>
      </c>
      <c r="F376" s="392" t="s">
        <v>2393</v>
      </c>
      <c r="G376" s="393">
        <v>2012</v>
      </c>
      <c r="H376" s="127">
        <v>22927935</v>
      </c>
      <c r="I376" s="127">
        <v>1</v>
      </c>
      <c r="J376" s="127">
        <v>1</v>
      </c>
      <c r="K376" s="127"/>
      <c r="L376" s="127">
        <v>1</v>
      </c>
      <c r="M376" s="127"/>
      <c r="N376" s="127">
        <v>1</v>
      </c>
      <c r="O376" s="221">
        <v>2</v>
      </c>
      <c r="P376" s="127" t="s">
        <v>1220</v>
      </c>
      <c r="Q376" s="127" t="s">
        <v>1216</v>
      </c>
      <c r="R376" s="127" t="s">
        <v>1138</v>
      </c>
      <c r="S376" s="127"/>
      <c r="T376" s="127" t="s">
        <v>1541</v>
      </c>
      <c r="U376" s="127" t="s">
        <v>1638</v>
      </c>
      <c r="V376" s="127"/>
      <c r="W376" s="127" t="s">
        <v>1501</v>
      </c>
      <c r="X376" s="127"/>
      <c r="Y376" s="127" t="s">
        <v>1637</v>
      </c>
      <c r="Z376" s="127"/>
      <c r="AA376" s="127"/>
      <c r="AB376" s="127"/>
      <c r="AC376" s="575"/>
      <c r="AD376" s="573">
        <v>1</v>
      </c>
      <c r="AE376" s="573">
        <v>2</v>
      </c>
      <c r="AF376" s="394" t="s">
        <v>1917</v>
      </c>
      <c r="AG376" s="395" t="s">
        <v>3756</v>
      </c>
      <c r="AH376" s="163">
        <v>5</v>
      </c>
      <c r="AI376" s="486"/>
      <c r="AJ376" s="396" t="s">
        <v>3755</v>
      </c>
      <c r="AK376" s="397">
        <v>2</v>
      </c>
      <c r="AL376" s="398" t="s">
        <v>3757</v>
      </c>
      <c r="AM376" s="163">
        <f>24+12</f>
        <v>36</v>
      </c>
      <c r="AN376" s="163" t="s">
        <v>3728</v>
      </c>
      <c r="AO376" s="163">
        <v>12</v>
      </c>
      <c r="AP376" s="163" t="s">
        <v>1878</v>
      </c>
      <c r="AQ376" s="163" t="s">
        <v>1878</v>
      </c>
      <c r="AR376" s="163" t="s">
        <v>3727</v>
      </c>
      <c r="AS376" s="163" t="s">
        <v>24</v>
      </c>
      <c r="AT376" s="163" t="s">
        <v>3727</v>
      </c>
      <c r="AU376" s="163" t="s">
        <v>24</v>
      </c>
      <c r="AV376" s="163" t="s">
        <v>3729</v>
      </c>
      <c r="AW376" s="163" t="s">
        <v>3730</v>
      </c>
      <c r="AX376" s="163" t="s">
        <v>3732</v>
      </c>
      <c r="AY376" s="163" t="s">
        <v>3515</v>
      </c>
      <c r="AZ376" s="121" t="s">
        <v>3725</v>
      </c>
      <c r="BA376" s="163" t="s">
        <v>3279</v>
      </c>
      <c r="BB376" s="163"/>
      <c r="BC376" s="163"/>
      <c r="BD376" s="399">
        <v>1</v>
      </c>
      <c r="BE376" s="399"/>
      <c r="BF376" s="399"/>
      <c r="BG376" s="399"/>
      <c r="BH376" s="399"/>
      <c r="BI376" s="399"/>
      <c r="BJ376" s="399"/>
      <c r="BK376" s="399"/>
      <c r="BL376" s="399"/>
      <c r="BM376" s="399"/>
      <c r="BN376" s="399"/>
      <c r="BO376" s="399"/>
      <c r="BP376" s="399"/>
      <c r="BQ376" s="157" t="s">
        <v>3736</v>
      </c>
      <c r="BR376" s="400" t="s">
        <v>1876</v>
      </c>
      <c r="BS376" s="400" t="s">
        <v>3737</v>
      </c>
      <c r="BT376" s="134" t="s">
        <v>3734</v>
      </c>
      <c r="BU376" s="134" t="s">
        <v>3726</v>
      </c>
      <c r="BV376" s="400" t="s">
        <v>3722</v>
      </c>
      <c r="BW376" s="259" t="s">
        <v>3759</v>
      </c>
      <c r="BX376" s="138" t="s">
        <v>3747</v>
      </c>
      <c r="BY376" s="400">
        <v>6.88</v>
      </c>
      <c r="BZ376" s="400" t="s">
        <v>24</v>
      </c>
      <c r="CA376" s="400">
        <v>0.41</v>
      </c>
      <c r="CB376" s="138" t="s">
        <v>3748</v>
      </c>
      <c r="CC376" s="400">
        <v>1.29</v>
      </c>
      <c r="CD376" s="400" t="s">
        <v>24</v>
      </c>
      <c r="CE376" s="400">
        <v>0.23</v>
      </c>
      <c r="CF376" s="288" t="s">
        <v>3744</v>
      </c>
      <c r="CG376" s="289" t="s">
        <v>2588</v>
      </c>
      <c r="CH376" s="138" t="s">
        <v>3749</v>
      </c>
      <c r="CI376" s="400">
        <v>4.74</v>
      </c>
      <c r="CJ376" s="400" t="s">
        <v>24</v>
      </c>
      <c r="CK376" s="400">
        <v>0.46</v>
      </c>
      <c r="CL376" s="138" t="s">
        <v>3750</v>
      </c>
      <c r="CM376" s="400">
        <v>1.29</v>
      </c>
      <c r="CN376" s="400" t="s">
        <v>24</v>
      </c>
      <c r="CO376" s="400">
        <v>0.23</v>
      </c>
      <c r="CP376" s="288" t="s">
        <v>3745</v>
      </c>
      <c r="CQ376" s="289" t="s">
        <v>2588</v>
      </c>
      <c r="CR376" s="405" t="s">
        <v>24</v>
      </c>
      <c r="CS376" s="406" t="s">
        <v>24</v>
      </c>
      <c r="CT376" s="427" t="s">
        <v>3751</v>
      </c>
      <c r="CU376" s="427">
        <v>3.66</v>
      </c>
      <c r="CV376" s="427" t="s">
        <v>24</v>
      </c>
      <c r="CW376" s="427">
        <v>0.33</v>
      </c>
      <c r="CX376" s="427" t="s">
        <v>3752</v>
      </c>
      <c r="CY376" s="400">
        <v>1.65</v>
      </c>
      <c r="CZ376" s="400" t="s">
        <v>24</v>
      </c>
      <c r="DA376" s="400">
        <v>0.4</v>
      </c>
      <c r="DB376" s="443" t="s">
        <v>3746</v>
      </c>
      <c r="DC376" s="444" t="s">
        <v>2588</v>
      </c>
      <c r="DD376" s="427" t="s">
        <v>3753</v>
      </c>
      <c r="DE376" s="427">
        <v>2.89</v>
      </c>
      <c r="DF376" s="427" t="s">
        <v>24</v>
      </c>
      <c r="DG376" s="427">
        <v>0.56999999999999995</v>
      </c>
      <c r="DH376" s="427" t="s">
        <v>3754</v>
      </c>
      <c r="DI376" s="400">
        <v>1.24</v>
      </c>
      <c r="DJ376" s="400" t="s">
        <v>24</v>
      </c>
      <c r="DK376" s="400">
        <v>0.17</v>
      </c>
      <c r="DL376" s="443" t="s">
        <v>3746</v>
      </c>
      <c r="DM376" s="444" t="s">
        <v>2588</v>
      </c>
      <c r="DN376" s="405"/>
      <c r="DO376" s="409"/>
      <c r="DP376" s="400"/>
      <c r="DQ376" s="400"/>
      <c r="DR376" s="400"/>
      <c r="DS376" s="400"/>
      <c r="DT376" s="402"/>
      <c r="DU376" s="400"/>
      <c r="DV376" s="400"/>
      <c r="DW376" s="400"/>
      <c r="DX376" s="408"/>
      <c r="DY376" s="408"/>
      <c r="DZ376" s="402"/>
      <c r="EA376" s="400"/>
      <c r="EB376" s="400"/>
      <c r="EC376" s="400"/>
      <c r="ED376" s="402"/>
      <c r="EE376" s="400"/>
      <c r="EF376" s="400"/>
      <c r="EG376" s="400"/>
      <c r="EH376" s="408"/>
      <c r="EI376" s="408"/>
      <c r="EJ376" s="409"/>
      <c r="EK376" s="400"/>
      <c r="EL376" s="400"/>
      <c r="EM376" s="400"/>
      <c r="EN376" s="400"/>
      <c r="EO376" s="400"/>
      <c r="EP376" s="400"/>
      <c r="EQ376" s="400"/>
      <c r="ER376" s="400"/>
      <c r="ES376" s="408"/>
      <c r="ET376" s="408"/>
      <c r="EU376" s="400"/>
      <c r="EV376" s="400"/>
      <c r="EW376" s="400"/>
      <c r="EX376" s="400"/>
      <c r="EY376" s="134"/>
      <c r="EZ376" s="134"/>
      <c r="FA376" s="134"/>
      <c r="FB376" s="134"/>
      <c r="FC376" s="135"/>
      <c r="FD376" s="135"/>
      <c r="FE376" s="134"/>
      <c r="FF376" s="134"/>
      <c r="FG376" s="134"/>
      <c r="FH376" s="134"/>
      <c r="FI376" s="134"/>
      <c r="FJ376" s="134"/>
      <c r="FK376" s="134"/>
      <c r="FL376" s="134"/>
      <c r="FM376" s="135"/>
      <c r="FN376" s="135"/>
      <c r="FO376" s="134"/>
      <c r="FP376" s="134"/>
      <c r="FQ376" s="134"/>
      <c r="FR376" s="134"/>
      <c r="FS376" s="134"/>
      <c r="FT376" s="134"/>
      <c r="FU376" s="134"/>
      <c r="FV376" s="134"/>
      <c r="FW376" s="135"/>
      <c r="FX376" s="135"/>
      <c r="FY376" s="134"/>
      <c r="FZ376" s="134"/>
      <c r="GA376" s="134"/>
      <c r="GB376" s="134"/>
      <c r="GC376" s="134"/>
      <c r="GD376" s="134"/>
      <c r="GE376" s="134"/>
      <c r="GF376" s="134"/>
      <c r="GG376" s="135"/>
      <c r="GH376" s="135"/>
      <c r="GI376" s="134"/>
      <c r="GJ376" s="134"/>
      <c r="GK376" s="134"/>
      <c r="GL376" s="134"/>
      <c r="GM376" s="134"/>
      <c r="GN376" s="134"/>
      <c r="GO376" s="134"/>
      <c r="GP376" s="134"/>
      <c r="GQ376" s="135"/>
      <c r="GR376" s="135"/>
      <c r="GS376" s="134"/>
      <c r="GT376" s="134"/>
      <c r="GU376" s="134"/>
      <c r="GV376" s="134"/>
      <c r="GW376" s="134"/>
      <c r="GX376" s="134"/>
      <c r="GY376" s="134"/>
      <c r="GZ376" s="134"/>
      <c r="HA376" s="135"/>
      <c r="HB376" s="135"/>
      <c r="HC376" s="134"/>
      <c r="HD376" s="134"/>
      <c r="HE376" s="134"/>
      <c r="HF376" s="134"/>
      <c r="HG376" s="134"/>
      <c r="HH376" s="134"/>
      <c r="HI376" s="134"/>
      <c r="HJ376" s="134"/>
      <c r="HK376" s="135"/>
      <c r="HL376" s="135"/>
      <c r="HM376" s="134"/>
      <c r="HN376" s="134"/>
      <c r="HO376" s="134"/>
      <c r="HP376" s="134"/>
      <c r="HQ376" s="134"/>
      <c r="HR376" s="134"/>
      <c r="HS376" s="134"/>
      <c r="HT376" s="134"/>
      <c r="HU376" s="135"/>
      <c r="HV376" s="135"/>
      <c r="HW376" s="134"/>
      <c r="HX376" s="134"/>
      <c r="HY376" s="134"/>
      <c r="HZ376" s="134"/>
      <c r="IA376" s="134"/>
      <c r="IB376" s="134"/>
      <c r="IC376" s="134"/>
      <c r="ID376" s="134"/>
      <c r="IE376" s="135"/>
      <c r="IF376" s="135"/>
      <c r="IG376" s="134"/>
      <c r="IH376" s="134"/>
      <c r="II376" s="134"/>
      <c r="IJ376" s="134"/>
      <c r="IK376" s="134"/>
      <c r="IL376" s="134"/>
      <c r="IM376" s="134"/>
      <c r="IN376" s="134"/>
      <c r="IO376" s="135"/>
      <c r="IP376" s="135"/>
      <c r="IQ376" s="134"/>
      <c r="IR376" s="134"/>
      <c r="IS376" s="134"/>
      <c r="IT376" s="134"/>
      <c r="IU376" s="134"/>
      <c r="IV376" s="134"/>
      <c r="IW376" s="134"/>
      <c r="IX376" s="134"/>
      <c r="IY376" s="135"/>
      <c r="IZ376" s="135"/>
    </row>
    <row r="377" spans="1:260" ht="17" customHeight="1">
      <c r="A377" s="79" t="s">
        <v>366</v>
      </c>
      <c r="B377" s="117">
        <v>263</v>
      </c>
      <c r="C377" s="117">
        <v>96</v>
      </c>
      <c r="D377" s="117"/>
      <c r="E377" s="123" t="s">
        <v>2048</v>
      </c>
      <c r="F377" s="124" t="s">
        <v>2291</v>
      </c>
      <c r="G377" s="125">
        <v>1994</v>
      </c>
      <c r="H377" s="79">
        <v>9465143</v>
      </c>
      <c r="I377" s="175" t="s">
        <v>1796</v>
      </c>
      <c r="J377" s="126"/>
      <c r="K377" s="127"/>
      <c r="L377" s="79">
        <v>1</v>
      </c>
      <c r="M377" s="79"/>
      <c r="N377" s="79">
        <v>1</v>
      </c>
      <c r="O377" s="128">
        <v>1</v>
      </c>
      <c r="P377" s="79" t="s">
        <v>940</v>
      </c>
      <c r="Q377" s="79" t="s">
        <v>1147</v>
      </c>
      <c r="R377" s="79" t="s">
        <v>25</v>
      </c>
      <c r="S377" s="79">
        <v>1</v>
      </c>
      <c r="T377" s="79"/>
      <c r="U377" s="79"/>
      <c r="V377" s="79"/>
      <c r="W377" s="79" t="s">
        <v>939</v>
      </c>
      <c r="X377" s="79"/>
      <c r="Y377" s="79"/>
      <c r="Z377" s="79"/>
      <c r="AA377" s="79"/>
      <c r="AB377" s="79"/>
      <c r="AC377" s="506"/>
      <c r="AD377" s="573">
        <v>1</v>
      </c>
      <c r="AE377" s="573">
        <v>2</v>
      </c>
      <c r="AF377" s="165" t="s">
        <v>3003</v>
      </c>
      <c r="AG377" s="166" t="s">
        <v>6153</v>
      </c>
      <c r="AH377" s="120">
        <v>2</v>
      </c>
      <c r="AI377" s="120"/>
      <c r="AJ377" s="206"/>
      <c r="AK377" s="372"/>
      <c r="AL377" s="207"/>
      <c r="AM377" s="120"/>
      <c r="AN377" s="120"/>
      <c r="AO377" s="120"/>
      <c r="AP377" s="120"/>
      <c r="AQ377" s="120"/>
      <c r="AR377" s="120"/>
      <c r="AS377" s="120"/>
      <c r="AT377" s="120"/>
      <c r="AU377" s="120"/>
      <c r="AV377" s="120"/>
      <c r="AW377" s="120"/>
      <c r="AX377" s="120"/>
      <c r="AY377" s="120"/>
      <c r="AZ377" s="120"/>
      <c r="BA377" s="120"/>
      <c r="BB377" s="120"/>
      <c r="BC377" s="120"/>
      <c r="BD377" s="156"/>
      <c r="BE377" s="156"/>
      <c r="BF377" s="156"/>
      <c r="BG377" s="156"/>
      <c r="BH377" s="156"/>
      <c r="BI377" s="156"/>
      <c r="BJ377" s="156" t="s">
        <v>1917</v>
      </c>
      <c r="BK377" s="156"/>
      <c r="BL377" s="156"/>
      <c r="BM377" s="156"/>
      <c r="BN377" s="156"/>
      <c r="BO377" s="156"/>
      <c r="BP377" s="156"/>
      <c r="BQ377" s="157"/>
      <c r="BR377" s="134"/>
      <c r="BS377" s="134"/>
      <c r="BT377" s="134"/>
      <c r="BU377" s="134"/>
      <c r="BV377" s="134"/>
      <c r="BW377" s="259"/>
      <c r="BX377" s="168"/>
      <c r="BY377" s="134"/>
      <c r="BZ377" s="168"/>
      <c r="CA377" s="134"/>
      <c r="CB377" s="134"/>
      <c r="CC377" s="134"/>
      <c r="CD377" s="134"/>
      <c r="CE377" s="134"/>
      <c r="CF377" s="288"/>
      <c r="CG377" s="289"/>
      <c r="CH377" s="138"/>
      <c r="CI377" s="134"/>
      <c r="CJ377" s="134"/>
      <c r="CK377" s="134"/>
      <c r="CL377" s="138"/>
      <c r="CM377" s="134"/>
      <c r="CN377" s="134"/>
      <c r="CO377" s="134"/>
      <c r="CP377" s="288"/>
      <c r="CQ377" s="289"/>
      <c r="CR377" s="276"/>
      <c r="CS377" s="308"/>
      <c r="CT377" s="138"/>
      <c r="CU377" s="134"/>
      <c r="CV377" s="134"/>
      <c r="CW377" s="134"/>
      <c r="CX377" s="134"/>
      <c r="CY377" s="134"/>
      <c r="CZ377" s="134"/>
      <c r="DA377" s="134"/>
      <c r="DB377" s="300"/>
      <c r="DC377" s="301"/>
      <c r="DD377" s="134"/>
      <c r="DE377" s="134"/>
      <c r="DF377" s="134"/>
      <c r="DG377" s="134"/>
      <c r="DH377" s="134"/>
      <c r="DI377" s="134"/>
      <c r="DJ377" s="134"/>
      <c r="DK377" s="134"/>
      <c r="DL377" s="300"/>
      <c r="DM377" s="301"/>
      <c r="DN377" s="276"/>
      <c r="DO377" s="277"/>
      <c r="DP377" s="134"/>
      <c r="DQ377" s="134"/>
      <c r="DR377" s="134"/>
      <c r="DS377" s="134"/>
      <c r="DT377" s="138"/>
      <c r="DU377" s="134"/>
      <c r="DV377" s="134"/>
      <c r="DW377" s="134"/>
      <c r="DX377" s="301"/>
      <c r="DY377" s="301"/>
      <c r="DZ377" s="138"/>
      <c r="EA377" s="134"/>
      <c r="EB377" s="134"/>
      <c r="EC377" s="134"/>
      <c r="ED377" s="138"/>
      <c r="EE377" s="134"/>
      <c r="EF377" s="134"/>
      <c r="EG377" s="134"/>
      <c r="EH377" s="301"/>
      <c r="EI377" s="301"/>
      <c r="EJ377" s="277"/>
      <c r="EK377" s="134"/>
      <c r="EL377" s="134"/>
      <c r="EM377" s="134"/>
      <c r="EN377" s="134"/>
      <c r="EO377" s="134"/>
      <c r="EP377" s="134"/>
      <c r="EQ377" s="134"/>
      <c r="ER377" s="134"/>
      <c r="ES377" s="301"/>
      <c r="ET377" s="301"/>
      <c r="EU377" s="134"/>
      <c r="EV377" s="134"/>
      <c r="EW377" s="134"/>
      <c r="EX377" s="134"/>
      <c r="EY377" s="134"/>
      <c r="EZ377" s="134"/>
      <c r="FA377" s="134"/>
      <c r="FB377" s="134"/>
      <c r="FC377" s="135"/>
      <c r="FD377" s="135"/>
      <c r="FE377" s="134"/>
      <c r="FF377" s="134"/>
      <c r="FG377" s="134"/>
      <c r="FH377" s="134"/>
      <c r="FI377" s="134"/>
      <c r="FJ377" s="134"/>
      <c r="FK377" s="134"/>
      <c r="FL377" s="134"/>
      <c r="FM377" s="135"/>
      <c r="FN377" s="135"/>
      <c r="FO377" s="134"/>
      <c r="FP377" s="134"/>
      <c r="FQ377" s="134"/>
      <c r="FR377" s="134"/>
      <c r="FS377" s="134"/>
      <c r="FT377" s="134"/>
      <c r="FU377" s="134"/>
      <c r="FV377" s="134"/>
      <c r="FW377" s="135"/>
      <c r="FX377" s="135"/>
      <c r="FY377" s="134"/>
      <c r="FZ377" s="134"/>
      <c r="GA377" s="134"/>
      <c r="GB377" s="134"/>
      <c r="GC377" s="134"/>
      <c r="GD377" s="134"/>
      <c r="GE377" s="134"/>
      <c r="GF377" s="134"/>
      <c r="GG377" s="135"/>
      <c r="GH377" s="135"/>
      <c r="GI377" s="134"/>
      <c r="GJ377" s="134"/>
      <c r="GK377" s="134"/>
      <c r="GL377" s="134"/>
      <c r="GM377" s="134"/>
      <c r="GN377" s="134"/>
      <c r="GO377" s="134"/>
      <c r="GP377" s="134"/>
      <c r="GQ377" s="135"/>
      <c r="GR377" s="135"/>
      <c r="GS377" s="134"/>
      <c r="GT377" s="134"/>
      <c r="GU377" s="134"/>
      <c r="GV377" s="134"/>
      <c r="GW377" s="134"/>
      <c r="GX377" s="134"/>
      <c r="GY377" s="134"/>
      <c r="GZ377" s="134"/>
      <c r="HA377" s="135"/>
      <c r="HB377" s="135"/>
      <c r="HC377" s="134"/>
      <c r="HD377" s="134"/>
      <c r="HE377" s="134"/>
      <c r="HF377" s="134"/>
      <c r="HG377" s="134"/>
      <c r="HH377" s="134"/>
      <c r="HI377" s="134"/>
      <c r="HJ377" s="134"/>
      <c r="HK377" s="135"/>
      <c r="HL377" s="135"/>
      <c r="HM377" s="134"/>
      <c r="HN377" s="134"/>
      <c r="HO377" s="134"/>
      <c r="HP377" s="134"/>
      <c r="HQ377" s="134"/>
      <c r="HR377" s="134"/>
      <c r="HS377" s="134"/>
      <c r="HT377" s="134"/>
      <c r="HU377" s="135"/>
      <c r="HV377" s="135"/>
      <c r="HW377" s="134"/>
      <c r="HX377" s="134"/>
      <c r="HY377" s="134"/>
      <c r="HZ377" s="134"/>
      <c r="IA377" s="134"/>
      <c r="IB377" s="134"/>
      <c r="IC377" s="134"/>
      <c r="ID377" s="134"/>
      <c r="IE377" s="135"/>
      <c r="IF377" s="135"/>
      <c r="IG377" s="134"/>
      <c r="IH377" s="134"/>
      <c r="II377" s="134"/>
      <c r="IJ377" s="134"/>
      <c r="IK377" s="134"/>
      <c r="IL377" s="134"/>
      <c r="IM377" s="134"/>
      <c r="IN377" s="134"/>
      <c r="IO377" s="135"/>
      <c r="IP377" s="135"/>
      <c r="IQ377" s="134"/>
      <c r="IR377" s="134"/>
      <c r="IS377" s="134"/>
      <c r="IT377" s="134"/>
      <c r="IU377" s="134"/>
      <c r="IV377" s="134"/>
      <c r="IW377" s="134"/>
      <c r="IX377" s="134"/>
      <c r="IY377" s="135"/>
      <c r="IZ377" s="135"/>
    </row>
    <row r="378" spans="1:260" ht="17" customHeight="1">
      <c r="A378" s="79" t="s">
        <v>944</v>
      </c>
      <c r="B378" s="117">
        <v>54</v>
      </c>
      <c r="C378" s="117"/>
      <c r="D378" s="117"/>
      <c r="E378" s="123" t="s">
        <v>2131</v>
      </c>
      <c r="F378" s="124" t="s">
        <v>2395</v>
      </c>
      <c r="G378" s="125">
        <v>2012</v>
      </c>
      <c r="H378" s="79">
        <v>22137886</v>
      </c>
      <c r="I378" s="79">
        <v>1</v>
      </c>
      <c r="J378" s="126" t="s">
        <v>1803</v>
      </c>
      <c r="K378" s="127"/>
      <c r="L378" s="79">
        <v>0</v>
      </c>
      <c r="M378" s="79"/>
      <c r="N378" s="153">
        <v>0</v>
      </c>
      <c r="O378" s="128">
        <v>2</v>
      </c>
      <c r="P378" s="79" t="s">
        <v>1220</v>
      </c>
      <c r="Q378" s="79" t="s">
        <v>1216</v>
      </c>
      <c r="R378" s="79" t="s">
        <v>1642</v>
      </c>
      <c r="S378" s="79"/>
      <c r="T378" s="79" t="s">
        <v>24</v>
      </c>
      <c r="U378" s="79"/>
      <c r="V378" s="79"/>
      <c r="W378" s="79" t="s">
        <v>1501</v>
      </c>
      <c r="X378" s="79" t="s">
        <v>1643</v>
      </c>
      <c r="Y378" s="79" t="s">
        <v>1381</v>
      </c>
      <c r="Z378" s="79"/>
      <c r="AA378" s="79" t="s">
        <v>1641</v>
      </c>
      <c r="AB378" s="79" t="s">
        <v>1644</v>
      </c>
      <c r="AC378" s="506"/>
      <c r="AD378" s="573">
        <v>1</v>
      </c>
      <c r="AE378" s="573">
        <v>2</v>
      </c>
      <c r="AF378" s="233" t="s">
        <v>3003</v>
      </c>
      <c r="AG378" s="234" t="s">
        <v>3774</v>
      </c>
      <c r="AH378" s="121">
        <v>5</v>
      </c>
      <c r="AI378" s="484"/>
      <c r="AJ378" s="202" t="s">
        <v>3760</v>
      </c>
      <c r="AK378" s="192">
        <v>0</v>
      </c>
      <c r="AL378" s="203" t="s">
        <v>3764</v>
      </c>
      <c r="AM378" s="411">
        <f>Table665[[#This Row],[Subjects_n_ptsd]]</f>
        <v>8</v>
      </c>
      <c r="AN378" s="121">
        <v>8</v>
      </c>
      <c r="AO378" s="121" t="s">
        <v>3761</v>
      </c>
      <c r="AP378" s="121" t="s">
        <v>803</v>
      </c>
      <c r="AQ378" s="121" t="s">
        <v>24</v>
      </c>
      <c r="AR378" s="121" t="s">
        <v>2494</v>
      </c>
      <c r="AS378" s="121" t="s">
        <v>24</v>
      </c>
      <c r="AT378" s="121" t="s">
        <v>24</v>
      </c>
      <c r="AU378" s="121" t="s">
        <v>24</v>
      </c>
      <c r="AV378" s="121" t="s">
        <v>3762</v>
      </c>
      <c r="AW378" s="121">
        <v>1</v>
      </c>
      <c r="AX378" s="121" t="s">
        <v>3763</v>
      </c>
      <c r="AY378" s="121" t="s">
        <v>24</v>
      </c>
      <c r="AZ378" s="121" t="s">
        <v>3725</v>
      </c>
      <c r="BA378" s="121" t="s">
        <v>3236</v>
      </c>
      <c r="BB378" s="121"/>
      <c r="BC378" s="121"/>
      <c r="BD378" s="156">
        <v>1</v>
      </c>
      <c r="BE378" s="156"/>
      <c r="BF378" s="156"/>
      <c r="BG378" s="156"/>
      <c r="BH378" s="156"/>
      <c r="BI378" s="156"/>
      <c r="BJ378" s="156"/>
      <c r="BK378" s="156"/>
      <c r="BL378" s="156"/>
      <c r="BM378" s="156"/>
      <c r="BN378" s="156"/>
      <c r="BO378" s="156"/>
      <c r="BP378" s="156"/>
      <c r="BQ378" s="157" t="s">
        <v>3735</v>
      </c>
      <c r="BR378" s="134" t="s">
        <v>2789</v>
      </c>
      <c r="BS378" s="134">
        <v>1</v>
      </c>
      <c r="BT378" s="134" t="s">
        <v>3765</v>
      </c>
      <c r="BU378" s="134" t="s">
        <v>3769</v>
      </c>
      <c r="BV378" s="134" t="s">
        <v>2659</v>
      </c>
      <c r="BW378" s="259" t="s">
        <v>3773</v>
      </c>
      <c r="BX378" s="138" t="s">
        <v>3766</v>
      </c>
      <c r="BY378" s="134">
        <v>38.945999999999998</v>
      </c>
      <c r="BZ378" s="134" t="s">
        <v>3770</v>
      </c>
      <c r="CA378" s="134">
        <f>48.2998-Table665[[#This Row],[Outcome1_M]]</f>
        <v>9.3537999999999997</v>
      </c>
      <c r="CB378" s="138" t="s">
        <v>3767</v>
      </c>
      <c r="CC378" s="134">
        <v>47.750599999999999</v>
      </c>
      <c r="CD378" s="134" t="s">
        <v>24</v>
      </c>
      <c r="CE378" s="134">
        <f>55.9359-Table665[[#This Row],[Outcome2_M]]</f>
        <v>8.185299999999998</v>
      </c>
      <c r="CF378" s="288" t="s">
        <v>3771</v>
      </c>
      <c r="CG378" s="289" t="s">
        <v>24</v>
      </c>
      <c r="CH378" s="138" t="s">
        <v>3768</v>
      </c>
      <c r="CI378" s="134">
        <v>68.247900000000001</v>
      </c>
      <c r="CJ378" s="134" t="s">
        <v>24</v>
      </c>
      <c r="CK378" s="134">
        <f>78.104-Table665[[#This Row],[Outcome3_M]]</f>
        <v>9.8560999999999979</v>
      </c>
      <c r="CL378" s="138" t="s">
        <v>24</v>
      </c>
      <c r="CM378" s="134" t="s">
        <v>24</v>
      </c>
      <c r="CN378" s="134" t="s">
        <v>24</v>
      </c>
      <c r="CO378" s="134" t="s">
        <v>24</v>
      </c>
      <c r="CP378" s="288" t="s">
        <v>3772</v>
      </c>
      <c r="CQ378" s="289" t="s">
        <v>24</v>
      </c>
      <c r="CR378" s="276"/>
      <c r="CS378" s="308"/>
      <c r="CT378" s="138"/>
      <c r="CU378" s="134"/>
      <c r="CV378" s="134"/>
      <c r="CW378" s="134"/>
      <c r="CX378" s="134"/>
      <c r="CY378" s="134"/>
      <c r="CZ378" s="134"/>
      <c r="DA378" s="134"/>
      <c r="DB378" s="300"/>
      <c r="DC378" s="301"/>
      <c r="DD378" s="134"/>
      <c r="DE378" s="134"/>
      <c r="DF378" s="134"/>
      <c r="DG378" s="134"/>
      <c r="DH378" s="134"/>
      <c r="DI378" s="134"/>
      <c r="DJ378" s="134"/>
      <c r="DK378" s="134"/>
      <c r="DL378" s="300"/>
      <c r="DM378" s="301"/>
      <c r="DN378" s="276"/>
      <c r="DO378" s="277"/>
      <c r="DP378" s="134"/>
      <c r="DQ378" s="134"/>
      <c r="DR378" s="134"/>
      <c r="DS378" s="134"/>
      <c r="DT378" s="138"/>
      <c r="DU378" s="134"/>
      <c r="DV378" s="134"/>
      <c r="DW378" s="134"/>
      <c r="DX378" s="301"/>
      <c r="DY378" s="301"/>
      <c r="DZ378" s="138"/>
      <c r="EA378" s="134"/>
      <c r="EB378" s="134"/>
      <c r="EC378" s="134"/>
      <c r="ED378" s="138"/>
      <c r="EE378" s="134"/>
      <c r="EF378" s="134"/>
      <c r="EG378" s="134"/>
      <c r="EH378" s="301"/>
      <c r="EI378" s="301"/>
      <c r="EJ378" s="277"/>
      <c r="EK378" s="134"/>
      <c r="EL378" s="134"/>
      <c r="EM378" s="134"/>
      <c r="EN378" s="134"/>
      <c r="EO378" s="134"/>
      <c r="EP378" s="134"/>
      <c r="EQ378" s="134"/>
      <c r="ER378" s="134"/>
      <c r="ES378" s="301"/>
      <c r="ET378" s="301"/>
      <c r="EU378" s="134"/>
      <c r="EV378" s="134"/>
      <c r="EW378" s="134"/>
      <c r="EX378" s="134"/>
      <c r="EY378" s="134"/>
      <c r="EZ378" s="134"/>
      <c r="FA378" s="134"/>
      <c r="FB378" s="134"/>
      <c r="FC378" s="135"/>
      <c r="FD378" s="135"/>
      <c r="FE378" s="134"/>
      <c r="FF378" s="134"/>
      <c r="FG378" s="134"/>
      <c r="FH378" s="134"/>
      <c r="FI378" s="134"/>
      <c r="FJ378" s="134"/>
      <c r="FK378" s="134"/>
      <c r="FL378" s="134"/>
      <c r="FM378" s="135"/>
      <c r="FN378" s="135"/>
      <c r="FO378" s="134"/>
      <c r="FP378" s="134"/>
      <c r="FQ378" s="134"/>
      <c r="FR378" s="134"/>
      <c r="FS378" s="134"/>
      <c r="FT378" s="134"/>
      <c r="FU378" s="134"/>
      <c r="FV378" s="134"/>
      <c r="FW378" s="135"/>
      <c r="FX378" s="135"/>
      <c r="FY378" s="134"/>
      <c r="FZ378" s="134"/>
      <c r="GA378" s="134"/>
      <c r="GB378" s="134"/>
      <c r="GC378" s="134"/>
      <c r="GD378" s="134"/>
      <c r="GE378" s="134"/>
      <c r="GF378" s="134"/>
      <c r="GG378" s="135"/>
      <c r="GH378" s="135"/>
      <c r="GI378" s="134"/>
      <c r="GJ378" s="134"/>
      <c r="GK378" s="134"/>
      <c r="GL378" s="134"/>
      <c r="GM378" s="134"/>
      <c r="GN378" s="134"/>
      <c r="GO378" s="134"/>
      <c r="GP378" s="134"/>
      <c r="GQ378" s="135"/>
      <c r="GR378" s="135"/>
      <c r="GS378" s="134"/>
      <c r="GT378" s="134"/>
      <c r="GU378" s="134"/>
      <c r="GV378" s="134"/>
      <c r="GW378" s="134"/>
      <c r="GX378" s="134"/>
      <c r="GY378" s="134"/>
      <c r="GZ378" s="134"/>
      <c r="HA378" s="135"/>
      <c r="HB378" s="135"/>
      <c r="HC378" s="134"/>
      <c r="HD378" s="134"/>
      <c r="HE378" s="134"/>
      <c r="HF378" s="134"/>
      <c r="HG378" s="134"/>
      <c r="HH378" s="134"/>
      <c r="HI378" s="134"/>
      <c r="HJ378" s="134"/>
      <c r="HK378" s="135"/>
      <c r="HL378" s="135"/>
      <c r="HM378" s="134"/>
      <c r="HN378" s="134"/>
      <c r="HO378" s="134"/>
      <c r="HP378" s="134"/>
      <c r="HQ378" s="134"/>
      <c r="HR378" s="134"/>
      <c r="HS378" s="134"/>
      <c r="HT378" s="134"/>
      <c r="HU378" s="135"/>
      <c r="HV378" s="135"/>
      <c r="HW378" s="134"/>
      <c r="HX378" s="134"/>
      <c r="HY378" s="134"/>
      <c r="HZ378" s="134"/>
      <c r="IA378" s="134"/>
      <c r="IB378" s="134"/>
      <c r="IC378" s="134"/>
      <c r="ID378" s="134"/>
      <c r="IE378" s="135"/>
      <c r="IF378" s="135"/>
      <c r="IG378" s="134"/>
      <c r="IH378" s="134"/>
      <c r="II378" s="134"/>
      <c r="IJ378" s="134"/>
      <c r="IK378" s="134"/>
      <c r="IL378" s="134"/>
      <c r="IM378" s="134"/>
      <c r="IN378" s="134"/>
      <c r="IO378" s="135"/>
      <c r="IP378" s="135"/>
      <c r="IQ378" s="134"/>
      <c r="IR378" s="134"/>
      <c r="IS378" s="134"/>
      <c r="IT378" s="134"/>
      <c r="IU378" s="134"/>
      <c r="IV378" s="134"/>
      <c r="IW378" s="134"/>
      <c r="IX378" s="134"/>
      <c r="IY378" s="135"/>
      <c r="IZ378" s="135"/>
    </row>
    <row r="379" spans="1:260" ht="17" customHeight="1">
      <c r="A379" s="79" t="s">
        <v>941</v>
      </c>
      <c r="B379" s="117">
        <v>55</v>
      </c>
      <c r="C379" s="117"/>
      <c r="D379" s="117"/>
      <c r="E379" s="123" t="s">
        <v>2133</v>
      </c>
      <c r="F379" s="124" t="s">
        <v>2397</v>
      </c>
      <c r="G379" s="125">
        <v>2012</v>
      </c>
      <c r="H379" s="79">
        <v>22421563</v>
      </c>
      <c r="I379" s="79">
        <v>1</v>
      </c>
      <c r="J379" s="170" t="s">
        <v>1803</v>
      </c>
      <c r="K379" s="127"/>
      <c r="L379" s="164">
        <v>1</v>
      </c>
      <c r="M379" s="79"/>
      <c r="N379" s="164">
        <v>0</v>
      </c>
      <c r="O379" s="128">
        <v>2</v>
      </c>
      <c r="P379" s="79" t="s">
        <v>1726</v>
      </c>
      <c r="Q379" s="79" t="s">
        <v>1216</v>
      </c>
      <c r="R379" s="79" t="s">
        <v>1130</v>
      </c>
      <c r="S379" s="79"/>
      <c r="T379" s="79" t="s">
        <v>1495</v>
      </c>
      <c r="U379" s="79" t="s">
        <v>803</v>
      </c>
      <c r="V379" s="79"/>
      <c r="W379" s="79" t="s">
        <v>1723</v>
      </c>
      <c r="X379" s="79"/>
      <c r="Y379" s="79" t="s">
        <v>1649</v>
      </c>
      <c r="Z379" s="79"/>
      <c r="AA379" s="79"/>
      <c r="AB379" s="79" t="s">
        <v>1698</v>
      </c>
      <c r="AC379" s="506"/>
      <c r="AD379" s="573">
        <v>1</v>
      </c>
      <c r="AE379" s="573">
        <v>2</v>
      </c>
      <c r="AF379" s="233">
        <v>1</v>
      </c>
      <c r="AG379" s="412" t="s">
        <v>3792</v>
      </c>
      <c r="AH379" s="121">
        <v>4</v>
      </c>
      <c r="AI379" s="484"/>
      <c r="AJ379" s="202" t="s">
        <v>3779</v>
      </c>
      <c r="AK379" s="419" t="s">
        <v>3797</v>
      </c>
      <c r="AL379" s="203">
        <v>0</v>
      </c>
      <c r="AM379" s="121">
        <v>20</v>
      </c>
      <c r="AN379" s="121">
        <v>10</v>
      </c>
      <c r="AO379" s="121">
        <v>10</v>
      </c>
      <c r="AP379" s="121" t="s">
        <v>803</v>
      </c>
      <c r="AQ379" s="121" t="s">
        <v>803</v>
      </c>
      <c r="AR379" s="355" t="s">
        <v>3403</v>
      </c>
      <c r="AS379" s="121" t="s">
        <v>24</v>
      </c>
      <c r="AT379" s="355" t="s">
        <v>3403</v>
      </c>
      <c r="AU379" s="121" t="s">
        <v>24</v>
      </c>
      <c r="AV379" s="121" t="s">
        <v>3775</v>
      </c>
      <c r="AW379" s="121">
        <v>1</v>
      </c>
      <c r="AX379" s="121" t="s">
        <v>3782</v>
      </c>
      <c r="AY379" s="121" t="s">
        <v>3776</v>
      </c>
      <c r="AZ379" s="121" t="s">
        <v>1130</v>
      </c>
      <c r="BA379" s="121" t="s">
        <v>3279</v>
      </c>
      <c r="BB379" s="121"/>
      <c r="BC379" s="121"/>
      <c r="BD379" s="156">
        <v>1</v>
      </c>
      <c r="BE379" s="156"/>
      <c r="BF379" s="156"/>
      <c r="BG379" s="156"/>
      <c r="BH379" s="156"/>
      <c r="BI379" s="156"/>
      <c r="BJ379" s="156"/>
      <c r="BK379" s="156"/>
      <c r="BL379" s="156"/>
      <c r="BM379" s="156"/>
      <c r="BN379" s="156"/>
      <c r="BO379" s="156"/>
      <c r="BP379" s="156"/>
      <c r="BQ379" s="157" t="s">
        <v>3780</v>
      </c>
      <c r="BR379" s="134" t="s">
        <v>1876</v>
      </c>
      <c r="BS379" s="134">
        <v>2</v>
      </c>
      <c r="BT379" s="134" t="s">
        <v>3778</v>
      </c>
      <c r="BU379" s="134" t="s">
        <v>3777</v>
      </c>
      <c r="BV379" s="134" t="s">
        <v>3808</v>
      </c>
      <c r="BW379" s="259" t="s">
        <v>3794</v>
      </c>
      <c r="BX379" s="138" t="s">
        <v>3781</v>
      </c>
      <c r="BY379" s="134">
        <v>60.821899999999999</v>
      </c>
      <c r="BZ379" s="134" t="s">
        <v>24</v>
      </c>
      <c r="CA379" s="134">
        <f>70.3196-Table665[[#This Row],[Outcome1_M]]</f>
        <v>9.4976999999999947</v>
      </c>
      <c r="CB379" s="138" t="s">
        <v>3783</v>
      </c>
      <c r="CC379" s="134">
        <v>8.5844699999999996</v>
      </c>
      <c r="CD379" s="134" t="s">
        <v>24</v>
      </c>
      <c r="CE379" s="134">
        <f>12.6027-Table665[[#This Row],[Outcome2_M]]</f>
        <v>4.0182300000000009</v>
      </c>
      <c r="CF379" s="288" t="s">
        <v>3784</v>
      </c>
      <c r="CG379" s="289" t="s">
        <v>3793</v>
      </c>
      <c r="CH379" s="138" t="s">
        <v>3785</v>
      </c>
      <c r="CI379" s="134">
        <v>6.9387800000000004</v>
      </c>
      <c r="CJ379" s="134" t="s">
        <v>24</v>
      </c>
      <c r="CK379" s="134">
        <f>9.52381-Table665[[#This Row],[Outcome3_M]]</f>
        <v>2.5850299999999988</v>
      </c>
      <c r="CL379" s="138" t="s">
        <v>3787</v>
      </c>
      <c r="CM379" s="134">
        <v>4.0816299999999996</v>
      </c>
      <c r="CN379" s="134" t="s">
        <v>24</v>
      </c>
      <c r="CO379" s="134">
        <f>6.39456-Table665[[#This Row],[Outcome4_M]]</f>
        <v>2.3129300000000006</v>
      </c>
      <c r="CP379" s="288" t="s">
        <v>3789</v>
      </c>
      <c r="CQ379" s="289" t="s">
        <v>3790</v>
      </c>
      <c r="CR379" s="276" t="s">
        <v>24</v>
      </c>
      <c r="CS379" s="308" t="s">
        <v>24</v>
      </c>
      <c r="CT379" s="138" t="s">
        <v>3786</v>
      </c>
      <c r="CU379" s="134">
        <v>42.176900000000003</v>
      </c>
      <c r="CV379" s="134" t="s">
        <v>24</v>
      </c>
      <c r="CW379" s="134">
        <f>52.381-Table665[[#This Row],[Outcome5_M]]</f>
        <v>10.204099999999997</v>
      </c>
      <c r="CX379" s="138" t="s">
        <v>3788</v>
      </c>
      <c r="CY379" s="134">
        <v>8.4353700000000007</v>
      </c>
      <c r="CZ379" s="134" t="s">
        <v>24</v>
      </c>
      <c r="DA379" s="134">
        <f>21.517-Table665[[#This Row],[Outcome6_M]]</f>
        <v>13.081629999999999</v>
      </c>
      <c r="DB379" s="300" t="s">
        <v>3791</v>
      </c>
      <c r="DC379" s="301" t="s">
        <v>2555</v>
      </c>
      <c r="DD379" s="134" t="s">
        <v>24</v>
      </c>
      <c r="DE379" s="134" t="s">
        <v>24</v>
      </c>
      <c r="DF379" s="134"/>
      <c r="DG379" s="134"/>
      <c r="DH379" s="134"/>
      <c r="DI379" s="134"/>
      <c r="DJ379" s="134"/>
      <c r="DK379" s="134"/>
      <c r="DL379" s="300"/>
      <c r="DM379" s="301" t="s">
        <v>24</v>
      </c>
      <c r="DN379" s="276" t="s">
        <v>3796</v>
      </c>
      <c r="DO379" s="276" t="s">
        <v>3795</v>
      </c>
      <c r="DP379" s="134"/>
      <c r="DQ379" s="134"/>
      <c r="DR379" s="134"/>
      <c r="DS379" s="134"/>
      <c r="DT379" s="138"/>
      <c r="DU379" s="134"/>
      <c r="DV379" s="134"/>
      <c r="DW379" s="134"/>
      <c r="DX379" s="301"/>
      <c r="DY379" s="301"/>
      <c r="DZ379" s="138"/>
      <c r="EA379" s="134"/>
      <c r="EB379" s="134"/>
      <c r="EC379" s="134"/>
      <c r="ED379" s="138"/>
      <c r="EE379" s="134"/>
      <c r="EF379" s="134"/>
      <c r="EG379" s="134"/>
      <c r="EH379" s="301"/>
      <c r="EI379" s="301"/>
      <c r="EJ379" s="277"/>
      <c r="EK379" s="134"/>
      <c r="EL379" s="134"/>
      <c r="EM379" s="134"/>
      <c r="EN379" s="134"/>
      <c r="EO379" s="134"/>
      <c r="EP379" s="134"/>
      <c r="EQ379" s="134"/>
      <c r="ER379" s="134"/>
      <c r="ES379" s="301"/>
      <c r="ET379" s="301"/>
      <c r="EU379" s="134"/>
      <c r="EV379" s="134"/>
      <c r="EW379" s="134"/>
      <c r="EX379" s="134"/>
      <c r="EY379" s="134"/>
      <c r="EZ379" s="134"/>
      <c r="FA379" s="134"/>
      <c r="FB379" s="134"/>
      <c r="FC379" s="135"/>
      <c r="FD379" s="135"/>
      <c r="FE379" s="134"/>
      <c r="FF379" s="134"/>
      <c r="FG379" s="134"/>
      <c r="FH379" s="134"/>
      <c r="FI379" s="134"/>
      <c r="FJ379" s="134"/>
      <c r="FK379" s="134"/>
      <c r="FL379" s="134"/>
      <c r="FM379" s="135"/>
      <c r="FN379" s="135"/>
      <c r="FO379" s="134"/>
      <c r="FP379" s="134"/>
      <c r="FQ379" s="134"/>
      <c r="FR379" s="134"/>
      <c r="FS379" s="134"/>
      <c r="FT379" s="134"/>
      <c r="FU379" s="134"/>
      <c r="FV379" s="134"/>
      <c r="FW379" s="135"/>
      <c r="FX379" s="135"/>
      <c r="FY379" s="134"/>
      <c r="FZ379" s="134"/>
      <c r="GA379" s="134"/>
      <c r="GB379" s="134"/>
      <c r="GC379" s="134"/>
      <c r="GD379" s="134"/>
      <c r="GE379" s="134"/>
      <c r="GF379" s="134"/>
      <c r="GG379" s="135"/>
      <c r="GH379" s="135"/>
      <c r="GI379" s="134"/>
      <c r="GJ379" s="134"/>
      <c r="GK379" s="134"/>
      <c r="GL379" s="134"/>
      <c r="GM379" s="134"/>
      <c r="GN379" s="134"/>
      <c r="GO379" s="134"/>
      <c r="GP379" s="134"/>
      <c r="GQ379" s="135"/>
      <c r="GR379" s="135"/>
      <c r="GS379" s="134"/>
      <c r="GT379" s="134"/>
      <c r="GU379" s="134"/>
      <c r="GV379" s="134"/>
      <c r="GW379" s="134"/>
      <c r="GX379" s="134"/>
      <c r="GY379" s="134"/>
      <c r="GZ379" s="134"/>
      <c r="HA379" s="135"/>
      <c r="HB379" s="135"/>
      <c r="HC379" s="134"/>
      <c r="HD379" s="134"/>
      <c r="HE379" s="134"/>
      <c r="HF379" s="134"/>
      <c r="HG379" s="134"/>
      <c r="HH379" s="134"/>
      <c r="HI379" s="134"/>
      <c r="HJ379" s="134"/>
      <c r="HK379" s="135"/>
      <c r="HL379" s="135"/>
      <c r="HM379" s="134"/>
      <c r="HN379" s="134"/>
      <c r="HO379" s="134"/>
      <c r="HP379" s="134"/>
      <c r="HQ379" s="134"/>
      <c r="HR379" s="134"/>
      <c r="HS379" s="134"/>
      <c r="HT379" s="134"/>
      <c r="HU379" s="135"/>
      <c r="HV379" s="135"/>
      <c r="HW379" s="134"/>
      <c r="HX379" s="134"/>
      <c r="HY379" s="134"/>
      <c r="HZ379" s="134"/>
      <c r="IA379" s="134"/>
      <c r="IB379" s="134"/>
      <c r="IC379" s="134"/>
      <c r="ID379" s="134"/>
      <c r="IE379" s="135"/>
      <c r="IF379" s="135"/>
      <c r="IG379" s="134"/>
      <c r="IH379" s="134"/>
      <c r="II379" s="134"/>
      <c r="IJ379" s="134"/>
      <c r="IK379" s="134"/>
      <c r="IL379" s="134"/>
      <c r="IM379" s="134"/>
      <c r="IN379" s="134"/>
      <c r="IO379" s="135"/>
      <c r="IP379" s="135"/>
      <c r="IQ379" s="134"/>
      <c r="IR379" s="134"/>
      <c r="IS379" s="134"/>
      <c r="IT379" s="134"/>
      <c r="IU379" s="134"/>
      <c r="IV379" s="134"/>
      <c r="IW379" s="134"/>
      <c r="IX379" s="134"/>
      <c r="IY379" s="135"/>
      <c r="IZ379" s="135"/>
    </row>
    <row r="380" spans="1:260" ht="17" customHeight="1">
      <c r="A380" s="127" t="s">
        <v>942</v>
      </c>
      <c r="B380" s="390">
        <v>56</v>
      </c>
      <c r="C380" s="390">
        <v>4</v>
      </c>
      <c r="D380" s="390"/>
      <c r="E380" s="391" t="s">
        <v>2133</v>
      </c>
      <c r="F380" s="392" t="s">
        <v>2397</v>
      </c>
      <c r="G380" s="393">
        <v>2013</v>
      </c>
      <c r="H380" s="127">
        <v>23318688</v>
      </c>
      <c r="I380" s="127">
        <v>1</v>
      </c>
      <c r="J380" s="413" t="s">
        <v>1803</v>
      </c>
      <c r="K380" s="127"/>
      <c r="L380" s="413">
        <v>1</v>
      </c>
      <c r="M380" s="127"/>
      <c r="N380" s="413">
        <v>0</v>
      </c>
      <c r="O380" s="221">
        <v>2</v>
      </c>
      <c r="P380" s="127" t="s">
        <v>1725</v>
      </c>
      <c r="Q380" s="127" t="s">
        <v>1216</v>
      </c>
      <c r="R380" s="127" t="s">
        <v>1130</v>
      </c>
      <c r="S380" s="127"/>
      <c r="T380" s="127" t="s">
        <v>1495</v>
      </c>
      <c r="U380" s="127" t="s">
        <v>803</v>
      </c>
      <c r="V380" s="127"/>
      <c r="W380" s="127" t="s">
        <v>1724</v>
      </c>
      <c r="X380" s="127"/>
      <c r="Y380" s="127" t="s">
        <v>1648</v>
      </c>
      <c r="Z380" s="127"/>
      <c r="AA380" s="127" t="s">
        <v>1647</v>
      </c>
      <c r="AB380" s="127" t="s">
        <v>1698</v>
      </c>
      <c r="AC380" s="575"/>
      <c r="AD380" s="573">
        <v>1</v>
      </c>
      <c r="AE380" s="573">
        <v>2</v>
      </c>
      <c r="AF380" s="416" t="s">
        <v>1917</v>
      </c>
      <c r="AG380" s="412" t="s">
        <v>3816</v>
      </c>
      <c r="AH380" s="163">
        <v>4</v>
      </c>
      <c r="AI380" s="486"/>
      <c r="AJ380" s="396" t="s">
        <v>3804</v>
      </c>
      <c r="AK380" s="421" t="s">
        <v>3799</v>
      </c>
      <c r="AL380" s="398">
        <v>1</v>
      </c>
      <c r="AM380" s="163">
        <v>20</v>
      </c>
      <c r="AN380" s="163">
        <v>10</v>
      </c>
      <c r="AO380" s="163">
        <v>10</v>
      </c>
      <c r="AP380" s="163" t="s">
        <v>803</v>
      </c>
      <c r="AQ380" s="163" t="s">
        <v>803</v>
      </c>
      <c r="AR380" s="414" t="s">
        <v>3403</v>
      </c>
      <c r="AS380" s="163" t="s">
        <v>24</v>
      </c>
      <c r="AT380" s="414" t="s">
        <v>3403</v>
      </c>
      <c r="AU380" s="163" t="s">
        <v>24</v>
      </c>
      <c r="AV380" s="163" t="s">
        <v>3775</v>
      </c>
      <c r="AW380" s="163">
        <v>1</v>
      </c>
      <c r="AX380" s="163" t="s">
        <v>3782</v>
      </c>
      <c r="AY380" s="163" t="s">
        <v>3776</v>
      </c>
      <c r="AZ380" s="163" t="s">
        <v>1130</v>
      </c>
      <c r="BA380" s="163" t="s">
        <v>3279</v>
      </c>
      <c r="BB380" s="163"/>
      <c r="BC380" s="163"/>
      <c r="BD380" s="399"/>
      <c r="BE380" s="399"/>
      <c r="BF380" s="399"/>
      <c r="BG380" s="399"/>
      <c r="BH380" s="399"/>
      <c r="BI380" s="399"/>
      <c r="BJ380" s="399">
        <v>1</v>
      </c>
      <c r="BK380" s="399"/>
      <c r="BL380" s="399"/>
      <c r="BM380" s="399"/>
      <c r="BN380" s="399"/>
      <c r="BO380" s="399"/>
      <c r="BP380" s="399"/>
      <c r="BQ380" s="232" t="s">
        <v>1893</v>
      </c>
      <c r="BR380" s="400" t="s">
        <v>1876</v>
      </c>
      <c r="BS380" s="400">
        <v>2</v>
      </c>
      <c r="BT380" s="400" t="s">
        <v>3800</v>
      </c>
      <c r="BU380" s="400" t="s">
        <v>3777</v>
      </c>
      <c r="BV380" s="400" t="s">
        <v>3809</v>
      </c>
      <c r="BW380" s="401" t="s">
        <v>3806</v>
      </c>
      <c r="BX380" s="402" t="s">
        <v>3805</v>
      </c>
      <c r="BY380" s="400" t="s">
        <v>24</v>
      </c>
      <c r="BZ380" s="400" t="s">
        <v>24</v>
      </c>
      <c r="CA380" s="400" t="s">
        <v>24</v>
      </c>
      <c r="CB380" s="402" t="s">
        <v>24</v>
      </c>
      <c r="CC380" s="400"/>
      <c r="CD380" s="400"/>
      <c r="CE380" s="400"/>
      <c r="CF380" s="401" t="s">
        <v>3806</v>
      </c>
      <c r="CG380" s="404" t="s">
        <v>3807</v>
      </c>
      <c r="CH380" s="402"/>
      <c r="CI380" s="400"/>
      <c r="CJ380" s="400"/>
      <c r="CK380" s="400"/>
      <c r="CL380" s="402"/>
      <c r="CM380" s="400"/>
      <c r="CN380" s="400"/>
      <c r="CO380" s="400"/>
      <c r="CP380" s="403"/>
      <c r="CQ380" s="404"/>
      <c r="CR380" s="405"/>
      <c r="CS380" s="406"/>
      <c r="CT380" s="402"/>
      <c r="CU380" s="400"/>
      <c r="CV380" s="400"/>
      <c r="CW380" s="400"/>
      <c r="CX380" s="400"/>
      <c r="CY380" s="400"/>
      <c r="CZ380" s="400"/>
      <c r="DA380" s="400"/>
      <c r="DB380" s="407"/>
      <c r="DC380" s="408"/>
      <c r="DD380" s="400"/>
      <c r="DE380" s="400"/>
      <c r="DF380" s="400"/>
      <c r="DG380" s="400"/>
      <c r="DH380" s="400"/>
      <c r="DI380" s="400"/>
      <c r="DJ380" s="400"/>
      <c r="DK380" s="400"/>
      <c r="DL380" s="407"/>
      <c r="DM380" s="408"/>
      <c r="DN380" s="405"/>
      <c r="DO380" s="409"/>
      <c r="DP380" s="400"/>
      <c r="DQ380" s="400"/>
      <c r="DR380" s="400"/>
      <c r="DS380" s="400"/>
      <c r="DT380" s="402"/>
      <c r="DU380" s="400"/>
      <c r="DV380" s="400"/>
      <c r="DW380" s="400"/>
      <c r="DX380" s="408"/>
      <c r="DY380" s="408"/>
      <c r="DZ380" s="402"/>
      <c r="EA380" s="400"/>
      <c r="EB380" s="400"/>
      <c r="EC380" s="400"/>
      <c r="ED380" s="402"/>
      <c r="EE380" s="400"/>
      <c r="EF380" s="400"/>
      <c r="EG380" s="400"/>
      <c r="EH380" s="408"/>
      <c r="EI380" s="408"/>
      <c r="EJ380" s="409"/>
      <c r="EK380" s="400"/>
      <c r="EL380" s="400"/>
      <c r="EM380" s="400"/>
      <c r="EN380" s="400"/>
      <c r="EO380" s="400"/>
      <c r="EP380" s="400"/>
      <c r="EQ380" s="400"/>
      <c r="ER380" s="400"/>
      <c r="ES380" s="408"/>
      <c r="ET380" s="408"/>
      <c r="EU380" s="400"/>
      <c r="EV380" s="400"/>
      <c r="EW380" s="400"/>
      <c r="EX380" s="400"/>
      <c r="EY380" s="134"/>
      <c r="EZ380" s="134"/>
      <c r="FA380" s="134"/>
      <c r="FB380" s="134"/>
      <c r="FC380" s="135"/>
      <c r="FD380" s="135"/>
      <c r="FE380" s="134"/>
      <c r="FF380" s="134"/>
      <c r="FG380" s="134"/>
      <c r="FH380" s="134"/>
      <c r="FI380" s="134"/>
      <c r="FJ380" s="134"/>
      <c r="FK380" s="134"/>
      <c r="FL380" s="134"/>
      <c r="FM380" s="135"/>
      <c r="FN380" s="135"/>
      <c r="FO380" s="134"/>
      <c r="FP380" s="134"/>
      <c r="FQ380" s="134"/>
      <c r="FR380" s="134"/>
      <c r="FS380" s="134"/>
      <c r="FT380" s="134"/>
      <c r="FU380" s="134"/>
      <c r="FV380" s="134"/>
      <c r="FW380" s="135"/>
      <c r="FX380" s="135"/>
      <c r="FY380" s="134"/>
      <c r="FZ380" s="134"/>
      <c r="GA380" s="134"/>
      <c r="GB380" s="134"/>
      <c r="GC380" s="134"/>
      <c r="GD380" s="134"/>
      <c r="GE380" s="134"/>
      <c r="GF380" s="134"/>
      <c r="GG380" s="135"/>
      <c r="GH380" s="135"/>
      <c r="GI380" s="134"/>
      <c r="GJ380" s="134"/>
      <c r="GK380" s="134"/>
      <c r="GL380" s="134"/>
      <c r="GM380" s="134"/>
      <c r="GN380" s="134"/>
      <c r="GO380" s="134"/>
      <c r="GP380" s="134"/>
      <c r="GQ380" s="135"/>
      <c r="GR380" s="135"/>
      <c r="GS380" s="134"/>
      <c r="GT380" s="134"/>
      <c r="GU380" s="134"/>
      <c r="GV380" s="134"/>
      <c r="GW380" s="134"/>
      <c r="GX380" s="134"/>
      <c r="GY380" s="134"/>
      <c r="GZ380" s="134"/>
      <c r="HA380" s="135"/>
      <c r="HB380" s="135"/>
      <c r="HC380" s="134"/>
      <c r="HD380" s="134"/>
      <c r="HE380" s="134"/>
      <c r="HF380" s="134"/>
      <c r="HG380" s="134"/>
      <c r="HH380" s="134"/>
      <c r="HI380" s="134"/>
      <c r="HJ380" s="134"/>
      <c r="HK380" s="135"/>
      <c r="HL380" s="135"/>
      <c r="HM380" s="134"/>
      <c r="HN380" s="134"/>
      <c r="HO380" s="134"/>
      <c r="HP380" s="134"/>
      <c r="HQ380" s="134"/>
      <c r="HR380" s="134"/>
      <c r="HS380" s="134"/>
      <c r="HT380" s="134"/>
      <c r="HU380" s="135"/>
      <c r="HV380" s="135"/>
      <c r="HW380" s="134"/>
      <c r="HX380" s="134"/>
      <c r="HY380" s="134"/>
      <c r="HZ380" s="134"/>
      <c r="IA380" s="134"/>
      <c r="IB380" s="134"/>
      <c r="IC380" s="134"/>
      <c r="ID380" s="134"/>
      <c r="IE380" s="135"/>
      <c r="IF380" s="135"/>
      <c r="IG380" s="134"/>
      <c r="IH380" s="134"/>
      <c r="II380" s="134"/>
      <c r="IJ380" s="134"/>
      <c r="IK380" s="134"/>
      <c r="IL380" s="134"/>
      <c r="IM380" s="134"/>
      <c r="IN380" s="134"/>
      <c r="IO380" s="135"/>
      <c r="IP380" s="135"/>
      <c r="IQ380" s="134"/>
      <c r="IR380" s="134"/>
      <c r="IS380" s="134"/>
      <c r="IT380" s="134"/>
      <c r="IU380" s="134"/>
      <c r="IV380" s="134"/>
      <c r="IW380" s="134"/>
      <c r="IX380" s="134"/>
      <c r="IY380" s="135"/>
      <c r="IZ380" s="135"/>
    </row>
    <row r="381" spans="1:260" ht="17" customHeight="1" thickBot="1">
      <c r="A381" s="79" t="s">
        <v>942</v>
      </c>
      <c r="B381" s="117">
        <v>56</v>
      </c>
      <c r="C381" s="117"/>
      <c r="D381" s="117"/>
      <c r="E381" s="123" t="s">
        <v>2133</v>
      </c>
      <c r="F381" s="124" t="s">
        <v>2397</v>
      </c>
      <c r="G381" s="125">
        <v>2013</v>
      </c>
      <c r="H381" s="79">
        <v>23318688</v>
      </c>
      <c r="I381" s="79">
        <v>1</v>
      </c>
      <c r="J381" s="170" t="s">
        <v>1803</v>
      </c>
      <c r="K381" s="127"/>
      <c r="L381" s="164">
        <v>1</v>
      </c>
      <c r="M381" s="79"/>
      <c r="N381" s="164">
        <v>0</v>
      </c>
      <c r="O381" s="128">
        <v>2</v>
      </c>
      <c r="P381" s="79" t="s">
        <v>1725</v>
      </c>
      <c r="Q381" s="79" t="s">
        <v>1216</v>
      </c>
      <c r="R381" s="79" t="s">
        <v>1130</v>
      </c>
      <c r="S381" s="79"/>
      <c r="T381" s="79" t="s">
        <v>1495</v>
      </c>
      <c r="U381" s="79" t="s">
        <v>803</v>
      </c>
      <c r="V381" s="79"/>
      <c r="W381" s="79" t="s">
        <v>1724</v>
      </c>
      <c r="X381" s="79"/>
      <c r="Y381" s="79" t="s">
        <v>1648</v>
      </c>
      <c r="Z381" s="79"/>
      <c r="AA381" s="79" t="s">
        <v>1647</v>
      </c>
      <c r="AB381" s="79" t="s">
        <v>1698</v>
      </c>
      <c r="AC381" s="506"/>
      <c r="AD381" s="573">
        <v>1</v>
      </c>
      <c r="AE381" s="573">
        <v>2</v>
      </c>
      <c r="AF381" s="562" t="s">
        <v>1917</v>
      </c>
      <c r="AG381" s="563" t="s">
        <v>3792</v>
      </c>
      <c r="AH381" s="121">
        <v>4</v>
      </c>
      <c r="AI381" s="484"/>
      <c r="AJ381" s="208" t="s">
        <v>3803</v>
      </c>
      <c r="AK381" s="565" t="s">
        <v>3798</v>
      </c>
      <c r="AL381" s="210">
        <v>1</v>
      </c>
      <c r="AM381" s="121">
        <v>20</v>
      </c>
      <c r="AN381" s="121">
        <v>10</v>
      </c>
      <c r="AO381" s="121">
        <v>10</v>
      </c>
      <c r="AP381" s="121" t="s">
        <v>803</v>
      </c>
      <c r="AQ381" s="121" t="s">
        <v>803</v>
      </c>
      <c r="AR381" s="355" t="s">
        <v>3403</v>
      </c>
      <c r="AS381" s="121" t="s">
        <v>24</v>
      </c>
      <c r="AT381" s="355" t="s">
        <v>3403</v>
      </c>
      <c r="AU381" s="121" t="s">
        <v>24</v>
      </c>
      <c r="AV381" s="121" t="s">
        <v>3775</v>
      </c>
      <c r="AW381" s="121">
        <v>1</v>
      </c>
      <c r="AX381" s="121" t="s">
        <v>3782</v>
      </c>
      <c r="AY381" s="121" t="s">
        <v>3776</v>
      </c>
      <c r="AZ381" s="121" t="s">
        <v>1130</v>
      </c>
      <c r="BA381" s="121" t="s">
        <v>3279</v>
      </c>
      <c r="BB381" s="121"/>
      <c r="BC381" s="121"/>
      <c r="BD381" s="156">
        <v>1</v>
      </c>
      <c r="BE381" s="156"/>
      <c r="BF381" s="156"/>
      <c r="BG381" s="156"/>
      <c r="BH381" s="156"/>
      <c r="BI381" s="156"/>
      <c r="BJ381" s="156"/>
      <c r="BK381" s="156"/>
      <c r="BL381" s="156"/>
      <c r="BM381" s="156"/>
      <c r="BN381" s="156"/>
      <c r="BO381" s="156"/>
      <c r="BP381" s="156"/>
      <c r="BQ381" s="157" t="s">
        <v>3780</v>
      </c>
      <c r="BR381" s="134" t="s">
        <v>1876</v>
      </c>
      <c r="BS381" s="134">
        <v>2</v>
      </c>
      <c r="BT381" s="134" t="s">
        <v>3778</v>
      </c>
      <c r="BU381" s="134" t="s">
        <v>3777</v>
      </c>
      <c r="BV381" s="134" t="s">
        <v>3808</v>
      </c>
      <c r="BW381" s="259" t="s">
        <v>3794</v>
      </c>
      <c r="BX381" s="138" t="s">
        <v>3801</v>
      </c>
      <c r="BY381" s="134">
        <v>60.578299999999999</v>
      </c>
      <c r="BZ381" s="134" t="s">
        <v>24</v>
      </c>
      <c r="CA381" s="134">
        <f>70.0311-Table665[[#This Row],[Outcome1_M]]</f>
        <v>9.4527999999999963</v>
      </c>
      <c r="CB381" s="138" t="s">
        <v>3802</v>
      </c>
      <c r="CC381" s="134">
        <v>26.0871</v>
      </c>
      <c r="CD381" s="134" t="s">
        <v>24</v>
      </c>
      <c r="CE381" s="134">
        <f>37.4657-Table665[[#This Row],[Outcome2_M]]</f>
        <v>11.378599999999999</v>
      </c>
      <c r="CF381" s="288" t="s">
        <v>3784</v>
      </c>
      <c r="CG381" s="289" t="s">
        <v>3814</v>
      </c>
      <c r="CH381" s="138" t="s">
        <v>3810</v>
      </c>
      <c r="CI381" s="134">
        <v>7.2820799999999997</v>
      </c>
      <c r="CJ381" s="134" t="s">
        <v>24</v>
      </c>
      <c r="CK381" s="134">
        <f>9.55779-Table665[[#This Row],[Outcome3_M]]</f>
        <v>2.275710000000001</v>
      </c>
      <c r="CL381" s="138" t="s">
        <v>3811</v>
      </c>
      <c r="CM381" s="134">
        <v>3.9507500000000002</v>
      </c>
      <c r="CN381" s="134" t="s">
        <v>24</v>
      </c>
      <c r="CO381" s="134">
        <f>6.40152-Table665[[#This Row],[Outcome4_M]]</f>
        <v>2.4507699999999994</v>
      </c>
      <c r="CP381" s="288" t="s">
        <v>3789</v>
      </c>
      <c r="CQ381" s="289" t="s">
        <v>3790</v>
      </c>
      <c r="CR381" s="276" t="s">
        <v>24</v>
      </c>
      <c r="CS381" s="308" t="s">
        <v>24</v>
      </c>
      <c r="CT381" s="138" t="s">
        <v>3812</v>
      </c>
      <c r="CU381" s="134">
        <v>42.701799999999999</v>
      </c>
      <c r="CV381" s="134" t="s">
        <v>24</v>
      </c>
      <c r="CW381" s="134">
        <f>52.8708-Table665[[#This Row],[Outcome5_M]]</f>
        <v>10.169000000000004</v>
      </c>
      <c r="CX381" s="138" t="s">
        <v>3813</v>
      </c>
      <c r="CY381" s="134">
        <v>8.5231300000000001</v>
      </c>
      <c r="CZ381" s="134" t="s">
        <v>24</v>
      </c>
      <c r="DA381" s="134">
        <f>12.9091-Table665[[#This Row],[Outcome6_M]]</f>
        <v>4.3859700000000004</v>
      </c>
      <c r="DB381" s="300" t="s">
        <v>3791</v>
      </c>
      <c r="DC381" s="301" t="s">
        <v>2555</v>
      </c>
      <c r="DD381" s="134"/>
      <c r="DE381" s="134"/>
      <c r="DF381" s="134"/>
      <c r="DG381" s="134"/>
      <c r="DH381" s="134"/>
      <c r="DI381" s="134"/>
      <c r="DJ381" s="134"/>
      <c r="DK381" s="134"/>
      <c r="DL381" s="300"/>
      <c r="DM381" s="301"/>
      <c r="DN381" s="276" t="s">
        <v>3796</v>
      </c>
      <c r="DO381" s="276" t="s">
        <v>3815</v>
      </c>
      <c r="DP381" s="134"/>
      <c r="DQ381" s="134"/>
      <c r="DR381" s="134"/>
      <c r="DS381" s="134"/>
      <c r="DT381" s="138"/>
      <c r="DU381" s="134"/>
      <c r="DV381" s="134"/>
      <c r="DW381" s="134"/>
      <c r="DX381" s="301"/>
      <c r="DY381" s="301"/>
      <c r="DZ381" s="138"/>
      <c r="EA381" s="134"/>
      <c r="EB381" s="134"/>
      <c r="EC381" s="134"/>
      <c r="ED381" s="138"/>
      <c r="EE381" s="134"/>
      <c r="EF381" s="134"/>
      <c r="EG381" s="134"/>
      <c r="EH381" s="301"/>
      <c r="EI381" s="301"/>
      <c r="EJ381" s="277"/>
      <c r="EK381" s="134"/>
      <c r="EL381" s="134"/>
      <c r="EM381" s="134"/>
      <c r="EN381" s="134"/>
      <c r="EO381" s="134"/>
      <c r="EP381" s="134"/>
      <c r="EQ381" s="134"/>
      <c r="ER381" s="134"/>
      <c r="ES381" s="301"/>
      <c r="ET381" s="301"/>
      <c r="EU381" s="134"/>
      <c r="EV381" s="134"/>
      <c r="EW381" s="134"/>
      <c r="EX381" s="134"/>
      <c r="EY381" s="134"/>
      <c r="EZ381" s="134"/>
      <c r="FA381" s="134"/>
      <c r="FB381" s="134"/>
      <c r="FC381" s="135"/>
      <c r="FD381" s="135"/>
      <c r="FE381" s="134"/>
      <c r="FF381" s="134"/>
      <c r="FG381" s="134"/>
      <c r="FH381" s="134"/>
      <c r="FI381" s="134"/>
      <c r="FJ381" s="134"/>
      <c r="FK381" s="134"/>
      <c r="FL381" s="134"/>
      <c r="FM381" s="135"/>
      <c r="FN381" s="135"/>
      <c r="FO381" s="134"/>
      <c r="FP381" s="134"/>
      <c r="FQ381" s="134"/>
      <c r="FR381" s="134"/>
      <c r="FS381" s="134"/>
      <c r="FT381" s="134"/>
      <c r="FU381" s="134"/>
      <c r="FV381" s="134"/>
      <c r="FW381" s="135"/>
      <c r="FX381" s="135"/>
      <c r="FY381" s="134"/>
      <c r="FZ381" s="134"/>
      <c r="GA381" s="134"/>
      <c r="GB381" s="134"/>
      <c r="GC381" s="134"/>
      <c r="GD381" s="134"/>
      <c r="GE381" s="134"/>
      <c r="GF381" s="134"/>
      <c r="GG381" s="135"/>
      <c r="GH381" s="135"/>
      <c r="GI381" s="134"/>
      <c r="GJ381" s="134"/>
      <c r="GK381" s="134"/>
      <c r="GL381" s="134"/>
      <c r="GM381" s="134"/>
      <c r="GN381" s="134"/>
      <c r="GO381" s="134"/>
      <c r="GP381" s="134"/>
      <c r="GQ381" s="135"/>
      <c r="GR381" s="135"/>
      <c r="GS381" s="134"/>
      <c r="GT381" s="134"/>
      <c r="GU381" s="134"/>
      <c r="GV381" s="134"/>
      <c r="GW381" s="134"/>
      <c r="GX381" s="134"/>
      <c r="GY381" s="134"/>
      <c r="GZ381" s="134"/>
      <c r="HA381" s="135"/>
      <c r="HB381" s="135"/>
      <c r="HC381" s="134"/>
      <c r="HD381" s="134"/>
      <c r="HE381" s="134"/>
      <c r="HF381" s="134"/>
      <c r="HG381" s="134"/>
      <c r="HH381" s="134"/>
      <c r="HI381" s="134"/>
      <c r="HJ381" s="134"/>
      <c r="HK381" s="135"/>
      <c r="HL381" s="135"/>
      <c r="HM381" s="134"/>
      <c r="HN381" s="134"/>
      <c r="HO381" s="134"/>
      <c r="HP381" s="134"/>
      <c r="HQ381" s="134"/>
      <c r="HR381" s="134"/>
      <c r="HS381" s="134"/>
      <c r="HT381" s="134"/>
      <c r="HU381" s="135"/>
      <c r="HV381" s="135"/>
      <c r="HW381" s="134"/>
      <c r="HX381" s="134"/>
      <c r="HY381" s="134"/>
      <c r="HZ381" s="134"/>
      <c r="IA381" s="134"/>
      <c r="IB381" s="134"/>
      <c r="IC381" s="134"/>
      <c r="ID381" s="134"/>
      <c r="IE381" s="135"/>
      <c r="IF381" s="135"/>
      <c r="IG381" s="134"/>
      <c r="IH381" s="134"/>
      <c r="II381" s="134"/>
      <c r="IJ381" s="134"/>
      <c r="IK381" s="134"/>
      <c r="IL381" s="134"/>
      <c r="IM381" s="134"/>
      <c r="IN381" s="134"/>
      <c r="IO381" s="135"/>
      <c r="IP381" s="135"/>
      <c r="IQ381" s="134"/>
      <c r="IR381" s="134"/>
      <c r="IS381" s="134"/>
      <c r="IT381" s="134"/>
      <c r="IU381" s="134"/>
      <c r="IV381" s="134"/>
      <c r="IW381" s="134"/>
      <c r="IX381" s="134"/>
      <c r="IY381" s="135"/>
      <c r="IZ381" s="135"/>
    </row>
  </sheetData>
  <sheetProtection password="DB7D" sheet="1" objects="1" scenarios="1"/>
  <pageMargins left="0.7" right="0.7" top="0.75" bottom="0.75" header="0.3" footer="0.3"/>
  <pageSetup paperSize="9" scale="10" orientation="landscape"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JD403"/>
  <sheetViews>
    <sheetView topLeftCell="A120" workbookViewId="0">
      <pane xSplit="1" topLeftCell="B1" activePane="topRight" state="frozen"/>
      <selection pane="topRight" activeCell="AG139" sqref="AG139"/>
    </sheetView>
  </sheetViews>
  <sheetFormatPr baseColWidth="10" defaultColWidth="10.83203125" defaultRowHeight="16"/>
  <cols>
    <col min="1" max="1" width="25.5" style="3" customWidth="1"/>
    <col min="2" max="3" width="10.33203125" style="495" customWidth="1"/>
    <col min="4" max="8" width="10.33203125" style="3" customWidth="1"/>
    <col min="9" max="11" width="4" style="3" customWidth="1"/>
    <col min="12" max="12" width="4.5" style="3" customWidth="1"/>
    <col min="13" max="13" width="4" style="3" customWidth="1"/>
    <col min="14" max="14" width="7.33203125" style="3" customWidth="1"/>
    <col min="15" max="15" width="6.1640625" style="3" customWidth="1"/>
    <col min="16" max="28" width="10.33203125" style="3" hidden="1" customWidth="1"/>
    <col min="29" max="29" width="41.1640625" style="3" customWidth="1"/>
    <col min="30" max="31" width="10.33203125" style="3" customWidth="1"/>
    <col min="32" max="32" width="10.33203125" style="229" customWidth="1"/>
    <col min="33" max="33" width="28" style="3" customWidth="1"/>
    <col min="34" max="34" width="9.33203125" style="3" customWidth="1"/>
    <col min="35" max="35" width="10.33203125" style="3" customWidth="1"/>
    <col min="36" max="36" width="17" style="3" customWidth="1"/>
    <col min="37" max="37" width="57.83203125" style="496" customWidth="1"/>
    <col min="38" max="38" width="12.6640625" style="496" customWidth="1"/>
    <col min="39" max="39" width="17.6640625" style="496" customWidth="1"/>
    <col min="40" max="40" width="27.1640625" style="3" customWidth="1"/>
    <col min="41" max="41" width="26" style="3" customWidth="1"/>
    <col min="42" max="42" width="24.33203125" style="3" customWidth="1"/>
    <col min="43" max="43" width="22.33203125" style="3" customWidth="1"/>
    <col min="44" max="44" width="22.6640625" style="3" customWidth="1"/>
    <col min="45" max="45" width="17.6640625" style="3" customWidth="1"/>
    <col min="46" max="46" width="18" style="3" customWidth="1"/>
    <col min="47" max="47" width="17.6640625" style="3" customWidth="1"/>
    <col min="48" max="48" width="38.1640625" style="3" customWidth="1"/>
    <col min="49" max="49" width="17.83203125" style="3" customWidth="1"/>
    <col min="50" max="50" width="17.6640625" style="3" customWidth="1"/>
    <col min="51" max="51" width="27.33203125" style="3" customWidth="1"/>
    <col min="52" max="52" width="21.1640625" style="3" customWidth="1"/>
    <col min="53" max="53" width="25.6640625" style="3" customWidth="1"/>
    <col min="54" max="54" width="21.33203125" style="3" customWidth="1"/>
    <col min="55" max="55" width="21.83203125" style="273" customWidth="1"/>
    <col min="56" max="56" width="23.83203125" style="3" customWidth="1"/>
    <col min="57" max="57" width="29.6640625" style="3" customWidth="1"/>
    <col min="58" max="58" width="28.1640625" style="3" customWidth="1"/>
    <col min="59" max="59" width="12" style="3" customWidth="1"/>
    <col min="60" max="60" width="7.6640625" style="3" customWidth="1"/>
    <col min="61" max="61" width="25.5" style="3" customWidth="1"/>
    <col min="62" max="62" width="29.1640625" style="3" customWidth="1"/>
    <col min="63" max="63" width="36.1640625" style="273" customWidth="1"/>
    <col min="64" max="64" width="29.1640625" style="3" customWidth="1"/>
    <col min="65" max="65" width="25.5" style="3" customWidth="1"/>
    <col min="66" max="66" width="31.6640625" style="3" customWidth="1"/>
    <col min="67" max="67" width="24.1640625" style="3" customWidth="1"/>
    <col min="68" max="68" width="31.33203125" style="3" customWidth="1"/>
    <col min="69" max="69" width="32.1640625" style="3" customWidth="1"/>
    <col min="70" max="70" width="17" style="26" customWidth="1"/>
    <col min="71" max="71" width="9.33203125" style="26" customWidth="1"/>
    <col min="72" max="72" width="35.33203125" style="520" customWidth="1"/>
    <col min="73" max="73" width="42.1640625" style="521" customWidth="1"/>
    <col min="74" max="74" width="40.1640625" style="3" customWidth="1"/>
    <col min="75" max="75" width="15.33203125" style="273" customWidth="1"/>
    <col min="76" max="76" width="37" style="3" customWidth="1"/>
    <col min="77" max="77" width="21.33203125" style="3" customWidth="1"/>
    <col min="78" max="78" width="29.6640625" style="3" customWidth="1"/>
    <col min="79" max="79" width="10.33203125" style="3" customWidth="1"/>
    <col min="80" max="80" width="25.5" style="3" customWidth="1"/>
    <col min="81" max="81" width="10.33203125" style="3" customWidth="1"/>
    <col min="82" max="82" width="10.33203125" style="494" customWidth="1"/>
    <col min="83" max="83" width="15" style="494" customWidth="1"/>
    <col min="84" max="84" width="10.33203125" style="3" customWidth="1"/>
    <col min="85" max="85" width="10.33203125" style="273" customWidth="1"/>
    <col min="86" max="86" width="24.83203125" style="3" customWidth="1"/>
    <col min="87" max="94" width="10.33203125" style="3" customWidth="1"/>
    <col min="95" max="95" width="10.33203125" style="273" customWidth="1"/>
    <col min="96" max="96" width="10.33203125" style="3" customWidth="1"/>
    <col min="97" max="97" width="10.33203125" style="273" customWidth="1"/>
    <col min="98" max="103" width="10.33203125" style="3" customWidth="1"/>
    <col min="104" max="104" width="10.33203125" style="493" customWidth="1"/>
    <col min="105" max="127" width="10.33203125" style="3" customWidth="1"/>
    <col min="128" max="128" width="9.6640625" style="3" customWidth="1"/>
    <col min="129" max="136" width="10.33203125" style="3" customWidth="1"/>
    <col min="137" max="137" width="10.83203125" style="3" customWidth="1"/>
    <col min="138" max="187" width="10.33203125" style="3" customWidth="1"/>
    <col min="188" max="188" width="21.6640625" style="3" customWidth="1"/>
    <col min="189" max="264" width="10.33203125" style="3" customWidth="1"/>
    <col min="265" max="16384" width="10.83203125" style="3"/>
  </cols>
  <sheetData>
    <row r="1" spans="1:264" s="587" customFormat="1" ht="15" customHeight="1">
      <c r="A1" s="87" t="s">
        <v>6593</v>
      </c>
      <c r="B1" s="612" t="s">
        <v>6590</v>
      </c>
      <c r="C1" s="613" t="s">
        <v>6591</v>
      </c>
      <c r="D1" s="613" t="s">
        <v>6592</v>
      </c>
      <c r="E1" s="87" t="s">
        <v>6334</v>
      </c>
      <c r="F1" s="87" t="s">
        <v>6335</v>
      </c>
      <c r="G1" s="87" t="s">
        <v>6336</v>
      </c>
      <c r="H1" s="87" t="s">
        <v>6337</v>
      </c>
      <c r="I1" s="87" t="s">
        <v>6338</v>
      </c>
      <c r="J1" s="87" t="s">
        <v>6339</v>
      </c>
      <c r="K1" s="87" t="s">
        <v>6340</v>
      </c>
      <c r="L1" s="87" t="s">
        <v>6341</v>
      </c>
      <c r="M1" s="87" t="s">
        <v>6342</v>
      </c>
      <c r="N1" s="87" t="s">
        <v>6343</v>
      </c>
      <c r="O1" s="107" t="s">
        <v>6344</v>
      </c>
      <c r="P1" s="87" t="s">
        <v>6345</v>
      </c>
      <c r="Q1" s="87" t="s">
        <v>6346</v>
      </c>
      <c r="R1" s="583" t="s">
        <v>6347</v>
      </c>
      <c r="S1" s="87" t="s">
        <v>6348</v>
      </c>
      <c r="T1" s="87" t="s">
        <v>6349</v>
      </c>
      <c r="U1" s="87" t="s">
        <v>6350</v>
      </c>
      <c r="V1" s="87" t="s">
        <v>6351</v>
      </c>
      <c r="W1" s="87" t="s">
        <v>6352</v>
      </c>
      <c r="X1" s="87" t="s">
        <v>6353</v>
      </c>
      <c r="Y1" s="87" t="s">
        <v>6354</v>
      </c>
      <c r="Z1" s="87" t="s">
        <v>6355</v>
      </c>
      <c r="AA1" s="87" t="s">
        <v>6356</v>
      </c>
      <c r="AB1" s="87" t="s">
        <v>6357</v>
      </c>
      <c r="AC1" s="561" t="s">
        <v>6580</v>
      </c>
      <c r="AD1" s="561" t="s">
        <v>6581</v>
      </c>
      <c r="AE1" s="561" t="s">
        <v>6582</v>
      </c>
      <c r="AF1" s="112" t="s">
        <v>6589</v>
      </c>
      <c r="AG1" s="113" t="s">
        <v>6583</v>
      </c>
      <c r="AH1" s="583" t="s">
        <v>6647</v>
      </c>
      <c r="AI1" s="584" t="s">
        <v>6584</v>
      </c>
      <c r="AJ1" s="647" t="s">
        <v>6585</v>
      </c>
      <c r="AK1" s="646" t="s">
        <v>6586</v>
      </c>
      <c r="AL1" s="648" t="s">
        <v>6587</v>
      </c>
      <c r="AM1" s="111" t="s">
        <v>6359</v>
      </c>
      <c r="AN1" s="111" t="s">
        <v>6360</v>
      </c>
      <c r="AO1" s="111" t="s">
        <v>6361</v>
      </c>
      <c r="AP1" s="111" t="s">
        <v>6362</v>
      </c>
      <c r="AQ1" s="111" t="s">
        <v>6363</v>
      </c>
      <c r="AR1" s="111" t="s">
        <v>6364</v>
      </c>
      <c r="AS1" s="111" t="s">
        <v>6365</v>
      </c>
      <c r="AT1" s="111" t="s">
        <v>6366</v>
      </c>
      <c r="AU1" s="111" t="s">
        <v>6367</v>
      </c>
      <c r="AV1" s="111" t="s">
        <v>6368</v>
      </c>
      <c r="AW1" s="111" t="s">
        <v>6563</v>
      </c>
      <c r="AX1" s="111" t="s">
        <v>6564</v>
      </c>
      <c r="AY1" s="111" t="s">
        <v>6369</v>
      </c>
      <c r="AZ1" s="111" t="s">
        <v>6370</v>
      </c>
      <c r="BA1" s="111" t="s">
        <v>6371</v>
      </c>
      <c r="BB1" s="589" t="s">
        <v>6565</v>
      </c>
      <c r="BC1" s="589" t="s">
        <v>6566</v>
      </c>
      <c r="BD1" s="581" t="s">
        <v>6567</v>
      </c>
      <c r="BE1" s="581" t="s">
        <v>6568</v>
      </c>
      <c r="BF1" s="581" t="s">
        <v>6569</v>
      </c>
      <c r="BG1" s="581" t="s">
        <v>6570</v>
      </c>
      <c r="BH1" s="581" t="s">
        <v>6571</v>
      </c>
      <c r="BI1" s="581" t="s">
        <v>6572</v>
      </c>
      <c r="BJ1" s="581" t="s">
        <v>6562</v>
      </c>
      <c r="BK1" s="581" t="s">
        <v>6573</v>
      </c>
      <c r="BL1" s="581" t="s">
        <v>6574</v>
      </c>
      <c r="BM1" s="581" t="s">
        <v>6575</v>
      </c>
      <c r="BN1" s="581" t="s">
        <v>6576</v>
      </c>
      <c r="BO1" s="581" t="s">
        <v>6577</v>
      </c>
      <c r="BP1" s="581" t="s">
        <v>6578</v>
      </c>
      <c r="BQ1" s="362" t="s">
        <v>6579</v>
      </c>
      <c r="BR1" s="117" t="s">
        <v>6594</v>
      </c>
      <c r="BS1" s="658" t="s">
        <v>6739</v>
      </c>
      <c r="BT1" s="252" t="s">
        <v>6372</v>
      </c>
      <c r="BU1" s="252" t="s">
        <v>6373</v>
      </c>
      <c r="BV1" s="252" t="s">
        <v>6374</v>
      </c>
      <c r="BW1" s="252" t="s">
        <v>6375</v>
      </c>
      <c r="BX1" s="252" t="s">
        <v>6376</v>
      </c>
      <c r="BY1" s="252" t="s">
        <v>6637</v>
      </c>
      <c r="BZ1" s="585" t="s">
        <v>6588</v>
      </c>
      <c r="CA1" s="585" t="s">
        <v>6635</v>
      </c>
      <c r="CB1" s="252" t="s">
        <v>6377</v>
      </c>
      <c r="CC1" s="252" t="s">
        <v>6378</v>
      </c>
      <c r="CD1" s="252" t="s">
        <v>6379</v>
      </c>
      <c r="CE1" s="252" t="s">
        <v>6380</v>
      </c>
      <c r="CF1" s="252" t="s">
        <v>6381</v>
      </c>
      <c r="CG1" s="252" t="s">
        <v>6382</v>
      </c>
      <c r="CH1" s="252" t="s">
        <v>6383</v>
      </c>
      <c r="CI1" s="252" t="s">
        <v>6384</v>
      </c>
      <c r="CJ1" s="286" t="s">
        <v>6385</v>
      </c>
      <c r="CK1" s="287" t="s">
        <v>6386</v>
      </c>
      <c r="CL1" s="252" t="s">
        <v>6387</v>
      </c>
      <c r="CM1" s="252" t="s">
        <v>6388</v>
      </c>
      <c r="CN1" s="252" t="s">
        <v>6389</v>
      </c>
      <c r="CO1" s="252" t="s">
        <v>6390</v>
      </c>
      <c r="CP1" s="252" t="s">
        <v>6391</v>
      </c>
      <c r="CQ1" s="270" t="s">
        <v>6392</v>
      </c>
      <c r="CR1" s="270" t="s">
        <v>6393</v>
      </c>
      <c r="CS1" s="252" t="s">
        <v>6394</v>
      </c>
      <c r="CT1" s="286" t="s">
        <v>6395</v>
      </c>
      <c r="CU1" s="287" t="s">
        <v>6396</v>
      </c>
      <c r="CV1" s="274" t="s">
        <v>6397</v>
      </c>
      <c r="CW1" s="275" t="s">
        <v>6398</v>
      </c>
      <c r="CX1" s="252" t="s">
        <v>6399</v>
      </c>
      <c r="CY1" s="252" t="s">
        <v>6400</v>
      </c>
      <c r="CZ1" s="252" t="s">
        <v>6401</v>
      </c>
      <c r="DA1" s="252" t="s">
        <v>6402</v>
      </c>
      <c r="DB1" s="252" t="s">
        <v>6403</v>
      </c>
      <c r="DC1" s="252" t="s">
        <v>6404</v>
      </c>
      <c r="DD1" s="252" t="s">
        <v>6405</v>
      </c>
      <c r="DE1" s="252" t="s">
        <v>6406</v>
      </c>
      <c r="DF1" s="298" t="s">
        <v>6407</v>
      </c>
      <c r="DG1" s="299" t="s">
        <v>6408</v>
      </c>
      <c r="DH1" s="252" t="s">
        <v>6409</v>
      </c>
      <c r="DI1" s="252" t="s">
        <v>6410</v>
      </c>
      <c r="DJ1" s="252" t="s">
        <v>6411</v>
      </c>
      <c r="DK1" s="252" t="s">
        <v>6412</v>
      </c>
      <c r="DL1" s="252" t="s">
        <v>6413</v>
      </c>
      <c r="DM1" s="252" t="s">
        <v>6414</v>
      </c>
      <c r="DN1" s="252" t="s">
        <v>6415</v>
      </c>
      <c r="DO1" s="252" t="s">
        <v>6416</v>
      </c>
      <c r="DP1" s="298" t="s">
        <v>6417</v>
      </c>
      <c r="DQ1" s="299" t="s">
        <v>6418</v>
      </c>
      <c r="DR1" s="274" t="s">
        <v>6419</v>
      </c>
      <c r="DS1" s="275" t="s">
        <v>6420</v>
      </c>
      <c r="DT1" s="252" t="s">
        <v>6421</v>
      </c>
      <c r="DU1" s="252" t="s">
        <v>6422</v>
      </c>
      <c r="DV1" s="252" t="s">
        <v>6423</v>
      </c>
      <c r="DW1" s="252" t="s">
        <v>6424</v>
      </c>
      <c r="DX1" s="252" t="s">
        <v>6425</v>
      </c>
      <c r="DY1" s="252" t="s">
        <v>6426</v>
      </c>
      <c r="DZ1" s="252" t="s">
        <v>6427</v>
      </c>
      <c r="EA1" s="252" t="s">
        <v>6428</v>
      </c>
      <c r="EB1" s="299" t="s">
        <v>6429</v>
      </c>
      <c r="EC1" s="299" t="s">
        <v>6430</v>
      </c>
      <c r="ED1" s="252" t="s">
        <v>6431</v>
      </c>
      <c r="EE1" s="252" t="s">
        <v>6432</v>
      </c>
      <c r="EF1" s="252" t="s">
        <v>6433</v>
      </c>
      <c r="EG1" s="252" t="s">
        <v>6434</v>
      </c>
      <c r="EH1" s="252" t="s">
        <v>6435</v>
      </c>
      <c r="EI1" s="252" t="s">
        <v>6436</v>
      </c>
      <c r="EJ1" s="252" t="s">
        <v>6437</v>
      </c>
      <c r="EK1" s="252" t="s">
        <v>6438</v>
      </c>
      <c r="EL1" s="299" t="s">
        <v>6439</v>
      </c>
      <c r="EM1" s="299" t="s">
        <v>6440</v>
      </c>
      <c r="EN1" s="275" t="s">
        <v>6441</v>
      </c>
      <c r="EO1" s="252" t="s">
        <v>6442</v>
      </c>
      <c r="EP1" s="252" t="s">
        <v>6443</v>
      </c>
      <c r="EQ1" s="252" t="s">
        <v>6444</v>
      </c>
      <c r="ER1" s="252" t="s">
        <v>6445</v>
      </c>
      <c r="ES1" s="252" t="s">
        <v>6446</v>
      </c>
      <c r="ET1" s="252" t="s">
        <v>6447</v>
      </c>
      <c r="EU1" s="252" t="s">
        <v>6448</v>
      </c>
      <c r="EV1" s="252" t="s">
        <v>6449</v>
      </c>
      <c r="EW1" s="299" t="s">
        <v>6450</v>
      </c>
      <c r="EX1" s="299" t="s">
        <v>6451</v>
      </c>
      <c r="EY1" s="252" t="s">
        <v>6452</v>
      </c>
      <c r="EZ1" s="252" t="s">
        <v>6453</v>
      </c>
      <c r="FA1" s="252" t="s">
        <v>6454</v>
      </c>
      <c r="FB1" s="252" t="s">
        <v>6455</v>
      </c>
      <c r="FC1" s="111" t="s">
        <v>6456</v>
      </c>
      <c r="FD1" s="111" t="s">
        <v>6457</v>
      </c>
      <c r="FE1" s="111" t="s">
        <v>6458</v>
      </c>
      <c r="FF1" s="111" t="s">
        <v>6459</v>
      </c>
      <c r="FG1" s="481" t="s">
        <v>6460</v>
      </c>
      <c r="FH1" s="481" t="s">
        <v>6461</v>
      </c>
      <c r="FI1" s="111" t="s">
        <v>6462</v>
      </c>
      <c r="FJ1" s="111" t="s">
        <v>6463</v>
      </c>
      <c r="FK1" s="111" t="s">
        <v>6464</v>
      </c>
      <c r="FL1" s="111" t="s">
        <v>6465</v>
      </c>
      <c r="FM1" s="111" t="s">
        <v>6466</v>
      </c>
      <c r="FN1" s="111" t="s">
        <v>6467</v>
      </c>
      <c r="FO1" s="111" t="s">
        <v>6468</v>
      </c>
      <c r="FP1" s="111" t="s">
        <v>6469</v>
      </c>
      <c r="FQ1" s="481" t="s">
        <v>6470</v>
      </c>
      <c r="FR1" s="481" t="s">
        <v>6471</v>
      </c>
      <c r="FS1" s="111" t="s">
        <v>6472</v>
      </c>
      <c r="FT1" s="111" t="s">
        <v>6473</v>
      </c>
      <c r="FU1" s="111" t="s">
        <v>6474</v>
      </c>
      <c r="FV1" s="111" t="s">
        <v>6475</v>
      </c>
      <c r="FW1" s="111" t="s">
        <v>6476</v>
      </c>
      <c r="FX1" s="111" t="s">
        <v>6477</v>
      </c>
      <c r="FY1" s="111" t="s">
        <v>6478</v>
      </c>
      <c r="FZ1" s="111" t="s">
        <v>6479</v>
      </c>
      <c r="GA1" s="481" t="s">
        <v>6480</v>
      </c>
      <c r="GB1" s="481" t="s">
        <v>6481</v>
      </c>
      <c r="GC1" s="111" t="s">
        <v>6482</v>
      </c>
      <c r="GD1" s="111" t="s">
        <v>6483</v>
      </c>
      <c r="GE1" s="111" t="s">
        <v>6484</v>
      </c>
      <c r="GF1" s="111" t="s">
        <v>6485</v>
      </c>
      <c r="GG1" s="111" t="s">
        <v>6486</v>
      </c>
      <c r="GH1" s="111" t="s">
        <v>6487</v>
      </c>
      <c r="GI1" s="111" t="s">
        <v>6488</v>
      </c>
      <c r="GJ1" s="111" t="s">
        <v>6489</v>
      </c>
      <c r="GK1" s="111" t="s">
        <v>6490</v>
      </c>
      <c r="GL1" s="111" t="s">
        <v>6491</v>
      </c>
      <c r="GM1" s="111" t="s">
        <v>6492</v>
      </c>
      <c r="GN1" s="111" t="s">
        <v>6493</v>
      </c>
      <c r="GO1" s="111" t="s">
        <v>6494</v>
      </c>
      <c r="GP1" s="111" t="s">
        <v>6495</v>
      </c>
      <c r="GQ1" s="111" t="s">
        <v>6496</v>
      </c>
      <c r="GR1" s="111" t="s">
        <v>6497</v>
      </c>
      <c r="GS1" s="111" t="s">
        <v>6498</v>
      </c>
      <c r="GT1" s="111" t="s">
        <v>6499</v>
      </c>
      <c r="GU1" s="111" t="s">
        <v>6500</v>
      </c>
      <c r="GV1" s="111" t="s">
        <v>6501</v>
      </c>
      <c r="GW1" s="111" t="s">
        <v>6502</v>
      </c>
      <c r="GX1" s="111" t="s">
        <v>6503</v>
      </c>
      <c r="GY1" s="111" t="s">
        <v>6504</v>
      </c>
      <c r="GZ1" s="586" t="s">
        <v>6505</v>
      </c>
      <c r="HA1" s="111" t="s">
        <v>6506</v>
      </c>
      <c r="HB1" s="111" t="s">
        <v>6507</v>
      </c>
      <c r="HC1" s="111" t="s">
        <v>6508</v>
      </c>
      <c r="HD1" s="586" t="s">
        <v>6509</v>
      </c>
      <c r="HE1" s="111" t="s">
        <v>6510</v>
      </c>
      <c r="HF1" s="111" t="s">
        <v>6511</v>
      </c>
      <c r="HG1" s="111" t="s">
        <v>6512</v>
      </c>
      <c r="HH1" s="111" t="s">
        <v>6513</v>
      </c>
      <c r="HI1" s="111" t="s">
        <v>6514</v>
      </c>
      <c r="HJ1" s="586" t="s">
        <v>6515</v>
      </c>
      <c r="HK1" s="111" t="s">
        <v>6516</v>
      </c>
      <c r="HL1" s="111" t="s">
        <v>6517</v>
      </c>
      <c r="HM1" s="111" t="s">
        <v>6518</v>
      </c>
      <c r="HN1" s="586" t="s">
        <v>6519</v>
      </c>
      <c r="HO1" s="111" t="s">
        <v>6520</v>
      </c>
      <c r="HP1" s="111" t="s">
        <v>6521</v>
      </c>
      <c r="HQ1" s="111" t="s">
        <v>6522</v>
      </c>
      <c r="HR1" s="111" t="s">
        <v>6523</v>
      </c>
      <c r="HS1" s="111" t="s">
        <v>6524</v>
      </c>
      <c r="HT1" s="530" t="s">
        <v>6525</v>
      </c>
      <c r="HU1" s="111" t="s">
        <v>6526</v>
      </c>
      <c r="HV1" s="111" t="s">
        <v>6527</v>
      </c>
      <c r="HW1" s="111" t="s">
        <v>6528</v>
      </c>
      <c r="HX1" s="530" t="s">
        <v>6529</v>
      </c>
      <c r="HY1" s="111" t="s">
        <v>6530</v>
      </c>
      <c r="HZ1" s="111" t="s">
        <v>6531</v>
      </c>
      <c r="IA1" s="586" t="s">
        <v>6532</v>
      </c>
      <c r="IB1" s="530" t="s">
        <v>6533</v>
      </c>
      <c r="IC1" s="530" t="s">
        <v>6534</v>
      </c>
      <c r="ID1" s="530" t="s">
        <v>6535</v>
      </c>
      <c r="IE1" s="530" t="s">
        <v>6536</v>
      </c>
      <c r="IF1" s="530" t="s">
        <v>6537</v>
      </c>
      <c r="IG1" s="530" t="s">
        <v>6538</v>
      </c>
      <c r="IH1" s="530" t="s">
        <v>6539</v>
      </c>
      <c r="II1" s="530" t="s">
        <v>6540</v>
      </c>
      <c r="IJ1" s="530" t="s">
        <v>6541</v>
      </c>
      <c r="IK1" s="586" t="s">
        <v>6542</v>
      </c>
      <c r="IL1" s="530" t="s">
        <v>6543</v>
      </c>
      <c r="IM1" s="530" t="s">
        <v>6544</v>
      </c>
      <c r="IN1" s="530" t="s">
        <v>6545</v>
      </c>
      <c r="IO1" s="530" t="s">
        <v>6546</v>
      </c>
      <c r="IP1" s="530" t="s">
        <v>6547</v>
      </c>
      <c r="IQ1" s="530" t="s">
        <v>6548</v>
      </c>
      <c r="IR1" s="530" t="s">
        <v>6549</v>
      </c>
      <c r="IS1" s="530" t="s">
        <v>6550</v>
      </c>
      <c r="IT1" s="530" t="s">
        <v>6551</v>
      </c>
      <c r="IU1" s="586" t="s">
        <v>6552</v>
      </c>
      <c r="IV1" s="530" t="s">
        <v>6553</v>
      </c>
      <c r="IW1" s="530" t="s">
        <v>6554</v>
      </c>
      <c r="IX1" s="530" t="s">
        <v>6555</v>
      </c>
      <c r="IY1" s="530" t="s">
        <v>6556</v>
      </c>
      <c r="IZ1" s="530" t="s">
        <v>6557</v>
      </c>
      <c r="JA1" s="530" t="s">
        <v>6558</v>
      </c>
      <c r="JB1" s="530" t="s">
        <v>6559</v>
      </c>
      <c r="JC1" s="530" t="s">
        <v>6560</v>
      </c>
      <c r="JD1" s="530" t="s">
        <v>6561</v>
      </c>
    </row>
    <row r="2" spans="1:264" customFormat="1" ht="15" customHeight="1">
      <c r="A2" s="506" t="s">
        <v>77</v>
      </c>
      <c r="B2" s="362">
        <v>59</v>
      </c>
      <c r="C2" s="362"/>
      <c r="D2" s="362">
        <v>3</v>
      </c>
      <c r="E2" s="604" t="s">
        <v>1920</v>
      </c>
      <c r="F2" s="124" t="s">
        <v>2137</v>
      </c>
      <c r="G2" s="125">
        <v>2013</v>
      </c>
      <c r="H2" s="79">
        <v>23823533</v>
      </c>
      <c r="I2" s="79">
        <v>1</v>
      </c>
      <c r="J2" s="126"/>
      <c r="K2" s="127"/>
      <c r="L2" s="79">
        <v>1</v>
      </c>
      <c r="M2" s="79"/>
      <c r="N2" s="79">
        <v>1</v>
      </c>
      <c r="O2" s="128">
        <v>1</v>
      </c>
      <c r="P2" s="79" t="s">
        <v>15</v>
      </c>
      <c r="Q2" s="79" t="s">
        <v>1192</v>
      </c>
      <c r="R2" s="79" t="s">
        <v>17</v>
      </c>
      <c r="S2" s="79">
        <v>1</v>
      </c>
      <c r="T2" s="79"/>
      <c r="U2" s="79"/>
      <c r="V2" s="79"/>
      <c r="W2" s="79" t="s">
        <v>16</v>
      </c>
      <c r="X2" s="79"/>
      <c r="Y2" s="79"/>
      <c r="Z2" s="79"/>
      <c r="AA2" s="79"/>
      <c r="AB2" s="79"/>
      <c r="AC2" s="506" t="s">
        <v>28</v>
      </c>
      <c r="AD2" s="573">
        <v>1</v>
      </c>
      <c r="AE2" s="573">
        <v>0</v>
      </c>
      <c r="AF2" s="154"/>
      <c r="AG2" s="155" t="s">
        <v>6159</v>
      </c>
      <c r="AH2" s="121">
        <v>2</v>
      </c>
      <c r="AI2" s="484"/>
      <c r="AJ2" s="202"/>
      <c r="AK2" s="192"/>
      <c r="AL2" s="203"/>
      <c r="AM2" s="121"/>
      <c r="AN2" s="121"/>
      <c r="AO2" s="121"/>
      <c r="AP2" s="121"/>
      <c r="AQ2" s="121"/>
      <c r="AR2" s="121"/>
      <c r="AS2" s="121"/>
      <c r="AT2" s="121"/>
      <c r="AU2" s="121"/>
      <c r="AV2" s="121"/>
      <c r="AW2" s="121"/>
      <c r="AX2" s="121"/>
      <c r="AY2" s="121"/>
      <c r="AZ2" s="121"/>
      <c r="BA2" s="121"/>
      <c r="BB2" s="594"/>
      <c r="BC2" s="594"/>
      <c r="BD2" s="156"/>
      <c r="BE2" s="156"/>
      <c r="BF2" s="156"/>
      <c r="BG2" s="156" t="s">
        <v>6175</v>
      </c>
      <c r="BH2" s="156"/>
      <c r="BI2" s="156" t="s">
        <v>4727</v>
      </c>
      <c r="BJ2" s="156"/>
      <c r="BK2" s="156"/>
      <c r="BL2" s="156"/>
      <c r="BM2" s="156"/>
      <c r="BN2" s="156"/>
      <c r="BO2" s="156"/>
      <c r="BP2" s="156"/>
      <c r="BQ2" s="595" t="s">
        <v>6163</v>
      </c>
      <c r="BR2" s="157"/>
      <c r="BS2" s="660"/>
      <c r="BT2" s="134"/>
      <c r="BU2" s="134"/>
      <c r="BV2" s="134"/>
      <c r="BW2" s="134"/>
      <c r="BX2" s="134"/>
      <c r="BY2" s="134"/>
      <c r="BZ2" s="259"/>
      <c r="CA2" s="454"/>
      <c r="CB2" s="138"/>
      <c r="CC2" s="134"/>
      <c r="CD2" s="134"/>
      <c r="CE2" s="134"/>
      <c r="CF2" s="138"/>
      <c r="CG2" s="134"/>
      <c r="CH2" s="134"/>
      <c r="CI2" s="134"/>
      <c r="CJ2" s="288"/>
      <c r="CK2" s="289"/>
      <c r="CL2" s="138"/>
      <c r="CM2" s="134"/>
      <c r="CN2" s="134"/>
      <c r="CO2" s="134"/>
      <c r="CP2" s="138"/>
      <c r="CQ2" s="134"/>
      <c r="CR2" s="134"/>
      <c r="CS2" s="134"/>
      <c r="CT2" s="288"/>
      <c r="CU2" s="289"/>
      <c r="CV2" s="276"/>
      <c r="CW2" s="308"/>
      <c r="CX2" s="138"/>
      <c r="CY2" s="134"/>
      <c r="CZ2" s="134"/>
      <c r="DA2" s="134"/>
      <c r="DB2" s="134"/>
      <c r="DC2" s="134"/>
      <c r="DD2" s="134"/>
      <c r="DE2" s="134"/>
      <c r="DF2" s="300"/>
      <c r="DG2" s="301"/>
      <c r="DH2" s="134"/>
      <c r="DI2" s="134"/>
      <c r="DJ2" s="134"/>
      <c r="DK2" s="134"/>
      <c r="DL2" s="134"/>
      <c r="DM2" s="134"/>
      <c r="DN2" s="134"/>
      <c r="DO2" s="134"/>
      <c r="DP2" s="300"/>
      <c r="DQ2" s="301"/>
      <c r="DR2" s="276"/>
      <c r="DS2" s="277"/>
      <c r="DT2" s="134"/>
      <c r="DU2" s="134"/>
      <c r="DV2" s="134"/>
      <c r="DW2" s="134"/>
      <c r="DX2" s="138"/>
      <c r="DY2" s="134"/>
      <c r="DZ2" s="134"/>
      <c r="EA2" s="134"/>
      <c r="EB2" s="301"/>
      <c r="EC2" s="301"/>
      <c r="ED2" s="138"/>
      <c r="EE2" s="134"/>
      <c r="EF2" s="134"/>
      <c r="EG2" s="134"/>
      <c r="EH2" s="138"/>
      <c r="EI2" s="134"/>
      <c r="EJ2" s="134"/>
      <c r="EK2" s="134"/>
      <c r="EL2" s="301"/>
      <c r="EM2" s="301"/>
      <c r="EN2" s="277"/>
      <c r="EO2" s="134"/>
      <c r="EP2" s="134"/>
      <c r="EQ2" s="134"/>
      <c r="ER2" s="134"/>
      <c r="ES2" s="134"/>
      <c r="ET2" s="134"/>
      <c r="EU2" s="134"/>
      <c r="EV2" s="134"/>
      <c r="EW2" s="301"/>
      <c r="EX2" s="301"/>
      <c r="EY2" s="134"/>
      <c r="EZ2" s="134"/>
      <c r="FA2" s="134"/>
      <c r="FB2" s="134"/>
      <c r="FC2" s="134"/>
      <c r="FD2" s="134"/>
      <c r="FE2" s="134"/>
      <c r="FF2" s="134"/>
      <c r="FG2" s="135"/>
      <c r="FH2" s="135"/>
      <c r="FI2" s="134"/>
      <c r="FJ2" s="134"/>
      <c r="FK2" s="134"/>
      <c r="FL2" s="134"/>
      <c r="FM2" s="134"/>
      <c r="FN2" s="134"/>
      <c r="FO2" s="134"/>
      <c r="FP2" s="134"/>
      <c r="FQ2" s="135"/>
      <c r="FR2" s="135"/>
      <c r="FS2" s="134"/>
      <c r="FT2" s="134"/>
      <c r="FU2" s="134"/>
      <c r="FV2" s="134"/>
      <c r="FW2" s="134"/>
      <c r="FX2" s="134"/>
      <c r="FY2" s="134"/>
      <c r="FZ2" s="134"/>
      <c r="GA2" s="135"/>
      <c r="GB2" s="135"/>
      <c r="GC2" s="134"/>
      <c r="GD2" s="134"/>
      <c r="GE2" s="134"/>
      <c r="GF2" s="134"/>
      <c r="GG2" s="134"/>
      <c r="GH2" s="134"/>
      <c r="GI2" s="134"/>
      <c r="GJ2" s="134"/>
      <c r="GK2" s="135"/>
      <c r="GL2" s="135"/>
      <c r="GM2" s="134"/>
      <c r="GN2" s="134"/>
      <c r="GO2" s="134"/>
      <c r="GP2" s="134"/>
      <c r="GQ2" s="134"/>
      <c r="GR2" s="134"/>
      <c r="GS2" s="134"/>
      <c r="GT2" s="134"/>
      <c r="GU2" s="135"/>
      <c r="GV2" s="135"/>
      <c r="GW2" s="134"/>
      <c r="GX2" s="134"/>
      <c r="GY2" s="134"/>
      <c r="GZ2" s="134"/>
      <c r="HA2" s="134"/>
      <c r="HB2" s="134"/>
      <c r="HC2" s="134"/>
      <c r="HD2" s="134"/>
      <c r="HE2" s="135"/>
      <c r="HF2" s="135"/>
      <c r="HG2" s="134"/>
      <c r="HH2" s="134"/>
      <c r="HI2" s="134"/>
      <c r="HJ2" s="134"/>
      <c r="HK2" s="134"/>
      <c r="HL2" s="134"/>
      <c r="HM2" s="134"/>
      <c r="HN2" s="134"/>
      <c r="HO2" s="135"/>
      <c r="HP2" s="135"/>
      <c r="HQ2" s="134"/>
      <c r="HR2" s="134"/>
      <c r="HS2" s="134"/>
      <c r="HT2" s="134"/>
      <c r="HU2" s="134"/>
      <c r="HV2" s="134"/>
      <c r="HW2" s="134"/>
      <c r="HX2" s="134"/>
      <c r="HY2" s="135"/>
      <c r="HZ2" s="135"/>
      <c r="IA2" s="134"/>
      <c r="IB2" s="134"/>
      <c r="IC2" s="134"/>
      <c r="ID2" s="134"/>
      <c r="IE2" s="134"/>
      <c r="IF2" s="134"/>
      <c r="IG2" s="134"/>
      <c r="IH2" s="134"/>
      <c r="II2" s="135"/>
      <c r="IJ2" s="135"/>
      <c r="IK2" s="134"/>
      <c r="IL2" s="134"/>
      <c r="IM2" s="134"/>
      <c r="IN2" s="134"/>
      <c r="IO2" s="134"/>
      <c r="IP2" s="134"/>
      <c r="IQ2" s="134"/>
      <c r="IR2" s="134"/>
      <c r="IS2" s="135"/>
      <c r="IT2" s="135"/>
      <c r="IU2" s="134"/>
      <c r="IV2" s="134"/>
      <c r="IW2" s="134"/>
      <c r="IX2" s="134"/>
      <c r="IY2" s="134"/>
      <c r="IZ2" s="134"/>
      <c r="JA2" s="134"/>
      <c r="JB2" s="134"/>
      <c r="JC2" s="135"/>
      <c r="JD2" s="135"/>
    </row>
    <row r="3" spans="1:264" customFormat="1" ht="15" customHeight="1">
      <c r="A3" s="79" t="s">
        <v>79</v>
      </c>
      <c r="B3" s="362">
        <v>61</v>
      </c>
      <c r="C3" s="362"/>
      <c r="D3" s="362">
        <v>5</v>
      </c>
      <c r="E3" s="604" t="s">
        <v>1922</v>
      </c>
      <c r="F3" s="124" t="s">
        <v>2139</v>
      </c>
      <c r="G3" s="125">
        <v>1999</v>
      </c>
      <c r="H3" s="79">
        <v>10217920</v>
      </c>
      <c r="I3" s="79">
        <v>1</v>
      </c>
      <c r="J3" s="126"/>
      <c r="K3" s="127"/>
      <c r="L3" s="164">
        <v>1</v>
      </c>
      <c r="M3" s="79" t="s">
        <v>1730</v>
      </c>
      <c r="N3" s="79">
        <v>1</v>
      </c>
      <c r="O3" s="128">
        <v>1</v>
      </c>
      <c r="P3" s="79" t="s">
        <v>23</v>
      </c>
      <c r="Q3" s="79"/>
      <c r="R3" s="79" t="s">
        <v>25</v>
      </c>
      <c r="S3" s="79">
        <v>1</v>
      </c>
      <c r="T3" s="79"/>
      <c r="U3" s="79"/>
      <c r="V3" s="79"/>
      <c r="W3" s="79" t="s">
        <v>23</v>
      </c>
      <c r="X3" s="79"/>
      <c r="Y3" s="79"/>
      <c r="Z3" s="79"/>
      <c r="AA3" s="79"/>
      <c r="AB3" s="79"/>
      <c r="AC3" s="506"/>
      <c r="AD3" s="573">
        <v>1</v>
      </c>
      <c r="AE3" s="573">
        <v>0</v>
      </c>
      <c r="AF3" s="165">
        <v>0</v>
      </c>
      <c r="AG3" s="166" t="s">
        <v>6162</v>
      </c>
      <c r="AH3" s="120">
        <v>2</v>
      </c>
      <c r="AI3" s="120"/>
      <c r="AJ3" s="206"/>
      <c r="AK3" s="372"/>
      <c r="AL3" s="207"/>
      <c r="AM3" s="120"/>
      <c r="AN3" s="120"/>
      <c r="AO3" s="120"/>
      <c r="AP3" s="120"/>
      <c r="AQ3" s="120"/>
      <c r="AR3" s="120"/>
      <c r="AS3" s="120"/>
      <c r="AT3" s="120"/>
      <c r="AU3" s="120"/>
      <c r="AV3" s="120"/>
      <c r="AW3" s="120"/>
      <c r="AX3" s="120"/>
      <c r="AY3" s="120"/>
      <c r="AZ3" s="120"/>
      <c r="BA3" s="120"/>
      <c r="BB3" s="594"/>
      <c r="BC3" s="594"/>
      <c r="BD3" s="373"/>
      <c r="BE3" s="373"/>
      <c r="BF3" s="373" t="s">
        <v>5207</v>
      </c>
      <c r="BG3" s="373"/>
      <c r="BH3" s="373"/>
      <c r="BI3" s="373" t="s">
        <v>5207</v>
      </c>
      <c r="BJ3" s="373" t="s">
        <v>6160</v>
      </c>
      <c r="BK3" s="373"/>
      <c r="BL3" s="373" t="s">
        <v>4727</v>
      </c>
      <c r="BM3" s="373"/>
      <c r="BN3" s="373"/>
      <c r="BO3" s="373"/>
      <c r="BP3" s="373"/>
      <c r="BQ3" s="595" t="s">
        <v>6165</v>
      </c>
      <c r="BR3" s="157"/>
      <c r="BS3" s="660"/>
      <c r="BT3" s="134"/>
      <c r="BU3" s="134"/>
      <c r="BV3" s="134"/>
      <c r="BW3" s="134"/>
      <c r="BX3" s="134"/>
      <c r="BY3" s="134"/>
      <c r="BZ3" s="259"/>
      <c r="CA3" s="454"/>
      <c r="CB3" s="138"/>
      <c r="CC3" s="134"/>
      <c r="CD3" s="134"/>
      <c r="CE3" s="190"/>
      <c r="CF3" s="138"/>
      <c r="CG3" s="134"/>
      <c r="CH3" s="134"/>
      <c r="CI3" s="190"/>
      <c r="CJ3" s="288"/>
      <c r="CK3" s="289"/>
      <c r="CL3" s="138"/>
      <c r="CM3" s="134"/>
      <c r="CN3" s="134"/>
      <c r="CO3" s="190"/>
      <c r="CP3" s="138"/>
      <c r="CQ3" s="134"/>
      <c r="CR3" s="134"/>
      <c r="CS3" s="190"/>
      <c r="CT3" s="288"/>
      <c r="CU3" s="289"/>
      <c r="CV3" s="276"/>
      <c r="CW3" s="308"/>
      <c r="CX3" s="138"/>
      <c r="CY3" s="190"/>
      <c r="CZ3" s="134"/>
      <c r="DA3" s="190"/>
      <c r="DB3" s="134"/>
      <c r="DC3" s="190"/>
      <c r="DD3" s="134"/>
      <c r="DE3" s="190"/>
      <c r="DF3" s="300"/>
      <c r="DG3" s="301"/>
      <c r="DH3" s="134"/>
      <c r="DI3" s="190"/>
      <c r="DJ3" s="134"/>
      <c r="DK3" s="190"/>
      <c r="DL3" s="134"/>
      <c r="DM3" s="190"/>
      <c r="DN3" s="134"/>
      <c r="DO3" s="190"/>
      <c r="DP3" s="300"/>
      <c r="DQ3" s="301"/>
      <c r="DR3" s="317"/>
      <c r="DS3" s="318"/>
      <c r="DT3" s="134"/>
      <c r="DU3" s="134"/>
      <c r="DV3" s="134"/>
      <c r="DW3" s="134"/>
      <c r="DX3" s="138"/>
      <c r="DY3" s="134"/>
      <c r="DZ3" s="134"/>
      <c r="EA3" s="134"/>
      <c r="EB3" s="301"/>
      <c r="EC3" s="301"/>
      <c r="ED3" s="138"/>
      <c r="EE3" s="134"/>
      <c r="EF3" s="134"/>
      <c r="EG3" s="134"/>
      <c r="EH3" s="138"/>
      <c r="EI3" s="134"/>
      <c r="EJ3" s="134"/>
      <c r="EK3" s="134"/>
      <c r="EL3" s="301"/>
      <c r="EM3" s="301"/>
      <c r="EN3" s="277"/>
      <c r="EO3" s="134"/>
      <c r="EP3" s="134"/>
      <c r="EQ3" s="134"/>
      <c r="ER3" s="134"/>
      <c r="ES3" s="134"/>
      <c r="ET3" s="134"/>
      <c r="EU3" s="134"/>
      <c r="EV3" s="134"/>
      <c r="EW3" s="301"/>
      <c r="EX3" s="301"/>
      <c r="EY3" s="134"/>
      <c r="EZ3" s="134"/>
      <c r="FA3" s="134"/>
      <c r="FB3" s="134"/>
      <c r="FC3" s="134"/>
      <c r="FD3" s="134"/>
      <c r="FE3" s="134"/>
      <c r="FF3" s="134"/>
      <c r="FG3" s="135"/>
      <c r="FH3" s="135"/>
      <c r="FI3" s="134"/>
      <c r="FJ3" s="134"/>
      <c r="FK3" s="134"/>
      <c r="FL3" s="134"/>
      <c r="FM3" s="134"/>
      <c r="FN3" s="134"/>
      <c r="FO3" s="134"/>
      <c r="FP3" s="134"/>
      <c r="FQ3" s="135"/>
      <c r="FR3" s="135"/>
      <c r="FS3" s="134"/>
      <c r="FT3" s="134"/>
      <c r="FU3" s="134"/>
      <c r="FV3" s="134"/>
      <c r="FW3" s="134"/>
      <c r="FX3" s="134"/>
      <c r="FY3" s="134"/>
      <c r="FZ3" s="134"/>
      <c r="GA3" s="135"/>
      <c r="GB3" s="135"/>
      <c r="GC3" s="134"/>
      <c r="GD3" s="134"/>
      <c r="GE3" s="134"/>
      <c r="GF3" s="134"/>
      <c r="GG3" s="134"/>
      <c r="GH3" s="134"/>
      <c r="GI3" s="134"/>
      <c r="GJ3" s="134"/>
      <c r="GK3" s="135"/>
      <c r="GL3" s="135"/>
      <c r="GM3" s="134"/>
      <c r="GN3" s="134"/>
      <c r="GO3" s="134"/>
      <c r="GP3" s="134"/>
      <c r="GQ3" s="134"/>
      <c r="GR3" s="134"/>
      <c r="GS3" s="134"/>
      <c r="GT3" s="134"/>
      <c r="GU3" s="135"/>
      <c r="GV3" s="135"/>
      <c r="GW3" s="134"/>
      <c r="GX3" s="134"/>
      <c r="GY3" s="134"/>
      <c r="GZ3" s="134"/>
      <c r="HA3" s="134"/>
      <c r="HB3" s="134"/>
      <c r="HC3" s="134"/>
      <c r="HD3" s="134"/>
      <c r="HE3" s="135"/>
      <c r="HF3" s="135"/>
      <c r="HG3" s="134"/>
      <c r="HH3" s="134"/>
      <c r="HI3" s="134"/>
      <c r="HJ3" s="134"/>
      <c r="HK3" s="134"/>
      <c r="HL3" s="134"/>
      <c r="HM3" s="134"/>
      <c r="HN3" s="134"/>
      <c r="HO3" s="135"/>
      <c r="HP3" s="135"/>
      <c r="HQ3" s="134"/>
      <c r="HR3" s="134"/>
      <c r="HS3" s="134"/>
      <c r="HT3" s="134"/>
      <c r="HU3" s="134"/>
      <c r="HV3" s="134"/>
      <c r="HW3" s="134"/>
      <c r="HX3" s="134"/>
      <c r="HY3" s="135"/>
      <c r="HZ3" s="135"/>
      <c r="IA3" s="134"/>
      <c r="IB3" s="134"/>
      <c r="IC3" s="134"/>
      <c r="ID3" s="134"/>
      <c r="IE3" s="134"/>
      <c r="IF3" s="134"/>
      <c r="IG3" s="134"/>
      <c r="IH3" s="134"/>
      <c r="II3" s="135"/>
      <c r="IJ3" s="135"/>
      <c r="IK3" s="134"/>
      <c r="IL3" s="134"/>
      <c r="IM3" s="134"/>
      <c r="IN3" s="134"/>
      <c r="IO3" s="134"/>
      <c r="IP3" s="134"/>
      <c r="IQ3" s="134"/>
      <c r="IR3" s="134"/>
      <c r="IS3" s="135"/>
      <c r="IT3" s="135"/>
      <c r="IU3" s="134"/>
      <c r="IV3" s="134"/>
      <c r="IW3" s="134"/>
      <c r="IX3" s="134"/>
      <c r="IY3" s="134"/>
      <c r="IZ3" s="134"/>
      <c r="JA3" s="134"/>
      <c r="JB3" s="134"/>
      <c r="JC3" s="135"/>
      <c r="JD3" s="135"/>
    </row>
    <row r="4" spans="1:264" s="119" customFormat="1" ht="15" customHeight="1">
      <c r="A4" s="79" t="s">
        <v>83</v>
      </c>
      <c r="B4" s="362">
        <v>62</v>
      </c>
      <c r="C4" s="362"/>
      <c r="D4" s="362">
        <v>6</v>
      </c>
      <c r="E4" s="604" t="s">
        <v>1923</v>
      </c>
      <c r="F4" s="124" t="s">
        <v>2140</v>
      </c>
      <c r="G4" s="125">
        <v>2013</v>
      </c>
      <c r="H4" s="79">
        <v>23496805</v>
      </c>
      <c r="I4" s="79">
        <v>1</v>
      </c>
      <c r="J4" s="126"/>
      <c r="K4" s="127"/>
      <c r="L4" s="79">
        <v>1</v>
      </c>
      <c r="M4" s="79"/>
      <c r="N4" s="79">
        <v>1</v>
      </c>
      <c r="O4" s="128">
        <v>1</v>
      </c>
      <c r="P4" s="79" t="s">
        <v>32</v>
      </c>
      <c r="Q4" s="79" t="s">
        <v>1164</v>
      </c>
      <c r="R4" s="79" t="s">
        <v>25</v>
      </c>
      <c r="S4" s="79">
        <v>1</v>
      </c>
      <c r="T4" s="79"/>
      <c r="U4" s="79"/>
      <c r="V4" s="79"/>
      <c r="W4" s="79" t="s">
        <v>30</v>
      </c>
      <c r="X4" s="79"/>
      <c r="Y4" s="79"/>
      <c r="Z4" s="79"/>
      <c r="AA4" s="79"/>
      <c r="AB4" s="79"/>
      <c r="AC4" s="506" t="s">
        <v>31</v>
      </c>
      <c r="AD4" s="573">
        <v>1</v>
      </c>
      <c r="AE4" s="573">
        <v>0</v>
      </c>
      <c r="AF4" s="154"/>
      <c r="AG4" s="155"/>
      <c r="AH4" s="121">
        <v>2</v>
      </c>
      <c r="AI4" s="484"/>
      <c r="AJ4" s="202"/>
      <c r="AK4" s="192"/>
      <c r="AL4" s="203"/>
      <c r="AM4" s="121"/>
      <c r="AN4" s="121"/>
      <c r="AO4" s="121"/>
      <c r="AP4" s="121"/>
      <c r="AQ4" s="121"/>
      <c r="AR4" s="121"/>
      <c r="AS4" s="121"/>
      <c r="AT4" s="121"/>
      <c r="AU4" s="121"/>
      <c r="AV4" s="121"/>
      <c r="AW4" s="121"/>
      <c r="AX4" s="121"/>
      <c r="AY4" s="121"/>
      <c r="AZ4" s="121"/>
      <c r="BA4" s="121"/>
      <c r="BB4" s="594"/>
      <c r="BC4" s="594"/>
      <c r="BD4" s="156"/>
      <c r="BE4" s="156"/>
      <c r="BF4" s="156" t="s">
        <v>5207</v>
      </c>
      <c r="BG4" s="156"/>
      <c r="BH4" s="156"/>
      <c r="BI4" s="156"/>
      <c r="BJ4" s="156"/>
      <c r="BK4" s="156"/>
      <c r="BL4" s="156"/>
      <c r="BM4" s="156"/>
      <c r="BN4" s="156"/>
      <c r="BO4" s="156"/>
      <c r="BP4" s="156"/>
      <c r="BQ4" s="595" t="s">
        <v>6166</v>
      </c>
      <c r="BR4" s="157"/>
      <c r="BS4" s="660"/>
      <c r="BT4" s="134"/>
      <c r="BU4" s="134"/>
      <c r="BV4" s="134"/>
      <c r="BW4" s="134"/>
      <c r="BX4" s="134"/>
      <c r="BY4" s="134"/>
      <c r="BZ4" s="259"/>
      <c r="CA4" s="454"/>
      <c r="CB4" s="138"/>
      <c r="CC4" s="190"/>
      <c r="CD4" s="134"/>
      <c r="CE4" s="190"/>
      <c r="CF4" s="138"/>
      <c r="CG4" s="134"/>
      <c r="CH4" s="134"/>
      <c r="CI4" s="190"/>
      <c r="CJ4" s="288"/>
      <c r="CK4" s="289"/>
      <c r="CL4" s="138"/>
      <c r="CM4" s="134"/>
      <c r="CN4" s="134"/>
      <c r="CO4" s="190"/>
      <c r="CP4" s="138"/>
      <c r="CQ4" s="134"/>
      <c r="CR4" s="134"/>
      <c r="CS4" s="190"/>
      <c r="CT4" s="288"/>
      <c r="CU4" s="289"/>
      <c r="CV4" s="276"/>
      <c r="CW4" s="308"/>
      <c r="CX4" s="138"/>
      <c r="CY4" s="134"/>
      <c r="CZ4" s="134"/>
      <c r="DA4" s="134"/>
      <c r="DB4" s="134"/>
      <c r="DC4" s="134"/>
      <c r="DD4" s="134"/>
      <c r="DE4" s="134"/>
      <c r="DF4" s="300"/>
      <c r="DG4" s="301"/>
      <c r="DH4" s="134"/>
      <c r="DI4" s="134"/>
      <c r="DJ4" s="134"/>
      <c r="DK4" s="134"/>
      <c r="DL4" s="134"/>
      <c r="DM4" s="134"/>
      <c r="DN4" s="134"/>
      <c r="DO4" s="134"/>
      <c r="DP4" s="300"/>
      <c r="DQ4" s="301"/>
      <c r="DR4" s="276"/>
      <c r="DS4" s="277"/>
      <c r="DT4" s="134"/>
      <c r="DU4" s="134"/>
      <c r="DV4" s="134"/>
      <c r="DW4" s="134"/>
      <c r="DX4" s="138"/>
      <c r="DY4" s="134"/>
      <c r="DZ4" s="134"/>
      <c r="EA4" s="134"/>
      <c r="EB4" s="301"/>
      <c r="EC4" s="301"/>
      <c r="ED4" s="138"/>
      <c r="EE4" s="134"/>
      <c r="EF4" s="134"/>
      <c r="EG4" s="134"/>
      <c r="EH4" s="138"/>
      <c r="EI4" s="134"/>
      <c r="EJ4" s="134"/>
      <c r="EK4" s="134"/>
      <c r="EL4" s="301"/>
      <c r="EM4" s="301"/>
      <c r="EN4" s="277"/>
      <c r="EO4" s="134"/>
      <c r="EP4" s="134"/>
      <c r="EQ4" s="134"/>
      <c r="ER4" s="134"/>
      <c r="ES4" s="134"/>
      <c r="ET4" s="134"/>
      <c r="EU4" s="134"/>
      <c r="EV4" s="134"/>
      <c r="EW4" s="301"/>
      <c r="EX4" s="301"/>
      <c r="EY4" s="134"/>
      <c r="EZ4" s="134"/>
      <c r="FA4" s="134"/>
      <c r="FB4" s="134"/>
      <c r="FC4" s="134"/>
      <c r="FD4" s="134"/>
      <c r="FE4" s="134"/>
      <c r="FF4" s="134"/>
      <c r="FG4" s="135"/>
      <c r="FH4" s="135"/>
      <c r="FI4" s="134"/>
      <c r="FJ4" s="134"/>
      <c r="FK4" s="134"/>
      <c r="FL4" s="134"/>
      <c r="FM4" s="134"/>
      <c r="FN4" s="134"/>
      <c r="FO4" s="134"/>
      <c r="FP4" s="134"/>
      <c r="FQ4" s="135"/>
      <c r="FR4" s="135"/>
      <c r="FS4" s="134"/>
      <c r="FT4" s="134"/>
      <c r="FU4" s="134"/>
      <c r="FV4" s="134"/>
      <c r="FW4" s="134"/>
      <c r="FX4" s="134"/>
      <c r="FY4" s="134"/>
      <c r="FZ4" s="134"/>
      <c r="GA4" s="135"/>
      <c r="GB4" s="135"/>
      <c r="GC4" s="134"/>
      <c r="GD4" s="134"/>
      <c r="GE4" s="134"/>
      <c r="GF4" s="134"/>
      <c r="GG4" s="134"/>
      <c r="GH4" s="134"/>
      <c r="GI4" s="134"/>
      <c r="GJ4" s="134"/>
      <c r="GK4" s="135"/>
      <c r="GL4" s="135"/>
      <c r="GM4" s="134"/>
      <c r="GN4" s="134"/>
      <c r="GO4" s="134"/>
      <c r="GP4" s="134"/>
      <c r="GQ4" s="134"/>
      <c r="GR4" s="134"/>
      <c r="GS4" s="134"/>
      <c r="GT4" s="134"/>
      <c r="GU4" s="135"/>
      <c r="GV4" s="135"/>
      <c r="GW4" s="134"/>
      <c r="GX4" s="134"/>
      <c r="GY4" s="134"/>
      <c r="GZ4" s="134"/>
      <c r="HA4" s="134"/>
      <c r="HB4" s="134"/>
      <c r="HC4" s="134"/>
      <c r="HD4" s="134"/>
      <c r="HE4" s="135"/>
      <c r="HF4" s="135"/>
      <c r="HG4" s="134"/>
      <c r="HH4" s="134"/>
      <c r="HI4" s="134"/>
      <c r="HJ4" s="134"/>
      <c r="HK4" s="134"/>
      <c r="HL4" s="134"/>
      <c r="HM4" s="134"/>
      <c r="HN4" s="134"/>
      <c r="HO4" s="135"/>
      <c r="HP4" s="135"/>
      <c r="HQ4" s="134"/>
      <c r="HR4" s="134"/>
      <c r="HS4" s="134"/>
      <c r="HT4" s="134"/>
      <c r="HU4" s="134"/>
      <c r="HV4" s="134"/>
      <c r="HW4" s="134"/>
      <c r="HX4" s="134"/>
      <c r="HY4" s="135"/>
      <c r="HZ4" s="135"/>
      <c r="IA4" s="134"/>
      <c r="IB4" s="134"/>
      <c r="IC4" s="134"/>
      <c r="ID4" s="134"/>
      <c r="IE4" s="134"/>
      <c r="IF4" s="134"/>
      <c r="IG4" s="134"/>
      <c r="IH4" s="134"/>
      <c r="II4" s="135"/>
      <c r="IJ4" s="135"/>
      <c r="IK4" s="134"/>
      <c r="IL4" s="134"/>
      <c r="IM4" s="134"/>
      <c r="IN4" s="134"/>
      <c r="IO4" s="134"/>
      <c r="IP4" s="134"/>
      <c r="IQ4" s="134"/>
      <c r="IR4" s="134"/>
      <c r="IS4" s="135"/>
      <c r="IT4" s="135"/>
      <c r="IU4" s="134"/>
      <c r="IV4" s="134"/>
      <c r="IW4" s="134"/>
      <c r="IX4" s="134"/>
      <c r="IY4" s="134"/>
      <c r="IZ4" s="134"/>
      <c r="JA4" s="134"/>
      <c r="JB4" s="134"/>
      <c r="JC4" s="135"/>
      <c r="JD4" s="135"/>
    </row>
    <row r="5" spans="1:264" customFormat="1" ht="15" customHeight="1">
      <c r="A5" s="79" t="s">
        <v>84</v>
      </c>
      <c r="B5" s="362">
        <v>63</v>
      </c>
      <c r="C5" s="362"/>
      <c r="D5" s="362">
        <v>7</v>
      </c>
      <c r="E5" s="604" t="s">
        <v>1924</v>
      </c>
      <c r="F5" s="124" t="s">
        <v>2141</v>
      </c>
      <c r="G5" s="125">
        <v>1996</v>
      </c>
      <c r="H5" s="79">
        <v>8770439</v>
      </c>
      <c r="I5" s="79">
        <v>1</v>
      </c>
      <c r="J5" s="126"/>
      <c r="K5" s="127"/>
      <c r="L5" s="164">
        <v>1</v>
      </c>
      <c r="M5" s="79"/>
      <c r="N5" s="79">
        <v>1</v>
      </c>
      <c r="O5" s="128">
        <v>1</v>
      </c>
      <c r="P5" s="79" t="s">
        <v>35</v>
      </c>
      <c r="Q5" s="79" t="s">
        <v>1143</v>
      </c>
      <c r="R5" s="79" t="s">
        <v>25</v>
      </c>
      <c r="S5" s="79">
        <v>1</v>
      </c>
      <c r="T5" s="79"/>
      <c r="U5" s="79"/>
      <c r="V5" s="79"/>
      <c r="W5" s="79" t="s">
        <v>34</v>
      </c>
      <c r="X5" s="79" t="s">
        <v>33</v>
      </c>
      <c r="Y5" s="79" t="s">
        <v>33</v>
      </c>
      <c r="Z5" s="79"/>
      <c r="AA5" s="79"/>
      <c r="AB5" s="79"/>
      <c r="AC5" s="506" t="s">
        <v>6168</v>
      </c>
      <c r="AD5" s="573">
        <v>1</v>
      </c>
      <c r="AE5" s="573">
        <v>0</v>
      </c>
      <c r="AF5" s="154"/>
      <c r="AG5" s="155"/>
      <c r="AH5" s="121">
        <v>2</v>
      </c>
      <c r="AI5" s="484"/>
      <c r="AJ5" s="202"/>
      <c r="AK5" s="192"/>
      <c r="AL5" s="203"/>
      <c r="AM5" s="121"/>
      <c r="AN5" s="121"/>
      <c r="AO5" s="121"/>
      <c r="AP5" s="121"/>
      <c r="AQ5" s="121"/>
      <c r="AR5" s="121"/>
      <c r="AS5" s="121"/>
      <c r="AT5" s="121"/>
      <c r="AU5" s="121"/>
      <c r="AV5" s="121"/>
      <c r="AW5" s="121"/>
      <c r="AX5" s="121"/>
      <c r="AY5" s="121"/>
      <c r="AZ5" s="121"/>
      <c r="BA5" s="121"/>
      <c r="BB5" s="594"/>
      <c r="BC5" s="594"/>
      <c r="BD5" s="156"/>
      <c r="BE5" s="156"/>
      <c r="BF5" s="156">
        <v>1</v>
      </c>
      <c r="BG5" s="156"/>
      <c r="BH5" s="156"/>
      <c r="BI5" s="156"/>
      <c r="BJ5" s="156"/>
      <c r="BK5" s="156"/>
      <c r="BL5" s="156"/>
      <c r="BM5" s="156"/>
      <c r="BN5" s="156"/>
      <c r="BO5" s="156"/>
      <c r="BP5" s="156"/>
      <c r="BQ5" s="595"/>
      <c r="BR5" s="157"/>
      <c r="BS5" s="660"/>
      <c r="BT5" s="134"/>
      <c r="BU5" s="134"/>
      <c r="BV5" s="134"/>
      <c r="BW5" s="134"/>
      <c r="BX5" s="134"/>
      <c r="BY5" s="134"/>
      <c r="BZ5" s="259"/>
      <c r="CA5" s="454"/>
      <c r="CB5" s="138"/>
      <c r="CC5" s="134"/>
      <c r="CD5" s="134"/>
      <c r="CE5" s="134"/>
      <c r="CF5" s="138"/>
      <c r="CG5" s="134"/>
      <c r="CH5" s="134"/>
      <c r="CI5" s="134"/>
      <c r="CJ5" s="288"/>
      <c r="CK5" s="289"/>
      <c r="CL5" s="138"/>
      <c r="CM5" s="134"/>
      <c r="CN5" s="134"/>
      <c r="CO5" s="134"/>
      <c r="CP5" s="138"/>
      <c r="CQ5" s="134"/>
      <c r="CR5" s="134"/>
      <c r="CS5" s="134"/>
      <c r="CT5" s="288"/>
      <c r="CU5" s="289"/>
      <c r="CV5" s="276"/>
      <c r="CW5" s="308"/>
      <c r="CX5" s="138"/>
      <c r="CY5" s="190"/>
      <c r="CZ5" s="134"/>
      <c r="DA5" s="190"/>
      <c r="DB5" s="134"/>
      <c r="DC5" s="190"/>
      <c r="DD5" s="134"/>
      <c r="DE5" s="190"/>
      <c r="DF5" s="300"/>
      <c r="DG5" s="301"/>
      <c r="DH5" s="134"/>
      <c r="DI5" s="190"/>
      <c r="DJ5" s="134"/>
      <c r="DK5" s="190"/>
      <c r="DL5" s="134"/>
      <c r="DM5" s="190"/>
      <c r="DN5" s="134"/>
      <c r="DO5" s="190"/>
      <c r="DP5" s="300"/>
      <c r="DQ5" s="301"/>
      <c r="DR5" s="317"/>
      <c r="DS5" s="318"/>
      <c r="DT5" s="134"/>
      <c r="DU5" s="134"/>
      <c r="DV5" s="134"/>
      <c r="DW5" s="134"/>
      <c r="DX5" s="138"/>
      <c r="DY5" s="134"/>
      <c r="DZ5" s="134"/>
      <c r="EA5" s="134"/>
      <c r="EB5" s="301"/>
      <c r="EC5" s="301"/>
      <c r="ED5" s="138"/>
      <c r="EE5" s="134"/>
      <c r="EF5" s="134"/>
      <c r="EG5" s="134"/>
      <c r="EH5" s="138"/>
      <c r="EI5" s="134"/>
      <c r="EJ5" s="134"/>
      <c r="EK5" s="134"/>
      <c r="EL5" s="301"/>
      <c r="EM5" s="301"/>
      <c r="EN5" s="277"/>
      <c r="EO5" s="134"/>
      <c r="EP5" s="134"/>
      <c r="EQ5" s="134"/>
      <c r="ER5" s="134"/>
      <c r="ES5" s="134"/>
      <c r="ET5" s="134"/>
      <c r="EU5" s="134"/>
      <c r="EV5" s="134"/>
      <c r="EW5" s="301"/>
      <c r="EX5" s="301"/>
      <c r="EY5" s="134"/>
      <c r="EZ5" s="134"/>
      <c r="FA5" s="134"/>
      <c r="FB5" s="134"/>
      <c r="FC5" s="134"/>
      <c r="FD5" s="134"/>
      <c r="FE5" s="134"/>
      <c r="FF5" s="134"/>
      <c r="FG5" s="135"/>
      <c r="FH5" s="135"/>
      <c r="FI5" s="134"/>
      <c r="FJ5" s="134"/>
      <c r="FK5" s="134"/>
      <c r="FL5" s="134"/>
      <c r="FM5" s="134"/>
      <c r="FN5" s="134"/>
      <c r="FO5" s="134"/>
      <c r="FP5" s="134"/>
      <c r="FQ5" s="135"/>
      <c r="FR5" s="135"/>
      <c r="FS5" s="134"/>
      <c r="FT5" s="134"/>
      <c r="FU5" s="134"/>
      <c r="FV5" s="134"/>
      <c r="FW5" s="134"/>
      <c r="FX5" s="134"/>
      <c r="FY5" s="134"/>
      <c r="FZ5" s="134"/>
      <c r="GA5" s="135"/>
      <c r="GB5" s="135"/>
      <c r="GC5" s="134"/>
      <c r="GD5" s="134"/>
      <c r="GE5" s="134"/>
      <c r="GF5" s="134"/>
      <c r="GG5" s="134"/>
      <c r="GH5" s="134"/>
      <c r="GI5" s="134"/>
      <c r="GJ5" s="134"/>
      <c r="GK5" s="135"/>
      <c r="GL5" s="135"/>
      <c r="GM5" s="134"/>
      <c r="GN5" s="134"/>
      <c r="GO5" s="134"/>
      <c r="GP5" s="134"/>
      <c r="GQ5" s="134"/>
      <c r="GR5" s="134"/>
      <c r="GS5" s="134"/>
      <c r="GT5" s="134"/>
      <c r="GU5" s="135"/>
      <c r="GV5" s="135"/>
      <c r="GW5" s="134"/>
      <c r="GX5" s="134"/>
      <c r="GY5" s="134"/>
      <c r="GZ5" s="134"/>
      <c r="HA5" s="134"/>
      <c r="HB5" s="134"/>
      <c r="HC5" s="134"/>
      <c r="HD5" s="134"/>
      <c r="HE5" s="135"/>
      <c r="HF5" s="135"/>
      <c r="HG5" s="134"/>
      <c r="HH5" s="134"/>
      <c r="HI5" s="134"/>
      <c r="HJ5" s="134"/>
      <c r="HK5" s="134"/>
      <c r="HL5" s="134"/>
      <c r="HM5" s="134"/>
      <c r="HN5" s="134"/>
      <c r="HO5" s="135"/>
      <c r="HP5" s="135"/>
      <c r="HQ5" s="134"/>
      <c r="HR5" s="134"/>
      <c r="HS5" s="134"/>
      <c r="HT5" s="134"/>
      <c r="HU5" s="134"/>
      <c r="HV5" s="134"/>
      <c r="HW5" s="134"/>
      <c r="HX5" s="134"/>
      <c r="HY5" s="135"/>
      <c r="HZ5" s="135"/>
      <c r="IA5" s="134"/>
      <c r="IB5" s="134"/>
      <c r="IC5" s="134"/>
      <c r="ID5" s="134"/>
      <c r="IE5" s="134"/>
      <c r="IF5" s="134"/>
      <c r="IG5" s="134"/>
      <c r="IH5" s="134"/>
      <c r="II5" s="135"/>
      <c r="IJ5" s="135"/>
      <c r="IK5" s="134"/>
      <c r="IL5" s="134"/>
      <c r="IM5" s="134"/>
      <c r="IN5" s="134"/>
      <c r="IO5" s="134"/>
      <c r="IP5" s="134"/>
      <c r="IQ5" s="134"/>
      <c r="IR5" s="134"/>
      <c r="IS5" s="135"/>
      <c r="IT5" s="135"/>
      <c r="IU5" s="134"/>
      <c r="IV5" s="134"/>
      <c r="IW5" s="134"/>
      <c r="IX5" s="134"/>
      <c r="IY5" s="134"/>
      <c r="IZ5" s="134"/>
      <c r="JA5" s="134"/>
      <c r="JB5" s="134"/>
      <c r="JC5" s="135"/>
      <c r="JD5" s="135"/>
    </row>
    <row r="6" spans="1:264" s="119" customFormat="1" ht="15" customHeight="1">
      <c r="A6" s="79" t="s">
        <v>87</v>
      </c>
      <c r="B6" s="362">
        <v>65</v>
      </c>
      <c r="C6" s="362"/>
      <c r="D6" s="362">
        <v>9</v>
      </c>
      <c r="E6" s="604" t="s">
        <v>1925</v>
      </c>
      <c r="F6" s="124" t="s">
        <v>2142</v>
      </c>
      <c r="G6" s="125">
        <v>2015</v>
      </c>
      <c r="H6" s="79">
        <v>26184460</v>
      </c>
      <c r="I6" s="79">
        <v>1</v>
      </c>
      <c r="J6" s="170" t="s">
        <v>1773</v>
      </c>
      <c r="K6" s="127" t="s">
        <v>1755</v>
      </c>
      <c r="L6" s="79">
        <v>0</v>
      </c>
      <c r="M6" s="79" t="s">
        <v>1731</v>
      </c>
      <c r="N6" s="79">
        <v>1</v>
      </c>
      <c r="O6" s="128">
        <v>1</v>
      </c>
      <c r="P6" s="79" t="s">
        <v>38</v>
      </c>
      <c r="Q6" s="79" t="s">
        <v>1144</v>
      </c>
      <c r="R6" s="79" t="s">
        <v>25</v>
      </c>
      <c r="S6" s="79">
        <v>1</v>
      </c>
      <c r="T6" s="79"/>
      <c r="U6" s="79"/>
      <c r="V6" s="79"/>
      <c r="W6" s="79"/>
      <c r="X6" s="79" t="s">
        <v>39</v>
      </c>
      <c r="Y6" s="79"/>
      <c r="Z6" s="79"/>
      <c r="AA6" s="79"/>
      <c r="AB6" s="79"/>
      <c r="AC6" s="506" t="s">
        <v>6170</v>
      </c>
      <c r="AD6" s="573">
        <v>1</v>
      </c>
      <c r="AE6" s="573">
        <v>0</v>
      </c>
      <c r="AF6" s="154">
        <v>0</v>
      </c>
      <c r="AG6" s="155" t="s">
        <v>6171</v>
      </c>
      <c r="AH6" s="121">
        <v>2</v>
      </c>
      <c r="AI6" s="484"/>
      <c r="AJ6" s="202"/>
      <c r="AK6" s="192"/>
      <c r="AL6" s="203"/>
      <c r="AM6" s="121"/>
      <c r="AN6" s="121"/>
      <c r="AO6" s="121"/>
      <c r="AP6" s="121"/>
      <c r="AQ6" s="121"/>
      <c r="AR6" s="121"/>
      <c r="AS6" s="121"/>
      <c r="AT6" s="121"/>
      <c r="AU6" s="121"/>
      <c r="AV6" s="121"/>
      <c r="AW6" s="121"/>
      <c r="AX6" s="121"/>
      <c r="AY6" s="121"/>
      <c r="AZ6" s="121"/>
      <c r="BA6" s="121"/>
      <c r="BB6" s="594"/>
      <c r="BC6" s="594">
        <v>1</v>
      </c>
      <c r="BD6" s="156"/>
      <c r="BE6" s="156"/>
      <c r="BF6" s="156"/>
      <c r="BG6" s="156"/>
      <c r="BH6" s="156"/>
      <c r="BI6" s="156"/>
      <c r="BJ6" s="156"/>
      <c r="BK6" s="156"/>
      <c r="BL6" s="156"/>
      <c r="BM6" s="156"/>
      <c r="BN6" s="156"/>
      <c r="BO6" s="156"/>
      <c r="BP6" s="156">
        <v>1</v>
      </c>
      <c r="BQ6" s="595"/>
      <c r="BR6" s="157"/>
      <c r="BS6" s="660"/>
      <c r="BT6" s="134"/>
      <c r="BU6" s="134"/>
      <c r="BV6" s="134"/>
      <c r="BW6" s="134"/>
      <c r="BX6" s="134"/>
      <c r="BY6" s="134"/>
      <c r="BZ6" s="454"/>
      <c r="CA6" s="454"/>
      <c r="CB6" s="138"/>
      <c r="CC6" s="134"/>
      <c r="CD6" s="134"/>
      <c r="CE6" s="134"/>
      <c r="CF6" s="138"/>
      <c r="CG6" s="190"/>
      <c r="CH6" s="190"/>
      <c r="CI6" s="190"/>
      <c r="CJ6" s="288"/>
      <c r="CK6" s="289"/>
      <c r="CL6" s="138"/>
      <c r="CM6" s="134"/>
      <c r="CN6" s="134"/>
      <c r="CO6" s="134"/>
      <c r="CP6" s="138"/>
      <c r="CQ6" s="134"/>
      <c r="CR6" s="134"/>
      <c r="CS6" s="134"/>
      <c r="CT6" s="288"/>
      <c r="CU6" s="289"/>
      <c r="CV6" s="276"/>
      <c r="CW6" s="308"/>
      <c r="CX6" s="138"/>
      <c r="CY6" s="134"/>
      <c r="CZ6" s="134"/>
      <c r="DA6" s="134"/>
      <c r="DB6" s="134"/>
      <c r="DC6" s="190"/>
      <c r="DD6" s="190"/>
      <c r="DE6" s="190"/>
      <c r="DF6" s="300"/>
      <c r="DG6" s="301"/>
      <c r="DH6" s="134"/>
      <c r="DI6" s="134"/>
      <c r="DJ6" s="134"/>
      <c r="DK6" s="134"/>
      <c r="DL6" s="134"/>
      <c r="DM6" s="134"/>
      <c r="DN6" s="134"/>
      <c r="DO6" s="134"/>
      <c r="DP6" s="300"/>
      <c r="DQ6" s="301"/>
      <c r="DR6" s="276"/>
      <c r="DS6" s="277"/>
      <c r="DT6" s="134"/>
      <c r="DU6" s="134"/>
      <c r="DV6" s="134"/>
      <c r="DW6" s="134"/>
      <c r="DX6" s="138"/>
      <c r="DY6" s="134"/>
      <c r="DZ6" s="134"/>
      <c r="EA6" s="134"/>
      <c r="EB6" s="301"/>
      <c r="EC6" s="301"/>
      <c r="ED6" s="138"/>
      <c r="EE6" s="134"/>
      <c r="EF6" s="134"/>
      <c r="EG6" s="134"/>
      <c r="EH6" s="138"/>
      <c r="EI6" s="134"/>
      <c r="EJ6" s="134"/>
      <c r="EK6" s="134"/>
      <c r="EL6" s="301"/>
      <c r="EM6" s="301"/>
      <c r="EN6" s="277"/>
      <c r="EO6" s="134"/>
      <c r="EP6" s="134"/>
      <c r="EQ6" s="134"/>
      <c r="ER6" s="134"/>
      <c r="ES6" s="134"/>
      <c r="ET6" s="134"/>
      <c r="EU6" s="134"/>
      <c r="EV6" s="134"/>
      <c r="EW6" s="301"/>
      <c r="EX6" s="301"/>
      <c r="EY6" s="134"/>
      <c r="EZ6" s="134"/>
      <c r="FA6" s="134"/>
      <c r="FB6" s="134"/>
      <c r="FC6" s="134"/>
      <c r="FD6" s="134"/>
      <c r="FE6" s="134"/>
      <c r="FF6" s="134"/>
      <c r="FG6" s="135"/>
      <c r="FH6" s="135"/>
      <c r="FI6" s="134"/>
      <c r="FJ6" s="134"/>
      <c r="FK6" s="134"/>
      <c r="FL6" s="134"/>
      <c r="FM6" s="134"/>
      <c r="FN6" s="134"/>
      <c r="FO6" s="134"/>
      <c r="FP6" s="134"/>
      <c r="FQ6" s="135"/>
      <c r="FR6" s="135"/>
      <c r="FS6" s="134"/>
      <c r="FT6" s="134"/>
      <c r="FU6" s="134"/>
      <c r="FV6" s="134"/>
      <c r="FW6" s="134"/>
      <c r="FX6" s="134"/>
      <c r="FY6" s="134"/>
      <c r="FZ6" s="134"/>
      <c r="GA6" s="135"/>
      <c r="GB6" s="135"/>
      <c r="GC6" s="134"/>
      <c r="GD6" s="134"/>
      <c r="GE6" s="134"/>
      <c r="GF6" s="134"/>
      <c r="GG6" s="134"/>
      <c r="GH6" s="134"/>
      <c r="GI6" s="134"/>
      <c r="GJ6" s="134"/>
      <c r="GK6" s="135"/>
      <c r="GL6" s="135"/>
      <c r="GM6" s="134"/>
      <c r="GN6" s="134"/>
      <c r="GO6" s="134"/>
      <c r="GP6" s="134"/>
      <c r="GQ6" s="134"/>
      <c r="GR6" s="134"/>
      <c r="GS6" s="134"/>
      <c r="GT6" s="134"/>
      <c r="GU6" s="135"/>
      <c r="GV6" s="135"/>
      <c r="GW6" s="134"/>
      <c r="GX6" s="134"/>
      <c r="GY6" s="134"/>
      <c r="GZ6" s="134"/>
      <c r="HA6" s="134"/>
      <c r="HB6" s="134"/>
      <c r="HC6" s="134"/>
      <c r="HD6" s="134"/>
      <c r="HE6" s="135"/>
      <c r="HF6" s="135"/>
      <c r="HG6" s="134"/>
      <c r="HH6" s="134"/>
      <c r="HI6" s="134"/>
      <c r="HJ6" s="134"/>
      <c r="HK6" s="134"/>
      <c r="HL6" s="134"/>
      <c r="HM6" s="134"/>
      <c r="HN6" s="134"/>
      <c r="HO6" s="135"/>
      <c r="HP6" s="135"/>
      <c r="HQ6" s="134"/>
      <c r="HR6" s="134"/>
      <c r="HS6" s="134"/>
      <c r="HT6" s="134"/>
      <c r="HU6" s="134"/>
      <c r="HV6" s="134"/>
      <c r="HW6" s="134"/>
      <c r="HX6" s="134"/>
      <c r="HY6" s="135"/>
      <c r="HZ6" s="135"/>
      <c r="IA6" s="134"/>
      <c r="IB6" s="134"/>
      <c r="IC6" s="134"/>
      <c r="ID6" s="134"/>
      <c r="IE6" s="134"/>
      <c r="IF6" s="134"/>
      <c r="IG6" s="134"/>
      <c r="IH6" s="134"/>
      <c r="II6" s="135"/>
      <c r="IJ6" s="135"/>
      <c r="IK6" s="134"/>
      <c r="IL6" s="134"/>
      <c r="IM6" s="134"/>
      <c r="IN6" s="134"/>
      <c r="IO6" s="134"/>
      <c r="IP6" s="134"/>
      <c r="IQ6" s="134"/>
      <c r="IR6" s="134"/>
      <c r="IS6" s="135"/>
      <c r="IT6" s="135"/>
      <c r="IU6" s="134"/>
      <c r="IV6" s="134"/>
      <c r="IW6" s="134"/>
      <c r="IX6" s="134"/>
      <c r="IY6" s="134"/>
      <c r="IZ6" s="134"/>
      <c r="JA6" s="134"/>
      <c r="JB6" s="134"/>
      <c r="JC6" s="135"/>
      <c r="JD6" s="135"/>
    </row>
    <row r="7" spans="1:264" s="119" customFormat="1" ht="15" customHeight="1">
      <c r="A7" s="79" t="s">
        <v>1114</v>
      </c>
      <c r="B7" s="362">
        <v>66</v>
      </c>
      <c r="C7" s="362"/>
      <c r="D7" s="362">
        <v>10</v>
      </c>
      <c r="E7" s="604" t="s">
        <v>2050</v>
      </c>
      <c r="F7" s="124" t="s">
        <v>2293</v>
      </c>
      <c r="G7" s="125">
        <v>2011</v>
      </c>
      <c r="H7" s="79">
        <v>21843541</v>
      </c>
      <c r="I7" s="79">
        <v>1</v>
      </c>
      <c r="J7" s="126">
        <v>1</v>
      </c>
      <c r="K7" s="127" t="s">
        <v>1786</v>
      </c>
      <c r="L7" s="164">
        <v>1</v>
      </c>
      <c r="M7" s="79"/>
      <c r="N7" s="79">
        <v>0</v>
      </c>
      <c r="O7" s="128">
        <v>2</v>
      </c>
      <c r="P7" s="79" t="s">
        <v>1133</v>
      </c>
      <c r="Q7" s="79" t="s">
        <v>1170</v>
      </c>
      <c r="R7" s="79" t="s">
        <v>1127</v>
      </c>
      <c r="S7" s="79"/>
      <c r="T7" s="79" t="s">
        <v>1543</v>
      </c>
      <c r="U7" s="79" t="s">
        <v>23</v>
      </c>
      <c r="V7" s="79" t="s">
        <v>23</v>
      </c>
      <c r="W7" s="79" t="s">
        <v>23</v>
      </c>
      <c r="X7" s="79" t="s">
        <v>1134</v>
      </c>
      <c r="Y7" s="79" t="s">
        <v>24</v>
      </c>
      <c r="Z7" s="79"/>
      <c r="AA7" s="79"/>
      <c r="AB7" s="79" t="s">
        <v>1135</v>
      </c>
      <c r="AC7" s="506" t="s">
        <v>6173</v>
      </c>
      <c r="AD7" s="573">
        <v>1</v>
      </c>
      <c r="AE7" s="573">
        <v>0</v>
      </c>
      <c r="AF7" s="154"/>
      <c r="AG7" s="155"/>
      <c r="AH7" s="121">
        <v>4</v>
      </c>
      <c r="AI7" s="484"/>
      <c r="AJ7" s="202"/>
      <c r="AK7" s="192"/>
      <c r="AL7" s="203"/>
      <c r="AM7" s="121"/>
      <c r="AN7" s="121"/>
      <c r="AO7" s="121"/>
      <c r="AP7" s="121"/>
      <c r="AQ7" s="121"/>
      <c r="AR7" s="121"/>
      <c r="AS7" s="121"/>
      <c r="AT7" s="121"/>
      <c r="AU7" s="121"/>
      <c r="AV7" s="121"/>
      <c r="AW7" s="121"/>
      <c r="AX7" s="121"/>
      <c r="AY7" s="121"/>
      <c r="AZ7" s="121"/>
      <c r="BA7" s="121"/>
      <c r="BB7" s="594"/>
      <c r="BC7" s="594">
        <v>1</v>
      </c>
      <c r="BD7" s="156"/>
      <c r="BE7" s="156"/>
      <c r="BF7" s="156"/>
      <c r="BG7" s="156" t="s">
        <v>1917</v>
      </c>
      <c r="BH7" s="156"/>
      <c r="BI7" s="156"/>
      <c r="BJ7" s="156"/>
      <c r="BK7" s="156"/>
      <c r="BL7" s="156"/>
      <c r="BM7" s="156"/>
      <c r="BN7" s="156"/>
      <c r="BO7" s="156"/>
      <c r="BP7" s="156"/>
      <c r="BQ7" s="595"/>
      <c r="BR7" s="157"/>
      <c r="BS7" s="660"/>
      <c r="BT7" s="134"/>
      <c r="BU7" s="134"/>
      <c r="BV7" s="134"/>
      <c r="BW7" s="134"/>
      <c r="BX7" s="134"/>
      <c r="BY7" s="134"/>
      <c r="BZ7" s="454"/>
      <c r="CA7" s="454"/>
      <c r="CB7" s="138"/>
      <c r="CC7" s="134"/>
      <c r="CD7" s="134"/>
      <c r="CE7" s="134"/>
      <c r="CF7" s="138"/>
      <c r="CG7" s="134"/>
      <c r="CH7" s="134"/>
      <c r="CI7" s="134"/>
      <c r="CJ7" s="288"/>
      <c r="CK7" s="289"/>
      <c r="CL7" s="430"/>
      <c r="CM7" s="134"/>
      <c r="CN7" s="134"/>
      <c r="CO7" s="134"/>
      <c r="CP7" s="430"/>
      <c r="CQ7" s="134"/>
      <c r="CR7" s="134"/>
      <c r="CS7" s="134"/>
      <c r="CT7" s="288"/>
      <c r="CU7" s="289"/>
      <c r="CV7" s="276"/>
      <c r="CW7" s="308"/>
      <c r="CX7" s="430"/>
      <c r="CY7" s="134"/>
      <c r="CZ7" s="134"/>
      <c r="DA7" s="134"/>
      <c r="DB7" s="134"/>
      <c r="DC7" s="190"/>
      <c r="DD7" s="190"/>
      <c r="DE7" s="190"/>
      <c r="DF7" s="300"/>
      <c r="DG7" s="301"/>
      <c r="DH7" s="134"/>
      <c r="DI7" s="134"/>
      <c r="DJ7" s="134"/>
      <c r="DK7" s="134"/>
      <c r="DL7" s="134"/>
      <c r="DM7" s="134"/>
      <c r="DN7" s="134"/>
      <c r="DO7" s="134"/>
      <c r="DP7" s="300"/>
      <c r="DQ7" s="301"/>
      <c r="DR7" s="276"/>
      <c r="DS7" s="277"/>
      <c r="DT7" s="134"/>
      <c r="DU7" s="134"/>
      <c r="DV7" s="134"/>
      <c r="DW7" s="134"/>
      <c r="DX7" s="138"/>
      <c r="DY7" s="134"/>
      <c r="DZ7" s="134"/>
      <c r="EA7" s="134"/>
      <c r="EB7" s="301"/>
      <c r="EC7" s="301"/>
      <c r="ED7" s="138"/>
      <c r="EE7" s="134"/>
      <c r="EF7" s="134"/>
      <c r="EG7" s="134"/>
      <c r="EH7" s="138"/>
      <c r="EI7" s="134"/>
      <c r="EJ7" s="134"/>
      <c r="EK7" s="134"/>
      <c r="EL7" s="301"/>
      <c r="EM7" s="301"/>
      <c r="EN7" s="277"/>
      <c r="EO7" s="134"/>
      <c r="EP7" s="134"/>
      <c r="EQ7" s="134"/>
      <c r="ER7" s="134"/>
      <c r="ES7" s="134"/>
      <c r="ET7" s="134"/>
      <c r="EU7" s="134"/>
      <c r="EV7" s="134"/>
      <c r="EW7" s="301"/>
      <c r="EX7" s="301"/>
      <c r="EY7" s="134"/>
      <c r="EZ7" s="134"/>
      <c r="FA7" s="134"/>
      <c r="FB7" s="134"/>
      <c r="FC7" s="134"/>
      <c r="FD7" s="134"/>
      <c r="FE7" s="134"/>
      <c r="FF7" s="134"/>
      <c r="FG7" s="135"/>
      <c r="FH7" s="135"/>
      <c r="FI7" s="134"/>
      <c r="FJ7" s="134"/>
      <c r="FK7" s="134"/>
      <c r="FL7" s="134"/>
      <c r="FM7" s="134"/>
      <c r="FN7" s="134"/>
      <c r="FO7" s="134"/>
      <c r="FP7" s="134"/>
      <c r="FQ7" s="135"/>
      <c r="FR7" s="135"/>
      <c r="FS7" s="134"/>
      <c r="FT7" s="134"/>
      <c r="FU7" s="134"/>
      <c r="FV7" s="134"/>
      <c r="FW7" s="134"/>
      <c r="FX7" s="134"/>
      <c r="FY7" s="134"/>
      <c r="FZ7" s="134"/>
      <c r="GA7" s="135"/>
      <c r="GB7" s="135"/>
      <c r="GC7" s="134"/>
      <c r="GD7" s="134"/>
      <c r="GE7" s="134"/>
      <c r="GF7" s="134"/>
      <c r="GG7" s="134"/>
      <c r="GH7" s="134"/>
      <c r="GI7" s="134"/>
      <c r="GJ7" s="134"/>
      <c r="GK7" s="135"/>
      <c r="GL7" s="135"/>
      <c r="GM7" s="134"/>
      <c r="GN7" s="134"/>
      <c r="GO7" s="134"/>
      <c r="GP7" s="134"/>
      <c r="GQ7" s="134"/>
      <c r="GR7" s="134"/>
      <c r="GS7" s="134"/>
      <c r="GT7" s="134"/>
      <c r="GU7" s="135"/>
      <c r="GV7" s="135"/>
      <c r="GW7" s="134"/>
      <c r="GX7" s="134"/>
      <c r="GY7" s="134"/>
      <c r="GZ7" s="134"/>
      <c r="HA7" s="134"/>
      <c r="HB7" s="134"/>
      <c r="HC7" s="134"/>
      <c r="HD7" s="134"/>
      <c r="HE7" s="135"/>
      <c r="HF7" s="135"/>
      <c r="HG7" s="134"/>
      <c r="HH7" s="134"/>
      <c r="HI7" s="134"/>
      <c r="HJ7" s="134"/>
      <c r="HK7" s="134"/>
      <c r="HL7" s="134"/>
      <c r="HM7" s="134"/>
      <c r="HN7" s="134"/>
      <c r="HO7" s="135"/>
      <c r="HP7" s="135"/>
      <c r="HQ7" s="134"/>
      <c r="HR7" s="134"/>
      <c r="HS7" s="134"/>
      <c r="HT7" s="134"/>
      <c r="HU7" s="134"/>
      <c r="HV7" s="134"/>
      <c r="HW7" s="134"/>
      <c r="HX7" s="134"/>
      <c r="HY7" s="135"/>
      <c r="HZ7" s="135"/>
      <c r="IA7" s="134"/>
      <c r="IB7" s="134"/>
      <c r="IC7" s="134"/>
      <c r="ID7" s="134"/>
      <c r="IE7" s="134"/>
      <c r="IF7" s="134"/>
      <c r="IG7" s="134"/>
      <c r="IH7" s="134"/>
      <c r="II7" s="135"/>
      <c r="IJ7" s="135"/>
      <c r="IK7" s="134"/>
      <c r="IL7" s="134"/>
      <c r="IM7" s="134"/>
      <c r="IN7" s="134"/>
      <c r="IO7" s="134"/>
      <c r="IP7" s="134"/>
      <c r="IQ7" s="134"/>
      <c r="IR7" s="134"/>
      <c r="IS7" s="135"/>
      <c r="IT7" s="135"/>
      <c r="IU7" s="134"/>
      <c r="IV7" s="134"/>
      <c r="IW7" s="134"/>
      <c r="IX7" s="134"/>
      <c r="IY7" s="134"/>
      <c r="IZ7" s="134"/>
      <c r="JA7" s="134"/>
      <c r="JB7" s="134"/>
      <c r="JC7" s="135"/>
      <c r="JD7" s="135"/>
    </row>
    <row r="8" spans="1:264" s="119" customFormat="1" ht="15" customHeight="1">
      <c r="A8" s="79" t="s">
        <v>90</v>
      </c>
      <c r="B8" s="362">
        <v>67</v>
      </c>
      <c r="C8" s="362"/>
      <c r="D8" s="362">
        <v>11</v>
      </c>
      <c r="E8" s="604" t="s">
        <v>1926</v>
      </c>
      <c r="F8" s="124" t="s">
        <v>2143</v>
      </c>
      <c r="G8" s="125">
        <v>2012</v>
      </c>
      <c r="H8" s="79">
        <v>23341282</v>
      </c>
      <c r="I8" s="79">
        <v>1</v>
      </c>
      <c r="J8" s="126"/>
      <c r="K8" s="127"/>
      <c r="L8" s="79">
        <v>1</v>
      </c>
      <c r="M8" s="79"/>
      <c r="N8" s="79">
        <v>1</v>
      </c>
      <c r="O8" s="128">
        <v>1</v>
      </c>
      <c r="P8" s="79" t="s">
        <v>46</v>
      </c>
      <c r="Q8" s="79" t="s">
        <v>1143</v>
      </c>
      <c r="R8" s="79" t="s">
        <v>47</v>
      </c>
      <c r="S8" s="79">
        <v>1</v>
      </c>
      <c r="T8" s="79"/>
      <c r="U8" s="79"/>
      <c r="V8" s="79"/>
      <c r="W8" s="79" t="s">
        <v>46</v>
      </c>
      <c r="X8" s="79" t="s">
        <v>12</v>
      </c>
      <c r="Y8" s="79" t="s">
        <v>12</v>
      </c>
      <c r="Z8" s="79"/>
      <c r="AA8" s="79"/>
      <c r="AB8" s="79"/>
      <c r="AC8" s="506" t="s">
        <v>31</v>
      </c>
      <c r="AD8" s="573">
        <v>1</v>
      </c>
      <c r="AE8" s="573">
        <v>0</v>
      </c>
      <c r="AF8" s="154"/>
      <c r="AG8" s="155"/>
      <c r="AH8" s="121">
        <v>2</v>
      </c>
      <c r="AI8" s="484"/>
      <c r="AJ8" s="202"/>
      <c r="AK8" s="192"/>
      <c r="AL8" s="203"/>
      <c r="AM8" s="121"/>
      <c r="AN8" s="121"/>
      <c r="AO8" s="121"/>
      <c r="AP8" s="121"/>
      <c r="AQ8" s="121"/>
      <c r="AR8" s="448"/>
      <c r="AS8" s="121"/>
      <c r="AT8" s="121"/>
      <c r="AU8" s="121"/>
      <c r="AV8" s="121"/>
      <c r="AW8" s="121"/>
      <c r="AX8" s="121"/>
      <c r="AY8" s="121"/>
      <c r="AZ8" s="121"/>
      <c r="BA8" s="121"/>
      <c r="BB8" s="594"/>
      <c r="BC8" s="594"/>
      <c r="BD8" s="156"/>
      <c r="BE8" s="156"/>
      <c r="BF8" s="156" t="s">
        <v>5207</v>
      </c>
      <c r="BG8" s="156"/>
      <c r="BH8" s="156"/>
      <c r="BI8" s="156"/>
      <c r="BJ8" s="156"/>
      <c r="BK8" s="156"/>
      <c r="BL8" s="156"/>
      <c r="BM8" s="156"/>
      <c r="BN8" s="156"/>
      <c r="BO8" s="156"/>
      <c r="BP8" s="156"/>
      <c r="BQ8" s="595"/>
      <c r="BR8" s="157"/>
      <c r="BS8" s="660"/>
      <c r="BT8" s="134"/>
      <c r="BU8" s="134"/>
      <c r="BV8" s="134"/>
      <c r="BW8" s="134"/>
      <c r="BX8" s="134"/>
      <c r="BY8" s="134"/>
      <c r="BZ8" s="259"/>
      <c r="CA8" s="454"/>
      <c r="CB8" s="138"/>
      <c r="CC8" s="134"/>
      <c r="CD8" s="134"/>
      <c r="CE8" s="190"/>
      <c r="CF8" s="138"/>
      <c r="CG8" s="190"/>
      <c r="CH8" s="190"/>
      <c r="CI8" s="134"/>
      <c r="CJ8" s="288"/>
      <c r="CK8" s="289"/>
      <c r="CL8" s="138"/>
      <c r="CM8" s="134"/>
      <c r="CN8" s="134"/>
      <c r="CO8" s="134"/>
      <c r="CP8" s="138"/>
      <c r="CQ8" s="134"/>
      <c r="CR8" s="134"/>
      <c r="CS8" s="134"/>
      <c r="CT8" s="288"/>
      <c r="CU8" s="289"/>
      <c r="CV8" s="276"/>
      <c r="CW8" s="308"/>
      <c r="CX8" s="138"/>
      <c r="CY8" s="134"/>
      <c r="CZ8" s="134"/>
      <c r="DA8" s="134"/>
      <c r="DB8" s="134"/>
      <c r="DC8" s="190"/>
      <c r="DD8" s="190"/>
      <c r="DE8" s="190"/>
      <c r="DF8" s="300"/>
      <c r="DG8" s="301"/>
      <c r="DH8" s="134"/>
      <c r="DI8" s="134"/>
      <c r="DJ8" s="134"/>
      <c r="DK8" s="134"/>
      <c r="DL8" s="134"/>
      <c r="DM8" s="134"/>
      <c r="DN8" s="134"/>
      <c r="DO8" s="134"/>
      <c r="DP8" s="300"/>
      <c r="DQ8" s="301"/>
      <c r="DR8" s="276"/>
      <c r="DS8" s="277"/>
      <c r="DT8" s="134"/>
      <c r="DU8" s="134"/>
      <c r="DV8" s="134"/>
      <c r="DW8" s="134"/>
      <c r="DX8" s="138"/>
      <c r="DY8" s="134"/>
      <c r="DZ8" s="134"/>
      <c r="EA8" s="134"/>
      <c r="EB8" s="301"/>
      <c r="EC8" s="301"/>
      <c r="ED8" s="138"/>
      <c r="EE8" s="134"/>
      <c r="EF8" s="134"/>
      <c r="EG8" s="134"/>
      <c r="EH8" s="138"/>
      <c r="EI8" s="134"/>
      <c r="EJ8" s="134"/>
      <c r="EK8" s="134"/>
      <c r="EL8" s="301"/>
      <c r="EM8" s="301"/>
      <c r="EN8" s="277"/>
      <c r="EO8" s="134"/>
      <c r="EP8" s="134"/>
      <c r="EQ8" s="134"/>
      <c r="ER8" s="134"/>
      <c r="ES8" s="134"/>
      <c r="ET8" s="134"/>
      <c r="EU8" s="134"/>
      <c r="EV8" s="134"/>
      <c r="EW8" s="301"/>
      <c r="EX8" s="301"/>
      <c r="EY8" s="134"/>
      <c r="EZ8" s="134"/>
      <c r="FA8" s="134"/>
      <c r="FB8" s="134"/>
      <c r="FC8" s="134"/>
      <c r="FD8" s="134"/>
      <c r="FE8" s="134"/>
      <c r="FF8" s="134"/>
      <c r="FG8" s="135"/>
      <c r="FH8" s="135"/>
      <c r="FI8" s="134"/>
      <c r="FJ8" s="134"/>
      <c r="FK8" s="134"/>
      <c r="FL8" s="134"/>
      <c r="FM8" s="134"/>
      <c r="FN8" s="134"/>
      <c r="FO8" s="134"/>
      <c r="FP8" s="134"/>
      <c r="FQ8" s="135"/>
      <c r="FR8" s="135"/>
      <c r="FS8" s="134"/>
      <c r="FT8" s="134"/>
      <c r="FU8" s="134"/>
      <c r="FV8" s="134"/>
      <c r="FW8" s="134"/>
      <c r="FX8" s="134"/>
      <c r="FY8" s="134"/>
      <c r="FZ8" s="134"/>
      <c r="GA8" s="135"/>
      <c r="GB8" s="135"/>
      <c r="GC8" s="134"/>
      <c r="GD8" s="134"/>
      <c r="GE8" s="134"/>
      <c r="GF8" s="134"/>
      <c r="GG8" s="134"/>
      <c r="GH8" s="134"/>
      <c r="GI8" s="134"/>
      <c r="GJ8" s="134"/>
      <c r="GK8" s="135"/>
      <c r="GL8" s="135"/>
      <c r="GM8" s="134"/>
      <c r="GN8" s="134"/>
      <c r="GO8" s="134"/>
      <c r="GP8" s="134"/>
      <c r="GQ8" s="134"/>
      <c r="GR8" s="134"/>
      <c r="GS8" s="134"/>
      <c r="GT8" s="134"/>
      <c r="GU8" s="135"/>
      <c r="GV8" s="135"/>
      <c r="GW8" s="134"/>
      <c r="GX8" s="134"/>
      <c r="GY8" s="134"/>
      <c r="GZ8" s="134"/>
      <c r="HA8" s="134"/>
      <c r="HB8" s="134"/>
      <c r="HC8" s="134"/>
      <c r="HD8" s="134"/>
      <c r="HE8" s="135"/>
      <c r="HF8" s="135"/>
      <c r="HG8" s="134"/>
      <c r="HH8" s="134"/>
      <c r="HI8" s="134"/>
      <c r="HJ8" s="134"/>
      <c r="HK8" s="134"/>
      <c r="HL8" s="134"/>
      <c r="HM8" s="134"/>
      <c r="HN8" s="134"/>
      <c r="HO8" s="135"/>
      <c r="HP8" s="135"/>
      <c r="HQ8" s="134"/>
      <c r="HR8" s="134"/>
      <c r="HS8" s="134"/>
      <c r="HT8" s="134"/>
      <c r="HU8" s="134"/>
      <c r="HV8" s="134"/>
      <c r="HW8" s="134"/>
      <c r="HX8" s="134"/>
      <c r="HY8" s="135"/>
      <c r="HZ8" s="135"/>
      <c r="IA8" s="134"/>
      <c r="IB8" s="134"/>
      <c r="IC8" s="134"/>
      <c r="ID8" s="134"/>
      <c r="IE8" s="134"/>
      <c r="IF8" s="134"/>
      <c r="IG8" s="134"/>
      <c r="IH8" s="134"/>
      <c r="II8" s="135"/>
      <c r="IJ8" s="135"/>
      <c r="IK8" s="134"/>
      <c r="IL8" s="134"/>
      <c r="IM8" s="134"/>
      <c r="IN8" s="134"/>
      <c r="IO8" s="134"/>
      <c r="IP8" s="134"/>
      <c r="IQ8" s="134"/>
      <c r="IR8" s="134"/>
      <c r="IS8" s="135"/>
      <c r="IT8" s="135"/>
      <c r="IU8" s="134"/>
      <c r="IV8" s="134"/>
      <c r="IW8" s="134"/>
      <c r="IX8" s="134"/>
      <c r="IY8" s="134"/>
      <c r="IZ8" s="134"/>
      <c r="JA8" s="134"/>
      <c r="JB8" s="134"/>
      <c r="JC8" s="135"/>
      <c r="JD8" s="135"/>
    </row>
    <row r="9" spans="1:264" ht="15" customHeight="1">
      <c r="A9" s="79" t="s">
        <v>91</v>
      </c>
      <c r="B9" s="362">
        <v>69</v>
      </c>
      <c r="C9" s="362"/>
      <c r="D9" s="362">
        <v>12</v>
      </c>
      <c r="E9" s="604" t="s">
        <v>1927</v>
      </c>
      <c r="F9" s="124" t="s">
        <v>2144</v>
      </c>
      <c r="G9" s="125">
        <v>1998</v>
      </c>
      <c r="H9" s="79">
        <v>9870231</v>
      </c>
      <c r="I9" s="79">
        <v>1</v>
      </c>
      <c r="J9" s="126"/>
      <c r="K9" s="127"/>
      <c r="L9" s="79">
        <v>1</v>
      </c>
      <c r="M9" s="79"/>
      <c r="N9" s="79">
        <v>1</v>
      </c>
      <c r="O9" s="128">
        <v>1</v>
      </c>
      <c r="P9" s="79" t="s">
        <v>1182</v>
      </c>
      <c r="Q9" s="79" t="s">
        <v>1181</v>
      </c>
      <c r="R9" s="79" t="s">
        <v>47</v>
      </c>
      <c r="S9" s="79">
        <v>1</v>
      </c>
      <c r="T9" s="79"/>
      <c r="U9" s="79"/>
      <c r="V9" s="79"/>
      <c r="W9" s="79" t="s">
        <v>49</v>
      </c>
      <c r="X9" s="79" t="s">
        <v>12</v>
      </c>
      <c r="Y9" s="79" t="s">
        <v>48</v>
      </c>
      <c r="Z9" s="79"/>
      <c r="AA9" s="79"/>
      <c r="AB9" s="79"/>
      <c r="AC9" s="506" t="s">
        <v>6176</v>
      </c>
      <c r="AD9" s="573">
        <v>1</v>
      </c>
      <c r="AE9" s="573">
        <v>0</v>
      </c>
      <c r="AF9" s="154"/>
      <c r="AG9" s="155"/>
      <c r="AH9" s="121">
        <v>2</v>
      </c>
      <c r="AI9" s="484"/>
      <c r="AJ9" s="202"/>
      <c r="AK9" s="192"/>
      <c r="AL9" s="203"/>
      <c r="AM9" s="121"/>
      <c r="AN9" s="121"/>
      <c r="AO9" s="121"/>
      <c r="AP9" s="121"/>
      <c r="AQ9" s="121"/>
      <c r="AR9" s="121"/>
      <c r="AS9" s="121"/>
      <c r="AT9" s="121"/>
      <c r="AU9" s="121"/>
      <c r="AV9" s="121"/>
      <c r="AW9" s="121"/>
      <c r="AX9" s="121"/>
      <c r="AY9" s="121"/>
      <c r="AZ9" s="121"/>
      <c r="BA9" s="121"/>
      <c r="BB9" s="594"/>
      <c r="BC9" s="594"/>
      <c r="BD9" s="156"/>
      <c r="BE9" s="156"/>
      <c r="BF9" s="156" t="s">
        <v>5207</v>
      </c>
      <c r="BG9" s="156"/>
      <c r="BH9" s="156"/>
      <c r="BI9" s="156" t="s">
        <v>4727</v>
      </c>
      <c r="BJ9" s="156"/>
      <c r="BK9" s="156"/>
      <c r="BL9" s="156"/>
      <c r="BM9" s="156"/>
      <c r="BN9" s="156"/>
      <c r="BO9" s="156"/>
      <c r="BP9" s="156"/>
      <c r="BQ9" s="595"/>
      <c r="BR9" s="157"/>
      <c r="BS9" s="660"/>
      <c r="BT9" s="134"/>
      <c r="BU9" s="134"/>
      <c r="BV9" s="134"/>
      <c r="BW9" s="134"/>
      <c r="BX9" s="134"/>
      <c r="BY9" s="134"/>
      <c r="BZ9" s="259"/>
      <c r="CA9" s="454"/>
      <c r="CB9" s="138"/>
      <c r="CC9" s="134"/>
      <c r="CD9" s="134"/>
      <c r="CE9" s="134"/>
      <c r="CF9" s="138"/>
      <c r="CG9" s="134"/>
      <c r="CH9" s="134"/>
      <c r="CI9" s="134"/>
      <c r="CJ9" s="288"/>
      <c r="CK9" s="289"/>
      <c r="CL9" s="138"/>
      <c r="CM9" s="134"/>
      <c r="CN9" s="134"/>
      <c r="CO9" s="134"/>
      <c r="CP9" s="138"/>
      <c r="CQ9" s="134"/>
      <c r="CR9" s="134"/>
      <c r="CS9" s="134"/>
      <c r="CT9" s="288"/>
      <c r="CU9" s="289"/>
      <c r="CV9" s="276"/>
      <c r="CW9" s="308"/>
      <c r="CX9" s="138"/>
      <c r="CY9" s="190"/>
      <c r="CZ9" s="134"/>
      <c r="DA9" s="190"/>
      <c r="DB9" s="134"/>
      <c r="DC9" s="190"/>
      <c r="DD9" s="134"/>
      <c r="DE9" s="190"/>
      <c r="DF9" s="300"/>
      <c r="DG9" s="301"/>
      <c r="DH9" s="134"/>
      <c r="DI9" s="190"/>
      <c r="DJ9" s="134"/>
      <c r="DK9" s="190"/>
      <c r="DL9" s="134"/>
      <c r="DM9" s="190"/>
      <c r="DN9" s="134"/>
      <c r="DO9" s="190"/>
      <c r="DP9" s="300"/>
      <c r="DQ9" s="301"/>
      <c r="DR9" s="317"/>
      <c r="DS9" s="318"/>
      <c r="DT9" s="134"/>
      <c r="DU9" s="134"/>
      <c r="DV9" s="134"/>
      <c r="DW9" s="134"/>
      <c r="DX9" s="138"/>
      <c r="DY9" s="134"/>
      <c r="DZ9" s="134"/>
      <c r="EA9" s="134"/>
      <c r="EB9" s="301"/>
      <c r="EC9" s="301"/>
      <c r="ED9" s="138"/>
      <c r="EE9" s="134"/>
      <c r="EF9" s="134"/>
      <c r="EG9" s="134"/>
      <c r="EH9" s="138"/>
      <c r="EI9" s="134"/>
      <c r="EJ9" s="134"/>
      <c r="EK9" s="134"/>
      <c r="EL9" s="301"/>
      <c r="EM9" s="301"/>
      <c r="EN9" s="277"/>
      <c r="EO9" s="134"/>
      <c r="EP9" s="134"/>
      <c r="EQ9" s="134"/>
      <c r="ER9" s="134"/>
      <c r="ES9" s="134"/>
      <c r="ET9" s="134"/>
      <c r="EU9" s="134"/>
      <c r="EV9" s="134"/>
      <c r="EW9" s="301"/>
      <c r="EX9" s="301"/>
      <c r="EY9" s="134"/>
      <c r="EZ9" s="134"/>
      <c r="FA9" s="134"/>
      <c r="FB9" s="134"/>
      <c r="FC9" s="134"/>
      <c r="FD9" s="134"/>
      <c r="FE9" s="134"/>
      <c r="FF9" s="134"/>
      <c r="FG9" s="135"/>
      <c r="FH9" s="135"/>
      <c r="FI9" s="134"/>
      <c r="FJ9" s="134"/>
      <c r="FK9" s="134"/>
      <c r="FL9" s="134"/>
      <c r="FM9" s="134"/>
      <c r="FN9" s="134"/>
      <c r="FO9" s="134"/>
      <c r="FP9" s="134"/>
      <c r="FQ9" s="135"/>
      <c r="FR9" s="135"/>
      <c r="FS9" s="134"/>
      <c r="FT9" s="134"/>
      <c r="FU9" s="134"/>
      <c r="FV9" s="134"/>
      <c r="FW9" s="134"/>
      <c r="FX9" s="134"/>
      <c r="FY9" s="134"/>
      <c r="FZ9" s="134"/>
      <c r="GA9" s="135"/>
      <c r="GB9" s="135"/>
      <c r="GC9" s="134"/>
      <c r="GD9" s="134"/>
      <c r="GE9" s="134"/>
      <c r="GF9" s="134"/>
      <c r="GG9" s="134"/>
      <c r="GH9" s="134"/>
      <c r="GI9" s="134"/>
      <c r="GJ9" s="134"/>
      <c r="GK9" s="135"/>
      <c r="GL9" s="135"/>
      <c r="GM9" s="134"/>
      <c r="GN9" s="134"/>
      <c r="GO9" s="134"/>
      <c r="GP9" s="134"/>
      <c r="GQ9" s="134"/>
      <c r="GR9" s="134"/>
      <c r="GS9" s="134"/>
      <c r="GT9" s="134"/>
      <c r="GU9" s="135"/>
      <c r="GV9" s="135"/>
      <c r="GW9" s="134"/>
      <c r="GX9" s="134"/>
      <c r="GY9" s="134"/>
      <c r="GZ9" s="134"/>
      <c r="HA9" s="134"/>
      <c r="HB9" s="134"/>
      <c r="HC9" s="134"/>
      <c r="HD9" s="134"/>
      <c r="HE9" s="135"/>
      <c r="HF9" s="135"/>
      <c r="HG9" s="134"/>
      <c r="HH9" s="134"/>
      <c r="HI9" s="134"/>
      <c r="HJ9" s="134"/>
      <c r="HK9" s="134"/>
      <c r="HL9" s="134"/>
      <c r="HM9" s="134"/>
      <c r="HN9" s="134"/>
      <c r="HO9" s="135"/>
      <c r="HP9" s="135"/>
      <c r="HQ9" s="134"/>
      <c r="HR9" s="134"/>
      <c r="HS9" s="134"/>
      <c r="HT9" s="134"/>
      <c r="HU9" s="134"/>
      <c r="HV9" s="134"/>
      <c r="HW9" s="134"/>
      <c r="HX9" s="134"/>
      <c r="HY9" s="135"/>
      <c r="HZ9" s="135"/>
      <c r="IA9" s="134"/>
      <c r="IB9" s="134"/>
      <c r="IC9" s="134"/>
      <c r="ID9" s="134"/>
      <c r="IE9" s="134"/>
      <c r="IF9" s="134"/>
      <c r="IG9" s="134"/>
      <c r="IH9" s="134"/>
      <c r="II9" s="135"/>
      <c r="IJ9" s="135"/>
      <c r="IK9" s="134"/>
      <c r="IL9" s="134"/>
      <c r="IM9" s="134"/>
      <c r="IN9" s="134"/>
      <c r="IO9" s="134"/>
      <c r="IP9" s="134"/>
      <c r="IQ9" s="134"/>
      <c r="IR9" s="134"/>
      <c r="IS9" s="135"/>
      <c r="IT9" s="135"/>
      <c r="IU9" s="134"/>
      <c r="IV9" s="134"/>
      <c r="IW9" s="134"/>
      <c r="IX9" s="134"/>
      <c r="IY9" s="134"/>
      <c r="IZ9" s="134"/>
      <c r="JA9" s="134"/>
      <c r="JB9" s="134"/>
      <c r="JC9" s="135"/>
      <c r="JD9" s="135"/>
    </row>
    <row r="10" spans="1:264" s="229" customFormat="1" ht="15" customHeight="1">
      <c r="A10" s="79" t="s">
        <v>98</v>
      </c>
      <c r="B10" s="362">
        <v>73</v>
      </c>
      <c r="C10" s="362"/>
      <c r="D10" s="362">
        <v>15</v>
      </c>
      <c r="E10" s="604" t="s">
        <v>1929</v>
      </c>
      <c r="F10" s="124" t="s">
        <v>2146</v>
      </c>
      <c r="G10" s="125">
        <v>1985</v>
      </c>
      <c r="H10" s="79">
        <v>3989520</v>
      </c>
      <c r="I10" s="79">
        <v>1</v>
      </c>
      <c r="J10" s="126"/>
      <c r="K10" s="127"/>
      <c r="L10" s="79">
        <v>1</v>
      </c>
      <c r="M10" s="79"/>
      <c r="N10" s="79">
        <v>1</v>
      </c>
      <c r="O10" s="128">
        <v>1</v>
      </c>
      <c r="P10" s="79" t="s">
        <v>1179</v>
      </c>
      <c r="Q10" s="79" t="s">
        <v>1142</v>
      </c>
      <c r="R10" s="79" t="s">
        <v>25</v>
      </c>
      <c r="S10" s="79">
        <v>1</v>
      </c>
      <c r="T10" s="79"/>
      <c r="U10" s="79"/>
      <c r="V10" s="79"/>
      <c r="W10" s="79" t="s">
        <v>67</v>
      </c>
      <c r="X10" s="79" t="s">
        <v>12</v>
      </c>
      <c r="Y10" s="79"/>
      <c r="Z10" s="79"/>
      <c r="AA10" s="79"/>
      <c r="AB10" s="79"/>
      <c r="AC10" s="506" t="s">
        <v>6179</v>
      </c>
      <c r="AD10" s="573">
        <v>1</v>
      </c>
      <c r="AE10" s="573">
        <v>0</v>
      </c>
      <c r="AF10" s="154">
        <v>0</v>
      </c>
      <c r="AG10" s="155" t="s">
        <v>6180</v>
      </c>
      <c r="AH10" s="121">
        <v>2</v>
      </c>
      <c r="AI10" s="484"/>
      <c r="AJ10" s="202"/>
      <c r="AK10" s="192"/>
      <c r="AL10" s="203"/>
      <c r="AM10" s="121"/>
      <c r="AN10" s="121"/>
      <c r="AO10" s="121"/>
      <c r="AP10" s="121"/>
      <c r="AQ10" s="121"/>
      <c r="AR10" s="121"/>
      <c r="AS10" s="121"/>
      <c r="AT10" s="121"/>
      <c r="AU10" s="121"/>
      <c r="AV10" s="121"/>
      <c r="AW10" s="121"/>
      <c r="AX10" s="121"/>
      <c r="AY10" s="121"/>
      <c r="AZ10" s="121"/>
      <c r="BA10" s="121"/>
      <c r="BB10" s="594"/>
      <c r="BC10" s="594"/>
      <c r="BD10" s="156"/>
      <c r="BE10" s="156"/>
      <c r="BF10" s="156"/>
      <c r="BG10" s="156"/>
      <c r="BH10" s="156"/>
      <c r="BI10" s="156"/>
      <c r="BJ10" s="156"/>
      <c r="BK10" s="156"/>
      <c r="BL10" s="156"/>
      <c r="BM10" s="156"/>
      <c r="BN10" s="156"/>
      <c r="BO10" s="156"/>
      <c r="BP10" s="156"/>
      <c r="BQ10" s="595"/>
      <c r="BR10" s="157"/>
      <c r="BS10" s="660"/>
      <c r="BT10" s="134"/>
      <c r="BU10" s="134"/>
      <c r="BV10" s="134"/>
      <c r="BW10" s="134"/>
      <c r="BX10" s="134"/>
      <c r="BY10" s="134"/>
      <c r="BZ10" s="454"/>
      <c r="CA10" s="454"/>
      <c r="CB10" s="138"/>
      <c r="CC10" s="134"/>
      <c r="CD10" s="134"/>
      <c r="CE10" s="134"/>
      <c r="CF10" s="138"/>
      <c r="CG10" s="134"/>
      <c r="CH10" s="134"/>
      <c r="CI10" s="134"/>
      <c r="CJ10" s="288"/>
      <c r="CK10" s="289"/>
      <c r="CL10" s="138"/>
      <c r="CM10" s="134"/>
      <c r="CN10" s="134"/>
      <c r="CO10" s="134"/>
      <c r="CP10" s="138"/>
      <c r="CQ10" s="134"/>
      <c r="CR10" s="134"/>
      <c r="CS10" s="134"/>
      <c r="CT10" s="288"/>
      <c r="CU10" s="289"/>
      <c r="CV10" s="276"/>
      <c r="CW10" s="308"/>
      <c r="CX10" s="138"/>
      <c r="CY10" s="134"/>
      <c r="CZ10" s="134"/>
      <c r="DA10" s="134"/>
      <c r="DB10" s="134"/>
      <c r="DC10" s="134"/>
      <c r="DD10" s="134"/>
      <c r="DE10" s="134"/>
      <c r="DF10" s="300"/>
      <c r="DG10" s="301"/>
      <c r="DH10" s="134"/>
      <c r="DI10" s="134"/>
      <c r="DJ10" s="134"/>
      <c r="DK10" s="134"/>
      <c r="DL10" s="134"/>
      <c r="DM10" s="134"/>
      <c r="DN10" s="134"/>
      <c r="DO10" s="134"/>
      <c r="DP10" s="300"/>
      <c r="DQ10" s="301"/>
      <c r="DR10" s="276"/>
      <c r="DS10" s="277"/>
      <c r="DT10" s="134"/>
      <c r="DU10" s="134"/>
      <c r="DV10" s="134"/>
      <c r="DW10" s="134"/>
      <c r="DX10" s="138"/>
      <c r="DY10" s="134"/>
      <c r="DZ10" s="134"/>
      <c r="EA10" s="134"/>
      <c r="EB10" s="301"/>
      <c r="EC10" s="301"/>
      <c r="ED10" s="138"/>
      <c r="EE10" s="134"/>
      <c r="EF10" s="134"/>
      <c r="EG10" s="134"/>
      <c r="EH10" s="138"/>
      <c r="EI10" s="134"/>
      <c r="EJ10" s="134"/>
      <c r="EK10" s="134"/>
      <c r="EL10" s="301"/>
      <c r="EM10" s="301"/>
      <c r="EN10" s="277"/>
      <c r="EO10" s="134"/>
      <c r="EP10" s="134"/>
      <c r="EQ10" s="134"/>
      <c r="ER10" s="134"/>
      <c r="ES10" s="134"/>
      <c r="ET10" s="134"/>
      <c r="EU10" s="134"/>
      <c r="EV10" s="134"/>
      <c r="EW10" s="301"/>
      <c r="EX10" s="301"/>
      <c r="EY10" s="134"/>
      <c r="EZ10" s="134"/>
      <c r="FA10" s="134"/>
      <c r="FB10" s="134"/>
      <c r="FC10" s="134"/>
      <c r="FD10" s="134"/>
      <c r="FE10" s="134"/>
      <c r="FF10" s="134"/>
      <c r="FG10" s="135"/>
      <c r="FH10" s="135"/>
      <c r="FI10" s="134"/>
      <c r="FJ10" s="134"/>
      <c r="FK10" s="134"/>
      <c r="FL10" s="134"/>
      <c r="FM10" s="134"/>
      <c r="FN10" s="134"/>
      <c r="FO10" s="134"/>
      <c r="FP10" s="134"/>
      <c r="FQ10" s="135"/>
      <c r="FR10" s="135"/>
      <c r="FS10" s="134"/>
      <c r="FT10" s="134"/>
      <c r="FU10" s="134"/>
      <c r="FV10" s="134"/>
      <c r="FW10" s="134"/>
      <c r="FX10" s="134"/>
      <c r="FY10" s="134"/>
      <c r="FZ10" s="134"/>
      <c r="GA10" s="135"/>
      <c r="GB10" s="135"/>
      <c r="GC10" s="134"/>
      <c r="GD10" s="134"/>
      <c r="GE10" s="134"/>
      <c r="GF10" s="134"/>
      <c r="GG10" s="134"/>
      <c r="GH10" s="134"/>
      <c r="GI10" s="134"/>
      <c r="GJ10" s="134"/>
      <c r="GK10" s="135"/>
      <c r="GL10" s="135"/>
      <c r="GM10" s="134"/>
      <c r="GN10" s="134"/>
      <c r="GO10" s="134"/>
      <c r="GP10" s="134"/>
      <c r="GQ10" s="134"/>
      <c r="GR10" s="134"/>
      <c r="GS10" s="134"/>
      <c r="GT10" s="134"/>
      <c r="GU10" s="135"/>
      <c r="GV10" s="135"/>
      <c r="GW10" s="134"/>
      <c r="GX10" s="134"/>
      <c r="GY10" s="134"/>
      <c r="GZ10" s="134"/>
      <c r="HA10" s="134"/>
      <c r="HB10" s="134"/>
      <c r="HC10" s="134"/>
      <c r="HD10" s="134"/>
      <c r="HE10" s="135"/>
      <c r="HF10" s="135"/>
      <c r="HG10" s="134"/>
      <c r="HH10" s="134"/>
      <c r="HI10" s="134"/>
      <c r="HJ10" s="134"/>
      <c r="HK10" s="134"/>
      <c r="HL10" s="134"/>
      <c r="HM10" s="134"/>
      <c r="HN10" s="134"/>
      <c r="HO10" s="135"/>
      <c r="HP10" s="135"/>
      <c r="HQ10" s="134"/>
      <c r="HR10" s="134"/>
      <c r="HS10" s="134"/>
      <c r="HT10" s="134"/>
      <c r="HU10" s="134"/>
      <c r="HV10" s="134"/>
      <c r="HW10" s="134"/>
      <c r="HX10" s="134"/>
      <c r="HY10" s="135"/>
      <c r="HZ10" s="135"/>
      <c r="IA10" s="134"/>
      <c r="IB10" s="134"/>
      <c r="IC10" s="134"/>
      <c r="ID10" s="134"/>
      <c r="IE10" s="134"/>
      <c r="IF10" s="134"/>
      <c r="IG10" s="134"/>
      <c r="IH10" s="134"/>
      <c r="II10" s="135"/>
      <c r="IJ10" s="135"/>
      <c r="IK10" s="134"/>
      <c r="IL10" s="134"/>
      <c r="IM10" s="134"/>
      <c r="IN10" s="134"/>
      <c r="IO10" s="134"/>
      <c r="IP10" s="134"/>
      <c r="IQ10" s="134"/>
      <c r="IR10" s="134"/>
      <c r="IS10" s="135"/>
      <c r="IT10" s="135"/>
      <c r="IU10" s="134"/>
      <c r="IV10" s="134"/>
      <c r="IW10" s="134"/>
      <c r="IX10" s="134"/>
      <c r="IY10" s="134"/>
      <c r="IZ10" s="134"/>
      <c r="JA10" s="134"/>
      <c r="JB10" s="134"/>
      <c r="JC10" s="135"/>
      <c r="JD10" s="135"/>
    </row>
    <row r="11" spans="1:264" customFormat="1" ht="15" customHeight="1">
      <c r="A11" s="79" t="s">
        <v>100</v>
      </c>
      <c r="B11" s="362">
        <v>74</v>
      </c>
      <c r="C11" s="362"/>
      <c r="D11" s="362">
        <v>16</v>
      </c>
      <c r="E11" s="604" t="s">
        <v>1930</v>
      </c>
      <c r="F11" s="124" t="s">
        <v>2147</v>
      </c>
      <c r="G11" s="125">
        <v>2005</v>
      </c>
      <c r="H11" s="79">
        <v>15820703</v>
      </c>
      <c r="I11" s="79">
        <v>1</v>
      </c>
      <c r="J11" s="126" t="s">
        <v>1774</v>
      </c>
      <c r="K11" s="127" t="s">
        <v>1756</v>
      </c>
      <c r="L11" s="79">
        <v>1</v>
      </c>
      <c r="M11" s="79" t="s">
        <v>1733</v>
      </c>
      <c r="N11" s="79">
        <v>1</v>
      </c>
      <c r="O11" s="128">
        <v>1</v>
      </c>
      <c r="P11" s="79" t="s">
        <v>1179</v>
      </c>
      <c r="Q11" s="79" t="s">
        <v>1142</v>
      </c>
      <c r="R11" s="79" t="s">
        <v>25</v>
      </c>
      <c r="S11" s="79">
        <v>1</v>
      </c>
      <c r="T11" s="79"/>
      <c r="U11" s="79"/>
      <c r="V11" s="79"/>
      <c r="W11" s="79" t="s">
        <v>69</v>
      </c>
      <c r="X11" s="79" t="s">
        <v>56</v>
      </c>
      <c r="Y11" s="79"/>
      <c r="Z11" s="79"/>
      <c r="AA11" s="79"/>
      <c r="AB11" s="79"/>
      <c r="AC11" s="506" t="s">
        <v>6181</v>
      </c>
      <c r="AD11" s="573">
        <v>1</v>
      </c>
      <c r="AE11" s="573">
        <v>0</v>
      </c>
      <c r="AF11" s="154">
        <v>0</v>
      </c>
      <c r="AG11" s="582" t="s">
        <v>6182</v>
      </c>
      <c r="AH11" s="121">
        <v>2</v>
      </c>
      <c r="AI11" s="484"/>
      <c r="AJ11" s="202"/>
      <c r="AK11" s="192"/>
      <c r="AL11" s="203"/>
      <c r="AM11" s="121"/>
      <c r="AN11" s="121"/>
      <c r="AO11" s="121"/>
      <c r="AP11" s="121"/>
      <c r="AQ11" s="121"/>
      <c r="AR11" s="121"/>
      <c r="AS11" s="121"/>
      <c r="AT11" s="121"/>
      <c r="AU11" s="121"/>
      <c r="AV11" s="121"/>
      <c r="AW11" s="121"/>
      <c r="AX11" s="121"/>
      <c r="AY11" s="121"/>
      <c r="AZ11" s="121"/>
      <c r="BA11" s="121"/>
      <c r="BB11" s="594"/>
      <c r="BC11" s="594"/>
      <c r="BD11" s="156"/>
      <c r="BE11" s="156"/>
      <c r="BF11" s="156"/>
      <c r="BG11" s="156"/>
      <c r="BH11" s="156"/>
      <c r="BI11" s="156"/>
      <c r="BJ11" s="156"/>
      <c r="BK11" s="156"/>
      <c r="BL11" s="156"/>
      <c r="BM11" s="156"/>
      <c r="BN11" s="156"/>
      <c r="BO11" s="156"/>
      <c r="BP11" s="156"/>
      <c r="BQ11" s="595"/>
      <c r="BR11" s="157"/>
      <c r="BS11" s="660"/>
      <c r="BT11" s="134"/>
      <c r="BU11" s="134"/>
      <c r="BV11" s="134"/>
      <c r="BW11" s="134"/>
      <c r="BX11" s="134"/>
      <c r="BY11" s="134"/>
      <c r="BZ11" s="259"/>
      <c r="CA11" s="454"/>
      <c r="CB11" s="138"/>
      <c r="CC11" s="190"/>
      <c r="CD11" s="134"/>
      <c r="CE11" s="190"/>
      <c r="CF11" s="138"/>
      <c r="CG11" s="134"/>
      <c r="CH11" s="134"/>
      <c r="CI11" s="134"/>
      <c r="CJ11" s="288"/>
      <c r="CK11" s="289"/>
      <c r="CL11" s="138"/>
      <c r="CM11" s="134"/>
      <c r="CN11" s="134"/>
      <c r="CO11" s="134"/>
      <c r="CP11" s="138"/>
      <c r="CQ11" s="134"/>
      <c r="CR11" s="134"/>
      <c r="CS11" s="134"/>
      <c r="CT11" s="288"/>
      <c r="CU11" s="289"/>
      <c r="CV11" s="276"/>
      <c r="CW11" s="308"/>
      <c r="CX11" s="138"/>
      <c r="CY11" s="134"/>
      <c r="CZ11" s="134"/>
      <c r="DA11" s="134"/>
      <c r="DB11" s="134"/>
      <c r="DC11" s="134"/>
      <c r="DD11" s="134"/>
      <c r="DE11" s="134"/>
      <c r="DF11" s="300"/>
      <c r="DG11" s="301"/>
      <c r="DH11" s="134"/>
      <c r="DI11" s="190"/>
      <c r="DJ11" s="190"/>
      <c r="DK11" s="190"/>
      <c r="DL11" s="134"/>
      <c r="DM11" s="134"/>
      <c r="DN11" s="134"/>
      <c r="DO11" s="134"/>
      <c r="DP11" s="300"/>
      <c r="DQ11" s="301"/>
      <c r="DR11" s="276"/>
      <c r="DS11" s="277"/>
      <c r="DT11" s="134"/>
      <c r="DU11" s="134"/>
      <c r="DV11" s="134"/>
      <c r="DW11" s="134"/>
      <c r="DX11" s="138"/>
      <c r="DY11" s="134"/>
      <c r="DZ11" s="134"/>
      <c r="EA11" s="134"/>
      <c r="EB11" s="301"/>
      <c r="EC11" s="301"/>
      <c r="ED11" s="138"/>
      <c r="EE11" s="134"/>
      <c r="EF11" s="134"/>
      <c r="EG11" s="134"/>
      <c r="EH11" s="138"/>
      <c r="EI11" s="134"/>
      <c r="EJ11" s="134"/>
      <c r="EK11" s="134"/>
      <c r="EL11" s="301"/>
      <c r="EM11" s="301"/>
      <c r="EN11" s="277"/>
      <c r="EO11" s="134"/>
      <c r="EP11" s="134"/>
      <c r="EQ11" s="134"/>
      <c r="ER11" s="134"/>
      <c r="ES11" s="134"/>
      <c r="ET11" s="134"/>
      <c r="EU11" s="134"/>
      <c r="EV11" s="134"/>
      <c r="EW11" s="301"/>
      <c r="EX11" s="301"/>
      <c r="EY11" s="134"/>
      <c r="EZ11" s="134"/>
      <c r="FA11" s="134"/>
      <c r="FB11" s="134"/>
      <c r="FC11" s="134"/>
      <c r="FD11" s="134"/>
      <c r="FE11" s="134"/>
      <c r="FF11" s="134"/>
      <c r="FG11" s="135"/>
      <c r="FH11" s="135"/>
      <c r="FI11" s="134"/>
      <c r="FJ11" s="134"/>
      <c r="FK11" s="134"/>
      <c r="FL11" s="134"/>
      <c r="FM11" s="134"/>
      <c r="FN11" s="134"/>
      <c r="FO11" s="134"/>
      <c r="FP11" s="134"/>
      <c r="FQ11" s="135"/>
      <c r="FR11" s="135"/>
      <c r="FS11" s="134"/>
      <c r="FT11" s="134"/>
      <c r="FU11" s="134"/>
      <c r="FV11" s="134"/>
      <c r="FW11" s="134"/>
      <c r="FX11" s="134"/>
      <c r="FY11" s="134"/>
      <c r="FZ11" s="134"/>
      <c r="GA11" s="135"/>
      <c r="GB11" s="135"/>
      <c r="GC11" s="134"/>
      <c r="GD11" s="134"/>
      <c r="GE11" s="134"/>
      <c r="GF11" s="134"/>
      <c r="GG11" s="134"/>
      <c r="GH11" s="134"/>
      <c r="GI11" s="134"/>
      <c r="GJ11" s="134"/>
      <c r="GK11" s="135"/>
      <c r="GL11" s="135"/>
      <c r="GM11" s="134"/>
      <c r="GN11" s="134"/>
      <c r="GO11" s="134"/>
      <c r="GP11" s="134"/>
      <c r="GQ11" s="134"/>
      <c r="GR11" s="134"/>
      <c r="GS11" s="134"/>
      <c r="GT11" s="134"/>
      <c r="GU11" s="135"/>
      <c r="GV11" s="135"/>
      <c r="GW11" s="134"/>
      <c r="GX11" s="134"/>
      <c r="GY11" s="134"/>
      <c r="GZ11" s="134"/>
      <c r="HA11" s="134"/>
      <c r="HB11" s="134"/>
      <c r="HC11" s="134"/>
      <c r="HD11" s="134"/>
      <c r="HE11" s="135"/>
      <c r="HF11" s="135"/>
      <c r="HG11" s="134"/>
      <c r="HH11" s="134"/>
      <c r="HI11" s="134"/>
      <c r="HJ11" s="134"/>
      <c r="HK11" s="134"/>
      <c r="HL11" s="134"/>
      <c r="HM11" s="134"/>
      <c r="HN11" s="134"/>
      <c r="HO11" s="135"/>
      <c r="HP11" s="135"/>
      <c r="HQ11" s="134"/>
      <c r="HR11" s="134"/>
      <c r="HS11" s="134"/>
      <c r="HT11" s="134"/>
      <c r="HU11" s="134"/>
      <c r="HV11" s="134"/>
      <c r="HW11" s="134"/>
      <c r="HX11" s="134"/>
      <c r="HY11" s="135"/>
      <c r="HZ11" s="135"/>
      <c r="IA11" s="134"/>
      <c r="IB11" s="134"/>
      <c r="IC11" s="134"/>
      <c r="ID11" s="134"/>
      <c r="IE11" s="134"/>
      <c r="IF11" s="134"/>
      <c r="IG11" s="134"/>
      <c r="IH11" s="134"/>
      <c r="II11" s="135"/>
      <c r="IJ11" s="135"/>
      <c r="IK11" s="134"/>
      <c r="IL11" s="134"/>
      <c r="IM11" s="134"/>
      <c r="IN11" s="134"/>
      <c r="IO11" s="134"/>
      <c r="IP11" s="134"/>
      <c r="IQ11" s="134"/>
      <c r="IR11" s="134"/>
      <c r="IS11" s="135"/>
      <c r="IT11" s="135"/>
      <c r="IU11" s="134"/>
      <c r="IV11" s="134"/>
      <c r="IW11" s="134"/>
      <c r="IX11" s="134"/>
      <c r="IY11" s="134"/>
      <c r="IZ11" s="134"/>
      <c r="JA11" s="134"/>
      <c r="JB11" s="134"/>
      <c r="JC11" s="135"/>
      <c r="JD11" s="135"/>
    </row>
    <row r="12" spans="1:264" s="119" customFormat="1" ht="15" customHeight="1">
      <c r="A12" s="79" t="s">
        <v>111</v>
      </c>
      <c r="B12" s="362">
        <v>79</v>
      </c>
      <c r="C12" s="362"/>
      <c r="D12" s="362">
        <v>17</v>
      </c>
      <c r="E12" s="604" t="s">
        <v>1934</v>
      </c>
      <c r="F12" s="124" t="s">
        <v>2152</v>
      </c>
      <c r="G12" s="125">
        <v>1999</v>
      </c>
      <c r="H12" s="79">
        <v>10378168</v>
      </c>
      <c r="I12" s="79">
        <v>1</v>
      </c>
      <c r="J12" s="126"/>
      <c r="K12" s="127"/>
      <c r="L12" s="79">
        <v>1</v>
      </c>
      <c r="M12" s="79" t="s">
        <v>1734</v>
      </c>
      <c r="N12" s="171">
        <v>1</v>
      </c>
      <c r="O12" s="128">
        <v>1</v>
      </c>
      <c r="P12" s="79" t="s">
        <v>383</v>
      </c>
      <c r="Q12" s="79" t="s">
        <v>1143</v>
      </c>
      <c r="R12" s="79" t="s">
        <v>25</v>
      </c>
      <c r="S12" s="79">
        <v>1</v>
      </c>
      <c r="T12" s="79"/>
      <c r="U12" s="79"/>
      <c r="V12" s="79"/>
      <c r="W12" s="79" t="s">
        <v>382</v>
      </c>
      <c r="X12" s="79"/>
      <c r="Y12" s="79"/>
      <c r="Z12" s="79"/>
      <c r="AA12" s="79"/>
      <c r="AB12" s="79"/>
      <c r="AC12" s="506" t="s">
        <v>31</v>
      </c>
      <c r="AD12" s="573">
        <v>1</v>
      </c>
      <c r="AE12" s="573">
        <v>0</v>
      </c>
      <c r="AF12" s="154"/>
      <c r="AG12" s="155"/>
      <c r="AH12" s="121">
        <v>2</v>
      </c>
      <c r="AI12" s="484"/>
      <c r="AJ12" s="202"/>
      <c r="AK12" s="192"/>
      <c r="AL12" s="203"/>
      <c r="AM12" s="121"/>
      <c r="AN12" s="121"/>
      <c r="AO12" s="121"/>
      <c r="AP12" s="121"/>
      <c r="AQ12" s="121"/>
      <c r="AR12" s="121"/>
      <c r="AS12" s="121"/>
      <c r="AT12" s="121"/>
      <c r="AU12" s="121"/>
      <c r="AV12" s="121"/>
      <c r="AW12" s="121"/>
      <c r="AX12" s="121"/>
      <c r="AY12" s="121"/>
      <c r="AZ12" s="121"/>
      <c r="BA12" s="121"/>
      <c r="BB12" s="594"/>
      <c r="BC12" s="594"/>
      <c r="BD12" s="156"/>
      <c r="BE12" s="156"/>
      <c r="BF12" s="156" t="s">
        <v>5207</v>
      </c>
      <c r="BG12" s="156"/>
      <c r="BH12" s="156"/>
      <c r="BI12" s="156"/>
      <c r="BJ12" s="156"/>
      <c r="BK12" s="156"/>
      <c r="BL12" s="156"/>
      <c r="BM12" s="156"/>
      <c r="BN12" s="156"/>
      <c r="BO12" s="156"/>
      <c r="BP12" s="156"/>
      <c r="BQ12" s="595"/>
      <c r="BR12" s="157"/>
      <c r="BS12" s="660"/>
      <c r="BT12" s="134"/>
      <c r="BU12" s="134"/>
      <c r="BV12" s="134"/>
      <c r="BW12" s="134"/>
      <c r="BX12" s="134"/>
      <c r="BY12" s="134"/>
      <c r="BZ12" s="259"/>
      <c r="CA12" s="454"/>
      <c r="CB12" s="138"/>
      <c r="CC12" s="134"/>
      <c r="CD12" s="134"/>
      <c r="CE12" s="190"/>
      <c r="CF12" s="138"/>
      <c r="CG12" s="134"/>
      <c r="CH12" s="134"/>
      <c r="CI12" s="134"/>
      <c r="CJ12" s="288"/>
      <c r="CK12" s="289"/>
      <c r="CL12" s="138"/>
      <c r="CM12" s="134"/>
      <c r="CN12" s="134"/>
      <c r="CO12" s="134"/>
      <c r="CP12" s="138"/>
      <c r="CQ12" s="134"/>
      <c r="CR12" s="134"/>
      <c r="CS12" s="134"/>
      <c r="CT12" s="288"/>
      <c r="CU12" s="441"/>
      <c r="CV12" s="455"/>
      <c r="CW12" s="559"/>
      <c r="CX12" s="138"/>
      <c r="CY12" s="134"/>
      <c r="CZ12" s="134"/>
      <c r="DA12" s="134"/>
      <c r="DB12" s="134"/>
      <c r="DC12" s="134"/>
      <c r="DD12" s="134"/>
      <c r="DE12" s="134"/>
      <c r="DF12" s="300"/>
      <c r="DG12" s="301"/>
      <c r="DH12" s="134"/>
      <c r="DI12" s="190"/>
      <c r="DJ12" s="190"/>
      <c r="DK12" s="190"/>
      <c r="DL12" s="134"/>
      <c r="DM12" s="134"/>
      <c r="DN12" s="134"/>
      <c r="DO12" s="134"/>
      <c r="DP12" s="300"/>
      <c r="DQ12" s="301"/>
      <c r="DR12" s="276"/>
      <c r="DS12" s="277"/>
      <c r="DT12" s="134"/>
      <c r="DU12" s="134"/>
      <c r="DV12" s="134"/>
      <c r="DW12" s="134"/>
      <c r="DX12" s="138"/>
      <c r="DY12" s="134"/>
      <c r="DZ12" s="134"/>
      <c r="EA12" s="134"/>
      <c r="EB12" s="301"/>
      <c r="EC12" s="301"/>
      <c r="ED12" s="138"/>
      <c r="EE12" s="134"/>
      <c r="EF12" s="134"/>
      <c r="EG12" s="134"/>
      <c r="EH12" s="138"/>
      <c r="EI12" s="134"/>
      <c r="EJ12" s="134"/>
      <c r="EK12" s="134"/>
      <c r="EL12" s="301"/>
      <c r="EM12" s="301"/>
      <c r="EN12" s="277"/>
      <c r="EO12" s="134"/>
      <c r="EP12" s="134"/>
      <c r="EQ12" s="134"/>
      <c r="ER12" s="134"/>
      <c r="ES12" s="134"/>
      <c r="ET12" s="134"/>
      <c r="EU12" s="134"/>
      <c r="EV12" s="134"/>
      <c r="EW12" s="301"/>
      <c r="EX12" s="301"/>
      <c r="EY12" s="134"/>
      <c r="EZ12" s="134"/>
      <c r="FA12" s="134"/>
      <c r="FB12" s="134"/>
      <c r="FC12" s="134"/>
      <c r="FD12" s="134"/>
      <c r="FE12" s="134"/>
      <c r="FF12" s="134"/>
      <c r="FG12" s="135"/>
      <c r="FH12" s="135"/>
      <c r="FI12" s="134"/>
      <c r="FJ12" s="134"/>
      <c r="FK12" s="134"/>
      <c r="FL12" s="134"/>
      <c r="FM12" s="134"/>
      <c r="FN12" s="134"/>
      <c r="FO12" s="134"/>
      <c r="FP12" s="134"/>
      <c r="FQ12" s="135"/>
      <c r="FR12" s="135"/>
      <c r="FS12" s="134"/>
      <c r="FT12" s="134"/>
      <c r="FU12" s="134"/>
      <c r="FV12" s="134"/>
      <c r="FW12" s="134"/>
      <c r="FX12" s="134"/>
      <c r="FY12" s="134"/>
      <c r="FZ12" s="134"/>
      <c r="GA12" s="135"/>
      <c r="GB12" s="135"/>
      <c r="GC12" s="134"/>
      <c r="GD12" s="134"/>
      <c r="GE12" s="134"/>
      <c r="GF12" s="134"/>
      <c r="GG12" s="134"/>
      <c r="GH12" s="134"/>
      <c r="GI12" s="134"/>
      <c r="GJ12" s="134"/>
      <c r="GK12" s="135"/>
      <c r="GL12" s="135"/>
      <c r="GM12" s="134"/>
      <c r="GN12" s="134"/>
      <c r="GO12" s="134"/>
      <c r="GP12" s="134"/>
      <c r="GQ12" s="134"/>
      <c r="GR12" s="134"/>
      <c r="GS12" s="134"/>
      <c r="GT12" s="134"/>
      <c r="GU12" s="135"/>
      <c r="GV12" s="135"/>
      <c r="GW12" s="134"/>
      <c r="GX12" s="134"/>
      <c r="GY12" s="134"/>
      <c r="GZ12" s="134"/>
      <c r="HA12" s="134"/>
      <c r="HB12" s="134"/>
      <c r="HC12" s="134"/>
      <c r="HD12" s="134"/>
      <c r="HE12" s="135"/>
      <c r="HF12" s="135"/>
      <c r="HG12" s="134"/>
      <c r="HH12" s="134"/>
      <c r="HI12" s="134"/>
      <c r="HJ12" s="134"/>
      <c r="HK12" s="134"/>
      <c r="HL12" s="134"/>
      <c r="HM12" s="134"/>
      <c r="HN12" s="134"/>
      <c r="HO12" s="135"/>
      <c r="HP12" s="135"/>
      <c r="HQ12" s="134"/>
      <c r="HR12" s="134"/>
      <c r="HS12" s="134"/>
      <c r="HT12" s="134"/>
      <c r="HU12" s="134"/>
      <c r="HV12" s="134"/>
      <c r="HW12" s="134"/>
      <c r="HX12" s="134"/>
      <c r="HY12" s="135"/>
      <c r="HZ12" s="135"/>
      <c r="IA12" s="134"/>
      <c r="IB12" s="134"/>
      <c r="IC12" s="134"/>
      <c r="ID12" s="134"/>
      <c r="IE12" s="134"/>
      <c r="IF12" s="134"/>
      <c r="IG12" s="134"/>
      <c r="IH12" s="134"/>
      <c r="II12" s="135"/>
      <c r="IJ12" s="135"/>
      <c r="IK12" s="134"/>
      <c r="IL12" s="134"/>
      <c r="IM12" s="134"/>
      <c r="IN12" s="134"/>
      <c r="IO12" s="134"/>
      <c r="IP12" s="134"/>
      <c r="IQ12" s="134"/>
      <c r="IR12" s="134"/>
      <c r="IS12" s="135"/>
      <c r="IT12" s="135"/>
      <c r="IU12" s="134"/>
      <c r="IV12" s="134"/>
      <c r="IW12" s="134"/>
      <c r="IX12" s="134"/>
      <c r="IY12" s="134"/>
      <c r="IZ12" s="134"/>
      <c r="JA12" s="134"/>
      <c r="JB12" s="134"/>
      <c r="JC12" s="135"/>
      <c r="JD12" s="135"/>
    </row>
    <row r="13" spans="1:264" customFormat="1" ht="15" customHeight="1">
      <c r="A13" s="79" t="s">
        <v>117</v>
      </c>
      <c r="B13" s="362">
        <v>83</v>
      </c>
      <c r="C13" s="362"/>
      <c r="D13" s="362">
        <v>19</v>
      </c>
      <c r="E13" s="604" t="s">
        <v>1937</v>
      </c>
      <c r="F13" s="124" t="s">
        <v>2156</v>
      </c>
      <c r="G13" s="125">
        <v>2016</v>
      </c>
      <c r="H13" s="79">
        <v>27252673</v>
      </c>
      <c r="I13" s="79">
        <v>1</v>
      </c>
      <c r="J13" s="126"/>
      <c r="K13" s="127"/>
      <c r="L13" s="79">
        <v>1</v>
      </c>
      <c r="M13" s="79"/>
      <c r="N13" s="79">
        <v>1</v>
      </c>
      <c r="O13" s="128">
        <v>1</v>
      </c>
      <c r="P13" s="79" t="s">
        <v>397</v>
      </c>
      <c r="Q13" s="79" t="s">
        <v>1183</v>
      </c>
      <c r="R13" s="79" t="s">
        <v>25</v>
      </c>
      <c r="S13" s="79">
        <v>1</v>
      </c>
      <c r="T13" s="79"/>
      <c r="U13" s="79"/>
      <c r="V13" s="79"/>
      <c r="W13" s="79" t="s">
        <v>398</v>
      </c>
      <c r="X13" s="79"/>
      <c r="Y13" s="79"/>
      <c r="Z13" s="79"/>
      <c r="AA13" s="79"/>
      <c r="AB13" s="79"/>
      <c r="AC13" s="506" t="s">
        <v>6185</v>
      </c>
      <c r="AD13" s="573">
        <v>1</v>
      </c>
      <c r="AE13" s="573">
        <v>0</v>
      </c>
      <c r="AF13" s="154"/>
      <c r="AG13" s="155"/>
      <c r="AH13" s="121">
        <v>2</v>
      </c>
      <c r="AI13" s="484"/>
      <c r="AJ13" s="202"/>
      <c r="AK13" s="192"/>
      <c r="AL13" s="203"/>
      <c r="AM13" s="121"/>
      <c r="AN13" s="121"/>
      <c r="AO13" s="121"/>
      <c r="AP13" s="121"/>
      <c r="AQ13" s="121"/>
      <c r="AR13" s="121"/>
      <c r="AS13" s="121"/>
      <c r="AT13" s="121"/>
      <c r="AU13" s="121"/>
      <c r="AV13" s="121"/>
      <c r="AW13" s="121"/>
      <c r="AX13" s="121"/>
      <c r="AY13" s="121"/>
      <c r="AZ13" s="121"/>
      <c r="BA13" s="121"/>
      <c r="BB13" s="594"/>
      <c r="BC13" s="594" t="s">
        <v>6186</v>
      </c>
      <c r="BD13" s="156"/>
      <c r="BE13" s="156"/>
      <c r="BF13" s="156"/>
      <c r="BG13" s="156"/>
      <c r="BH13" s="156"/>
      <c r="BI13" s="156"/>
      <c r="BJ13" s="156"/>
      <c r="BK13" s="156"/>
      <c r="BL13" s="156"/>
      <c r="BM13" s="156" t="s">
        <v>5545</v>
      </c>
      <c r="BN13" s="156"/>
      <c r="BO13" s="156"/>
      <c r="BP13" s="156"/>
      <c r="BQ13" s="595"/>
      <c r="BR13" s="157"/>
      <c r="BS13" s="660"/>
      <c r="BT13" s="134"/>
      <c r="BU13" s="134"/>
      <c r="BV13" s="134"/>
      <c r="BW13" s="134"/>
      <c r="BX13" s="134"/>
      <c r="BY13" s="134"/>
      <c r="BZ13" s="259"/>
      <c r="CA13" s="454"/>
      <c r="CB13" s="138"/>
      <c r="CC13" s="134"/>
      <c r="CD13" s="134"/>
      <c r="CE13" s="190"/>
      <c r="CF13" s="138"/>
      <c r="CG13" s="134"/>
      <c r="CH13" s="134"/>
      <c r="CI13" s="134"/>
      <c r="CJ13" s="288"/>
      <c r="CK13" s="289"/>
      <c r="CL13" s="138"/>
      <c r="CM13" s="134"/>
      <c r="CN13" s="134"/>
      <c r="CO13" s="134"/>
      <c r="CP13" s="138"/>
      <c r="CQ13" s="134"/>
      <c r="CR13" s="134"/>
      <c r="CS13" s="134"/>
      <c r="CT13" s="288"/>
      <c r="CU13" s="289"/>
      <c r="CV13" s="276"/>
      <c r="CW13" s="308"/>
      <c r="CX13" s="138"/>
      <c r="CY13" s="134"/>
      <c r="CZ13" s="134"/>
      <c r="DA13" s="134"/>
      <c r="DB13" s="134"/>
      <c r="DC13" s="134"/>
      <c r="DD13" s="134"/>
      <c r="DE13" s="134"/>
      <c r="DF13" s="300"/>
      <c r="DG13" s="301"/>
      <c r="DH13" s="134"/>
      <c r="DI13" s="190"/>
      <c r="DJ13" s="190"/>
      <c r="DK13" s="190"/>
      <c r="DL13" s="134"/>
      <c r="DM13" s="134"/>
      <c r="DN13" s="134"/>
      <c r="DO13" s="134"/>
      <c r="DP13" s="300"/>
      <c r="DQ13" s="301"/>
      <c r="DR13" s="276"/>
      <c r="DS13" s="277"/>
      <c r="DT13" s="134"/>
      <c r="DU13" s="134"/>
      <c r="DV13" s="134"/>
      <c r="DW13" s="134"/>
      <c r="DX13" s="138"/>
      <c r="DY13" s="134"/>
      <c r="DZ13" s="134"/>
      <c r="EA13" s="134"/>
      <c r="EB13" s="301"/>
      <c r="EC13" s="301"/>
      <c r="ED13" s="138"/>
      <c r="EE13" s="134"/>
      <c r="EF13" s="134"/>
      <c r="EG13" s="134"/>
      <c r="EH13" s="138"/>
      <c r="EI13" s="134"/>
      <c r="EJ13" s="134"/>
      <c r="EK13" s="134"/>
      <c r="EL13" s="301"/>
      <c r="EM13" s="301"/>
      <c r="EN13" s="277"/>
      <c r="EO13" s="134"/>
      <c r="EP13" s="134"/>
      <c r="EQ13" s="134"/>
      <c r="ER13" s="134"/>
      <c r="ES13" s="134"/>
      <c r="ET13" s="134"/>
      <c r="EU13" s="134"/>
      <c r="EV13" s="134"/>
      <c r="EW13" s="301"/>
      <c r="EX13" s="301"/>
      <c r="EY13" s="134"/>
      <c r="EZ13" s="134"/>
      <c r="FA13" s="134"/>
      <c r="FB13" s="134"/>
      <c r="FC13" s="134"/>
      <c r="FD13" s="134"/>
      <c r="FE13" s="134"/>
      <c r="FF13" s="134"/>
      <c r="FG13" s="135"/>
      <c r="FH13" s="135"/>
      <c r="FI13" s="134"/>
      <c r="FJ13" s="134"/>
      <c r="FK13" s="134"/>
      <c r="FL13" s="134"/>
      <c r="FM13" s="134"/>
      <c r="FN13" s="134"/>
      <c r="FO13" s="134"/>
      <c r="FP13" s="134"/>
      <c r="FQ13" s="135"/>
      <c r="FR13" s="135"/>
      <c r="FS13" s="134"/>
      <c r="FT13" s="134"/>
      <c r="FU13" s="134"/>
      <c r="FV13" s="134"/>
      <c r="FW13" s="134"/>
      <c r="FX13" s="134"/>
      <c r="FY13" s="134"/>
      <c r="FZ13" s="134"/>
      <c r="GA13" s="135"/>
      <c r="GB13" s="135"/>
      <c r="GC13" s="134"/>
      <c r="GD13" s="134"/>
      <c r="GE13" s="134"/>
      <c r="GF13" s="134"/>
      <c r="GG13" s="134"/>
      <c r="GH13" s="134"/>
      <c r="GI13" s="134"/>
      <c r="GJ13" s="134"/>
      <c r="GK13" s="135"/>
      <c r="GL13" s="135"/>
      <c r="GM13" s="134"/>
      <c r="GN13" s="134"/>
      <c r="GO13" s="134"/>
      <c r="GP13" s="134"/>
      <c r="GQ13" s="134"/>
      <c r="GR13" s="134"/>
      <c r="GS13" s="134"/>
      <c r="GT13" s="134"/>
      <c r="GU13" s="135"/>
      <c r="GV13" s="135"/>
      <c r="GW13" s="134"/>
      <c r="GX13" s="134"/>
      <c r="GY13" s="134"/>
      <c r="GZ13" s="134"/>
      <c r="HA13" s="134"/>
      <c r="HB13" s="134"/>
      <c r="HC13" s="134"/>
      <c r="HD13" s="134"/>
      <c r="HE13" s="135"/>
      <c r="HF13" s="135"/>
      <c r="HG13" s="134"/>
      <c r="HH13" s="134"/>
      <c r="HI13" s="134"/>
      <c r="HJ13" s="134"/>
      <c r="HK13" s="134"/>
      <c r="HL13" s="134"/>
      <c r="HM13" s="134"/>
      <c r="HN13" s="134"/>
      <c r="HO13" s="135"/>
      <c r="HP13" s="135"/>
      <c r="HQ13" s="134"/>
      <c r="HR13" s="134"/>
      <c r="HS13" s="134"/>
      <c r="HT13" s="134"/>
      <c r="HU13" s="134"/>
      <c r="HV13" s="134"/>
      <c r="HW13" s="134"/>
      <c r="HX13" s="134"/>
      <c r="HY13" s="135"/>
      <c r="HZ13" s="135"/>
      <c r="IA13" s="134"/>
      <c r="IB13" s="134"/>
      <c r="IC13" s="134"/>
      <c r="ID13" s="134"/>
      <c r="IE13" s="134"/>
      <c r="IF13" s="134"/>
      <c r="IG13" s="134"/>
      <c r="IH13" s="134"/>
      <c r="II13" s="135"/>
      <c r="IJ13" s="135"/>
      <c r="IK13" s="134"/>
      <c r="IL13" s="134"/>
      <c r="IM13" s="134"/>
      <c r="IN13" s="134"/>
      <c r="IO13" s="134"/>
      <c r="IP13" s="134"/>
      <c r="IQ13" s="134"/>
      <c r="IR13" s="134"/>
      <c r="IS13" s="135"/>
      <c r="IT13" s="135"/>
      <c r="IU13" s="134"/>
      <c r="IV13" s="134"/>
      <c r="IW13" s="134"/>
      <c r="IX13" s="134"/>
      <c r="IY13" s="134"/>
      <c r="IZ13" s="134"/>
      <c r="JA13" s="134"/>
      <c r="JB13" s="134"/>
      <c r="JC13" s="135"/>
      <c r="JD13" s="135"/>
    </row>
    <row r="14" spans="1:264" s="119" customFormat="1" ht="15" customHeight="1">
      <c r="A14" s="79" t="s">
        <v>1086</v>
      </c>
      <c r="B14" s="362">
        <v>89</v>
      </c>
      <c r="C14" s="362"/>
      <c r="D14" s="362">
        <v>21</v>
      </c>
      <c r="E14" s="604" t="s">
        <v>1938</v>
      </c>
      <c r="F14" s="124" t="s">
        <v>2310</v>
      </c>
      <c r="G14" s="125">
        <v>2006</v>
      </c>
      <c r="H14" s="79">
        <v>16555237</v>
      </c>
      <c r="I14" s="79">
        <v>1</v>
      </c>
      <c r="J14" s="126" t="s">
        <v>1824</v>
      </c>
      <c r="K14" s="127"/>
      <c r="L14" s="79">
        <v>1</v>
      </c>
      <c r="M14" s="79"/>
      <c r="N14" s="79">
        <v>1</v>
      </c>
      <c r="O14" s="128">
        <v>2</v>
      </c>
      <c r="P14" s="79" t="s">
        <v>1263</v>
      </c>
      <c r="Q14" s="79" t="s">
        <v>1264</v>
      </c>
      <c r="R14" s="79" t="s">
        <v>1265</v>
      </c>
      <c r="S14" s="79"/>
      <c r="T14" s="79" t="s">
        <v>1495</v>
      </c>
      <c r="U14" s="79" t="s">
        <v>23</v>
      </c>
      <c r="V14" s="79" t="s">
        <v>23</v>
      </c>
      <c r="W14" s="79" t="s">
        <v>1267</v>
      </c>
      <c r="X14" s="79" t="s">
        <v>1266</v>
      </c>
      <c r="Y14" s="79" t="s">
        <v>13</v>
      </c>
      <c r="Z14" s="79"/>
      <c r="AA14" s="79"/>
      <c r="AB14" s="79"/>
      <c r="AC14" s="506" t="s">
        <v>6188</v>
      </c>
      <c r="AD14" s="573">
        <v>1</v>
      </c>
      <c r="AE14" s="573">
        <v>0</v>
      </c>
      <c r="AF14" s="154"/>
      <c r="AG14" s="155"/>
      <c r="AH14" s="121">
        <v>5</v>
      </c>
      <c r="AI14" s="484"/>
      <c r="AJ14" s="202"/>
      <c r="AK14" s="192"/>
      <c r="AL14" s="203"/>
      <c r="AM14" s="121"/>
      <c r="AN14" s="121"/>
      <c r="AO14" s="121"/>
      <c r="AP14" s="121"/>
      <c r="AQ14" s="121"/>
      <c r="AR14" s="121"/>
      <c r="AS14" s="121"/>
      <c r="AT14" s="121"/>
      <c r="AU14" s="121"/>
      <c r="AV14" s="121"/>
      <c r="AW14" s="121"/>
      <c r="AX14" s="121"/>
      <c r="AY14" s="121"/>
      <c r="AZ14" s="121"/>
      <c r="BA14" s="121"/>
      <c r="BB14" s="594" t="s">
        <v>5207</v>
      </c>
      <c r="BC14" s="594"/>
      <c r="BD14" s="156"/>
      <c r="BE14" s="156" t="s">
        <v>5545</v>
      </c>
      <c r="BF14" s="156"/>
      <c r="BG14" s="156"/>
      <c r="BH14" s="156"/>
      <c r="BI14" s="156"/>
      <c r="BJ14" s="156"/>
      <c r="BK14" s="156"/>
      <c r="BL14" s="156"/>
      <c r="BM14" s="156"/>
      <c r="BN14" s="156"/>
      <c r="BO14" s="156"/>
      <c r="BP14" s="156"/>
      <c r="BQ14" s="595"/>
      <c r="BR14" s="157"/>
      <c r="BS14" s="660"/>
      <c r="BT14" s="134"/>
      <c r="BU14" s="134"/>
      <c r="BV14" s="134"/>
      <c r="BW14" s="134"/>
      <c r="BX14" s="134"/>
      <c r="BY14" s="134"/>
      <c r="BZ14" s="259"/>
      <c r="CA14" s="454"/>
      <c r="CB14" s="138"/>
      <c r="CC14" s="134"/>
      <c r="CD14" s="134"/>
      <c r="CE14" s="190"/>
      <c r="CF14" s="138"/>
      <c r="CG14" s="134"/>
      <c r="CH14" s="134"/>
      <c r="CI14" s="134"/>
      <c r="CJ14" s="288"/>
      <c r="CK14" s="289"/>
      <c r="CL14" s="138"/>
      <c r="CM14" s="134"/>
      <c r="CN14" s="134"/>
      <c r="CO14" s="134"/>
      <c r="CP14" s="138"/>
      <c r="CQ14" s="134"/>
      <c r="CR14" s="134"/>
      <c r="CS14" s="134"/>
      <c r="CT14" s="288"/>
      <c r="CU14" s="289"/>
      <c r="CV14" s="276"/>
      <c r="CW14" s="308"/>
      <c r="CX14" s="138"/>
      <c r="CY14" s="134"/>
      <c r="CZ14" s="134"/>
      <c r="DA14" s="134"/>
      <c r="DB14" s="134"/>
      <c r="DC14" s="134"/>
      <c r="DD14" s="134"/>
      <c r="DE14" s="134"/>
      <c r="DF14" s="300"/>
      <c r="DG14" s="301"/>
      <c r="DH14" s="134"/>
      <c r="DI14" s="190"/>
      <c r="DJ14" s="190"/>
      <c r="DK14" s="190"/>
      <c r="DL14" s="134"/>
      <c r="DM14" s="134"/>
      <c r="DN14" s="134"/>
      <c r="DO14" s="134"/>
      <c r="DP14" s="300"/>
      <c r="DQ14" s="301"/>
      <c r="DR14" s="276"/>
      <c r="DS14" s="277"/>
      <c r="DT14" s="134"/>
      <c r="DU14" s="134"/>
      <c r="DV14" s="134"/>
      <c r="DW14" s="134"/>
      <c r="DX14" s="138"/>
      <c r="DY14" s="134"/>
      <c r="DZ14" s="134"/>
      <c r="EA14" s="134"/>
      <c r="EB14" s="301"/>
      <c r="EC14" s="301"/>
      <c r="ED14" s="138"/>
      <c r="EE14" s="134"/>
      <c r="EF14" s="134"/>
      <c r="EG14" s="134"/>
      <c r="EH14" s="138"/>
      <c r="EI14" s="134"/>
      <c r="EJ14" s="134"/>
      <c r="EK14" s="134"/>
      <c r="EL14" s="301"/>
      <c r="EM14" s="301"/>
      <c r="EN14" s="277"/>
      <c r="EO14" s="134"/>
      <c r="EP14" s="134"/>
      <c r="EQ14" s="134"/>
      <c r="ER14" s="134"/>
      <c r="ES14" s="134"/>
      <c r="ET14" s="134"/>
      <c r="EU14" s="134"/>
      <c r="EV14" s="134"/>
      <c r="EW14" s="301"/>
      <c r="EX14" s="301"/>
      <c r="EY14" s="134"/>
      <c r="EZ14" s="134"/>
      <c r="FA14" s="134"/>
      <c r="FB14" s="134"/>
      <c r="FC14" s="134"/>
      <c r="FD14" s="134"/>
      <c r="FE14" s="134"/>
      <c r="FF14" s="134"/>
      <c r="FG14" s="135"/>
      <c r="FH14" s="135"/>
      <c r="FI14" s="134"/>
      <c r="FJ14" s="134"/>
      <c r="FK14" s="134"/>
      <c r="FL14" s="134"/>
      <c r="FM14" s="134"/>
      <c r="FN14" s="134"/>
      <c r="FO14" s="134"/>
      <c r="FP14" s="134"/>
      <c r="FQ14" s="135"/>
      <c r="FR14" s="135"/>
      <c r="FS14" s="134"/>
      <c r="FT14" s="134"/>
      <c r="FU14" s="134"/>
      <c r="FV14" s="134"/>
      <c r="FW14" s="134"/>
      <c r="FX14" s="134"/>
      <c r="FY14" s="134"/>
      <c r="FZ14" s="134"/>
      <c r="GA14" s="135"/>
      <c r="GB14" s="135"/>
      <c r="GC14" s="134"/>
      <c r="GD14" s="134"/>
      <c r="GE14" s="134"/>
      <c r="GF14" s="134"/>
      <c r="GG14" s="134"/>
      <c r="GH14" s="134"/>
      <c r="GI14" s="134"/>
      <c r="GJ14" s="134"/>
      <c r="GK14" s="135"/>
      <c r="GL14" s="135"/>
      <c r="GM14" s="134"/>
      <c r="GN14" s="134"/>
      <c r="GO14" s="134"/>
      <c r="GP14" s="134"/>
      <c r="GQ14" s="134"/>
      <c r="GR14" s="134"/>
      <c r="GS14" s="134"/>
      <c r="GT14" s="134"/>
      <c r="GU14" s="135"/>
      <c r="GV14" s="135"/>
      <c r="GW14" s="134"/>
      <c r="GX14" s="134"/>
      <c r="GY14" s="134"/>
      <c r="GZ14" s="134"/>
      <c r="HA14" s="134"/>
      <c r="HB14" s="134"/>
      <c r="HC14" s="134"/>
      <c r="HD14" s="134"/>
      <c r="HE14" s="135"/>
      <c r="HF14" s="135"/>
      <c r="HG14" s="134"/>
      <c r="HH14" s="134"/>
      <c r="HI14" s="134"/>
      <c r="HJ14" s="134"/>
      <c r="HK14" s="134"/>
      <c r="HL14" s="134"/>
      <c r="HM14" s="134"/>
      <c r="HN14" s="134"/>
      <c r="HO14" s="135"/>
      <c r="HP14" s="135"/>
      <c r="HQ14" s="134"/>
      <c r="HR14" s="134"/>
      <c r="HS14" s="134"/>
      <c r="HT14" s="134"/>
      <c r="HU14" s="134"/>
      <c r="HV14" s="134"/>
      <c r="HW14" s="134"/>
      <c r="HX14" s="134"/>
      <c r="HY14" s="135"/>
      <c r="HZ14" s="135"/>
      <c r="IA14" s="134"/>
      <c r="IB14" s="134"/>
      <c r="IC14" s="134"/>
      <c r="ID14" s="134"/>
      <c r="IE14" s="134"/>
      <c r="IF14" s="134"/>
      <c r="IG14" s="134"/>
      <c r="IH14" s="134"/>
      <c r="II14" s="135"/>
      <c r="IJ14" s="135"/>
      <c r="IK14" s="134"/>
      <c r="IL14" s="134"/>
      <c r="IM14" s="134"/>
      <c r="IN14" s="134"/>
      <c r="IO14" s="134"/>
      <c r="IP14" s="134"/>
      <c r="IQ14" s="134"/>
      <c r="IR14" s="134"/>
      <c r="IS14" s="135"/>
      <c r="IT14" s="135"/>
      <c r="IU14" s="134"/>
      <c r="IV14" s="134"/>
      <c r="IW14" s="134"/>
      <c r="IX14" s="134"/>
      <c r="IY14" s="134"/>
      <c r="IZ14" s="134"/>
      <c r="JA14" s="134"/>
      <c r="JB14" s="134"/>
      <c r="JC14" s="135"/>
      <c r="JD14" s="135"/>
    </row>
    <row r="15" spans="1:264" s="119" customFormat="1" ht="15" customHeight="1">
      <c r="A15" s="79" t="s">
        <v>120</v>
      </c>
      <c r="B15" s="362">
        <v>91</v>
      </c>
      <c r="C15" s="362"/>
      <c r="D15" s="362">
        <v>23</v>
      </c>
      <c r="E15" s="604" t="s">
        <v>1939</v>
      </c>
      <c r="F15" s="124" t="s">
        <v>2158</v>
      </c>
      <c r="G15" s="125">
        <v>2016</v>
      </c>
      <c r="H15" s="79">
        <v>27214523</v>
      </c>
      <c r="I15" s="79">
        <v>1</v>
      </c>
      <c r="J15" s="170" t="s">
        <v>1775</v>
      </c>
      <c r="K15" s="127" t="s">
        <v>1760</v>
      </c>
      <c r="L15" s="164">
        <v>1</v>
      </c>
      <c r="M15" s="79"/>
      <c r="N15" s="79">
        <v>0</v>
      </c>
      <c r="O15" s="128">
        <v>1</v>
      </c>
      <c r="P15" s="79" t="s">
        <v>403</v>
      </c>
      <c r="Q15" s="79" t="s">
        <v>1192</v>
      </c>
      <c r="R15" s="79" t="s">
        <v>405</v>
      </c>
      <c r="S15" s="79">
        <v>1</v>
      </c>
      <c r="T15" s="79"/>
      <c r="U15" s="79"/>
      <c r="V15" s="79"/>
      <c r="W15" s="79" t="s">
        <v>406</v>
      </c>
      <c r="X15" s="79" t="s">
        <v>404</v>
      </c>
      <c r="Y15" s="79"/>
      <c r="Z15" s="79"/>
      <c r="AA15" s="79"/>
      <c r="AB15" s="79" t="s">
        <v>407</v>
      </c>
      <c r="AC15" s="506" t="s">
        <v>6190</v>
      </c>
      <c r="AD15" s="573">
        <v>1</v>
      </c>
      <c r="AE15" s="573">
        <v>0</v>
      </c>
      <c r="AF15" s="154">
        <v>0</v>
      </c>
      <c r="AG15" s="155" t="s">
        <v>6191</v>
      </c>
      <c r="AH15" s="121">
        <v>2</v>
      </c>
      <c r="AI15" s="484"/>
      <c r="AJ15" s="202"/>
      <c r="AK15" s="192"/>
      <c r="AL15" s="203"/>
      <c r="AM15" s="121"/>
      <c r="AN15" s="121"/>
      <c r="AO15" s="121"/>
      <c r="AP15" s="121"/>
      <c r="AQ15" s="121"/>
      <c r="AR15" s="121"/>
      <c r="AS15" s="121"/>
      <c r="AT15" s="121"/>
      <c r="AU15" s="121"/>
      <c r="AV15" s="121"/>
      <c r="AW15" s="121"/>
      <c r="AX15" s="121"/>
      <c r="AY15" s="121"/>
      <c r="AZ15" s="121"/>
      <c r="BA15" s="121"/>
      <c r="BB15" s="594"/>
      <c r="BC15" s="594"/>
      <c r="BD15" s="156"/>
      <c r="BE15" s="156"/>
      <c r="BF15" s="156" t="s">
        <v>5207</v>
      </c>
      <c r="BG15" s="156" t="s">
        <v>6175</v>
      </c>
      <c r="BH15" s="156"/>
      <c r="BI15" s="156"/>
      <c r="BJ15" s="156"/>
      <c r="BK15" s="156"/>
      <c r="BL15" s="156"/>
      <c r="BM15" s="156"/>
      <c r="BN15" s="156"/>
      <c r="BO15" s="156"/>
      <c r="BP15" s="156"/>
      <c r="BQ15" s="595"/>
      <c r="BR15" s="157"/>
      <c r="BS15" s="660"/>
      <c r="BT15" s="134"/>
      <c r="BU15" s="134"/>
      <c r="BV15" s="134"/>
      <c r="BW15" s="134"/>
      <c r="BX15" s="134"/>
      <c r="BY15" s="134"/>
      <c r="BZ15" s="259"/>
      <c r="CA15" s="454"/>
      <c r="CB15" s="138"/>
      <c r="CC15" s="134"/>
      <c r="CD15" s="134"/>
      <c r="CE15" s="134"/>
      <c r="CF15" s="138"/>
      <c r="CG15" s="134"/>
      <c r="CH15" s="134"/>
      <c r="CI15" s="134"/>
      <c r="CJ15" s="288"/>
      <c r="CK15" s="289"/>
      <c r="CL15" s="138"/>
      <c r="CM15" s="134"/>
      <c r="CN15" s="134"/>
      <c r="CO15" s="134"/>
      <c r="CP15" s="138"/>
      <c r="CQ15" s="134"/>
      <c r="CR15" s="134"/>
      <c r="CS15" s="134"/>
      <c r="CT15" s="288"/>
      <c r="CU15" s="289"/>
      <c r="CV15" s="276"/>
      <c r="CW15" s="308"/>
      <c r="CX15" s="138"/>
      <c r="CY15" s="134"/>
      <c r="CZ15" s="134"/>
      <c r="DA15" s="134"/>
      <c r="DB15" s="134"/>
      <c r="DC15" s="134"/>
      <c r="DD15" s="134"/>
      <c r="DE15" s="134"/>
      <c r="DF15" s="300"/>
      <c r="DG15" s="301"/>
      <c r="DH15" s="134"/>
      <c r="DI15" s="134"/>
      <c r="DJ15" s="134"/>
      <c r="DK15" s="134"/>
      <c r="DL15" s="134"/>
      <c r="DM15" s="134"/>
      <c r="DN15" s="134"/>
      <c r="DO15" s="134"/>
      <c r="DP15" s="300"/>
      <c r="DQ15" s="301"/>
      <c r="DR15" s="276"/>
      <c r="DS15" s="277"/>
      <c r="DT15" s="134"/>
      <c r="DU15" s="134"/>
      <c r="DV15" s="134"/>
      <c r="DW15" s="134"/>
      <c r="DX15" s="138"/>
      <c r="DY15" s="134"/>
      <c r="DZ15" s="134"/>
      <c r="EA15" s="134"/>
      <c r="EB15" s="301"/>
      <c r="EC15" s="301"/>
      <c r="ED15" s="138"/>
      <c r="EE15" s="134"/>
      <c r="EF15" s="134"/>
      <c r="EG15" s="134"/>
      <c r="EH15" s="138"/>
      <c r="EI15" s="134"/>
      <c r="EJ15" s="134"/>
      <c r="EK15" s="134"/>
      <c r="EL15" s="301"/>
      <c r="EM15" s="301"/>
      <c r="EN15" s="277"/>
      <c r="EO15" s="134"/>
      <c r="EP15" s="134"/>
      <c r="EQ15" s="134"/>
      <c r="ER15" s="134"/>
      <c r="ES15" s="134"/>
      <c r="ET15" s="134"/>
      <c r="EU15" s="134"/>
      <c r="EV15" s="134"/>
      <c r="EW15" s="301"/>
      <c r="EX15" s="301"/>
      <c r="EY15" s="134"/>
      <c r="EZ15" s="134"/>
      <c r="FA15" s="134"/>
      <c r="FB15" s="134"/>
      <c r="FC15" s="134"/>
      <c r="FD15" s="134"/>
      <c r="FE15" s="134"/>
      <c r="FF15" s="134"/>
      <c r="FG15" s="135"/>
      <c r="FH15" s="135"/>
      <c r="FI15" s="134"/>
      <c r="FJ15" s="134"/>
      <c r="FK15" s="134"/>
      <c r="FL15" s="134"/>
      <c r="FM15" s="134"/>
      <c r="FN15" s="134"/>
      <c r="FO15" s="134"/>
      <c r="FP15" s="134"/>
      <c r="FQ15" s="135"/>
      <c r="FR15" s="135"/>
      <c r="FS15" s="134"/>
      <c r="FT15" s="134"/>
      <c r="FU15" s="134"/>
      <c r="FV15" s="134"/>
      <c r="FW15" s="134"/>
      <c r="FX15" s="134"/>
      <c r="FY15" s="134"/>
      <c r="FZ15" s="134"/>
      <c r="GA15" s="135"/>
      <c r="GB15" s="135"/>
      <c r="GC15" s="134"/>
      <c r="GD15" s="134"/>
      <c r="GE15" s="134"/>
      <c r="GF15" s="134"/>
      <c r="GG15" s="134"/>
      <c r="GH15" s="134"/>
      <c r="GI15" s="134"/>
      <c r="GJ15" s="134"/>
      <c r="GK15" s="135"/>
      <c r="GL15" s="135"/>
      <c r="GM15" s="134"/>
      <c r="GN15" s="134"/>
      <c r="GO15" s="134"/>
      <c r="GP15" s="134"/>
      <c r="GQ15" s="134"/>
      <c r="GR15" s="134"/>
      <c r="GS15" s="134"/>
      <c r="GT15" s="134"/>
      <c r="GU15" s="135"/>
      <c r="GV15" s="135"/>
      <c r="GW15" s="134"/>
      <c r="GX15" s="134"/>
      <c r="GY15" s="134"/>
      <c r="GZ15" s="134"/>
      <c r="HA15" s="134"/>
      <c r="HB15" s="134"/>
      <c r="HC15" s="134"/>
      <c r="HD15" s="134"/>
      <c r="HE15" s="135"/>
      <c r="HF15" s="135"/>
      <c r="HG15" s="134"/>
      <c r="HH15" s="134"/>
      <c r="HI15" s="134"/>
      <c r="HJ15" s="134"/>
      <c r="HK15" s="134"/>
      <c r="HL15" s="134"/>
      <c r="HM15" s="134"/>
      <c r="HN15" s="134"/>
      <c r="HO15" s="135"/>
      <c r="HP15" s="135"/>
      <c r="HQ15" s="134"/>
      <c r="HR15" s="134"/>
      <c r="HS15" s="134"/>
      <c r="HT15" s="134"/>
      <c r="HU15" s="134"/>
      <c r="HV15" s="134"/>
      <c r="HW15" s="134"/>
      <c r="HX15" s="134"/>
      <c r="HY15" s="135"/>
      <c r="HZ15" s="135"/>
      <c r="IA15" s="134"/>
      <c r="IB15" s="134"/>
      <c r="IC15" s="134"/>
      <c r="ID15" s="134"/>
      <c r="IE15" s="134"/>
      <c r="IF15" s="134"/>
      <c r="IG15" s="134"/>
      <c r="IH15" s="134"/>
      <c r="II15" s="135"/>
      <c r="IJ15" s="135"/>
      <c r="IK15" s="134"/>
      <c r="IL15" s="134"/>
      <c r="IM15" s="134"/>
      <c r="IN15" s="134"/>
      <c r="IO15" s="134"/>
      <c r="IP15" s="134"/>
      <c r="IQ15" s="134"/>
      <c r="IR15" s="134"/>
      <c r="IS15" s="135"/>
      <c r="IT15" s="135"/>
      <c r="IU15" s="134"/>
      <c r="IV15" s="134"/>
      <c r="IW15" s="134"/>
      <c r="IX15" s="134"/>
      <c r="IY15" s="134"/>
      <c r="IZ15" s="134"/>
      <c r="JA15" s="134"/>
      <c r="JB15" s="134"/>
      <c r="JC15" s="135"/>
      <c r="JD15" s="135"/>
    </row>
    <row r="16" spans="1:264" customFormat="1" ht="15" customHeight="1">
      <c r="A16" s="79" t="s">
        <v>123</v>
      </c>
      <c r="B16" s="362">
        <v>94</v>
      </c>
      <c r="C16" s="362"/>
      <c r="D16" s="362">
        <v>25</v>
      </c>
      <c r="E16" s="604" t="s">
        <v>1941</v>
      </c>
      <c r="F16" s="124" t="s">
        <v>2160</v>
      </c>
      <c r="G16" s="125">
        <v>2014</v>
      </c>
      <c r="H16" s="79">
        <v>24724093</v>
      </c>
      <c r="I16" s="79">
        <v>1</v>
      </c>
      <c r="J16" s="126"/>
      <c r="K16" s="127"/>
      <c r="L16" s="79">
        <v>1</v>
      </c>
      <c r="M16" s="79"/>
      <c r="N16" s="79">
        <v>1</v>
      </c>
      <c r="O16" s="128">
        <v>1</v>
      </c>
      <c r="P16" s="79" t="s">
        <v>411</v>
      </c>
      <c r="Q16" s="79" t="s">
        <v>1192</v>
      </c>
      <c r="R16" s="79" t="s">
        <v>412</v>
      </c>
      <c r="S16" s="79">
        <v>1</v>
      </c>
      <c r="T16" s="79"/>
      <c r="U16" s="79"/>
      <c r="V16" s="79"/>
      <c r="W16" s="79" t="s">
        <v>1155</v>
      </c>
      <c r="X16" s="79" t="s">
        <v>56</v>
      </c>
      <c r="Y16" s="79"/>
      <c r="Z16" s="79"/>
      <c r="AA16" s="79"/>
      <c r="AB16" s="79"/>
      <c r="AC16" s="506" t="s">
        <v>6193</v>
      </c>
      <c r="AD16" s="573">
        <v>1</v>
      </c>
      <c r="AE16" s="573">
        <v>0</v>
      </c>
      <c r="AF16" s="154"/>
      <c r="AG16" s="155"/>
      <c r="AH16" s="121"/>
      <c r="AI16" s="484"/>
      <c r="AJ16" s="202"/>
      <c r="AK16" s="192"/>
      <c r="AL16" s="203"/>
      <c r="AM16" s="121"/>
      <c r="AN16" s="121"/>
      <c r="AO16" s="121"/>
      <c r="AP16" s="417"/>
      <c r="AQ16" s="121"/>
      <c r="AR16" s="121"/>
      <c r="AS16" s="121"/>
      <c r="AT16" s="121"/>
      <c r="AU16" s="121"/>
      <c r="AV16" s="121"/>
      <c r="AW16" s="121"/>
      <c r="AX16" s="121"/>
      <c r="AY16" s="121"/>
      <c r="AZ16" s="121"/>
      <c r="BA16" s="121"/>
      <c r="BB16" s="594"/>
      <c r="BC16" s="594"/>
      <c r="BD16" s="156"/>
      <c r="BE16" s="156"/>
      <c r="BF16" s="156" t="s">
        <v>5207</v>
      </c>
      <c r="BG16" s="156" t="s">
        <v>6175</v>
      </c>
      <c r="BH16" s="156"/>
      <c r="BI16" s="156"/>
      <c r="BJ16" s="156"/>
      <c r="BK16" s="156"/>
      <c r="BL16" s="156"/>
      <c r="BM16" s="156"/>
      <c r="BN16" s="156"/>
      <c r="BO16" s="156"/>
      <c r="BP16" s="156"/>
      <c r="BQ16" s="595"/>
      <c r="BR16" s="157"/>
      <c r="BS16" s="660"/>
      <c r="BT16" s="134"/>
      <c r="BU16" s="134"/>
      <c r="BV16" s="134"/>
      <c r="BW16" s="134"/>
      <c r="BX16" s="134"/>
      <c r="BY16" s="134"/>
      <c r="BZ16" s="259"/>
      <c r="CA16" s="454"/>
      <c r="CB16" s="138"/>
      <c r="CC16" s="134"/>
      <c r="CD16" s="134"/>
      <c r="CE16" s="134"/>
      <c r="CF16" s="138"/>
      <c r="CG16" s="134"/>
      <c r="CH16" s="134"/>
      <c r="CI16" s="134"/>
      <c r="CJ16" s="288"/>
      <c r="CK16" s="289"/>
      <c r="CL16" s="138"/>
      <c r="CM16" s="134"/>
      <c r="CN16" s="134"/>
      <c r="CO16" s="134"/>
      <c r="CP16" s="138"/>
      <c r="CQ16" s="134"/>
      <c r="CR16" s="134"/>
      <c r="CS16" s="134"/>
      <c r="CT16" s="288"/>
      <c r="CU16" s="289"/>
      <c r="CV16" s="276"/>
      <c r="CW16" s="308"/>
      <c r="CX16" s="138"/>
      <c r="CY16" s="134"/>
      <c r="CZ16" s="134"/>
      <c r="DA16" s="134"/>
      <c r="DB16" s="134"/>
      <c r="DC16" s="134"/>
      <c r="DD16" s="134"/>
      <c r="DE16" s="134"/>
      <c r="DF16" s="300"/>
      <c r="DG16" s="301"/>
      <c r="DH16" s="134"/>
      <c r="DI16" s="134"/>
      <c r="DJ16" s="134"/>
      <c r="DK16" s="134"/>
      <c r="DL16" s="134"/>
      <c r="DM16" s="134"/>
      <c r="DN16" s="134"/>
      <c r="DO16" s="134"/>
      <c r="DP16" s="300"/>
      <c r="DQ16" s="301"/>
      <c r="DR16" s="276"/>
      <c r="DS16" s="277"/>
      <c r="DT16" s="134"/>
      <c r="DU16" s="134"/>
      <c r="DV16" s="134"/>
      <c r="DW16" s="134"/>
      <c r="DX16" s="138"/>
      <c r="DY16" s="134"/>
      <c r="DZ16" s="134"/>
      <c r="EA16" s="134"/>
      <c r="EB16" s="301"/>
      <c r="EC16" s="301"/>
      <c r="ED16" s="138"/>
      <c r="EE16" s="134"/>
      <c r="EF16" s="134"/>
      <c r="EG16" s="134"/>
      <c r="EH16" s="138"/>
      <c r="EI16" s="134"/>
      <c r="EJ16" s="134"/>
      <c r="EK16" s="134"/>
      <c r="EL16" s="301"/>
      <c r="EM16" s="301"/>
      <c r="EN16" s="277"/>
      <c r="EO16" s="134"/>
      <c r="EP16" s="134"/>
      <c r="EQ16" s="134"/>
      <c r="ER16" s="134"/>
      <c r="ES16" s="134"/>
      <c r="ET16" s="134"/>
      <c r="EU16" s="134"/>
      <c r="EV16" s="134"/>
      <c r="EW16" s="301"/>
      <c r="EX16" s="301"/>
      <c r="EY16" s="134"/>
      <c r="EZ16" s="134"/>
      <c r="FA16" s="134"/>
      <c r="FB16" s="134"/>
      <c r="FC16" s="134"/>
      <c r="FD16" s="134"/>
      <c r="FE16" s="134"/>
      <c r="FF16" s="134"/>
      <c r="FG16" s="135"/>
      <c r="FH16" s="135"/>
      <c r="FI16" s="134"/>
      <c r="FJ16" s="134"/>
      <c r="FK16" s="134"/>
      <c r="FL16" s="134"/>
      <c r="FM16" s="134"/>
      <c r="FN16" s="134"/>
      <c r="FO16" s="134"/>
      <c r="FP16" s="134"/>
      <c r="FQ16" s="135"/>
      <c r="FR16" s="135"/>
      <c r="FS16" s="134"/>
      <c r="FT16" s="134"/>
      <c r="FU16" s="134"/>
      <c r="FV16" s="134"/>
      <c r="FW16" s="134"/>
      <c r="FX16" s="134"/>
      <c r="FY16" s="134"/>
      <c r="FZ16" s="134"/>
      <c r="GA16" s="135"/>
      <c r="GB16" s="135"/>
      <c r="GC16" s="134"/>
      <c r="GD16" s="134"/>
      <c r="GE16" s="134"/>
      <c r="GF16" s="134"/>
      <c r="GG16" s="134"/>
      <c r="GH16" s="134"/>
      <c r="GI16" s="134"/>
      <c r="GJ16" s="134"/>
      <c r="GK16" s="135"/>
      <c r="GL16" s="135"/>
      <c r="GM16" s="134"/>
      <c r="GN16" s="134"/>
      <c r="GO16" s="134"/>
      <c r="GP16" s="134"/>
      <c r="GQ16" s="134"/>
      <c r="GR16" s="134"/>
      <c r="GS16" s="134"/>
      <c r="GT16" s="134"/>
      <c r="GU16" s="135"/>
      <c r="GV16" s="135"/>
      <c r="GW16" s="134"/>
      <c r="GX16" s="134"/>
      <c r="GY16" s="134"/>
      <c r="GZ16" s="134"/>
      <c r="HA16" s="134"/>
      <c r="HB16" s="134"/>
      <c r="HC16" s="134"/>
      <c r="HD16" s="134"/>
      <c r="HE16" s="135"/>
      <c r="HF16" s="135"/>
      <c r="HG16" s="134"/>
      <c r="HH16" s="134"/>
      <c r="HI16" s="134"/>
      <c r="HJ16" s="134"/>
      <c r="HK16" s="134"/>
      <c r="HL16" s="134"/>
      <c r="HM16" s="134"/>
      <c r="HN16" s="134"/>
      <c r="HO16" s="135"/>
      <c r="HP16" s="135"/>
      <c r="HQ16" s="134"/>
      <c r="HR16" s="134"/>
      <c r="HS16" s="134"/>
      <c r="HT16" s="134"/>
      <c r="HU16" s="134"/>
      <c r="HV16" s="134"/>
      <c r="HW16" s="134"/>
      <c r="HX16" s="134"/>
      <c r="HY16" s="135"/>
      <c r="HZ16" s="135"/>
      <c r="IA16" s="134"/>
      <c r="IB16" s="134"/>
      <c r="IC16" s="134"/>
      <c r="ID16" s="134"/>
      <c r="IE16" s="134"/>
      <c r="IF16" s="134"/>
      <c r="IG16" s="134"/>
      <c r="IH16" s="134"/>
      <c r="II16" s="135"/>
      <c r="IJ16" s="135"/>
      <c r="IK16" s="134"/>
      <c r="IL16" s="134"/>
      <c r="IM16" s="134"/>
      <c r="IN16" s="134"/>
      <c r="IO16" s="134"/>
      <c r="IP16" s="134"/>
      <c r="IQ16" s="134"/>
      <c r="IR16" s="134"/>
      <c r="IS16" s="135"/>
      <c r="IT16" s="135"/>
      <c r="IU16" s="134"/>
      <c r="IV16" s="134"/>
      <c r="IW16" s="134"/>
      <c r="IX16" s="134"/>
      <c r="IY16" s="134"/>
      <c r="IZ16" s="134"/>
      <c r="JA16" s="134"/>
      <c r="JB16" s="134"/>
      <c r="JC16" s="135"/>
      <c r="JD16" s="135"/>
    </row>
    <row r="17" spans="1:264" customFormat="1" ht="15" customHeight="1">
      <c r="A17" s="79" t="s">
        <v>125</v>
      </c>
      <c r="B17" s="362">
        <v>96</v>
      </c>
      <c r="C17" s="362"/>
      <c r="D17" s="362">
        <v>26</v>
      </c>
      <c r="E17" s="604" t="s">
        <v>1942</v>
      </c>
      <c r="F17" s="124" t="s">
        <v>2161</v>
      </c>
      <c r="G17" s="125">
        <v>2012</v>
      </c>
      <c r="H17" s="79">
        <v>22950039</v>
      </c>
      <c r="I17" s="79">
        <v>1</v>
      </c>
      <c r="J17" s="126"/>
      <c r="K17" s="127"/>
      <c r="L17" s="79">
        <v>1</v>
      </c>
      <c r="M17" s="79"/>
      <c r="N17" s="79">
        <v>1</v>
      </c>
      <c r="O17" s="128">
        <v>1</v>
      </c>
      <c r="P17" s="79" t="s">
        <v>414</v>
      </c>
      <c r="Q17" s="79" t="s">
        <v>1149</v>
      </c>
      <c r="R17" s="79" t="s">
        <v>20</v>
      </c>
      <c r="S17" s="79">
        <v>1</v>
      </c>
      <c r="T17" s="79"/>
      <c r="U17" s="79"/>
      <c r="V17" s="79"/>
      <c r="W17" s="79" t="s">
        <v>415</v>
      </c>
      <c r="X17" s="79"/>
      <c r="Y17" s="79"/>
      <c r="Z17" s="79"/>
      <c r="AA17" s="79"/>
      <c r="AB17" s="79"/>
      <c r="AC17" s="506" t="s">
        <v>6194</v>
      </c>
      <c r="AD17" s="573">
        <v>1</v>
      </c>
      <c r="AE17" s="573">
        <v>0</v>
      </c>
      <c r="AF17" s="154"/>
      <c r="AG17" s="189"/>
      <c r="AH17" s="121">
        <v>2</v>
      </c>
      <c r="AI17" s="484"/>
      <c r="AJ17" s="202"/>
      <c r="AK17" s="192"/>
      <c r="AL17" s="203"/>
      <c r="AM17" s="121"/>
      <c r="AN17" s="121"/>
      <c r="AO17" s="121"/>
      <c r="AP17" s="121"/>
      <c r="AQ17" s="121"/>
      <c r="AR17" s="121"/>
      <c r="AS17" s="121"/>
      <c r="AT17" s="121"/>
      <c r="AU17" s="121"/>
      <c r="AV17" s="121"/>
      <c r="AW17" s="121"/>
      <c r="AX17" s="121"/>
      <c r="AY17" s="121"/>
      <c r="AZ17" s="121"/>
      <c r="BA17" s="121"/>
      <c r="BB17" s="594"/>
      <c r="BC17" s="594"/>
      <c r="BD17" s="156"/>
      <c r="BE17" s="156"/>
      <c r="BF17" s="156" t="s">
        <v>5207</v>
      </c>
      <c r="BG17" s="156"/>
      <c r="BH17" s="156"/>
      <c r="BI17" s="156"/>
      <c r="BJ17" s="156"/>
      <c r="BK17" s="156"/>
      <c r="BL17" s="156" t="s">
        <v>5207</v>
      </c>
      <c r="BM17" s="156"/>
      <c r="BN17" s="156"/>
      <c r="BO17" s="156"/>
      <c r="BP17" s="156"/>
      <c r="BQ17" s="595"/>
      <c r="BR17" s="157"/>
      <c r="BS17" s="660"/>
      <c r="BT17" s="134"/>
      <c r="BU17" s="134"/>
      <c r="BV17" s="134"/>
      <c r="BW17" s="134"/>
      <c r="BX17" s="134"/>
      <c r="BY17" s="134"/>
      <c r="BZ17" s="259"/>
      <c r="CA17" s="454"/>
      <c r="CB17" s="138"/>
      <c r="CC17" s="190"/>
      <c r="CD17" s="134"/>
      <c r="CE17" s="190"/>
      <c r="CF17" s="138"/>
      <c r="CG17" s="134"/>
      <c r="CH17" s="134"/>
      <c r="CI17" s="134"/>
      <c r="CJ17" s="288"/>
      <c r="CK17" s="289"/>
      <c r="CL17" s="138"/>
      <c r="CM17" s="134"/>
      <c r="CN17" s="134"/>
      <c r="CO17" s="134"/>
      <c r="CP17" s="138"/>
      <c r="CQ17" s="134"/>
      <c r="CR17" s="134"/>
      <c r="CS17" s="134"/>
      <c r="CT17" s="288"/>
      <c r="CU17" s="289"/>
      <c r="CV17" s="276"/>
      <c r="CW17" s="308"/>
      <c r="CX17" s="138"/>
      <c r="CY17" s="134"/>
      <c r="CZ17" s="134"/>
      <c r="DA17" s="134"/>
      <c r="DB17" s="134"/>
      <c r="DC17" s="134"/>
      <c r="DD17" s="134"/>
      <c r="DE17" s="134"/>
      <c r="DF17" s="300"/>
      <c r="DG17" s="301"/>
      <c r="DH17" s="134"/>
      <c r="DI17" s="134"/>
      <c r="DJ17" s="134"/>
      <c r="DK17" s="134"/>
      <c r="DL17" s="134"/>
      <c r="DM17" s="134"/>
      <c r="DN17" s="134"/>
      <c r="DO17" s="134"/>
      <c r="DP17" s="300"/>
      <c r="DQ17" s="301"/>
      <c r="DR17" s="276"/>
      <c r="DS17" s="277"/>
      <c r="DT17" s="134"/>
      <c r="DU17" s="134"/>
      <c r="DV17" s="134"/>
      <c r="DW17" s="134"/>
      <c r="DX17" s="138"/>
      <c r="DY17" s="134"/>
      <c r="DZ17" s="134"/>
      <c r="EA17" s="134"/>
      <c r="EB17" s="301"/>
      <c r="EC17" s="301"/>
      <c r="ED17" s="138"/>
      <c r="EE17" s="134"/>
      <c r="EF17" s="134"/>
      <c r="EG17" s="134"/>
      <c r="EH17" s="138"/>
      <c r="EI17" s="134"/>
      <c r="EJ17" s="134"/>
      <c r="EK17" s="134"/>
      <c r="EL17" s="301"/>
      <c r="EM17" s="301"/>
      <c r="EN17" s="277"/>
      <c r="EO17" s="134"/>
      <c r="EP17" s="134"/>
      <c r="EQ17" s="134"/>
      <c r="ER17" s="134"/>
      <c r="ES17" s="134"/>
      <c r="ET17" s="134"/>
      <c r="EU17" s="134"/>
      <c r="EV17" s="134"/>
      <c r="EW17" s="301"/>
      <c r="EX17" s="301"/>
      <c r="EY17" s="134"/>
      <c r="EZ17" s="134"/>
      <c r="FA17" s="134"/>
      <c r="FB17" s="134"/>
      <c r="FC17" s="134"/>
      <c r="FD17" s="134"/>
      <c r="FE17" s="134"/>
      <c r="FF17" s="134"/>
      <c r="FG17" s="135"/>
      <c r="FH17" s="135"/>
      <c r="FI17" s="134"/>
      <c r="FJ17" s="134"/>
      <c r="FK17" s="134"/>
      <c r="FL17" s="134"/>
      <c r="FM17" s="134"/>
      <c r="FN17" s="134"/>
      <c r="FO17" s="134"/>
      <c r="FP17" s="134"/>
      <c r="FQ17" s="135"/>
      <c r="FR17" s="135"/>
      <c r="FS17" s="134"/>
      <c r="FT17" s="134"/>
      <c r="FU17" s="134"/>
      <c r="FV17" s="134"/>
      <c r="FW17" s="134"/>
      <c r="FX17" s="134"/>
      <c r="FY17" s="134"/>
      <c r="FZ17" s="134"/>
      <c r="GA17" s="135"/>
      <c r="GB17" s="135"/>
      <c r="GC17" s="134"/>
      <c r="GD17" s="134"/>
      <c r="GE17" s="134"/>
      <c r="GF17" s="134"/>
      <c r="GG17" s="134"/>
      <c r="GH17" s="134"/>
      <c r="GI17" s="134"/>
      <c r="GJ17" s="134"/>
      <c r="GK17" s="135"/>
      <c r="GL17" s="135"/>
      <c r="GM17" s="134"/>
      <c r="GN17" s="134"/>
      <c r="GO17" s="134"/>
      <c r="GP17" s="134"/>
      <c r="GQ17" s="134"/>
      <c r="GR17" s="134"/>
      <c r="GS17" s="134"/>
      <c r="GT17" s="134"/>
      <c r="GU17" s="135"/>
      <c r="GV17" s="135"/>
      <c r="GW17" s="134"/>
      <c r="GX17" s="134"/>
      <c r="GY17" s="134"/>
      <c r="GZ17" s="134"/>
      <c r="HA17" s="134"/>
      <c r="HB17" s="134"/>
      <c r="HC17" s="134"/>
      <c r="HD17" s="134"/>
      <c r="HE17" s="135"/>
      <c r="HF17" s="135"/>
      <c r="HG17" s="134"/>
      <c r="HH17" s="134"/>
      <c r="HI17" s="134"/>
      <c r="HJ17" s="134"/>
      <c r="HK17" s="134"/>
      <c r="HL17" s="134"/>
      <c r="HM17" s="134"/>
      <c r="HN17" s="134"/>
      <c r="HO17" s="135"/>
      <c r="HP17" s="135"/>
      <c r="HQ17" s="134"/>
      <c r="HR17" s="134"/>
      <c r="HS17" s="134"/>
      <c r="HT17" s="134"/>
      <c r="HU17" s="134"/>
      <c r="HV17" s="134"/>
      <c r="HW17" s="134"/>
      <c r="HX17" s="134"/>
      <c r="HY17" s="135"/>
      <c r="HZ17" s="135"/>
      <c r="IA17" s="134"/>
      <c r="IB17" s="134"/>
      <c r="IC17" s="134"/>
      <c r="ID17" s="134"/>
      <c r="IE17" s="134"/>
      <c r="IF17" s="134"/>
      <c r="IG17" s="134"/>
      <c r="IH17" s="134"/>
      <c r="II17" s="135"/>
      <c r="IJ17" s="135"/>
      <c r="IK17" s="134"/>
      <c r="IL17" s="134"/>
      <c r="IM17" s="134"/>
      <c r="IN17" s="134"/>
      <c r="IO17" s="134"/>
      <c r="IP17" s="134"/>
      <c r="IQ17" s="134"/>
      <c r="IR17" s="134"/>
      <c r="IS17" s="135"/>
      <c r="IT17" s="135"/>
      <c r="IU17" s="134"/>
      <c r="IV17" s="134"/>
      <c r="IW17" s="134"/>
      <c r="IX17" s="134"/>
      <c r="IY17" s="134"/>
      <c r="IZ17" s="134"/>
      <c r="JA17" s="134"/>
      <c r="JB17" s="134"/>
      <c r="JC17" s="135"/>
      <c r="JD17" s="135"/>
    </row>
    <row r="18" spans="1:264" s="188" customFormat="1" ht="15" customHeight="1">
      <c r="A18" s="79" t="s">
        <v>128</v>
      </c>
      <c r="B18" s="362">
        <v>97</v>
      </c>
      <c r="C18" s="362"/>
      <c r="D18" s="362">
        <v>27</v>
      </c>
      <c r="E18" s="604" t="s">
        <v>1944</v>
      </c>
      <c r="F18" s="124" t="s">
        <v>2163</v>
      </c>
      <c r="G18" s="125">
        <v>2005</v>
      </c>
      <c r="H18" s="79">
        <v>15993948</v>
      </c>
      <c r="I18" s="79">
        <v>1</v>
      </c>
      <c r="J18" s="126"/>
      <c r="K18" s="127"/>
      <c r="L18" s="79">
        <v>1</v>
      </c>
      <c r="M18" s="79"/>
      <c r="N18" s="79">
        <v>1</v>
      </c>
      <c r="O18" s="128">
        <v>1</v>
      </c>
      <c r="P18" s="79" t="s">
        <v>418</v>
      </c>
      <c r="Q18" s="79" t="s">
        <v>1150</v>
      </c>
      <c r="R18" s="79" t="s">
        <v>25</v>
      </c>
      <c r="S18" s="79">
        <v>1</v>
      </c>
      <c r="T18" s="79"/>
      <c r="U18" s="79"/>
      <c r="V18" s="79"/>
      <c r="W18" s="79" t="s">
        <v>419</v>
      </c>
      <c r="X18" s="79"/>
      <c r="Y18" s="79"/>
      <c r="Z18" s="79"/>
      <c r="AA18" s="79"/>
      <c r="AB18" s="79"/>
      <c r="AC18" s="506" t="s">
        <v>6196</v>
      </c>
      <c r="AD18" s="573">
        <v>1</v>
      </c>
      <c r="AE18" s="573">
        <v>0</v>
      </c>
      <c r="AF18" s="154" t="s">
        <v>3003</v>
      </c>
      <c r="AG18" s="155" t="s">
        <v>6195</v>
      </c>
      <c r="AH18" s="121">
        <v>2</v>
      </c>
      <c r="AI18" s="484"/>
      <c r="AJ18" s="202"/>
      <c r="AK18" s="192"/>
      <c r="AL18" s="203"/>
      <c r="AM18" s="121"/>
      <c r="AN18" s="121"/>
      <c r="AO18" s="121"/>
      <c r="AP18" s="121"/>
      <c r="AQ18" s="121"/>
      <c r="AR18" s="121"/>
      <c r="AS18" s="121"/>
      <c r="AT18" s="121"/>
      <c r="AU18" s="121"/>
      <c r="AV18" s="121"/>
      <c r="AW18" s="121"/>
      <c r="AX18" s="121"/>
      <c r="AY18" s="121"/>
      <c r="AZ18" s="121"/>
      <c r="BA18" s="121"/>
      <c r="BB18" s="594"/>
      <c r="BC18" s="594" t="s">
        <v>6186</v>
      </c>
      <c r="BD18" s="156"/>
      <c r="BE18" s="156"/>
      <c r="BF18" s="156"/>
      <c r="BG18" s="156"/>
      <c r="BH18" s="156"/>
      <c r="BI18" s="156"/>
      <c r="BJ18" s="156"/>
      <c r="BK18" s="156"/>
      <c r="BL18" s="156"/>
      <c r="BM18" s="156" t="s">
        <v>5545</v>
      </c>
      <c r="BN18" s="156"/>
      <c r="BO18" s="156"/>
      <c r="BP18" s="156"/>
      <c r="BQ18" s="595"/>
      <c r="BR18" s="157"/>
      <c r="BS18" s="660"/>
      <c r="BT18" s="134"/>
      <c r="BU18" s="134"/>
      <c r="BV18" s="134"/>
      <c r="BW18" s="134"/>
      <c r="BX18" s="134"/>
      <c r="BY18" s="134"/>
      <c r="BZ18" s="259"/>
      <c r="CA18" s="454"/>
      <c r="CB18" s="138"/>
      <c r="CC18" s="134"/>
      <c r="CD18" s="134"/>
      <c r="CE18" s="134"/>
      <c r="CF18" s="138"/>
      <c r="CG18" s="134"/>
      <c r="CH18" s="134"/>
      <c r="CI18" s="134"/>
      <c r="CJ18" s="288"/>
      <c r="CK18" s="289"/>
      <c r="CL18" s="138"/>
      <c r="CM18" s="134"/>
      <c r="CN18" s="134"/>
      <c r="CO18" s="134"/>
      <c r="CP18" s="138"/>
      <c r="CQ18" s="134"/>
      <c r="CR18" s="134"/>
      <c r="CS18" s="134"/>
      <c r="CT18" s="288"/>
      <c r="CU18" s="289"/>
      <c r="CV18" s="276"/>
      <c r="CW18" s="308"/>
      <c r="CX18" s="138"/>
      <c r="CY18" s="134"/>
      <c r="CZ18" s="134"/>
      <c r="DA18" s="134"/>
      <c r="DB18" s="134"/>
      <c r="DC18" s="134"/>
      <c r="DD18" s="134"/>
      <c r="DE18" s="134"/>
      <c r="DF18" s="300"/>
      <c r="DG18" s="301"/>
      <c r="DH18" s="134"/>
      <c r="DI18" s="134"/>
      <c r="DJ18" s="134"/>
      <c r="DK18" s="134"/>
      <c r="DL18" s="134"/>
      <c r="DM18" s="134"/>
      <c r="DN18" s="134"/>
      <c r="DO18" s="134"/>
      <c r="DP18" s="300"/>
      <c r="DQ18" s="301"/>
      <c r="DR18" s="276"/>
      <c r="DS18" s="277"/>
      <c r="DT18" s="134"/>
      <c r="DU18" s="134"/>
      <c r="DV18" s="134"/>
      <c r="DW18" s="134"/>
      <c r="DX18" s="138"/>
      <c r="DY18" s="134"/>
      <c r="DZ18" s="134"/>
      <c r="EA18" s="134"/>
      <c r="EB18" s="301"/>
      <c r="EC18" s="301"/>
      <c r="ED18" s="138"/>
      <c r="EE18" s="134"/>
      <c r="EF18" s="134"/>
      <c r="EG18" s="134"/>
      <c r="EH18" s="138"/>
      <c r="EI18" s="134"/>
      <c r="EJ18" s="134"/>
      <c r="EK18" s="134"/>
      <c r="EL18" s="301"/>
      <c r="EM18" s="301"/>
      <c r="EN18" s="277"/>
      <c r="EO18" s="134"/>
      <c r="EP18" s="134"/>
      <c r="EQ18" s="134"/>
      <c r="ER18" s="134"/>
      <c r="ES18" s="134"/>
      <c r="ET18" s="134"/>
      <c r="EU18" s="134"/>
      <c r="EV18" s="134"/>
      <c r="EW18" s="301"/>
      <c r="EX18" s="301"/>
      <c r="EY18" s="134"/>
      <c r="EZ18" s="134"/>
      <c r="FA18" s="134"/>
      <c r="FB18" s="134"/>
      <c r="FC18" s="134"/>
      <c r="FD18" s="134"/>
      <c r="FE18" s="134"/>
      <c r="FF18" s="134"/>
      <c r="FG18" s="135"/>
      <c r="FH18" s="135"/>
      <c r="FI18" s="134"/>
      <c r="FJ18" s="134"/>
      <c r="FK18" s="134"/>
      <c r="FL18" s="134"/>
      <c r="FM18" s="134"/>
      <c r="FN18" s="134"/>
      <c r="FO18" s="134"/>
      <c r="FP18" s="134"/>
      <c r="FQ18" s="135"/>
      <c r="FR18" s="135"/>
      <c r="FS18" s="134"/>
      <c r="FT18" s="134"/>
      <c r="FU18" s="134"/>
      <c r="FV18" s="134"/>
      <c r="FW18" s="134"/>
      <c r="FX18" s="134"/>
      <c r="FY18" s="134"/>
      <c r="FZ18" s="134"/>
      <c r="GA18" s="135"/>
      <c r="GB18" s="135"/>
      <c r="GC18" s="134"/>
      <c r="GD18" s="134"/>
      <c r="GE18" s="134"/>
      <c r="GF18" s="134"/>
      <c r="GG18" s="134"/>
      <c r="GH18" s="134"/>
      <c r="GI18" s="134"/>
      <c r="GJ18" s="134"/>
      <c r="GK18" s="135"/>
      <c r="GL18" s="135"/>
      <c r="GM18" s="134"/>
      <c r="GN18" s="134"/>
      <c r="GO18" s="134"/>
      <c r="GP18" s="134"/>
      <c r="GQ18" s="134"/>
      <c r="GR18" s="134"/>
      <c r="GS18" s="134"/>
      <c r="GT18" s="134"/>
      <c r="GU18" s="135"/>
      <c r="GV18" s="135"/>
      <c r="GW18" s="134"/>
      <c r="GX18" s="134"/>
      <c r="GY18" s="134"/>
      <c r="GZ18" s="134"/>
      <c r="HA18" s="134"/>
      <c r="HB18" s="134"/>
      <c r="HC18" s="134"/>
      <c r="HD18" s="134"/>
      <c r="HE18" s="135"/>
      <c r="HF18" s="135"/>
      <c r="HG18" s="134"/>
      <c r="HH18" s="134"/>
      <c r="HI18" s="134"/>
      <c r="HJ18" s="134"/>
      <c r="HK18" s="134"/>
      <c r="HL18" s="134"/>
      <c r="HM18" s="134"/>
      <c r="HN18" s="134"/>
      <c r="HO18" s="135"/>
      <c r="HP18" s="135"/>
      <c r="HQ18" s="134"/>
      <c r="HR18" s="134"/>
      <c r="HS18" s="134"/>
      <c r="HT18" s="134"/>
      <c r="HU18" s="134"/>
      <c r="HV18" s="134"/>
      <c r="HW18" s="134"/>
      <c r="HX18" s="134"/>
      <c r="HY18" s="135"/>
      <c r="HZ18" s="135"/>
      <c r="IA18" s="134"/>
      <c r="IB18" s="134"/>
      <c r="IC18" s="134"/>
      <c r="ID18" s="134"/>
      <c r="IE18" s="134"/>
      <c r="IF18" s="134"/>
      <c r="IG18" s="134"/>
      <c r="IH18" s="134"/>
      <c r="II18" s="135"/>
      <c r="IJ18" s="135"/>
      <c r="IK18" s="134"/>
      <c r="IL18" s="134"/>
      <c r="IM18" s="134"/>
      <c r="IN18" s="134"/>
      <c r="IO18" s="134"/>
      <c r="IP18" s="134"/>
      <c r="IQ18" s="134"/>
      <c r="IR18" s="134"/>
      <c r="IS18" s="135"/>
      <c r="IT18" s="135"/>
      <c r="IU18" s="134"/>
      <c r="IV18" s="134"/>
      <c r="IW18" s="134"/>
      <c r="IX18" s="134"/>
      <c r="IY18" s="134"/>
      <c r="IZ18" s="134"/>
      <c r="JA18" s="134"/>
      <c r="JB18" s="134"/>
      <c r="JC18" s="135"/>
      <c r="JD18" s="135"/>
    </row>
    <row r="19" spans="1:264" s="119" customFormat="1" ht="15" customHeight="1">
      <c r="A19" s="79" t="s">
        <v>129</v>
      </c>
      <c r="B19" s="362">
        <v>98</v>
      </c>
      <c r="C19" s="362"/>
      <c r="D19" s="362">
        <v>28</v>
      </c>
      <c r="E19" s="604" t="s">
        <v>1945</v>
      </c>
      <c r="F19" s="124" t="s">
        <v>2164</v>
      </c>
      <c r="G19" s="125">
        <v>2013</v>
      </c>
      <c r="H19" s="79">
        <v>23803518</v>
      </c>
      <c r="I19" s="79">
        <v>1</v>
      </c>
      <c r="J19" s="126"/>
      <c r="K19" s="127"/>
      <c r="L19" s="79">
        <v>1</v>
      </c>
      <c r="M19" s="79"/>
      <c r="N19" s="79">
        <v>1</v>
      </c>
      <c r="O19" s="128">
        <v>1</v>
      </c>
      <c r="P19" s="79" t="s">
        <v>31</v>
      </c>
      <c r="Q19" s="79" t="s">
        <v>1143</v>
      </c>
      <c r="R19" s="79"/>
      <c r="S19" s="79"/>
      <c r="T19" s="79"/>
      <c r="U19" s="79"/>
      <c r="V19" s="79"/>
      <c r="W19" s="79"/>
      <c r="X19" s="79"/>
      <c r="Y19" s="79"/>
      <c r="Z19" s="79"/>
      <c r="AA19" s="79"/>
      <c r="AB19" s="79"/>
      <c r="AC19" s="506" t="s">
        <v>31</v>
      </c>
      <c r="AD19" s="573">
        <v>1</v>
      </c>
      <c r="AE19" s="573">
        <v>0</v>
      </c>
      <c r="AF19" s="154"/>
      <c r="AG19" s="155"/>
      <c r="AH19" s="121"/>
      <c r="AI19" s="484"/>
      <c r="AJ19" s="202"/>
      <c r="AK19" s="192"/>
      <c r="AL19" s="203"/>
      <c r="AM19" s="121"/>
      <c r="AN19" s="121"/>
      <c r="AO19" s="121"/>
      <c r="AP19" s="121"/>
      <c r="AQ19" s="121"/>
      <c r="AR19" s="121"/>
      <c r="AS19" s="121"/>
      <c r="AT19" s="121"/>
      <c r="AU19" s="121"/>
      <c r="AV19" s="121"/>
      <c r="AW19" s="121"/>
      <c r="AX19" s="121"/>
      <c r="AY19" s="121"/>
      <c r="AZ19" s="121"/>
      <c r="BA19" s="121"/>
      <c r="BB19" s="594"/>
      <c r="BC19" s="594"/>
      <c r="BD19" s="156"/>
      <c r="BE19" s="156"/>
      <c r="BF19" s="156" t="s">
        <v>5207</v>
      </c>
      <c r="BG19" s="156"/>
      <c r="BH19" s="156"/>
      <c r="BI19" s="156"/>
      <c r="BJ19" s="156"/>
      <c r="BK19" s="156"/>
      <c r="BL19" s="156"/>
      <c r="BM19" s="156"/>
      <c r="BN19" s="156"/>
      <c r="BO19" s="156"/>
      <c r="BP19" s="156"/>
      <c r="BQ19" s="595"/>
      <c r="BR19" s="157"/>
      <c r="BS19" s="660"/>
      <c r="BT19" s="134"/>
      <c r="BU19" s="134"/>
      <c r="BV19" s="134"/>
      <c r="BW19" s="134"/>
      <c r="BX19" s="134"/>
      <c r="BY19" s="134"/>
      <c r="BZ19" s="259"/>
      <c r="CA19" s="454"/>
      <c r="CB19" s="138"/>
      <c r="CC19" s="190"/>
      <c r="CD19" s="134"/>
      <c r="CE19" s="190"/>
      <c r="CF19" s="138"/>
      <c r="CG19" s="134"/>
      <c r="CH19" s="134"/>
      <c r="CI19" s="134"/>
      <c r="CJ19" s="288"/>
      <c r="CK19" s="289"/>
      <c r="CL19" s="138"/>
      <c r="CM19" s="134"/>
      <c r="CN19" s="134"/>
      <c r="CO19" s="134"/>
      <c r="CP19" s="138"/>
      <c r="CQ19" s="134"/>
      <c r="CR19" s="134"/>
      <c r="CS19" s="134"/>
      <c r="CT19" s="288"/>
      <c r="CU19" s="289"/>
      <c r="CV19" s="276"/>
      <c r="CW19" s="308"/>
      <c r="CX19" s="138"/>
      <c r="CY19" s="134"/>
      <c r="CZ19" s="134"/>
      <c r="DA19" s="134"/>
      <c r="DB19" s="134"/>
      <c r="DC19" s="134"/>
      <c r="DD19" s="134"/>
      <c r="DE19" s="134"/>
      <c r="DF19" s="300"/>
      <c r="DG19" s="301"/>
      <c r="DH19" s="134"/>
      <c r="DI19" s="134"/>
      <c r="DJ19" s="134"/>
      <c r="DK19" s="134"/>
      <c r="DL19" s="134"/>
      <c r="DM19" s="134"/>
      <c r="DN19" s="134"/>
      <c r="DO19" s="134"/>
      <c r="DP19" s="300"/>
      <c r="DQ19" s="301"/>
      <c r="DR19" s="276"/>
      <c r="DS19" s="277"/>
      <c r="DT19" s="134"/>
      <c r="DU19" s="134"/>
      <c r="DV19" s="134"/>
      <c r="DW19" s="134"/>
      <c r="DX19" s="138"/>
      <c r="DY19" s="134"/>
      <c r="DZ19" s="134"/>
      <c r="EA19" s="134"/>
      <c r="EB19" s="301"/>
      <c r="EC19" s="301"/>
      <c r="ED19" s="138"/>
      <c r="EE19" s="134"/>
      <c r="EF19" s="134"/>
      <c r="EG19" s="134"/>
      <c r="EH19" s="138"/>
      <c r="EI19" s="134"/>
      <c r="EJ19" s="134"/>
      <c r="EK19" s="134"/>
      <c r="EL19" s="301"/>
      <c r="EM19" s="301"/>
      <c r="EN19" s="277"/>
      <c r="EO19" s="134"/>
      <c r="EP19" s="134"/>
      <c r="EQ19" s="134"/>
      <c r="ER19" s="134"/>
      <c r="ES19" s="134"/>
      <c r="ET19" s="134"/>
      <c r="EU19" s="134"/>
      <c r="EV19" s="134"/>
      <c r="EW19" s="301"/>
      <c r="EX19" s="301"/>
      <c r="EY19" s="134"/>
      <c r="EZ19" s="134"/>
      <c r="FA19" s="134"/>
      <c r="FB19" s="134"/>
      <c r="FC19" s="134"/>
      <c r="FD19" s="134"/>
      <c r="FE19" s="134"/>
      <c r="FF19" s="134"/>
      <c r="FG19" s="135"/>
      <c r="FH19" s="135"/>
      <c r="FI19" s="134"/>
      <c r="FJ19" s="134"/>
      <c r="FK19" s="134"/>
      <c r="FL19" s="134"/>
      <c r="FM19" s="134"/>
      <c r="FN19" s="134"/>
      <c r="FO19" s="134"/>
      <c r="FP19" s="134"/>
      <c r="FQ19" s="135"/>
      <c r="FR19" s="135"/>
      <c r="FS19" s="134"/>
      <c r="FT19" s="134"/>
      <c r="FU19" s="134"/>
      <c r="FV19" s="134"/>
      <c r="FW19" s="134"/>
      <c r="FX19" s="134"/>
      <c r="FY19" s="134"/>
      <c r="FZ19" s="134"/>
      <c r="GA19" s="135"/>
      <c r="GB19" s="135"/>
      <c r="GC19" s="134"/>
      <c r="GD19" s="134"/>
      <c r="GE19" s="134"/>
      <c r="GF19" s="134"/>
      <c r="GG19" s="134"/>
      <c r="GH19" s="134"/>
      <c r="GI19" s="134"/>
      <c r="GJ19" s="134"/>
      <c r="GK19" s="135"/>
      <c r="GL19" s="135"/>
      <c r="GM19" s="134"/>
      <c r="GN19" s="134"/>
      <c r="GO19" s="134"/>
      <c r="GP19" s="134"/>
      <c r="GQ19" s="134"/>
      <c r="GR19" s="134"/>
      <c r="GS19" s="134"/>
      <c r="GT19" s="134"/>
      <c r="GU19" s="135"/>
      <c r="GV19" s="135"/>
      <c r="GW19" s="134"/>
      <c r="GX19" s="134"/>
      <c r="GY19" s="134"/>
      <c r="GZ19" s="134"/>
      <c r="HA19" s="134"/>
      <c r="HB19" s="134"/>
      <c r="HC19" s="134"/>
      <c r="HD19" s="134"/>
      <c r="HE19" s="135"/>
      <c r="HF19" s="135"/>
      <c r="HG19" s="134"/>
      <c r="HH19" s="134"/>
      <c r="HI19" s="134"/>
      <c r="HJ19" s="134"/>
      <c r="HK19" s="134"/>
      <c r="HL19" s="134"/>
      <c r="HM19" s="134"/>
      <c r="HN19" s="134"/>
      <c r="HO19" s="135"/>
      <c r="HP19" s="135"/>
      <c r="HQ19" s="134"/>
      <c r="HR19" s="134"/>
      <c r="HS19" s="134"/>
      <c r="HT19" s="134"/>
      <c r="HU19" s="134"/>
      <c r="HV19" s="134"/>
      <c r="HW19" s="134"/>
      <c r="HX19" s="134"/>
      <c r="HY19" s="135"/>
      <c r="HZ19" s="135"/>
      <c r="IA19" s="134"/>
      <c r="IB19" s="134"/>
      <c r="IC19" s="134"/>
      <c r="ID19" s="134"/>
      <c r="IE19" s="134"/>
      <c r="IF19" s="134"/>
      <c r="IG19" s="134"/>
      <c r="IH19" s="134"/>
      <c r="II19" s="135"/>
      <c r="IJ19" s="135"/>
      <c r="IK19" s="134"/>
      <c r="IL19" s="134"/>
      <c r="IM19" s="134"/>
      <c r="IN19" s="134"/>
      <c r="IO19" s="134"/>
      <c r="IP19" s="134"/>
      <c r="IQ19" s="134"/>
      <c r="IR19" s="134"/>
      <c r="IS19" s="135"/>
      <c r="IT19" s="135"/>
      <c r="IU19" s="134"/>
      <c r="IV19" s="134"/>
      <c r="IW19" s="134"/>
      <c r="IX19" s="134"/>
      <c r="IY19" s="134"/>
      <c r="IZ19" s="134"/>
      <c r="JA19" s="134"/>
      <c r="JB19" s="134"/>
      <c r="JC19" s="135"/>
      <c r="JD19" s="135"/>
    </row>
    <row r="20" spans="1:264" s="119" customFormat="1" ht="15" customHeight="1">
      <c r="A20" s="79" t="s">
        <v>136</v>
      </c>
      <c r="B20" s="362">
        <v>102</v>
      </c>
      <c r="C20" s="362"/>
      <c r="D20" s="362">
        <v>30</v>
      </c>
      <c r="E20" s="604" t="s">
        <v>1948</v>
      </c>
      <c r="F20" s="124" t="s">
        <v>2167</v>
      </c>
      <c r="G20" s="125">
        <v>2009</v>
      </c>
      <c r="H20" s="79">
        <v>19359452</v>
      </c>
      <c r="I20" s="79">
        <v>1</v>
      </c>
      <c r="J20" s="126"/>
      <c r="K20" s="127"/>
      <c r="L20" s="79">
        <v>1</v>
      </c>
      <c r="M20" s="79"/>
      <c r="N20" s="79">
        <v>1</v>
      </c>
      <c r="O20" s="128">
        <v>1</v>
      </c>
      <c r="P20" s="79" t="s">
        <v>430</v>
      </c>
      <c r="Q20" s="79" t="s">
        <v>1164</v>
      </c>
      <c r="R20" s="79" t="s">
        <v>25</v>
      </c>
      <c r="S20" s="79">
        <v>1</v>
      </c>
      <c r="T20" s="79"/>
      <c r="U20" s="79"/>
      <c r="V20" s="79"/>
      <c r="W20" s="79" t="s">
        <v>432</v>
      </c>
      <c r="X20" s="79" t="s">
        <v>431</v>
      </c>
      <c r="Y20" s="79"/>
      <c r="Z20" s="79"/>
      <c r="AA20" s="79"/>
      <c r="AB20" s="79"/>
      <c r="AC20" s="506" t="s">
        <v>6198</v>
      </c>
      <c r="AD20" s="573">
        <v>1</v>
      </c>
      <c r="AE20" s="573">
        <v>0</v>
      </c>
      <c r="AF20" s="154"/>
      <c r="AG20" s="155"/>
      <c r="AH20" s="121">
        <v>2</v>
      </c>
      <c r="AI20" s="484"/>
      <c r="AJ20" s="202"/>
      <c r="AK20" s="192"/>
      <c r="AL20" s="203"/>
      <c r="AM20" s="121"/>
      <c r="AN20" s="121"/>
      <c r="AO20" s="121"/>
      <c r="AP20" s="121"/>
      <c r="AQ20" s="121"/>
      <c r="AR20" s="121"/>
      <c r="AS20" s="121"/>
      <c r="AT20" s="121"/>
      <c r="AU20" s="121"/>
      <c r="AV20" s="121"/>
      <c r="AW20" s="121"/>
      <c r="AX20" s="121"/>
      <c r="AY20" s="121"/>
      <c r="AZ20" s="121"/>
      <c r="BA20" s="121"/>
      <c r="BB20" s="594"/>
      <c r="BC20" s="594" t="s">
        <v>1917</v>
      </c>
      <c r="BD20" s="156"/>
      <c r="BE20" s="156"/>
      <c r="BF20" s="156"/>
      <c r="BG20" s="156"/>
      <c r="BH20" s="156"/>
      <c r="BI20" s="156" t="s">
        <v>4727</v>
      </c>
      <c r="BJ20" s="156"/>
      <c r="BK20" s="156"/>
      <c r="BL20" s="156"/>
      <c r="BM20" s="156"/>
      <c r="BN20" s="156"/>
      <c r="BO20" s="156" t="s">
        <v>4727</v>
      </c>
      <c r="BP20" s="156" t="s">
        <v>5545</v>
      </c>
      <c r="BQ20" s="595"/>
      <c r="BR20" s="157"/>
      <c r="BS20" s="660"/>
      <c r="BT20" s="134"/>
      <c r="BU20" s="134"/>
      <c r="BV20" s="134"/>
      <c r="BW20" s="134"/>
      <c r="BX20" s="134"/>
      <c r="BY20" s="134"/>
      <c r="BZ20" s="259"/>
      <c r="CA20" s="454"/>
      <c r="CB20" s="138"/>
      <c r="CC20" s="134"/>
      <c r="CD20" s="134"/>
      <c r="CE20" s="134"/>
      <c r="CF20" s="138"/>
      <c r="CG20" s="134"/>
      <c r="CH20" s="134"/>
      <c r="CI20" s="134"/>
      <c r="CJ20" s="288"/>
      <c r="CK20" s="289"/>
      <c r="CL20" s="138"/>
      <c r="CM20" s="134"/>
      <c r="CN20" s="134"/>
      <c r="CO20" s="134"/>
      <c r="CP20" s="138"/>
      <c r="CQ20" s="134"/>
      <c r="CR20" s="134"/>
      <c r="CS20" s="134"/>
      <c r="CT20" s="288"/>
      <c r="CU20" s="289"/>
      <c r="CV20" s="276"/>
      <c r="CW20" s="308"/>
      <c r="CX20" s="138"/>
      <c r="CY20" s="134"/>
      <c r="CZ20" s="134"/>
      <c r="DA20" s="134"/>
      <c r="DB20" s="426"/>
      <c r="DC20" s="134"/>
      <c r="DD20" s="134"/>
      <c r="DE20" s="134"/>
      <c r="DF20" s="300"/>
      <c r="DG20" s="301"/>
      <c r="DH20" s="134"/>
      <c r="DI20" s="134"/>
      <c r="DJ20" s="134"/>
      <c r="DK20" s="134"/>
      <c r="DL20" s="134"/>
      <c r="DM20" s="134"/>
      <c r="DN20" s="134"/>
      <c r="DO20" s="134"/>
      <c r="DP20" s="300"/>
      <c r="DQ20" s="301"/>
      <c r="DR20" s="276"/>
      <c r="DS20" s="277"/>
      <c r="DT20" s="134"/>
      <c r="DU20" s="134"/>
      <c r="DV20" s="134"/>
      <c r="DW20" s="134"/>
      <c r="DX20" s="138"/>
      <c r="DY20" s="134"/>
      <c r="DZ20" s="134"/>
      <c r="EA20" s="134"/>
      <c r="EB20" s="301"/>
      <c r="EC20" s="301"/>
      <c r="ED20" s="138"/>
      <c r="EE20" s="134"/>
      <c r="EF20" s="134"/>
      <c r="EG20" s="134"/>
      <c r="EH20" s="138"/>
      <c r="EI20" s="134"/>
      <c r="EJ20" s="134"/>
      <c r="EK20" s="134"/>
      <c r="EL20" s="301"/>
      <c r="EM20" s="301"/>
      <c r="EN20" s="277"/>
      <c r="EO20" s="134"/>
      <c r="EP20" s="134"/>
      <c r="EQ20" s="134"/>
      <c r="ER20" s="134"/>
      <c r="ES20" s="134"/>
      <c r="ET20" s="134"/>
      <c r="EU20" s="134"/>
      <c r="EV20" s="134"/>
      <c r="EW20" s="301"/>
      <c r="EX20" s="301"/>
      <c r="EY20" s="134"/>
      <c r="EZ20" s="134"/>
      <c r="FA20" s="134"/>
      <c r="FB20" s="134"/>
      <c r="FC20" s="134"/>
      <c r="FD20" s="134"/>
      <c r="FE20" s="134"/>
      <c r="FF20" s="134"/>
      <c r="FG20" s="135"/>
      <c r="FH20" s="135"/>
      <c r="FI20" s="134"/>
      <c r="FJ20" s="134"/>
      <c r="FK20" s="134"/>
      <c r="FL20" s="134"/>
      <c r="FM20" s="134"/>
      <c r="FN20" s="134"/>
      <c r="FO20" s="134"/>
      <c r="FP20" s="134"/>
      <c r="FQ20" s="135"/>
      <c r="FR20" s="135"/>
      <c r="FS20" s="134"/>
      <c r="FT20" s="134"/>
      <c r="FU20" s="134"/>
      <c r="FV20" s="134"/>
      <c r="FW20" s="134"/>
      <c r="FX20" s="134"/>
      <c r="FY20" s="134"/>
      <c r="FZ20" s="134"/>
      <c r="GA20" s="135"/>
      <c r="GB20" s="135"/>
      <c r="GC20" s="134"/>
      <c r="GD20" s="134"/>
      <c r="GE20" s="134"/>
      <c r="GF20" s="134"/>
      <c r="GG20" s="134"/>
      <c r="GH20" s="134"/>
      <c r="GI20" s="134"/>
      <c r="GJ20" s="134"/>
      <c r="GK20" s="135"/>
      <c r="GL20" s="135"/>
      <c r="GM20" s="134"/>
      <c r="GN20" s="134"/>
      <c r="GO20" s="134"/>
      <c r="GP20" s="134"/>
      <c r="GQ20" s="134"/>
      <c r="GR20" s="134"/>
      <c r="GS20" s="134"/>
      <c r="GT20" s="134"/>
      <c r="GU20" s="135"/>
      <c r="GV20" s="135"/>
      <c r="GW20" s="134"/>
      <c r="GX20" s="134"/>
      <c r="GY20" s="134"/>
      <c r="GZ20" s="134"/>
      <c r="HA20" s="134"/>
      <c r="HB20" s="134"/>
      <c r="HC20" s="134"/>
      <c r="HD20" s="134"/>
      <c r="HE20" s="135"/>
      <c r="HF20" s="135"/>
      <c r="HG20" s="134"/>
      <c r="HH20" s="134"/>
      <c r="HI20" s="134"/>
      <c r="HJ20" s="134"/>
      <c r="HK20" s="134"/>
      <c r="HL20" s="134"/>
      <c r="HM20" s="134"/>
      <c r="HN20" s="134"/>
      <c r="HO20" s="135"/>
      <c r="HP20" s="135"/>
      <c r="HQ20" s="134"/>
      <c r="HR20" s="134"/>
      <c r="HS20" s="134"/>
      <c r="HT20" s="134"/>
      <c r="HU20" s="134"/>
      <c r="HV20" s="134"/>
      <c r="HW20" s="134"/>
      <c r="HX20" s="134"/>
      <c r="HY20" s="135"/>
      <c r="HZ20" s="135"/>
      <c r="IA20" s="134"/>
      <c r="IB20" s="134"/>
      <c r="IC20" s="134"/>
      <c r="ID20" s="134"/>
      <c r="IE20" s="134"/>
      <c r="IF20" s="134"/>
      <c r="IG20" s="134"/>
      <c r="IH20" s="134"/>
      <c r="II20" s="135"/>
      <c r="IJ20" s="135"/>
      <c r="IK20" s="134"/>
      <c r="IL20" s="134"/>
      <c r="IM20" s="134"/>
      <c r="IN20" s="134"/>
      <c r="IO20" s="134"/>
      <c r="IP20" s="134"/>
      <c r="IQ20" s="134"/>
      <c r="IR20" s="134"/>
      <c r="IS20" s="135"/>
      <c r="IT20" s="135"/>
      <c r="IU20" s="134"/>
      <c r="IV20" s="134"/>
      <c r="IW20" s="134"/>
      <c r="IX20" s="134"/>
      <c r="IY20" s="134"/>
      <c r="IZ20" s="134"/>
      <c r="JA20" s="134"/>
      <c r="JB20" s="134"/>
      <c r="JC20" s="135"/>
      <c r="JD20" s="135"/>
    </row>
    <row r="21" spans="1:264" customFormat="1" ht="15" customHeight="1">
      <c r="A21" s="79" t="s">
        <v>137</v>
      </c>
      <c r="B21" s="362">
        <v>104</v>
      </c>
      <c r="C21" s="362"/>
      <c r="D21" s="362">
        <v>32</v>
      </c>
      <c r="E21" s="604" t="s">
        <v>1949</v>
      </c>
      <c r="F21" s="124" t="s">
        <v>2168</v>
      </c>
      <c r="G21" s="125">
        <v>2008</v>
      </c>
      <c r="H21" s="79">
        <v>18423610</v>
      </c>
      <c r="I21" s="79">
        <v>1</v>
      </c>
      <c r="J21" s="126"/>
      <c r="K21" s="127"/>
      <c r="L21" s="79">
        <v>1</v>
      </c>
      <c r="M21" s="79"/>
      <c r="N21" s="79">
        <v>1</v>
      </c>
      <c r="O21" s="128">
        <v>1</v>
      </c>
      <c r="P21" s="79" t="s">
        <v>433</v>
      </c>
      <c r="Q21" s="79" t="s">
        <v>1152</v>
      </c>
      <c r="R21" s="79" t="s">
        <v>434</v>
      </c>
      <c r="S21" s="79">
        <v>0</v>
      </c>
      <c r="T21" s="79"/>
      <c r="U21" s="79"/>
      <c r="V21" s="79"/>
      <c r="W21" s="79" t="s">
        <v>435</v>
      </c>
      <c r="X21" s="79" t="s">
        <v>436</v>
      </c>
      <c r="Y21" s="79"/>
      <c r="Z21" s="79"/>
      <c r="AA21" s="79"/>
      <c r="AB21" s="79"/>
      <c r="AC21" s="506" t="s">
        <v>6200</v>
      </c>
      <c r="AD21" s="573">
        <v>1</v>
      </c>
      <c r="AE21" s="573">
        <v>0</v>
      </c>
      <c r="AF21" s="154"/>
      <c r="AG21" s="155"/>
      <c r="AH21" s="121"/>
      <c r="AI21" s="484"/>
      <c r="AJ21" s="202"/>
      <c r="AK21" s="192"/>
      <c r="AL21" s="203"/>
      <c r="AM21" s="417"/>
      <c r="AN21" s="121"/>
      <c r="AO21" s="121"/>
      <c r="AP21" s="121"/>
      <c r="AQ21" s="121"/>
      <c r="AR21" s="121"/>
      <c r="AS21" s="121"/>
      <c r="AT21" s="121"/>
      <c r="AU21" s="121"/>
      <c r="AV21" s="121"/>
      <c r="AW21" s="121"/>
      <c r="AX21" s="121"/>
      <c r="AY21" s="121"/>
      <c r="AZ21" s="121"/>
      <c r="BA21" s="121"/>
      <c r="BB21" s="594"/>
      <c r="BC21" s="594"/>
      <c r="BD21" s="156"/>
      <c r="BE21" s="156"/>
      <c r="BF21" s="156"/>
      <c r="BG21" s="156"/>
      <c r="BH21" s="156"/>
      <c r="BI21" s="156"/>
      <c r="BJ21" s="156"/>
      <c r="BK21" s="156"/>
      <c r="BL21" s="156" t="s">
        <v>5207</v>
      </c>
      <c r="BM21" s="156"/>
      <c r="BN21" s="156"/>
      <c r="BO21" s="156"/>
      <c r="BP21" s="156"/>
      <c r="BQ21" s="595"/>
      <c r="BR21" s="157"/>
      <c r="BS21" s="660"/>
      <c r="BT21" s="134"/>
      <c r="BU21" s="134"/>
      <c r="BV21" s="134"/>
      <c r="BW21" s="134"/>
      <c r="BX21" s="134"/>
      <c r="BY21" s="134"/>
      <c r="BZ21" s="259"/>
      <c r="CA21" s="454"/>
      <c r="CB21" s="138"/>
      <c r="CC21" s="134"/>
      <c r="CD21" s="134"/>
      <c r="CE21" s="134"/>
      <c r="CF21" s="138"/>
      <c r="CG21" s="134"/>
      <c r="CH21" s="134"/>
      <c r="CI21" s="134"/>
      <c r="CJ21" s="288"/>
      <c r="CK21" s="289"/>
      <c r="CL21" s="138"/>
      <c r="CM21" s="134"/>
      <c r="CN21" s="134"/>
      <c r="CO21" s="134"/>
      <c r="CP21" s="138"/>
      <c r="CQ21" s="134"/>
      <c r="CR21" s="134"/>
      <c r="CS21" s="134"/>
      <c r="CT21" s="288"/>
      <c r="CU21" s="289"/>
      <c r="CV21" s="276"/>
      <c r="CW21" s="308"/>
      <c r="CX21" s="138"/>
      <c r="CY21" s="134"/>
      <c r="CZ21" s="134"/>
      <c r="DA21" s="134"/>
      <c r="DB21" s="134"/>
      <c r="DC21" s="134"/>
      <c r="DD21" s="134"/>
      <c r="DE21" s="134"/>
      <c r="DF21" s="300"/>
      <c r="DG21" s="301"/>
      <c r="DH21" s="134"/>
      <c r="DI21" s="134"/>
      <c r="DJ21" s="134"/>
      <c r="DK21" s="134"/>
      <c r="DL21" s="134"/>
      <c r="DM21" s="134"/>
      <c r="DN21" s="134"/>
      <c r="DO21" s="134"/>
      <c r="DP21" s="300"/>
      <c r="DQ21" s="301"/>
      <c r="DR21" s="276"/>
      <c r="DS21" s="277"/>
      <c r="DT21" s="134"/>
      <c r="DU21" s="134"/>
      <c r="DV21" s="134"/>
      <c r="DW21" s="134"/>
      <c r="DX21" s="138"/>
      <c r="DY21" s="134"/>
      <c r="DZ21" s="134"/>
      <c r="EA21" s="134"/>
      <c r="EB21" s="301"/>
      <c r="EC21" s="301"/>
      <c r="ED21" s="138"/>
      <c r="EE21" s="134"/>
      <c r="EF21" s="134"/>
      <c r="EG21" s="134"/>
      <c r="EH21" s="138"/>
      <c r="EI21" s="134"/>
      <c r="EJ21" s="134"/>
      <c r="EK21" s="134"/>
      <c r="EL21" s="301"/>
      <c r="EM21" s="301"/>
      <c r="EN21" s="318"/>
      <c r="EO21" s="134"/>
      <c r="EP21" s="134"/>
      <c r="EQ21" s="134"/>
      <c r="ER21" s="134"/>
      <c r="ES21" s="134"/>
      <c r="ET21" s="134"/>
      <c r="EU21" s="134"/>
      <c r="EV21" s="134"/>
      <c r="EW21" s="301"/>
      <c r="EX21" s="301"/>
      <c r="EY21" s="134"/>
      <c r="EZ21" s="134"/>
      <c r="FA21" s="134"/>
      <c r="FB21" s="134"/>
      <c r="FC21" s="134"/>
      <c r="FD21" s="134"/>
      <c r="FE21" s="134"/>
      <c r="FF21" s="134"/>
      <c r="FG21" s="135"/>
      <c r="FH21" s="135"/>
      <c r="FI21" s="134"/>
      <c r="FJ21" s="134"/>
      <c r="FK21" s="134"/>
      <c r="FL21" s="134"/>
      <c r="FM21" s="134"/>
      <c r="FN21" s="134"/>
      <c r="FO21" s="134"/>
      <c r="FP21" s="134"/>
      <c r="FQ21" s="135"/>
      <c r="FR21" s="135"/>
      <c r="FS21" s="134"/>
      <c r="FT21" s="134"/>
      <c r="FU21" s="134"/>
      <c r="FV21" s="134"/>
      <c r="FW21" s="134"/>
      <c r="FX21" s="134"/>
      <c r="FY21" s="134"/>
      <c r="FZ21" s="134"/>
      <c r="GA21" s="135"/>
      <c r="GB21" s="135"/>
      <c r="GC21" s="134"/>
      <c r="GD21" s="134"/>
      <c r="GE21" s="134"/>
      <c r="GF21" s="134"/>
      <c r="GG21" s="134"/>
      <c r="GH21" s="134"/>
      <c r="GI21" s="134"/>
      <c r="GJ21" s="134"/>
      <c r="GK21" s="135"/>
      <c r="GL21" s="135"/>
      <c r="GM21" s="134"/>
      <c r="GN21" s="134"/>
      <c r="GO21" s="134"/>
      <c r="GP21" s="134"/>
      <c r="GQ21" s="134"/>
      <c r="GR21" s="134"/>
      <c r="GS21" s="134"/>
      <c r="GT21" s="134"/>
      <c r="GU21" s="135"/>
      <c r="GV21" s="135"/>
      <c r="GW21" s="134"/>
      <c r="GX21" s="134"/>
      <c r="GY21" s="134"/>
      <c r="GZ21" s="134"/>
      <c r="HA21" s="134"/>
      <c r="HB21" s="134"/>
      <c r="HC21" s="134"/>
      <c r="HD21" s="134"/>
      <c r="HE21" s="135"/>
      <c r="HF21" s="135"/>
      <c r="HG21" s="134"/>
      <c r="HH21" s="134"/>
      <c r="HI21" s="134"/>
      <c r="HJ21" s="134"/>
      <c r="HK21" s="134"/>
      <c r="HL21" s="134"/>
      <c r="HM21" s="134"/>
      <c r="HN21" s="134"/>
      <c r="HO21" s="135"/>
      <c r="HP21" s="135"/>
      <c r="HQ21" s="134"/>
      <c r="HR21" s="134"/>
      <c r="HS21" s="134"/>
      <c r="HT21" s="134"/>
      <c r="HU21" s="134"/>
      <c r="HV21" s="134"/>
      <c r="HW21" s="134"/>
      <c r="HX21" s="134"/>
      <c r="HY21" s="135"/>
      <c r="HZ21" s="135"/>
      <c r="IA21" s="134"/>
      <c r="IB21" s="134"/>
      <c r="IC21" s="134"/>
      <c r="ID21" s="134"/>
      <c r="IE21" s="134"/>
      <c r="IF21" s="134"/>
      <c r="IG21" s="134"/>
      <c r="IH21" s="134"/>
      <c r="II21" s="135"/>
      <c r="IJ21" s="135"/>
      <c r="IK21" s="134"/>
      <c r="IL21" s="134"/>
      <c r="IM21" s="134"/>
      <c r="IN21" s="134"/>
      <c r="IO21" s="134"/>
      <c r="IP21" s="134"/>
      <c r="IQ21" s="134"/>
      <c r="IR21" s="134"/>
      <c r="IS21" s="135"/>
      <c r="IT21" s="135"/>
      <c r="IU21" s="134"/>
      <c r="IV21" s="134"/>
      <c r="IW21" s="134"/>
      <c r="IX21" s="134"/>
      <c r="IY21" s="134"/>
      <c r="IZ21" s="134"/>
      <c r="JA21" s="134"/>
      <c r="JB21" s="134"/>
      <c r="JC21" s="135"/>
      <c r="JD21" s="135"/>
    </row>
    <row r="22" spans="1:264" s="457" customFormat="1" ht="15" customHeight="1">
      <c r="A22" s="79" t="s">
        <v>1065</v>
      </c>
      <c r="B22" s="362">
        <v>107</v>
      </c>
      <c r="C22" s="362"/>
      <c r="D22" s="362">
        <v>34</v>
      </c>
      <c r="E22" s="604" t="s">
        <v>2070</v>
      </c>
      <c r="F22" s="124" t="s">
        <v>2322</v>
      </c>
      <c r="G22" s="125">
        <v>2015</v>
      </c>
      <c r="H22" s="79">
        <v>25746511</v>
      </c>
      <c r="I22" s="79">
        <v>1</v>
      </c>
      <c r="J22" s="126"/>
      <c r="K22" s="127"/>
      <c r="L22" s="79">
        <v>1</v>
      </c>
      <c r="M22" s="79"/>
      <c r="N22" s="79">
        <v>1</v>
      </c>
      <c r="O22" s="128">
        <v>2</v>
      </c>
      <c r="P22" s="79" t="s">
        <v>1317</v>
      </c>
      <c r="Q22" s="79" t="s">
        <v>1166</v>
      </c>
      <c r="R22" s="79" t="s">
        <v>1127</v>
      </c>
      <c r="S22" s="79"/>
      <c r="T22" s="79" t="s">
        <v>1487</v>
      </c>
      <c r="U22" s="79"/>
      <c r="V22" s="79"/>
      <c r="W22" s="79" t="s">
        <v>1316</v>
      </c>
      <c r="X22" s="79"/>
      <c r="Y22" s="79"/>
      <c r="Z22" s="79"/>
      <c r="AA22" s="79"/>
      <c r="AB22" s="79"/>
      <c r="AC22" s="506" t="s">
        <v>6202</v>
      </c>
      <c r="AD22" s="573">
        <v>1</v>
      </c>
      <c r="AE22" s="573">
        <v>0</v>
      </c>
      <c r="AF22" s="154"/>
      <c r="AG22" s="155"/>
      <c r="AH22" s="121">
        <v>4</v>
      </c>
      <c r="AI22" s="484"/>
      <c r="AJ22" s="202"/>
      <c r="AK22" s="192"/>
      <c r="AL22" s="203"/>
      <c r="AM22" s="121"/>
      <c r="AN22" s="121"/>
      <c r="AO22" s="121"/>
      <c r="AP22" s="121"/>
      <c r="AQ22" s="121"/>
      <c r="AR22" s="121"/>
      <c r="AS22" s="121"/>
      <c r="AT22" s="121"/>
      <c r="AU22" s="121"/>
      <c r="AV22" s="121"/>
      <c r="AW22" s="121"/>
      <c r="AX22" s="121"/>
      <c r="AY22" s="121"/>
      <c r="AZ22" s="121"/>
      <c r="BA22" s="121"/>
      <c r="BB22" s="594"/>
      <c r="BC22" s="594"/>
      <c r="BD22" s="156"/>
      <c r="BE22" s="156"/>
      <c r="BF22" s="156"/>
      <c r="BG22" s="156" t="s">
        <v>6175</v>
      </c>
      <c r="BH22" s="156"/>
      <c r="BI22" s="156" t="s">
        <v>5207</v>
      </c>
      <c r="BJ22" s="156"/>
      <c r="BK22" s="156"/>
      <c r="BL22" s="156"/>
      <c r="BM22" s="156"/>
      <c r="BN22" s="156"/>
      <c r="BO22" s="156"/>
      <c r="BP22" s="156"/>
      <c r="BQ22" s="595"/>
      <c r="BR22" s="157"/>
      <c r="BS22" s="660"/>
      <c r="BT22" s="134"/>
      <c r="BU22" s="134"/>
      <c r="BV22" s="134"/>
      <c r="BW22" s="134"/>
      <c r="BX22" s="134"/>
      <c r="BY22" s="134"/>
      <c r="BZ22" s="259"/>
      <c r="CA22" s="454"/>
      <c r="CB22" s="138"/>
      <c r="CC22" s="134"/>
      <c r="CD22" s="134"/>
      <c r="CE22" s="134"/>
      <c r="CF22" s="138"/>
      <c r="CG22" s="134"/>
      <c r="CH22" s="134"/>
      <c r="CI22" s="134"/>
      <c r="CJ22" s="288"/>
      <c r="CK22" s="289"/>
      <c r="CL22" s="138"/>
      <c r="CM22" s="134"/>
      <c r="CN22" s="134"/>
      <c r="CO22" s="134"/>
      <c r="CP22" s="138"/>
      <c r="CQ22" s="134"/>
      <c r="CR22" s="134"/>
      <c r="CS22" s="134"/>
      <c r="CT22" s="288"/>
      <c r="CU22" s="289"/>
      <c r="CV22" s="276"/>
      <c r="CW22" s="308"/>
      <c r="CX22" s="138"/>
      <c r="CY22" s="134"/>
      <c r="CZ22" s="134"/>
      <c r="DA22" s="134"/>
      <c r="DB22" s="134"/>
      <c r="DC22" s="134"/>
      <c r="DD22" s="134"/>
      <c r="DE22" s="134"/>
      <c r="DF22" s="300"/>
      <c r="DG22" s="301"/>
      <c r="DH22" s="134"/>
      <c r="DI22" s="134"/>
      <c r="DJ22" s="134"/>
      <c r="DK22" s="134"/>
      <c r="DL22" s="134"/>
      <c r="DM22" s="134"/>
      <c r="DN22" s="134"/>
      <c r="DO22" s="134"/>
      <c r="DP22" s="300"/>
      <c r="DQ22" s="301"/>
      <c r="DR22" s="276"/>
      <c r="DS22" s="277"/>
      <c r="DT22" s="134"/>
      <c r="DU22" s="134"/>
      <c r="DV22" s="134"/>
      <c r="DW22" s="134"/>
      <c r="DX22" s="138"/>
      <c r="DY22" s="134"/>
      <c r="DZ22" s="134"/>
      <c r="EA22" s="134"/>
      <c r="EB22" s="301"/>
      <c r="EC22" s="301"/>
      <c r="ED22" s="138"/>
      <c r="EE22" s="134"/>
      <c r="EF22" s="134"/>
      <c r="EG22" s="134"/>
      <c r="EH22" s="138"/>
      <c r="EI22" s="134"/>
      <c r="EJ22" s="134"/>
      <c r="EK22" s="134"/>
      <c r="EL22" s="301"/>
      <c r="EM22" s="301"/>
      <c r="EN22" s="277"/>
      <c r="EO22" s="134"/>
      <c r="EP22" s="134"/>
      <c r="EQ22" s="134"/>
      <c r="ER22" s="134"/>
      <c r="ES22" s="134"/>
      <c r="ET22" s="134"/>
      <c r="EU22" s="134"/>
      <c r="EV22" s="134"/>
      <c r="EW22" s="301"/>
      <c r="EX22" s="301"/>
      <c r="EY22" s="134"/>
      <c r="EZ22" s="134"/>
      <c r="FA22" s="134"/>
      <c r="FB22" s="134"/>
      <c r="FC22" s="134"/>
      <c r="FD22" s="134"/>
      <c r="FE22" s="134"/>
      <c r="FF22" s="134"/>
      <c r="FG22" s="135"/>
      <c r="FH22" s="135"/>
      <c r="FI22" s="134"/>
      <c r="FJ22" s="134"/>
      <c r="FK22" s="134"/>
      <c r="FL22" s="134"/>
      <c r="FM22" s="134"/>
      <c r="FN22" s="134"/>
      <c r="FO22" s="134"/>
      <c r="FP22" s="134"/>
      <c r="FQ22" s="135"/>
      <c r="FR22" s="135"/>
      <c r="FS22" s="134"/>
      <c r="FT22" s="134"/>
      <c r="FU22" s="134"/>
      <c r="FV22" s="134"/>
      <c r="FW22" s="134"/>
      <c r="FX22" s="134"/>
      <c r="FY22" s="134"/>
      <c r="FZ22" s="134"/>
      <c r="GA22" s="135"/>
      <c r="GB22" s="135"/>
      <c r="GC22" s="134"/>
      <c r="GD22" s="134"/>
      <c r="GE22" s="134"/>
      <c r="GF22" s="134"/>
      <c r="GG22" s="134"/>
      <c r="GH22" s="134"/>
      <c r="GI22" s="134"/>
      <c r="GJ22" s="134"/>
      <c r="GK22" s="135"/>
      <c r="GL22" s="135"/>
      <c r="GM22" s="134"/>
      <c r="GN22" s="134"/>
      <c r="GO22" s="134"/>
      <c r="GP22" s="134"/>
      <c r="GQ22" s="134"/>
      <c r="GR22" s="134"/>
      <c r="GS22" s="134"/>
      <c r="GT22" s="134"/>
      <c r="GU22" s="135"/>
      <c r="GV22" s="135"/>
      <c r="GW22" s="134"/>
      <c r="GX22" s="134"/>
      <c r="GY22" s="134"/>
      <c r="GZ22" s="134"/>
      <c r="HA22" s="134"/>
      <c r="HB22" s="134"/>
      <c r="HC22" s="134"/>
      <c r="HD22" s="134"/>
      <c r="HE22" s="135"/>
      <c r="HF22" s="135"/>
      <c r="HG22" s="134"/>
      <c r="HH22" s="134"/>
      <c r="HI22" s="134"/>
      <c r="HJ22" s="134"/>
      <c r="HK22" s="134"/>
      <c r="HL22" s="134"/>
      <c r="HM22" s="134"/>
      <c r="HN22" s="134"/>
      <c r="HO22" s="135"/>
      <c r="HP22" s="135"/>
      <c r="HQ22" s="134"/>
      <c r="HR22" s="134"/>
      <c r="HS22" s="134"/>
      <c r="HT22" s="134"/>
      <c r="HU22" s="134"/>
      <c r="HV22" s="134"/>
      <c r="HW22" s="134"/>
      <c r="HX22" s="134"/>
      <c r="HY22" s="135"/>
      <c r="HZ22" s="135"/>
      <c r="IA22" s="134"/>
      <c r="IB22" s="134"/>
      <c r="IC22" s="134"/>
      <c r="ID22" s="134"/>
      <c r="IE22" s="134"/>
      <c r="IF22" s="134"/>
      <c r="IG22" s="134"/>
      <c r="IH22" s="134"/>
      <c r="II22" s="135"/>
      <c r="IJ22" s="135"/>
      <c r="IK22" s="134"/>
      <c r="IL22" s="134"/>
      <c r="IM22" s="134"/>
      <c r="IN22" s="134"/>
      <c r="IO22" s="134"/>
      <c r="IP22" s="134"/>
      <c r="IQ22" s="134"/>
      <c r="IR22" s="134"/>
      <c r="IS22" s="135"/>
      <c r="IT22" s="135"/>
      <c r="IU22" s="134"/>
      <c r="IV22" s="134"/>
      <c r="IW22" s="134"/>
      <c r="IX22" s="134"/>
      <c r="IY22" s="134"/>
      <c r="IZ22" s="134"/>
      <c r="JA22" s="134"/>
      <c r="JB22" s="134"/>
      <c r="JC22" s="135"/>
      <c r="JD22" s="135"/>
    </row>
    <row r="23" spans="1:264" s="119" customFormat="1" ht="15" customHeight="1">
      <c r="A23" s="79" t="s">
        <v>154</v>
      </c>
      <c r="B23" s="362">
        <v>116</v>
      </c>
      <c r="C23" s="362"/>
      <c r="D23" s="362">
        <v>35</v>
      </c>
      <c r="E23" s="604" t="s">
        <v>1956</v>
      </c>
      <c r="F23" s="124" t="s">
        <v>2178</v>
      </c>
      <c r="G23" s="125">
        <v>2007</v>
      </c>
      <c r="H23" s="79">
        <v>18037391</v>
      </c>
      <c r="I23" s="79">
        <v>1</v>
      </c>
      <c r="J23" s="126"/>
      <c r="K23" s="127"/>
      <c r="L23" s="79">
        <v>1</v>
      </c>
      <c r="M23" s="79"/>
      <c r="N23" s="164">
        <v>1</v>
      </c>
      <c r="O23" s="128">
        <v>1</v>
      </c>
      <c r="P23" s="79" t="s">
        <v>449</v>
      </c>
      <c r="Q23" s="79"/>
      <c r="R23" s="79" t="s">
        <v>471</v>
      </c>
      <c r="S23" s="79">
        <v>0</v>
      </c>
      <c r="T23" s="79"/>
      <c r="U23" s="79"/>
      <c r="V23" s="79"/>
      <c r="W23" s="79" t="s">
        <v>24</v>
      </c>
      <c r="X23" s="79"/>
      <c r="Y23" s="79" t="s">
        <v>23</v>
      </c>
      <c r="Z23" s="79"/>
      <c r="AA23" s="79"/>
      <c r="AB23" s="79" t="s">
        <v>470</v>
      </c>
      <c r="AC23" s="506" t="s">
        <v>6204</v>
      </c>
      <c r="AD23" s="573">
        <v>1</v>
      </c>
      <c r="AE23" s="573">
        <v>0</v>
      </c>
      <c r="AF23" s="154"/>
      <c r="AG23" s="155" t="s">
        <v>6203</v>
      </c>
      <c r="AH23" s="121"/>
      <c r="AI23" s="484"/>
      <c r="AJ23" s="202"/>
      <c r="AK23" s="192"/>
      <c r="AL23" s="203"/>
      <c r="AM23" s="121"/>
      <c r="AN23" s="121"/>
      <c r="AO23" s="121"/>
      <c r="AP23" s="121"/>
      <c r="AQ23" s="121"/>
      <c r="AR23" s="121"/>
      <c r="AS23" s="121"/>
      <c r="AT23" s="121"/>
      <c r="AU23" s="121"/>
      <c r="AV23" s="121"/>
      <c r="AW23" s="121"/>
      <c r="AX23" s="121"/>
      <c r="AY23" s="121"/>
      <c r="AZ23" s="121"/>
      <c r="BA23" s="121"/>
      <c r="BB23" s="594"/>
      <c r="BC23" s="594"/>
      <c r="BD23" s="156"/>
      <c r="BE23" s="156"/>
      <c r="BF23" s="156"/>
      <c r="BG23" s="156"/>
      <c r="BH23" s="156"/>
      <c r="BI23" s="156"/>
      <c r="BJ23" s="156"/>
      <c r="BK23" s="156"/>
      <c r="BL23" s="156" t="s">
        <v>5207</v>
      </c>
      <c r="BM23" s="156"/>
      <c r="BN23" s="156"/>
      <c r="BO23" s="156"/>
      <c r="BP23" s="156"/>
      <c r="BQ23" s="595"/>
      <c r="BR23" s="157"/>
      <c r="BS23" s="660"/>
      <c r="BT23" s="134"/>
      <c r="BU23" s="134"/>
      <c r="BV23" s="134"/>
      <c r="BW23" s="134"/>
      <c r="BX23" s="134"/>
      <c r="BY23" s="134"/>
      <c r="BZ23" s="259"/>
      <c r="CA23" s="454"/>
      <c r="CB23" s="138"/>
      <c r="CC23" s="134"/>
      <c r="CD23" s="134"/>
      <c r="CE23" s="134"/>
      <c r="CF23" s="138"/>
      <c r="CG23" s="134"/>
      <c r="CH23" s="134"/>
      <c r="CI23" s="134"/>
      <c r="CJ23" s="288"/>
      <c r="CK23" s="289"/>
      <c r="CL23" s="138"/>
      <c r="CM23" s="134"/>
      <c r="CN23" s="134"/>
      <c r="CO23" s="134"/>
      <c r="CP23" s="138"/>
      <c r="CQ23" s="134"/>
      <c r="CR23" s="134"/>
      <c r="CS23" s="134"/>
      <c r="CT23" s="288"/>
      <c r="CU23" s="289"/>
      <c r="CV23" s="276"/>
      <c r="CW23" s="308"/>
      <c r="CX23" s="138"/>
      <c r="CY23" s="134"/>
      <c r="CZ23" s="134"/>
      <c r="DA23" s="134"/>
      <c r="DB23" s="426"/>
      <c r="DC23" s="134"/>
      <c r="DD23" s="134"/>
      <c r="DE23" s="134"/>
      <c r="DF23" s="300"/>
      <c r="DG23" s="301"/>
      <c r="DH23" s="134"/>
      <c r="DI23" s="134"/>
      <c r="DJ23" s="134"/>
      <c r="DK23" s="134"/>
      <c r="DL23" s="134"/>
      <c r="DM23" s="134"/>
      <c r="DN23" s="134"/>
      <c r="DO23" s="134"/>
      <c r="DP23" s="300"/>
      <c r="DQ23" s="301"/>
      <c r="DR23" s="276"/>
      <c r="DS23" s="277"/>
      <c r="DT23" s="134"/>
      <c r="DU23" s="134"/>
      <c r="DV23" s="134"/>
      <c r="DW23" s="134"/>
      <c r="DX23" s="138"/>
      <c r="DY23" s="134"/>
      <c r="DZ23" s="134"/>
      <c r="EA23" s="134"/>
      <c r="EB23" s="301"/>
      <c r="EC23" s="301"/>
      <c r="ED23" s="138"/>
      <c r="EE23" s="134"/>
      <c r="EF23" s="134"/>
      <c r="EG23" s="134"/>
      <c r="EH23" s="138"/>
      <c r="EI23" s="134"/>
      <c r="EJ23" s="134"/>
      <c r="EK23" s="134"/>
      <c r="EL23" s="301"/>
      <c r="EM23" s="301"/>
      <c r="EN23" s="277"/>
      <c r="EO23" s="134"/>
      <c r="EP23" s="134"/>
      <c r="EQ23" s="134"/>
      <c r="ER23" s="134"/>
      <c r="ES23" s="134"/>
      <c r="ET23" s="134"/>
      <c r="EU23" s="134"/>
      <c r="EV23" s="134"/>
      <c r="EW23" s="301"/>
      <c r="EX23" s="301"/>
      <c r="EY23" s="134"/>
      <c r="EZ23" s="134"/>
      <c r="FA23" s="134"/>
      <c r="FB23" s="134"/>
      <c r="FC23" s="134"/>
      <c r="FD23" s="134"/>
      <c r="FE23" s="134"/>
      <c r="FF23" s="134"/>
      <c r="FG23" s="135"/>
      <c r="FH23" s="135"/>
      <c r="FI23" s="134"/>
      <c r="FJ23" s="134"/>
      <c r="FK23" s="134"/>
      <c r="FL23" s="134"/>
      <c r="FM23" s="134"/>
      <c r="FN23" s="134"/>
      <c r="FO23" s="134"/>
      <c r="FP23" s="134"/>
      <c r="FQ23" s="135"/>
      <c r="FR23" s="135"/>
      <c r="FS23" s="134"/>
      <c r="FT23" s="134"/>
      <c r="FU23" s="134"/>
      <c r="FV23" s="134"/>
      <c r="FW23" s="134"/>
      <c r="FX23" s="134"/>
      <c r="FY23" s="134"/>
      <c r="FZ23" s="134"/>
      <c r="GA23" s="135"/>
      <c r="GB23" s="135"/>
      <c r="GC23" s="134"/>
      <c r="GD23" s="134"/>
      <c r="GE23" s="134"/>
      <c r="GF23" s="134"/>
      <c r="GG23" s="134"/>
      <c r="GH23" s="134"/>
      <c r="GI23" s="134"/>
      <c r="GJ23" s="134"/>
      <c r="GK23" s="135"/>
      <c r="GL23" s="135"/>
      <c r="GM23" s="134"/>
      <c r="GN23" s="134"/>
      <c r="GO23" s="134"/>
      <c r="GP23" s="134"/>
      <c r="GQ23" s="134"/>
      <c r="GR23" s="134"/>
      <c r="GS23" s="134"/>
      <c r="GT23" s="134"/>
      <c r="GU23" s="135"/>
      <c r="GV23" s="135"/>
      <c r="GW23" s="134"/>
      <c r="GX23" s="134"/>
      <c r="GY23" s="134"/>
      <c r="GZ23" s="134"/>
      <c r="HA23" s="134"/>
      <c r="HB23" s="134"/>
      <c r="HC23" s="134"/>
      <c r="HD23" s="134"/>
      <c r="HE23" s="135"/>
      <c r="HF23" s="135"/>
      <c r="HG23" s="134"/>
      <c r="HH23" s="134"/>
      <c r="HI23" s="134"/>
      <c r="HJ23" s="134"/>
      <c r="HK23" s="134"/>
      <c r="HL23" s="134"/>
      <c r="HM23" s="134"/>
      <c r="HN23" s="134"/>
      <c r="HO23" s="135"/>
      <c r="HP23" s="135"/>
      <c r="HQ23" s="134"/>
      <c r="HR23" s="134"/>
      <c r="HS23" s="134"/>
      <c r="HT23" s="134"/>
      <c r="HU23" s="134"/>
      <c r="HV23" s="134"/>
      <c r="HW23" s="134"/>
      <c r="HX23" s="134"/>
      <c r="HY23" s="135"/>
      <c r="HZ23" s="135"/>
      <c r="IA23" s="134"/>
      <c r="IB23" s="134"/>
      <c r="IC23" s="134"/>
      <c r="ID23" s="134"/>
      <c r="IE23" s="134"/>
      <c r="IF23" s="134"/>
      <c r="IG23" s="134"/>
      <c r="IH23" s="134"/>
      <c r="II23" s="135"/>
      <c r="IJ23" s="135"/>
      <c r="IK23" s="134"/>
      <c r="IL23" s="134"/>
      <c r="IM23" s="134"/>
      <c r="IN23" s="134"/>
      <c r="IO23" s="134"/>
      <c r="IP23" s="134"/>
      <c r="IQ23" s="134"/>
      <c r="IR23" s="134"/>
      <c r="IS23" s="135"/>
      <c r="IT23" s="135"/>
      <c r="IU23" s="134"/>
      <c r="IV23" s="134"/>
      <c r="IW23" s="134"/>
      <c r="IX23" s="134"/>
      <c r="IY23" s="134"/>
      <c r="IZ23" s="134"/>
      <c r="JA23" s="134"/>
      <c r="JB23" s="134"/>
      <c r="JC23" s="135"/>
      <c r="JD23" s="135"/>
    </row>
    <row r="24" spans="1:264" s="119" customFormat="1" ht="15" customHeight="1">
      <c r="A24" s="79" t="s">
        <v>156</v>
      </c>
      <c r="B24" s="362">
        <v>117</v>
      </c>
      <c r="C24" s="362"/>
      <c r="D24" s="362">
        <v>36</v>
      </c>
      <c r="E24" s="604" t="s">
        <v>1957</v>
      </c>
      <c r="F24" s="124" t="s">
        <v>2179</v>
      </c>
      <c r="G24" s="125">
        <v>2002</v>
      </c>
      <c r="H24" s="79">
        <v>12450636</v>
      </c>
      <c r="I24" s="79">
        <v>1</v>
      </c>
      <c r="J24" s="126"/>
      <c r="K24" s="127"/>
      <c r="L24" s="79">
        <v>1</v>
      </c>
      <c r="M24" s="79"/>
      <c r="N24" s="79">
        <v>1</v>
      </c>
      <c r="O24" s="128">
        <v>1</v>
      </c>
      <c r="P24" s="79" t="s">
        <v>473</v>
      </c>
      <c r="Q24" s="79" t="s">
        <v>1184</v>
      </c>
      <c r="R24" s="79" t="s">
        <v>471</v>
      </c>
      <c r="S24" s="79">
        <v>0</v>
      </c>
      <c r="T24" s="79"/>
      <c r="U24" s="79"/>
      <c r="V24" s="79"/>
      <c r="W24" s="79" t="s">
        <v>474</v>
      </c>
      <c r="X24" s="79" t="s">
        <v>24</v>
      </c>
      <c r="Y24" s="79" t="s">
        <v>24</v>
      </c>
      <c r="Z24" s="79"/>
      <c r="AA24" s="79"/>
      <c r="AB24" s="79"/>
      <c r="AC24" s="506" t="s">
        <v>6206</v>
      </c>
      <c r="AD24" s="573">
        <v>1</v>
      </c>
      <c r="AE24" s="573">
        <v>0</v>
      </c>
      <c r="AF24" s="154"/>
      <c r="AG24" s="155"/>
      <c r="AH24" s="121"/>
      <c r="AI24" s="484"/>
      <c r="AJ24" s="202"/>
      <c r="AK24" s="192"/>
      <c r="AL24" s="203"/>
      <c r="AM24" s="121"/>
      <c r="AN24" s="121"/>
      <c r="AO24" s="121"/>
      <c r="AP24" s="121"/>
      <c r="AQ24" s="121"/>
      <c r="AR24" s="121"/>
      <c r="AS24" s="121"/>
      <c r="AT24" s="121"/>
      <c r="AU24" s="121"/>
      <c r="AV24" s="121"/>
      <c r="AW24" s="121"/>
      <c r="AX24" s="121"/>
      <c r="AY24" s="121"/>
      <c r="AZ24" s="121"/>
      <c r="BA24" s="121"/>
      <c r="BB24" s="594"/>
      <c r="BC24" s="594"/>
      <c r="BD24" s="156"/>
      <c r="BE24" s="156"/>
      <c r="BF24" s="156"/>
      <c r="BG24" s="156"/>
      <c r="BH24" s="156"/>
      <c r="BI24" s="156"/>
      <c r="BJ24" s="156"/>
      <c r="BK24" s="156"/>
      <c r="BL24" s="156"/>
      <c r="BM24" s="156"/>
      <c r="BN24" s="156"/>
      <c r="BO24" s="156"/>
      <c r="BP24" s="156" t="s">
        <v>6205</v>
      </c>
      <c r="BQ24" s="595" t="s">
        <v>6207</v>
      </c>
      <c r="BR24" s="157"/>
      <c r="BS24" s="660"/>
      <c r="BT24" s="134"/>
      <c r="BU24" s="134"/>
      <c r="BV24" s="134"/>
      <c r="BW24" s="134"/>
      <c r="BX24" s="134"/>
      <c r="BY24" s="134"/>
      <c r="BZ24" s="259"/>
      <c r="CA24" s="454"/>
      <c r="CB24" s="138"/>
      <c r="CC24" s="134"/>
      <c r="CD24" s="134"/>
      <c r="CE24" s="134"/>
      <c r="CF24" s="138"/>
      <c r="CG24" s="134"/>
      <c r="CH24" s="134"/>
      <c r="CI24" s="134"/>
      <c r="CJ24" s="288"/>
      <c r="CK24" s="289"/>
      <c r="CL24" s="138"/>
      <c r="CM24" s="134"/>
      <c r="CN24" s="134"/>
      <c r="CO24" s="134"/>
      <c r="CP24" s="138"/>
      <c r="CQ24" s="134"/>
      <c r="CR24" s="134"/>
      <c r="CS24" s="134"/>
      <c r="CT24" s="288"/>
      <c r="CU24" s="289"/>
      <c r="CV24" s="276"/>
      <c r="CW24" s="308"/>
      <c r="CX24" s="138"/>
      <c r="CY24" s="134"/>
      <c r="CZ24" s="134"/>
      <c r="DA24" s="134"/>
      <c r="DB24" s="134"/>
      <c r="DC24" s="134"/>
      <c r="DD24" s="134"/>
      <c r="DE24" s="134"/>
      <c r="DF24" s="300"/>
      <c r="DG24" s="301"/>
      <c r="DH24" s="134"/>
      <c r="DI24" s="134"/>
      <c r="DJ24" s="134"/>
      <c r="DK24" s="134"/>
      <c r="DL24" s="134"/>
      <c r="DM24" s="134"/>
      <c r="DN24" s="134"/>
      <c r="DO24" s="134"/>
      <c r="DP24" s="300"/>
      <c r="DQ24" s="301"/>
      <c r="DR24" s="276"/>
      <c r="DS24" s="277"/>
      <c r="DT24" s="134"/>
      <c r="DU24" s="134"/>
      <c r="DV24" s="134"/>
      <c r="DW24" s="134"/>
      <c r="DX24" s="138"/>
      <c r="DY24" s="134"/>
      <c r="DZ24" s="134"/>
      <c r="EA24" s="134"/>
      <c r="EB24" s="301"/>
      <c r="EC24" s="301"/>
      <c r="ED24" s="138"/>
      <c r="EE24" s="134"/>
      <c r="EF24" s="134"/>
      <c r="EG24" s="134"/>
      <c r="EH24" s="138"/>
      <c r="EI24" s="134"/>
      <c r="EJ24" s="134"/>
      <c r="EK24" s="134"/>
      <c r="EL24" s="301"/>
      <c r="EM24" s="301"/>
      <c r="EN24" s="277"/>
      <c r="EO24" s="134"/>
      <c r="EP24" s="134"/>
      <c r="EQ24" s="134"/>
      <c r="ER24" s="134"/>
      <c r="ES24" s="134"/>
      <c r="ET24" s="134"/>
      <c r="EU24" s="134"/>
      <c r="EV24" s="134"/>
      <c r="EW24" s="301"/>
      <c r="EX24" s="301"/>
      <c r="EY24" s="134"/>
      <c r="EZ24" s="134"/>
      <c r="FA24" s="134"/>
      <c r="FB24" s="134"/>
      <c r="FC24" s="134"/>
      <c r="FD24" s="134"/>
      <c r="FE24" s="134"/>
      <c r="FF24" s="134"/>
      <c r="FG24" s="135"/>
      <c r="FH24" s="135"/>
      <c r="FI24" s="134"/>
      <c r="FJ24" s="134"/>
      <c r="FK24" s="134"/>
      <c r="FL24" s="134"/>
      <c r="FM24" s="134"/>
      <c r="FN24" s="134"/>
      <c r="FO24" s="134"/>
      <c r="FP24" s="134"/>
      <c r="FQ24" s="135"/>
      <c r="FR24" s="135"/>
      <c r="FS24" s="134"/>
      <c r="FT24" s="134"/>
      <c r="FU24" s="134"/>
      <c r="FV24" s="134"/>
      <c r="FW24" s="134"/>
      <c r="FX24" s="134"/>
      <c r="FY24" s="134"/>
      <c r="FZ24" s="134"/>
      <c r="GA24" s="135"/>
      <c r="GB24" s="135"/>
      <c r="GC24" s="134"/>
      <c r="GD24" s="134"/>
      <c r="GE24" s="134"/>
      <c r="GF24" s="134"/>
      <c r="GG24" s="134"/>
      <c r="GH24" s="134"/>
      <c r="GI24" s="134"/>
      <c r="GJ24" s="134"/>
      <c r="GK24" s="135"/>
      <c r="GL24" s="135"/>
      <c r="GM24" s="134"/>
      <c r="GN24" s="134"/>
      <c r="GO24" s="134"/>
      <c r="GP24" s="134"/>
      <c r="GQ24" s="134"/>
      <c r="GR24" s="134"/>
      <c r="GS24" s="134"/>
      <c r="GT24" s="134"/>
      <c r="GU24" s="135"/>
      <c r="GV24" s="135"/>
      <c r="GW24" s="134"/>
      <c r="GX24" s="134"/>
      <c r="GY24" s="134"/>
      <c r="GZ24" s="134"/>
      <c r="HA24" s="134"/>
      <c r="HB24" s="134"/>
      <c r="HC24" s="134"/>
      <c r="HD24" s="134"/>
      <c r="HE24" s="135"/>
      <c r="HF24" s="135"/>
      <c r="HG24" s="134"/>
      <c r="HH24" s="134"/>
      <c r="HI24" s="134"/>
      <c r="HJ24" s="134"/>
      <c r="HK24" s="134"/>
      <c r="HL24" s="134"/>
      <c r="HM24" s="134"/>
      <c r="HN24" s="134"/>
      <c r="HO24" s="135"/>
      <c r="HP24" s="135"/>
      <c r="HQ24" s="134"/>
      <c r="HR24" s="134"/>
      <c r="HS24" s="134"/>
      <c r="HT24" s="134"/>
      <c r="HU24" s="134"/>
      <c r="HV24" s="134"/>
      <c r="HW24" s="134"/>
      <c r="HX24" s="134"/>
      <c r="HY24" s="135"/>
      <c r="HZ24" s="135"/>
      <c r="IA24" s="134"/>
      <c r="IB24" s="134"/>
      <c r="IC24" s="134"/>
      <c r="ID24" s="134"/>
      <c r="IE24" s="134"/>
      <c r="IF24" s="134"/>
      <c r="IG24" s="134"/>
      <c r="IH24" s="134"/>
      <c r="II24" s="135"/>
      <c r="IJ24" s="135"/>
      <c r="IK24" s="134"/>
      <c r="IL24" s="134"/>
      <c r="IM24" s="134"/>
      <c r="IN24" s="134"/>
      <c r="IO24" s="134"/>
      <c r="IP24" s="134"/>
      <c r="IQ24" s="134"/>
      <c r="IR24" s="134"/>
      <c r="IS24" s="135"/>
      <c r="IT24" s="135"/>
      <c r="IU24" s="134"/>
      <c r="IV24" s="134"/>
      <c r="IW24" s="134"/>
      <c r="IX24" s="134"/>
      <c r="IY24" s="134"/>
      <c r="IZ24" s="134"/>
      <c r="JA24" s="134"/>
      <c r="JB24" s="134"/>
      <c r="JC24" s="135"/>
      <c r="JD24" s="135"/>
    </row>
    <row r="25" spans="1:264" s="119" customFormat="1" ht="15" customHeight="1">
      <c r="A25" s="79" t="s">
        <v>160</v>
      </c>
      <c r="B25" s="362">
        <v>118</v>
      </c>
      <c r="C25" s="362"/>
      <c r="D25" s="362">
        <v>37</v>
      </c>
      <c r="E25" s="604" t="s">
        <v>1958</v>
      </c>
      <c r="F25" s="124" t="s">
        <v>2180</v>
      </c>
      <c r="G25" s="125">
        <v>2012</v>
      </c>
      <c r="H25" s="79">
        <v>23198722</v>
      </c>
      <c r="I25" s="79">
        <v>1</v>
      </c>
      <c r="J25" s="126"/>
      <c r="K25" s="127"/>
      <c r="L25" s="79">
        <v>1</v>
      </c>
      <c r="M25" s="79"/>
      <c r="N25" s="79">
        <v>1</v>
      </c>
      <c r="O25" s="128">
        <v>1</v>
      </c>
      <c r="P25" s="79" t="s">
        <v>484</v>
      </c>
      <c r="Q25" s="79" t="s">
        <v>1161</v>
      </c>
      <c r="R25" s="79" t="s">
        <v>483</v>
      </c>
      <c r="S25" s="79">
        <v>1</v>
      </c>
      <c r="T25" s="79"/>
      <c r="U25" s="79"/>
      <c r="V25" s="79"/>
      <c r="W25" s="79" t="s">
        <v>482</v>
      </c>
      <c r="X25" s="79" t="s">
        <v>480</v>
      </c>
      <c r="Y25" s="79"/>
      <c r="Z25" s="79"/>
      <c r="AA25" s="79"/>
      <c r="AB25" s="79" t="s">
        <v>481</v>
      </c>
      <c r="AC25" s="506" t="s">
        <v>6208</v>
      </c>
      <c r="AD25" s="573">
        <v>1</v>
      </c>
      <c r="AE25" s="573">
        <v>0</v>
      </c>
      <c r="AF25" s="154"/>
      <c r="AG25" s="155"/>
      <c r="AH25" s="121"/>
      <c r="AI25" s="484"/>
      <c r="AJ25" s="202"/>
      <c r="AK25" s="192"/>
      <c r="AL25" s="203"/>
      <c r="AM25" s="121"/>
      <c r="AN25" s="121"/>
      <c r="AO25" s="121"/>
      <c r="AP25" s="121"/>
      <c r="AQ25" s="121"/>
      <c r="AR25" s="121"/>
      <c r="AS25" s="121"/>
      <c r="AT25" s="121"/>
      <c r="AU25" s="121"/>
      <c r="AV25" s="121"/>
      <c r="AW25" s="121"/>
      <c r="AX25" s="121"/>
      <c r="AY25" s="121"/>
      <c r="AZ25" s="121"/>
      <c r="BA25" s="121"/>
      <c r="BB25" s="594"/>
      <c r="BC25" s="594"/>
      <c r="BD25" s="156"/>
      <c r="BE25" s="156"/>
      <c r="BF25" s="156" t="s">
        <v>6209</v>
      </c>
      <c r="BG25" s="156"/>
      <c r="BH25" s="156"/>
      <c r="BI25" s="156"/>
      <c r="BJ25" s="156"/>
      <c r="BK25" s="156"/>
      <c r="BL25" s="156" t="s">
        <v>5207</v>
      </c>
      <c r="BM25" s="156"/>
      <c r="BN25" s="156"/>
      <c r="BO25" s="156"/>
      <c r="BP25" s="156" t="s">
        <v>6205</v>
      </c>
      <c r="BQ25" s="595"/>
      <c r="BR25" s="157"/>
      <c r="BS25" s="660"/>
      <c r="BT25" s="134"/>
      <c r="BU25" s="134"/>
      <c r="BV25" s="134"/>
      <c r="BW25" s="134"/>
      <c r="BX25" s="134"/>
      <c r="BY25" s="134"/>
      <c r="BZ25" s="259"/>
      <c r="CA25" s="454"/>
      <c r="CB25" s="138"/>
      <c r="CC25" s="134"/>
      <c r="CD25" s="134"/>
      <c r="CE25" s="134"/>
      <c r="CF25" s="138"/>
      <c r="CG25" s="134"/>
      <c r="CH25" s="134"/>
      <c r="CI25" s="134"/>
      <c r="CJ25" s="288"/>
      <c r="CK25" s="289"/>
      <c r="CL25" s="138"/>
      <c r="CM25" s="134"/>
      <c r="CN25" s="134"/>
      <c r="CO25" s="134"/>
      <c r="CP25" s="138"/>
      <c r="CQ25" s="134"/>
      <c r="CR25" s="134"/>
      <c r="CS25" s="134"/>
      <c r="CT25" s="288"/>
      <c r="CU25" s="289"/>
      <c r="CV25" s="276"/>
      <c r="CW25" s="308"/>
      <c r="CX25" s="138"/>
      <c r="CY25" s="134"/>
      <c r="CZ25" s="134"/>
      <c r="DA25" s="134"/>
      <c r="DB25" s="134"/>
      <c r="DC25" s="134"/>
      <c r="DD25" s="134"/>
      <c r="DE25" s="134"/>
      <c r="DF25" s="300"/>
      <c r="DG25" s="301"/>
      <c r="DH25" s="134"/>
      <c r="DI25" s="190"/>
      <c r="DJ25" s="134"/>
      <c r="DK25" s="134"/>
      <c r="DL25" s="134"/>
      <c r="DM25" s="134"/>
      <c r="DN25" s="134"/>
      <c r="DO25" s="134"/>
      <c r="DP25" s="300"/>
      <c r="DQ25" s="301"/>
      <c r="DR25" s="276"/>
      <c r="DS25" s="277"/>
      <c r="DT25" s="134"/>
      <c r="DU25" s="134"/>
      <c r="DV25" s="134"/>
      <c r="DW25" s="134"/>
      <c r="DX25" s="138"/>
      <c r="DY25" s="134"/>
      <c r="DZ25" s="134"/>
      <c r="EA25" s="134"/>
      <c r="EB25" s="301"/>
      <c r="EC25" s="301"/>
      <c r="ED25" s="138"/>
      <c r="EE25" s="134"/>
      <c r="EF25" s="134"/>
      <c r="EG25" s="134"/>
      <c r="EH25" s="138"/>
      <c r="EI25" s="134"/>
      <c r="EJ25" s="134"/>
      <c r="EK25" s="134"/>
      <c r="EL25" s="301"/>
      <c r="EM25" s="301"/>
      <c r="EN25" s="277"/>
      <c r="EO25" s="134"/>
      <c r="EP25" s="134"/>
      <c r="EQ25" s="134"/>
      <c r="ER25" s="134"/>
      <c r="ES25" s="134"/>
      <c r="ET25" s="134"/>
      <c r="EU25" s="134"/>
      <c r="EV25" s="134"/>
      <c r="EW25" s="301"/>
      <c r="EX25" s="301"/>
      <c r="EY25" s="134"/>
      <c r="EZ25" s="134"/>
      <c r="FA25" s="134"/>
      <c r="FB25" s="134"/>
      <c r="FC25" s="134"/>
      <c r="FD25" s="134"/>
      <c r="FE25" s="134"/>
      <c r="FF25" s="134"/>
      <c r="FG25" s="135"/>
      <c r="FH25" s="135"/>
      <c r="FI25" s="134"/>
      <c r="FJ25" s="134"/>
      <c r="FK25" s="134"/>
      <c r="FL25" s="134"/>
      <c r="FM25" s="134"/>
      <c r="FN25" s="134"/>
      <c r="FO25" s="134"/>
      <c r="FP25" s="134"/>
      <c r="FQ25" s="135"/>
      <c r="FR25" s="135"/>
      <c r="FS25" s="134"/>
      <c r="FT25" s="134"/>
      <c r="FU25" s="134"/>
      <c r="FV25" s="134"/>
      <c r="FW25" s="134"/>
      <c r="FX25" s="134"/>
      <c r="FY25" s="134"/>
      <c r="FZ25" s="134"/>
      <c r="GA25" s="135"/>
      <c r="GB25" s="135"/>
      <c r="GC25" s="134"/>
      <c r="GD25" s="134"/>
      <c r="GE25" s="134"/>
      <c r="GF25" s="134"/>
      <c r="GG25" s="134"/>
      <c r="GH25" s="134"/>
      <c r="GI25" s="134"/>
      <c r="GJ25" s="134"/>
      <c r="GK25" s="135"/>
      <c r="GL25" s="135"/>
      <c r="GM25" s="134"/>
      <c r="GN25" s="134"/>
      <c r="GO25" s="134"/>
      <c r="GP25" s="134"/>
      <c r="GQ25" s="134"/>
      <c r="GR25" s="134"/>
      <c r="GS25" s="134"/>
      <c r="GT25" s="134"/>
      <c r="GU25" s="135"/>
      <c r="GV25" s="135"/>
      <c r="GW25" s="134"/>
      <c r="GX25" s="134"/>
      <c r="GY25" s="134"/>
      <c r="GZ25" s="134"/>
      <c r="HA25" s="134"/>
      <c r="HB25" s="134"/>
      <c r="HC25" s="134"/>
      <c r="HD25" s="134"/>
      <c r="HE25" s="135"/>
      <c r="HF25" s="135"/>
      <c r="HG25" s="134"/>
      <c r="HH25" s="134"/>
      <c r="HI25" s="134"/>
      <c r="HJ25" s="134"/>
      <c r="HK25" s="134"/>
      <c r="HL25" s="134"/>
      <c r="HM25" s="134"/>
      <c r="HN25" s="134"/>
      <c r="HO25" s="135"/>
      <c r="HP25" s="135"/>
      <c r="HQ25" s="134"/>
      <c r="HR25" s="134"/>
      <c r="HS25" s="134"/>
      <c r="HT25" s="134"/>
      <c r="HU25" s="134"/>
      <c r="HV25" s="134"/>
      <c r="HW25" s="134"/>
      <c r="HX25" s="134"/>
      <c r="HY25" s="135"/>
      <c r="HZ25" s="135"/>
      <c r="IA25" s="134"/>
      <c r="IB25" s="134"/>
      <c r="IC25" s="134"/>
      <c r="ID25" s="134"/>
      <c r="IE25" s="134"/>
      <c r="IF25" s="134"/>
      <c r="IG25" s="134"/>
      <c r="IH25" s="134"/>
      <c r="II25" s="135"/>
      <c r="IJ25" s="135"/>
      <c r="IK25" s="134"/>
      <c r="IL25" s="134"/>
      <c r="IM25" s="134"/>
      <c r="IN25" s="134"/>
      <c r="IO25" s="134"/>
      <c r="IP25" s="134"/>
      <c r="IQ25" s="134"/>
      <c r="IR25" s="134"/>
      <c r="IS25" s="135"/>
      <c r="IT25" s="135"/>
      <c r="IU25" s="134"/>
      <c r="IV25" s="134"/>
      <c r="IW25" s="134"/>
      <c r="IX25" s="134"/>
      <c r="IY25" s="134"/>
      <c r="IZ25" s="134"/>
      <c r="JA25" s="134"/>
      <c r="JB25" s="134"/>
      <c r="JC25" s="135"/>
      <c r="JD25" s="135"/>
    </row>
    <row r="26" spans="1:264" s="119" customFormat="1" ht="15" customHeight="1">
      <c r="A26" s="79" t="s">
        <v>171</v>
      </c>
      <c r="B26" s="362">
        <v>126</v>
      </c>
      <c r="C26" s="362"/>
      <c r="D26" s="362">
        <v>41</v>
      </c>
      <c r="E26" s="604" t="s">
        <v>1962</v>
      </c>
      <c r="F26" s="124" t="s">
        <v>2185</v>
      </c>
      <c r="G26" s="125">
        <v>2008</v>
      </c>
      <c r="H26" s="79">
        <v>18068725</v>
      </c>
      <c r="I26" s="79">
        <v>1</v>
      </c>
      <c r="J26" s="126"/>
      <c r="K26" s="127"/>
      <c r="L26" s="79">
        <v>1</v>
      </c>
      <c r="M26" s="79"/>
      <c r="N26" s="79">
        <v>1</v>
      </c>
      <c r="O26" s="128">
        <v>1</v>
      </c>
      <c r="P26" s="79" t="s">
        <v>397</v>
      </c>
      <c r="Q26" s="79"/>
      <c r="R26" s="79" t="s">
        <v>500</v>
      </c>
      <c r="S26" s="79">
        <v>1</v>
      </c>
      <c r="T26" s="79"/>
      <c r="U26" s="79"/>
      <c r="V26" s="79"/>
      <c r="W26" s="79" t="s">
        <v>501</v>
      </c>
      <c r="X26" s="79"/>
      <c r="Y26" s="79"/>
      <c r="Z26" s="79"/>
      <c r="AA26" s="79"/>
      <c r="AB26" s="79"/>
      <c r="AC26" s="506" t="s">
        <v>6212</v>
      </c>
      <c r="AD26" s="573">
        <v>1</v>
      </c>
      <c r="AE26" s="573">
        <v>0</v>
      </c>
      <c r="AF26" s="154"/>
      <c r="AG26" s="155"/>
      <c r="AH26" s="121">
        <v>2</v>
      </c>
      <c r="AI26" s="484"/>
      <c r="AJ26" s="202"/>
      <c r="AK26" s="192"/>
      <c r="AL26" s="203"/>
      <c r="AM26" s="121"/>
      <c r="AN26" s="121"/>
      <c r="AO26" s="121"/>
      <c r="AP26" s="121"/>
      <c r="AQ26" s="121"/>
      <c r="AR26" s="121"/>
      <c r="AS26" s="121"/>
      <c r="AT26" s="121"/>
      <c r="AU26" s="121"/>
      <c r="AV26" s="121"/>
      <c r="AW26" s="121"/>
      <c r="AX26" s="121"/>
      <c r="AY26" s="121"/>
      <c r="AZ26" s="121"/>
      <c r="BA26" s="121"/>
      <c r="BB26" s="594"/>
      <c r="BC26" s="594"/>
      <c r="BD26" s="156"/>
      <c r="BE26" s="156"/>
      <c r="BF26" s="156"/>
      <c r="BG26" s="156"/>
      <c r="BH26" s="156"/>
      <c r="BI26" s="156"/>
      <c r="BJ26" s="156"/>
      <c r="BK26" s="156"/>
      <c r="BL26" s="156"/>
      <c r="BM26" s="156" t="s">
        <v>6205</v>
      </c>
      <c r="BN26" s="156"/>
      <c r="BO26" s="156"/>
      <c r="BP26" s="156" t="s">
        <v>5545</v>
      </c>
      <c r="BQ26" s="595"/>
      <c r="BR26" s="157"/>
      <c r="BS26" s="660"/>
      <c r="BT26" s="134"/>
      <c r="BU26" s="134"/>
      <c r="BV26" s="134"/>
      <c r="BW26" s="134"/>
      <c r="BX26" s="134"/>
      <c r="BY26" s="134"/>
      <c r="BZ26" s="259"/>
      <c r="CA26" s="454"/>
      <c r="CB26" s="138"/>
      <c r="CC26" s="134"/>
      <c r="CD26" s="134"/>
      <c r="CE26" s="134"/>
      <c r="CF26" s="138"/>
      <c r="CG26" s="134"/>
      <c r="CH26" s="134"/>
      <c r="CI26" s="134"/>
      <c r="CJ26" s="288"/>
      <c r="CK26" s="289"/>
      <c r="CL26" s="138"/>
      <c r="CM26" s="134"/>
      <c r="CN26" s="134"/>
      <c r="CO26" s="134"/>
      <c r="CP26" s="138"/>
      <c r="CQ26" s="134"/>
      <c r="CR26" s="134"/>
      <c r="CS26" s="134"/>
      <c r="CT26" s="288"/>
      <c r="CU26" s="289"/>
      <c r="CV26" s="276"/>
      <c r="CW26" s="308"/>
      <c r="CX26" s="430"/>
      <c r="CY26" s="426"/>
      <c r="CZ26" s="426"/>
      <c r="DA26" s="426"/>
      <c r="DB26" s="426"/>
      <c r="DC26" s="426"/>
      <c r="DD26" s="426"/>
      <c r="DE26" s="426"/>
      <c r="DF26" s="300"/>
      <c r="DG26" s="301"/>
      <c r="DH26" s="426"/>
      <c r="DI26" s="426"/>
      <c r="DJ26" s="426"/>
      <c r="DK26" s="426"/>
      <c r="DL26" s="426"/>
      <c r="DM26" s="426"/>
      <c r="DN26" s="426"/>
      <c r="DO26" s="426"/>
      <c r="DP26" s="300"/>
      <c r="DQ26" s="301"/>
      <c r="DR26" s="276"/>
      <c r="DS26" s="277"/>
      <c r="DT26" s="134"/>
      <c r="DU26" s="134"/>
      <c r="DV26" s="134"/>
      <c r="DW26" s="134"/>
      <c r="DX26" s="138"/>
      <c r="DY26" s="134"/>
      <c r="DZ26" s="134"/>
      <c r="EA26" s="134"/>
      <c r="EB26" s="301"/>
      <c r="EC26" s="301"/>
      <c r="ED26" s="138"/>
      <c r="EE26" s="134"/>
      <c r="EF26" s="134"/>
      <c r="EG26" s="134"/>
      <c r="EH26" s="138"/>
      <c r="EI26" s="134"/>
      <c r="EJ26" s="134"/>
      <c r="EK26" s="134"/>
      <c r="EL26" s="301"/>
      <c r="EM26" s="301"/>
      <c r="EN26" s="277"/>
      <c r="EO26" s="134"/>
      <c r="EP26" s="134"/>
      <c r="EQ26" s="134"/>
      <c r="ER26" s="134"/>
      <c r="ES26" s="134"/>
      <c r="ET26" s="134"/>
      <c r="EU26" s="134"/>
      <c r="EV26" s="134"/>
      <c r="EW26" s="301"/>
      <c r="EX26" s="301"/>
      <c r="EY26" s="134"/>
      <c r="EZ26" s="134"/>
      <c r="FA26" s="134"/>
      <c r="FB26" s="134"/>
      <c r="FC26" s="134"/>
      <c r="FD26" s="134"/>
      <c r="FE26" s="134"/>
      <c r="FF26" s="134"/>
      <c r="FG26" s="135"/>
      <c r="FH26" s="135"/>
      <c r="FI26" s="134"/>
      <c r="FJ26" s="134"/>
      <c r="FK26" s="134"/>
      <c r="FL26" s="134"/>
      <c r="FM26" s="134"/>
      <c r="FN26" s="134"/>
      <c r="FO26" s="134"/>
      <c r="FP26" s="134"/>
      <c r="FQ26" s="135"/>
      <c r="FR26" s="135"/>
      <c r="FS26" s="134"/>
      <c r="FT26" s="134"/>
      <c r="FU26" s="134"/>
      <c r="FV26" s="134"/>
      <c r="FW26" s="134"/>
      <c r="FX26" s="134"/>
      <c r="FY26" s="134"/>
      <c r="FZ26" s="134"/>
      <c r="GA26" s="135"/>
      <c r="GB26" s="135"/>
      <c r="GC26" s="134"/>
      <c r="GD26" s="134"/>
      <c r="GE26" s="134"/>
      <c r="GF26" s="134"/>
      <c r="GG26" s="134"/>
      <c r="GH26" s="134"/>
      <c r="GI26" s="134"/>
      <c r="GJ26" s="134"/>
      <c r="GK26" s="135"/>
      <c r="GL26" s="135"/>
      <c r="GM26" s="134"/>
      <c r="GN26" s="134"/>
      <c r="GO26" s="134"/>
      <c r="GP26" s="134"/>
      <c r="GQ26" s="134"/>
      <c r="GR26" s="134"/>
      <c r="GS26" s="134"/>
      <c r="GT26" s="134"/>
      <c r="GU26" s="135"/>
      <c r="GV26" s="135"/>
      <c r="GW26" s="134"/>
      <c r="GX26" s="134"/>
      <c r="GY26" s="134"/>
      <c r="GZ26" s="134"/>
      <c r="HA26" s="134"/>
      <c r="HB26" s="134"/>
      <c r="HC26" s="134"/>
      <c r="HD26" s="134"/>
      <c r="HE26" s="135"/>
      <c r="HF26" s="135"/>
      <c r="HG26" s="134"/>
      <c r="HH26" s="134"/>
      <c r="HI26" s="134"/>
      <c r="HJ26" s="134"/>
      <c r="HK26" s="134"/>
      <c r="HL26" s="134"/>
      <c r="HM26" s="134"/>
      <c r="HN26" s="134"/>
      <c r="HO26" s="135"/>
      <c r="HP26" s="135"/>
      <c r="HQ26" s="134"/>
      <c r="HR26" s="134"/>
      <c r="HS26" s="134"/>
      <c r="HT26" s="134"/>
      <c r="HU26" s="134"/>
      <c r="HV26" s="134"/>
      <c r="HW26" s="134"/>
      <c r="HX26" s="134"/>
      <c r="HY26" s="135"/>
      <c r="HZ26" s="135"/>
      <c r="IA26" s="134"/>
      <c r="IB26" s="134"/>
      <c r="IC26" s="134"/>
      <c r="ID26" s="134"/>
      <c r="IE26" s="134"/>
      <c r="IF26" s="134"/>
      <c r="IG26" s="134"/>
      <c r="IH26" s="134"/>
      <c r="II26" s="135"/>
      <c r="IJ26" s="135"/>
      <c r="IK26" s="134"/>
      <c r="IL26" s="134"/>
      <c r="IM26" s="134"/>
      <c r="IN26" s="134"/>
      <c r="IO26" s="134"/>
      <c r="IP26" s="134"/>
      <c r="IQ26" s="134"/>
      <c r="IR26" s="134"/>
      <c r="IS26" s="135"/>
      <c r="IT26" s="135"/>
      <c r="IU26" s="134"/>
      <c r="IV26" s="134"/>
      <c r="IW26" s="134"/>
      <c r="IX26" s="134"/>
      <c r="IY26" s="134"/>
      <c r="IZ26" s="134"/>
      <c r="JA26" s="134"/>
      <c r="JB26" s="134"/>
      <c r="JC26" s="135"/>
      <c r="JD26" s="135"/>
    </row>
    <row r="27" spans="1:264" s="119" customFormat="1" ht="15" customHeight="1">
      <c r="A27" s="79" t="s">
        <v>186</v>
      </c>
      <c r="B27" s="362">
        <v>135</v>
      </c>
      <c r="C27" s="362"/>
      <c r="D27" s="362">
        <v>44</v>
      </c>
      <c r="E27" s="604" t="s">
        <v>1966</v>
      </c>
      <c r="F27" s="124" t="s">
        <v>2190</v>
      </c>
      <c r="G27" s="125">
        <v>2015</v>
      </c>
      <c r="H27" s="79">
        <v>24156759</v>
      </c>
      <c r="I27" s="79">
        <v>1</v>
      </c>
      <c r="J27" s="126"/>
      <c r="K27" s="127"/>
      <c r="L27" s="164">
        <v>1</v>
      </c>
      <c r="M27" s="79"/>
      <c r="N27" s="164">
        <v>1</v>
      </c>
      <c r="O27" s="128">
        <v>1</v>
      </c>
      <c r="P27" s="79" t="s">
        <v>541</v>
      </c>
      <c r="Q27" s="79"/>
      <c r="R27" s="79" t="s">
        <v>542</v>
      </c>
      <c r="S27" s="79">
        <v>0</v>
      </c>
      <c r="T27" s="79"/>
      <c r="U27" s="79"/>
      <c r="V27" s="79"/>
      <c r="W27" s="79" t="s">
        <v>492</v>
      </c>
      <c r="X27" s="79"/>
      <c r="Y27" s="79"/>
      <c r="Z27" s="79"/>
      <c r="AA27" s="79"/>
      <c r="AB27" s="79" t="s">
        <v>543</v>
      </c>
      <c r="AC27" s="506" t="s">
        <v>6215</v>
      </c>
      <c r="AD27" s="573">
        <v>1</v>
      </c>
      <c r="AE27" s="573">
        <v>0</v>
      </c>
      <c r="AF27" s="154" t="s">
        <v>3003</v>
      </c>
      <c r="AG27" s="155" t="s">
        <v>6216</v>
      </c>
      <c r="AH27" s="121"/>
      <c r="AI27" s="484"/>
      <c r="AJ27" s="202"/>
      <c r="AK27" s="192"/>
      <c r="AL27" s="203"/>
      <c r="AM27" s="121"/>
      <c r="AN27" s="121"/>
      <c r="AO27" s="121"/>
      <c r="AP27" s="121"/>
      <c r="AQ27" s="121"/>
      <c r="AR27" s="121"/>
      <c r="AS27" s="121"/>
      <c r="AT27" s="121"/>
      <c r="AU27" s="121"/>
      <c r="AV27" s="121"/>
      <c r="AW27" s="121"/>
      <c r="AX27" s="121"/>
      <c r="AY27" s="121"/>
      <c r="AZ27" s="121"/>
      <c r="BA27" s="121"/>
      <c r="BB27" s="594"/>
      <c r="BC27" s="594"/>
      <c r="BD27" s="156"/>
      <c r="BE27" s="156"/>
      <c r="BF27" s="156" t="s">
        <v>5207</v>
      </c>
      <c r="BG27" s="156" t="s">
        <v>6175</v>
      </c>
      <c r="BH27" s="156" t="s">
        <v>6205</v>
      </c>
      <c r="BI27" s="156" t="s">
        <v>5207</v>
      </c>
      <c r="BJ27" s="156"/>
      <c r="BK27" s="156"/>
      <c r="BL27" s="156" t="s">
        <v>5207</v>
      </c>
      <c r="BM27" s="156"/>
      <c r="BN27" s="156" t="s">
        <v>5207</v>
      </c>
      <c r="BO27" s="156" t="s">
        <v>5207</v>
      </c>
      <c r="BP27" s="156"/>
      <c r="BQ27" s="595"/>
      <c r="BR27" s="157"/>
      <c r="BS27" s="660"/>
      <c r="BT27" s="134"/>
      <c r="BU27" s="134"/>
      <c r="BV27" s="134"/>
      <c r="BW27" s="134"/>
      <c r="BX27" s="134"/>
      <c r="BY27" s="134"/>
      <c r="BZ27" s="259"/>
      <c r="CA27" s="454"/>
      <c r="CB27" s="138"/>
      <c r="CC27" s="134"/>
      <c r="CD27" s="134"/>
      <c r="CE27" s="134"/>
      <c r="CF27" s="138"/>
      <c r="CG27" s="134"/>
      <c r="CH27" s="134"/>
      <c r="CI27" s="134"/>
      <c r="CJ27" s="288"/>
      <c r="CK27" s="289"/>
      <c r="CL27" s="138"/>
      <c r="CM27" s="134"/>
      <c r="CN27" s="134"/>
      <c r="CO27" s="134"/>
      <c r="CP27" s="430"/>
      <c r="CQ27" s="134"/>
      <c r="CR27" s="134"/>
      <c r="CS27" s="134"/>
      <c r="CT27" s="288"/>
      <c r="CU27" s="289"/>
      <c r="CV27" s="276"/>
      <c r="CW27" s="308"/>
      <c r="CX27" s="430"/>
      <c r="CY27" s="134"/>
      <c r="CZ27" s="134"/>
      <c r="DA27" s="134"/>
      <c r="DB27" s="426"/>
      <c r="DC27" s="134"/>
      <c r="DD27" s="134"/>
      <c r="DE27" s="134"/>
      <c r="DF27" s="300"/>
      <c r="DG27" s="301"/>
      <c r="DH27" s="134"/>
      <c r="DI27" s="134"/>
      <c r="DJ27" s="134"/>
      <c r="DK27" s="134"/>
      <c r="DL27" s="134"/>
      <c r="DM27" s="134"/>
      <c r="DN27" s="134"/>
      <c r="DO27" s="134"/>
      <c r="DP27" s="300"/>
      <c r="DQ27" s="301"/>
      <c r="DR27" s="276"/>
      <c r="DS27" s="277"/>
      <c r="DT27" s="134"/>
      <c r="DU27" s="134"/>
      <c r="DV27" s="190"/>
      <c r="DW27" s="190"/>
      <c r="DX27" s="138"/>
      <c r="DY27" s="134"/>
      <c r="DZ27" s="190"/>
      <c r="EA27" s="134"/>
      <c r="EB27" s="301"/>
      <c r="EC27" s="301"/>
      <c r="ED27" s="138"/>
      <c r="EE27" s="134"/>
      <c r="EF27" s="134"/>
      <c r="EG27" s="134"/>
      <c r="EH27" s="138"/>
      <c r="EI27" s="134"/>
      <c r="EJ27" s="134"/>
      <c r="EK27" s="134"/>
      <c r="EL27" s="301"/>
      <c r="EM27" s="301"/>
      <c r="EN27" s="277"/>
      <c r="EO27" s="134"/>
      <c r="EP27" s="134"/>
      <c r="EQ27" s="134"/>
      <c r="ER27" s="134"/>
      <c r="ES27" s="134"/>
      <c r="ET27" s="134"/>
      <c r="EU27" s="134"/>
      <c r="EV27" s="134"/>
      <c r="EW27" s="301"/>
      <c r="EX27" s="301"/>
      <c r="EY27" s="134"/>
      <c r="EZ27" s="134"/>
      <c r="FA27" s="134"/>
      <c r="FB27" s="134"/>
      <c r="FC27" s="134"/>
      <c r="FD27" s="134"/>
      <c r="FE27" s="134"/>
      <c r="FF27" s="134"/>
      <c r="FG27" s="135"/>
      <c r="FH27" s="135"/>
      <c r="FI27" s="134"/>
      <c r="FJ27" s="134"/>
      <c r="FK27" s="134"/>
      <c r="FL27" s="134"/>
      <c r="FM27" s="134"/>
      <c r="FN27" s="134"/>
      <c r="FO27" s="134"/>
      <c r="FP27" s="134"/>
      <c r="FQ27" s="135"/>
      <c r="FR27" s="135"/>
      <c r="FS27" s="134"/>
      <c r="FT27" s="134"/>
      <c r="FU27" s="134"/>
      <c r="FV27" s="134"/>
      <c r="FW27" s="134"/>
      <c r="FX27" s="134"/>
      <c r="FY27" s="134"/>
      <c r="FZ27" s="134"/>
      <c r="GA27" s="135"/>
      <c r="GB27" s="135"/>
      <c r="GC27" s="134"/>
      <c r="GD27" s="134"/>
      <c r="GE27" s="134"/>
      <c r="GF27" s="134"/>
      <c r="GG27" s="134"/>
      <c r="GH27" s="134"/>
      <c r="GI27" s="134"/>
      <c r="GJ27" s="134"/>
      <c r="GK27" s="135"/>
      <c r="GL27" s="135"/>
      <c r="GM27" s="134"/>
      <c r="GN27" s="134"/>
      <c r="GO27" s="134"/>
      <c r="GP27" s="134"/>
      <c r="GQ27" s="134"/>
      <c r="GR27" s="134"/>
      <c r="GS27" s="134"/>
      <c r="GT27" s="134"/>
      <c r="GU27" s="135"/>
      <c r="GV27" s="135"/>
      <c r="GW27" s="134"/>
      <c r="GX27" s="134"/>
      <c r="GY27" s="134"/>
      <c r="GZ27" s="134"/>
      <c r="HA27" s="134"/>
      <c r="HB27" s="134"/>
      <c r="HC27" s="134"/>
      <c r="HD27" s="134"/>
      <c r="HE27" s="135"/>
      <c r="HF27" s="135"/>
      <c r="HG27" s="134"/>
      <c r="HH27" s="134"/>
      <c r="HI27" s="134"/>
      <c r="HJ27" s="134"/>
      <c r="HK27" s="134"/>
      <c r="HL27" s="134"/>
      <c r="HM27" s="134"/>
      <c r="HN27" s="134"/>
      <c r="HO27" s="135"/>
      <c r="HP27" s="135"/>
      <c r="HQ27" s="134"/>
      <c r="HR27" s="134"/>
      <c r="HS27" s="134"/>
      <c r="HT27" s="134"/>
      <c r="HU27" s="134"/>
      <c r="HV27" s="134"/>
      <c r="HW27" s="134"/>
      <c r="HX27" s="134"/>
      <c r="HY27" s="135"/>
      <c r="HZ27" s="135"/>
      <c r="IA27" s="134"/>
      <c r="IB27" s="134"/>
      <c r="IC27" s="134"/>
      <c r="ID27" s="134"/>
      <c r="IE27" s="134"/>
      <c r="IF27" s="134"/>
      <c r="IG27" s="134"/>
      <c r="IH27" s="134"/>
      <c r="II27" s="135"/>
      <c r="IJ27" s="135"/>
      <c r="IK27" s="134"/>
      <c r="IL27" s="134"/>
      <c r="IM27" s="134"/>
      <c r="IN27" s="134"/>
      <c r="IO27" s="134"/>
      <c r="IP27" s="134"/>
      <c r="IQ27" s="134"/>
      <c r="IR27" s="134"/>
      <c r="IS27" s="135"/>
      <c r="IT27" s="135"/>
      <c r="IU27" s="134"/>
      <c r="IV27" s="134"/>
      <c r="IW27" s="134"/>
      <c r="IX27" s="134"/>
      <c r="IY27" s="134"/>
      <c r="IZ27" s="134"/>
      <c r="JA27" s="134"/>
      <c r="JB27" s="134"/>
      <c r="JC27" s="135"/>
      <c r="JD27" s="135"/>
    </row>
    <row r="28" spans="1:264" customFormat="1" ht="15" customHeight="1">
      <c r="A28" s="79" t="s">
        <v>191</v>
      </c>
      <c r="B28" s="362">
        <v>137</v>
      </c>
      <c r="C28" s="362"/>
      <c r="D28" s="362">
        <v>45</v>
      </c>
      <c r="E28" s="604" t="s">
        <v>1968</v>
      </c>
      <c r="F28" s="124" t="s">
        <v>2192</v>
      </c>
      <c r="G28" s="125">
        <v>2004</v>
      </c>
      <c r="H28" s="79">
        <v>15027789</v>
      </c>
      <c r="I28" s="79">
        <v>1</v>
      </c>
      <c r="J28" s="126"/>
      <c r="K28" s="127"/>
      <c r="L28" s="79">
        <v>1</v>
      </c>
      <c r="M28" s="79"/>
      <c r="N28" s="79">
        <v>1</v>
      </c>
      <c r="O28" s="128">
        <v>1</v>
      </c>
      <c r="P28" s="79" t="s">
        <v>554</v>
      </c>
      <c r="Q28" s="79" t="s">
        <v>555</v>
      </c>
      <c r="R28" s="79" t="s">
        <v>25</v>
      </c>
      <c r="S28" s="79">
        <v>1</v>
      </c>
      <c r="T28" s="79"/>
      <c r="U28" s="79"/>
      <c r="V28" s="79"/>
      <c r="W28" s="79" t="s">
        <v>555</v>
      </c>
      <c r="X28" s="79" t="s">
        <v>24</v>
      </c>
      <c r="Y28" s="79" t="s">
        <v>556</v>
      </c>
      <c r="Z28" s="79" t="s">
        <v>510</v>
      </c>
      <c r="AA28" s="79"/>
      <c r="AB28" s="79"/>
      <c r="AC28" s="506" t="s">
        <v>6217</v>
      </c>
      <c r="AD28" s="573">
        <v>1</v>
      </c>
      <c r="AE28" s="573">
        <v>0</v>
      </c>
      <c r="AF28" s="154" t="s">
        <v>3003</v>
      </c>
      <c r="AG28" s="155" t="s">
        <v>6218</v>
      </c>
      <c r="AH28" s="121">
        <v>2</v>
      </c>
      <c r="AI28" s="484"/>
      <c r="AJ28" s="202"/>
      <c r="AK28" s="192"/>
      <c r="AL28" s="203"/>
      <c r="AM28" s="121"/>
      <c r="AN28" s="121"/>
      <c r="AO28" s="121"/>
      <c r="AP28" s="121"/>
      <c r="AQ28" s="121"/>
      <c r="AR28" s="121"/>
      <c r="AS28" s="417"/>
      <c r="AT28" s="121"/>
      <c r="AU28" s="121"/>
      <c r="AV28" s="121"/>
      <c r="AW28" s="121"/>
      <c r="AX28" s="121"/>
      <c r="AY28" s="121"/>
      <c r="AZ28" s="121"/>
      <c r="BA28" s="121"/>
      <c r="BB28" s="594"/>
      <c r="BC28" s="594"/>
      <c r="BD28" s="156" t="s">
        <v>6219</v>
      </c>
      <c r="BE28" s="156"/>
      <c r="BF28" s="156"/>
      <c r="BG28" s="156"/>
      <c r="BH28" s="156"/>
      <c r="BI28" s="156"/>
      <c r="BJ28" s="156"/>
      <c r="BK28" s="156"/>
      <c r="BL28" s="156"/>
      <c r="BM28" s="156"/>
      <c r="BN28" s="156"/>
      <c r="BO28" s="156"/>
      <c r="BP28" s="156" t="s">
        <v>6219</v>
      </c>
      <c r="BQ28" s="595"/>
      <c r="BR28" s="157"/>
      <c r="BS28" s="660"/>
      <c r="BT28" s="134"/>
      <c r="BU28" s="134"/>
      <c r="BV28" s="134"/>
      <c r="BW28" s="134"/>
      <c r="BX28" s="134"/>
      <c r="BY28" s="134"/>
      <c r="BZ28" s="259"/>
      <c r="CA28" s="454"/>
      <c r="CB28" s="138"/>
      <c r="CC28" s="190"/>
      <c r="CD28" s="134"/>
      <c r="CE28" s="134"/>
      <c r="CF28" s="138"/>
      <c r="CG28" s="134"/>
      <c r="CH28" s="134"/>
      <c r="CI28" s="134"/>
      <c r="CJ28" s="288"/>
      <c r="CK28" s="289"/>
      <c r="CL28" s="138"/>
      <c r="CM28" s="190"/>
      <c r="CN28" s="134"/>
      <c r="CO28" s="134"/>
      <c r="CP28" s="138"/>
      <c r="CQ28" s="134"/>
      <c r="CR28" s="134"/>
      <c r="CS28" s="134"/>
      <c r="CT28" s="288"/>
      <c r="CU28" s="289"/>
      <c r="CV28" s="276"/>
      <c r="CW28" s="308"/>
      <c r="CX28" s="138"/>
      <c r="CY28" s="190"/>
      <c r="CZ28" s="134"/>
      <c r="DA28" s="134"/>
      <c r="DB28" s="134"/>
      <c r="DC28" s="134"/>
      <c r="DD28" s="134"/>
      <c r="DE28" s="134"/>
      <c r="DF28" s="300"/>
      <c r="DG28" s="301"/>
      <c r="DH28" s="134"/>
      <c r="DI28" s="190"/>
      <c r="DJ28" s="134"/>
      <c r="DK28" s="134"/>
      <c r="DL28" s="134"/>
      <c r="DM28" s="134"/>
      <c r="DN28" s="134"/>
      <c r="DO28" s="134"/>
      <c r="DP28" s="300"/>
      <c r="DQ28" s="301"/>
      <c r="DR28" s="276"/>
      <c r="DS28" s="277"/>
      <c r="DT28" s="134"/>
      <c r="DU28" s="134"/>
      <c r="DV28" s="134"/>
      <c r="DW28" s="134"/>
      <c r="DX28" s="138"/>
      <c r="DY28" s="134"/>
      <c r="DZ28" s="134"/>
      <c r="EA28" s="134"/>
      <c r="EB28" s="301"/>
      <c r="EC28" s="301"/>
      <c r="ED28" s="138"/>
      <c r="EE28" s="134"/>
      <c r="EF28" s="134"/>
      <c r="EG28" s="134"/>
      <c r="EH28" s="138"/>
      <c r="EI28" s="134"/>
      <c r="EJ28" s="134"/>
      <c r="EK28" s="134"/>
      <c r="EL28" s="301"/>
      <c r="EM28" s="301"/>
      <c r="EN28" s="277"/>
      <c r="EO28" s="134"/>
      <c r="EP28" s="134"/>
      <c r="EQ28" s="134"/>
      <c r="ER28" s="134"/>
      <c r="ES28" s="190"/>
      <c r="ET28" s="134"/>
      <c r="EU28" s="134"/>
      <c r="EV28" s="134"/>
      <c r="EW28" s="301"/>
      <c r="EX28" s="301"/>
      <c r="EY28" s="134"/>
      <c r="EZ28" s="134"/>
      <c r="FA28" s="134"/>
      <c r="FB28" s="134"/>
      <c r="FC28" s="134"/>
      <c r="FD28" s="134"/>
      <c r="FE28" s="134"/>
      <c r="FF28" s="134"/>
      <c r="FG28" s="135"/>
      <c r="FH28" s="135"/>
      <c r="FI28" s="134"/>
      <c r="FJ28" s="134"/>
      <c r="FK28" s="134"/>
      <c r="FL28" s="134"/>
      <c r="FM28" s="134"/>
      <c r="FN28" s="134"/>
      <c r="FO28" s="134"/>
      <c r="FP28" s="134"/>
      <c r="FQ28" s="135"/>
      <c r="FR28" s="135"/>
      <c r="FS28" s="134"/>
      <c r="FT28" s="134"/>
      <c r="FU28" s="134"/>
      <c r="FV28" s="134"/>
      <c r="FW28" s="134"/>
      <c r="FX28" s="134"/>
      <c r="FY28" s="134"/>
      <c r="FZ28" s="134"/>
      <c r="GA28" s="135"/>
      <c r="GB28" s="135"/>
      <c r="GC28" s="134"/>
      <c r="GD28" s="134"/>
      <c r="GE28" s="134"/>
      <c r="GF28" s="134"/>
      <c r="GG28" s="134"/>
      <c r="GH28" s="134"/>
      <c r="GI28" s="134"/>
      <c r="GJ28" s="134"/>
      <c r="GK28" s="135"/>
      <c r="GL28" s="135"/>
      <c r="GM28" s="134"/>
      <c r="GN28" s="134"/>
      <c r="GO28" s="134"/>
      <c r="GP28" s="134"/>
      <c r="GQ28" s="134"/>
      <c r="GR28" s="134"/>
      <c r="GS28" s="134"/>
      <c r="GT28" s="134"/>
      <c r="GU28" s="135"/>
      <c r="GV28" s="135"/>
      <c r="GW28" s="134"/>
      <c r="GX28" s="134"/>
      <c r="GY28" s="134"/>
      <c r="GZ28" s="134"/>
      <c r="HA28" s="134"/>
      <c r="HB28" s="134"/>
      <c r="HC28" s="134"/>
      <c r="HD28" s="134"/>
      <c r="HE28" s="135"/>
      <c r="HF28" s="135"/>
      <c r="HG28" s="134"/>
      <c r="HH28" s="134"/>
      <c r="HI28" s="134"/>
      <c r="HJ28" s="134"/>
      <c r="HK28" s="134"/>
      <c r="HL28" s="134"/>
      <c r="HM28" s="134"/>
      <c r="HN28" s="134"/>
      <c r="HO28" s="135"/>
      <c r="HP28" s="135"/>
      <c r="HQ28" s="134"/>
      <c r="HR28" s="134"/>
      <c r="HS28" s="134"/>
      <c r="HT28" s="134"/>
      <c r="HU28" s="134"/>
      <c r="HV28" s="134"/>
      <c r="HW28" s="134"/>
      <c r="HX28" s="134"/>
      <c r="HY28" s="135"/>
      <c r="HZ28" s="135"/>
      <c r="IA28" s="134"/>
      <c r="IB28" s="134"/>
      <c r="IC28" s="134"/>
      <c r="ID28" s="134"/>
      <c r="IE28" s="134"/>
      <c r="IF28" s="134"/>
      <c r="IG28" s="134"/>
      <c r="IH28" s="134"/>
      <c r="II28" s="135"/>
      <c r="IJ28" s="135"/>
      <c r="IK28" s="134"/>
      <c r="IL28" s="134"/>
      <c r="IM28" s="134"/>
      <c r="IN28" s="134"/>
      <c r="IO28" s="134"/>
      <c r="IP28" s="134"/>
      <c r="IQ28" s="134"/>
      <c r="IR28" s="134"/>
      <c r="IS28" s="135"/>
      <c r="IT28" s="135"/>
      <c r="IU28" s="134"/>
      <c r="IV28" s="134"/>
      <c r="IW28" s="134"/>
      <c r="IX28" s="134"/>
      <c r="IY28" s="134"/>
      <c r="IZ28" s="134"/>
      <c r="JA28" s="134"/>
      <c r="JB28" s="134"/>
      <c r="JC28" s="135"/>
      <c r="JD28" s="135"/>
    </row>
    <row r="29" spans="1:264" customFormat="1" ht="15" customHeight="1">
      <c r="A29" s="79" t="s">
        <v>192</v>
      </c>
      <c r="B29" s="362">
        <v>138</v>
      </c>
      <c r="C29" s="362"/>
      <c r="D29" s="362">
        <v>46</v>
      </c>
      <c r="E29" s="604" t="s">
        <v>1969</v>
      </c>
      <c r="F29" s="124" t="s">
        <v>2193</v>
      </c>
      <c r="G29" s="125">
        <v>2000</v>
      </c>
      <c r="H29" s="79">
        <v>10807961</v>
      </c>
      <c r="I29" s="79">
        <v>1</v>
      </c>
      <c r="J29" s="126"/>
      <c r="K29" s="127"/>
      <c r="L29" s="79">
        <v>1</v>
      </c>
      <c r="M29" s="79"/>
      <c r="N29" s="79">
        <v>1</v>
      </c>
      <c r="O29" s="128">
        <v>1</v>
      </c>
      <c r="P29" s="79" t="s">
        <v>31</v>
      </c>
      <c r="Q29" s="79" t="s">
        <v>1157</v>
      </c>
      <c r="R29" s="79" t="s">
        <v>25</v>
      </c>
      <c r="S29" s="79">
        <v>1</v>
      </c>
      <c r="T29" s="79"/>
      <c r="U29" s="79"/>
      <c r="V29" s="79"/>
      <c r="W29" s="79" t="s">
        <v>557</v>
      </c>
      <c r="X29" s="79" t="s">
        <v>33</v>
      </c>
      <c r="Y29" s="79"/>
      <c r="Z29" s="79"/>
      <c r="AA29" s="79"/>
      <c r="AB29" s="79"/>
      <c r="AC29" s="506" t="s">
        <v>6220</v>
      </c>
      <c r="AD29" s="573">
        <v>1</v>
      </c>
      <c r="AE29" s="573">
        <v>0</v>
      </c>
      <c r="AF29" s="154"/>
      <c r="AG29" s="155"/>
      <c r="AH29" s="121">
        <v>2</v>
      </c>
      <c r="AI29" s="484"/>
      <c r="AJ29" s="202"/>
      <c r="AK29" s="192"/>
      <c r="AL29" s="203"/>
      <c r="AM29" s="121"/>
      <c r="AN29" s="121"/>
      <c r="AO29" s="121"/>
      <c r="AP29" s="121"/>
      <c r="AQ29" s="121"/>
      <c r="AR29" s="121"/>
      <c r="AS29" s="121"/>
      <c r="AT29" s="121"/>
      <c r="AU29" s="121"/>
      <c r="AV29" s="121"/>
      <c r="AW29" s="121"/>
      <c r="AX29" s="121"/>
      <c r="AY29" s="121"/>
      <c r="AZ29" s="121"/>
      <c r="BA29" s="121"/>
      <c r="BB29" s="594"/>
      <c r="BC29" s="594"/>
      <c r="BD29" s="156"/>
      <c r="BE29" s="156"/>
      <c r="BF29" s="156" t="s">
        <v>5207</v>
      </c>
      <c r="BG29" s="156"/>
      <c r="BH29" s="156"/>
      <c r="BI29" s="156"/>
      <c r="BJ29" s="156"/>
      <c r="BK29" s="156"/>
      <c r="BL29" s="156"/>
      <c r="BM29" s="156"/>
      <c r="BN29" s="156"/>
      <c r="BO29" s="156"/>
      <c r="BP29" s="156"/>
      <c r="BQ29" s="595" t="s">
        <v>31</v>
      </c>
      <c r="BR29" s="157"/>
      <c r="BS29" s="660"/>
      <c r="BT29" s="134"/>
      <c r="BU29" s="134"/>
      <c r="BV29" s="134"/>
      <c r="BW29" s="134"/>
      <c r="BX29" s="134"/>
      <c r="BY29" s="134"/>
      <c r="BZ29" s="259"/>
      <c r="CA29" s="454"/>
      <c r="CB29" s="138"/>
      <c r="CC29" s="190"/>
      <c r="CD29" s="134"/>
      <c r="CE29" s="190"/>
      <c r="CF29" s="463"/>
      <c r="CG29" s="134"/>
      <c r="CH29" s="134"/>
      <c r="CI29" s="134"/>
      <c r="CJ29" s="288"/>
      <c r="CK29" s="289"/>
      <c r="CL29" s="439"/>
      <c r="CM29" s="134"/>
      <c r="CN29" s="134"/>
      <c r="CO29" s="134"/>
      <c r="CP29" s="138"/>
      <c r="CQ29" s="134"/>
      <c r="CR29" s="134"/>
      <c r="CS29" s="134"/>
      <c r="CT29" s="288"/>
      <c r="CU29" s="289"/>
      <c r="CV29" s="276"/>
      <c r="CW29" s="308"/>
      <c r="CX29" s="138"/>
      <c r="CY29" s="134"/>
      <c r="CZ29" s="134"/>
      <c r="DA29" s="134"/>
      <c r="DB29" s="134"/>
      <c r="DC29" s="134"/>
      <c r="DD29" s="134"/>
      <c r="DE29" s="134"/>
      <c r="DF29" s="300"/>
      <c r="DG29" s="301"/>
      <c r="DH29" s="134"/>
      <c r="DI29" s="134"/>
      <c r="DJ29" s="134"/>
      <c r="DK29" s="134"/>
      <c r="DL29" s="134"/>
      <c r="DM29" s="134"/>
      <c r="DN29" s="134"/>
      <c r="DO29" s="134"/>
      <c r="DP29" s="300"/>
      <c r="DQ29" s="301"/>
      <c r="DR29" s="276"/>
      <c r="DS29" s="277"/>
      <c r="DT29" s="134"/>
      <c r="DU29" s="134"/>
      <c r="DV29" s="134"/>
      <c r="DW29" s="134"/>
      <c r="DX29" s="138"/>
      <c r="DY29" s="134"/>
      <c r="DZ29" s="134"/>
      <c r="EA29" s="134"/>
      <c r="EB29" s="301"/>
      <c r="EC29" s="301"/>
      <c r="ED29" s="138"/>
      <c r="EE29" s="134"/>
      <c r="EF29" s="134"/>
      <c r="EG29" s="134"/>
      <c r="EH29" s="138"/>
      <c r="EI29" s="134"/>
      <c r="EJ29" s="134"/>
      <c r="EK29" s="134"/>
      <c r="EL29" s="301"/>
      <c r="EM29" s="301"/>
      <c r="EN29" s="277"/>
      <c r="EO29" s="134"/>
      <c r="EP29" s="134"/>
      <c r="EQ29" s="134"/>
      <c r="ER29" s="134"/>
      <c r="ES29" s="134"/>
      <c r="ET29" s="134"/>
      <c r="EU29" s="134"/>
      <c r="EV29" s="134"/>
      <c r="EW29" s="301"/>
      <c r="EX29" s="301"/>
      <c r="EY29" s="134"/>
      <c r="EZ29" s="134"/>
      <c r="FA29" s="134"/>
      <c r="FB29" s="134"/>
      <c r="FC29" s="134"/>
      <c r="FD29" s="134"/>
      <c r="FE29" s="134"/>
      <c r="FF29" s="134"/>
      <c r="FG29" s="135"/>
      <c r="FH29" s="135"/>
      <c r="FI29" s="134"/>
      <c r="FJ29" s="134"/>
      <c r="FK29" s="134"/>
      <c r="FL29" s="134"/>
      <c r="FM29" s="134"/>
      <c r="FN29" s="134"/>
      <c r="FO29" s="134"/>
      <c r="FP29" s="134"/>
      <c r="FQ29" s="135"/>
      <c r="FR29" s="135"/>
      <c r="FS29" s="134"/>
      <c r="FT29" s="134"/>
      <c r="FU29" s="134"/>
      <c r="FV29" s="134"/>
      <c r="FW29" s="134"/>
      <c r="FX29" s="134"/>
      <c r="FY29" s="134"/>
      <c r="FZ29" s="134"/>
      <c r="GA29" s="135"/>
      <c r="GB29" s="135"/>
      <c r="GC29" s="134"/>
      <c r="GD29" s="134"/>
      <c r="GE29" s="134"/>
      <c r="GF29" s="134"/>
      <c r="GG29" s="134"/>
      <c r="GH29" s="134"/>
      <c r="GI29" s="134"/>
      <c r="GJ29" s="134"/>
      <c r="GK29" s="135"/>
      <c r="GL29" s="135"/>
      <c r="GM29" s="134"/>
      <c r="GN29" s="134"/>
      <c r="GO29" s="134"/>
      <c r="GP29" s="134"/>
      <c r="GQ29" s="134"/>
      <c r="GR29" s="134"/>
      <c r="GS29" s="134"/>
      <c r="GT29" s="134"/>
      <c r="GU29" s="135"/>
      <c r="GV29" s="135"/>
      <c r="GW29" s="134"/>
      <c r="GX29" s="134"/>
      <c r="GY29" s="134"/>
      <c r="GZ29" s="134"/>
      <c r="HA29" s="134"/>
      <c r="HB29" s="134"/>
      <c r="HC29" s="134"/>
      <c r="HD29" s="134"/>
      <c r="HE29" s="135"/>
      <c r="HF29" s="135"/>
      <c r="HG29" s="134"/>
      <c r="HH29" s="134"/>
      <c r="HI29" s="134"/>
      <c r="HJ29" s="134"/>
      <c r="HK29" s="134"/>
      <c r="HL29" s="134"/>
      <c r="HM29" s="134"/>
      <c r="HN29" s="134"/>
      <c r="HO29" s="135"/>
      <c r="HP29" s="135"/>
      <c r="HQ29" s="134"/>
      <c r="HR29" s="134"/>
      <c r="HS29" s="134"/>
      <c r="HT29" s="134"/>
      <c r="HU29" s="134"/>
      <c r="HV29" s="134"/>
      <c r="HW29" s="134"/>
      <c r="HX29" s="134"/>
      <c r="HY29" s="135"/>
      <c r="HZ29" s="135"/>
      <c r="IA29" s="134"/>
      <c r="IB29" s="134"/>
      <c r="IC29" s="134"/>
      <c r="ID29" s="134"/>
      <c r="IE29" s="134"/>
      <c r="IF29" s="134"/>
      <c r="IG29" s="134"/>
      <c r="IH29" s="134"/>
      <c r="II29" s="135"/>
      <c r="IJ29" s="135"/>
      <c r="IK29" s="134"/>
      <c r="IL29" s="134"/>
      <c r="IM29" s="134"/>
      <c r="IN29" s="134"/>
      <c r="IO29" s="134"/>
      <c r="IP29" s="134"/>
      <c r="IQ29" s="134"/>
      <c r="IR29" s="134"/>
      <c r="IS29" s="135"/>
      <c r="IT29" s="135"/>
      <c r="IU29" s="134"/>
      <c r="IV29" s="134"/>
      <c r="IW29" s="134"/>
      <c r="IX29" s="134"/>
      <c r="IY29" s="134"/>
      <c r="IZ29" s="134"/>
      <c r="JA29" s="134"/>
      <c r="JB29" s="134"/>
      <c r="JC29" s="135"/>
      <c r="JD29" s="135"/>
    </row>
    <row r="30" spans="1:264" s="119" customFormat="1" ht="15" customHeight="1">
      <c r="A30" s="79" t="s">
        <v>196</v>
      </c>
      <c r="B30" s="362">
        <v>142</v>
      </c>
      <c r="C30" s="362"/>
      <c r="D30" s="362">
        <v>48</v>
      </c>
      <c r="E30" s="604" t="s">
        <v>1972</v>
      </c>
      <c r="F30" s="124" t="s">
        <v>2196</v>
      </c>
      <c r="G30" s="125">
        <v>2007</v>
      </c>
      <c r="H30" s="79">
        <v>17916253</v>
      </c>
      <c r="I30" s="79">
        <v>1</v>
      </c>
      <c r="J30" s="126"/>
      <c r="K30" s="127"/>
      <c r="L30" s="79">
        <v>1</v>
      </c>
      <c r="M30" s="79"/>
      <c r="N30" s="79">
        <v>1</v>
      </c>
      <c r="O30" s="128">
        <v>1</v>
      </c>
      <c r="P30" s="79"/>
      <c r="Q30" s="79" t="s">
        <v>1157</v>
      </c>
      <c r="R30" s="79" t="s">
        <v>560</v>
      </c>
      <c r="S30" s="79">
        <v>0</v>
      </c>
      <c r="T30" s="79"/>
      <c r="U30" s="79"/>
      <c r="V30" s="79"/>
      <c r="W30" s="79" t="s">
        <v>564</v>
      </c>
      <c r="X30" s="79" t="s">
        <v>24</v>
      </c>
      <c r="Y30" s="79" t="s">
        <v>565</v>
      </c>
      <c r="Z30" s="79"/>
      <c r="AA30" s="79"/>
      <c r="AB30" s="79"/>
      <c r="AC30" s="506" t="s">
        <v>6222</v>
      </c>
      <c r="AD30" s="573">
        <v>1</v>
      </c>
      <c r="AE30" s="573">
        <v>0</v>
      </c>
      <c r="AF30" s="165">
        <v>0</v>
      </c>
      <c r="AG30" s="166" t="s">
        <v>6223</v>
      </c>
      <c r="AH30" s="121"/>
      <c r="AI30" s="484"/>
      <c r="AJ30" s="202"/>
      <c r="AK30" s="192"/>
      <c r="AL30" s="203"/>
      <c r="AM30" s="121"/>
      <c r="AN30" s="121"/>
      <c r="AO30" s="121"/>
      <c r="AP30" s="121"/>
      <c r="AQ30" s="121"/>
      <c r="AR30" s="121"/>
      <c r="AS30" s="121"/>
      <c r="AT30" s="121"/>
      <c r="AU30" s="121"/>
      <c r="AV30" s="121"/>
      <c r="AW30" s="121"/>
      <c r="AX30" s="121"/>
      <c r="AY30" s="121"/>
      <c r="AZ30" s="121"/>
      <c r="BA30" s="121"/>
      <c r="BB30" s="594"/>
      <c r="BC30" s="594"/>
      <c r="BD30" s="156"/>
      <c r="BE30" s="156"/>
      <c r="BF30" s="156"/>
      <c r="BG30" s="156"/>
      <c r="BH30" s="156"/>
      <c r="BI30" s="156"/>
      <c r="BJ30" s="156" t="s">
        <v>6174</v>
      </c>
      <c r="BK30" s="156"/>
      <c r="BL30" s="156"/>
      <c r="BM30" s="156"/>
      <c r="BN30" s="156"/>
      <c r="BO30" s="156"/>
      <c r="BP30" s="156"/>
      <c r="BQ30" s="595"/>
      <c r="BR30" s="157"/>
      <c r="BS30" s="660"/>
      <c r="BT30" s="134"/>
      <c r="BU30" s="134"/>
      <c r="BV30" s="134"/>
      <c r="BW30" s="134"/>
      <c r="BX30" s="134"/>
      <c r="BY30" s="134"/>
      <c r="BZ30" s="259"/>
      <c r="CA30" s="454"/>
      <c r="CB30" s="138"/>
      <c r="CC30" s="190"/>
      <c r="CD30" s="134"/>
      <c r="CE30" s="190"/>
      <c r="CF30" s="463"/>
      <c r="CG30" s="190"/>
      <c r="CH30" s="134"/>
      <c r="CI30" s="190"/>
      <c r="CJ30" s="288"/>
      <c r="CK30" s="289"/>
      <c r="CL30" s="439"/>
      <c r="CM30" s="134"/>
      <c r="CN30" s="134"/>
      <c r="CO30" s="134"/>
      <c r="CP30" s="138"/>
      <c r="CQ30" s="134"/>
      <c r="CR30" s="134"/>
      <c r="CS30" s="134"/>
      <c r="CT30" s="288"/>
      <c r="CU30" s="289"/>
      <c r="CV30" s="276"/>
      <c r="CW30" s="308"/>
      <c r="CX30" s="138"/>
      <c r="CY30" s="134"/>
      <c r="CZ30" s="134"/>
      <c r="DA30" s="134"/>
      <c r="DB30" s="134"/>
      <c r="DC30" s="134"/>
      <c r="DD30" s="134"/>
      <c r="DE30" s="134"/>
      <c r="DF30" s="300"/>
      <c r="DG30" s="301"/>
      <c r="DH30" s="134"/>
      <c r="DI30" s="134"/>
      <c r="DJ30" s="134"/>
      <c r="DK30" s="134"/>
      <c r="DL30" s="134"/>
      <c r="DM30" s="134"/>
      <c r="DN30" s="134"/>
      <c r="DO30" s="134"/>
      <c r="DP30" s="300"/>
      <c r="DQ30" s="301"/>
      <c r="DR30" s="276"/>
      <c r="DS30" s="277"/>
      <c r="DT30" s="134"/>
      <c r="DU30" s="134"/>
      <c r="DV30" s="134"/>
      <c r="DW30" s="134"/>
      <c r="DX30" s="138"/>
      <c r="DY30" s="134"/>
      <c r="DZ30" s="134"/>
      <c r="EA30" s="134"/>
      <c r="EB30" s="301"/>
      <c r="EC30" s="301"/>
      <c r="ED30" s="138"/>
      <c r="EE30" s="134"/>
      <c r="EF30" s="134"/>
      <c r="EG30" s="134"/>
      <c r="EH30" s="138"/>
      <c r="EI30" s="134"/>
      <c r="EJ30" s="134"/>
      <c r="EK30" s="134"/>
      <c r="EL30" s="301"/>
      <c r="EM30" s="301"/>
      <c r="EN30" s="277"/>
      <c r="EO30" s="134"/>
      <c r="EP30" s="134"/>
      <c r="EQ30" s="134"/>
      <c r="ER30" s="134"/>
      <c r="ES30" s="134"/>
      <c r="ET30" s="134"/>
      <c r="EU30" s="134"/>
      <c r="EV30" s="134"/>
      <c r="EW30" s="301"/>
      <c r="EX30" s="301"/>
      <c r="EY30" s="134"/>
      <c r="EZ30" s="134"/>
      <c r="FA30" s="134"/>
      <c r="FB30" s="134"/>
      <c r="FC30" s="134"/>
      <c r="FD30" s="134"/>
      <c r="FE30" s="134"/>
      <c r="FF30" s="134"/>
      <c r="FG30" s="135"/>
      <c r="FH30" s="135"/>
      <c r="FI30" s="134"/>
      <c r="FJ30" s="134"/>
      <c r="FK30" s="134"/>
      <c r="FL30" s="134"/>
      <c r="FM30" s="134"/>
      <c r="FN30" s="134"/>
      <c r="FO30" s="134"/>
      <c r="FP30" s="134"/>
      <c r="FQ30" s="135"/>
      <c r="FR30" s="135"/>
      <c r="FS30" s="134"/>
      <c r="FT30" s="134"/>
      <c r="FU30" s="134"/>
      <c r="FV30" s="134"/>
      <c r="FW30" s="134"/>
      <c r="FX30" s="134"/>
      <c r="FY30" s="134"/>
      <c r="FZ30" s="134"/>
      <c r="GA30" s="135"/>
      <c r="GB30" s="135"/>
      <c r="GC30" s="134"/>
      <c r="GD30" s="134"/>
      <c r="GE30" s="134"/>
      <c r="GF30" s="134"/>
      <c r="GG30" s="134"/>
      <c r="GH30" s="134"/>
      <c r="GI30" s="134"/>
      <c r="GJ30" s="134"/>
      <c r="GK30" s="135"/>
      <c r="GL30" s="135"/>
      <c r="GM30" s="134"/>
      <c r="GN30" s="134"/>
      <c r="GO30" s="134"/>
      <c r="GP30" s="134"/>
      <c r="GQ30" s="134"/>
      <c r="GR30" s="134"/>
      <c r="GS30" s="134"/>
      <c r="GT30" s="134"/>
      <c r="GU30" s="135"/>
      <c r="GV30" s="135"/>
      <c r="GW30" s="134"/>
      <c r="GX30" s="134"/>
      <c r="GY30" s="134"/>
      <c r="GZ30" s="134"/>
      <c r="HA30" s="134"/>
      <c r="HB30" s="134"/>
      <c r="HC30" s="134"/>
      <c r="HD30" s="134"/>
      <c r="HE30" s="135"/>
      <c r="HF30" s="135"/>
      <c r="HG30" s="134"/>
      <c r="HH30" s="134"/>
      <c r="HI30" s="134"/>
      <c r="HJ30" s="134"/>
      <c r="HK30" s="134"/>
      <c r="HL30" s="134"/>
      <c r="HM30" s="134"/>
      <c r="HN30" s="134"/>
      <c r="HO30" s="135"/>
      <c r="HP30" s="135"/>
      <c r="HQ30" s="134"/>
      <c r="HR30" s="134"/>
      <c r="HS30" s="134"/>
      <c r="HT30" s="134"/>
      <c r="HU30" s="134"/>
      <c r="HV30" s="134"/>
      <c r="HW30" s="134"/>
      <c r="HX30" s="134"/>
      <c r="HY30" s="135"/>
      <c r="HZ30" s="135"/>
      <c r="IA30" s="134"/>
      <c r="IB30" s="134"/>
      <c r="IC30" s="134"/>
      <c r="ID30" s="134"/>
      <c r="IE30" s="134"/>
      <c r="IF30" s="134"/>
      <c r="IG30" s="134"/>
      <c r="IH30" s="134"/>
      <c r="II30" s="135"/>
      <c r="IJ30" s="135"/>
      <c r="IK30" s="134"/>
      <c r="IL30" s="134"/>
      <c r="IM30" s="134"/>
      <c r="IN30" s="134"/>
      <c r="IO30" s="134"/>
      <c r="IP30" s="134"/>
      <c r="IQ30" s="134"/>
      <c r="IR30" s="134"/>
      <c r="IS30" s="135"/>
      <c r="IT30" s="135"/>
      <c r="IU30" s="134"/>
      <c r="IV30" s="134"/>
      <c r="IW30" s="134"/>
      <c r="IX30" s="134"/>
      <c r="IY30" s="134"/>
      <c r="IZ30" s="134"/>
      <c r="JA30" s="134"/>
      <c r="JB30" s="134"/>
      <c r="JC30" s="135"/>
      <c r="JD30" s="135"/>
    </row>
    <row r="31" spans="1:264" customFormat="1" ht="15" customHeight="1">
      <c r="A31" s="79" t="s">
        <v>1031</v>
      </c>
      <c r="B31" s="362">
        <v>149</v>
      </c>
      <c r="C31" s="362"/>
      <c r="D31" s="362">
        <v>50</v>
      </c>
      <c r="E31" s="604" t="s">
        <v>2085</v>
      </c>
      <c r="F31" s="124" t="s">
        <v>2339</v>
      </c>
      <c r="G31" s="125">
        <v>2016</v>
      </c>
      <c r="H31" s="79">
        <v>26611866</v>
      </c>
      <c r="I31" s="79">
        <v>1</v>
      </c>
      <c r="J31" s="126"/>
      <c r="K31" s="127"/>
      <c r="L31" s="79">
        <v>1</v>
      </c>
      <c r="M31" s="79"/>
      <c r="N31" s="164">
        <v>1</v>
      </c>
      <c r="O31" s="128">
        <v>2</v>
      </c>
      <c r="P31" s="79" t="s">
        <v>1393</v>
      </c>
      <c r="Q31" s="79" t="s">
        <v>1390</v>
      </c>
      <c r="R31" s="79" t="s">
        <v>1127</v>
      </c>
      <c r="S31" s="79"/>
      <c r="T31" s="79" t="s">
        <v>1487</v>
      </c>
      <c r="U31" s="79" t="s">
        <v>803</v>
      </c>
      <c r="V31" s="79" t="s">
        <v>23</v>
      </c>
      <c r="W31" s="79" t="s">
        <v>1716</v>
      </c>
      <c r="X31" s="79" t="s">
        <v>1391</v>
      </c>
      <c r="Y31" s="79"/>
      <c r="Z31" s="79"/>
      <c r="AA31" s="79"/>
      <c r="AB31" s="79" t="s">
        <v>1392</v>
      </c>
      <c r="AC31" s="506" t="s">
        <v>6225</v>
      </c>
      <c r="AD31" s="573">
        <v>1</v>
      </c>
      <c r="AE31" s="573">
        <v>0</v>
      </c>
      <c r="AF31" s="154">
        <v>0</v>
      </c>
      <c r="AG31" s="155" t="s">
        <v>6226</v>
      </c>
      <c r="AH31" s="121">
        <v>4</v>
      </c>
      <c r="AI31" s="484"/>
      <c r="AJ31" s="202"/>
      <c r="AK31" s="192"/>
      <c r="AL31" s="203"/>
      <c r="AM31" s="121"/>
      <c r="AN31" s="121"/>
      <c r="AO31" s="121"/>
      <c r="AP31" s="121"/>
      <c r="AQ31" s="121"/>
      <c r="AR31" s="121"/>
      <c r="AS31" s="121"/>
      <c r="AT31" s="121"/>
      <c r="AU31" s="121"/>
      <c r="AV31" s="121"/>
      <c r="AW31" s="121"/>
      <c r="AX31" s="121"/>
      <c r="AY31" s="121"/>
      <c r="AZ31" s="121"/>
      <c r="BA31" s="121"/>
      <c r="BB31" s="594" t="s">
        <v>5207</v>
      </c>
      <c r="BC31" s="594"/>
      <c r="BD31" s="156"/>
      <c r="BE31" s="156"/>
      <c r="BF31" s="156"/>
      <c r="BG31" s="156" t="s">
        <v>1917</v>
      </c>
      <c r="BH31" s="156"/>
      <c r="BI31" s="156"/>
      <c r="BJ31" s="156"/>
      <c r="BK31" s="156"/>
      <c r="BL31" s="156"/>
      <c r="BM31" s="156"/>
      <c r="BN31" s="156"/>
      <c r="BO31" s="156"/>
      <c r="BP31" s="156"/>
      <c r="BQ31" s="595"/>
      <c r="BR31" s="157"/>
      <c r="BS31" s="660"/>
      <c r="BT31" s="134"/>
      <c r="BU31" s="134"/>
      <c r="BV31" s="134"/>
      <c r="BW31" s="134"/>
      <c r="BX31" s="134"/>
      <c r="BY31" s="134"/>
      <c r="BZ31" s="259"/>
      <c r="CA31" s="454"/>
      <c r="CB31" s="138"/>
      <c r="CC31" s="190"/>
      <c r="CD31" s="134"/>
      <c r="CE31" s="134"/>
      <c r="CF31" s="138"/>
      <c r="CG31" s="134"/>
      <c r="CH31" s="134"/>
      <c r="CI31" s="134"/>
      <c r="CJ31" s="288"/>
      <c r="CK31" s="289"/>
      <c r="CL31" s="138"/>
      <c r="CM31" s="190"/>
      <c r="CN31" s="134"/>
      <c r="CO31" s="134"/>
      <c r="CP31" s="138"/>
      <c r="CQ31" s="134"/>
      <c r="CR31" s="134"/>
      <c r="CS31" s="134"/>
      <c r="CT31" s="288"/>
      <c r="CU31" s="289"/>
      <c r="CV31" s="276"/>
      <c r="CW31" s="308"/>
      <c r="CX31" s="138"/>
      <c r="CY31" s="134"/>
      <c r="CZ31" s="134"/>
      <c r="DA31" s="134"/>
      <c r="DB31" s="134"/>
      <c r="DC31" s="134"/>
      <c r="DD31" s="134"/>
      <c r="DE31" s="134"/>
      <c r="DF31" s="300"/>
      <c r="DG31" s="301"/>
      <c r="DH31" s="134"/>
      <c r="DI31" s="134"/>
      <c r="DJ31" s="134"/>
      <c r="DK31" s="134"/>
      <c r="DL31" s="134"/>
      <c r="DM31" s="134"/>
      <c r="DN31" s="134"/>
      <c r="DO31" s="134"/>
      <c r="DP31" s="300"/>
      <c r="DQ31" s="301"/>
      <c r="DR31" s="276"/>
      <c r="DS31" s="277"/>
      <c r="DT31" s="134"/>
      <c r="DU31" s="134"/>
      <c r="DV31" s="134"/>
      <c r="DW31" s="134"/>
      <c r="DX31" s="138"/>
      <c r="DY31" s="134"/>
      <c r="DZ31" s="134"/>
      <c r="EA31" s="134"/>
      <c r="EB31" s="301"/>
      <c r="EC31" s="301"/>
      <c r="ED31" s="138"/>
      <c r="EE31" s="134"/>
      <c r="EF31" s="134"/>
      <c r="EG31" s="134"/>
      <c r="EH31" s="138"/>
      <c r="EI31" s="134"/>
      <c r="EJ31" s="134"/>
      <c r="EK31" s="134"/>
      <c r="EL31" s="301"/>
      <c r="EM31" s="301"/>
      <c r="EN31" s="277"/>
      <c r="EO31" s="134"/>
      <c r="EP31" s="134"/>
      <c r="EQ31" s="134"/>
      <c r="ER31" s="134"/>
      <c r="ES31" s="134"/>
      <c r="ET31" s="134"/>
      <c r="EU31" s="134"/>
      <c r="EV31" s="134"/>
      <c r="EW31" s="301"/>
      <c r="EX31" s="301"/>
      <c r="EY31" s="134"/>
      <c r="EZ31" s="134"/>
      <c r="FA31" s="134"/>
      <c r="FB31" s="134"/>
      <c r="FC31" s="134"/>
      <c r="FD31" s="134"/>
      <c r="FE31" s="134"/>
      <c r="FF31" s="134"/>
      <c r="FG31" s="135"/>
      <c r="FH31" s="135"/>
      <c r="FI31" s="134"/>
      <c r="FJ31" s="134"/>
      <c r="FK31" s="134"/>
      <c r="FL31" s="134"/>
      <c r="FM31" s="134"/>
      <c r="FN31" s="134"/>
      <c r="FO31" s="134"/>
      <c r="FP31" s="134"/>
      <c r="FQ31" s="135"/>
      <c r="FR31" s="135"/>
      <c r="FS31" s="134"/>
      <c r="FT31" s="134"/>
      <c r="FU31" s="134"/>
      <c r="FV31" s="134"/>
      <c r="FW31" s="134"/>
      <c r="FX31" s="134"/>
      <c r="FY31" s="134"/>
      <c r="FZ31" s="134"/>
      <c r="GA31" s="135"/>
      <c r="GB31" s="135"/>
      <c r="GC31" s="134"/>
      <c r="GD31" s="134"/>
      <c r="GE31" s="134"/>
      <c r="GF31" s="134"/>
      <c r="GG31" s="134"/>
      <c r="GH31" s="134"/>
      <c r="GI31" s="134"/>
      <c r="GJ31" s="134"/>
      <c r="GK31" s="135"/>
      <c r="GL31" s="135"/>
      <c r="GM31" s="134"/>
      <c r="GN31" s="134"/>
      <c r="GO31" s="134"/>
      <c r="GP31" s="134"/>
      <c r="GQ31" s="134"/>
      <c r="GR31" s="134"/>
      <c r="GS31" s="134"/>
      <c r="GT31" s="134"/>
      <c r="GU31" s="135"/>
      <c r="GV31" s="135"/>
      <c r="GW31" s="134"/>
      <c r="GX31" s="134"/>
      <c r="GY31" s="134"/>
      <c r="GZ31" s="134"/>
      <c r="HA31" s="134"/>
      <c r="HB31" s="134"/>
      <c r="HC31" s="134"/>
      <c r="HD31" s="134"/>
      <c r="HE31" s="135"/>
      <c r="HF31" s="135"/>
      <c r="HG31" s="134"/>
      <c r="HH31" s="134"/>
      <c r="HI31" s="134"/>
      <c r="HJ31" s="134"/>
      <c r="HK31" s="134"/>
      <c r="HL31" s="134"/>
      <c r="HM31" s="134"/>
      <c r="HN31" s="134"/>
      <c r="HO31" s="135"/>
      <c r="HP31" s="135"/>
      <c r="HQ31" s="134"/>
      <c r="HR31" s="134"/>
      <c r="HS31" s="134"/>
      <c r="HT31" s="134"/>
      <c r="HU31" s="134"/>
      <c r="HV31" s="134"/>
      <c r="HW31" s="134"/>
      <c r="HX31" s="134"/>
      <c r="HY31" s="135"/>
      <c r="HZ31" s="135"/>
      <c r="IA31" s="134"/>
      <c r="IB31" s="134"/>
      <c r="IC31" s="134"/>
      <c r="ID31" s="134"/>
      <c r="IE31" s="134"/>
      <c r="IF31" s="134"/>
      <c r="IG31" s="134"/>
      <c r="IH31" s="134"/>
      <c r="II31" s="135"/>
      <c r="IJ31" s="135"/>
      <c r="IK31" s="134"/>
      <c r="IL31" s="134"/>
      <c r="IM31" s="134"/>
      <c r="IN31" s="134"/>
      <c r="IO31" s="134"/>
      <c r="IP31" s="134"/>
      <c r="IQ31" s="134"/>
      <c r="IR31" s="134"/>
      <c r="IS31" s="135"/>
      <c r="IT31" s="135"/>
      <c r="IU31" s="134"/>
      <c r="IV31" s="134"/>
      <c r="IW31" s="134"/>
      <c r="IX31" s="134"/>
      <c r="IY31" s="134"/>
      <c r="IZ31" s="134"/>
      <c r="JA31" s="134"/>
      <c r="JB31" s="134"/>
      <c r="JC31" s="135"/>
      <c r="JD31" s="135"/>
    </row>
    <row r="32" spans="1:264" s="188" customFormat="1" ht="15" customHeight="1">
      <c r="A32" s="79" t="s">
        <v>210</v>
      </c>
      <c r="B32" s="362">
        <v>155</v>
      </c>
      <c r="C32" s="362"/>
      <c r="D32" s="362">
        <v>53</v>
      </c>
      <c r="E32" s="604" t="s">
        <v>1980</v>
      </c>
      <c r="F32" s="124" t="s">
        <v>2204</v>
      </c>
      <c r="G32" s="125">
        <v>2015</v>
      </c>
      <c r="H32" s="79">
        <v>26011671</v>
      </c>
      <c r="I32" s="79">
        <v>1</v>
      </c>
      <c r="J32" s="126"/>
      <c r="K32" s="127"/>
      <c r="L32" s="79">
        <v>1</v>
      </c>
      <c r="M32" s="79"/>
      <c r="N32" s="164">
        <v>1</v>
      </c>
      <c r="O32" s="128">
        <v>1</v>
      </c>
      <c r="P32" s="79" t="s">
        <v>599</v>
      </c>
      <c r="Q32" s="79" t="s">
        <v>1164</v>
      </c>
      <c r="R32" s="79" t="s">
        <v>498</v>
      </c>
      <c r="S32" s="79">
        <v>0</v>
      </c>
      <c r="T32" s="79"/>
      <c r="U32" s="79"/>
      <c r="V32" s="79"/>
      <c r="W32" s="79" t="s">
        <v>600</v>
      </c>
      <c r="X32" s="79"/>
      <c r="Y32" s="79"/>
      <c r="Z32" s="79"/>
      <c r="AA32" s="79"/>
      <c r="AB32" s="79" t="s">
        <v>601</v>
      </c>
      <c r="AC32" s="506" t="s">
        <v>6233</v>
      </c>
      <c r="AD32" s="573">
        <v>1</v>
      </c>
      <c r="AE32" s="573">
        <v>0</v>
      </c>
      <c r="AF32" s="576" t="s">
        <v>3003</v>
      </c>
      <c r="AG32" s="577" t="s">
        <v>6232</v>
      </c>
      <c r="AH32" s="121"/>
      <c r="AI32" s="484"/>
      <c r="AJ32" s="202"/>
      <c r="AK32" s="192"/>
      <c r="AL32" s="203"/>
      <c r="AM32" s="121"/>
      <c r="AN32" s="121"/>
      <c r="AO32" s="121"/>
      <c r="AP32" s="121"/>
      <c r="AQ32" s="121"/>
      <c r="AR32" s="121"/>
      <c r="AS32" s="121"/>
      <c r="AT32" s="121"/>
      <c r="AU32" s="121"/>
      <c r="AV32" s="121"/>
      <c r="AW32" s="121"/>
      <c r="AX32" s="121"/>
      <c r="AY32" s="121"/>
      <c r="AZ32" s="121"/>
      <c r="BA32" s="121"/>
      <c r="BB32" s="594"/>
      <c r="BC32" s="594"/>
      <c r="BD32" s="156"/>
      <c r="BE32" s="156"/>
      <c r="BF32" s="156"/>
      <c r="BG32" s="156"/>
      <c r="BH32" s="156"/>
      <c r="BI32" s="156"/>
      <c r="BJ32" s="156"/>
      <c r="BK32" s="156"/>
      <c r="BL32" s="156"/>
      <c r="BM32" s="156"/>
      <c r="BN32" s="156"/>
      <c r="BO32" s="156"/>
      <c r="BP32" s="156" t="s">
        <v>5545</v>
      </c>
      <c r="BQ32" s="595"/>
      <c r="BR32" s="157"/>
      <c r="BS32" s="660"/>
      <c r="BT32" s="134"/>
      <c r="BU32" s="134"/>
      <c r="BV32" s="134"/>
      <c r="BW32" s="134"/>
      <c r="BX32" s="134"/>
      <c r="BY32" s="134"/>
      <c r="BZ32" s="259"/>
      <c r="CA32" s="454"/>
      <c r="CB32" s="138"/>
      <c r="CC32" s="134"/>
      <c r="CD32" s="134"/>
      <c r="CE32" s="134"/>
      <c r="CF32" s="138"/>
      <c r="CG32" s="134"/>
      <c r="CH32" s="134"/>
      <c r="CI32" s="134"/>
      <c r="CJ32" s="288"/>
      <c r="CK32" s="437"/>
      <c r="CL32" s="138"/>
      <c r="CM32" s="134"/>
      <c r="CN32" s="134"/>
      <c r="CO32" s="134"/>
      <c r="CP32" s="138"/>
      <c r="CQ32" s="134"/>
      <c r="CR32" s="134"/>
      <c r="CS32" s="134"/>
      <c r="CT32" s="288"/>
      <c r="CU32" s="289"/>
      <c r="CV32" s="276"/>
      <c r="CW32" s="308"/>
      <c r="CX32" s="138"/>
      <c r="CY32" s="134"/>
      <c r="CZ32" s="134"/>
      <c r="DA32" s="134"/>
      <c r="DB32" s="134"/>
      <c r="DC32" s="134"/>
      <c r="DD32" s="134"/>
      <c r="DE32" s="134"/>
      <c r="DF32" s="300"/>
      <c r="DG32" s="301"/>
      <c r="DH32" s="134"/>
      <c r="DI32" s="134"/>
      <c r="DJ32" s="134"/>
      <c r="DK32" s="134"/>
      <c r="DL32" s="134"/>
      <c r="DM32" s="134"/>
      <c r="DN32" s="134"/>
      <c r="DO32" s="134"/>
      <c r="DP32" s="300"/>
      <c r="DQ32" s="301"/>
      <c r="DR32" s="276"/>
      <c r="DS32" s="277"/>
      <c r="DT32" s="134"/>
      <c r="DU32" s="134"/>
      <c r="DV32" s="134"/>
      <c r="DW32" s="134"/>
      <c r="DX32" s="138"/>
      <c r="DY32" s="134"/>
      <c r="DZ32" s="134"/>
      <c r="EA32" s="134"/>
      <c r="EB32" s="301"/>
      <c r="EC32" s="301"/>
      <c r="ED32" s="138"/>
      <c r="EE32" s="134"/>
      <c r="EF32" s="134"/>
      <c r="EG32" s="134"/>
      <c r="EH32" s="138"/>
      <c r="EI32" s="134"/>
      <c r="EJ32" s="134"/>
      <c r="EK32" s="134"/>
      <c r="EL32" s="301"/>
      <c r="EM32" s="301"/>
      <c r="EN32" s="277"/>
      <c r="EO32" s="134"/>
      <c r="EP32" s="134"/>
      <c r="EQ32" s="134"/>
      <c r="ER32" s="134"/>
      <c r="ES32" s="134"/>
      <c r="ET32" s="134"/>
      <c r="EU32" s="134"/>
      <c r="EV32" s="134"/>
      <c r="EW32" s="301"/>
      <c r="EX32" s="301"/>
      <c r="EY32" s="134"/>
      <c r="EZ32" s="134"/>
      <c r="FA32" s="134"/>
      <c r="FB32" s="134"/>
      <c r="FC32" s="134"/>
      <c r="FD32" s="134"/>
      <c r="FE32" s="134"/>
      <c r="FF32" s="134"/>
      <c r="FG32" s="135"/>
      <c r="FH32" s="135"/>
      <c r="FI32" s="134"/>
      <c r="FJ32" s="134"/>
      <c r="FK32" s="134"/>
      <c r="FL32" s="134"/>
      <c r="FM32" s="134"/>
      <c r="FN32" s="134"/>
      <c r="FO32" s="134"/>
      <c r="FP32" s="134"/>
      <c r="FQ32" s="135"/>
      <c r="FR32" s="135"/>
      <c r="FS32" s="134"/>
      <c r="FT32" s="134"/>
      <c r="FU32" s="134"/>
      <c r="FV32" s="134"/>
      <c r="FW32" s="134"/>
      <c r="FX32" s="134"/>
      <c r="FY32" s="134"/>
      <c r="FZ32" s="134"/>
      <c r="GA32" s="135"/>
      <c r="GB32" s="135"/>
      <c r="GC32" s="134"/>
      <c r="GD32" s="134"/>
      <c r="GE32" s="134"/>
      <c r="GF32" s="134"/>
      <c r="GG32" s="134"/>
      <c r="GH32" s="134"/>
      <c r="GI32" s="134"/>
      <c r="GJ32" s="134"/>
      <c r="GK32" s="135"/>
      <c r="GL32" s="135"/>
      <c r="GM32" s="134"/>
      <c r="GN32" s="134"/>
      <c r="GO32" s="134"/>
      <c r="GP32" s="134"/>
      <c r="GQ32" s="134"/>
      <c r="GR32" s="134"/>
      <c r="GS32" s="134"/>
      <c r="GT32" s="134"/>
      <c r="GU32" s="135"/>
      <c r="GV32" s="135"/>
      <c r="GW32" s="134"/>
      <c r="GX32" s="134"/>
      <c r="GY32" s="134"/>
      <c r="GZ32" s="134"/>
      <c r="HA32" s="134"/>
      <c r="HB32" s="134"/>
      <c r="HC32" s="134"/>
      <c r="HD32" s="134"/>
      <c r="HE32" s="135"/>
      <c r="HF32" s="135"/>
      <c r="HG32" s="134"/>
      <c r="HH32" s="134"/>
      <c r="HI32" s="134"/>
      <c r="HJ32" s="134"/>
      <c r="HK32" s="134"/>
      <c r="HL32" s="134"/>
      <c r="HM32" s="134"/>
      <c r="HN32" s="134"/>
      <c r="HO32" s="135"/>
      <c r="HP32" s="135"/>
      <c r="HQ32" s="134"/>
      <c r="HR32" s="134"/>
      <c r="HS32" s="134"/>
      <c r="HT32" s="134"/>
      <c r="HU32" s="134"/>
      <c r="HV32" s="134"/>
      <c r="HW32" s="134"/>
      <c r="HX32" s="134"/>
      <c r="HY32" s="135"/>
      <c r="HZ32" s="135"/>
      <c r="IA32" s="134"/>
      <c r="IB32" s="134"/>
      <c r="IC32" s="134"/>
      <c r="ID32" s="134"/>
      <c r="IE32" s="134"/>
      <c r="IF32" s="134"/>
      <c r="IG32" s="134"/>
      <c r="IH32" s="134"/>
      <c r="II32" s="135"/>
      <c r="IJ32" s="135"/>
      <c r="IK32" s="134"/>
      <c r="IL32" s="134"/>
      <c r="IM32" s="134"/>
      <c r="IN32" s="134"/>
      <c r="IO32" s="134"/>
      <c r="IP32" s="134"/>
      <c r="IQ32" s="134"/>
      <c r="IR32" s="134"/>
      <c r="IS32" s="135"/>
      <c r="IT32" s="135"/>
      <c r="IU32" s="134"/>
      <c r="IV32" s="134"/>
      <c r="IW32" s="134"/>
      <c r="IX32" s="134"/>
      <c r="IY32" s="134"/>
      <c r="IZ32" s="134"/>
      <c r="JA32" s="134"/>
      <c r="JB32" s="134"/>
      <c r="JC32" s="135"/>
      <c r="JD32" s="135"/>
    </row>
    <row r="33" spans="1:264" s="119" customFormat="1" ht="15" customHeight="1">
      <c r="A33" s="79" t="s">
        <v>211</v>
      </c>
      <c r="B33" s="362">
        <v>156</v>
      </c>
      <c r="C33" s="362"/>
      <c r="D33" s="362">
        <v>54</v>
      </c>
      <c r="E33" s="604" t="s">
        <v>1981</v>
      </c>
      <c r="F33" s="124" t="s">
        <v>2205</v>
      </c>
      <c r="G33" s="125">
        <v>2013</v>
      </c>
      <c r="H33" s="79">
        <v>24025760</v>
      </c>
      <c r="I33" s="79">
        <v>1</v>
      </c>
      <c r="J33" s="126"/>
      <c r="K33" s="127"/>
      <c r="L33" s="79">
        <v>1</v>
      </c>
      <c r="M33" s="79"/>
      <c r="N33" s="164">
        <v>1</v>
      </c>
      <c r="O33" s="128">
        <v>1</v>
      </c>
      <c r="P33" s="79"/>
      <c r="Q33" s="79" t="s">
        <v>1164</v>
      </c>
      <c r="R33" s="79" t="s">
        <v>25</v>
      </c>
      <c r="S33" s="79">
        <v>1</v>
      </c>
      <c r="T33" s="79"/>
      <c r="U33" s="79"/>
      <c r="V33" s="79"/>
      <c r="W33" s="79" t="s">
        <v>602</v>
      </c>
      <c r="X33" s="79" t="s">
        <v>33</v>
      </c>
      <c r="Y33" s="79"/>
      <c r="Z33" s="79"/>
      <c r="AA33" s="79"/>
      <c r="AB33" s="79"/>
      <c r="AC33" s="506" t="s">
        <v>6234</v>
      </c>
      <c r="AD33" s="573">
        <v>1</v>
      </c>
      <c r="AE33" s="573">
        <v>0</v>
      </c>
      <c r="AF33" s="154" t="s">
        <v>3003</v>
      </c>
      <c r="AG33" s="155" t="s">
        <v>6235</v>
      </c>
      <c r="AH33" s="121">
        <v>2</v>
      </c>
      <c r="AI33" s="484"/>
      <c r="AJ33" s="202"/>
      <c r="AK33" s="192"/>
      <c r="AL33" s="203"/>
      <c r="AM33" s="121"/>
      <c r="AN33" s="121"/>
      <c r="AO33" s="121"/>
      <c r="AP33" s="121"/>
      <c r="AQ33" s="121"/>
      <c r="AR33" s="121"/>
      <c r="AS33" s="121"/>
      <c r="AT33" s="121"/>
      <c r="AU33" s="121"/>
      <c r="AV33" s="121"/>
      <c r="AW33" s="121"/>
      <c r="AX33" s="121"/>
      <c r="AY33" s="121"/>
      <c r="AZ33" s="121"/>
      <c r="BA33" s="121"/>
      <c r="BB33" s="594"/>
      <c r="BC33" s="594"/>
      <c r="BD33" s="156"/>
      <c r="BE33" s="156"/>
      <c r="BF33" s="156"/>
      <c r="BG33" s="156"/>
      <c r="BH33" s="156"/>
      <c r="BI33" s="156"/>
      <c r="BJ33" s="156"/>
      <c r="BK33" s="156"/>
      <c r="BL33" s="156"/>
      <c r="BM33" s="156"/>
      <c r="BN33" s="156"/>
      <c r="BO33" s="156"/>
      <c r="BP33" s="156" t="s">
        <v>5545</v>
      </c>
      <c r="BQ33" s="595"/>
      <c r="BR33" s="157"/>
      <c r="BS33" s="660"/>
      <c r="BT33" s="134"/>
      <c r="BU33" s="134"/>
      <c r="BV33" s="134"/>
      <c r="BW33" s="134"/>
      <c r="BX33" s="134"/>
      <c r="BY33" s="134"/>
      <c r="BZ33" s="259"/>
      <c r="CA33" s="454"/>
      <c r="CB33" s="138"/>
      <c r="CC33" s="134"/>
      <c r="CD33" s="134"/>
      <c r="CE33" s="134"/>
      <c r="CF33" s="138"/>
      <c r="CG33" s="134"/>
      <c r="CH33" s="134"/>
      <c r="CI33" s="134"/>
      <c r="CJ33" s="288"/>
      <c r="CK33" s="437"/>
      <c r="CL33" s="138"/>
      <c r="CM33" s="134"/>
      <c r="CN33" s="134"/>
      <c r="CO33" s="134"/>
      <c r="CP33" s="138"/>
      <c r="CQ33" s="134"/>
      <c r="CR33" s="134"/>
      <c r="CS33" s="134"/>
      <c r="CT33" s="288"/>
      <c r="CU33" s="289"/>
      <c r="CV33" s="276"/>
      <c r="CW33" s="308"/>
      <c r="CX33" s="138"/>
      <c r="CY33" s="134"/>
      <c r="CZ33" s="134"/>
      <c r="DA33" s="134"/>
      <c r="DB33" s="134"/>
      <c r="DC33" s="134"/>
      <c r="DD33" s="134"/>
      <c r="DE33" s="134"/>
      <c r="DF33" s="300"/>
      <c r="DG33" s="301"/>
      <c r="DH33" s="134"/>
      <c r="DI33" s="134"/>
      <c r="DJ33" s="134"/>
      <c r="DK33" s="134"/>
      <c r="DL33" s="134"/>
      <c r="DM33" s="134"/>
      <c r="DN33" s="134"/>
      <c r="DO33" s="134"/>
      <c r="DP33" s="300"/>
      <c r="DQ33" s="301"/>
      <c r="DR33" s="276"/>
      <c r="DS33" s="277"/>
      <c r="DT33" s="134"/>
      <c r="DU33" s="134"/>
      <c r="DV33" s="134"/>
      <c r="DW33" s="134"/>
      <c r="DX33" s="138"/>
      <c r="DY33" s="134"/>
      <c r="DZ33" s="134"/>
      <c r="EA33" s="134"/>
      <c r="EB33" s="301"/>
      <c r="EC33" s="301"/>
      <c r="ED33" s="138"/>
      <c r="EE33" s="134"/>
      <c r="EF33" s="134"/>
      <c r="EG33" s="134"/>
      <c r="EH33" s="138"/>
      <c r="EI33" s="134"/>
      <c r="EJ33" s="134"/>
      <c r="EK33" s="134"/>
      <c r="EL33" s="301"/>
      <c r="EM33" s="301"/>
      <c r="EN33" s="277"/>
      <c r="EO33" s="134"/>
      <c r="EP33" s="134"/>
      <c r="EQ33" s="134"/>
      <c r="ER33" s="134"/>
      <c r="ES33" s="134"/>
      <c r="ET33" s="134"/>
      <c r="EU33" s="134"/>
      <c r="EV33" s="134"/>
      <c r="EW33" s="301"/>
      <c r="EX33" s="301"/>
      <c r="EY33" s="134"/>
      <c r="EZ33" s="134"/>
      <c r="FA33" s="134"/>
      <c r="FB33" s="134"/>
      <c r="FC33" s="134"/>
      <c r="FD33" s="134"/>
      <c r="FE33" s="134"/>
      <c r="FF33" s="134"/>
      <c r="FG33" s="135"/>
      <c r="FH33" s="135"/>
      <c r="FI33" s="134"/>
      <c r="FJ33" s="134"/>
      <c r="FK33" s="134"/>
      <c r="FL33" s="134"/>
      <c r="FM33" s="134"/>
      <c r="FN33" s="134"/>
      <c r="FO33" s="134"/>
      <c r="FP33" s="134"/>
      <c r="FQ33" s="135"/>
      <c r="FR33" s="135"/>
      <c r="FS33" s="134"/>
      <c r="FT33" s="134"/>
      <c r="FU33" s="134"/>
      <c r="FV33" s="134"/>
      <c r="FW33" s="134"/>
      <c r="FX33" s="134"/>
      <c r="FY33" s="134"/>
      <c r="FZ33" s="134"/>
      <c r="GA33" s="135"/>
      <c r="GB33" s="135"/>
      <c r="GC33" s="134"/>
      <c r="GD33" s="134"/>
      <c r="GE33" s="134"/>
      <c r="GF33" s="134"/>
      <c r="GG33" s="134"/>
      <c r="GH33" s="134"/>
      <c r="GI33" s="134"/>
      <c r="GJ33" s="134"/>
      <c r="GK33" s="135"/>
      <c r="GL33" s="135"/>
      <c r="GM33" s="134"/>
      <c r="GN33" s="134"/>
      <c r="GO33" s="134"/>
      <c r="GP33" s="134"/>
      <c r="GQ33" s="134"/>
      <c r="GR33" s="134"/>
      <c r="GS33" s="134"/>
      <c r="GT33" s="134"/>
      <c r="GU33" s="135"/>
      <c r="GV33" s="135"/>
      <c r="GW33" s="134"/>
      <c r="GX33" s="134"/>
      <c r="GY33" s="134"/>
      <c r="GZ33" s="134"/>
      <c r="HA33" s="134"/>
      <c r="HB33" s="134"/>
      <c r="HC33" s="134"/>
      <c r="HD33" s="134"/>
      <c r="HE33" s="135"/>
      <c r="HF33" s="135"/>
      <c r="HG33" s="134"/>
      <c r="HH33" s="134"/>
      <c r="HI33" s="134"/>
      <c r="HJ33" s="134"/>
      <c r="HK33" s="134"/>
      <c r="HL33" s="134"/>
      <c r="HM33" s="134"/>
      <c r="HN33" s="134"/>
      <c r="HO33" s="135"/>
      <c r="HP33" s="135"/>
      <c r="HQ33" s="134"/>
      <c r="HR33" s="134"/>
      <c r="HS33" s="134"/>
      <c r="HT33" s="134"/>
      <c r="HU33" s="134"/>
      <c r="HV33" s="134"/>
      <c r="HW33" s="134"/>
      <c r="HX33" s="134"/>
      <c r="HY33" s="135"/>
      <c r="HZ33" s="135"/>
      <c r="IA33" s="134"/>
      <c r="IB33" s="134"/>
      <c r="IC33" s="134"/>
      <c r="ID33" s="134"/>
      <c r="IE33" s="134"/>
      <c r="IF33" s="134"/>
      <c r="IG33" s="134"/>
      <c r="IH33" s="134"/>
      <c r="II33" s="135"/>
      <c r="IJ33" s="135"/>
      <c r="IK33" s="134"/>
      <c r="IL33" s="134"/>
      <c r="IM33" s="134"/>
      <c r="IN33" s="134"/>
      <c r="IO33" s="134"/>
      <c r="IP33" s="134"/>
      <c r="IQ33" s="134"/>
      <c r="IR33" s="134"/>
      <c r="IS33" s="135"/>
      <c r="IT33" s="135"/>
      <c r="IU33" s="134"/>
      <c r="IV33" s="134"/>
      <c r="IW33" s="134"/>
      <c r="IX33" s="134"/>
      <c r="IY33" s="134"/>
      <c r="IZ33" s="134"/>
      <c r="JA33" s="134"/>
      <c r="JB33" s="134"/>
      <c r="JC33" s="135"/>
      <c r="JD33" s="135"/>
    </row>
    <row r="34" spans="1:264" s="119" customFormat="1" ht="15" customHeight="1">
      <c r="A34" s="79" t="s">
        <v>215</v>
      </c>
      <c r="B34" s="362">
        <v>160</v>
      </c>
      <c r="C34" s="362"/>
      <c r="D34" s="362">
        <v>56</v>
      </c>
      <c r="E34" s="604" t="s">
        <v>1983</v>
      </c>
      <c r="F34" s="124" t="s">
        <v>2207</v>
      </c>
      <c r="G34" s="125">
        <v>2016</v>
      </c>
      <c r="H34" s="79">
        <v>27722837</v>
      </c>
      <c r="I34" s="79">
        <v>1</v>
      </c>
      <c r="J34" s="126"/>
      <c r="K34" s="127"/>
      <c r="L34" s="79">
        <v>1</v>
      </c>
      <c r="M34" s="79"/>
      <c r="N34" s="79">
        <v>1</v>
      </c>
      <c r="O34" s="128">
        <v>1</v>
      </c>
      <c r="P34" s="79" t="s">
        <v>608</v>
      </c>
      <c r="Q34" s="79" t="s">
        <v>1158</v>
      </c>
      <c r="R34" s="79" t="s">
        <v>591</v>
      </c>
      <c r="S34" s="79">
        <v>1</v>
      </c>
      <c r="T34" s="79"/>
      <c r="U34" s="79"/>
      <c r="V34" s="79"/>
      <c r="W34" s="79" t="s">
        <v>610</v>
      </c>
      <c r="X34" s="79" t="s">
        <v>39</v>
      </c>
      <c r="Y34" s="79"/>
      <c r="Z34" s="79"/>
      <c r="AA34" s="79"/>
      <c r="AB34" s="79" t="s">
        <v>611</v>
      </c>
      <c r="AC34" s="506" t="s">
        <v>6238</v>
      </c>
      <c r="AD34" s="573">
        <v>1</v>
      </c>
      <c r="AE34" s="573">
        <v>0</v>
      </c>
      <c r="AF34" s="154"/>
      <c r="AG34" s="155"/>
      <c r="AH34" s="121">
        <v>2</v>
      </c>
      <c r="AI34" s="484"/>
      <c r="AJ34" s="202"/>
      <c r="AK34" s="192"/>
      <c r="AL34" s="203"/>
      <c r="AM34" s="121"/>
      <c r="AN34" s="121"/>
      <c r="AO34" s="121"/>
      <c r="AP34" s="121"/>
      <c r="AQ34" s="121"/>
      <c r="AR34" s="121"/>
      <c r="AS34" s="121"/>
      <c r="AT34" s="121"/>
      <c r="AU34" s="121"/>
      <c r="AV34" s="121"/>
      <c r="AW34" s="121"/>
      <c r="AX34" s="121"/>
      <c r="AY34" s="121"/>
      <c r="AZ34" s="121"/>
      <c r="BA34" s="121"/>
      <c r="BB34" s="594"/>
      <c r="BC34" s="594"/>
      <c r="BD34" s="156"/>
      <c r="BE34" s="156"/>
      <c r="BF34" s="156" t="s">
        <v>5207</v>
      </c>
      <c r="BG34" s="156" t="s">
        <v>6237</v>
      </c>
      <c r="BH34" s="156"/>
      <c r="BI34" s="156" t="s">
        <v>5207</v>
      </c>
      <c r="BJ34" s="156"/>
      <c r="BK34" s="156"/>
      <c r="BL34" s="156" t="s">
        <v>5207</v>
      </c>
      <c r="BM34" s="156"/>
      <c r="BN34" s="156"/>
      <c r="BO34" s="156"/>
      <c r="BP34" s="156"/>
      <c r="BQ34" s="595"/>
      <c r="BR34" s="157"/>
      <c r="BS34" s="660"/>
      <c r="BT34" s="134"/>
      <c r="BU34" s="134"/>
      <c r="BV34" s="134"/>
      <c r="BW34" s="134"/>
      <c r="BX34" s="134"/>
      <c r="BY34" s="134"/>
      <c r="BZ34" s="540"/>
      <c r="CA34" s="454"/>
      <c r="CB34" s="138"/>
      <c r="CC34" s="190"/>
      <c r="CD34" s="134"/>
      <c r="CE34" s="190"/>
      <c r="CF34" s="138"/>
      <c r="CG34" s="190"/>
      <c r="CH34" s="134"/>
      <c r="CI34" s="389"/>
      <c r="CJ34" s="288"/>
      <c r="CK34" s="289"/>
      <c r="CL34" s="439"/>
      <c r="CM34" s="190"/>
      <c r="CN34" s="134"/>
      <c r="CO34" s="190"/>
      <c r="CP34" s="439"/>
      <c r="CQ34" s="190"/>
      <c r="CR34" s="134"/>
      <c r="CS34" s="389"/>
      <c r="CT34" s="288"/>
      <c r="CU34" s="441"/>
      <c r="CV34" s="479"/>
      <c r="CW34" s="308"/>
      <c r="CX34" s="138"/>
      <c r="CY34" s="190"/>
      <c r="CZ34" s="134"/>
      <c r="DA34" s="190"/>
      <c r="DB34" s="134"/>
      <c r="DC34" s="190"/>
      <c r="DD34" s="134"/>
      <c r="DE34" s="190"/>
      <c r="DF34" s="300"/>
      <c r="DG34" s="301"/>
      <c r="DH34" s="134"/>
      <c r="DI34" s="190"/>
      <c r="DJ34" s="134"/>
      <c r="DK34" s="190"/>
      <c r="DL34" s="134"/>
      <c r="DM34" s="190"/>
      <c r="DN34" s="134"/>
      <c r="DO34" s="190"/>
      <c r="DP34" s="300"/>
      <c r="DQ34" s="301"/>
      <c r="DR34" s="317"/>
      <c r="DS34" s="318"/>
      <c r="DT34" s="190"/>
      <c r="DU34" s="190"/>
      <c r="DV34" s="190"/>
      <c r="DW34" s="190"/>
      <c r="DX34" s="556"/>
      <c r="DY34" s="190"/>
      <c r="DZ34" s="190"/>
      <c r="EA34" s="190"/>
      <c r="EB34" s="469"/>
      <c r="EC34" s="469"/>
      <c r="ED34" s="556"/>
      <c r="EE34" s="190"/>
      <c r="EF34" s="190"/>
      <c r="EG34" s="190"/>
      <c r="EH34" s="556"/>
      <c r="EI34" s="190"/>
      <c r="EJ34" s="190"/>
      <c r="EK34" s="190"/>
      <c r="EL34" s="469"/>
      <c r="EM34" s="469"/>
      <c r="EN34" s="318"/>
      <c r="EO34" s="190"/>
      <c r="EP34" s="190"/>
      <c r="EQ34" s="190"/>
      <c r="ER34" s="190"/>
      <c r="ES34" s="190"/>
      <c r="ET34" s="190"/>
      <c r="EU34" s="190"/>
      <c r="EV34" s="190"/>
      <c r="EW34" s="469"/>
      <c r="EX34" s="469"/>
      <c r="EY34" s="190"/>
      <c r="EZ34" s="190"/>
      <c r="FA34" s="190"/>
      <c r="FB34" s="190"/>
      <c r="FC34" s="134"/>
      <c r="FD34" s="134"/>
      <c r="FE34" s="134"/>
      <c r="FF34" s="134"/>
      <c r="FG34" s="135"/>
      <c r="FH34" s="135"/>
      <c r="FI34" s="134"/>
      <c r="FJ34" s="134"/>
      <c r="FK34" s="134"/>
      <c r="FL34" s="134"/>
      <c r="FM34" s="134"/>
      <c r="FN34" s="134"/>
      <c r="FO34" s="134"/>
      <c r="FP34" s="134"/>
      <c r="FQ34" s="135"/>
      <c r="FR34" s="135"/>
      <c r="FS34" s="134"/>
      <c r="FT34" s="134"/>
      <c r="FU34" s="134"/>
      <c r="FV34" s="134"/>
      <c r="FW34" s="134"/>
      <c r="FX34" s="134"/>
      <c r="FY34" s="134"/>
      <c r="FZ34" s="134"/>
      <c r="GA34" s="135"/>
      <c r="GB34" s="135"/>
      <c r="GC34" s="134"/>
      <c r="GD34" s="134"/>
      <c r="GE34" s="134"/>
      <c r="GF34" s="134"/>
      <c r="GG34" s="134"/>
      <c r="GH34" s="134"/>
      <c r="GI34" s="134"/>
      <c r="GJ34" s="134"/>
      <c r="GK34" s="135"/>
      <c r="GL34" s="135"/>
      <c r="GM34" s="134"/>
      <c r="GN34" s="134"/>
      <c r="GO34" s="134"/>
      <c r="GP34" s="134"/>
      <c r="GQ34" s="134"/>
      <c r="GR34" s="134"/>
      <c r="GS34" s="134"/>
      <c r="GT34" s="134"/>
      <c r="GU34" s="135"/>
      <c r="GV34" s="135"/>
      <c r="GW34" s="134"/>
      <c r="GX34" s="134"/>
      <c r="GY34" s="134"/>
      <c r="GZ34" s="134"/>
      <c r="HA34" s="134"/>
      <c r="HB34" s="134"/>
      <c r="HC34" s="134"/>
      <c r="HD34" s="134"/>
      <c r="HE34" s="135"/>
      <c r="HF34" s="135"/>
      <c r="HG34" s="134"/>
      <c r="HH34" s="134"/>
      <c r="HI34" s="134"/>
      <c r="HJ34" s="134"/>
      <c r="HK34" s="134"/>
      <c r="HL34" s="134"/>
      <c r="HM34" s="134"/>
      <c r="HN34" s="134"/>
      <c r="HO34" s="135"/>
      <c r="HP34" s="135"/>
      <c r="HQ34" s="134"/>
      <c r="HR34" s="134"/>
      <c r="HS34" s="134"/>
      <c r="HT34" s="134"/>
      <c r="HU34" s="134"/>
      <c r="HV34" s="134"/>
      <c r="HW34" s="134"/>
      <c r="HX34" s="134"/>
      <c r="HY34" s="135"/>
      <c r="HZ34" s="135"/>
      <c r="IA34" s="134"/>
      <c r="IB34" s="134"/>
      <c r="IC34" s="134"/>
      <c r="ID34" s="134"/>
      <c r="IE34" s="134"/>
      <c r="IF34" s="134"/>
      <c r="IG34" s="134"/>
      <c r="IH34" s="134"/>
      <c r="II34" s="135"/>
      <c r="IJ34" s="135"/>
      <c r="IK34" s="134"/>
      <c r="IL34" s="134"/>
      <c r="IM34" s="134"/>
      <c r="IN34" s="134"/>
      <c r="IO34" s="134"/>
      <c r="IP34" s="134"/>
      <c r="IQ34" s="134"/>
      <c r="IR34" s="134"/>
      <c r="IS34" s="135"/>
      <c r="IT34" s="135"/>
      <c r="IU34" s="134"/>
      <c r="IV34" s="134"/>
      <c r="IW34" s="134"/>
      <c r="IX34" s="134"/>
      <c r="IY34" s="134"/>
      <c r="IZ34" s="134"/>
      <c r="JA34" s="134"/>
      <c r="JB34" s="134"/>
      <c r="JC34" s="135"/>
      <c r="JD34" s="135"/>
    </row>
    <row r="35" spans="1:264" s="119" customFormat="1" ht="15" customHeight="1">
      <c r="A35" s="79" t="s">
        <v>216</v>
      </c>
      <c r="B35" s="362">
        <v>161</v>
      </c>
      <c r="C35" s="362"/>
      <c r="D35" s="362">
        <v>57</v>
      </c>
      <c r="E35" s="604" t="s">
        <v>1983</v>
      </c>
      <c r="F35" s="124" t="s">
        <v>2208</v>
      </c>
      <c r="G35" s="125">
        <v>2016</v>
      </c>
      <c r="H35" s="79">
        <v>26645740</v>
      </c>
      <c r="I35" s="79">
        <v>1</v>
      </c>
      <c r="J35" s="126"/>
      <c r="K35" s="127"/>
      <c r="L35" s="79">
        <v>1</v>
      </c>
      <c r="M35" s="79"/>
      <c r="N35" s="79">
        <v>1</v>
      </c>
      <c r="O35" s="128">
        <v>1</v>
      </c>
      <c r="P35" s="79" t="s">
        <v>608</v>
      </c>
      <c r="Q35" s="79" t="s">
        <v>1158</v>
      </c>
      <c r="R35" s="79" t="s">
        <v>591</v>
      </c>
      <c r="S35" s="79">
        <v>1</v>
      </c>
      <c r="T35" s="79"/>
      <c r="U35" s="79"/>
      <c r="V35" s="79"/>
      <c r="W35" s="79" t="s">
        <v>610</v>
      </c>
      <c r="X35" s="79" t="s">
        <v>39</v>
      </c>
      <c r="Y35" s="79"/>
      <c r="Z35" s="79"/>
      <c r="AA35" s="79"/>
      <c r="AB35" s="79" t="s">
        <v>611</v>
      </c>
      <c r="AC35" s="506" t="s">
        <v>6239</v>
      </c>
      <c r="AD35" s="573">
        <v>1</v>
      </c>
      <c r="AE35" s="573">
        <v>0</v>
      </c>
      <c r="AF35" s="154"/>
      <c r="AG35" s="155"/>
      <c r="AH35" s="121">
        <v>2</v>
      </c>
      <c r="AI35" s="484"/>
      <c r="AJ35" s="202"/>
      <c r="AK35" s="192"/>
      <c r="AL35" s="203"/>
      <c r="AM35" s="121"/>
      <c r="AN35" s="121"/>
      <c r="AO35" s="121"/>
      <c r="AP35" s="121"/>
      <c r="AQ35" s="121"/>
      <c r="AR35" s="121"/>
      <c r="AS35" s="121"/>
      <c r="AT35" s="121"/>
      <c r="AU35" s="121"/>
      <c r="AV35" s="121"/>
      <c r="AW35" s="121"/>
      <c r="AX35" s="121"/>
      <c r="AY35" s="121"/>
      <c r="AZ35" s="121"/>
      <c r="BA35" s="121"/>
      <c r="BB35" s="594"/>
      <c r="BC35" s="594"/>
      <c r="BD35" s="156"/>
      <c r="BE35" s="156"/>
      <c r="BF35" s="156"/>
      <c r="BG35" s="156"/>
      <c r="BH35" s="156"/>
      <c r="BI35" s="156"/>
      <c r="BJ35" s="156"/>
      <c r="BK35" s="156"/>
      <c r="BL35" s="156" t="s">
        <v>5207</v>
      </c>
      <c r="BM35" s="156"/>
      <c r="BN35" s="156"/>
      <c r="BO35" s="156"/>
      <c r="BP35" s="156"/>
      <c r="BQ35" s="595"/>
      <c r="BR35" s="157"/>
      <c r="BS35" s="660"/>
      <c r="BT35" s="134"/>
      <c r="BU35" s="134"/>
      <c r="BV35" s="134"/>
      <c r="BW35" s="134"/>
      <c r="BX35" s="134"/>
      <c r="BY35" s="134"/>
      <c r="BZ35" s="259"/>
      <c r="CA35" s="454"/>
      <c r="CB35" s="138"/>
      <c r="CC35" s="134"/>
      <c r="CD35" s="134"/>
      <c r="CE35" s="134"/>
      <c r="CF35" s="138"/>
      <c r="CG35" s="134"/>
      <c r="CH35" s="134"/>
      <c r="CI35" s="134"/>
      <c r="CJ35" s="288"/>
      <c r="CK35" s="289"/>
      <c r="CL35" s="138"/>
      <c r="CM35" s="134"/>
      <c r="CN35" s="134"/>
      <c r="CO35" s="134"/>
      <c r="CP35" s="138"/>
      <c r="CQ35" s="134"/>
      <c r="CR35" s="134"/>
      <c r="CS35" s="134"/>
      <c r="CT35" s="288"/>
      <c r="CU35" s="289"/>
      <c r="CV35" s="276"/>
      <c r="CW35" s="308"/>
      <c r="CX35" s="138"/>
      <c r="CY35" s="134"/>
      <c r="CZ35" s="134"/>
      <c r="DA35" s="134"/>
      <c r="DB35" s="134"/>
      <c r="DC35" s="134"/>
      <c r="DD35" s="134"/>
      <c r="DE35" s="134"/>
      <c r="DF35" s="300"/>
      <c r="DG35" s="301"/>
      <c r="DH35" s="134"/>
      <c r="DI35" s="134"/>
      <c r="DJ35" s="134"/>
      <c r="DK35" s="134"/>
      <c r="DL35" s="134"/>
      <c r="DM35" s="134"/>
      <c r="DN35" s="134"/>
      <c r="DO35" s="134"/>
      <c r="DP35" s="300"/>
      <c r="DQ35" s="301"/>
      <c r="DR35" s="276"/>
      <c r="DS35" s="277"/>
      <c r="DT35" s="134"/>
      <c r="DU35" s="134"/>
      <c r="DV35" s="134"/>
      <c r="DW35" s="134"/>
      <c r="DX35" s="138"/>
      <c r="DY35" s="134"/>
      <c r="DZ35" s="134"/>
      <c r="EA35" s="134"/>
      <c r="EB35" s="301"/>
      <c r="EC35" s="301"/>
      <c r="ED35" s="138"/>
      <c r="EE35" s="134"/>
      <c r="EF35" s="134"/>
      <c r="EG35" s="134"/>
      <c r="EH35" s="138"/>
      <c r="EI35" s="134"/>
      <c r="EJ35" s="134"/>
      <c r="EK35" s="134"/>
      <c r="EL35" s="301"/>
      <c r="EM35" s="301"/>
      <c r="EN35" s="277"/>
      <c r="EO35" s="134"/>
      <c r="EP35" s="134"/>
      <c r="EQ35" s="134"/>
      <c r="ER35" s="134"/>
      <c r="ES35" s="134"/>
      <c r="ET35" s="134"/>
      <c r="EU35" s="134"/>
      <c r="EV35" s="134"/>
      <c r="EW35" s="301"/>
      <c r="EX35" s="301"/>
      <c r="EY35" s="134"/>
      <c r="EZ35" s="134"/>
      <c r="FA35" s="134"/>
      <c r="FB35" s="134"/>
      <c r="FC35" s="134"/>
      <c r="FD35" s="134"/>
      <c r="FE35" s="134"/>
      <c r="FF35" s="134"/>
      <c r="FG35" s="135"/>
      <c r="FH35" s="135"/>
      <c r="FI35" s="134"/>
      <c r="FJ35" s="134"/>
      <c r="FK35" s="134"/>
      <c r="FL35" s="134"/>
      <c r="FM35" s="134"/>
      <c r="FN35" s="134"/>
      <c r="FO35" s="134"/>
      <c r="FP35" s="134"/>
      <c r="FQ35" s="135"/>
      <c r="FR35" s="135"/>
      <c r="FS35" s="134"/>
      <c r="FT35" s="134"/>
      <c r="FU35" s="134"/>
      <c r="FV35" s="134"/>
      <c r="FW35" s="134"/>
      <c r="FX35" s="134"/>
      <c r="FY35" s="134"/>
      <c r="FZ35" s="134"/>
      <c r="GA35" s="135"/>
      <c r="GB35" s="135"/>
      <c r="GC35" s="134"/>
      <c r="GD35" s="134"/>
      <c r="GE35" s="134"/>
      <c r="GF35" s="134"/>
      <c r="GG35" s="134"/>
      <c r="GH35" s="134"/>
      <c r="GI35" s="134"/>
      <c r="GJ35" s="134"/>
      <c r="GK35" s="135"/>
      <c r="GL35" s="135"/>
      <c r="GM35" s="134"/>
      <c r="GN35" s="134"/>
      <c r="GO35" s="134"/>
      <c r="GP35" s="134"/>
      <c r="GQ35" s="134"/>
      <c r="GR35" s="134"/>
      <c r="GS35" s="134"/>
      <c r="GT35" s="134"/>
      <c r="GU35" s="135"/>
      <c r="GV35" s="135"/>
      <c r="GW35" s="134"/>
      <c r="GX35" s="134"/>
      <c r="GY35" s="134"/>
      <c r="GZ35" s="134"/>
      <c r="HA35" s="134"/>
      <c r="HB35" s="134"/>
      <c r="HC35" s="134"/>
      <c r="HD35" s="134"/>
      <c r="HE35" s="135"/>
      <c r="HF35" s="135"/>
      <c r="HG35" s="134"/>
      <c r="HH35" s="134"/>
      <c r="HI35" s="134"/>
      <c r="HJ35" s="134"/>
      <c r="HK35" s="134"/>
      <c r="HL35" s="134"/>
      <c r="HM35" s="134"/>
      <c r="HN35" s="134"/>
      <c r="HO35" s="135"/>
      <c r="HP35" s="135"/>
      <c r="HQ35" s="134"/>
      <c r="HR35" s="134"/>
      <c r="HS35" s="134"/>
      <c r="HT35" s="134"/>
      <c r="HU35" s="134"/>
      <c r="HV35" s="134"/>
      <c r="HW35" s="134"/>
      <c r="HX35" s="134"/>
      <c r="HY35" s="135"/>
      <c r="HZ35" s="135"/>
      <c r="IA35" s="134"/>
      <c r="IB35" s="134"/>
      <c r="IC35" s="134"/>
      <c r="ID35" s="134"/>
      <c r="IE35" s="134"/>
      <c r="IF35" s="134"/>
      <c r="IG35" s="134"/>
      <c r="IH35" s="134"/>
      <c r="II35" s="135"/>
      <c r="IJ35" s="135"/>
      <c r="IK35" s="134"/>
      <c r="IL35" s="134"/>
      <c r="IM35" s="134"/>
      <c r="IN35" s="134"/>
      <c r="IO35" s="134"/>
      <c r="IP35" s="134"/>
      <c r="IQ35" s="134"/>
      <c r="IR35" s="134"/>
      <c r="IS35" s="135"/>
      <c r="IT35" s="135"/>
      <c r="IU35" s="134"/>
      <c r="IV35" s="134"/>
      <c r="IW35" s="134"/>
      <c r="IX35" s="134"/>
      <c r="IY35" s="134"/>
      <c r="IZ35" s="134"/>
      <c r="JA35" s="134"/>
      <c r="JB35" s="134"/>
      <c r="JC35" s="135"/>
      <c r="JD35" s="135"/>
    </row>
    <row r="36" spans="1:264" s="119" customFormat="1" ht="15" customHeight="1">
      <c r="A36" s="79" t="s">
        <v>228</v>
      </c>
      <c r="B36" s="362">
        <v>167</v>
      </c>
      <c r="C36" s="362"/>
      <c r="D36" s="362">
        <v>58</v>
      </c>
      <c r="E36" s="604" t="s">
        <v>1989</v>
      </c>
      <c r="F36" s="124" t="s">
        <v>2215</v>
      </c>
      <c r="G36" s="125">
        <v>2009</v>
      </c>
      <c r="H36" s="79">
        <v>19091328</v>
      </c>
      <c r="I36" s="79">
        <v>1</v>
      </c>
      <c r="J36" s="126"/>
      <c r="K36" s="127"/>
      <c r="L36" s="79">
        <v>1</v>
      </c>
      <c r="M36" s="79"/>
      <c r="N36" s="79">
        <v>1</v>
      </c>
      <c r="O36" s="128">
        <v>1</v>
      </c>
      <c r="P36" s="79" t="s">
        <v>636</v>
      </c>
      <c r="Q36" s="79" t="s">
        <v>1158</v>
      </c>
      <c r="R36" s="79" t="s">
        <v>591</v>
      </c>
      <c r="S36" s="79">
        <v>1</v>
      </c>
      <c r="T36" s="79"/>
      <c r="U36" s="79"/>
      <c r="V36" s="79"/>
      <c r="W36" s="79" t="s">
        <v>637</v>
      </c>
      <c r="X36" s="79" t="s">
        <v>56</v>
      </c>
      <c r="Y36" s="79"/>
      <c r="Z36" s="79"/>
      <c r="AA36" s="79"/>
      <c r="AB36" s="79"/>
      <c r="AC36" s="506" t="s">
        <v>6241</v>
      </c>
      <c r="AD36" s="573">
        <v>1</v>
      </c>
      <c r="AE36" s="573">
        <v>0</v>
      </c>
      <c r="AF36" s="154"/>
      <c r="AG36" s="155"/>
      <c r="AH36" s="121">
        <v>2</v>
      </c>
      <c r="AI36" s="484"/>
      <c r="AJ36" s="202"/>
      <c r="AK36" s="192"/>
      <c r="AL36" s="203"/>
      <c r="AM36" s="121"/>
      <c r="AN36" s="121"/>
      <c r="AO36" s="121"/>
      <c r="AP36" s="121"/>
      <c r="AQ36" s="121"/>
      <c r="AR36" s="121"/>
      <c r="AS36" s="121"/>
      <c r="AT36" s="121"/>
      <c r="AU36" s="121"/>
      <c r="AV36" s="121"/>
      <c r="AW36" s="121"/>
      <c r="AX36" s="121"/>
      <c r="AY36" s="121"/>
      <c r="AZ36" s="121"/>
      <c r="BA36" s="121"/>
      <c r="BB36" s="594"/>
      <c r="BC36" s="594"/>
      <c r="BD36" s="156"/>
      <c r="BE36" s="156"/>
      <c r="BF36" s="156"/>
      <c r="BG36" s="156"/>
      <c r="BH36" s="156"/>
      <c r="BI36" s="156" t="s">
        <v>4727</v>
      </c>
      <c r="BJ36" s="156"/>
      <c r="BK36" s="156" t="s">
        <v>6240</v>
      </c>
      <c r="BL36" s="156" t="s">
        <v>5207</v>
      </c>
      <c r="BM36" s="156"/>
      <c r="BN36" s="156"/>
      <c r="BO36" s="156"/>
      <c r="BP36" s="156"/>
      <c r="BQ36" s="595"/>
      <c r="BR36" s="157"/>
      <c r="BS36" s="660"/>
      <c r="BT36" s="134"/>
      <c r="BU36" s="134"/>
      <c r="BV36" s="134"/>
      <c r="BW36" s="134"/>
      <c r="BX36" s="134"/>
      <c r="BY36" s="134"/>
      <c r="BZ36" s="259"/>
      <c r="CA36" s="454"/>
      <c r="CB36" s="138"/>
      <c r="CC36" s="134"/>
      <c r="CD36" s="134"/>
      <c r="CE36" s="134"/>
      <c r="CF36" s="138"/>
      <c r="CG36" s="134"/>
      <c r="CH36" s="134"/>
      <c r="CI36" s="134"/>
      <c r="CJ36" s="288"/>
      <c r="CK36" s="289"/>
      <c r="CL36" s="138"/>
      <c r="CM36" s="134"/>
      <c r="CN36" s="134"/>
      <c r="CO36" s="134"/>
      <c r="CP36" s="138"/>
      <c r="CQ36" s="134"/>
      <c r="CR36" s="134"/>
      <c r="CS36" s="134"/>
      <c r="CT36" s="288"/>
      <c r="CU36" s="289"/>
      <c r="CV36" s="276"/>
      <c r="CW36" s="308"/>
      <c r="CX36" s="138"/>
      <c r="CY36" s="134"/>
      <c r="CZ36" s="134"/>
      <c r="DA36" s="134"/>
      <c r="DB36" s="134"/>
      <c r="DC36" s="134"/>
      <c r="DD36" s="134"/>
      <c r="DE36" s="134"/>
      <c r="DF36" s="300"/>
      <c r="DG36" s="301"/>
      <c r="DH36" s="134"/>
      <c r="DI36" s="134"/>
      <c r="DJ36" s="134"/>
      <c r="DK36" s="134"/>
      <c r="DL36" s="134"/>
      <c r="DM36" s="134"/>
      <c r="DN36" s="134"/>
      <c r="DO36" s="134"/>
      <c r="DP36" s="300"/>
      <c r="DQ36" s="301"/>
      <c r="DR36" s="276"/>
      <c r="DS36" s="277"/>
      <c r="DT36" s="134"/>
      <c r="DU36" s="134"/>
      <c r="DV36" s="134"/>
      <c r="DW36" s="134"/>
      <c r="DX36" s="138"/>
      <c r="DY36" s="134"/>
      <c r="DZ36" s="134"/>
      <c r="EA36" s="134"/>
      <c r="EB36" s="301"/>
      <c r="EC36" s="301"/>
      <c r="ED36" s="138"/>
      <c r="EE36" s="134"/>
      <c r="EF36" s="134"/>
      <c r="EG36" s="134"/>
      <c r="EH36" s="138"/>
      <c r="EI36" s="134"/>
      <c r="EJ36" s="134"/>
      <c r="EK36" s="134"/>
      <c r="EL36" s="301"/>
      <c r="EM36" s="301"/>
      <c r="EN36" s="277"/>
      <c r="EO36" s="134"/>
      <c r="EP36" s="134"/>
      <c r="EQ36" s="134"/>
      <c r="ER36" s="134"/>
      <c r="ES36" s="134"/>
      <c r="ET36" s="134"/>
      <c r="EU36" s="134"/>
      <c r="EV36" s="134"/>
      <c r="EW36" s="301"/>
      <c r="EX36" s="301"/>
      <c r="EY36" s="134"/>
      <c r="EZ36" s="134"/>
      <c r="FA36" s="134"/>
      <c r="FB36" s="134"/>
      <c r="FC36" s="134"/>
      <c r="FD36" s="134"/>
      <c r="FE36" s="134"/>
      <c r="FF36" s="134"/>
      <c r="FG36" s="135"/>
      <c r="FH36" s="135"/>
      <c r="FI36" s="134"/>
      <c r="FJ36" s="134"/>
      <c r="FK36" s="134"/>
      <c r="FL36" s="134"/>
      <c r="FM36" s="134"/>
      <c r="FN36" s="134"/>
      <c r="FO36" s="134"/>
      <c r="FP36" s="134"/>
      <c r="FQ36" s="135"/>
      <c r="FR36" s="135"/>
      <c r="FS36" s="134"/>
      <c r="FT36" s="134"/>
      <c r="FU36" s="134"/>
      <c r="FV36" s="134"/>
      <c r="FW36" s="134"/>
      <c r="FX36" s="134"/>
      <c r="FY36" s="134"/>
      <c r="FZ36" s="134"/>
      <c r="GA36" s="135"/>
      <c r="GB36" s="135"/>
      <c r="GC36" s="134"/>
      <c r="GD36" s="134"/>
      <c r="GE36" s="134"/>
      <c r="GF36" s="134"/>
      <c r="GG36" s="134"/>
      <c r="GH36" s="134"/>
      <c r="GI36" s="134"/>
      <c r="GJ36" s="134"/>
      <c r="GK36" s="135"/>
      <c r="GL36" s="135"/>
      <c r="GM36" s="134"/>
      <c r="GN36" s="134"/>
      <c r="GO36" s="134"/>
      <c r="GP36" s="134"/>
      <c r="GQ36" s="134"/>
      <c r="GR36" s="134"/>
      <c r="GS36" s="134"/>
      <c r="GT36" s="134"/>
      <c r="GU36" s="135"/>
      <c r="GV36" s="135"/>
      <c r="GW36" s="134"/>
      <c r="GX36" s="134"/>
      <c r="GY36" s="134"/>
      <c r="GZ36" s="134"/>
      <c r="HA36" s="134"/>
      <c r="HB36" s="134"/>
      <c r="HC36" s="134"/>
      <c r="HD36" s="134"/>
      <c r="HE36" s="135"/>
      <c r="HF36" s="135"/>
      <c r="HG36" s="134"/>
      <c r="HH36" s="134"/>
      <c r="HI36" s="134"/>
      <c r="HJ36" s="134"/>
      <c r="HK36" s="134"/>
      <c r="HL36" s="134"/>
      <c r="HM36" s="134"/>
      <c r="HN36" s="134"/>
      <c r="HO36" s="135"/>
      <c r="HP36" s="135"/>
      <c r="HQ36" s="134"/>
      <c r="HR36" s="134"/>
      <c r="HS36" s="134"/>
      <c r="HT36" s="134"/>
      <c r="HU36" s="134"/>
      <c r="HV36" s="134"/>
      <c r="HW36" s="134"/>
      <c r="HX36" s="134"/>
      <c r="HY36" s="135"/>
      <c r="HZ36" s="135"/>
      <c r="IA36" s="134"/>
      <c r="IB36" s="134"/>
      <c r="IC36" s="134"/>
      <c r="ID36" s="134"/>
      <c r="IE36" s="134"/>
      <c r="IF36" s="134"/>
      <c r="IG36" s="134"/>
      <c r="IH36" s="134"/>
      <c r="II36" s="135"/>
      <c r="IJ36" s="135"/>
      <c r="IK36" s="134"/>
      <c r="IL36" s="134"/>
      <c r="IM36" s="134"/>
      <c r="IN36" s="134"/>
      <c r="IO36" s="134"/>
      <c r="IP36" s="134"/>
      <c r="IQ36" s="134"/>
      <c r="IR36" s="134"/>
      <c r="IS36" s="135"/>
      <c r="IT36" s="135"/>
      <c r="IU36" s="134"/>
      <c r="IV36" s="134"/>
      <c r="IW36" s="134"/>
      <c r="IX36" s="134"/>
      <c r="IY36" s="134"/>
      <c r="IZ36" s="134"/>
      <c r="JA36" s="134"/>
      <c r="JB36" s="134"/>
      <c r="JC36" s="135"/>
      <c r="JD36" s="135"/>
    </row>
    <row r="37" spans="1:264" s="119" customFormat="1" ht="15" customHeight="1">
      <c r="A37" s="79" t="s">
        <v>229</v>
      </c>
      <c r="B37" s="362">
        <v>168</v>
      </c>
      <c r="C37" s="362"/>
      <c r="D37" s="362">
        <v>59</v>
      </c>
      <c r="E37" s="604" t="s">
        <v>1989</v>
      </c>
      <c r="F37" s="124" t="s">
        <v>2216</v>
      </c>
      <c r="G37" s="125">
        <v>2011</v>
      </c>
      <c r="H37" s="79">
        <v>21545724</v>
      </c>
      <c r="I37" s="79">
        <v>1</v>
      </c>
      <c r="J37" s="126"/>
      <c r="K37" s="127"/>
      <c r="L37" s="79">
        <v>1</v>
      </c>
      <c r="M37" s="79"/>
      <c r="N37" s="79">
        <v>1</v>
      </c>
      <c r="O37" s="128">
        <v>1</v>
      </c>
      <c r="P37" s="79" t="s">
        <v>609</v>
      </c>
      <c r="Q37" s="79" t="s">
        <v>1158</v>
      </c>
      <c r="R37" s="79" t="s">
        <v>591</v>
      </c>
      <c r="S37" s="79">
        <v>1</v>
      </c>
      <c r="T37" s="79"/>
      <c r="U37" s="79"/>
      <c r="V37" s="79"/>
      <c r="W37" s="79" t="s">
        <v>610</v>
      </c>
      <c r="X37" s="79" t="s">
        <v>42</v>
      </c>
      <c r="Y37" s="79" t="s">
        <v>638</v>
      </c>
      <c r="Z37" s="79"/>
      <c r="AA37" s="79"/>
      <c r="AB37" s="79" t="s">
        <v>639</v>
      </c>
      <c r="AC37" s="506" t="s">
        <v>6242</v>
      </c>
      <c r="AD37" s="573">
        <v>1</v>
      </c>
      <c r="AE37" s="573">
        <v>0</v>
      </c>
      <c r="AF37" s="154"/>
      <c r="AG37" s="155"/>
      <c r="AH37" s="121">
        <v>2</v>
      </c>
      <c r="AI37" s="484"/>
      <c r="AJ37" s="202"/>
      <c r="AK37" s="192"/>
      <c r="AL37" s="203"/>
      <c r="AM37" s="121"/>
      <c r="AN37" s="121"/>
      <c r="AO37" s="121"/>
      <c r="AP37" s="121"/>
      <c r="AQ37" s="121"/>
      <c r="AR37" s="121"/>
      <c r="AS37" s="121"/>
      <c r="AT37" s="121"/>
      <c r="AU37" s="121"/>
      <c r="AV37" s="121"/>
      <c r="AW37" s="121"/>
      <c r="AX37" s="121"/>
      <c r="AY37" s="121"/>
      <c r="AZ37" s="121"/>
      <c r="BA37" s="121"/>
      <c r="BB37" s="594"/>
      <c r="BC37" s="594"/>
      <c r="BD37" s="156"/>
      <c r="BE37" s="156"/>
      <c r="BF37" s="156"/>
      <c r="BG37" s="156"/>
      <c r="BH37" s="156"/>
      <c r="BI37" s="156" t="s">
        <v>4727</v>
      </c>
      <c r="BJ37" s="156"/>
      <c r="BK37" s="156" t="s">
        <v>6243</v>
      </c>
      <c r="BL37" s="156" t="s">
        <v>5207</v>
      </c>
      <c r="BM37" s="156"/>
      <c r="BN37" s="156"/>
      <c r="BO37" s="156"/>
      <c r="BP37" s="156"/>
      <c r="BQ37" s="595"/>
      <c r="BR37" s="157"/>
      <c r="BS37" s="660"/>
      <c r="BT37" s="134"/>
      <c r="BU37" s="134"/>
      <c r="BV37" s="134"/>
      <c r="BW37" s="134"/>
      <c r="BX37" s="134"/>
      <c r="BY37" s="134"/>
      <c r="BZ37" s="259"/>
      <c r="CA37" s="454"/>
      <c r="CB37" s="138"/>
      <c r="CC37" s="134"/>
      <c r="CD37" s="134"/>
      <c r="CE37" s="134"/>
      <c r="CF37" s="138"/>
      <c r="CG37" s="134"/>
      <c r="CH37" s="134"/>
      <c r="CI37" s="134"/>
      <c r="CJ37" s="288"/>
      <c r="CK37" s="289"/>
      <c r="CL37" s="138"/>
      <c r="CM37" s="134"/>
      <c r="CN37" s="134"/>
      <c r="CO37" s="134"/>
      <c r="CP37" s="138"/>
      <c r="CQ37" s="134"/>
      <c r="CR37" s="134"/>
      <c r="CS37" s="134"/>
      <c r="CT37" s="288"/>
      <c r="CU37" s="289"/>
      <c r="CV37" s="276"/>
      <c r="CW37" s="308"/>
      <c r="CX37" s="138"/>
      <c r="CY37" s="134"/>
      <c r="CZ37" s="134"/>
      <c r="DA37" s="134"/>
      <c r="DB37" s="134"/>
      <c r="DC37" s="134"/>
      <c r="DD37" s="134"/>
      <c r="DE37" s="134"/>
      <c r="DF37" s="300"/>
      <c r="DG37" s="301"/>
      <c r="DH37" s="134"/>
      <c r="DI37" s="134"/>
      <c r="DJ37" s="134"/>
      <c r="DK37" s="134"/>
      <c r="DL37" s="134"/>
      <c r="DM37" s="134"/>
      <c r="DN37" s="134"/>
      <c r="DO37" s="134"/>
      <c r="DP37" s="300"/>
      <c r="DQ37" s="301"/>
      <c r="DR37" s="276"/>
      <c r="DS37" s="277"/>
      <c r="DT37" s="134"/>
      <c r="DU37" s="134"/>
      <c r="DV37" s="134"/>
      <c r="DW37" s="134"/>
      <c r="DX37" s="138"/>
      <c r="DY37" s="134"/>
      <c r="DZ37" s="134"/>
      <c r="EA37" s="134"/>
      <c r="EB37" s="301"/>
      <c r="EC37" s="301"/>
      <c r="ED37" s="138"/>
      <c r="EE37" s="134"/>
      <c r="EF37" s="134"/>
      <c r="EG37" s="134"/>
      <c r="EH37" s="138"/>
      <c r="EI37" s="134"/>
      <c r="EJ37" s="134"/>
      <c r="EK37" s="134"/>
      <c r="EL37" s="301"/>
      <c r="EM37" s="301"/>
      <c r="EN37" s="277"/>
      <c r="EO37" s="134"/>
      <c r="EP37" s="134"/>
      <c r="EQ37" s="134"/>
      <c r="ER37" s="134"/>
      <c r="ES37" s="134"/>
      <c r="ET37" s="134"/>
      <c r="EU37" s="134"/>
      <c r="EV37" s="134"/>
      <c r="EW37" s="301"/>
      <c r="EX37" s="301"/>
      <c r="EY37" s="134"/>
      <c r="EZ37" s="134"/>
      <c r="FA37" s="134"/>
      <c r="FB37" s="134"/>
      <c r="FC37" s="134"/>
      <c r="FD37" s="134"/>
      <c r="FE37" s="134"/>
      <c r="FF37" s="134"/>
      <c r="FG37" s="135"/>
      <c r="FH37" s="135"/>
      <c r="FI37" s="134"/>
      <c r="FJ37" s="134"/>
      <c r="FK37" s="134"/>
      <c r="FL37" s="134"/>
      <c r="FM37" s="134"/>
      <c r="FN37" s="134"/>
      <c r="FO37" s="134"/>
      <c r="FP37" s="134"/>
      <c r="FQ37" s="135"/>
      <c r="FR37" s="135"/>
      <c r="FS37" s="134"/>
      <c r="FT37" s="134"/>
      <c r="FU37" s="134"/>
      <c r="FV37" s="134"/>
      <c r="FW37" s="134"/>
      <c r="FX37" s="134"/>
      <c r="FY37" s="134"/>
      <c r="FZ37" s="134"/>
      <c r="GA37" s="135"/>
      <c r="GB37" s="135"/>
      <c r="GC37" s="134"/>
      <c r="GD37" s="134"/>
      <c r="GE37" s="134"/>
      <c r="GF37" s="134"/>
      <c r="GG37" s="134"/>
      <c r="GH37" s="134"/>
      <c r="GI37" s="134"/>
      <c r="GJ37" s="134"/>
      <c r="GK37" s="135"/>
      <c r="GL37" s="135"/>
      <c r="GM37" s="134"/>
      <c r="GN37" s="134"/>
      <c r="GO37" s="134"/>
      <c r="GP37" s="134"/>
      <c r="GQ37" s="134"/>
      <c r="GR37" s="134"/>
      <c r="GS37" s="134"/>
      <c r="GT37" s="134"/>
      <c r="GU37" s="135"/>
      <c r="GV37" s="135"/>
      <c r="GW37" s="134"/>
      <c r="GX37" s="134"/>
      <c r="GY37" s="134"/>
      <c r="GZ37" s="134"/>
      <c r="HA37" s="134"/>
      <c r="HB37" s="134"/>
      <c r="HC37" s="134"/>
      <c r="HD37" s="134"/>
      <c r="HE37" s="135"/>
      <c r="HF37" s="135"/>
      <c r="HG37" s="134"/>
      <c r="HH37" s="134"/>
      <c r="HI37" s="134"/>
      <c r="HJ37" s="134"/>
      <c r="HK37" s="134"/>
      <c r="HL37" s="134"/>
      <c r="HM37" s="134"/>
      <c r="HN37" s="134"/>
      <c r="HO37" s="135"/>
      <c r="HP37" s="135"/>
      <c r="HQ37" s="134"/>
      <c r="HR37" s="134"/>
      <c r="HS37" s="134"/>
      <c r="HT37" s="134"/>
      <c r="HU37" s="134"/>
      <c r="HV37" s="134"/>
      <c r="HW37" s="134"/>
      <c r="HX37" s="134"/>
      <c r="HY37" s="135"/>
      <c r="HZ37" s="135"/>
      <c r="IA37" s="134"/>
      <c r="IB37" s="134"/>
      <c r="IC37" s="134"/>
      <c r="ID37" s="134"/>
      <c r="IE37" s="134"/>
      <c r="IF37" s="134"/>
      <c r="IG37" s="134"/>
      <c r="IH37" s="134"/>
      <c r="II37" s="135"/>
      <c r="IJ37" s="135"/>
      <c r="IK37" s="134"/>
      <c r="IL37" s="134"/>
      <c r="IM37" s="134"/>
      <c r="IN37" s="134"/>
      <c r="IO37" s="134"/>
      <c r="IP37" s="134"/>
      <c r="IQ37" s="134"/>
      <c r="IR37" s="134"/>
      <c r="IS37" s="135"/>
      <c r="IT37" s="135"/>
      <c r="IU37" s="134"/>
      <c r="IV37" s="134"/>
      <c r="IW37" s="134"/>
      <c r="IX37" s="134"/>
      <c r="IY37" s="134"/>
      <c r="IZ37" s="134"/>
      <c r="JA37" s="134"/>
      <c r="JB37" s="134"/>
      <c r="JC37" s="135"/>
      <c r="JD37" s="135"/>
    </row>
    <row r="38" spans="1:264" s="188" customFormat="1" ht="15" customHeight="1">
      <c r="A38" s="79" t="s">
        <v>230</v>
      </c>
      <c r="B38" s="362">
        <v>169</v>
      </c>
      <c r="C38" s="362"/>
      <c r="D38" s="362">
        <v>60</v>
      </c>
      <c r="E38" s="604" t="s">
        <v>1989</v>
      </c>
      <c r="F38" s="124" t="s">
        <v>2217</v>
      </c>
      <c r="G38" s="125">
        <v>2008</v>
      </c>
      <c r="H38" s="79">
        <v>18093809</v>
      </c>
      <c r="I38" s="79">
        <v>1</v>
      </c>
      <c r="J38" s="126"/>
      <c r="K38" s="127"/>
      <c r="L38" s="79">
        <v>1</v>
      </c>
      <c r="M38" s="79"/>
      <c r="N38" s="79">
        <v>1</v>
      </c>
      <c r="O38" s="128">
        <v>1</v>
      </c>
      <c r="P38" s="79"/>
      <c r="Q38" s="79" t="s">
        <v>642</v>
      </c>
      <c r="R38" s="79" t="s">
        <v>376</v>
      </c>
      <c r="S38" s="79">
        <v>1</v>
      </c>
      <c r="T38" s="79"/>
      <c r="U38" s="79"/>
      <c r="V38" s="79"/>
      <c r="W38" s="79" t="s">
        <v>641</v>
      </c>
      <c r="X38" s="79" t="s">
        <v>56</v>
      </c>
      <c r="Y38" s="79"/>
      <c r="Z38" s="79"/>
      <c r="AA38" s="79"/>
      <c r="AB38" s="79" t="s">
        <v>640</v>
      </c>
      <c r="AC38" s="506" t="s">
        <v>6245</v>
      </c>
      <c r="AD38" s="573">
        <v>1</v>
      </c>
      <c r="AE38" s="573">
        <v>0</v>
      </c>
      <c r="AF38" s="154"/>
      <c r="AG38" s="155"/>
      <c r="AH38" s="121">
        <v>2</v>
      </c>
      <c r="AI38" s="484"/>
      <c r="AJ38" s="202"/>
      <c r="AK38" s="192"/>
      <c r="AL38" s="203"/>
      <c r="AM38" s="121"/>
      <c r="AN38" s="121"/>
      <c r="AO38" s="121"/>
      <c r="AP38" s="121"/>
      <c r="AQ38" s="121"/>
      <c r="AR38" s="121"/>
      <c r="AS38" s="121"/>
      <c r="AT38" s="121"/>
      <c r="AU38" s="121"/>
      <c r="AV38" s="121"/>
      <c r="AW38" s="121"/>
      <c r="AX38" s="121"/>
      <c r="AY38" s="121"/>
      <c r="AZ38" s="121"/>
      <c r="BA38" s="121"/>
      <c r="BB38" s="594"/>
      <c r="BC38" s="594"/>
      <c r="BD38" s="156"/>
      <c r="BE38" s="156"/>
      <c r="BF38" s="156"/>
      <c r="BG38" s="156"/>
      <c r="BH38" s="156"/>
      <c r="BI38" s="156" t="s">
        <v>4727</v>
      </c>
      <c r="BJ38" s="156"/>
      <c r="BK38" s="156"/>
      <c r="BL38" s="156"/>
      <c r="BM38" s="156"/>
      <c r="BN38" s="156"/>
      <c r="BO38" s="156"/>
      <c r="BP38" s="156" t="s">
        <v>6244</v>
      </c>
      <c r="BQ38" s="595"/>
      <c r="BR38" s="157"/>
      <c r="BS38" s="660"/>
      <c r="BT38" s="134"/>
      <c r="BU38" s="134"/>
      <c r="BV38" s="134"/>
      <c r="BW38" s="134"/>
      <c r="BX38" s="134"/>
      <c r="BY38" s="134"/>
      <c r="BZ38" s="259"/>
      <c r="CA38" s="454"/>
      <c r="CB38" s="138"/>
      <c r="CC38" s="134"/>
      <c r="CD38" s="134"/>
      <c r="CE38" s="134"/>
      <c r="CF38" s="138"/>
      <c r="CG38" s="134"/>
      <c r="CH38" s="134"/>
      <c r="CI38" s="134"/>
      <c r="CJ38" s="288"/>
      <c r="CK38" s="289"/>
      <c r="CL38" s="138"/>
      <c r="CM38" s="134"/>
      <c r="CN38" s="134"/>
      <c r="CO38" s="134"/>
      <c r="CP38" s="138"/>
      <c r="CQ38" s="134"/>
      <c r="CR38" s="134"/>
      <c r="CS38" s="134"/>
      <c r="CT38" s="288"/>
      <c r="CU38" s="289"/>
      <c r="CV38" s="276"/>
      <c r="CW38" s="308"/>
      <c r="CX38" s="138"/>
      <c r="CY38" s="134"/>
      <c r="CZ38" s="134"/>
      <c r="DA38" s="134"/>
      <c r="DB38" s="134"/>
      <c r="DC38" s="134"/>
      <c r="DD38" s="134"/>
      <c r="DE38" s="134"/>
      <c r="DF38" s="300"/>
      <c r="DG38" s="301"/>
      <c r="DH38" s="134"/>
      <c r="DI38" s="134"/>
      <c r="DJ38" s="134"/>
      <c r="DK38" s="134"/>
      <c r="DL38" s="134"/>
      <c r="DM38" s="134"/>
      <c r="DN38" s="134"/>
      <c r="DO38" s="134"/>
      <c r="DP38" s="300"/>
      <c r="DQ38" s="301"/>
      <c r="DR38" s="276"/>
      <c r="DS38" s="277"/>
      <c r="DT38" s="134"/>
      <c r="DU38" s="134"/>
      <c r="DV38" s="134"/>
      <c r="DW38" s="134"/>
      <c r="DX38" s="138"/>
      <c r="DY38" s="134"/>
      <c r="DZ38" s="134"/>
      <c r="EA38" s="134"/>
      <c r="EB38" s="301"/>
      <c r="EC38" s="301"/>
      <c r="ED38" s="138"/>
      <c r="EE38" s="134"/>
      <c r="EF38" s="134"/>
      <c r="EG38" s="134"/>
      <c r="EH38" s="138"/>
      <c r="EI38" s="134"/>
      <c r="EJ38" s="134"/>
      <c r="EK38" s="134"/>
      <c r="EL38" s="301"/>
      <c r="EM38" s="301"/>
      <c r="EN38" s="277"/>
      <c r="EO38" s="134"/>
      <c r="EP38" s="134"/>
      <c r="EQ38" s="134"/>
      <c r="ER38" s="134"/>
      <c r="ES38" s="134"/>
      <c r="ET38" s="134"/>
      <c r="EU38" s="134"/>
      <c r="EV38" s="134"/>
      <c r="EW38" s="301"/>
      <c r="EX38" s="301"/>
      <c r="EY38" s="134"/>
      <c r="EZ38" s="134"/>
      <c r="FA38" s="134"/>
      <c r="FB38" s="134"/>
      <c r="FC38" s="134"/>
      <c r="FD38" s="134"/>
      <c r="FE38" s="134"/>
      <c r="FF38" s="134"/>
      <c r="FG38" s="135"/>
      <c r="FH38" s="135"/>
      <c r="FI38" s="134"/>
      <c r="FJ38" s="134"/>
      <c r="FK38" s="134"/>
      <c r="FL38" s="134"/>
      <c r="FM38" s="134"/>
      <c r="FN38" s="134"/>
      <c r="FO38" s="134"/>
      <c r="FP38" s="134"/>
      <c r="FQ38" s="135"/>
      <c r="FR38" s="135"/>
      <c r="FS38" s="134"/>
      <c r="FT38" s="134"/>
      <c r="FU38" s="134"/>
      <c r="FV38" s="134"/>
      <c r="FW38" s="134"/>
      <c r="FX38" s="134"/>
      <c r="FY38" s="134"/>
      <c r="FZ38" s="134"/>
      <c r="GA38" s="135"/>
      <c r="GB38" s="135"/>
      <c r="GC38" s="134"/>
      <c r="GD38" s="134"/>
      <c r="GE38" s="134"/>
      <c r="GF38" s="134"/>
      <c r="GG38" s="134"/>
      <c r="GH38" s="134"/>
      <c r="GI38" s="134"/>
      <c r="GJ38" s="134"/>
      <c r="GK38" s="135"/>
      <c r="GL38" s="135"/>
      <c r="GM38" s="134"/>
      <c r="GN38" s="134"/>
      <c r="GO38" s="134"/>
      <c r="GP38" s="134"/>
      <c r="GQ38" s="134"/>
      <c r="GR38" s="134"/>
      <c r="GS38" s="134"/>
      <c r="GT38" s="134"/>
      <c r="GU38" s="135"/>
      <c r="GV38" s="135"/>
      <c r="GW38" s="134"/>
      <c r="GX38" s="134"/>
      <c r="GY38" s="134"/>
      <c r="GZ38" s="134"/>
      <c r="HA38" s="134"/>
      <c r="HB38" s="134"/>
      <c r="HC38" s="134"/>
      <c r="HD38" s="134"/>
      <c r="HE38" s="135"/>
      <c r="HF38" s="135"/>
      <c r="HG38" s="134"/>
      <c r="HH38" s="134"/>
      <c r="HI38" s="134"/>
      <c r="HJ38" s="134"/>
      <c r="HK38" s="134"/>
      <c r="HL38" s="134"/>
      <c r="HM38" s="134"/>
      <c r="HN38" s="134"/>
      <c r="HO38" s="135"/>
      <c r="HP38" s="135"/>
      <c r="HQ38" s="134"/>
      <c r="HR38" s="134"/>
      <c r="HS38" s="134"/>
      <c r="HT38" s="134"/>
      <c r="HU38" s="134"/>
      <c r="HV38" s="134"/>
      <c r="HW38" s="134"/>
      <c r="HX38" s="134"/>
      <c r="HY38" s="135"/>
      <c r="HZ38" s="135"/>
      <c r="IA38" s="134"/>
      <c r="IB38" s="134"/>
      <c r="IC38" s="134"/>
      <c r="ID38" s="134"/>
      <c r="IE38" s="134"/>
      <c r="IF38" s="134"/>
      <c r="IG38" s="134"/>
      <c r="IH38" s="134"/>
      <c r="II38" s="135"/>
      <c r="IJ38" s="135"/>
      <c r="IK38" s="134"/>
      <c r="IL38" s="134"/>
      <c r="IM38" s="134"/>
      <c r="IN38" s="134"/>
      <c r="IO38" s="134"/>
      <c r="IP38" s="134"/>
      <c r="IQ38" s="134"/>
      <c r="IR38" s="134"/>
      <c r="IS38" s="135"/>
      <c r="IT38" s="135"/>
      <c r="IU38" s="134"/>
      <c r="IV38" s="134"/>
      <c r="IW38" s="134"/>
      <c r="IX38" s="134"/>
      <c r="IY38" s="134"/>
      <c r="IZ38" s="134"/>
      <c r="JA38" s="134"/>
      <c r="JB38" s="134"/>
      <c r="JC38" s="135"/>
      <c r="JD38" s="135"/>
    </row>
    <row r="39" spans="1:264" s="119" customFormat="1" ht="15" customHeight="1">
      <c r="A39" s="79" t="s">
        <v>233</v>
      </c>
      <c r="B39" s="362">
        <v>170</v>
      </c>
      <c r="C39" s="362"/>
      <c r="D39" s="362">
        <v>61</v>
      </c>
      <c r="E39" s="604" t="s">
        <v>1991</v>
      </c>
      <c r="F39" s="124" t="s">
        <v>2219</v>
      </c>
      <c r="G39" s="125">
        <v>1997</v>
      </c>
      <c r="H39" s="79">
        <v>9403392</v>
      </c>
      <c r="I39" s="79">
        <v>1</v>
      </c>
      <c r="J39" s="170" t="s">
        <v>1777</v>
      </c>
      <c r="K39" s="127"/>
      <c r="L39" s="164">
        <v>1</v>
      </c>
      <c r="M39" s="79" t="s">
        <v>1746</v>
      </c>
      <c r="N39" s="164">
        <v>0</v>
      </c>
      <c r="O39" s="128">
        <v>1</v>
      </c>
      <c r="P39" s="79" t="s">
        <v>647</v>
      </c>
      <c r="Q39" s="79"/>
      <c r="R39" s="79" t="s">
        <v>644</v>
      </c>
      <c r="S39" s="79"/>
      <c r="T39" s="79"/>
      <c r="U39" s="79"/>
      <c r="V39" s="79"/>
      <c r="W39" s="79" t="s">
        <v>645</v>
      </c>
      <c r="X39" s="79"/>
      <c r="Y39" s="79"/>
      <c r="Z39" s="79"/>
      <c r="AA39" s="79"/>
      <c r="AB39" s="79" t="s">
        <v>646</v>
      </c>
      <c r="AC39" s="506" t="s">
        <v>645</v>
      </c>
      <c r="AD39" s="573">
        <v>1</v>
      </c>
      <c r="AE39" s="573">
        <v>0</v>
      </c>
      <c r="AF39" s="154"/>
      <c r="AG39" s="155"/>
      <c r="AH39" s="121"/>
      <c r="AI39" s="484"/>
      <c r="AJ39" s="202"/>
      <c r="AK39" s="192"/>
      <c r="AL39" s="203"/>
      <c r="AM39" s="121"/>
      <c r="AN39" s="121"/>
      <c r="AO39" s="121"/>
      <c r="AP39" s="121"/>
      <c r="AQ39" s="121"/>
      <c r="AR39" s="121"/>
      <c r="AS39" s="121"/>
      <c r="AT39" s="121"/>
      <c r="AU39" s="121"/>
      <c r="AV39" s="121"/>
      <c r="AW39" s="121"/>
      <c r="AX39" s="121"/>
      <c r="AY39" s="121"/>
      <c r="AZ39" s="121"/>
      <c r="BA39" s="121"/>
      <c r="BB39" s="594"/>
      <c r="BC39" s="594"/>
      <c r="BD39" s="156"/>
      <c r="BE39" s="156"/>
      <c r="BF39" s="156" t="s">
        <v>5207</v>
      </c>
      <c r="BG39" s="156" t="s">
        <v>6175</v>
      </c>
      <c r="BH39" s="156"/>
      <c r="BI39" s="156"/>
      <c r="BJ39" s="156"/>
      <c r="BK39" s="156"/>
      <c r="BL39" s="156" t="s">
        <v>4727</v>
      </c>
      <c r="BM39" s="156"/>
      <c r="BN39" s="156"/>
      <c r="BO39" s="156"/>
      <c r="BP39" s="156"/>
      <c r="BQ39" s="595"/>
      <c r="BR39" s="157"/>
      <c r="BS39" s="660"/>
      <c r="BT39" s="134"/>
      <c r="BU39" s="134"/>
      <c r="BV39" s="134"/>
      <c r="BW39" s="134"/>
      <c r="BX39" s="134"/>
      <c r="BY39" s="134"/>
      <c r="BZ39" s="259"/>
      <c r="CA39" s="454"/>
      <c r="CB39" s="138"/>
      <c r="CC39" s="134"/>
      <c r="CD39" s="134"/>
      <c r="CE39" s="134"/>
      <c r="CF39" s="138"/>
      <c r="CG39" s="134"/>
      <c r="CH39" s="134"/>
      <c r="CI39" s="134"/>
      <c r="CJ39" s="288"/>
      <c r="CK39" s="289"/>
      <c r="CL39" s="138"/>
      <c r="CM39" s="134"/>
      <c r="CN39" s="134"/>
      <c r="CO39" s="134"/>
      <c r="CP39" s="138"/>
      <c r="CQ39" s="134"/>
      <c r="CR39" s="134"/>
      <c r="CS39" s="134"/>
      <c r="CT39" s="288"/>
      <c r="CU39" s="289"/>
      <c r="CV39" s="276"/>
      <c r="CW39" s="308"/>
      <c r="CX39" s="138"/>
      <c r="CY39" s="134"/>
      <c r="CZ39" s="134"/>
      <c r="DA39" s="134"/>
      <c r="DB39" s="134"/>
      <c r="DC39" s="134"/>
      <c r="DD39" s="134"/>
      <c r="DE39" s="134"/>
      <c r="DF39" s="300"/>
      <c r="DG39" s="301"/>
      <c r="DH39" s="134"/>
      <c r="DI39" s="134"/>
      <c r="DJ39" s="134"/>
      <c r="DK39" s="134"/>
      <c r="DL39" s="134"/>
      <c r="DM39" s="134"/>
      <c r="DN39" s="134"/>
      <c r="DO39" s="134"/>
      <c r="DP39" s="300"/>
      <c r="DQ39" s="301"/>
      <c r="DR39" s="276"/>
      <c r="DS39" s="277"/>
      <c r="DT39" s="134"/>
      <c r="DU39" s="134"/>
      <c r="DV39" s="134"/>
      <c r="DW39" s="134"/>
      <c r="DX39" s="138"/>
      <c r="DY39" s="134"/>
      <c r="DZ39" s="134"/>
      <c r="EA39" s="134"/>
      <c r="EB39" s="301"/>
      <c r="EC39" s="301"/>
      <c r="ED39" s="138"/>
      <c r="EE39" s="134"/>
      <c r="EF39" s="134"/>
      <c r="EG39" s="134"/>
      <c r="EH39" s="138"/>
      <c r="EI39" s="134"/>
      <c r="EJ39" s="134"/>
      <c r="EK39" s="134"/>
      <c r="EL39" s="301"/>
      <c r="EM39" s="301"/>
      <c r="EN39" s="277"/>
      <c r="EO39" s="134"/>
      <c r="EP39" s="134"/>
      <c r="EQ39" s="134"/>
      <c r="ER39" s="134"/>
      <c r="ES39" s="134"/>
      <c r="ET39" s="134"/>
      <c r="EU39" s="134"/>
      <c r="EV39" s="134"/>
      <c r="EW39" s="301"/>
      <c r="EX39" s="301"/>
      <c r="EY39" s="134"/>
      <c r="EZ39" s="134"/>
      <c r="FA39" s="134"/>
      <c r="FB39" s="134"/>
      <c r="FC39" s="134"/>
      <c r="FD39" s="134"/>
      <c r="FE39" s="134"/>
      <c r="FF39" s="134"/>
      <c r="FG39" s="135"/>
      <c r="FH39" s="135"/>
      <c r="FI39" s="134"/>
      <c r="FJ39" s="134"/>
      <c r="FK39" s="134"/>
      <c r="FL39" s="134"/>
      <c r="FM39" s="134"/>
      <c r="FN39" s="134"/>
      <c r="FO39" s="134"/>
      <c r="FP39" s="134"/>
      <c r="FQ39" s="135"/>
      <c r="FR39" s="135"/>
      <c r="FS39" s="134"/>
      <c r="FT39" s="134"/>
      <c r="FU39" s="134"/>
      <c r="FV39" s="134"/>
      <c r="FW39" s="134"/>
      <c r="FX39" s="134"/>
      <c r="FY39" s="134"/>
      <c r="FZ39" s="134"/>
      <c r="GA39" s="135"/>
      <c r="GB39" s="135"/>
      <c r="GC39" s="134"/>
      <c r="GD39" s="134"/>
      <c r="GE39" s="134"/>
      <c r="GF39" s="134"/>
      <c r="GG39" s="134"/>
      <c r="GH39" s="134"/>
      <c r="GI39" s="134"/>
      <c r="GJ39" s="134"/>
      <c r="GK39" s="135"/>
      <c r="GL39" s="135"/>
      <c r="GM39" s="134"/>
      <c r="GN39" s="134"/>
      <c r="GO39" s="134"/>
      <c r="GP39" s="134"/>
      <c r="GQ39" s="134"/>
      <c r="GR39" s="134"/>
      <c r="GS39" s="134"/>
      <c r="GT39" s="134"/>
      <c r="GU39" s="135"/>
      <c r="GV39" s="135"/>
      <c r="GW39" s="134"/>
      <c r="GX39" s="134"/>
      <c r="GY39" s="134"/>
      <c r="GZ39" s="134"/>
      <c r="HA39" s="134"/>
      <c r="HB39" s="134"/>
      <c r="HC39" s="134"/>
      <c r="HD39" s="134"/>
      <c r="HE39" s="135"/>
      <c r="HF39" s="135"/>
      <c r="HG39" s="134"/>
      <c r="HH39" s="134"/>
      <c r="HI39" s="134"/>
      <c r="HJ39" s="134"/>
      <c r="HK39" s="134"/>
      <c r="HL39" s="134"/>
      <c r="HM39" s="134"/>
      <c r="HN39" s="134"/>
      <c r="HO39" s="135"/>
      <c r="HP39" s="135"/>
      <c r="HQ39" s="134"/>
      <c r="HR39" s="134"/>
      <c r="HS39" s="134"/>
      <c r="HT39" s="134"/>
      <c r="HU39" s="134"/>
      <c r="HV39" s="134"/>
      <c r="HW39" s="134"/>
      <c r="HX39" s="134"/>
      <c r="HY39" s="135"/>
      <c r="HZ39" s="135"/>
      <c r="IA39" s="134"/>
      <c r="IB39" s="134"/>
      <c r="IC39" s="134"/>
      <c r="ID39" s="134"/>
      <c r="IE39" s="134"/>
      <c r="IF39" s="134"/>
      <c r="IG39" s="134"/>
      <c r="IH39" s="134"/>
      <c r="II39" s="135"/>
      <c r="IJ39" s="135"/>
      <c r="IK39" s="134"/>
      <c r="IL39" s="134"/>
      <c r="IM39" s="134"/>
      <c r="IN39" s="134"/>
      <c r="IO39" s="134"/>
      <c r="IP39" s="134"/>
      <c r="IQ39" s="134"/>
      <c r="IR39" s="134"/>
      <c r="IS39" s="135"/>
      <c r="IT39" s="135"/>
      <c r="IU39" s="134"/>
      <c r="IV39" s="134"/>
      <c r="IW39" s="134"/>
      <c r="IX39" s="134"/>
      <c r="IY39" s="134"/>
      <c r="IZ39" s="134"/>
      <c r="JA39" s="134"/>
      <c r="JB39" s="134"/>
      <c r="JC39" s="135"/>
      <c r="JD39" s="135"/>
    </row>
    <row r="40" spans="1:264" s="119" customFormat="1" ht="15" customHeight="1">
      <c r="A40" s="79" t="s">
        <v>236</v>
      </c>
      <c r="B40" s="362">
        <v>172</v>
      </c>
      <c r="C40" s="362"/>
      <c r="D40" s="362">
        <v>62</v>
      </c>
      <c r="E40" s="604" t="s">
        <v>1992</v>
      </c>
      <c r="F40" s="124" t="s">
        <v>2221</v>
      </c>
      <c r="G40" s="125">
        <v>2016</v>
      </c>
      <c r="H40" s="79">
        <v>27594113</v>
      </c>
      <c r="I40" s="79">
        <v>1</v>
      </c>
      <c r="J40" s="126"/>
      <c r="K40" s="127"/>
      <c r="L40" s="79">
        <v>1</v>
      </c>
      <c r="M40" s="79"/>
      <c r="N40" s="173">
        <v>1</v>
      </c>
      <c r="O40" s="128">
        <v>1</v>
      </c>
      <c r="P40" s="79" t="s">
        <v>651</v>
      </c>
      <c r="Q40" s="79"/>
      <c r="R40" s="79" t="s">
        <v>591</v>
      </c>
      <c r="S40" s="79">
        <v>1</v>
      </c>
      <c r="T40" s="79"/>
      <c r="U40" s="79"/>
      <c r="V40" s="79"/>
      <c r="W40" s="79" t="s">
        <v>650</v>
      </c>
      <c r="X40" s="79"/>
      <c r="Y40" s="79"/>
      <c r="Z40" s="79"/>
      <c r="AA40" s="79"/>
      <c r="AB40" s="79" t="s">
        <v>649</v>
      </c>
      <c r="AC40" s="506" t="s">
        <v>6247</v>
      </c>
      <c r="AD40" s="573">
        <v>1</v>
      </c>
      <c r="AE40" s="573">
        <v>0</v>
      </c>
      <c r="AF40" s="154" t="s">
        <v>3003</v>
      </c>
      <c r="AG40" s="155" t="s">
        <v>6248</v>
      </c>
      <c r="AH40" s="121">
        <v>2</v>
      </c>
      <c r="AI40" s="484"/>
      <c r="AJ40" s="202"/>
      <c r="AK40" s="192"/>
      <c r="AL40" s="203"/>
      <c r="AM40" s="121"/>
      <c r="AN40" s="121"/>
      <c r="AO40" s="121"/>
      <c r="AP40" s="121"/>
      <c r="AQ40" s="121"/>
      <c r="AR40" s="121"/>
      <c r="AS40" s="121"/>
      <c r="AT40" s="121"/>
      <c r="AU40" s="121"/>
      <c r="AV40" s="121"/>
      <c r="AW40" s="121"/>
      <c r="AX40" s="121"/>
      <c r="AY40" s="121"/>
      <c r="AZ40" s="121"/>
      <c r="BA40" s="121"/>
      <c r="BB40" s="594"/>
      <c r="BC40" s="594"/>
      <c r="BD40" s="578"/>
      <c r="BE40" s="156" t="s">
        <v>6246</v>
      </c>
      <c r="BF40" s="156"/>
      <c r="BG40" s="156"/>
      <c r="BH40" s="156"/>
      <c r="BI40" s="156"/>
      <c r="BJ40" s="156"/>
      <c r="BK40" s="156"/>
      <c r="BL40" s="156"/>
      <c r="BM40" s="156"/>
      <c r="BN40" s="156"/>
      <c r="BO40" s="156"/>
      <c r="BP40" s="156"/>
      <c r="BQ40" s="595"/>
      <c r="BR40" s="157"/>
      <c r="BS40" s="660"/>
      <c r="BT40" s="134"/>
      <c r="BU40" s="134"/>
      <c r="BV40" s="134"/>
      <c r="BW40" s="134"/>
      <c r="BX40" s="134"/>
      <c r="BY40" s="134"/>
      <c r="BZ40" s="259"/>
      <c r="CA40" s="454"/>
      <c r="CB40" s="138"/>
      <c r="CC40" s="134"/>
      <c r="CD40" s="134"/>
      <c r="CE40" s="134"/>
      <c r="CF40" s="138"/>
      <c r="CG40" s="134"/>
      <c r="CH40" s="134"/>
      <c r="CI40" s="134"/>
      <c r="CJ40" s="288"/>
      <c r="CK40" s="289"/>
      <c r="CL40" s="138"/>
      <c r="CM40" s="134"/>
      <c r="CN40" s="134"/>
      <c r="CO40" s="134"/>
      <c r="CP40" s="138"/>
      <c r="CQ40" s="134"/>
      <c r="CR40" s="134"/>
      <c r="CS40" s="134"/>
      <c r="CT40" s="288"/>
      <c r="CU40" s="289"/>
      <c r="CV40" s="276"/>
      <c r="CW40" s="308"/>
      <c r="CX40" s="430"/>
      <c r="CY40" s="134"/>
      <c r="CZ40" s="134"/>
      <c r="DA40" s="134"/>
      <c r="DB40" s="426"/>
      <c r="DC40" s="134"/>
      <c r="DD40" s="134"/>
      <c r="DE40" s="134"/>
      <c r="DF40" s="300"/>
      <c r="DG40" s="301"/>
      <c r="DH40" s="134"/>
      <c r="DI40" s="134"/>
      <c r="DJ40" s="134"/>
      <c r="DK40" s="134"/>
      <c r="DL40" s="134"/>
      <c r="DM40" s="134"/>
      <c r="DN40" s="134"/>
      <c r="DO40" s="134"/>
      <c r="DP40" s="300"/>
      <c r="DQ40" s="301"/>
      <c r="DR40" s="276"/>
      <c r="DS40" s="277"/>
      <c r="DT40" s="134"/>
      <c r="DU40" s="134"/>
      <c r="DV40" s="134"/>
      <c r="DW40" s="134"/>
      <c r="DX40" s="138"/>
      <c r="DY40" s="134"/>
      <c r="DZ40" s="134"/>
      <c r="EA40" s="134"/>
      <c r="EB40" s="301"/>
      <c r="EC40" s="301"/>
      <c r="ED40" s="138"/>
      <c r="EE40" s="134"/>
      <c r="EF40" s="134"/>
      <c r="EG40" s="134"/>
      <c r="EH40" s="138"/>
      <c r="EI40" s="134"/>
      <c r="EJ40" s="134"/>
      <c r="EK40" s="134"/>
      <c r="EL40" s="301"/>
      <c r="EM40" s="301"/>
      <c r="EN40" s="277"/>
      <c r="EO40" s="134"/>
      <c r="EP40" s="134"/>
      <c r="EQ40" s="134"/>
      <c r="ER40" s="134"/>
      <c r="ES40" s="134"/>
      <c r="ET40" s="134"/>
      <c r="EU40" s="134"/>
      <c r="EV40" s="134"/>
      <c r="EW40" s="301"/>
      <c r="EX40" s="301"/>
      <c r="EY40" s="134"/>
      <c r="EZ40" s="134"/>
      <c r="FA40" s="134"/>
      <c r="FB40" s="134"/>
      <c r="FC40" s="134"/>
      <c r="FD40" s="134"/>
      <c r="FE40" s="134"/>
      <c r="FF40" s="134"/>
      <c r="FG40" s="135"/>
      <c r="FH40" s="135"/>
      <c r="FI40" s="134"/>
      <c r="FJ40" s="134"/>
      <c r="FK40" s="134"/>
      <c r="FL40" s="134"/>
      <c r="FM40" s="134"/>
      <c r="FN40" s="134"/>
      <c r="FO40" s="134"/>
      <c r="FP40" s="134"/>
      <c r="FQ40" s="135"/>
      <c r="FR40" s="135"/>
      <c r="FS40" s="134"/>
      <c r="FT40" s="134"/>
      <c r="FU40" s="134"/>
      <c r="FV40" s="134"/>
      <c r="FW40" s="134"/>
      <c r="FX40" s="134"/>
      <c r="FY40" s="134"/>
      <c r="FZ40" s="134"/>
      <c r="GA40" s="135"/>
      <c r="GB40" s="135"/>
      <c r="GC40" s="134"/>
      <c r="GD40" s="134"/>
      <c r="GE40" s="134"/>
      <c r="GF40" s="134"/>
      <c r="GG40" s="134"/>
      <c r="GH40" s="134"/>
      <c r="GI40" s="134"/>
      <c r="GJ40" s="134"/>
      <c r="GK40" s="135"/>
      <c r="GL40" s="135"/>
      <c r="GM40" s="134"/>
      <c r="GN40" s="134"/>
      <c r="GO40" s="134"/>
      <c r="GP40" s="134"/>
      <c r="GQ40" s="134"/>
      <c r="GR40" s="134"/>
      <c r="GS40" s="134"/>
      <c r="GT40" s="134"/>
      <c r="GU40" s="135"/>
      <c r="GV40" s="135"/>
      <c r="GW40" s="134"/>
      <c r="GX40" s="134"/>
      <c r="GY40" s="134"/>
      <c r="GZ40" s="134"/>
      <c r="HA40" s="134"/>
      <c r="HB40" s="134"/>
      <c r="HC40" s="134"/>
      <c r="HD40" s="134"/>
      <c r="HE40" s="135"/>
      <c r="HF40" s="135"/>
      <c r="HG40" s="134"/>
      <c r="HH40" s="134"/>
      <c r="HI40" s="134"/>
      <c r="HJ40" s="134"/>
      <c r="HK40" s="134"/>
      <c r="HL40" s="134"/>
      <c r="HM40" s="134"/>
      <c r="HN40" s="134"/>
      <c r="HO40" s="135"/>
      <c r="HP40" s="135"/>
      <c r="HQ40" s="134"/>
      <c r="HR40" s="134"/>
      <c r="HS40" s="134"/>
      <c r="HT40" s="134"/>
      <c r="HU40" s="134"/>
      <c r="HV40" s="134"/>
      <c r="HW40" s="134"/>
      <c r="HX40" s="134"/>
      <c r="HY40" s="135"/>
      <c r="HZ40" s="135"/>
      <c r="IA40" s="134"/>
      <c r="IB40" s="134"/>
      <c r="IC40" s="134"/>
      <c r="ID40" s="134"/>
      <c r="IE40" s="134"/>
      <c r="IF40" s="134"/>
      <c r="IG40" s="134"/>
      <c r="IH40" s="134"/>
      <c r="II40" s="135"/>
      <c r="IJ40" s="135"/>
      <c r="IK40" s="134"/>
      <c r="IL40" s="134"/>
      <c r="IM40" s="134"/>
      <c r="IN40" s="134"/>
      <c r="IO40" s="134"/>
      <c r="IP40" s="134"/>
      <c r="IQ40" s="134"/>
      <c r="IR40" s="134"/>
      <c r="IS40" s="135"/>
      <c r="IT40" s="135"/>
      <c r="IU40" s="134"/>
      <c r="IV40" s="134"/>
      <c r="IW40" s="134"/>
      <c r="IX40" s="134"/>
      <c r="IY40" s="134"/>
      <c r="IZ40" s="134"/>
      <c r="JA40" s="134"/>
      <c r="JB40" s="134"/>
      <c r="JC40" s="135"/>
      <c r="JD40" s="135"/>
    </row>
    <row r="41" spans="1:264" s="119" customFormat="1" ht="15" customHeight="1">
      <c r="A41" s="79" t="s">
        <v>240</v>
      </c>
      <c r="B41" s="362">
        <v>175</v>
      </c>
      <c r="C41" s="362"/>
      <c r="D41" s="362">
        <v>63</v>
      </c>
      <c r="E41" s="604" t="s">
        <v>1994</v>
      </c>
      <c r="F41" s="124" t="s">
        <v>2224</v>
      </c>
      <c r="G41" s="125">
        <v>2014</v>
      </c>
      <c r="H41" s="79">
        <v>25180439</v>
      </c>
      <c r="I41" s="79">
        <v>1</v>
      </c>
      <c r="J41" s="126" t="s">
        <v>1778</v>
      </c>
      <c r="K41" s="127" t="s">
        <v>1761</v>
      </c>
      <c r="L41" s="164">
        <v>1</v>
      </c>
      <c r="M41" s="79" t="s">
        <v>1744</v>
      </c>
      <c r="N41" s="164">
        <v>0</v>
      </c>
      <c r="O41" s="128">
        <v>1</v>
      </c>
      <c r="P41" s="79"/>
      <c r="Q41" s="79" t="s">
        <v>1167</v>
      </c>
      <c r="R41" s="79" t="s">
        <v>659</v>
      </c>
      <c r="S41" s="79">
        <v>1</v>
      </c>
      <c r="T41" s="79"/>
      <c r="U41" s="79"/>
      <c r="V41" s="79"/>
      <c r="W41" s="79" t="s">
        <v>658</v>
      </c>
      <c r="X41" s="79" t="s">
        <v>24</v>
      </c>
      <c r="Y41" s="79"/>
      <c r="Z41" s="79"/>
      <c r="AA41" s="79"/>
      <c r="AB41" s="79" t="s">
        <v>660</v>
      </c>
      <c r="AC41" s="506" t="s">
        <v>6250</v>
      </c>
      <c r="AD41" s="573">
        <v>1</v>
      </c>
      <c r="AE41" s="573">
        <v>0</v>
      </c>
      <c r="AF41" s="576" t="s">
        <v>3003</v>
      </c>
      <c r="AG41" s="577" t="s">
        <v>6249</v>
      </c>
      <c r="AH41" s="121">
        <v>2</v>
      </c>
      <c r="AI41" s="484"/>
      <c r="AJ41" s="202"/>
      <c r="AK41" s="192"/>
      <c r="AL41" s="203"/>
      <c r="AM41" s="121"/>
      <c r="AN41" s="121"/>
      <c r="AO41" s="121"/>
      <c r="AP41" s="121"/>
      <c r="AQ41" s="121"/>
      <c r="AR41" s="121"/>
      <c r="AS41" s="121"/>
      <c r="AT41" s="121"/>
      <c r="AU41" s="121"/>
      <c r="AV41" s="121"/>
      <c r="AW41" s="121"/>
      <c r="AX41" s="121"/>
      <c r="AY41" s="121"/>
      <c r="AZ41" s="121"/>
      <c r="BA41" s="121"/>
      <c r="BB41" s="594"/>
      <c r="BC41" s="594"/>
      <c r="BD41" s="156"/>
      <c r="BE41" s="156"/>
      <c r="BF41" s="156" t="s">
        <v>5207</v>
      </c>
      <c r="BG41" s="156"/>
      <c r="BH41" s="156"/>
      <c r="BI41" s="156" t="s">
        <v>5207</v>
      </c>
      <c r="BJ41" s="156"/>
      <c r="BK41" s="156"/>
      <c r="BL41" s="156" t="s">
        <v>5207</v>
      </c>
      <c r="BM41" s="156"/>
      <c r="BN41" s="156"/>
      <c r="BO41" s="156"/>
      <c r="BP41" s="156"/>
      <c r="BQ41" s="595"/>
      <c r="BR41" s="157"/>
      <c r="BS41" s="660"/>
      <c r="BT41" s="134"/>
      <c r="BU41" s="134"/>
      <c r="BV41" s="134"/>
      <c r="BW41" s="134"/>
      <c r="BX41" s="134"/>
      <c r="BY41" s="134"/>
      <c r="BZ41" s="259"/>
      <c r="CA41" s="454"/>
      <c r="CB41" s="138"/>
      <c r="CC41" s="134"/>
      <c r="CD41" s="134"/>
      <c r="CE41" s="134"/>
      <c r="CF41" s="138"/>
      <c r="CG41" s="134"/>
      <c r="CH41" s="134"/>
      <c r="CI41" s="134"/>
      <c r="CJ41" s="288"/>
      <c r="CK41" s="289"/>
      <c r="CL41" s="138"/>
      <c r="CM41" s="134"/>
      <c r="CN41" s="134"/>
      <c r="CO41" s="134"/>
      <c r="CP41" s="138"/>
      <c r="CQ41" s="134"/>
      <c r="CR41" s="134"/>
      <c r="CS41" s="134"/>
      <c r="CT41" s="288"/>
      <c r="CU41" s="289"/>
      <c r="CV41" s="276"/>
      <c r="CW41" s="308"/>
      <c r="CX41" s="138"/>
      <c r="CY41" s="134"/>
      <c r="CZ41" s="134"/>
      <c r="DA41" s="134"/>
      <c r="DB41" s="134"/>
      <c r="DC41" s="134"/>
      <c r="DD41" s="134"/>
      <c r="DE41" s="134"/>
      <c r="DF41" s="300"/>
      <c r="DG41" s="301"/>
      <c r="DH41" s="134"/>
      <c r="DI41" s="134"/>
      <c r="DJ41" s="134"/>
      <c r="DK41" s="134"/>
      <c r="DL41" s="134"/>
      <c r="DM41" s="134"/>
      <c r="DN41" s="134"/>
      <c r="DO41" s="134"/>
      <c r="DP41" s="300"/>
      <c r="DQ41" s="301"/>
      <c r="DR41" s="276"/>
      <c r="DS41" s="277"/>
      <c r="DT41" s="134"/>
      <c r="DU41" s="134"/>
      <c r="DV41" s="134"/>
      <c r="DW41" s="134"/>
      <c r="DX41" s="138"/>
      <c r="DY41" s="134"/>
      <c r="DZ41" s="134"/>
      <c r="EA41" s="134"/>
      <c r="EB41" s="301"/>
      <c r="EC41" s="301"/>
      <c r="ED41" s="138"/>
      <c r="EE41" s="134"/>
      <c r="EF41" s="134"/>
      <c r="EG41" s="134"/>
      <c r="EH41" s="138"/>
      <c r="EI41" s="134"/>
      <c r="EJ41" s="134"/>
      <c r="EK41" s="134"/>
      <c r="EL41" s="301"/>
      <c r="EM41" s="301"/>
      <c r="EN41" s="277"/>
      <c r="EO41" s="134"/>
      <c r="EP41" s="134"/>
      <c r="EQ41" s="134"/>
      <c r="ER41" s="134"/>
      <c r="ES41" s="134"/>
      <c r="ET41" s="134"/>
      <c r="EU41" s="134"/>
      <c r="EV41" s="134"/>
      <c r="EW41" s="301"/>
      <c r="EX41" s="301"/>
      <c r="EY41" s="134"/>
      <c r="EZ41" s="134"/>
      <c r="FA41" s="134"/>
      <c r="FB41" s="134"/>
      <c r="FC41" s="134"/>
      <c r="FD41" s="134"/>
      <c r="FE41" s="134"/>
      <c r="FF41" s="134"/>
      <c r="FG41" s="135"/>
      <c r="FH41" s="135"/>
      <c r="FI41" s="134"/>
      <c r="FJ41" s="134"/>
      <c r="FK41" s="134"/>
      <c r="FL41" s="134"/>
      <c r="FM41" s="134"/>
      <c r="FN41" s="134"/>
      <c r="FO41" s="134"/>
      <c r="FP41" s="134"/>
      <c r="FQ41" s="135"/>
      <c r="FR41" s="135"/>
      <c r="FS41" s="134"/>
      <c r="FT41" s="134"/>
      <c r="FU41" s="134"/>
      <c r="FV41" s="134"/>
      <c r="FW41" s="134"/>
      <c r="FX41" s="134"/>
      <c r="FY41" s="134"/>
      <c r="FZ41" s="134"/>
      <c r="GA41" s="135"/>
      <c r="GB41" s="135"/>
      <c r="GC41" s="134"/>
      <c r="GD41" s="134"/>
      <c r="GE41" s="134"/>
      <c r="GF41" s="134"/>
      <c r="GG41" s="134"/>
      <c r="GH41" s="134"/>
      <c r="GI41" s="134"/>
      <c r="GJ41" s="134"/>
      <c r="GK41" s="135"/>
      <c r="GL41" s="135"/>
      <c r="GM41" s="134"/>
      <c r="GN41" s="134"/>
      <c r="GO41" s="134"/>
      <c r="GP41" s="134"/>
      <c r="GQ41" s="134"/>
      <c r="GR41" s="134"/>
      <c r="GS41" s="134"/>
      <c r="GT41" s="134"/>
      <c r="GU41" s="135"/>
      <c r="GV41" s="135"/>
      <c r="GW41" s="134"/>
      <c r="GX41" s="134"/>
      <c r="GY41" s="134"/>
      <c r="GZ41" s="134"/>
      <c r="HA41" s="134"/>
      <c r="HB41" s="134"/>
      <c r="HC41" s="134"/>
      <c r="HD41" s="134"/>
      <c r="HE41" s="135"/>
      <c r="HF41" s="135"/>
      <c r="HG41" s="134"/>
      <c r="HH41" s="134"/>
      <c r="HI41" s="134"/>
      <c r="HJ41" s="134"/>
      <c r="HK41" s="134"/>
      <c r="HL41" s="134"/>
      <c r="HM41" s="134"/>
      <c r="HN41" s="134"/>
      <c r="HO41" s="135"/>
      <c r="HP41" s="135"/>
      <c r="HQ41" s="134"/>
      <c r="HR41" s="134"/>
      <c r="HS41" s="134"/>
      <c r="HT41" s="134"/>
      <c r="HU41" s="134"/>
      <c r="HV41" s="134"/>
      <c r="HW41" s="134"/>
      <c r="HX41" s="134"/>
      <c r="HY41" s="135"/>
      <c r="HZ41" s="135"/>
      <c r="IA41" s="134"/>
      <c r="IB41" s="134"/>
      <c r="IC41" s="134"/>
      <c r="ID41" s="134"/>
      <c r="IE41" s="134"/>
      <c r="IF41" s="134"/>
      <c r="IG41" s="134"/>
      <c r="IH41" s="134"/>
      <c r="II41" s="135"/>
      <c r="IJ41" s="135"/>
      <c r="IK41" s="134"/>
      <c r="IL41" s="134"/>
      <c r="IM41" s="134"/>
      <c r="IN41" s="134"/>
      <c r="IO41" s="134"/>
      <c r="IP41" s="134"/>
      <c r="IQ41" s="134"/>
      <c r="IR41" s="134"/>
      <c r="IS41" s="135"/>
      <c r="IT41" s="135"/>
      <c r="IU41" s="134"/>
      <c r="IV41" s="134"/>
      <c r="IW41" s="134"/>
      <c r="IX41" s="134"/>
      <c r="IY41" s="134"/>
      <c r="IZ41" s="134"/>
      <c r="JA41" s="134"/>
      <c r="JB41" s="134"/>
      <c r="JC41" s="135"/>
      <c r="JD41" s="135"/>
    </row>
    <row r="42" spans="1:264" s="119" customFormat="1" ht="15" customHeight="1">
      <c r="A42" s="79" t="s">
        <v>242</v>
      </c>
      <c r="B42" s="362">
        <v>177</v>
      </c>
      <c r="C42" s="362"/>
      <c r="D42" s="362">
        <v>64</v>
      </c>
      <c r="E42" s="604" t="s">
        <v>1996</v>
      </c>
      <c r="F42" s="124" t="s">
        <v>2226</v>
      </c>
      <c r="G42" s="125">
        <v>2015</v>
      </c>
      <c r="H42" s="79">
        <v>26110112</v>
      </c>
      <c r="I42" s="79">
        <v>1</v>
      </c>
      <c r="J42" s="126"/>
      <c r="K42" s="127" t="s">
        <v>1745</v>
      </c>
      <c r="L42" s="164">
        <v>1</v>
      </c>
      <c r="M42" s="79" t="s">
        <v>1745</v>
      </c>
      <c r="N42" s="79">
        <v>0</v>
      </c>
      <c r="O42" s="128">
        <v>1</v>
      </c>
      <c r="P42" s="79"/>
      <c r="Q42" s="79" t="s">
        <v>1158</v>
      </c>
      <c r="R42" s="79" t="s">
        <v>659</v>
      </c>
      <c r="S42" s="79">
        <v>1</v>
      </c>
      <c r="T42" s="79"/>
      <c r="U42" s="79"/>
      <c r="V42" s="79"/>
      <c r="W42" s="79"/>
      <c r="X42" s="79" t="s">
        <v>56</v>
      </c>
      <c r="Y42" s="79"/>
      <c r="Z42" s="79"/>
      <c r="AA42" s="79"/>
      <c r="AB42" s="79" t="s">
        <v>516</v>
      </c>
      <c r="AC42" s="506" t="s">
        <v>433</v>
      </c>
      <c r="AD42" s="573">
        <v>1</v>
      </c>
      <c r="AE42" s="573">
        <v>0</v>
      </c>
      <c r="AF42" s="165" t="s">
        <v>3003</v>
      </c>
      <c r="AG42" s="577" t="s">
        <v>6249</v>
      </c>
      <c r="AH42" s="121">
        <v>2</v>
      </c>
      <c r="AI42" s="484"/>
      <c r="AJ42" s="202"/>
      <c r="AK42" s="192"/>
      <c r="AL42" s="203"/>
      <c r="AM42" s="121"/>
      <c r="AN42" s="121"/>
      <c r="AO42" s="121"/>
      <c r="AP42" s="121"/>
      <c r="AQ42" s="121"/>
      <c r="AR42" s="121"/>
      <c r="AS42" s="121"/>
      <c r="AT42" s="121"/>
      <c r="AU42" s="121"/>
      <c r="AV42" s="121"/>
      <c r="AW42" s="121"/>
      <c r="AX42" s="121"/>
      <c r="AY42" s="121"/>
      <c r="AZ42" s="121"/>
      <c r="BA42" s="121"/>
      <c r="BB42" s="594"/>
      <c r="BC42" s="594"/>
      <c r="BD42" s="156"/>
      <c r="BE42" s="156"/>
      <c r="BF42" s="156"/>
      <c r="BG42" s="156"/>
      <c r="BH42" s="156"/>
      <c r="BI42" s="156"/>
      <c r="BJ42" s="156"/>
      <c r="BK42" s="156"/>
      <c r="BL42" s="156" t="s">
        <v>5207</v>
      </c>
      <c r="BM42" s="156"/>
      <c r="BN42" s="156"/>
      <c r="BO42" s="156"/>
      <c r="BP42" s="156"/>
      <c r="BQ42" s="595"/>
      <c r="BR42" s="157"/>
      <c r="BS42" s="660"/>
      <c r="BT42" s="134"/>
      <c r="BU42" s="134"/>
      <c r="BV42" s="134"/>
      <c r="BW42" s="134"/>
      <c r="BX42" s="134"/>
      <c r="BY42" s="134"/>
      <c r="BZ42" s="259"/>
      <c r="CA42" s="454"/>
      <c r="CB42" s="138"/>
      <c r="CC42" s="134"/>
      <c r="CD42" s="134"/>
      <c r="CE42" s="134"/>
      <c r="CF42" s="138"/>
      <c r="CG42" s="134"/>
      <c r="CH42" s="134"/>
      <c r="CI42" s="134"/>
      <c r="CJ42" s="288"/>
      <c r="CK42" s="289"/>
      <c r="CL42" s="138"/>
      <c r="CM42" s="134"/>
      <c r="CN42" s="134"/>
      <c r="CO42" s="134"/>
      <c r="CP42" s="138"/>
      <c r="CQ42" s="134"/>
      <c r="CR42" s="134"/>
      <c r="CS42" s="134"/>
      <c r="CT42" s="288"/>
      <c r="CU42" s="289"/>
      <c r="CV42" s="276"/>
      <c r="CW42" s="308"/>
      <c r="CX42" s="138"/>
      <c r="CY42" s="134"/>
      <c r="CZ42" s="134"/>
      <c r="DA42" s="134"/>
      <c r="DB42" s="134"/>
      <c r="DC42" s="134"/>
      <c r="DD42" s="134"/>
      <c r="DE42" s="134"/>
      <c r="DF42" s="300"/>
      <c r="DG42" s="301"/>
      <c r="DH42" s="134"/>
      <c r="DI42" s="134"/>
      <c r="DJ42" s="134"/>
      <c r="DK42" s="134"/>
      <c r="DL42" s="134"/>
      <c r="DM42" s="134"/>
      <c r="DN42" s="134"/>
      <c r="DO42" s="134"/>
      <c r="DP42" s="300"/>
      <c r="DQ42" s="301"/>
      <c r="DR42" s="276"/>
      <c r="DS42" s="277"/>
      <c r="DT42" s="134"/>
      <c r="DU42" s="134"/>
      <c r="DV42" s="134"/>
      <c r="DW42" s="134"/>
      <c r="DX42" s="138"/>
      <c r="DY42" s="134"/>
      <c r="DZ42" s="134"/>
      <c r="EA42" s="134"/>
      <c r="EB42" s="301"/>
      <c r="EC42" s="301"/>
      <c r="ED42" s="138"/>
      <c r="EE42" s="134"/>
      <c r="EF42" s="134"/>
      <c r="EG42" s="134"/>
      <c r="EH42" s="138"/>
      <c r="EI42" s="134"/>
      <c r="EJ42" s="134"/>
      <c r="EK42" s="134"/>
      <c r="EL42" s="301"/>
      <c r="EM42" s="301"/>
      <c r="EN42" s="277"/>
      <c r="EO42" s="134"/>
      <c r="EP42" s="134"/>
      <c r="EQ42" s="134"/>
      <c r="ER42" s="134"/>
      <c r="ES42" s="134"/>
      <c r="ET42" s="134"/>
      <c r="EU42" s="134"/>
      <c r="EV42" s="134"/>
      <c r="EW42" s="301"/>
      <c r="EX42" s="301"/>
      <c r="EY42" s="134"/>
      <c r="EZ42" s="134"/>
      <c r="FA42" s="134"/>
      <c r="FB42" s="134"/>
      <c r="FC42" s="134"/>
      <c r="FD42" s="134"/>
      <c r="FE42" s="134"/>
      <c r="FF42" s="134"/>
      <c r="FG42" s="135"/>
      <c r="FH42" s="135"/>
      <c r="FI42" s="134"/>
      <c r="FJ42" s="134"/>
      <c r="FK42" s="134"/>
      <c r="FL42" s="134"/>
      <c r="FM42" s="134"/>
      <c r="FN42" s="134"/>
      <c r="FO42" s="134"/>
      <c r="FP42" s="134"/>
      <c r="FQ42" s="135"/>
      <c r="FR42" s="135"/>
      <c r="FS42" s="134"/>
      <c r="FT42" s="134"/>
      <c r="FU42" s="134"/>
      <c r="FV42" s="134"/>
      <c r="FW42" s="134"/>
      <c r="FX42" s="134"/>
      <c r="FY42" s="134"/>
      <c r="FZ42" s="134"/>
      <c r="GA42" s="135"/>
      <c r="GB42" s="135"/>
      <c r="GC42" s="134"/>
      <c r="GD42" s="134"/>
      <c r="GE42" s="134"/>
      <c r="GF42" s="134"/>
      <c r="GG42" s="134"/>
      <c r="GH42" s="134"/>
      <c r="GI42" s="134"/>
      <c r="GJ42" s="134"/>
      <c r="GK42" s="135"/>
      <c r="GL42" s="135"/>
      <c r="GM42" s="134"/>
      <c r="GN42" s="134"/>
      <c r="GO42" s="134"/>
      <c r="GP42" s="134"/>
      <c r="GQ42" s="134"/>
      <c r="GR42" s="134"/>
      <c r="GS42" s="134"/>
      <c r="GT42" s="134"/>
      <c r="GU42" s="135"/>
      <c r="GV42" s="135"/>
      <c r="GW42" s="134"/>
      <c r="GX42" s="134"/>
      <c r="GY42" s="134"/>
      <c r="GZ42" s="134"/>
      <c r="HA42" s="134"/>
      <c r="HB42" s="134"/>
      <c r="HC42" s="134"/>
      <c r="HD42" s="134"/>
      <c r="HE42" s="135"/>
      <c r="HF42" s="135"/>
      <c r="HG42" s="134"/>
      <c r="HH42" s="134"/>
      <c r="HI42" s="134"/>
      <c r="HJ42" s="134"/>
      <c r="HK42" s="134"/>
      <c r="HL42" s="134"/>
      <c r="HM42" s="134"/>
      <c r="HN42" s="134"/>
      <c r="HO42" s="135"/>
      <c r="HP42" s="135"/>
      <c r="HQ42" s="134"/>
      <c r="HR42" s="134"/>
      <c r="HS42" s="134"/>
      <c r="HT42" s="134"/>
      <c r="HU42" s="134"/>
      <c r="HV42" s="134"/>
      <c r="HW42" s="134"/>
      <c r="HX42" s="134"/>
      <c r="HY42" s="135"/>
      <c r="HZ42" s="135"/>
      <c r="IA42" s="134"/>
      <c r="IB42" s="134"/>
      <c r="IC42" s="134"/>
      <c r="ID42" s="134"/>
      <c r="IE42" s="134"/>
      <c r="IF42" s="134"/>
      <c r="IG42" s="134"/>
      <c r="IH42" s="134"/>
      <c r="II42" s="135"/>
      <c r="IJ42" s="135"/>
      <c r="IK42" s="134"/>
      <c r="IL42" s="134"/>
      <c r="IM42" s="134"/>
      <c r="IN42" s="134"/>
      <c r="IO42" s="134"/>
      <c r="IP42" s="134"/>
      <c r="IQ42" s="134"/>
      <c r="IR42" s="134"/>
      <c r="IS42" s="135"/>
      <c r="IT42" s="135"/>
      <c r="IU42" s="134"/>
      <c r="IV42" s="134"/>
      <c r="IW42" s="134"/>
      <c r="IX42" s="134"/>
      <c r="IY42" s="134"/>
      <c r="IZ42" s="134"/>
      <c r="JA42" s="134"/>
      <c r="JB42" s="134"/>
      <c r="JC42" s="135"/>
      <c r="JD42" s="135"/>
    </row>
    <row r="43" spans="1:264" s="119" customFormat="1" ht="15" customHeight="1">
      <c r="A43" s="79" t="s">
        <v>248</v>
      </c>
      <c r="B43" s="362">
        <v>179</v>
      </c>
      <c r="C43" s="362"/>
      <c r="D43" s="362">
        <v>65</v>
      </c>
      <c r="E43" s="604" t="s">
        <v>1998</v>
      </c>
      <c r="F43" s="124" t="s">
        <v>2228</v>
      </c>
      <c r="G43" s="125">
        <v>2015</v>
      </c>
      <c r="H43" s="79">
        <v>26254798</v>
      </c>
      <c r="I43" s="79">
        <v>1</v>
      </c>
      <c r="J43" s="126"/>
      <c r="K43" s="127"/>
      <c r="L43" s="79">
        <v>1</v>
      </c>
      <c r="M43" s="79"/>
      <c r="N43" s="79">
        <v>1</v>
      </c>
      <c r="O43" s="128">
        <v>1</v>
      </c>
      <c r="P43" s="79" t="s">
        <v>31</v>
      </c>
      <c r="Q43" s="79" t="s">
        <v>1157</v>
      </c>
      <c r="R43" s="79" t="s">
        <v>591</v>
      </c>
      <c r="S43" s="79">
        <v>1</v>
      </c>
      <c r="T43" s="79"/>
      <c r="U43" s="79"/>
      <c r="V43" s="79"/>
      <c r="W43" s="79" t="s">
        <v>675</v>
      </c>
      <c r="X43" s="79"/>
      <c r="Y43" s="79"/>
      <c r="Z43" s="79"/>
      <c r="AA43" s="79"/>
      <c r="AB43" s="79"/>
      <c r="AC43" s="506" t="s">
        <v>6253</v>
      </c>
      <c r="AD43" s="573">
        <v>1</v>
      </c>
      <c r="AE43" s="573">
        <v>0</v>
      </c>
      <c r="AF43" s="154"/>
      <c r="AG43" s="155"/>
      <c r="AH43" s="121">
        <v>2</v>
      </c>
      <c r="AI43" s="484"/>
      <c r="AJ43" s="202"/>
      <c r="AK43" s="192"/>
      <c r="AL43" s="203"/>
      <c r="AM43" s="121"/>
      <c r="AN43" s="121"/>
      <c r="AO43" s="121"/>
      <c r="AP43" s="121"/>
      <c r="AQ43" s="121"/>
      <c r="AR43" s="121"/>
      <c r="AS43" s="121"/>
      <c r="AT43" s="121"/>
      <c r="AU43" s="121"/>
      <c r="AV43" s="121"/>
      <c r="AW43" s="121"/>
      <c r="AX43" s="121"/>
      <c r="AY43" s="121"/>
      <c r="AZ43" s="121"/>
      <c r="BA43" s="121"/>
      <c r="BB43" s="594"/>
      <c r="BC43" s="594"/>
      <c r="BD43" s="156"/>
      <c r="BE43" s="156"/>
      <c r="BF43" s="156" t="s">
        <v>5207</v>
      </c>
      <c r="BG43" s="156"/>
      <c r="BH43" s="156"/>
      <c r="BI43" s="156" t="s">
        <v>6252</v>
      </c>
      <c r="BJ43" s="156"/>
      <c r="BK43" s="156" t="s">
        <v>6251</v>
      </c>
      <c r="BL43" s="156"/>
      <c r="BM43" s="156"/>
      <c r="BN43" s="156"/>
      <c r="BO43" s="156"/>
      <c r="BP43" s="156"/>
      <c r="BQ43" s="595"/>
      <c r="BR43" s="157"/>
      <c r="BS43" s="660"/>
      <c r="BT43" s="134"/>
      <c r="BU43" s="134"/>
      <c r="BV43" s="134"/>
      <c r="BW43" s="134"/>
      <c r="BX43" s="134"/>
      <c r="BY43" s="134"/>
      <c r="BZ43" s="259"/>
      <c r="CA43" s="454"/>
      <c r="CB43" s="138"/>
      <c r="CC43" s="134"/>
      <c r="CD43" s="134"/>
      <c r="CE43" s="134"/>
      <c r="CF43" s="138"/>
      <c r="CG43" s="134"/>
      <c r="CH43" s="134"/>
      <c r="CI43" s="134"/>
      <c r="CJ43" s="288"/>
      <c r="CK43" s="289"/>
      <c r="CL43" s="138"/>
      <c r="CM43" s="134"/>
      <c r="CN43" s="134"/>
      <c r="CO43" s="134"/>
      <c r="CP43" s="138"/>
      <c r="CQ43" s="134"/>
      <c r="CR43" s="134"/>
      <c r="CS43" s="134"/>
      <c r="CT43" s="288"/>
      <c r="CU43" s="289"/>
      <c r="CV43" s="276"/>
      <c r="CW43" s="308"/>
      <c r="CX43" s="138"/>
      <c r="CY43" s="134"/>
      <c r="CZ43" s="134"/>
      <c r="DA43" s="134"/>
      <c r="DB43" s="134"/>
      <c r="DC43" s="134"/>
      <c r="DD43" s="134"/>
      <c r="DE43" s="134"/>
      <c r="DF43" s="300"/>
      <c r="DG43" s="301"/>
      <c r="DH43" s="134"/>
      <c r="DI43" s="134"/>
      <c r="DJ43" s="134"/>
      <c r="DK43" s="134"/>
      <c r="DL43" s="134"/>
      <c r="DM43" s="134"/>
      <c r="DN43" s="134"/>
      <c r="DO43" s="134"/>
      <c r="DP43" s="300"/>
      <c r="DQ43" s="301"/>
      <c r="DR43" s="276"/>
      <c r="DS43" s="277"/>
      <c r="DT43" s="134"/>
      <c r="DU43" s="134"/>
      <c r="DV43" s="134"/>
      <c r="DW43" s="134"/>
      <c r="DX43" s="138"/>
      <c r="DY43" s="134"/>
      <c r="DZ43" s="134"/>
      <c r="EA43" s="134"/>
      <c r="EB43" s="301"/>
      <c r="EC43" s="301"/>
      <c r="ED43" s="138"/>
      <c r="EE43" s="134"/>
      <c r="EF43" s="134"/>
      <c r="EG43" s="134"/>
      <c r="EH43" s="138"/>
      <c r="EI43" s="134"/>
      <c r="EJ43" s="134"/>
      <c r="EK43" s="134"/>
      <c r="EL43" s="301"/>
      <c r="EM43" s="301"/>
      <c r="EN43" s="277"/>
      <c r="EO43" s="134"/>
      <c r="EP43" s="134"/>
      <c r="EQ43" s="134"/>
      <c r="ER43" s="134"/>
      <c r="ES43" s="134"/>
      <c r="ET43" s="134"/>
      <c r="EU43" s="134"/>
      <c r="EV43" s="134"/>
      <c r="EW43" s="301"/>
      <c r="EX43" s="301"/>
      <c r="EY43" s="134"/>
      <c r="EZ43" s="134"/>
      <c r="FA43" s="134"/>
      <c r="FB43" s="134"/>
      <c r="FC43" s="134"/>
      <c r="FD43" s="134"/>
      <c r="FE43" s="134"/>
      <c r="FF43" s="134"/>
      <c r="FG43" s="135"/>
      <c r="FH43" s="135"/>
      <c r="FI43" s="134"/>
      <c r="FJ43" s="134"/>
      <c r="FK43" s="134"/>
      <c r="FL43" s="134"/>
      <c r="FM43" s="134"/>
      <c r="FN43" s="134"/>
      <c r="FO43" s="134"/>
      <c r="FP43" s="134"/>
      <c r="FQ43" s="135"/>
      <c r="FR43" s="135"/>
      <c r="FS43" s="134"/>
      <c r="FT43" s="134"/>
      <c r="FU43" s="134"/>
      <c r="FV43" s="134"/>
      <c r="FW43" s="134"/>
      <c r="FX43" s="134"/>
      <c r="FY43" s="134"/>
      <c r="FZ43" s="134"/>
      <c r="GA43" s="135"/>
      <c r="GB43" s="135"/>
      <c r="GC43" s="134"/>
      <c r="GD43" s="134"/>
      <c r="GE43" s="134"/>
      <c r="GF43" s="134"/>
      <c r="GG43" s="134"/>
      <c r="GH43" s="134"/>
      <c r="GI43" s="134"/>
      <c r="GJ43" s="134"/>
      <c r="GK43" s="135"/>
      <c r="GL43" s="135"/>
      <c r="GM43" s="134"/>
      <c r="GN43" s="134"/>
      <c r="GO43" s="134"/>
      <c r="GP43" s="134"/>
      <c r="GQ43" s="134"/>
      <c r="GR43" s="134"/>
      <c r="GS43" s="134"/>
      <c r="GT43" s="134"/>
      <c r="GU43" s="135"/>
      <c r="GV43" s="135"/>
      <c r="GW43" s="134"/>
      <c r="GX43" s="134"/>
      <c r="GY43" s="134"/>
      <c r="GZ43" s="134"/>
      <c r="HA43" s="134"/>
      <c r="HB43" s="134"/>
      <c r="HC43" s="134"/>
      <c r="HD43" s="134"/>
      <c r="HE43" s="135"/>
      <c r="HF43" s="135"/>
      <c r="HG43" s="134"/>
      <c r="HH43" s="134"/>
      <c r="HI43" s="134"/>
      <c r="HJ43" s="134"/>
      <c r="HK43" s="134"/>
      <c r="HL43" s="134"/>
      <c r="HM43" s="134"/>
      <c r="HN43" s="134"/>
      <c r="HO43" s="135"/>
      <c r="HP43" s="135"/>
      <c r="HQ43" s="134"/>
      <c r="HR43" s="134"/>
      <c r="HS43" s="134"/>
      <c r="HT43" s="134"/>
      <c r="HU43" s="134"/>
      <c r="HV43" s="134"/>
      <c r="HW43" s="134"/>
      <c r="HX43" s="134"/>
      <c r="HY43" s="135"/>
      <c r="HZ43" s="135"/>
      <c r="IA43" s="134"/>
      <c r="IB43" s="134"/>
      <c r="IC43" s="134"/>
      <c r="ID43" s="134"/>
      <c r="IE43" s="134"/>
      <c r="IF43" s="134"/>
      <c r="IG43" s="134"/>
      <c r="IH43" s="134"/>
      <c r="II43" s="135"/>
      <c r="IJ43" s="135"/>
      <c r="IK43" s="134"/>
      <c r="IL43" s="134"/>
      <c r="IM43" s="134"/>
      <c r="IN43" s="134"/>
      <c r="IO43" s="134"/>
      <c r="IP43" s="134"/>
      <c r="IQ43" s="134"/>
      <c r="IR43" s="134"/>
      <c r="IS43" s="135"/>
      <c r="IT43" s="135"/>
      <c r="IU43" s="134"/>
      <c r="IV43" s="134"/>
      <c r="IW43" s="134"/>
      <c r="IX43" s="134"/>
      <c r="IY43" s="134"/>
      <c r="IZ43" s="134"/>
      <c r="JA43" s="134"/>
      <c r="JB43" s="134"/>
      <c r="JC43" s="135"/>
      <c r="JD43" s="135"/>
    </row>
    <row r="44" spans="1:264" s="119" customFormat="1" ht="15" customHeight="1">
      <c r="A44" s="79" t="s">
        <v>249</v>
      </c>
      <c r="B44" s="362">
        <v>180</v>
      </c>
      <c r="C44" s="362"/>
      <c r="D44" s="362">
        <v>66</v>
      </c>
      <c r="E44" s="604" t="s">
        <v>1998</v>
      </c>
      <c r="F44" s="124" t="s">
        <v>2229</v>
      </c>
      <c r="G44" s="125">
        <v>2013</v>
      </c>
      <c r="H44" s="79">
        <v>23148782</v>
      </c>
      <c r="I44" s="79">
        <v>1</v>
      </c>
      <c r="J44" s="126"/>
      <c r="K44" s="127"/>
      <c r="L44" s="79">
        <v>1</v>
      </c>
      <c r="M44" s="79"/>
      <c r="N44" s="79">
        <v>1</v>
      </c>
      <c r="O44" s="128">
        <v>1</v>
      </c>
      <c r="P44" s="79" t="s">
        <v>676</v>
      </c>
      <c r="Q44" s="79" t="s">
        <v>1157</v>
      </c>
      <c r="R44" s="79" t="s">
        <v>591</v>
      </c>
      <c r="S44" s="79">
        <v>1</v>
      </c>
      <c r="T44" s="79"/>
      <c r="U44" s="79"/>
      <c r="V44" s="79"/>
      <c r="W44" s="79" t="s">
        <v>677</v>
      </c>
      <c r="X44" s="79"/>
      <c r="Y44" s="79"/>
      <c r="Z44" s="79"/>
      <c r="AA44" s="79"/>
      <c r="AB44" s="79"/>
      <c r="AC44" s="506" t="s">
        <v>6254</v>
      </c>
      <c r="AD44" s="573">
        <v>1</v>
      </c>
      <c r="AE44" s="573">
        <v>0</v>
      </c>
      <c r="AF44" s="154"/>
      <c r="AG44" s="155"/>
      <c r="AH44" s="121">
        <v>2</v>
      </c>
      <c r="AI44" s="484"/>
      <c r="AJ44" s="202"/>
      <c r="AK44" s="192"/>
      <c r="AL44" s="203"/>
      <c r="AM44" s="121"/>
      <c r="AN44" s="121"/>
      <c r="AO44" s="121"/>
      <c r="AP44" s="121"/>
      <c r="AQ44" s="121"/>
      <c r="AR44" s="121"/>
      <c r="AS44" s="121"/>
      <c r="AT44" s="121"/>
      <c r="AU44" s="121"/>
      <c r="AV44" s="121"/>
      <c r="AW44" s="121"/>
      <c r="AX44" s="121"/>
      <c r="AY44" s="121"/>
      <c r="AZ44" s="121"/>
      <c r="BA44" s="121"/>
      <c r="BB44" s="594"/>
      <c r="BC44" s="594"/>
      <c r="BD44" s="156"/>
      <c r="BE44" s="156"/>
      <c r="BF44" s="156" t="s">
        <v>5207</v>
      </c>
      <c r="BG44" s="156"/>
      <c r="BH44" s="156"/>
      <c r="BI44" s="156"/>
      <c r="BJ44" s="156"/>
      <c r="BK44" s="156"/>
      <c r="BL44" s="156"/>
      <c r="BM44" s="156"/>
      <c r="BN44" s="156"/>
      <c r="BO44" s="156"/>
      <c r="BP44" s="156"/>
      <c r="BQ44" s="595"/>
      <c r="BR44" s="157"/>
      <c r="BS44" s="660"/>
      <c r="BT44" s="134"/>
      <c r="BU44" s="134"/>
      <c r="BV44" s="134"/>
      <c r="BW44" s="134"/>
      <c r="BX44" s="134"/>
      <c r="BY44" s="134"/>
      <c r="BZ44" s="259"/>
      <c r="CA44" s="454"/>
      <c r="CB44" s="138"/>
      <c r="CC44" s="134"/>
      <c r="CD44" s="134"/>
      <c r="CE44" s="134"/>
      <c r="CF44" s="138"/>
      <c r="CG44" s="134"/>
      <c r="CH44" s="134"/>
      <c r="CI44" s="134"/>
      <c r="CJ44" s="288"/>
      <c r="CK44" s="289"/>
      <c r="CL44" s="138"/>
      <c r="CM44" s="134"/>
      <c r="CN44" s="134"/>
      <c r="CO44" s="134"/>
      <c r="CP44" s="138"/>
      <c r="CQ44" s="134"/>
      <c r="CR44" s="134"/>
      <c r="CS44" s="134"/>
      <c r="CT44" s="288"/>
      <c r="CU44" s="289"/>
      <c r="CV44" s="276"/>
      <c r="CW44" s="308"/>
      <c r="CX44" s="138"/>
      <c r="CY44" s="134"/>
      <c r="CZ44" s="134"/>
      <c r="DA44" s="134"/>
      <c r="DB44" s="134"/>
      <c r="DC44" s="134"/>
      <c r="DD44" s="134"/>
      <c r="DE44" s="134"/>
      <c r="DF44" s="300"/>
      <c r="DG44" s="301"/>
      <c r="DH44" s="134"/>
      <c r="DI44" s="134"/>
      <c r="DJ44" s="134"/>
      <c r="DK44" s="134"/>
      <c r="DL44" s="134"/>
      <c r="DM44" s="134"/>
      <c r="DN44" s="134"/>
      <c r="DO44" s="134"/>
      <c r="DP44" s="300"/>
      <c r="DQ44" s="301"/>
      <c r="DR44" s="276"/>
      <c r="DS44" s="277"/>
      <c r="DT44" s="134"/>
      <c r="DU44" s="134"/>
      <c r="DV44" s="134"/>
      <c r="DW44" s="134"/>
      <c r="DX44" s="138"/>
      <c r="DY44" s="134"/>
      <c r="DZ44" s="134"/>
      <c r="EA44" s="134"/>
      <c r="EB44" s="301"/>
      <c r="EC44" s="301"/>
      <c r="ED44" s="138"/>
      <c r="EE44" s="134"/>
      <c r="EF44" s="134"/>
      <c r="EG44" s="134"/>
      <c r="EH44" s="138"/>
      <c r="EI44" s="134"/>
      <c r="EJ44" s="134"/>
      <c r="EK44" s="134"/>
      <c r="EL44" s="301"/>
      <c r="EM44" s="301"/>
      <c r="EN44" s="277"/>
      <c r="EO44" s="134"/>
      <c r="EP44" s="134"/>
      <c r="EQ44" s="134"/>
      <c r="ER44" s="134"/>
      <c r="ES44" s="134"/>
      <c r="ET44" s="134"/>
      <c r="EU44" s="134"/>
      <c r="EV44" s="134"/>
      <c r="EW44" s="301"/>
      <c r="EX44" s="301"/>
      <c r="EY44" s="134"/>
      <c r="EZ44" s="134"/>
      <c r="FA44" s="134"/>
      <c r="FB44" s="134"/>
      <c r="FC44" s="134"/>
      <c r="FD44" s="134"/>
      <c r="FE44" s="134"/>
      <c r="FF44" s="134"/>
      <c r="FG44" s="135"/>
      <c r="FH44" s="135"/>
      <c r="FI44" s="134"/>
      <c r="FJ44" s="134"/>
      <c r="FK44" s="134"/>
      <c r="FL44" s="134"/>
      <c r="FM44" s="134"/>
      <c r="FN44" s="134"/>
      <c r="FO44" s="134"/>
      <c r="FP44" s="134"/>
      <c r="FQ44" s="135"/>
      <c r="FR44" s="135"/>
      <c r="FS44" s="134"/>
      <c r="FT44" s="134"/>
      <c r="FU44" s="134"/>
      <c r="FV44" s="134"/>
      <c r="FW44" s="134"/>
      <c r="FX44" s="134"/>
      <c r="FY44" s="134"/>
      <c r="FZ44" s="134"/>
      <c r="GA44" s="135"/>
      <c r="GB44" s="135"/>
      <c r="GC44" s="134"/>
      <c r="GD44" s="134"/>
      <c r="GE44" s="134"/>
      <c r="GF44" s="134"/>
      <c r="GG44" s="134"/>
      <c r="GH44" s="134"/>
      <c r="GI44" s="134"/>
      <c r="GJ44" s="134"/>
      <c r="GK44" s="135"/>
      <c r="GL44" s="135"/>
      <c r="GM44" s="134"/>
      <c r="GN44" s="134"/>
      <c r="GO44" s="134"/>
      <c r="GP44" s="134"/>
      <c r="GQ44" s="134"/>
      <c r="GR44" s="134"/>
      <c r="GS44" s="134"/>
      <c r="GT44" s="134"/>
      <c r="GU44" s="135"/>
      <c r="GV44" s="135"/>
      <c r="GW44" s="134"/>
      <c r="GX44" s="134"/>
      <c r="GY44" s="134"/>
      <c r="GZ44" s="134"/>
      <c r="HA44" s="134"/>
      <c r="HB44" s="134"/>
      <c r="HC44" s="134"/>
      <c r="HD44" s="134"/>
      <c r="HE44" s="135"/>
      <c r="HF44" s="135"/>
      <c r="HG44" s="134"/>
      <c r="HH44" s="134"/>
      <c r="HI44" s="134"/>
      <c r="HJ44" s="134"/>
      <c r="HK44" s="134"/>
      <c r="HL44" s="134"/>
      <c r="HM44" s="134"/>
      <c r="HN44" s="134"/>
      <c r="HO44" s="135"/>
      <c r="HP44" s="135"/>
      <c r="HQ44" s="134"/>
      <c r="HR44" s="134"/>
      <c r="HS44" s="134"/>
      <c r="HT44" s="134"/>
      <c r="HU44" s="134"/>
      <c r="HV44" s="134"/>
      <c r="HW44" s="134"/>
      <c r="HX44" s="134"/>
      <c r="HY44" s="135"/>
      <c r="HZ44" s="135"/>
      <c r="IA44" s="134"/>
      <c r="IB44" s="134"/>
      <c r="IC44" s="134"/>
      <c r="ID44" s="134"/>
      <c r="IE44" s="134"/>
      <c r="IF44" s="134"/>
      <c r="IG44" s="134"/>
      <c r="IH44" s="134"/>
      <c r="II44" s="135"/>
      <c r="IJ44" s="135"/>
      <c r="IK44" s="134"/>
      <c r="IL44" s="134"/>
      <c r="IM44" s="134"/>
      <c r="IN44" s="134"/>
      <c r="IO44" s="134"/>
      <c r="IP44" s="134"/>
      <c r="IQ44" s="134"/>
      <c r="IR44" s="134"/>
      <c r="IS44" s="135"/>
      <c r="IT44" s="135"/>
      <c r="IU44" s="134"/>
      <c r="IV44" s="134"/>
      <c r="IW44" s="134"/>
      <c r="IX44" s="134"/>
      <c r="IY44" s="134"/>
      <c r="IZ44" s="134"/>
      <c r="JA44" s="134"/>
      <c r="JB44" s="134"/>
      <c r="JC44" s="135"/>
      <c r="JD44" s="135"/>
    </row>
    <row r="45" spans="1:264" s="119" customFormat="1" ht="15" customHeight="1">
      <c r="A45" s="79" t="s">
        <v>253</v>
      </c>
      <c r="B45" s="362">
        <v>182</v>
      </c>
      <c r="C45" s="362"/>
      <c r="D45" s="362">
        <v>67</v>
      </c>
      <c r="E45" s="604" t="s">
        <v>2000</v>
      </c>
      <c r="F45" s="124" t="s">
        <v>2231</v>
      </c>
      <c r="G45" s="125">
        <v>2014</v>
      </c>
      <c r="H45" s="79">
        <v>25093599</v>
      </c>
      <c r="I45" s="79">
        <v>1</v>
      </c>
      <c r="J45" s="126"/>
      <c r="K45" s="127"/>
      <c r="L45" s="79">
        <v>1</v>
      </c>
      <c r="M45" s="79"/>
      <c r="N45" s="79">
        <v>1</v>
      </c>
      <c r="O45" s="128">
        <v>1</v>
      </c>
      <c r="P45" s="79" t="s">
        <v>685</v>
      </c>
      <c r="Q45" s="79" t="s">
        <v>1166</v>
      </c>
      <c r="R45" s="79" t="s">
        <v>686</v>
      </c>
      <c r="S45" s="79">
        <v>1</v>
      </c>
      <c r="T45" s="79"/>
      <c r="U45" s="79"/>
      <c r="V45" s="79"/>
      <c r="W45" s="79" t="s">
        <v>687</v>
      </c>
      <c r="X45" s="79" t="s">
        <v>39</v>
      </c>
      <c r="Y45" s="79"/>
      <c r="Z45" s="79"/>
      <c r="AA45" s="79"/>
      <c r="AB45" s="79"/>
      <c r="AC45" s="506" t="s">
        <v>6255</v>
      </c>
      <c r="AD45" s="573">
        <v>1</v>
      </c>
      <c r="AE45" s="573">
        <v>0</v>
      </c>
      <c r="AF45" s="154"/>
      <c r="AG45" s="155"/>
      <c r="AH45" s="121"/>
      <c r="AI45" s="484"/>
      <c r="AJ45" s="202"/>
      <c r="AK45" s="192"/>
      <c r="AL45" s="203"/>
      <c r="AM45" s="121"/>
      <c r="AN45" s="121"/>
      <c r="AO45" s="121"/>
      <c r="AP45" s="121"/>
      <c r="AQ45" s="121"/>
      <c r="AR45" s="121"/>
      <c r="AS45" s="121"/>
      <c r="AT45" s="121"/>
      <c r="AU45" s="121"/>
      <c r="AV45" s="121"/>
      <c r="AW45" s="121"/>
      <c r="AX45" s="121"/>
      <c r="AY45" s="121"/>
      <c r="AZ45" s="121"/>
      <c r="BA45" s="121"/>
      <c r="BB45" s="594"/>
      <c r="BC45" s="594"/>
      <c r="BD45" s="156"/>
      <c r="BE45" s="156"/>
      <c r="BF45" s="156" t="s">
        <v>5207</v>
      </c>
      <c r="BG45" s="156"/>
      <c r="BH45" s="156"/>
      <c r="BI45" s="156" t="s">
        <v>5207</v>
      </c>
      <c r="BJ45" s="156"/>
      <c r="BK45" s="156"/>
      <c r="BL45" s="156"/>
      <c r="BM45" s="156"/>
      <c r="BN45" s="156"/>
      <c r="BO45" s="156"/>
      <c r="BP45" s="156"/>
      <c r="BQ45" s="595"/>
      <c r="BR45" s="157"/>
      <c r="BS45" s="660"/>
      <c r="BT45" s="134"/>
      <c r="BU45" s="134"/>
      <c r="BV45" s="134"/>
      <c r="BW45" s="134"/>
      <c r="BX45" s="134"/>
      <c r="BY45" s="134"/>
      <c r="BZ45" s="259"/>
      <c r="CA45" s="454"/>
      <c r="CB45" s="138"/>
      <c r="CC45" s="134"/>
      <c r="CD45" s="134"/>
      <c r="CE45" s="134"/>
      <c r="CF45" s="138"/>
      <c r="CG45" s="134"/>
      <c r="CH45" s="134"/>
      <c r="CI45" s="134"/>
      <c r="CJ45" s="288"/>
      <c r="CK45" s="289"/>
      <c r="CL45" s="138"/>
      <c r="CM45" s="134"/>
      <c r="CN45" s="134"/>
      <c r="CO45" s="134"/>
      <c r="CP45" s="138"/>
      <c r="CQ45" s="134"/>
      <c r="CR45" s="134"/>
      <c r="CS45" s="134"/>
      <c r="CT45" s="288"/>
      <c r="CU45" s="289"/>
      <c r="CV45" s="276"/>
      <c r="CW45" s="308"/>
      <c r="CX45" s="138"/>
      <c r="CY45" s="134"/>
      <c r="CZ45" s="134"/>
      <c r="DA45" s="134"/>
      <c r="DB45" s="134"/>
      <c r="DC45" s="134"/>
      <c r="DD45" s="134"/>
      <c r="DE45" s="134"/>
      <c r="DF45" s="300"/>
      <c r="DG45" s="301"/>
      <c r="DH45" s="134"/>
      <c r="DI45" s="134"/>
      <c r="DJ45" s="134"/>
      <c r="DK45" s="134"/>
      <c r="DL45" s="134"/>
      <c r="DM45" s="134"/>
      <c r="DN45" s="134"/>
      <c r="DO45" s="134"/>
      <c r="DP45" s="300"/>
      <c r="DQ45" s="301"/>
      <c r="DR45" s="276"/>
      <c r="DS45" s="277"/>
      <c r="DT45" s="134"/>
      <c r="DU45" s="134"/>
      <c r="DV45" s="134"/>
      <c r="DW45" s="134"/>
      <c r="DX45" s="138"/>
      <c r="DY45" s="134"/>
      <c r="DZ45" s="134"/>
      <c r="EA45" s="134"/>
      <c r="EB45" s="301"/>
      <c r="EC45" s="301"/>
      <c r="ED45" s="138"/>
      <c r="EE45" s="134"/>
      <c r="EF45" s="134"/>
      <c r="EG45" s="134"/>
      <c r="EH45" s="138"/>
      <c r="EI45" s="134"/>
      <c r="EJ45" s="134"/>
      <c r="EK45" s="134"/>
      <c r="EL45" s="301"/>
      <c r="EM45" s="301"/>
      <c r="EN45" s="277"/>
      <c r="EO45" s="134"/>
      <c r="EP45" s="134"/>
      <c r="EQ45" s="134"/>
      <c r="ER45" s="134"/>
      <c r="ES45" s="134"/>
      <c r="ET45" s="134"/>
      <c r="EU45" s="134"/>
      <c r="EV45" s="134"/>
      <c r="EW45" s="301"/>
      <c r="EX45" s="301"/>
      <c r="EY45" s="134"/>
      <c r="EZ45" s="134"/>
      <c r="FA45" s="134"/>
      <c r="FB45" s="134"/>
      <c r="FC45" s="134"/>
      <c r="FD45" s="134"/>
      <c r="FE45" s="134"/>
      <c r="FF45" s="134"/>
      <c r="FG45" s="135"/>
      <c r="FH45" s="135"/>
      <c r="FI45" s="134"/>
      <c r="FJ45" s="134"/>
      <c r="FK45" s="134"/>
      <c r="FL45" s="134"/>
      <c r="FM45" s="134"/>
      <c r="FN45" s="134"/>
      <c r="FO45" s="134"/>
      <c r="FP45" s="134"/>
      <c r="FQ45" s="135"/>
      <c r="FR45" s="135"/>
      <c r="FS45" s="134"/>
      <c r="FT45" s="134"/>
      <c r="FU45" s="134"/>
      <c r="FV45" s="134"/>
      <c r="FW45" s="134"/>
      <c r="FX45" s="134"/>
      <c r="FY45" s="134"/>
      <c r="FZ45" s="134"/>
      <c r="GA45" s="135"/>
      <c r="GB45" s="135"/>
      <c r="GC45" s="134"/>
      <c r="GD45" s="134"/>
      <c r="GE45" s="134"/>
      <c r="GF45" s="134"/>
      <c r="GG45" s="134"/>
      <c r="GH45" s="134"/>
      <c r="GI45" s="134"/>
      <c r="GJ45" s="134"/>
      <c r="GK45" s="135"/>
      <c r="GL45" s="135"/>
      <c r="GM45" s="134"/>
      <c r="GN45" s="134"/>
      <c r="GO45" s="134"/>
      <c r="GP45" s="134"/>
      <c r="GQ45" s="134"/>
      <c r="GR45" s="134"/>
      <c r="GS45" s="134"/>
      <c r="GT45" s="134"/>
      <c r="GU45" s="135"/>
      <c r="GV45" s="135"/>
      <c r="GW45" s="134"/>
      <c r="GX45" s="134"/>
      <c r="GY45" s="134"/>
      <c r="GZ45" s="134"/>
      <c r="HA45" s="134"/>
      <c r="HB45" s="134"/>
      <c r="HC45" s="134"/>
      <c r="HD45" s="134"/>
      <c r="HE45" s="135"/>
      <c r="HF45" s="135"/>
      <c r="HG45" s="134"/>
      <c r="HH45" s="134"/>
      <c r="HI45" s="134"/>
      <c r="HJ45" s="134"/>
      <c r="HK45" s="134"/>
      <c r="HL45" s="134"/>
      <c r="HM45" s="134"/>
      <c r="HN45" s="134"/>
      <c r="HO45" s="135"/>
      <c r="HP45" s="135"/>
      <c r="HQ45" s="134"/>
      <c r="HR45" s="134"/>
      <c r="HS45" s="134"/>
      <c r="HT45" s="134"/>
      <c r="HU45" s="134"/>
      <c r="HV45" s="134"/>
      <c r="HW45" s="134"/>
      <c r="HX45" s="134"/>
      <c r="HY45" s="135"/>
      <c r="HZ45" s="135"/>
      <c r="IA45" s="134"/>
      <c r="IB45" s="134"/>
      <c r="IC45" s="134"/>
      <c r="ID45" s="134"/>
      <c r="IE45" s="134"/>
      <c r="IF45" s="134"/>
      <c r="IG45" s="134"/>
      <c r="IH45" s="134"/>
      <c r="II45" s="135"/>
      <c r="IJ45" s="135"/>
      <c r="IK45" s="134"/>
      <c r="IL45" s="134"/>
      <c r="IM45" s="134"/>
      <c r="IN45" s="134"/>
      <c r="IO45" s="134"/>
      <c r="IP45" s="134"/>
      <c r="IQ45" s="134"/>
      <c r="IR45" s="134"/>
      <c r="IS45" s="135"/>
      <c r="IT45" s="135"/>
      <c r="IU45" s="134"/>
      <c r="IV45" s="134"/>
      <c r="IW45" s="134"/>
      <c r="IX45" s="134"/>
      <c r="IY45" s="134"/>
      <c r="IZ45" s="134"/>
      <c r="JA45" s="134"/>
      <c r="JB45" s="134"/>
      <c r="JC45" s="135"/>
      <c r="JD45" s="135"/>
    </row>
    <row r="46" spans="1:264" s="119" customFormat="1" ht="15" customHeight="1">
      <c r="A46" s="79" t="s">
        <v>258</v>
      </c>
      <c r="B46" s="362">
        <v>189</v>
      </c>
      <c r="C46" s="362"/>
      <c r="D46" s="362">
        <v>70</v>
      </c>
      <c r="E46" s="604" t="s">
        <v>2001</v>
      </c>
      <c r="F46" s="124" t="s">
        <v>2232</v>
      </c>
      <c r="G46" s="125">
        <v>2010</v>
      </c>
      <c r="H46" s="79">
        <v>21093682</v>
      </c>
      <c r="I46" s="175" t="s">
        <v>6259</v>
      </c>
      <c r="J46" s="126" t="s">
        <v>1745</v>
      </c>
      <c r="K46" s="127" t="s">
        <v>1745</v>
      </c>
      <c r="L46" s="164">
        <v>1</v>
      </c>
      <c r="M46" s="79" t="s">
        <v>1748</v>
      </c>
      <c r="N46" s="79">
        <v>0</v>
      </c>
      <c r="O46" s="128">
        <v>1</v>
      </c>
      <c r="P46" s="79"/>
      <c r="Q46" s="79"/>
      <c r="R46" s="79" t="s">
        <v>693</v>
      </c>
      <c r="S46" s="79"/>
      <c r="T46" s="79"/>
      <c r="U46" s="79"/>
      <c r="V46" s="79"/>
      <c r="W46" s="79"/>
      <c r="X46" s="79"/>
      <c r="Y46" s="79"/>
      <c r="Z46" s="79"/>
      <c r="AA46" s="79"/>
      <c r="AB46" s="79" t="s">
        <v>516</v>
      </c>
      <c r="AC46" s="506" t="s">
        <v>6261</v>
      </c>
      <c r="AD46" s="573">
        <v>1</v>
      </c>
      <c r="AE46" s="573">
        <v>0</v>
      </c>
      <c r="AF46" s="165">
        <v>0</v>
      </c>
      <c r="AG46" s="166" t="s">
        <v>6260</v>
      </c>
      <c r="AH46" s="121"/>
      <c r="AI46" s="484"/>
      <c r="AJ46" s="202"/>
      <c r="AK46" s="192"/>
      <c r="AL46" s="203"/>
      <c r="AM46" s="121"/>
      <c r="AN46" s="121"/>
      <c r="AO46" s="121"/>
      <c r="AP46" s="121"/>
      <c r="AQ46" s="121"/>
      <c r="AR46" s="121"/>
      <c r="AS46" s="121"/>
      <c r="AT46" s="121"/>
      <c r="AU46" s="121"/>
      <c r="AV46" s="121"/>
      <c r="AW46" s="121"/>
      <c r="AX46" s="121"/>
      <c r="AY46" s="121"/>
      <c r="AZ46" s="121"/>
      <c r="BA46" s="121"/>
      <c r="BB46" s="594"/>
      <c r="BC46" s="594"/>
      <c r="BD46" s="156"/>
      <c r="BE46" s="156"/>
      <c r="BF46" s="156"/>
      <c r="BG46" s="156"/>
      <c r="BH46" s="156"/>
      <c r="BI46" s="156" t="s">
        <v>5207</v>
      </c>
      <c r="BJ46" s="156"/>
      <c r="BK46" s="156"/>
      <c r="BL46" s="156"/>
      <c r="BM46" s="156"/>
      <c r="BN46" s="156"/>
      <c r="BO46" s="156"/>
      <c r="BP46" s="156"/>
      <c r="BQ46" s="595"/>
      <c r="BR46" s="157"/>
      <c r="BS46" s="660"/>
      <c r="BT46" s="134"/>
      <c r="BU46" s="134"/>
      <c r="BV46" s="134"/>
      <c r="BW46" s="134"/>
      <c r="BX46" s="134"/>
      <c r="BY46" s="134"/>
      <c r="BZ46" s="259"/>
      <c r="CA46" s="454"/>
      <c r="CB46" s="138"/>
      <c r="CC46" s="134"/>
      <c r="CD46" s="134"/>
      <c r="CE46" s="134"/>
      <c r="CF46" s="138"/>
      <c r="CG46" s="134"/>
      <c r="CH46" s="134"/>
      <c r="CI46" s="134"/>
      <c r="CJ46" s="288"/>
      <c r="CK46" s="289"/>
      <c r="CL46" s="138"/>
      <c r="CM46" s="134"/>
      <c r="CN46" s="134"/>
      <c r="CO46" s="134"/>
      <c r="CP46" s="138"/>
      <c r="CQ46" s="134"/>
      <c r="CR46" s="134"/>
      <c r="CS46" s="134"/>
      <c r="CT46" s="288"/>
      <c r="CU46" s="289"/>
      <c r="CV46" s="276"/>
      <c r="CW46" s="308"/>
      <c r="CX46" s="138"/>
      <c r="CY46" s="134"/>
      <c r="CZ46" s="134"/>
      <c r="DA46" s="134"/>
      <c r="DB46" s="134"/>
      <c r="DC46" s="134"/>
      <c r="DD46" s="134"/>
      <c r="DE46" s="134"/>
      <c r="DF46" s="300"/>
      <c r="DG46" s="301"/>
      <c r="DH46" s="134"/>
      <c r="DI46" s="134"/>
      <c r="DJ46" s="134"/>
      <c r="DK46" s="134"/>
      <c r="DL46" s="134"/>
      <c r="DM46" s="134"/>
      <c r="DN46" s="134"/>
      <c r="DO46" s="134"/>
      <c r="DP46" s="300"/>
      <c r="DQ46" s="301"/>
      <c r="DR46" s="276"/>
      <c r="DS46" s="277"/>
      <c r="DT46" s="134"/>
      <c r="DU46" s="134"/>
      <c r="DV46" s="134"/>
      <c r="DW46" s="134"/>
      <c r="DX46" s="138"/>
      <c r="DY46" s="134"/>
      <c r="DZ46" s="134"/>
      <c r="EA46" s="134"/>
      <c r="EB46" s="301"/>
      <c r="EC46" s="301"/>
      <c r="ED46" s="138"/>
      <c r="EE46" s="134"/>
      <c r="EF46" s="134"/>
      <c r="EG46" s="134"/>
      <c r="EH46" s="138"/>
      <c r="EI46" s="134"/>
      <c r="EJ46" s="134"/>
      <c r="EK46" s="134"/>
      <c r="EL46" s="301"/>
      <c r="EM46" s="301"/>
      <c r="EN46" s="277"/>
      <c r="EO46" s="134"/>
      <c r="EP46" s="134"/>
      <c r="EQ46" s="134"/>
      <c r="ER46" s="134"/>
      <c r="ES46" s="134"/>
      <c r="ET46" s="134"/>
      <c r="EU46" s="134"/>
      <c r="EV46" s="134"/>
      <c r="EW46" s="301"/>
      <c r="EX46" s="301"/>
      <c r="EY46" s="134"/>
      <c r="EZ46" s="134"/>
      <c r="FA46" s="134"/>
      <c r="FB46" s="134"/>
      <c r="FC46" s="134"/>
      <c r="FD46" s="134"/>
      <c r="FE46" s="134"/>
      <c r="FF46" s="134"/>
      <c r="FG46" s="135"/>
      <c r="FH46" s="135"/>
      <c r="FI46" s="134"/>
      <c r="FJ46" s="134"/>
      <c r="FK46" s="134"/>
      <c r="FL46" s="134"/>
      <c r="FM46" s="134"/>
      <c r="FN46" s="134"/>
      <c r="FO46" s="134"/>
      <c r="FP46" s="134"/>
      <c r="FQ46" s="135"/>
      <c r="FR46" s="135"/>
      <c r="FS46" s="134"/>
      <c r="FT46" s="134"/>
      <c r="FU46" s="134"/>
      <c r="FV46" s="134"/>
      <c r="FW46" s="134"/>
      <c r="FX46" s="134"/>
      <c r="FY46" s="134"/>
      <c r="FZ46" s="134"/>
      <c r="GA46" s="135"/>
      <c r="GB46" s="135"/>
      <c r="GC46" s="134"/>
      <c r="GD46" s="134"/>
      <c r="GE46" s="134"/>
      <c r="GF46" s="134"/>
      <c r="GG46" s="134"/>
      <c r="GH46" s="134"/>
      <c r="GI46" s="134"/>
      <c r="GJ46" s="134"/>
      <c r="GK46" s="135"/>
      <c r="GL46" s="135"/>
      <c r="GM46" s="134"/>
      <c r="GN46" s="134"/>
      <c r="GO46" s="134"/>
      <c r="GP46" s="134"/>
      <c r="GQ46" s="134"/>
      <c r="GR46" s="134"/>
      <c r="GS46" s="134"/>
      <c r="GT46" s="134"/>
      <c r="GU46" s="135"/>
      <c r="GV46" s="135"/>
      <c r="GW46" s="134"/>
      <c r="GX46" s="134"/>
      <c r="GY46" s="134"/>
      <c r="GZ46" s="134"/>
      <c r="HA46" s="134"/>
      <c r="HB46" s="134"/>
      <c r="HC46" s="134"/>
      <c r="HD46" s="134"/>
      <c r="HE46" s="135"/>
      <c r="HF46" s="135"/>
      <c r="HG46" s="134"/>
      <c r="HH46" s="134"/>
      <c r="HI46" s="134"/>
      <c r="HJ46" s="134"/>
      <c r="HK46" s="134"/>
      <c r="HL46" s="134"/>
      <c r="HM46" s="134"/>
      <c r="HN46" s="134"/>
      <c r="HO46" s="135"/>
      <c r="HP46" s="135"/>
      <c r="HQ46" s="134"/>
      <c r="HR46" s="134"/>
      <c r="HS46" s="134"/>
      <c r="HT46" s="134"/>
      <c r="HU46" s="134"/>
      <c r="HV46" s="134"/>
      <c r="HW46" s="134"/>
      <c r="HX46" s="134"/>
      <c r="HY46" s="135"/>
      <c r="HZ46" s="135"/>
      <c r="IA46" s="134"/>
      <c r="IB46" s="134"/>
      <c r="IC46" s="134"/>
      <c r="ID46" s="134"/>
      <c r="IE46" s="134"/>
      <c r="IF46" s="134"/>
      <c r="IG46" s="134"/>
      <c r="IH46" s="134"/>
      <c r="II46" s="135"/>
      <c r="IJ46" s="135"/>
      <c r="IK46" s="134"/>
      <c r="IL46" s="134"/>
      <c r="IM46" s="134"/>
      <c r="IN46" s="134"/>
      <c r="IO46" s="134"/>
      <c r="IP46" s="134"/>
      <c r="IQ46" s="134"/>
      <c r="IR46" s="134"/>
      <c r="IS46" s="135"/>
      <c r="IT46" s="135"/>
      <c r="IU46" s="134"/>
      <c r="IV46" s="134"/>
      <c r="IW46" s="134"/>
      <c r="IX46" s="134"/>
      <c r="IY46" s="134"/>
      <c r="IZ46" s="134"/>
      <c r="JA46" s="134"/>
      <c r="JB46" s="134"/>
      <c r="JC46" s="135"/>
      <c r="JD46" s="135"/>
    </row>
    <row r="47" spans="1:264" customFormat="1" ht="15" customHeight="1">
      <c r="A47" s="79" t="s">
        <v>263</v>
      </c>
      <c r="B47" s="362">
        <v>192</v>
      </c>
      <c r="C47" s="362"/>
      <c r="D47" s="362">
        <v>72</v>
      </c>
      <c r="E47" s="604" t="s">
        <v>2003</v>
      </c>
      <c r="F47" s="124" t="s">
        <v>2234</v>
      </c>
      <c r="G47" s="125">
        <v>2013</v>
      </c>
      <c r="H47" s="79">
        <v>23684979</v>
      </c>
      <c r="I47" s="79">
        <v>1</v>
      </c>
      <c r="J47" s="126" t="s">
        <v>1780</v>
      </c>
      <c r="K47" s="127" t="s">
        <v>1762</v>
      </c>
      <c r="L47" s="79">
        <v>1</v>
      </c>
      <c r="M47" s="79" t="s">
        <v>1749</v>
      </c>
      <c r="N47" s="79">
        <v>1</v>
      </c>
      <c r="O47" s="128">
        <v>1</v>
      </c>
      <c r="P47" s="79" t="s">
        <v>703</v>
      </c>
      <c r="Q47" s="79" t="s">
        <v>1163</v>
      </c>
      <c r="R47" s="79" t="s">
        <v>25</v>
      </c>
      <c r="S47" s="79">
        <v>1</v>
      </c>
      <c r="T47" s="79"/>
      <c r="U47" s="79"/>
      <c r="V47" s="79"/>
      <c r="W47" s="79" t="s">
        <v>701</v>
      </c>
      <c r="X47" s="79" t="s">
        <v>702</v>
      </c>
      <c r="Y47" s="79"/>
      <c r="Z47" s="79"/>
      <c r="AA47" s="79"/>
      <c r="AB47" s="79"/>
      <c r="AC47" s="506" t="s">
        <v>6265</v>
      </c>
      <c r="AD47" s="573">
        <v>1</v>
      </c>
      <c r="AE47" s="573">
        <v>0</v>
      </c>
      <c r="AF47" s="154"/>
      <c r="AG47" s="155"/>
      <c r="AH47" s="121">
        <v>2</v>
      </c>
      <c r="AI47" s="484"/>
      <c r="AJ47" s="202"/>
      <c r="AK47" s="192"/>
      <c r="AL47" s="203"/>
      <c r="AM47" s="121"/>
      <c r="AN47" s="121"/>
      <c r="AO47" s="121"/>
      <c r="AP47" s="121"/>
      <c r="AQ47" s="121"/>
      <c r="AR47" s="121"/>
      <c r="AS47" s="121"/>
      <c r="AT47" s="121"/>
      <c r="AU47" s="121"/>
      <c r="AV47" s="121"/>
      <c r="AW47" s="121"/>
      <c r="AX47" s="121"/>
      <c r="AY47" s="121"/>
      <c r="AZ47" s="121"/>
      <c r="BA47" s="121"/>
      <c r="BB47" s="594" t="s">
        <v>1917</v>
      </c>
      <c r="BC47" s="594"/>
      <c r="BD47" s="156"/>
      <c r="BE47" s="156"/>
      <c r="BF47" s="156" t="s">
        <v>5207</v>
      </c>
      <c r="BG47" s="156" t="s">
        <v>6175</v>
      </c>
      <c r="BH47" s="156"/>
      <c r="BI47" s="156" t="s">
        <v>5207</v>
      </c>
      <c r="BJ47" s="156"/>
      <c r="BK47" s="156" t="s">
        <v>6266</v>
      </c>
      <c r="BL47" s="156"/>
      <c r="BM47" s="156"/>
      <c r="BN47" s="156"/>
      <c r="BO47" s="156"/>
      <c r="BP47" s="156"/>
      <c r="BQ47" s="595"/>
      <c r="BR47" s="157"/>
      <c r="BS47" s="660"/>
      <c r="BT47" s="134"/>
      <c r="BU47" s="134"/>
      <c r="BV47" s="134"/>
      <c r="BW47" s="134"/>
      <c r="BX47" s="134"/>
      <c r="BY47" s="134"/>
      <c r="BZ47" s="259"/>
      <c r="CA47" s="454"/>
      <c r="CB47" s="138"/>
      <c r="CC47" s="134"/>
      <c r="CD47" s="134"/>
      <c r="CE47" s="134"/>
      <c r="CF47" s="138"/>
      <c r="CG47" s="134"/>
      <c r="CH47" s="134"/>
      <c r="CI47" s="134"/>
      <c r="CJ47" s="288"/>
      <c r="CK47" s="289"/>
      <c r="CL47" s="138"/>
      <c r="CM47" s="134"/>
      <c r="CN47" s="134"/>
      <c r="CO47" s="134"/>
      <c r="CP47" s="138"/>
      <c r="CQ47" s="134"/>
      <c r="CR47" s="134"/>
      <c r="CS47" s="134"/>
      <c r="CT47" s="288"/>
      <c r="CU47" s="289"/>
      <c r="CV47" s="276"/>
      <c r="CW47" s="308"/>
      <c r="CX47" s="138"/>
      <c r="CY47" s="134"/>
      <c r="CZ47" s="134"/>
      <c r="DA47" s="134"/>
      <c r="DB47" s="134"/>
      <c r="DC47" s="134"/>
      <c r="DD47" s="134"/>
      <c r="DE47" s="134"/>
      <c r="DF47" s="300"/>
      <c r="DG47" s="301"/>
      <c r="DH47" s="134"/>
      <c r="DI47" s="134"/>
      <c r="DJ47" s="134"/>
      <c r="DK47" s="134"/>
      <c r="DL47" s="134"/>
      <c r="DM47" s="134"/>
      <c r="DN47" s="134"/>
      <c r="DO47" s="134"/>
      <c r="DP47" s="300"/>
      <c r="DQ47" s="301"/>
      <c r="DR47" s="276"/>
      <c r="DS47" s="277"/>
      <c r="DT47" s="134"/>
      <c r="DU47" s="134"/>
      <c r="DV47" s="134"/>
      <c r="DW47" s="134"/>
      <c r="DX47" s="138"/>
      <c r="DY47" s="134"/>
      <c r="DZ47" s="134"/>
      <c r="EA47" s="134"/>
      <c r="EB47" s="301"/>
      <c r="EC47" s="301"/>
      <c r="ED47" s="138"/>
      <c r="EE47" s="134"/>
      <c r="EF47" s="134"/>
      <c r="EG47" s="134"/>
      <c r="EH47" s="138"/>
      <c r="EI47" s="134"/>
      <c r="EJ47" s="134"/>
      <c r="EK47" s="134"/>
      <c r="EL47" s="301"/>
      <c r="EM47" s="301"/>
      <c r="EN47" s="277"/>
      <c r="EO47" s="134"/>
      <c r="EP47" s="134"/>
      <c r="EQ47" s="134"/>
      <c r="ER47" s="134"/>
      <c r="ES47" s="134"/>
      <c r="ET47" s="134"/>
      <c r="EU47" s="134"/>
      <c r="EV47" s="134"/>
      <c r="EW47" s="301"/>
      <c r="EX47" s="301"/>
      <c r="EY47" s="134"/>
      <c r="EZ47" s="134"/>
      <c r="FA47" s="134"/>
      <c r="FB47" s="134"/>
      <c r="FC47" s="134"/>
      <c r="FD47" s="134"/>
      <c r="FE47" s="134"/>
      <c r="FF47" s="134"/>
      <c r="FG47" s="135"/>
      <c r="FH47" s="135"/>
      <c r="FI47" s="134"/>
      <c r="FJ47" s="134"/>
      <c r="FK47" s="134"/>
      <c r="FL47" s="134"/>
      <c r="FM47" s="134"/>
      <c r="FN47" s="134"/>
      <c r="FO47" s="134"/>
      <c r="FP47" s="134"/>
      <c r="FQ47" s="135"/>
      <c r="FR47" s="135"/>
      <c r="FS47" s="134"/>
      <c r="FT47" s="134"/>
      <c r="FU47" s="134"/>
      <c r="FV47" s="134"/>
      <c r="FW47" s="134"/>
      <c r="FX47" s="134"/>
      <c r="FY47" s="134"/>
      <c r="FZ47" s="134"/>
      <c r="GA47" s="135"/>
      <c r="GB47" s="135"/>
      <c r="GC47" s="134"/>
      <c r="GD47" s="134"/>
      <c r="GE47" s="134"/>
      <c r="GF47" s="134"/>
      <c r="GG47" s="134"/>
      <c r="GH47" s="134"/>
      <c r="GI47" s="134"/>
      <c r="GJ47" s="134"/>
      <c r="GK47" s="135"/>
      <c r="GL47" s="135"/>
      <c r="GM47" s="134"/>
      <c r="GN47" s="134"/>
      <c r="GO47" s="134"/>
      <c r="GP47" s="134"/>
      <c r="GQ47" s="134"/>
      <c r="GR47" s="134"/>
      <c r="GS47" s="134"/>
      <c r="GT47" s="134"/>
      <c r="GU47" s="135"/>
      <c r="GV47" s="135"/>
      <c r="GW47" s="134"/>
      <c r="GX47" s="134"/>
      <c r="GY47" s="134"/>
      <c r="GZ47" s="134"/>
      <c r="HA47" s="134"/>
      <c r="HB47" s="134"/>
      <c r="HC47" s="134"/>
      <c r="HD47" s="134"/>
      <c r="HE47" s="135"/>
      <c r="HF47" s="135"/>
      <c r="HG47" s="134"/>
      <c r="HH47" s="134"/>
      <c r="HI47" s="134"/>
      <c r="HJ47" s="134"/>
      <c r="HK47" s="134"/>
      <c r="HL47" s="134"/>
      <c r="HM47" s="134"/>
      <c r="HN47" s="134"/>
      <c r="HO47" s="135"/>
      <c r="HP47" s="135"/>
      <c r="HQ47" s="134"/>
      <c r="HR47" s="134"/>
      <c r="HS47" s="134"/>
      <c r="HT47" s="134"/>
      <c r="HU47" s="134"/>
      <c r="HV47" s="134"/>
      <c r="HW47" s="134"/>
      <c r="HX47" s="134"/>
      <c r="HY47" s="135"/>
      <c r="HZ47" s="135"/>
      <c r="IA47" s="134"/>
      <c r="IB47" s="134"/>
      <c r="IC47" s="134"/>
      <c r="ID47" s="134"/>
      <c r="IE47" s="134"/>
      <c r="IF47" s="134"/>
      <c r="IG47" s="134"/>
      <c r="IH47" s="134"/>
      <c r="II47" s="135"/>
      <c r="IJ47" s="135"/>
      <c r="IK47" s="134"/>
      <c r="IL47" s="134"/>
      <c r="IM47" s="134"/>
      <c r="IN47" s="134"/>
      <c r="IO47" s="134"/>
      <c r="IP47" s="134"/>
      <c r="IQ47" s="134"/>
      <c r="IR47" s="134"/>
      <c r="IS47" s="135"/>
      <c r="IT47" s="135"/>
      <c r="IU47" s="134"/>
      <c r="IV47" s="134"/>
      <c r="IW47" s="134"/>
      <c r="IX47" s="134"/>
      <c r="IY47" s="134"/>
      <c r="IZ47" s="134"/>
      <c r="JA47" s="134"/>
      <c r="JB47" s="134"/>
      <c r="JC47" s="135"/>
      <c r="JD47" s="135"/>
    </row>
    <row r="48" spans="1:264" s="119" customFormat="1" ht="15" customHeight="1">
      <c r="A48" s="79" t="s">
        <v>271</v>
      </c>
      <c r="B48" s="362">
        <v>194</v>
      </c>
      <c r="C48" s="362"/>
      <c r="D48" s="362">
        <v>74</v>
      </c>
      <c r="E48" s="604" t="s">
        <v>2004</v>
      </c>
      <c r="F48" s="124" t="s">
        <v>2235</v>
      </c>
      <c r="G48" s="125">
        <v>2014</v>
      </c>
      <c r="H48" s="79">
        <v>24786361</v>
      </c>
      <c r="I48" s="79">
        <v>1</v>
      </c>
      <c r="J48" s="126" t="s">
        <v>1781</v>
      </c>
      <c r="K48" s="127" t="s">
        <v>1763</v>
      </c>
      <c r="L48" s="164">
        <v>1</v>
      </c>
      <c r="M48" s="79" t="s">
        <v>1750</v>
      </c>
      <c r="N48" s="164">
        <v>0</v>
      </c>
      <c r="O48" s="128">
        <v>1</v>
      </c>
      <c r="P48" s="79" t="s">
        <v>719</v>
      </c>
      <c r="Q48" s="79"/>
      <c r="R48" s="79" t="s">
        <v>25</v>
      </c>
      <c r="S48" s="79">
        <v>1</v>
      </c>
      <c r="T48" s="79"/>
      <c r="U48" s="79"/>
      <c r="V48" s="79"/>
      <c r="W48" s="79"/>
      <c r="X48" s="79"/>
      <c r="Y48" s="79" t="s">
        <v>717</v>
      </c>
      <c r="Z48" s="79"/>
      <c r="AA48" s="79"/>
      <c r="AB48" s="79" t="s">
        <v>718</v>
      </c>
      <c r="AC48" s="506" t="s">
        <v>6269</v>
      </c>
      <c r="AD48" s="573">
        <v>1</v>
      </c>
      <c r="AE48" s="573">
        <v>0</v>
      </c>
      <c r="AF48" s="165" t="s">
        <v>3003</v>
      </c>
      <c r="AG48" s="166" t="s">
        <v>6271</v>
      </c>
      <c r="AH48" s="121">
        <v>2</v>
      </c>
      <c r="AI48" s="484"/>
      <c r="AJ48" s="202"/>
      <c r="AK48" s="192"/>
      <c r="AL48" s="203"/>
      <c r="AM48" s="121"/>
      <c r="AN48" s="121"/>
      <c r="AO48" s="121"/>
      <c r="AP48" s="121"/>
      <c r="AQ48" s="121"/>
      <c r="AR48" s="121"/>
      <c r="AS48" s="121"/>
      <c r="AT48" s="121"/>
      <c r="AU48" s="121"/>
      <c r="AV48" s="121"/>
      <c r="AW48" s="121"/>
      <c r="AX48" s="121"/>
      <c r="AY48" s="121"/>
      <c r="AZ48" s="121"/>
      <c r="BA48" s="121"/>
      <c r="BB48" s="594" t="s">
        <v>1917</v>
      </c>
      <c r="BC48" s="594"/>
      <c r="BD48" s="156"/>
      <c r="BE48" s="156"/>
      <c r="BF48" s="156"/>
      <c r="BG48" s="156"/>
      <c r="BH48" s="156"/>
      <c r="BI48" s="156"/>
      <c r="BJ48" s="156"/>
      <c r="BK48" s="156"/>
      <c r="BL48" s="156"/>
      <c r="BM48" s="156"/>
      <c r="BN48" s="156"/>
      <c r="BO48" s="156"/>
      <c r="BP48" s="156" t="s">
        <v>6270</v>
      </c>
      <c r="BQ48" s="595"/>
      <c r="BR48" s="157"/>
      <c r="BS48" s="660"/>
      <c r="BT48" s="134"/>
      <c r="BU48" s="134"/>
      <c r="BV48" s="134"/>
      <c r="BW48" s="134"/>
      <c r="BX48" s="134"/>
      <c r="BY48" s="134"/>
      <c r="BZ48" s="259"/>
      <c r="CA48" s="454"/>
      <c r="CB48" s="138"/>
      <c r="CC48" s="134"/>
      <c r="CD48" s="134"/>
      <c r="CE48" s="134"/>
      <c r="CF48" s="138"/>
      <c r="CG48" s="134"/>
      <c r="CH48" s="134"/>
      <c r="CI48" s="134"/>
      <c r="CJ48" s="288"/>
      <c r="CK48" s="289"/>
      <c r="CL48" s="138"/>
      <c r="CM48" s="190"/>
      <c r="CN48" s="134"/>
      <c r="CO48" s="190"/>
      <c r="CP48" s="138"/>
      <c r="CQ48" s="134"/>
      <c r="CR48" s="134"/>
      <c r="CS48" s="134"/>
      <c r="CT48" s="288"/>
      <c r="CU48" s="289"/>
      <c r="CV48" s="276"/>
      <c r="CW48" s="308"/>
      <c r="CX48" s="138"/>
      <c r="CY48" s="134"/>
      <c r="CZ48" s="134"/>
      <c r="DA48" s="134"/>
      <c r="DB48" s="134"/>
      <c r="DC48" s="134"/>
      <c r="DD48" s="134"/>
      <c r="DE48" s="134"/>
      <c r="DF48" s="300"/>
      <c r="DG48" s="301"/>
      <c r="DH48" s="134"/>
      <c r="DI48" s="134"/>
      <c r="DJ48" s="134"/>
      <c r="DK48" s="134"/>
      <c r="DL48" s="134"/>
      <c r="DM48" s="134"/>
      <c r="DN48" s="134"/>
      <c r="DO48" s="134"/>
      <c r="DP48" s="300"/>
      <c r="DQ48" s="301"/>
      <c r="DR48" s="276"/>
      <c r="DS48" s="277"/>
      <c r="DT48" s="134"/>
      <c r="DU48" s="134"/>
      <c r="DV48" s="134"/>
      <c r="DW48" s="134"/>
      <c r="DX48" s="138"/>
      <c r="DY48" s="134"/>
      <c r="DZ48" s="134"/>
      <c r="EA48" s="134"/>
      <c r="EB48" s="301"/>
      <c r="EC48" s="301"/>
      <c r="ED48" s="138"/>
      <c r="EE48" s="134"/>
      <c r="EF48" s="134"/>
      <c r="EG48" s="134"/>
      <c r="EH48" s="138"/>
      <c r="EI48" s="134"/>
      <c r="EJ48" s="134"/>
      <c r="EK48" s="134"/>
      <c r="EL48" s="301"/>
      <c r="EM48" s="301"/>
      <c r="EN48" s="277"/>
      <c r="EO48" s="134"/>
      <c r="EP48" s="134"/>
      <c r="EQ48" s="134"/>
      <c r="ER48" s="134"/>
      <c r="ES48" s="134"/>
      <c r="ET48" s="134"/>
      <c r="EU48" s="134"/>
      <c r="EV48" s="134"/>
      <c r="EW48" s="301"/>
      <c r="EX48" s="301"/>
      <c r="EY48" s="134"/>
      <c r="EZ48" s="134"/>
      <c r="FA48" s="134"/>
      <c r="FB48" s="134"/>
      <c r="FC48" s="134"/>
      <c r="FD48" s="134"/>
      <c r="FE48" s="134"/>
      <c r="FF48" s="134"/>
      <c r="FG48" s="135"/>
      <c r="FH48" s="135"/>
      <c r="FI48" s="134"/>
      <c r="FJ48" s="134"/>
      <c r="FK48" s="134"/>
      <c r="FL48" s="134"/>
      <c r="FM48" s="134"/>
      <c r="FN48" s="134"/>
      <c r="FO48" s="134"/>
      <c r="FP48" s="134"/>
      <c r="FQ48" s="135"/>
      <c r="FR48" s="135"/>
      <c r="FS48" s="134"/>
      <c r="FT48" s="134"/>
      <c r="FU48" s="134"/>
      <c r="FV48" s="134"/>
      <c r="FW48" s="134"/>
      <c r="FX48" s="134"/>
      <c r="FY48" s="134"/>
      <c r="FZ48" s="134"/>
      <c r="GA48" s="135"/>
      <c r="GB48" s="135"/>
      <c r="GC48" s="134"/>
      <c r="GD48" s="134"/>
      <c r="GE48" s="134"/>
      <c r="GF48" s="134"/>
      <c r="GG48" s="134"/>
      <c r="GH48" s="134"/>
      <c r="GI48" s="134"/>
      <c r="GJ48" s="134"/>
      <c r="GK48" s="135"/>
      <c r="GL48" s="135"/>
      <c r="GM48" s="134"/>
      <c r="GN48" s="134"/>
      <c r="GO48" s="134"/>
      <c r="GP48" s="134"/>
      <c r="GQ48" s="134"/>
      <c r="GR48" s="134"/>
      <c r="GS48" s="134"/>
      <c r="GT48" s="134"/>
      <c r="GU48" s="135"/>
      <c r="GV48" s="135"/>
      <c r="GW48" s="134"/>
      <c r="GX48" s="134"/>
      <c r="GY48" s="134"/>
      <c r="GZ48" s="134"/>
      <c r="HA48" s="134"/>
      <c r="HB48" s="134"/>
      <c r="HC48" s="134"/>
      <c r="HD48" s="134"/>
      <c r="HE48" s="135"/>
      <c r="HF48" s="135"/>
      <c r="HG48" s="134"/>
      <c r="HH48" s="134"/>
      <c r="HI48" s="134"/>
      <c r="HJ48" s="134"/>
      <c r="HK48" s="134"/>
      <c r="HL48" s="134"/>
      <c r="HM48" s="134"/>
      <c r="HN48" s="134"/>
      <c r="HO48" s="135"/>
      <c r="HP48" s="135"/>
      <c r="HQ48" s="134"/>
      <c r="HR48" s="134"/>
      <c r="HS48" s="134"/>
      <c r="HT48" s="134"/>
      <c r="HU48" s="134"/>
      <c r="HV48" s="134"/>
      <c r="HW48" s="134"/>
      <c r="HX48" s="134"/>
      <c r="HY48" s="135"/>
      <c r="HZ48" s="135"/>
      <c r="IA48" s="134"/>
      <c r="IB48" s="134"/>
      <c r="IC48" s="134"/>
      <c r="ID48" s="134"/>
      <c r="IE48" s="134"/>
      <c r="IF48" s="134"/>
      <c r="IG48" s="134"/>
      <c r="IH48" s="134"/>
      <c r="II48" s="135"/>
      <c r="IJ48" s="135"/>
      <c r="IK48" s="134"/>
      <c r="IL48" s="134"/>
      <c r="IM48" s="134"/>
      <c r="IN48" s="134"/>
      <c r="IO48" s="134"/>
      <c r="IP48" s="134"/>
      <c r="IQ48" s="134"/>
      <c r="IR48" s="134"/>
      <c r="IS48" s="135"/>
      <c r="IT48" s="135"/>
      <c r="IU48" s="134"/>
      <c r="IV48" s="134"/>
      <c r="IW48" s="134"/>
      <c r="IX48" s="134"/>
      <c r="IY48" s="134"/>
      <c r="IZ48" s="134"/>
      <c r="JA48" s="134"/>
      <c r="JB48" s="134"/>
      <c r="JC48" s="135"/>
      <c r="JD48" s="135"/>
    </row>
    <row r="49" spans="1:264" s="119" customFormat="1" ht="15" customHeight="1">
      <c r="A49" s="79" t="s">
        <v>986</v>
      </c>
      <c r="B49" s="362">
        <v>196</v>
      </c>
      <c r="C49" s="362"/>
      <c r="D49" s="362">
        <v>75</v>
      </c>
      <c r="E49" s="604" t="s">
        <v>2112</v>
      </c>
      <c r="F49" s="124" t="s">
        <v>2371</v>
      </c>
      <c r="G49" s="125">
        <v>2012</v>
      </c>
      <c r="H49" s="79">
        <v>22842072</v>
      </c>
      <c r="I49" s="79">
        <v>1</v>
      </c>
      <c r="J49" s="126">
        <v>1</v>
      </c>
      <c r="K49" s="127"/>
      <c r="L49" s="79">
        <v>1</v>
      </c>
      <c r="M49" s="79"/>
      <c r="N49" s="79">
        <v>1</v>
      </c>
      <c r="O49" s="128">
        <v>2</v>
      </c>
      <c r="P49" s="79" t="s">
        <v>1529</v>
      </c>
      <c r="Q49" s="79" t="s">
        <v>1417</v>
      </c>
      <c r="R49" s="79" t="s">
        <v>1130</v>
      </c>
      <c r="S49" s="79"/>
      <c r="T49" s="79" t="s">
        <v>1530</v>
      </c>
      <c r="U49" s="79" t="s">
        <v>803</v>
      </c>
      <c r="V49" s="79"/>
      <c r="W49" s="79" t="s">
        <v>1531</v>
      </c>
      <c r="X49" s="79"/>
      <c r="Y49" s="79" t="s">
        <v>1532</v>
      </c>
      <c r="Z49" s="79"/>
      <c r="AA49" s="79"/>
      <c r="AB49" s="79"/>
      <c r="AC49" s="506" t="s">
        <v>6272</v>
      </c>
      <c r="AD49" s="573">
        <v>1</v>
      </c>
      <c r="AE49" s="573">
        <v>0</v>
      </c>
      <c r="AF49" s="165">
        <v>0</v>
      </c>
      <c r="AG49" s="166" t="s">
        <v>6273</v>
      </c>
      <c r="AH49" s="121">
        <v>4</v>
      </c>
      <c r="AI49" s="484"/>
      <c r="AJ49" s="202"/>
      <c r="AK49" s="192"/>
      <c r="AL49" s="203"/>
      <c r="AM49" s="121"/>
      <c r="AN49" s="121"/>
      <c r="AO49" s="121"/>
      <c r="AP49" s="121"/>
      <c r="AQ49" s="121"/>
      <c r="AR49" s="121"/>
      <c r="AS49" s="121"/>
      <c r="AT49" s="121"/>
      <c r="AU49" s="121"/>
      <c r="AV49" s="121"/>
      <c r="AW49" s="121"/>
      <c r="AX49" s="121"/>
      <c r="AY49" s="121"/>
      <c r="AZ49" s="121"/>
      <c r="BA49" s="121"/>
      <c r="BB49" s="594" t="s">
        <v>5207</v>
      </c>
      <c r="BC49" s="594"/>
      <c r="BD49" s="156"/>
      <c r="BE49" s="156"/>
      <c r="BF49" s="156"/>
      <c r="BG49" s="156"/>
      <c r="BH49" s="156"/>
      <c r="BI49" s="156"/>
      <c r="BJ49" s="156"/>
      <c r="BK49" s="156"/>
      <c r="BL49" s="156"/>
      <c r="BM49" s="156"/>
      <c r="BN49" s="156"/>
      <c r="BO49" s="156"/>
      <c r="BP49" s="156"/>
      <c r="BQ49" s="595"/>
      <c r="BR49" s="157"/>
      <c r="BS49" s="660"/>
      <c r="BT49" s="134"/>
      <c r="BU49" s="134"/>
      <c r="BV49" s="134"/>
      <c r="BW49" s="134"/>
      <c r="BX49" s="134"/>
      <c r="BY49" s="134"/>
      <c r="BZ49" s="259"/>
      <c r="CA49" s="454"/>
      <c r="CB49" s="138"/>
      <c r="CC49" s="134"/>
      <c r="CD49" s="134"/>
      <c r="CE49" s="134"/>
      <c r="CF49" s="138"/>
      <c r="CG49" s="134"/>
      <c r="CH49" s="134"/>
      <c r="CI49" s="134"/>
      <c r="CJ49" s="288"/>
      <c r="CK49" s="289"/>
      <c r="CL49" s="439"/>
      <c r="CM49" s="190"/>
      <c r="CN49" s="134"/>
      <c r="CO49" s="190"/>
      <c r="CP49" s="138"/>
      <c r="CQ49" s="134"/>
      <c r="CR49" s="134"/>
      <c r="CS49" s="134"/>
      <c r="CT49" s="288"/>
      <c r="CU49" s="289"/>
      <c r="CV49" s="276"/>
      <c r="CW49" s="308"/>
      <c r="CX49" s="138"/>
      <c r="CY49" s="134"/>
      <c r="CZ49" s="134"/>
      <c r="DA49" s="134"/>
      <c r="DB49" s="134"/>
      <c r="DC49" s="134"/>
      <c r="DD49" s="134"/>
      <c r="DE49" s="134"/>
      <c r="DF49" s="300"/>
      <c r="DG49" s="301"/>
      <c r="DH49" s="134"/>
      <c r="DI49" s="134"/>
      <c r="DJ49" s="134"/>
      <c r="DK49" s="134"/>
      <c r="DL49" s="134"/>
      <c r="DM49" s="134"/>
      <c r="DN49" s="134"/>
      <c r="DO49" s="134"/>
      <c r="DP49" s="300"/>
      <c r="DQ49" s="301"/>
      <c r="DR49" s="276"/>
      <c r="DS49" s="277"/>
      <c r="DT49" s="134"/>
      <c r="DU49" s="134"/>
      <c r="DV49" s="134"/>
      <c r="DW49" s="134"/>
      <c r="DX49" s="138"/>
      <c r="DY49" s="134"/>
      <c r="DZ49" s="134"/>
      <c r="EA49" s="134"/>
      <c r="EB49" s="301"/>
      <c r="EC49" s="301"/>
      <c r="ED49" s="138"/>
      <c r="EE49" s="134"/>
      <c r="EF49" s="134"/>
      <c r="EG49" s="134"/>
      <c r="EH49" s="138"/>
      <c r="EI49" s="134"/>
      <c r="EJ49" s="134"/>
      <c r="EK49" s="134"/>
      <c r="EL49" s="301"/>
      <c r="EM49" s="301"/>
      <c r="EN49" s="277"/>
      <c r="EO49" s="134"/>
      <c r="EP49" s="134"/>
      <c r="EQ49" s="134"/>
      <c r="ER49" s="134"/>
      <c r="ES49" s="134"/>
      <c r="ET49" s="134"/>
      <c r="EU49" s="134"/>
      <c r="EV49" s="134"/>
      <c r="EW49" s="301"/>
      <c r="EX49" s="301"/>
      <c r="EY49" s="134"/>
      <c r="EZ49" s="134"/>
      <c r="FA49" s="134"/>
      <c r="FB49" s="134"/>
      <c r="FC49" s="134"/>
      <c r="FD49" s="134"/>
      <c r="FE49" s="134"/>
      <c r="FF49" s="134"/>
      <c r="FG49" s="135"/>
      <c r="FH49" s="135"/>
      <c r="FI49" s="134"/>
      <c r="FJ49" s="134"/>
      <c r="FK49" s="134"/>
      <c r="FL49" s="134"/>
      <c r="FM49" s="134"/>
      <c r="FN49" s="134"/>
      <c r="FO49" s="134"/>
      <c r="FP49" s="134"/>
      <c r="FQ49" s="135"/>
      <c r="FR49" s="135"/>
      <c r="FS49" s="134"/>
      <c r="FT49" s="134"/>
      <c r="FU49" s="134"/>
      <c r="FV49" s="134"/>
      <c r="FW49" s="134"/>
      <c r="FX49" s="134"/>
      <c r="FY49" s="134"/>
      <c r="FZ49" s="134"/>
      <c r="GA49" s="135"/>
      <c r="GB49" s="135"/>
      <c r="GC49" s="134"/>
      <c r="GD49" s="134"/>
      <c r="GE49" s="134"/>
      <c r="GF49" s="134"/>
      <c r="GG49" s="134"/>
      <c r="GH49" s="134"/>
      <c r="GI49" s="134"/>
      <c r="GJ49" s="134"/>
      <c r="GK49" s="135"/>
      <c r="GL49" s="135"/>
      <c r="GM49" s="134"/>
      <c r="GN49" s="134"/>
      <c r="GO49" s="134"/>
      <c r="GP49" s="134"/>
      <c r="GQ49" s="134"/>
      <c r="GR49" s="134"/>
      <c r="GS49" s="134"/>
      <c r="GT49" s="134"/>
      <c r="GU49" s="135"/>
      <c r="GV49" s="135"/>
      <c r="GW49" s="134"/>
      <c r="GX49" s="134"/>
      <c r="GY49" s="134"/>
      <c r="GZ49" s="134"/>
      <c r="HA49" s="134"/>
      <c r="HB49" s="134"/>
      <c r="HC49" s="134"/>
      <c r="HD49" s="134"/>
      <c r="HE49" s="135"/>
      <c r="HF49" s="135"/>
      <c r="HG49" s="134"/>
      <c r="HH49" s="134"/>
      <c r="HI49" s="134"/>
      <c r="HJ49" s="134"/>
      <c r="HK49" s="134"/>
      <c r="HL49" s="134"/>
      <c r="HM49" s="134"/>
      <c r="HN49" s="134"/>
      <c r="HO49" s="135"/>
      <c r="HP49" s="135"/>
      <c r="HQ49" s="134"/>
      <c r="HR49" s="134"/>
      <c r="HS49" s="134"/>
      <c r="HT49" s="134"/>
      <c r="HU49" s="134"/>
      <c r="HV49" s="134"/>
      <c r="HW49" s="134"/>
      <c r="HX49" s="134"/>
      <c r="HY49" s="135"/>
      <c r="HZ49" s="135"/>
      <c r="IA49" s="134"/>
      <c r="IB49" s="134"/>
      <c r="IC49" s="134"/>
      <c r="ID49" s="134"/>
      <c r="IE49" s="134"/>
      <c r="IF49" s="134"/>
      <c r="IG49" s="134"/>
      <c r="IH49" s="134"/>
      <c r="II49" s="135"/>
      <c r="IJ49" s="135"/>
      <c r="IK49" s="134"/>
      <c r="IL49" s="134"/>
      <c r="IM49" s="134"/>
      <c r="IN49" s="134"/>
      <c r="IO49" s="134"/>
      <c r="IP49" s="134"/>
      <c r="IQ49" s="134"/>
      <c r="IR49" s="134"/>
      <c r="IS49" s="135"/>
      <c r="IT49" s="135"/>
      <c r="IU49" s="134"/>
      <c r="IV49" s="134"/>
      <c r="IW49" s="134"/>
      <c r="IX49" s="134"/>
      <c r="IY49" s="134"/>
      <c r="IZ49" s="134"/>
      <c r="JA49" s="134"/>
      <c r="JB49" s="134"/>
      <c r="JC49" s="135"/>
      <c r="JD49" s="135"/>
    </row>
    <row r="50" spans="1:264" s="119" customFormat="1" ht="15" customHeight="1">
      <c r="A50" s="79" t="s">
        <v>275</v>
      </c>
      <c r="B50" s="362">
        <v>197</v>
      </c>
      <c r="C50" s="362"/>
      <c r="D50" s="362">
        <v>76</v>
      </c>
      <c r="E50" s="604" t="s">
        <v>2007</v>
      </c>
      <c r="F50" s="124" t="s">
        <v>2238</v>
      </c>
      <c r="G50" s="125">
        <v>2016</v>
      </c>
      <c r="H50" s="79">
        <v>27000639</v>
      </c>
      <c r="I50" s="79">
        <v>1</v>
      </c>
      <c r="J50" s="126"/>
      <c r="K50" s="127"/>
      <c r="L50" s="79">
        <v>1</v>
      </c>
      <c r="M50" s="79"/>
      <c r="N50" s="79">
        <v>1</v>
      </c>
      <c r="O50" s="128">
        <v>1</v>
      </c>
      <c r="P50" s="79" t="s">
        <v>726</v>
      </c>
      <c r="Q50" s="79"/>
      <c r="R50" s="79" t="s">
        <v>25</v>
      </c>
      <c r="S50" s="79">
        <v>1</v>
      </c>
      <c r="T50" s="79"/>
      <c r="U50" s="79"/>
      <c r="V50" s="79"/>
      <c r="W50" s="79" t="s">
        <v>725</v>
      </c>
      <c r="X50" s="79"/>
      <c r="Y50" s="79"/>
      <c r="Z50" s="79"/>
      <c r="AA50" s="79"/>
      <c r="AB50" s="79"/>
      <c r="AC50" s="506" t="s">
        <v>6274</v>
      </c>
      <c r="AD50" s="573">
        <v>1</v>
      </c>
      <c r="AE50" s="573">
        <v>0</v>
      </c>
      <c r="AF50" s="154"/>
      <c r="AG50" s="155"/>
      <c r="AH50" s="121">
        <v>2</v>
      </c>
      <c r="AI50" s="484"/>
      <c r="AJ50" s="202"/>
      <c r="AK50" s="192"/>
      <c r="AL50" s="203"/>
      <c r="AM50" s="121"/>
      <c r="AN50" s="121"/>
      <c r="AO50" s="121"/>
      <c r="AP50" s="121"/>
      <c r="AQ50" s="121"/>
      <c r="AR50" s="121"/>
      <c r="AS50" s="121"/>
      <c r="AT50" s="121"/>
      <c r="AU50" s="121"/>
      <c r="AV50" s="121"/>
      <c r="AW50" s="121"/>
      <c r="AX50" s="121"/>
      <c r="AY50" s="121"/>
      <c r="AZ50" s="121"/>
      <c r="BA50" s="121"/>
      <c r="BB50" s="594"/>
      <c r="BC50" s="594"/>
      <c r="BD50" s="156"/>
      <c r="BE50" s="156"/>
      <c r="BF50" s="156"/>
      <c r="BG50" s="156"/>
      <c r="BH50" s="156" t="s">
        <v>6228</v>
      </c>
      <c r="BI50" s="156" t="s">
        <v>6228</v>
      </c>
      <c r="BJ50" s="156"/>
      <c r="BK50" s="156"/>
      <c r="BL50" s="156"/>
      <c r="BM50" s="156" t="s">
        <v>6205</v>
      </c>
      <c r="BN50" s="156"/>
      <c r="BO50" s="156"/>
      <c r="BP50" s="156"/>
      <c r="BQ50" s="595"/>
      <c r="BR50" s="157"/>
      <c r="BS50" s="660"/>
      <c r="BT50" s="134"/>
      <c r="BU50" s="134"/>
      <c r="BV50" s="134"/>
      <c r="BW50" s="134"/>
      <c r="BX50" s="134"/>
      <c r="BY50" s="134"/>
      <c r="BZ50" s="259"/>
      <c r="CA50" s="454"/>
      <c r="CB50" s="138"/>
      <c r="CC50" s="134"/>
      <c r="CD50" s="134"/>
      <c r="CE50" s="134"/>
      <c r="CF50" s="138"/>
      <c r="CG50" s="134"/>
      <c r="CH50" s="134"/>
      <c r="CI50" s="134"/>
      <c r="CJ50" s="288"/>
      <c r="CK50" s="289"/>
      <c r="CL50" s="439"/>
      <c r="CM50" s="190"/>
      <c r="CN50" s="134"/>
      <c r="CO50" s="190"/>
      <c r="CP50" s="138"/>
      <c r="CQ50" s="134"/>
      <c r="CR50" s="134"/>
      <c r="CS50" s="134"/>
      <c r="CT50" s="288"/>
      <c r="CU50" s="289"/>
      <c r="CV50" s="276"/>
      <c r="CW50" s="308"/>
      <c r="CX50" s="138"/>
      <c r="CY50" s="134"/>
      <c r="CZ50" s="134"/>
      <c r="DA50" s="134"/>
      <c r="DB50" s="134"/>
      <c r="DC50" s="134"/>
      <c r="DD50" s="134"/>
      <c r="DE50" s="134"/>
      <c r="DF50" s="300"/>
      <c r="DG50" s="301"/>
      <c r="DH50" s="134"/>
      <c r="DI50" s="134"/>
      <c r="DJ50" s="134"/>
      <c r="DK50" s="134"/>
      <c r="DL50" s="134"/>
      <c r="DM50" s="134"/>
      <c r="DN50" s="134"/>
      <c r="DO50" s="134"/>
      <c r="DP50" s="300"/>
      <c r="DQ50" s="301"/>
      <c r="DR50" s="276"/>
      <c r="DS50" s="277"/>
      <c r="DT50" s="134"/>
      <c r="DU50" s="134"/>
      <c r="DV50" s="134"/>
      <c r="DW50" s="134"/>
      <c r="DX50" s="138"/>
      <c r="DY50" s="134"/>
      <c r="DZ50" s="134"/>
      <c r="EA50" s="134"/>
      <c r="EB50" s="301"/>
      <c r="EC50" s="301"/>
      <c r="ED50" s="138"/>
      <c r="EE50" s="134"/>
      <c r="EF50" s="134"/>
      <c r="EG50" s="134"/>
      <c r="EH50" s="138"/>
      <c r="EI50" s="134"/>
      <c r="EJ50" s="134"/>
      <c r="EK50" s="134"/>
      <c r="EL50" s="301"/>
      <c r="EM50" s="301"/>
      <c r="EN50" s="277"/>
      <c r="EO50" s="134"/>
      <c r="EP50" s="134"/>
      <c r="EQ50" s="134"/>
      <c r="ER50" s="134"/>
      <c r="ES50" s="134"/>
      <c r="ET50" s="134"/>
      <c r="EU50" s="134"/>
      <c r="EV50" s="134"/>
      <c r="EW50" s="301"/>
      <c r="EX50" s="301"/>
      <c r="EY50" s="134"/>
      <c r="EZ50" s="134"/>
      <c r="FA50" s="134"/>
      <c r="FB50" s="134"/>
      <c r="FC50" s="134"/>
      <c r="FD50" s="134"/>
      <c r="FE50" s="134"/>
      <c r="FF50" s="134"/>
      <c r="FG50" s="135"/>
      <c r="FH50" s="135"/>
      <c r="FI50" s="134"/>
      <c r="FJ50" s="134"/>
      <c r="FK50" s="134"/>
      <c r="FL50" s="134"/>
      <c r="FM50" s="134"/>
      <c r="FN50" s="134"/>
      <c r="FO50" s="134"/>
      <c r="FP50" s="134"/>
      <c r="FQ50" s="135"/>
      <c r="FR50" s="135"/>
      <c r="FS50" s="134"/>
      <c r="FT50" s="134"/>
      <c r="FU50" s="134"/>
      <c r="FV50" s="134"/>
      <c r="FW50" s="134"/>
      <c r="FX50" s="134"/>
      <c r="FY50" s="134"/>
      <c r="FZ50" s="134"/>
      <c r="GA50" s="135"/>
      <c r="GB50" s="135"/>
      <c r="GC50" s="134"/>
      <c r="GD50" s="134"/>
      <c r="GE50" s="134"/>
      <c r="GF50" s="134"/>
      <c r="GG50" s="134"/>
      <c r="GH50" s="134"/>
      <c r="GI50" s="134"/>
      <c r="GJ50" s="134"/>
      <c r="GK50" s="135"/>
      <c r="GL50" s="135"/>
      <c r="GM50" s="134"/>
      <c r="GN50" s="134"/>
      <c r="GO50" s="134"/>
      <c r="GP50" s="134"/>
      <c r="GQ50" s="134"/>
      <c r="GR50" s="134"/>
      <c r="GS50" s="134"/>
      <c r="GT50" s="134"/>
      <c r="GU50" s="135"/>
      <c r="GV50" s="135"/>
      <c r="GW50" s="134"/>
      <c r="GX50" s="134"/>
      <c r="GY50" s="134"/>
      <c r="GZ50" s="134"/>
      <c r="HA50" s="134"/>
      <c r="HB50" s="134"/>
      <c r="HC50" s="134"/>
      <c r="HD50" s="134"/>
      <c r="HE50" s="135"/>
      <c r="HF50" s="135"/>
      <c r="HG50" s="134"/>
      <c r="HH50" s="134"/>
      <c r="HI50" s="134"/>
      <c r="HJ50" s="134"/>
      <c r="HK50" s="134"/>
      <c r="HL50" s="134"/>
      <c r="HM50" s="134"/>
      <c r="HN50" s="134"/>
      <c r="HO50" s="135"/>
      <c r="HP50" s="135"/>
      <c r="HQ50" s="134"/>
      <c r="HR50" s="134"/>
      <c r="HS50" s="134"/>
      <c r="HT50" s="134"/>
      <c r="HU50" s="134"/>
      <c r="HV50" s="134"/>
      <c r="HW50" s="134"/>
      <c r="HX50" s="134"/>
      <c r="HY50" s="135"/>
      <c r="HZ50" s="135"/>
      <c r="IA50" s="134"/>
      <c r="IB50" s="134"/>
      <c r="IC50" s="134"/>
      <c r="ID50" s="134"/>
      <c r="IE50" s="134"/>
      <c r="IF50" s="134"/>
      <c r="IG50" s="134"/>
      <c r="IH50" s="134"/>
      <c r="II50" s="135"/>
      <c r="IJ50" s="135"/>
      <c r="IK50" s="134"/>
      <c r="IL50" s="134"/>
      <c r="IM50" s="134"/>
      <c r="IN50" s="134"/>
      <c r="IO50" s="134"/>
      <c r="IP50" s="134"/>
      <c r="IQ50" s="134"/>
      <c r="IR50" s="134"/>
      <c r="IS50" s="135"/>
      <c r="IT50" s="135"/>
      <c r="IU50" s="134"/>
      <c r="IV50" s="134"/>
      <c r="IW50" s="134"/>
      <c r="IX50" s="134"/>
      <c r="IY50" s="134"/>
      <c r="IZ50" s="134"/>
      <c r="JA50" s="134"/>
      <c r="JB50" s="134"/>
      <c r="JC50" s="135"/>
      <c r="JD50" s="135"/>
    </row>
    <row r="51" spans="1:264" customFormat="1" ht="15" customHeight="1">
      <c r="A51" s="79" t="s">
        <v>278</v>
      </c>
      <c r="B51" s="362">
        <v>198</v>
      </c>
      <c r="C51" s="362"/>
      <c r="D51" s="362">
        <v>77</v>
      </c>
      <c r="E51" s="604" t="s">
        <v>2008</v>
      </c>
      <c r="F51" s="124" t="s">
        <v>2239</v>
      </c>
      <c r="G51" s="125">
        <v>2015</v>
      </c>
      <c r="H51" s="79">
        <v>25959594</v>
      </c>
      <c r="I51" s="79">
        <v>1</v>
      </c>
      <c r="J51" s="126"/>
      <c r="K51" s="127"/>
      <c r="L51" s="79">
        <v>1</v>
      </c>
      <c r="M51" s="79"/>
      <c r="N51" s="79">
        <v>1</v>
      </c>
      <c r="O51" s="128">
        <v>1</v>
      </c>
      <c r="P51" s="79" t="s">
        <v>730</v>
      </c>
      <c r="Q51" s="79" t="s">
        <v>1192</v>
      </c>
      <c r="R51" s="79" t="s">
        <v>25</v>
      </c>
      <c r="S51" s="79">
        <v>1</v>
      </c>
      <c r="T51" s="79"/>
      <c r="U51" s="79"/>
      <c r="V51" s="79"/>
      <c r="W51" s="79" t="s">
        <v>729</v>
      </c>
      <c r="X51" s="79" t="s">
        <v>731</v>
      </c>
      <c r="Y51" s="79"/>
      <c r="Z51" s="79"/>
      <c r="AA51" s="79"/>
      <c r="AB51" s="79"/>
      <c r="AC51" s="506" t="s">
        <v>6275</v>
      </c>
      <c r="AD51" s="573">
        <v>1</v>
      </c>
      <c r="AE51" s="573">
        <v>0</v>
      </c>
      <c r="AF51" s="154"/>
      <c r="AG51" s="155"/>
      <c r="AH51" s="121">
        <v>2</v>
      </c>
      <c r="AI51" s="484"/>
      <c r="AJ51" s="202"/>
      <c r="AK51" s="192"/>
      <c r="AL51" s="203"/>
      <c r="AM51" s="121"/>
      <c r="AN51" s="121"/>
      <c r="AO51" s="121"/>
      <c r="AP51" s="121"/>
      <c r="AQ51" s="121"/>
      <c r="AR51" s="121"/>
      <c r="AS51" s="121"/>
      <c r="AT51" s="121"/>
      <c r="AU51" s="121"/>
      <c r="AV51" s="121"/>
      <c r="AW51" s="121"/>
      <c r="AX51" s="121"/>
      <c r="AY51" s="121"/>
      <c r="AZ51" s="121"/>
      <c r="BA51" s="121"/>
      <c r="BB51" s="594"/>
      <c r="BC51" s="594"/>
      <c r="BD51" s="156"/>
      <c r="BE51" s="156"/>
      <c r="BF51" s="156"/>
      <c r="BG51" s="156" t="s">
        <v>6237</v>
      </c>
      <c r="BH51" s="156"/>
      <c r="BI51" s="156" t="s">
        <v>5207</v>
      </c>
      <c r="BJ51" s="156"/>
      <c r="BK51" s="156"/>
      <c r="BL51" s="156"/>
      <c r="BM51" s="156"/>
      <c r="BN51" s="156" t="s">
        <v>5207</v>
      </c>
      <c r="BO51" s="156"/>
      <c r="BP51" s="156"/>
      <c r="BQ51" s="595"/>
      <c r="BR51" s="157"/>
      <c r="BS51" s="660"/>
      <c r="BT51" s="134"/>
      <c r="BU51" s="134"/>
      <c r="BV51" s="134"/>
      <c r="BW51" s="134"/>
      <c r="BX51" s="134"/>
      <c r="BY51" s="134"/>
      <c r="BZ51" s="259"/>
      <c r="CA51" s="454"/>
      <c r="CB51" s="138"/>
      <c r="CC51" s="134"/>
      <c r="CD51" s="134"/>
      <c r="CE51" s="134"/>
      <c r="CF51" s="138"/>
      <c r="CG51" s="134"/>
      <c r="CH51" s="134"/>
      <c r="CI51" s="134"/>
      <c r="CJ51" s="288"/>
      <c r="CK51" s="289"/>
      <c r="CL51" s="138"/>
      <c r="CM51" s="134"/>
      <c r="CN51" s="134"/>
      <c r="CO51" s="134"/>
      <c r="CP51" s="138"/>
      <c r="CQ51" s="134"/>
      <c r="CR51" s="134"/>
      <c r="CS51" s="134"/>
      <c r="CT51" s="288"/>
      <c r="CU51" s="289"/>
      <c r="CV51" s="276"/>
      <c r="CW51" s="308"/>
      <c r="CX51" s="138"/>
      <c r="CY51" s="134"/>
      <c r="CZ51" s="134"/>
      <c r="DA51" s="134"/>
      <c r="DB51" s="134"/>
      <c r="DC51" s="134"/>
      <c r="DD51" s="134"/>
      <c r="DE51" s="134"/>
      <c r="DF51" s="300"/>
      <c r="DG51" s="301"/>
      <c r="DH51" s="134"/>
      <c r="DI51" s="134"/>
      <c r="DJ51" s="134"/>
      <c r="DK51" s="134"/>
      <c r="DL51" s="134"/>
      <c r="DM51" s="190"/>
      <c r="DN51" s="134"/>
      <c r="DO51" s="190"/>
      <c r="DP51" s="300"/>
      <c r="DQ51" s="301"/>
      <c r="DR51" s="276"/>
      <c r="DS51" s="277"/>
      <c r="DT51" s="134"/>
      <c r="DU51" s="134"/>
      <c r="DV51" s="134"/>
      <c r="DW51" s="134"/>
      <c r="DX51" s="138"/>
      <c r="DY51" s="190"/>
      <c r="DZ51" s="190"/>
      <c r="EA51" s="190"/>
      <c r="EB51" s="301"/>
      <c r="EC51" s="301"/>
      <c r="ED51" s="138"/>
      <c r="EE51" s="190"/>
      <c r="EF51" s="134"/>
      <c r="EG51" s="190"/>
      <c r="EH51" s="138"/>
      <c r="EI51" s="134"/>
      <c r="EJ51" s="134"/>
      <c r="EK51" s="134"/>
      <c r="EL51" s="301"/>
      <c r="EM51" s="301"/>
      <c r="EN51" s="277"/>
      <c r="EO51" s="134"/>
      <c r="EP51" s="134"/>
      <c r="EQ51" s="134"/>
      <c r="ER51" s="134"/>
      <c r="ES51" s="134"/>
      <c r="ET51" s="134"/>
      <c r="EU51" s="134"/>
      <c r="EV51" s="134"/>
      <c r="EW51" s="301"/>
      <c r="EX51" s="301"/>
      <c r="EY51" s="134"/>
      <c r="EZ51" s="134"/>
      <c r="FA51" s="134"/>
      <c r="FB51" s="134"/>
      <c r="FC51" s="134"/>
      <c r="FD51" s="134"/>
      <c r="FE51" s="134"/>
      <c r="FF51" s="134"/>
      <c r="FG51" s="135"/>
      <c r="FH51" s="135"/>
      <c r="FI51" s="134"/>
      <c r="FJ51" s="134"/>
      <c r="FK51" s="134"/>
      <c r="FL51" s="134"/>
      <c r="FM51" s="134"/>
      <c r="FN51" s="134"/>
      <c r="FO51" s="134"/>
      <c r="FP51" s="134"/>
      <c r="FQ51" s="135"/>
      <c r="FR51" s="135"/>
      <c r="FS51" s="134"/>
      <c r="FT51" s="134"/>
      <c r="FU51" s="134"/>
      <c r="FV51" s="134"/>
      <c r="FW51" s="134"/>
      <c r="FX51" s="134"/>
      <c r="FY51" s="134"/>
      <c r="FZ51" s="134"/>
      <c r="GA51" s="135"/>
      <c r="GB51" s="135"/>
      <c r="GC51" s="134"/>
      <c r="GD51" s="134"/>
      <c r="GE51" s="134"/>
      <c r="GF51" s="134"/>
      <c r="GG51" s="134"/>
      <c r="GH51" s="134"/>
      <c r="GI51" s="134"/>
      <c r="GJ51" s="134"/>
      <c r="GK51" s="135"/>
      <c r="GL51" s="135"/>
      <c r="GM51" s="134"/>
      <c r="GN51" s="134"/>
      <c r="GO51" s="134"/>
      <c r="GP51" s="134"/>
      <c r="GQ51" s="134"/>
      <c r="GR51" s="134"/>
      <c r="GS51" s="134"/>
      <c r="GT51" s="134"/>
      <c r="GU51" s="135"/>
      <c r="GV51" s="135"/>
      <c r="GW51" s="134"/>
      <c r="GX51" s="134"/>
      <c r="GY51" s="134"/>
      <c r="GZ51" s="134"/>
      <c r="HA51" s="134"/>
      <c r="HB51" s="134"/>
      <c r="HC51" s="134"/>
      <c r="HD51" s="134"/>
      <c r="HE51" s="135"/>
      <c r="HF51" s="135"/>
      <c r="HG51" s="134"/>
      <c r="HH51" s="134"/>
      <c r="HI51" s="134"/>
      <c r="HJ51" s="134"/>
      <c r="HK51" s="134"/>
      <c r="HL51" s="134"/>
      <c r="HM51" s="134"/>
      <c r="HN51" s="134"/>
      <c r="HO51" s="135"/>
      <c r="HP51" s="135"/>
      <c r="HQ51" s="134"/>
      <c r="HR51" s="134"/>
      <c r="HS51" s="134"/>
      <c r="HT51" s="134"/>
      <c r="HU51" s="134"/>
      <c r="HV51" s="134"/>
      <c r="HW51" s="134"/>
      <c r="HX51" s="134"/>
      <c r="HY51" s="135"/>
      <c r="HZ51" s="135"/>
      <c r="IA51" s="134"/>
      <c r="IB51" s="134"/>
      <c r="IC51" s="134"/>
      <c r="ID51" s="134"/>
      <c r="IE51" s="134"/>
      <c r="IF51" s="134"/>
      <c r="IG51" s="134"/>
      <c r="IH51" s="134"/>
      <c r="II51" s="135"/>
      <c r="IJ51" s="135"/>
      <c r="IK51" s="134"/>
      <c r="IL51" s="134"/>
      <c r="IM51" s="134"/>
      <c r="IN51" s="134"/>
      <c r="IO51" s="134"/>
      <c r="IP51" s="134"/>
      <c r="IQ51" s="134"/>
      <c r="IR51" s="134"/>
      <c r="IS51" s="135"/>
      <c r="IT51" s="135"/>
      <c r="IU51" s="134"/>
      <c r="IV51" s="134"/>
      <c r="IW51" s="134"/>
      <c r="IX51" s="134"/>
      <c r="IY51" s="134"/>
      <c r="IZ51" s="134"/>
      <c r="JA51" s="134"/>
      <c r="JB51" s="134"/>
      <c r="JC51" s="135"/>
      <c r="JD51" s="135"/>
    </row>
    <row r="52" spans="1:264" s="119" customFormat="1" ht="15" customHeight="1">
      <c r="A52" s="79" t="s">
        <v>282</v>
      </c>
      <c r="B52" s="362">
        <v>203</v>
      </c>
      <c r="C52" s="362"/>
      <c r="D52" s="362">
        <v>79</v>
      </c>
      <c r="E52" s="604" t="s">
        <v>2011</v>
      </c>
      <c r="F52" s="124" t="s">
        <v>2243</v>
      </c>
      <c r="G52" s="125">
        <v>2015</v>
      </c>
      <c r="H52" s="79">
        <v>26237266</v>
      </c>
      <c r="I52" s="79">
        <v>1</v>
      </c>
      <c r="J52" s="170" t="s">
        <v>1782</v>
      </c>
      <c r="K52" s="127" t="s">
        <v>1765</v>
      </c>
      <c r="L52" s="164">
        <v>0</v>
      </c>
      <c r="M52" s="79"/>
      <c r="N52" s="79">
        <v>1</v>
      </c>
      <c r="O52" s="128">
        <v>1</v>
      </c>
      <c r="P52" s="79" t="s">
        <v>741</v>
      </c>
      <c r="Q52" s="79" t="s">
        <v>1161</v>
      </c>
      <c r="R52" s="79" t="s">
        <v>740</v>
      </c>
      <c r="S52" s="79">
        <v>1</v>
      </c>
      <c r="T52" s="79"/>
      <c r="U52" s="79"/>
      <c r="V52" s="79"/>
      <c r="W52" s="79"/>
      <c r="X52" s="79"/>
      <c r="Y52" s="79"/>
      <c r="Z52" s="79"/>
      <c r="AA52" s="79"/>
      <c r="AB52" s="79"/>
      <c r="AC52" s="506" t="s">
        <v>6279</v>
      </c>
      <c r="AD52" s="573">
        <v>1</v>
      </c>
      <c r="AE52" s="573">
        <v>0</v>
      </c>
      <c r="AF52" s="154"/>
      <c r="AG52" s="155"/>
      <c r="AH52" s="121">
        <v>2</v>
      </c>
      <c r="AI52" s="484"/>
      <c r="AJ52" s="202"/>
      <c r="AK52" s="192"/>
      <c r="AL52" s="203"/>
      <c r="AM52" s="121"/>
      <c r="AN52" s="121"/>
      <c r="AO52" s="121"/>
      <c r="AP52" s="121"/>
      <c r="AQ52" s="121"/>
      <c r="AR52" s="121"/>
      <c r="AS52" s="121"/>
      <c r="AT52" s="121"/>
      <c r="AU52" s="121"/>
      <c r="AV52" s="121"/>
      <c r="AW52" s="121"/>
      <c r="AX52" s="121"/>
      <c r="AY52" s="121"/>
      <c r="AZ52" s="121"/>
      <c r="BA52" s="121"/>
      <c r="BB52" s="594"/>
      <c r="BC52" s="594"/>
      <c r="BD52" s="156"/>
      <c r="BE52" s="156"/>
      <c r="BF52" s="156" t="s">
        <v>5207</v>
      </c>
      <c r="BG52" s="156"/>
      <c r="BH52" s="156"/>
      <c r="BI52" s="156"/>
      <c r="BJ52" s="156"/>
      <c r="BK52" s="156" t="s">
        <v>6278</v>
      </c>
      <c r="BL52" s="156" t="s">
        <v>5207</v>
      </c>
      <c r="BM52" s="156"/>
      <c r="BN52" s="156" t="s">
        <v>5207</v>
      </c>
      <c r="BO52" s="156"/>
      <c r="BP52" s="156">
        <v>1</v>
      </c>
      <c r="BQ52" s="595"/>
      <c r="BR52" s="157"/>
      <c r="BS52" s="660"/>
      <c r="BT52" s="134"/>
      <c r="BU52" s="134"/>
      <c r="BV52" s="134"/>
      <c r="BW52" s="134"/>
      <c r="BX52" s="134"/>
      <c r="BY52" s="134"/>
      <c r="BZ52" s="259"/>
      <c r="CA52" s="454"/>
      <c r="CB52" s="138"/>
      <c r="CC52" s="134"/>
      <c r="CD52" s="134"/>
      <c r="CE52" s="134"/>
      <c r="CF52" s="138"/>
      <c r="CG52" s="134"/>
      <c r="CH52" s="134"/>
      <c r="CI52" s="134"/>
      <c r="CJ52" s="288"/>
      <c r="CK52" s="289"/>
      <c r="CL52" s="138"/>
      <c r="CM52" s="134"/>
      <c r="CN52" s="134"/>
      <c r="CO52" s="134"/>
      <c r="CP52" s="138"/>
      <c r="CQ52" s="134"/>
      <c r="CR52" s="134"/>
      <c r="CS52" s="134"/>
      <c r="CT52" s="288"/>
      <c r="CU52" s="289"/>
      <c r="CV52" s="276"/>
      <c r="CW52" s="308"/>
      <c r="CX52" s="138"/>
      <c r="CY52" s="134"/>
      <c r="CZ52" s="134"/>
      <c r="DA52" s="134"/>
      <c r="DB52" s="134"/>
      <c r="DC52" s="134"/>
      <c r="DD52" s="134"/>
      <c r="DE52" s="134"/>
      <c r="DF52" s="300"/>
      <c r="DG52" s="301"/>
      <c r="DH52" s="134"/>
      <c r="DI52" s="134"/>
      <c r="DJ52" s="134"/>
      <c r="DK52" s="134"/>
      <c r="DL52" s="134"/>
      <c r="DM52" s="190"/>
      <c r="DN52" s="134"/>
      <c r="DO52" s="190"/>
      <c r="DP52" s="300"/>
      <c r="DQ52" s="301"/>
      <c r="DR52" s="276"/>
      <c r="DS52" s="277"/>
      <c r="DT52" s="134"/>
      <c r="DU52" s="134"/>
      <c r="DV52" s="134"/>
      <c r="DW52" s="134"/>
      <c r="DX52" s="138"/>
      <c r="DY52" s="190"/>
      <c r="DZ52" s="190"/>
      <c r="EA52" s="190"/>
      <c r="EB52" s="301"/>
      <c r="EC52" s="301"/>
      <c r="ED52" s="138"/>
      <c r="EE52" s="134"/>
      <c r="EF52" s="134"/>
      <c r="EG52" s="134"/>
      <c r="EH52" s="138"/>
      <c r="EI52" s="134"/>
      <c r="EJ52" s="134"/>
      <c r="EK52" s="134"/>
      <c r="EL52" s="301"/>
      <c r="EM52" s="301"/>
      <c r="EN52" s="277"/>
      <c r="EO52" s="134"/>
      <c r="EP52" s="134"/>
      <c r="EQ52" s="134"/>
      <c r="ER52" s="134"/>
      <c r="ES52" s="134"/>
      <c r="ET52" s="134"/>
      <c r="EU52" s="134"/>
      <c r="EV52" s="134"/>
      <c r="EW52" s="301"/>
      <c r="EX52" s="301"/>
      <c r="EY52" s="134"/>
      <c r="EZ52" s="134"/>
      <c r="FA52" s="134"/>
      <c r="FB52" s="134"/>
      <c r="FC52" s="134"/>
      <c r="FD52" s="134"/>
      <c r="FE52" s="134"/>
      <c r="FF52" s="134"/>
      <c r="FG52" s="135"/>
      <c r="FH52" s="135"/>
      <c r="FI52" s="134"/>
      <c r="FJ52" s="134"/>
      <c r="FK52" s="134"/>
      <c r="FL52" s="134"/>
      <c r="FM52" s="134"/>
      <c r="FN52" s="134"/>
      <c r="FO52" s="134"/>
      <c r="FP52" s="134"/>
      <c r="FQ52" s="135"/>
      <c r="FR52" s="135"/>
      <c r="FS52" s="134"/>
      <c r="FT52" s="134"/>
      <c r="FU52" s="134"/>
      <c r="FV52" s="134"/>
      <c r="FW52" s="134"/>
      <c r="FX52" s="134"/>
      <c r="FY52" s="134"/>
      <c r="FZ52" s="134"/>
      <c r="GA52" s="135"/>
      <c r="GB52" s="135"/>
      <c r="GC52" s="134"/>
      <c r="GD52" s="134"/>
      <c r="GE52" s="134"/>
      <c r="GF52" s="134"/>
      <c r="GG52" s="134"/>
      <c r="GH52" s="134"/>
      <c r="GI52" s="134"/>
      <c r="GJ52" s="134"/>
      <c r="GK52" s="135"/>
      <c r="GL52" s="135"/>
      <c r="GM52" s="134"/>
      <c r="GN52" s="134"/>
      <c r="GO52" s="134"/>
      <c r="GP52" s="134"/>
      <c r="GQ52" s="134"/>
      <c r="GR52" s="134"/>
      <c r="GS52" s="134"/>
      <c r="GT52" s="134"/>
      <c r="GU52" s="135"/>
      <c r="GV52" s="135"/>
      <c r="GW52" s="134"/>
      <c r="GX52" s="134"/>
      <c r="GY52" s="134"/>
      <c r="GZ52" s="134"/>
      <c r="HA52" s="134"/>
      <c r="HB52" s="134"/>
      <c r="HC52" s="134"/>
      <c r="HD52" s="134"/>
      <c r="HE52" s="135"/>
      <c r="HF52" s="135"/>
      <c r="HG52" s="134"/>
      <c r="HH52" s="134"/>
      <c r="HI52" s="134"/>
      <c r="HJ52" s="134"/>
      <c r="HK52" s="134"/>
      <c r="HL52" s="134"/>
      <c r="HM52" s="134"/>
      <c r="HN52" s="134"/>
      <c r="HO52" s="135"/>
      <c r="HP52" s="135"/>
      <c r="HQ52" s="134"/>
      <c r="HR52" s="134"/>
      <c r="HS52" s="134"/>
      <c r="HT52" s="134"/>
      <c r="HU52" s="134"/>
      <c r="HV52" s="134"/>
      <c r="HW52" s="134"/>
      <c r="HX52" s="134"/>
      <c r="HY52" s="135"/>
      <c r="HZ52" s="135"/>
      <c r="IA52" s="134"/>
      <c r="IB52" s="134"/>
      <c r="IC52" s="134"/>
      <c r="ID52" s="134"/>
      <c r="IE52" s="134"/>
      <c r="IF52" s="134"/>
      <c r="IG52" s="134"/>
      <c r="IH52" s="134"/>
      <c r="II52" s="135"/>
      <c r="IJ52" s="135"/>
      <c r="IK52" s="134"/>
      <c r="IL52" s="134"/>
      <c r="IM52" s="134"/>
      <c r="IN52" s="134"/>
      <c r="IO52" s="134"/>
      <c r="IP52" s="134"/>
      <c r="IQ52" s="134"/>
      <c r="IR52" s="134"/>
      <c r="IS52" s="135"/>
      <c r="IT52" s="135"/>
      <c r="IU52" s="134"/>
      <c r="IV52" s="134"/>
      <c r="IW52" s="134"/>
      <c r="IX52" s="134"/>
      <c r="IY52" s="134"/>
      <c r="IZ52" s="134"/>
      <c r="JA52" s="134"/>
      <c r="JB52" s="134"/>
      <c r="JC52" s="135"/>
      <c r="JD52" s="135"/>
    </row>
    <row r="53" spans="1:264" s="119" customFormat="1" ht="15" customHeight="1">
      <c r="A53" s="79" t="s">
        <v>288</v>
      </c>
      <c r="B53" s="362">
        <v>206</v>
      </c>
      <c r="C53" s="362"/>
      <c r="D53" s="362">
        <v>81</v>
      </c>
      <c r="E53" s="604" t="s">
        <v>2014</v>
      </c>
      <c r="F53" s="124" t="s">
        <v>2246</v>
      </c>
      <c r="G53" s="125">
        <v>2005</v>
      </c>
      <c r="H53" s="79">
        <v>16055312</v>
      </c>
      <c r="I53" s="79">
        <v>1</v>
      </c>
      <c r="J53" s="126"/>
      <c r="K53" s="127"/>
      <c r="L53" s="79">
        <v>1</v>
      </c>
      <c r="M53" s="79"/>
      <c r="N53" s="79">
        <v>1</v>
      </c>
      <c r="O53" s="128">
        <v>1</v>
      </c>
      <c r="P53" s="79" t="s">
        <v>851</v>
      </c>
      <c r="Q53" s="79" t="s">
        <v>780</v>
      </c>
      <c r="R53" s="79" t="s">
        <v>752</v>
      </c>
      <c r="S53" s="79">
        <v>0</v>
      </c>
      <c r="T53" s="79"/>
      <c r="U53" s="79"/>
      <c r="V53" s="79"/>
      <c r="W53" s="79" t="s">
        <v>751</v>
      </c>
      <c r="X53" s="79" t="s">
        <v>753</v>
      </c>
      <c r="Y53" s="79"/>
      <c r="Z53" s="79" t="s">
        <v>754</v>
      </c>
      <c r="AA53" s="79"/>
      <c r="AB53" s="79"/>
      <c r="AC53" s="506" t="s">
        <v>6281</v>
      </c>
      <c r="AD53" s="573">
        <v>1</v>
      </c>
      <c r="AE53" s="573">
        <v>0</v>
      </c>
      <c r="AF53" s="154"/>
      <c r="AG53" s="155"/>
      <c r="AH53" s="121"/>
      <c r="AI53" s="484"/>
      <c r="AJ53" s="202"/>
      <c r="AK53" s="192"/>
      <c r="AL53" s="203"/>
      <c r="AM53" s="121"/>
      <c r="AN53" s="121"/>
      <c r="AO53" s="121"/>
      <c r="AP53" s="121"/>
      <c r="AQ53" s="121"/>
      <c r="AR53" s="121"/>
      <c r="AS53" s="121"/>
      <c r="AT53" s="121"/>
      <c r="AU53" s="121"/>
      <c r="AV53" s="121"/>
      <c r="AW53" s="121"/>
      <c r="AX53" s="121"/>
      <c r="AY53" s="121"/>
      <c r="AZ53" s="121"/>
      <c r="BA53" s="121"/>
      <c r="BB53" s="594"/>
      <c r="BC53" s="594"/>
      <c r="BD53" s="156"/>
      <c r="BE53" s="156"/>
      <c r="BF53" s="156" t="s">
        <v>5207</v>
      </c>
      <c r="BG53" s="156"/>
      <c r="BH53" s="156"/>
      <c r="BI53" s="156" t="s">
        <v>6282</v>
      </c>
      <c r="BJ53" s="156"/>
      <c r="BK53" s="156"/>
      <c r="BL53" s="156"/>
      <c r="BM53" s="156"/>
      <c r="BN53" s="156"/>
      <c r="BO53" s="156"/>
      <c r="BP53" s="156"/>
      <c r="BQ53" s="595"/>
      <c r="BR53" s="157"/>
      <c r="BS53" s="660"/>
      <c r="BT53" s="134"/>
      <c r="BU53" s="134"/>
      <c r="BV53" s="134"/>
      <c r="BW53" s="134"/>
      <c r="BX53" s="134"/>
      <c r="BY53" s="134"/>
      <c r="BZ53" s="259"/>
      <c r="CA53" s="454"/>
      <c r="CB53" s="138"/>
      <c r="CC53" s="134"/>
      <c r="CD53" s="426"/>
      <c r="CE53" s="134"/>
      <c r="CF53" s="138"/>
      <c r="CG53" s="134"/>
      <c r="CH53" s="134"/>
      <c r="CI53" s="134"/>
      <c r="CJ53" s="288"/>
      <c r="CK53" s="289"/>
      <c r="CL53" s="138"/>
      <c r="CM53" s="134"/>
      <c r="CN53" s="134"/>
      <c r="CO53" s="134"/>
      <c r="CP53" s="138"/>
      <c r="CQ53" s="134"/>
      <c r="CR53" s="134"/>
      <c r="CS53" s="134"/>
      <c r="CT53" s="288"/>
      <c r="CU53" s="289"/>
      <c r="CV53" s="276"/>
      <c r="CW53" s="308"/>
      <c r="CX53" s="138"/>
      <c r="CY53" s="134"/>
      <c r="CZ53" s="134"/>
      <c r="DA53" s="134"/>
      <c r="DB53" s="134"/>
      <c r="DC53" s="134"/>
      <c r="DD53" s="134"/>
      <c r="DE53" s="134"/>
      <c r="DF53" s="300"/>
      <c r="DG53" s="301"/>
      <c r="DH53" s="134"/>
      <c r="DI53" s="134"/>
      <c r="DJ53" s="134"/>
      <c r="DK53" s="134"/>
      <c r="DL53" s="134"/>
      <c r="DM53" s="190"/>
      <c r="DN53" s="134"/>
      <c r="DO53" s="190"/>
      <c r="DP53" s="300"/>
      <c r="DQ53" s="301"/>
      <c r="DR53" s="276"/>
      <c r="DS53" s="277"/>
      <c r="DT53" s="134"/>
      <c r="DU53" s="134"/>
      <c r="DV53" s="134"/>
      <c r="DW53" s="134"/>
      <c r="DX53" s="138"/>
      <c r="DY53" s="190"/>
      <c r="DZ53" s="190"/>
      <c r="EA53" s="190"/>
      <c r="EB53" s="301"/>
      <c r="EC53" s="301"/>
      <c r="ED53" s="138"/>
      <c r="EE53" s="134"/>
      <c r="EF53" s="134"/>
      <c r="EG53" s="134"/>
      <c r="EH53" s="138"/>
      <c r="EI53" s="134"/>
      <c r="EJ53" s="134"/>
      <c r="EK53" s="134"/>
      <c r="EL53" s="301"/>
      <c r="EM53" s="301"/>
      <c r="EN53" s="277"/>
      <c r="EO53" s="134"/>
      <c r="EP53" s="134"/>
      <c r="EQ53" s="134"/>
      <c r="ER53" s="134"/>
      <c r="ES53" s="134"/>
      <c r="ET53" s="134"/>
      <c r="EU53" s="134"/>
      <c r="EV53" s="134"/>
      <c r="EW53" s="301"/>
      <c r="EX53" s="301"/>
      <c r="EY53" s="134"/>
      <c r="EZ53" s="134"/>
      <c r="FA53" s="134"/>
      <c r="FB53" s="134"/>
      <c r="FC53" s="134"/>
      <c r="FD53" s="134"/>
      <c r="FE53" s="134"/>
      <c r="FF53" s="134"/>
      <c r="FG53" s="135"/>
      <c r="FH53" s="135"/>
      <c r="FI53" s="134"/>
      <c r="FJ53" s="134"/>
      <c r="FK53" s="134"/>
      <c r="FL53" s="134"/>
      <c r="FM53" s="134"/>
      <c r="FN53" s="134"/>
      <c r="FO53" s="134"/>
      <c r="FP53" s="134"/>
      <c r="FQ53" s="135"/>
      <c r="FR53" s="135"/>
      <c r="FS53" s="134"/>
      <c r="FT53" s="134"/>
      <c r="FU53" s="134"/>
      <c r="FV53" s="134"/>
      <c r="FW53" s="134"/>
      <c r="FX53" s="134"/>
      <c r="FY53" s="134"/>
      <c r="FZ53" s="134"/>
      <c r="GA53" s="135"/>
      <c r="GB53" s="135"/>
      <c r="GC53" s="134"/>
      <c r="GD53" s="134"/>
      <c r="GE53" s="134"/>
      <c r="GF53" s="134"/>
      <c r="GG53" s="134"/>
      <c r="GH53" s="134"/>
      <c r="GI53" s="134"/>
      <c r="GJ53" s="134"/>
      <c r="GK53" s="135"/>
      <c r="GL53" s="135"/>
      <c r="GM53" s="134"/>
      <c r="GN53" s="134"/>
      <c r="GO53" s="134"/>
      <c r="GP53" s="134"/>
      <c r="GQ53" s="134"/>
      <c r="GR53" s="134"/>
      <c r="GS53" s="134"/>
      <c r="GT53" s="134"/>
      <c r="GU53" s="135"/>
      <c r="GV53" s="135"/>
      <c r="GW53" s="134"/>
      <c r="GX53" s="134"/>
      <c r="GY53" s="134"/>
      <c r="GZ53" s="134"/>
      <c r="HA53" s="134"/>
      <c r="HB53" s="134"/>
      <c r="HC53" s="134"/>
      <c r="HD53" s="134"/>
      <c r="HE53" s="135"/>
      <c r="HF53" s="135"/>
      <c r="HG53" s="134"/>
      <c r="HH53" s="134"/>
      <c r="HI53" s="134"/>
      <c r="HJ53" s="134"/>
      <c r="HK53" s="134"/>
      <c r="HL53" s="134"/>
      <c r="HM53" s="134"/>
      <c r="HN53" s="134"/>
      <c r="HO53" s="135"/>
      <c r="HP53" s="135"/>
      <c r="HQ53" s="134"/>
      <c r="HR53" s="134"/>
      <c r="HS53" s="134"/>
      <c r="HT53" s="134"/>
      <c r="HU53" s="134"/>
      <c r="HV53" s="134"/>
      <c r="HW53" s="134"/>
      <c r="HX53" s="134"/>
      <c r="HY53" s="135"/>
      <c r="HZ53" s="135"/>
      <c r="IA53" s="134"/>
      <c r="IB53" s="134"/>
      <c r="IC53" s="134"/>
      <c r="ID53" s="134"/>
      <c r="IE53" s="134"/>
      <c r="IF53" s="134"/>
      <c r="IG53" s="134"/>
      <c r="IH53" s="134"/>
      <c r="II53" s="135"/>
      <c r="IJ53" s="135"/>
      <c r="IK53" s="134"/>
      <c r="IL53" s="134"/>
      <c r="IM53" s="134"/>
      <c r="IN53" s="134"/>
      <c r="IO53" s="134"/>
      <c r="IP53" s="134"/>
      <c r="IQ53" s="134"/>
      <c r="IR53" s="134"/>
      <c r="IS53" s="135"/>
      <c r="IT53" s="135"/>
      <c r="IU53" s="134"/>
      <c r="IV53" s="134"/>
      <c r="IW53" s="134"/>
      <c r="IX53" s="134"/>
      <c r="IY53" s="134"/>
      <c r="IZ53" s="134"/>
      <c r="JA53" s="134"/>
      <c r="JB53" s="134"/>
      <c r="JC53" s="135"/>
      <c r="JD53" s="135"/>
    </row>
    <row r="54" spans="1:264" customFormat="1" ht="15" customHeight="1">
      <c r="A54" s="79" t="s">
        <v>290</v>
      </c>
      <c r="B54" s="362">
        <v>208</v>
      </c>
      <c r="C54" s="362"/>
      <c r="D54" s="362">
        <v>82</v>
      </c>
      <c r="E54" s="604" t="s">
        <v>2016</v>
      </c>
      <c r="F54" s="124" t="s">
        <v>2248</v>
      </c>
      <c r="G54" s="125">
        <v>1992</v>
      </c>
      <c r="H54" s="79">
        <v>1355475</v>
      </c>
      <c r="I54" s="79">
        <v>1</v>
      </c>
      <c r="J54" s="126" t="s">
        <v>66</v>
      </c>
      <c r="K54" s="127"/>
      <c r="L54" s="164">
        <v>1</v>
      </c>
      <c r="M54" s="79"/>
      <c r="N54" s="164">
        <v>1</v>
      </c>
      <c r="O54" s="128">
        <v>1</v>
      </c>
      <c r="P54" s="79" t="s">
        <v>66</v>
      </c>
      <c r="Q54" s="79" t="s">
        <v>1142</v>
      </c>
      <c r="R54" s="79" t="s">
        <v>759</v>
      </c>
      <c r="S54" s="79">
        <v>1</v>
      </c>
      <c r="T54" s="79"/>
      <c r="U54" s="79"/>
      <c r="V54" s="79"/>
      <c r="W54" s="79" t="s">
        <v>760</v>
      </c>
      <c r="X54" s="79"/>
      <c r="Y54" s="79" t="s">
        <v>758</v>
      </c>
      <c r="Z54" s="79"/>
      <c r="AA54" s="79"/>
      <c r="AB54" s="79" t="s">
        <v>761</v>
      </c>
      <c r="AC54" s="506" t="s">
        <v>6284</v>
      </c>
      <c r="AD54" s="573">
        <v>1</v>
      </c>
      <c r="AE54" s="573">
        <v>0</v>
      </c>
      <c r="AF54" s="154" t="s">
        <v>3003</v>
      </c>
      <c r="AG54" s="579" t="s">
        <v>6283</v>
      </c>
      <c r="AH54" s="121">
        <v>2</v>
      </c>
      <c r="AI54" s="484"/>
      <c r="AJ54" s="202"/>
      <c r="AK54" s="192"/>
      <c r="AL54" s="203"/>
      <c r="AM54" s="121"/>
      <c r="AN54" s="121"/>
      <c r="AO54" s="121"/>
      <c r="AP54" s="121"/>
      <c r="AQ54" s="121"/>
      <c r="AR54" s="121"/>
      <c r="AS54" s="121"/>
      <c r="AT54" s="121"/>
      <c r="AU54" s="121"/>
      <c r="AV54" s="121"/>
      <c r="AW54" s="121"/>
      <c r="AX54" s="121"/>
      <c r="AY54" s="121"/>
      <c r="AZ54" s="121"/>
      <c r="BA54" s="121"/>
      <c r="BB54" s="594"/>
      <c r="BC54" s="594"/>
      <c r="BD54" s="156"/>
      <c r="BE54" s="156"/>
      <c r="BF54" s="156"/>
      <c r="BG54" s="156"/>
      <c r="BH54" s="156"/>
      <c r="BI54" s="156"/>
      <c r="BJ54" s="156"/>
      <c r="BK54" s="156"/>
      <c r="BL54" s="156"/>
      <c r="BM54" s="156"/>
      <c r="BN54" s="156"/>
      <c r="BO54" s="156"/>
      <c r="BP54" s="156"/>
      <c r="BQ54" s="595"/>
      <c r="BR54" s="157"/>
      <c r="BS54" s="660"/>
      <c r="BT54" s="134"/>
      <c r="BU54" s="134"/>
      <c r="BV54" s="134"/>
      <c r="BW54" s="134"/>
      <c r="BX54" s="134"/>
      <c r="BY54" s="134"/>
      <c r="BZ54" s="259"/>
      <c r="CA54" s="454"/>
      <c r="CB54" s="138"/>
      <c r="CC54" s="134"/>
      <c r="CD54" s="134"/>
      <c r="CE54" s="134"/>
      <c r="CF54" s="138"/>
      <c r="CG54" s="134"/>
      <c r="CH54" s="134"/>
      <c r="CI54" s="134"/>
      <c r="CJ54" s="288"/>
      <c r="CK54" s="289"/>
      <c r="CL54" s="138"/>
      <c r="CM54" s="134"/>
      <c r="CN54" s="134"/>
      <c r="CO54" s="134"/>
      <c r="CP54" s="138"/>
      <c r="CQ54" s="134"/>
      <c r="CR54" s="134"/>
      <c r="CS54" s="134"/>
      <c r="CT54" s="288"/>
      <c r="CU54" s="289"/>
      <c r="CV54" s="276"/>
      <c r="CW54" s="308"/>
      <c r="CX54" s="138"/>
      <c r="CY54" s="134"/>
      <c r="CZ54" s="134"/>
      <c r="DA54" s="134"/>
      <c r="DB54" s="134"/>
      <c r="DC54" s="134"/>
      <c r="DD54" s="134"/>
      <c r="DE54" s="134"/>
      <c r="DF54" s="300"/>
      <c r="DG54" s="301"/>
      <c r="DH54" s="134"/>
      <c r="DI54" s="134"/>
      <c r="DJ54" s="134"/>
      <c r="DK54" s="134"/>
      <c r="DL54" s="134"/>
      <c r="DM54" s="134"/>
      <c r="DN54" s="134"/>
      <c r="DO54" s="134"/>
      <c r="DP54" s="300"/>
      <c r="DQ54" s="301"/>
      <c r="DR54" s="276"/>
      <c r="DS54" s="277"/>
      <c r="DT54" s="134"/>
      <c r="DU54" s="134"/>
      <c r="DV54" s="134"/>
      <c r="DW54" s="134"/>
      <c r="DX54" s="138"/>
      <c r="DY54" s="134"/>
      <c r="DZ54" s="134"/>
      <c r="EA54" s="134"/>
      <c r="EB54" s="301"/>
      <c r="EC54" s="301"/>
      <c r="ED54" s="138"/>
      <c r="EE54" s="134"/>
      <c r="EF54" s="134"/>
      <c r="EG54" s="134"/>
      <c r="EH54" s="138"/>
      <c r="EI54" s="134"/>
      <c r="EJ54" s="134"/>
      <c r="EK54" s="134"/>
      <c r="EL54" s="301"/>
      <c r="EM54" s="301"/>
      <c r="EN54" s="277"/>
      <c r="EO54" s="134"/>
      <c r="EP54" s="134"/>
      <c r="EQ54" s="134"/>
      <c r="ER54" s="134"/>
      <c r="ES54" s="134"/>
      <c r="ET54" s="134"/>
      <c r="EU54" s="134"/>
      <c r="EV54" s="134"/>
      <c r="EW54" s="301"/>
      <c r="EX54" s="301"/>
      <c r="EY54" s="134"/>
      <c r="EZ54" s="134"/>
      <c r="FA54" s="134"/>
      <c r="FB54" s="134"/>
      <c r="FC54" s="134"/>
      <c r="FD54" s="134"/>
      <c r="FE54" s="134"/>
      <c r="FF54" s="134"/>
      <c r="FG54" s="135"/>
      <c r="FH54" s="135"/>
      <c r="FI54" s="134"/>
      <c r="FJ54" s="134"/>
      <c r="FK54" s="134"/>
      <c r="FL54" s="134"/>
      <c r="FM54" s="134"/>
      <c r="FN54" s="134"/>
      <c r="FO54" s="134"/>
      <c r="FP54" s="134"/>
      <c r="FQ54" s="135"/>
      <c r="FR54" s="135"/>
      <c r="FS54" s="134"/>
      <c r="FT54" s="134"/>
      <c r="FU54" s="134"/>
      <c r="FV54" s="134"/>
      <c r="FW54" s="134"/>
      <c r="FX54" s="134"/>
      <c r="FY54" s="134"/>
      <c r="FZ54" s="134"/>
      <c r="GA54" s="135"/>
      <c r="GB54" s="135"/>
      <c r="GC54" s="134"/>
      <c r="GD54" s="134"/>
      <c r="GE54" s="134"/>
      <c r="GF54" s="134"/>
      <c r="GG54" s="134"/>
      <c r="GH54" s="134"/>
      <c r="GI54" s="134"/>
      <c r="GJ54" s="134"/>
      <c r="GK54" s="135"/>
      <c r="GL54" s="135"/>
      <c r="GM54" s="134"/>
      <c r="GN54" s="134"/>
      <c r="GO54" s="134"/>
      <c r="GP54" s="134"/>
      <c r="GQ54" s="134"/>
      <c r="GR54" s="134"/>
      <c r="GS54" s="134"/>
      <c r="GT54" s="134"/>
      <c r="GU54" s="135"/>
      <c r="GV54" s="135"/>
      <c r="GW54" s="134"/>
      <c r="GX54" s="134"/>
      <c r="GY54" s="134"/>
      <c r="GZ54" s="134"/>
      <c r="HA54" s="134"/>
      <c r="HB54" s="134"/>
      <c r="HC54" s="134"/>
      <c r="HD54" s="134"/>
      <c r="HE54" s="135"/>
      <c r="HF54" s="135"/>
      <c r="HG54" s="134"/>
      <c r="HH54" s="134"/>
      <c r="HI54" s="134"/>
      <c r="HJ54" s="134"/>
      <c r="HK54" s="134"/>
      <c r="HL54" s="134"/>
      <c r="HM54" s="134"/>
      <c r="HN54" s="134"/>
      <c r="HO54" s="135"/>
      <c r="HP54" s="135"/>
      <c r="HQ54" s="134"/>
      <c r="HR54" s="134"/>
      <c r="HS54" s="134"/>
      <c r="HT54" s="134"/>
      <c r="HU54" s="134"/>
      <c r="HV54" s="134"/>
      <c r="HW54" s="134"/>
      <c r="HX54" s="134"/>
      <c r="HY54" s="135"/>
      <c r="HZ54" s="135"/>
      <c r="IA54" s="134"/>
      <c r="IB54" s="134"/>
      <c r="IC54" s="134"/>
      <c r="ID54" s="134"/>
      <c r="IE54" s="134"/>
      <c r="IF54" s="134"/>
      <c r="IG54" s="134"/>
      <c r="IH54" s="134"/>
      <c r="II54" s="135"/>
      <c r="IJ54" s="135"/>
      <c r="IK54" s="134"/>
      <c r="IL54" s="134"/>
      <c r="IM54" s="134"/>
      <c r="IN54" s="134"/>
      <c r="IO54" s="134"/>
      <c r="IP54" s="134"/>
      <c r="IQ54" s="134"/>
      <c r="IR54" s="134"/>
      <c r="IS54" s="135"/>
      <c r="IT54" s="135"/>
      <c r="IU54" s="134"/>
      <c r="IV54" s="134"/>
      <c r="IW54" s="134"/>
      <c r="IX54" s="134"/>
      <c r="IY54" s="134"/>
      <c r="IZ54" s="134"/>
      <c r="JA54" s="134"/>
      <c r="JB54" s="134"/>
      <c r="JC54" s="135"/>
      <c r="JD54" s="135"/>
    </row>
    <row r="55" spans="1:264" s="119" customFormat="1" ht="15" customHeight="1">
      <c r="A55" s="79" t="s">
        <v>292</v>
      </c>
      <c r="B55" s="362">
        <v>210</v>
      </c>
      <c r="C55" s="362"/>
      <c r="D55" s="362">
        <v>83</v>
      </c>
      <c r="E55" s="604" t="s">
        <v>2018</v>
      </c>
      <c r="F55" s="124" t="s">
        <v>2250</v>
      </c>
      <c r="G55" s="125">
        <v>2002</v>
      </c>
      <c r="H55" s="79">
        <v>11848709</v>
      </c>
      <c r="I55" s="79">
        <v>1</v>
      </c>
      <c r="J55" s="126"/>
      <c r="K55" s="127"/>
      <c r="L55" s="79">
        <v>1</v>
      </c>
      <c r="M55" s="79"/>
      <c r="N55" s="79">
        <v>1</v>
      </c>
      <c r="O55" s="128">
        <v>1</v>
      </c>
      <c r="P55" s="79" t="s">
        <v>609</v>
      </c>
      <c r="Q55" s="79" t="s">
        <v>1158</v>
      </c>
      <c r="R55" s="79" t="s">
        <v>471</v>
      </c>
      <c r="S55" s="79">
        <v>0</v>
      </c>
      <c r="T55" s="79"/>
      <c r="U55" s="79"/>
      <c r="V55" s="79"/>
      <c r="W55" s="79" t="s">
        <v>610</v>
      </c>
      <c r="X55" s="79" t="s">
        <v>56</v>
      </c>
      <c r="Y55" s="79"/>
      <c r="Z55" s="79"/>
      <c r="AA55" s="79"/>
      <c r="AB55" s="79"/>
      <c r="AC55" s="506" t="s">
        <v>6285</v>
      </c>
      <c r="AD55" s="573">
        <v>1</v>
      </c>
      <c r="AE55" s="573">
        <v>0</v>
      </c>
      <c r="AF55" s="154"/>
      <c r="AG55" s="155"/>
      <c r="AH55" s="121"/>
      <c r="AI55" s="484"/>
      <c r="AJ55" s="202"/>
      <c r="AK55" s="192"/>
      <c r="AL55" s="203"/>
      <c r="AM55" s="121"/>
      <c r="AN55" s="121"/>
      <c r="AO55" s="121"/>
      <c r="AP55" s="121"/>
      <c r="AQ55" s="121"/>
      <c r="AR55" s="121"/>
      <c r="AS55" s="121"/>
      <c r="AT55" s="121"/>
      <c r="AU55" s="121"/>
      <c r="AV55" s="121"/>
      <c r="AW55" s="121"/>
      <c r="AX55" s="121"/>
      <c r="AY55" s="121"/>
      <c r="AZ55" s="121"/>
      <c r="BA55" s="121"/>
      <c r="BB55" s="594"/>
      <c r="BC55" s="594"/>
      <c r="BD55" s="156"/>
      <c r="BE55" s="156"/>
      <c r="BF55" s="156"/>
      <c r="BG55" s="156"/>
      <c r="BH55" s="156"/>
      <c r="BI55" s="156"/>
      <c r="BJ55" s="156"/>
      <c r="BK55" s="156"/>
      <c r="BL55" s="156" t="s">
        <v>5207</v>
      </c>
      <c r="BM55" s="156"/>
      <c r="BN55" s="156"/>
      <c r="BO55" s="156"/>
      <c r="BP55" s="156"/>
      <c r="BQ55" s="595"/>
      <c r="BR55" s="157"/>
      <c r="BS55" s="660"/>
      <c r="BT55" s="134"/>
      <c r="BU55" s="134"/>
      <c r="BV55" s="134"/>
      <c r="BW55" s="134"/>
      <c r="BX55" s="134"/>
      <c r="BY55" s="134"/>
      <c r="BZ55" s="259"/>
      <c r="CA55" s="454"/>
      <c r="CB55" s="138"/>
      <c r="CC55" s="134"/>
      <c r="CD55" s="134"/>
      <c r="CE55" s="134"/>
      <c r="CF55" s="138"/>
      <c r="CG55" s="134"/>
      <c r="CH55" s="134"/>
      <c r="CI55" s="134"/>
      <c r="CJ55" s="288"/>
      <c r="CK55" s="289"/>
      <c r="CL55" s="138"/>
      <c r="CM55" s="134"/>
      <c r="CN55" s="134"/>
      <c r="CO55" s="134"/>
      <c r="CP55" s="138"/>
      <c r="CQ55" s="134"/>
      <c r="CR55" s="134"/>
      <c r="CS55" s="134"/>
      <c r="CT55" s="288"/>
      <c r="CU55" s="289"/>
      <c r="CV55" s="276"/>
      <c r="CW55" s="308"/>
      <c r="CX55" s="138"/>
      <c r="CY55" s="134"/>
      <c r="CZ55" s="134"/>
      <c r="DA55" s="134"/>
      <c r="DB55" s="134"/>
      <c r="DC55" s="134"/>
      <c r="DD55" s="134"/>
      <c r="DE55" s="134"/>
      <c r="DF55" s="300"/>
      <c r="DG55" s="301"/>
      <c r="DH55" s="134"/>
      <c r="DI55" s="134"/>
      <c r="DJ55" s="134"/>
      <c r="DK55" s="134"/>
      <c r="DL55" s="134"/>
      <c r="DM55" s="134"/>
      <c r="DN55" s="134"/>
      <c r="DO55" s="134"/>
      <c r="DP55" s="300"/>
      <c r="DQ55" s="301"/>
      <c r="DR55" s="276"/>
      <c r="DS55" s="277"/>
      <c r="DT55" s="134"/>
      <c r="DU55" s="134"/>
      <c r="DV55" s="134"/>
      <c r="DW55" s="134"/>
      <c r="DX55" s="138"/>
      <c r="DY55" s="134"/>
      <c r="DZ55" s="134"/>
      <c r="EA55" s="134"/>
      <c r="EB55" s="301"/>
      <c r="EC55" s="301"/>
      <c r="ED55" s="138"/>
      <c r="EE55" s="134"/>
      <c r="EF55" s="134"/>
      <c r="EG55" s="134"/>
      <c r="EH55" s="138"/>
      <c r="EI55" s="134"/>
      <c r="EJ55" s="134"/>
      <c r="EK55" s="134"/>
      <c r="EL55" s="301"/>
      <c r="EM55" s="301"/>
      <c r="EN55" s="277"/>
      <c r="EO55" s="134"/>
      <c r="EP55" s="134"/>
      <c r="EQ55" s="134"/>
      <c r="ER55" s="134"/>
      <c r="ES55" s="134"/>
      <c r="ET55" s="134"/>
      <c r="EU55" s="134"/>
      <c r="EV55" s="134"/>
      <c r="EW55" s="301"/>
      <c r="EX55" s="301"/>
      <c r="EY55" s="134"/>
      <c r="EZ55" s="134"/>
      <c r="FA55" s="134"/>
      <c r="FB55" s="134"/>
      <c r="FC55" s="134"/>
      <c r="FD55" s="134"/>
      <c r="FE55" s="134"/>
      <c r="FF55" s="134"/>
      <c r="FG55" s="135"/>
      <c r="FH55" s="135"/>
      <c r="FI55" s="134"/>
      <c r="FJ55" s="134"/>
      <c r="FK55" s="134"/>
      <c r="FL55" s="134"/>
      <c r="FM55" s="134"/>
      <c r="FN55" s="134"/>
      <c r="FO55" s="134"/>
      <c r="FP55" s="134"/>
      <c r="FQ55" s="135"/>
      <c r="FR55" s="135"/>
      <c r="FS55" s="134"/>
      <c r="FT55" s="134"/>
      <c r="FU55" s="134"/>
      <c r="FV55" s="134"/>
      <c r="FW55" s="134"/>
      <c r="FX55" s="134"/>
      <c r="FY55" s="134"/>
      <c r="FZ55" s="134"/>
      <c r="GA55" s="135"/>
      <c r="GB55" s="135"/>
      <c r="GC55" s="134"/>
      <c r="GD55" s="134"/>
      <c r="GE55" s="134"/>
      <c r="GF55" s="134"/>
      <c r="GG55" s="134"/>
      <c r="GH55" s="134"/>
      <c r="GI55" s="134"/>
      <c r="GJ55" s="134"/>
      <c r="GK55" s="135"/>
      <c r="GL55" s="135"/>
      <c r="GM55" s="134"/>
      <c r="GN55" s="134"/>
      <c r="GO55" s="134"/>
      <c r="GP55" s="134"/>
      <c r="GQ55" s="134"/>
      <c r="GR55" s="134"/>
      <c r="GS55" s="134"/>
      <c r="GT55" s="134"/>
      <c r="GU55" s="135"/>
      <c r="GV55" s="135"/>
      <c r="GW55" s="134"/>
      <c r="GX55" s="134"/>
      <c r="GY55" s="134"/>
      <c r="GZ55" s="134"/>
      <c r="HA55" s="134"/>
      <c r="HB55" s="134"/>
      <c r="HC55" s="134"/>
      <c r="HD55" s="134"/>
      <c r="HE55" s="135"/>
      <c r="HF55" s="135"/>
      <c r="HG55" s="134"/>
      <c r="HH55" s="134"/>
      <c r="HI55" s="134"/>
      <c r="HJ55" s="134"/>
      <c r="HK55" s="134"/>
      <c r="HL55" s="134"/>
      <c r="HM55" s="134"/>
      <c r="HN55" s="134"/>
      <c r="HO55" s="135"/>
      <c r="HP55" s="135"/>
      <c r="HQ55" s="134"/>
      <c r="HR55" s="134"/>
      <c r="HS55" s="134"/>
      <c r="HT55" s="134"/>
      <c r="HU55" s="134"/>
      <c r="HV55" s="134"/>
      <c r="HW55" s="134"/>
      <c r="HX55" s="134"/>
      <c r="HY55" s="135"/>
      <c r="HZ55" s="135"/>
      <c r="IA55" s="134"/>
      <c r="IB55" s="134"/>
      <c r="IC55" s="134"/>
      <c r="ID55" s="134"/>
      <c r="IE55" s="134"/>
      <c r="IF55" s="134"/>
      <c r="IG55" s="134"/>
      <c r="IH55" s="134"/>
      <c r="II55" s="135"/>
      <c r="IJ55" s="135"/>
      <c r="IK55" s="134"/>
      <c r="IL55" s="134"/>
      <c r="IM55" s="134"/>
      <c r="IN55" s="134"/>
      <c r="IO55" s="134"/>
      <c r="IP55" s="134"/>
      <c r="IQ55" s="134"/>
      <c r="IR55" s="134"/>
      <c r="IS55" s="135"/>
      <c r="IT55" s="135"/>
      <c r="IU55" s="134"/>
      <c r="IV55" s="134"/>
      <c r="IW55" s="134"/>
      <c r="IX55" s="134"/>
      <c r="IY55" s="134"/>
      <c r="IZ55" s="134"/>
      <c r="JA55" s="134"/>
      <c r="JB55" s="134"/>
      <c r="JC55" s="135"/>
      <c r="JD55" s="135"/>
    </row>
    <row r="56" spans="1:264" s="119" customFormat="1" ht="15" customHeight="1">
      <c r="A56" s="79" t="s">
        <v>294</v>
      </c>
      <c r="B56" s="362">
        <v>211</v>
      </c>
      <c r="C56" s="362"/>
      <c r="D56" s="362">
        <v>84</v>
      </c>
      <c r="E56" s="604" t="s">
        <v>2019</v>
      </c>
      <c r="F56" s="124" t="s">
        <v>2251</v>
      </c>
      <c r="G56" s="125">
        <v>2011</v>
      </c>
      <c r="H56" s="79">
        <v>21724666</v>
      </c>
      <c r="I56" s="79">
        <v>1</v>
      </c>
      <c r="J56" s="126"/>
      <c r="K56" s="127"/>
      <c r="L56" s="79">
        <v>1</v>
      </c>
      <c r="M56" s="79"/>
      <c r="N56" s="79">
        <v>1</v>
      </c>
      <c r="O56" s="128">
        <v>1</v>
      </c>
      <c r="P56" s="79" t="s">
        <v>771</v>
      </c>
      <c r="Q56" s="79" t="s">
        <v>1146</v>
      </c>
      <c r="R56" s="79" t="s">
        <v>768</v>
      </c>
      <c r="S56" s="79">
        <v>0</v>
      </c>
      <c r="T56" s="79"/>
      <c r="U56" s="79"/>
      <c r="V56" s="79"/>
      <c r="W56" s="79" t="s">
        <v>769</v>
      </c>
      <c r="X56" s="79" t="s">
        <v>56</v>
      </c>
      <c r="Y56" s="79" t="s">
        <v>24</v>
      </c>
      <c r="Z56" s="79" t="s">
        <v>770</v>
      </c>
      <c r="AA56" s="79"/>
      <c r="AB56" s="79"/>
      <c r="AC56" s="506" t="s">
        <v>6286</v>
      </c>
      <c r="AD56" s="573">
        <v>1</v>
      </c>
      <c r="AE56" s="573">
        <v>0</v>
      </c>
      <c r="AF56" s="154"/>
      <c r="AG56" s="155"/>
      <c r="AH56" s="121"/>
      <c r="AI56" s="484"/>
      <c r="AJ56" s="202"/>
      <c r="AK56" s="192"/>
      <c r="AL56" s="203"/>
      <c r="AM56" s="121"/>
      <c r="AN56" s="121"/>
      <c r="AO56" s="121"/>
      <c r="AP56" s="121"/>
      <c r="AQ56" s="121"/>
      <c r="AR56" s="121"/>
      <c r="AS56" s="121"/>
      <c r="AT56" s="121"/>
      <c r="AU56" s="121"/>
      <c r="AV56" s="121"/>
      <c r="AW56" s="121"/>
      <c r="AX56" s="121"/>
      <c r="AY56" s="121"/>
      <c r="AZ56" s="121"/>
      <c r="BA56" s="121"/>
      <c r="BB56" s="594"/>
      <c r="BC56" s="594"/>
      <c r="BD56" s="156"/>
      <c r="BE56" s="156"/>
      <c r="BF56" s="156"/>
      <c r="BG56" s="156" t="s">
        <v>6175</v>
      </c>
      <c r="BH56" s="156"/>
      <c r="BI56" s="156" t="s">
        <v>4727</v>
      </c>
      <c r="BJ56" s="156"/>
      <c r="BK56" s="156" t="s">
        <v>6278</v>
      </c>
      <c r="BL56" s="156"/>
      <c r="BM56" s="156"/>
      <c r="BN56" s="156"/>
      <c r="BO56" s="156"/>
      <c r="BP56" s="156"/>
      <c r="BQ56" s="595"/>
      <c r="BR56" s="157"/>
      <c r="BS56" s="660"/>
      <c r="BT56" s="134"/>
      <c r="BU56" s="134"/>
      <c r="BV56" s="134"/>
      <c r="BW56" s="134"/>
      <c r="BX56" s="134"/>
      <c r="BY56" s="134"/>
      <c r="BZ56" s="259"/>
      <c r="CA56" s="454"/>
      <c r="CB56" s="138"/>
      <c r="CC56" s="134"/>
      <c r="CD56" s="134"/>
      <c r="CE56" s="134"/>
      <c r="CF56" s="138"/>
      <c r="CG56" s="134"/>
      <c r="CH56" s="134"/>
      <c r="CI56" s="134"/>
      <c r="CJ56" s="288"/>
      <c r="CK56" s="289"/>
      <c r="CL56" s="138"/>
      <c r="CM56" s="134"/>
      <c r="CN56" s="134"/>
      <c r="CO56" s="134"/>
      <c r="CP56" s="138"/>
      <c r="CQ56" s="134"/>
      <c r="CR56" s="134"/>
      <c r="CS56" s="134"/>
      <c r="CT56" s="288"/>
      <c r="CU56" s="289"/>
      <c r="CV56" s="276"/>
      <c r="CW56" s="308"/>
      <c r="CX56" s="138"/>
      <c r="CY56" s="134"/>
      <c r="CZ56" s="134"/>
      <c r="DA56" s="134"/>
      <c r="DB56" s="134"/>
      <c r="DC56" s="134"/>
      <c r="DD56" s="134"/>
      <c r="DE56" s="134"/>
      <c r="DF56" s="300"/>
      <c r="DG56" s="301"/>
      <c r="DH56" s="134"/>
      <c r="DI56" s="134"/>
      <c r="DJ56" s="134"/>
      <c r="DK56" s="134"/>
      <c r="DL56" s="134"/>
      <c r="DM56" s="134"/>
      <c r="DN56" s="134"/>
      <c r="DO56" s="134"/>
      <c r="DP56" s="300"/>
      <c r="DQ56" s="301"/>
      <c r="DR56" s="276"/>
      <c r="DS56" s="277"/>
      <c r="DT56" s="134"/>
      <c r="DU56" s="134"/>
      <c r="DV56" s="134"/>
      <c r="DW56" s="134"/>
      <c r="DX56" s="138"/>
      <c r="DY56" s="134"/>
      <c r="DZ56" s="134"/>
      <c r="EA56" s="134"/>
      <c r="EB56" s="301"/>
      <c r="EC56" s="301"/>
      <c r="ED56" s="138"/>
      <c r="EE56" s="134"/>
      <c r="EF56" s="134"/>
      <c r="EG56" s="134"/>
      <c r="EH56" s="138"/>
      <c r="EI56" s="134"/>
      <c r="EJ56" s="134"/>
      <c r="EK56" s="134"/>
      <c r="EL56" s="301"/>
      <c r="EM56" s="301"/>
      <c r="EN56" s="277"/>
      <c r="EO56" s="134"/>
      <c r="EP56" s="134"/>
      <c r="EQ56" s="134"/>
      <c r="ER56" s="134"/>
      <c r="ES56" s="134"/>
      <c r="ET56" s="134"/>
      <c r="EU56" s="134"/>
      <c r="EV56" s="134"/>
      <c r="EW56" s="301"/>
      <c r="EX56" s="301"/>
      <c r="EY56" s="134"/>
      <c r="EZ56" s="134"/>
      <c r="FA56" s="134"/>
      <c r="FB56" s="134"/>
      <c r="FC56" s="134"/>
      <c r="FD56" s="134"/>
      <c r="FE56" s="134"/>
      <c r="FF56" s="134"/>
      <c r="FG56" s="135"/>
      <c r="FH56" s="135"/>
      <c r="FI56" s="134"/>
      <c r="FJ56" s="134"/>
      <c r="FK56" s="134"/>
      <c r="FL56" s="134"/>
      <c r="FM56" s="134"/>
      <c r="FN56" s="134"/>
      <c r="FO56" s="134"/>
      <c r="FP56" s="134"/>
      <c r="FQ56" s="135"/>
      <c r="FR56" s="135"/>
      <c r="FS56" s="134"/>
      <c r="FT56" s="134"/>
      <c r="FU56" s="134"/>
      <c r="FV56" s="134"/>
      <c r="FW56" s="134"/>
      <c r="FX56" s="134"/>
      <c r="FY56" s="134"/>
      <c r="FZ56" s="134"/>
      <c r="GA56" s="135"/>
      <c r="GB56" s="135"/>
      <c r="GC56" s="134"/>
      <c r="GD56" s="134"/>
      <c r="GE56" s="134"/>
      <c r="GF56" s="134"/>
      <c r="GG56" s="134"/>
      <c r="GH56" s="134"/>
      <c r="GI56" s="134"/>
      <c r="GJ56" s="134"/>
      <c r="GK56" s="135"/>
      <c r="GL56" s="135"/>
      <c r="GM56" s="134"/>
      <c r="GN56" s="134"/>
      <c r="GO56" s="134"/>
      <c r="GP56" s="134"/>
      <c r="GQ56" s="134"/>
      <c r="GR56" s="134"/>
      <c r="GS56" s="134"/>
      <c r="GT56" s="134"/>
      <c r="GU56" s="135"/>
      <c r="GV56" s="135"/>
      <c r="GW56" s="134"/>
      <c r="GX56" s="134"/>
      <c r="GY56" s="134"/>
      <c r="GZ56" s="134"/>
      <c r="HA56" s="134"/>
      <c r="HB56" s="134"/>
      <c r="HC56" s="134"/>
      <c r="HD56" s="134"/>
      <c r="HE56" s="135"/>
      <c r="HF56" s="135"/>
      <c r="HG56" s="134"/>
      <c r="HH56" s="134"/>
      <c r="HI56" s="134"/>
      <c r="HJ56" s="134"/>
      <c r="HK56" s="134"/>
      <c r="HL56" s="134"/>
      <c r="HM56" s="134"/>
      <c r="HN56" s="134"/>
      <c r="HO56" s="135"/>
      <c r="HP56" s="135"/>
      <c r="HQ56" s="134"/>
      <c r="HR56" s="134"/>
      <c r="HS56" s="134"/>
      <c r="HT56" s="134"/>
      <c r="HU56" s="134"/>
      <c r="HV56" s="134"/>
      <c r="HW56" s="134"/>
      <c r="HX56" s="134"/>
      <c r="HY56" s="135"/>
      <c r="HZ56" s="135"/>
      <c r="IA56" s="134"/>
      <c r="IB56" s="134"/>
      <c r="IC56" s="134"/>
      <c r="ID56" s="134"/>
      <c r="IE56" s="134"/>
      <c r="IF56" s="134"/>
      <c r="IG56" s="134"/>
      <c r="IH56" s="134"/>
      <c r="II56" s="135"/>
      <c r="IJ56" s="135"/>
      <c r="IK56" s="134"/>
      <c r="IL56" s="134"/>
      <c r="IM56" s="134"/>
      <c r="IN56" s="134"/>
      <c r="IO56" s="134"/>
      <c r="IP56" s="134"/>
      <c r="IQ56" s="134"/>
      <c r="IR56" s="134"/>
      <c r="IS56" s="135"/>
      <c r="IT56" s="135"/>
      <c r="IU56" s="134"/>
      <c r="IV56" s="134"/>
      <c r="IW56" s="134"/>
      <c r="IX56" s="134"/>
      <c r="IY56" s="134"/>
      <c r="IZ56" s="134"/>
      <c r="JA56" s="134"/>
      <c r="JB56" s="134"/>
      <c r="JC56" s="135"/>
      <c r="JD56" s="135"/>
    </row>
    <row r="57" spans="1:264" s="119" customFormat="1" ht="15" customHeight="1">
      <c r="A57" s="79" t="s">
        <v>295</v>
      </c>
      <c r="B57" s="362">
        <v>212</v>
      </c>
      <c r="C57" s="362"/>
      <c r="D57" s="362">
        <v>85</v>
      </c>
      <c r="E57" s="604" t="s">
        <v>2020</v>
      </c>
      <c r="F57" s="124" t="s">
        <v>2252</v>
      </c>
      <c r="G57" s="125">
        <v>2014</v>
      </c>
      <c r="H57" s="79">
        <v>25150386</v>
      </c>
      <c r="I57" s="79">
        <v>1</v>
      </c>
      <c r="J57" s="126"/>
      <c r="K57" s="127"/>
      <c r="L57" s="79">
        <v>1</v>
      </c>
      <c r="M57" s="79"/>
      <c r="N57" s="79">
        <v>1</v>
      </c>
      <c r="O57" s="128">
        <v>1</v>
      </c>
      <c r="P57" s="79" t="s">
        <v>773</v>
      </c>
      <c r="Q57" s="79" t="s">
        <v>1192</v>
      </c>
      <c r="R57" s="79" t="s">
        <v>762</v>
      </c>
      <c r="S57" s="79">
        <v>1</v>
      </c>
      <c r="T57" s="79"/>
      <c r="U57" s="79"/>
      <c r="V57" s="79"/>
      <c r="W57" s="79" t="s">
        <v>772</v>
      </c>
      <c r="X57" s="79" t="s">
        <v>33</v>
      </c>
      <c r="Y57" s="79"/>
      <c r="Z57" s="79"/>
      <c r="AA57" s="79"/>
      <c r="AB57" s="79"/>
      <c r="AC57" s="506" t="s">
        <v>6287</v>
      </c>
      <c r="AD57" s="573">
        <v>1</v>
      </c>
      <c r="AE57" s="573">
        <v>0</v>
      </c>
      <c r="AF57" s="154"/>
      <c r="AG57" s="155"/>
      <c r="AH57" s="121">
        <v>2</v>
      </c>
      <c r="AI57" s="484"/>
      <c r="AJ57" s="202"/>
      <c r="AK57" s="192"/>
      <c r="AL57" s="203"/>
      <c r="AM57" s="121"/>
      <c r="AN57" s="121"/>
      <c r="AO57" s="121"/>
      <c r="AP57" s="121"/>
      <c r="AQ57" s="121"/>
      <c r="AR57" s="121"/>
      <c r="AS57" s="121"/>
      <c r="AT57" s="121"/>
      <c r="AU57" s="121"/>
      <c r="AV57" s="121"/>
      <c r="AW57" s="121"/>
      <c r="AX57" s="121"/>
      <c r="AY57" s="121"/>
      <c r="AZ57" s="121"/>
      <c r="BA57" s="121"/>
      <c r="BB57" s="594"/>
      <c r="BC57" s="594"/>
      <c r="BD57" s="156"/>
      <c r="BE57" s="156"/>
      <c r="BF57" s="156"/>
      <c r="BG57" s="156" t="s">
        <v>6237</v>
      </c>
      <c r="BH57" s="156"/>
      <c r="BI57" s="156" t="s">
        <v>4727</v>
      </c>
      <c r="BJ57" s="156"/>
      <c r="BK57" s="156" t="s">
        <v>6243</v>
      </c>
      <c r="BL57" s="156"/>
      <c r="BM57" s="156"/>
      <c r="BN57" s="156"/>
      <c r="BO57" s="156"/>
      <c r="BP57" s="156"/>
      <c r="BQ57" s="595"/>
      <c r="BR57" s="157"/>
      <c r="BS57" s="660"/>
      <c r="BT57" s="134"/>
      <c r="BU57" s="134"/>
      <c r="BV57" s="134"/>
      <c r="BW57" s="134"/>
      <c r="BX57" s="134"/>
      <c r="BY57" s="134"/>
      <c r="BZ57" s="259"/>
      <c r="CA57" s="454"/>
      <c r="CB57" s="138"/>
      <c r="CC57" s="134"/>
      <c r="CD57" s="134"/>
      <c r="CE57" s="134"/>
      <c r="CF57" s="138"/>
      <c r="CG57" s="134"/>
      <c r="CH57" s="134"/>
      <c r="CI57" s="134"/>
      <c r="CJ57" s="288"/>
      <c r="CK57" s="289"/>
      <c r="CL57" s="138"/>
      <c r="CM57" s="134"/>
      <c r="CN57" s="134"/>
      <c r="CO57" s="134"/>
      <c r="CP57" s="138"/>
      <c r="CQ57" s="134"/>
      <c r="CR57" s="134"/>
      <c r="CS57" s="134"/>
      <c r="CT57" s="288"/>
      <c r="CU57" s="289"/>
      <c r="CV57" s="276"/>
      <c r="CW57" s="308"/>
      <c r="CX57" s="138"/>
      <c r="CY57" s="190"/>
      <c r="CZ57" s="134"/>
      <c r="DA57" s="190"/>
      <c r="DB57" s="134"/>
      <c r="DC57" s="190"/>
      <c r="DD57" s="134"/>
      <c r="DE57" s="190"/>
      <c r="DF57" s="300"/>
      <c r="DG57" s="301"/>
      <c r="DH57" s="134"/>
      <c r="DI57" s="134"/>
      <c r="DJ57" s="134"/>
      <c r="DK57" s="134"/>
      <c r="DL57" s="134"/>
      <c r="DM57" s="134"/>
      <c r="DN57" s="134"/>
      <c r="DO57" s="134"/>
      <c r="DP57" s="300"/>
      <c r="DQ57" s="301"/>
      <c r="DR57" s="276"/>
      <c r="DS57" s="277"/>
      <c r="DT57" s="134"/>
      <c r="DU57" s="134"/>
      <c r="DV57" s="134"/>
      <c r="DW57" s="134"/>
      <c r="DX57" s="138"/>
      <c r="DY57" s="134"/>
      <c r="DZ57" s="134"/>
      <c r="EA57" s="134"/>
      <c r="EB57" s="301"/>
      <c r="EC57" s="301"/>
      <c r="ED57" s="138"/>
      <c r="EE57" s="134"/>
      <c r="EF57" s="134"/>
      <c r="EG57" s="134"/>
      <c r="EH57" s="138"/>
      <c r="EI57" s="134"/>
      <c r="EJ57" s="134"/>
      <c r="EK57" s="134"/>
      <c r="EL57" s="301"/>
      <c r="EM57" s="469"/>
      <c r="EN57" s="277"/>
      <c r="EO57" s="134"/>
      <c r="EP57" s="134"/>
      <c r="EQ57" s="134"/>
      <c r="ER57" s="134"/>
      <c r="ES57" s="134"/>
      <c r="ET57" s="134"/>
      <c r="EU57" s="134"/>
      <c r="EV57" s="134"/>
      <c r="EW57" s="301"/>
      <c r="EX57" s="301"/>
      <c r="EY57" s="134"/>
      <c r="EZ57" s="134"/>
      <c r="FA57" s="134"/>
      <c r="FB57" s="134"/>
      <c r="FC57" s="134"/>
      <c r="FD57" s="134"/>
      <c r="FE57" s="134"/>
      <c r="FF57" s="134"/>
      <c r="FG57" s="135"/>
      <c r="FH57" s="135"/>
      <c r="FI57" s="134"/>
      <c r="FJ57" s="134"/>
      <c r="FK57" s="134"/>
      <c r="FL57" s="134"/>
      <c r="FM57" s="134"/>
      <c r="FN57" s="134"/>
      <c r="FO57" s="134"/>
      <c r="FP57" s="134"/>
      <c r="FQ57" s="135"/>
      <c r="FR57" s="135"/>
      <c r="FS57" s="134"/>
      <c r="FT57" s="134"/>
      <c r="FU57" s="134"/>
      <c r="FV57" s="134"/>
      <c r="FW57" s="134"/>
      <c r="FX57" s="134"/>
      <c r="FY57" s="134"/>
      <c r="FZ57" s="134"/>
      <c r="GA57" s="135"/>
      <c r="GB57" s="135"/>
      <c r="GC57" s="134"/>
      <c r="GD57" s="134"/>
      <c r="GE57" s="134"/>
      <c r="GF57" s="134"/>
      <c r="GG57" s="134"/>
      <c r="GH57" s="134"/>
      <c r="GI57" s="134"/>
      <c r="GJ57" s="134"/>
      <c r="GK57" s="135"/>
      <c r="GL57" s="135"/>
      <c r="GM57" s="134"/>
      <c r="GN57" s="134"/>
      <c r="GO57" s="134"/>
      <c r="GP57" s="134"/>
      <c r="GQ57" s="134"/>
      <c r="GR57" s="134"/>
      <c r="GS57" s="134"/>
      <c r="GT57" s="134"/>
      <c r="GU57" s="135"/>
      <c r="GV57" s="135"/>
      <c r="GW57" s="134"/>
      <c r="GX57" s="134"/>
      <c r="GY57" s="134"/>
      <c r="GZ57" s="134"/>
      <c r="HA57" s="134"/>
      <c r="HB57" s="134"/>
      <c r="HC57" s="134"/>
      <c r="HD57" s="134"/>
      <c r="HE57" s="135"/>
      <c r="HF57" s="135"/>
      <c r="HG57" s="134"/>
      <c r="HH57" s="134"/>
      <c r="HI57" s="134"/>
      <c r="HJ57" s="134"/>
      <c r="HK57" s="134"/>
      <c r="HL57" s="134"/>
      <c r="HM57" s="134"/>
      <c r="HN57" s="134"/>
      <c r="HO57" s="135"/>
      <c r="HP57" s="135"/>
      <c r="HQ57" s="134"/>
      <c r="HR57" s="134"/>
      <c r="HS57" s="134"/>
      <c r="HT57" s="134"/>
      <c r="HU57" s="134"/>
      <c r="HV57" s="134"/>
      <c r="HW57" s="134"/>
      <c r="HX57" s="134"/>
      <c r="HY57" s="135"/>
      <c r="HZ57" s="135"/>
      <c r="IA57" s="134"/>
      <c r="IB57" s="134"/>
      <c r="IC57" s="134"/>
      <c r="ID57" s="134"/>
      <c r="IE57" s="134"/>
      <c r="IF57" s="134"/>
      <c r="IG57" s="134"/>
      <c r="IH57" s="134"/>
      <c r="II57" s="135"/>
      <c r="IJ57" s="135"/>
      <c r="IK57" s="134"/>
      <c r="IL57" s="134"/>
      <c r="IM57" s="134"/>
      <c r="IN57" s="134"/>
      <c r="IO57" s="134"/>
      <c r="IP57" s="134"/>
      <c r="IQ57" s="134"/>
      <c r="IR57" s="134"/>
      <c r="IS57" s="135"/>
      <c r="IT57" s="135"/>
      <c r="IU57" s="134"/>
      <c r="IV57" s="134"/>
      <c r="IW57" s="134"/>
      <c r="IX57" s="134"/>
      <c r="IY57" s="134"/>
      <c r="IZ57" s="134"/>
      <c r="JA57" s="134"/>
      <c r="JB57" s="134"/>
      <c r="JC57" s="135"/>
      <c r="JD57" s="135"/>
    </row>
    <row r="58" spans="1:264" s="119" customFormat="1" ht="15" customHeight="1">
      <c r="A58" s="79" t="s">
        <v>296</v>
      </c>
      <c r="B58" s="362">
        <v>213</v>
      </c>
      <c r="C58" s="362"/>
      <c r="D58" s="362">
        <v>86</v>
      </c>
      <c r="E58" s="604" t="s">
        <v>2020</v>
      </c>
      <c r="F58" s="124" t="s">
        <v>2253</v>
      </c>
      <c r="G58" s="125">
        <v>2014</v>
      </c>
      <c r="H58" s="79">
        <v>24342149</v>
      </c>
      <c r="I58" s="79">
        <v>1</v>
      </c>
      <c r="J58" s="126"/>
      <c r="K58" s="127"/>
      <c r="L58" s="79">
        <v>1</v>
      </c>
      <c r="M58" s="79"/>
      <c r="N58" s="164">
        <v>1</v>
      </c>
      <c r="O58" s="128">
        <v>1</v>
      </c>
      <c r="P58" s="79" t="s">
        <v>775</v>
      </c>
      <c r="Q58" s="79" t="s">
        <v>1164</v>
      </c>
      <c r="R58" s="79" t="s">
        <v>762</v>
      </c>
      <c r="S58" s="79">
        <v>1</v>
      </c>
      <c r="T58" s="79"/>
      <c r="U58" s="79"/>
      <c r="V58" s="79"/>
      <c r="W58" s="79" t="s">
        <v>774</v>
      </c>
      <c r="X58" s="79" t="s">
        <v>33</v>
      </c>
      <c r="Y58" s="79"/>
      <c r="Z58" s="79"/>
      <c r="AA58" s="79"/>
      <c r="AB58" s="79" t="s">
        <v>776</v>
      </c>
      <c r="AC58" s="506" t="s">
        <v>6288</v>
      </c>
      <c r="AD58" s="573">
        <v>1</v>
      </c>
      <c r="AE58" s="573">
        <v>0</v>
      </c>
      <c r="AF58" s="154"/>
      <c r="AG58" s="155"/>
      <c r="AH58" s="121">
        <v>2</v>
      </c>
      <c r="AI58" s="484"/>
      <c r="AJ58" s="202"/>
      <c r="AK58" s="192"/>
      <c r="AL58" s="203"/>
      <c r="AM58" s="121"/>
      <c r="AN58" s="121"/>
      <c r="AO58" s="121"/>
      <c r="AP58" s="121"/>
      <c r="AQ58" s="121"/>
      <c r="AR58" s="121"/>
      <c r="AS58" s="121"/>
      <c r="AT58" s="121"/>
      <c r="AU58" s="121"/>
      <c r="AV58" s="121"/>
      <c r="AW58" s="121"/>
      <c r="AX58" s="121"/>
      <c r="AY58" s="121"/>
      <c r="AZ58" s="121"/>
      <c r="BA58" s="121"/>
      <c r="BB58" s="594"/>
      <c r="BC58" s="594"/>
      <c r="BD58" s="156"/>
      <c r="BE58" s="156"/>
      <c r="BF58" s="156"/>
      <c r="BG58" s="156"/>
      <c r="BH58" s="156"/>
      <c r="BI58" s="156"/>
      <c r="BJ58" s="156"/>
      <c r="BK58" s="156"/>
      <c r="BL58" s="156"/>
      <c r="BM58" s="156"/>
      <c r="BN58" s="156"/>
      <c r="BO58" s="156"/>
      <c r="BP58" s="156" t="s">
        <v>5545</v>
      </c>
      <c r="BQ58" s="595"/>
      <c r="BR58" s="157"/>
      <c r="BS58" s="660"/>
      <c r="BT58" s="134"/>
      <c r="BU58" s="134"/>
      <c r="BV58" s="134"/>
      <c r="BW58" s="134"/>
      <c r="BX58" s="134"/>
      <c r="BY58" s="134"/>
      <c r="BZ58" s="259"/>
      <c r="CA58" s="454"/>
      <c r="CB58" s="138"/>
      <c r="CC58" s="134"/>
      <c r="CD58" s="134"/>
      <c r="CE58" s="134"/>
      <c r="CF58" s="138"/>
      <c r="CG58" s="134"/>
      <c r="CH58" s="134"/>
      <c r="CI58" s="134"/>
      <c r="CJ58" s="288"/>
      <c r="CK58" s="289"/>
      <c r="CL58" s="138"/>
      <c r="CM58" s="134"/>
      <c r="CN58" s="134"/>
      <c r="CO58" s="134"/>
      <c r="CP58" s="138"/>
      <c r="CQ58" s="134"/>
      <c r="CR58" s="134"/>
      <c r="CS58" s="134"/>
      <c r="CT58" s="288"/>
      <c r="CU58" s="289"/>
      <c r="CV58" s="276"/>
      <c r="CW58" s="308"/>
      <c r="CX58" s="138"/>
      <c r="CY58" s="134"/>
      <c r="CZ58" s="134"/>
      <c r="DA58" s="134"/>
      <c r="DB58" s="134"/>
      <c r="DC58" s="134"/>
      <c r="DD58" s="134"/>
      <c r="DE58" s="190"/>
      <c r="DF58" s="300"/>
      <c r="DG58" s="301"/>
      <c r="DH58" s="134"/>
      <c r="DI58" s="134"/>
      <c r="DJ58" s="134"/>
      <c r="DK58" s="134"/>
      <c r="DL58" s="134"/>
      <c r="DM58" s="134"/>
      <c r="DN58" s="134"/>
      <c r="DO58" s="134"/>
      <c r="DP58" s="300"/>
      <c r="DQ58" s="301"/>
      <c r="DR58" s="276"/>
      <c r="DS58" s="277"/>
      <c r="DT58" s="134"/>
      <c r="DU58" s="134"/>
      <c r="DV58" s="134"/>
      <c r="DW58" s="134"/>
      <c r="DX58" s="138"/>
      <c r="DY58" s="134"/>
      <c r="DZ58" s="134"/>
      <c r="EA58" s="134"/>
      <c r="EB58" s="301"/>
      <c r="EC58" s="301"/>
      <c r="ED58" s="138"/>
      <c r="EE58" s="134"/>
      <c r="EF58" s="134"/>
      <c r="EG58" s="134"/>
      <c r="EH58" s="138"/>
      <c r="EI58" s="134"/>
      <c r="EJ58" s="134"/>
      <c r="EK58" s="134"/>
      <c r="EL58" s="301"/>
      <c r="EM58" s="301"/>
      <c r="EN58" s="277"/>
      <c r="EO58" s="134"/>
      <c r="EP58" s="134"/>
      <c r="EQ58" s="134"/>
      <c r="ER58" s="134"/>
      <c r="ES58" s="134"/>
      <c r="ET58" s="134"/>
      <c r="EU58" s="134"/>
      <c r="EV58" s="134"/>
      <c r="EW58" s="301"/>
      <c r="EX58" s="301"/>
      <c r="EY58" s="134"/>
      <c r="EZ58" s="134"/>
      <c r="FA58" s="134"/>
      <c r="FB58" s="134"/>
      <c r="FC58" s="134"/>
      <c r="FD58" s="134"/>
      <c r="FE58" s="134"/>
      <c r="FF58" s="134"/>
      <c r="FG58" s="135"/>
      <c r="FH58" s="135"/>
      <c r="FI58" s="134"/>
      <c r="FJ58" s="134"/>
      <c r="FK58" s="134"/>
      <c r="FL58" s="134"/>
      <c r="FM58" s="134"/>
      <c r="FN58" s="134"/>
      <c r="FO58" s="134"/>
      <c r="FP58" s="134"/>
      <c r="FQ58" s="135"/>
      <c r="FR58" s="135"/>
      <c r="FS58" s="134"/>
      <c r="FT58" s="134"/>
      <c r="FU58" s="134"/>
      <c r="FV58" s="134"/>
      <c r="FW58" s="134"/>
      <c r="FX58" s="134"/>
      <c r="FY58" s="134"/>
      <c r="FZ58" s="134"/>
      <c r="GA58" s="135"/>
      <c r="GB58" s="135"/>
      <c r="GC58" s="134"/>
      <c r="GD58" s="134"/>
      <c r="GE58" s="134"/>
      <c r="GF58" s="134"/>
      <c r="GG58" s="134"/>
      <c r="GH58" s="134"/>
      <c r="GI58" s="134"/>
      <c r="GJ58" s="134"/>
      <c r="GK58" s="135"/>
      <c r="GL58" s="135"/>
      <c r="GM58" s="134"/>
      <c r="GN58" s="134"/>
      <c r="GO58" s="134"/>
      <c r="GP58" s="134"/>
      <c r="GQ58" s="134"/>
      <c r="GR58" s="134"/>
      <c r="GS58" s="134"/>
      <c r="GT58" s="134"/>
      <c r="GU58" s="135"/>
      <c r="GV58" s="135"/>
      <c r="GW58" s="134"/>
      <c r="GX58" s="134"/>
      <c r="GY58" s="134"/>
      <c r="GZ58" s="134"/>
      <c r="HA58" s="134"/>
      <c r="HB58" s="134"/>
      <c r="HC58" s="134"/>
      <c r="HD58" s="134"/>
      <c r="HE58" s="135"/>
      <c r="HF58" s="135"/>
      <c r="HG58" s="134"/>
      <c r="HH58" s="134"/>
      <c r="HI58" s="134"/>
      <c r="HJ58" s="134"/>
      <c r="HK58" s="134"/>
      <c r="HL58" s="134"/>
      <c r="HM58" s="134"/>
      <c r="HN58" s="134"/>
      <c r="HO58" s="135"/>
      <c r="HP58" s="135"/>
      <c r="HQ58" s="134"/>
      <c r="HR58" s="134"/>
      <c r="HS58" s="134"/>
      <c r="HT58" s="134"/>
      <c r="HU58" s="134"/>
      <c r="HV58" s="134"/>
      <c r="HW58" s="134"/>
      <c r="HX58" s="134"/>
      <c r="HY58" s="135"/>
      <c r="HZ58" s="135"/>
      <c r="IA58" s="134"/>
      <c r="IB58" s="134"/>
      <c r="IC58" s="134"/>
      <c r="ID58" s="134"/>
      <c r="IE58" s="134"/>
      <c r="IF58" s="134"/>
      <c r="IG58" s="134"/>
      <c r="IH58" s="134"/>
      <c r="II58" s="135"/>
      <c r="IJ58" s="135"/>
      <c r="IK58" s="134"/>
      <c r="IL58" s="134"/>
      <c r="IM58" s="134"/>
      <c r="IN58" s="134"/>
      <c r="IO58" s="134"/>
      <c r="IP58" s="134"/>
      <c r="IQ58" s="134"/>
      <c r="IR58" s="134"/>
      <c r="IS58" s="135"/>
      <c r="IT58" s="135"/>
      <c r="IU58" s="134"/>
      <c r="IV58" s="134"/>
      <c r="IW58" s="134"/>
      <c r="IX58" s="134"/>
      <c r="IY58" s="134"/>
      <c r="IZ58" s="134"/>
      <c r="JA58" s="134"/>
      <c r="JB58" s="134"/>
      <c r="JC58" s="135"/>
      <c r="JD58" s="135"/>
    </row>
    <row r="59" spans="1:264" s="119" customFormat="1" ht="15" customHeight="1">
      <c r="A59" s="79" t="s">
        <v>297</v>
      </c>
      <c r="B59" s="362">
        <v>214</v>
      </c>
      <c r="C59" s="362"/>
      <c r="D59" s="362">
        <v>87</v>
      </c>
      <c r="E59" s="604" t="s">
        <v>2021</v>
      </c>
      <c r="F59" s="124" t="s">
        <v>2254</v>
      </c>
      <c r="G59" s="125">
        <v>2008</v>
      </c>
      <c r="H59" s="79">
        <v>18590795</v>
      </c>
      <c r="I59" s="79">
        <v>1</v>
      </c>
      <c r="J59" s="126"/>
      <c r="K59" s="127"/>
      <c r="L59" s="79">
        <v>1</v>
      </c>
      <c r="M59" s="79"/>
      <c r="N59" s="79">
        <v>1</v>
      </c>
      <c r="O59" s="128">
        <v>1</v>
      </c>
      <c r="P59" s="79" t="s">
        <v>779</v>
      </c>
      <c r="Q59" s="79" t="s">
        <v>1192</v>
      </c>
      <c r="R59" s="79" t="s">
        <v>25</v>
      </c>
      <c r="S59" s="79">
        <v>1</v>
      </c>
      <c r="T59" s="79"/>
      <c r="U59" s="79"/>
      <c r="V59" s="79"/>
      <c r="W59" s="79" t="s">
        <v>778</v>
      </c>
      <c r="X59" s="79" t="s">
        <v>777</v>
      </c>
      <c r="Y59" s="79"/>
      <c r="Z59" s="79"/>
      <c r="AA59" s="79"/>
      <c r="AB59" s="79"/>
      <c r="AC59" s="506" t="s">
        <v>6290</v>
      </c>
      <c r="AD59" s="573">
        <v>1</v>
      </c>
      <c r="AE59" s="573">
        <v>0</v>
      </c>
      <c r="AF59" s="154"/>
      <c r="AG59" s="155"/>
      <c r="AH59" s="121">
        <v>2</v>
      </c>
      <c r="AI59" s="484"/>
      <c r="AJ59" s="202"/>
      <c r="AK59" s="192"/>
      <c r="AL59" s="203"/>
      <c r="AM59" s="121"/>
      <c r="AN59" s="121"/>
      <c r="AO59" s="121"/>
      <c r="AP59" s="121"/>
      <c r="AQ59" s="121"/>
      <c r="AR59" s="121"/>
      <c r="AS59" s="121"/>
      <c r="AT59" s="121"/>
      <c r="AU59" s="121"/>
      <c r="AV59" s="121"/>
      <c r="AW59" s="121"/>
      <c r="AX59" s="121"/>
      <c r="AY59" s="121"/>
      <c r="AZ59" s="121"/>
      <c r="BA59" s="121"/>
      <c r="BB59" s="594"/>
      <c r="BC59" s="594"/>
      <c r="BD59" s="156"/>
      <c r="BE59" s="156"/>
      <c r="BF59" s="156" t="s">
        <v>5207</v>
      </c>
      <c r="BG59" s="156" t="s">
        <v>6175</v>
      </c>
      <c r="BH59" s="156"/>
      <c r="BI59" s="156" t="s">
        <v>5207</v>
      </c>
      <c r="BJ59" s="156"/>
      <c r="BK59" s="156"/>
      <c r="BL59" s="156"/>
      <c r="BM59" s="156"/>
      <c r="BN59" s="156" t="s">
        <v>5207</v>
      </c>
      <c r="BO59" s="156"/>
      <c r="BP59" s="156" t="s">
        <v>6289</v>
      </c>
      <c r="BQ59" s="595"/>
      <c r="BR59" s="157"/>
      <c r="BS59" s="660"/>
      <c r="BT59" s="134"/>
      <c r="BU59" s="134"/>
      <c r="BV59" s="134"/>
      <c r="BW59" s="134"/>
      <c r="BX59" s="134"/>
      <c r="BY59" s="134"/>
      <c r="BZ59" s="259"/>
      <c r="CA59" s="454"/>
      <c r="CB59" s="138"/>
      <c r="CC59" s="134"/>
      <c r="CD59" s="134"/>
      <c r="CE59" s="134"/>
      <c r="CF59" s="138"/>
      <c r="CG59" s="134"/>
      <c r="CH59" s="134"/>
      <c r="CI59" s="134"/>
      <c r="CJ59" s="288"/>
      <c r="CK59" s="289"/>
      <c r="CL59" s="138"/>
      <c r="CM59" s="134"/>
      <c r="CN59" s="134"/>
      <c r="CO59" s="134"/>
      <c r="CP59" s="138"/>
      <c r="CQ59" s="134"/>
      <c r="CR59" s="134"/>
      <c r="CS59" s="134"/>
      <c r="CT59" s="288"/>
      <c r="CU59" s="289"/>
      <c r="CV59" s="276"/>
      <c r="CW59" s="308"/>
      <c r="CX59" s="138"/>
      <c r="CY59" s="134"/>
      <c r="CZ59" s="134"/>
      <c r="DA59" s="134"/>
      <c r="DB59" s="134"/>
      <c r="DC59" s="134"/>
      <c r="DD59" s="134"/>
      <c r="DE59" s="190"/>
      <c r="DF59" s="300"/>
      <c r="DG59" s="301"/>
      <c r="DH59" s="134"/>
      <c r="DI59" s="134"/>
      <c r="DJ59" s="134"/>
      <c r="DK59" s="134"/>
      <c r="DL59" s="134"/>
      <c r="DM59" s="134"/>
      <c r="DN59" s="134"/>
      <c r="DO59" s="134"/>
      <c r="DP59" s="300"/>
      <c r="DQ59" s="301"/>
      <c r="DR59" s="276"/>
      <c r="DS59" s="277"/>
      <c r="DT59" s="134"/>
      <c r="DU59" s="134"/>
      <c r="DV59" s="134"/>
      <c r="DW59" s="134"/>
      <c r="DX59" s="138"/>
      <c r="DY59" s="134"/>
      <c r="DZ59" s="134"/>
      <c r="EA59" s="134"/>
      <c r="EB59" s="301"/>
      <c r="EC59" s="301"/>
      <c r="ED59" s="138"/>
      <c r="EE59" s="134"/>
      <c r="EF59" s="134"/>
      <c r="EG59" s="134"/>
      <c r="EH59" s="138"/>
      <c r="EI59" s="134"/>
      <c r="EJ59" s="134"/>
      <c r="EK59" s="134"/>
      <c r="EL59" s="301"/>
      <c r="EM59" s="301"/>
      <c r="EN59" s="277"/>
      <c r="EO59" s="134"/>
      <c r="EP59" s="134"/>
      <c r="EQ59" s="134"/>
      <c r="ER59" s="134"/>
      <c r="ES59" s="134"/>
      <c r="ET59" s="134"/>
      <c r="EU59" s="134"/>
      <c r="EV59" s="134"/>
      <c r="EW59" s="301"/>
      <c r="EX59" s="301"/>
      <c r="EY59" s="134"/>
      <c r="EZ59" s="134"/>
      <c r="FA59" s="134"/>
      <c r="FB59" s="134"/>
      <c r="FC59" s="134"/>
      <c r="FD59" s="134"/>
      <c r="FE59" s="134"/>
      <c r="FF59" s="134"/>
      <c r="FG59" s="135"/>
      <c r="FH59" s="135"/>
      <c r="FI59" s="134"/>
      <c r="FJ59" s="134"/>
      <c r="FK59" s="134"/>
      <c r="FL59" s="134"/>
      <c r="FM59" s="134"/>
      <c r="FN59" s="134"/>
      <c r="FO59" s="134"/>
      <c r="FP59" s="134"/>
      <c r="FQ59" s="135"/>
      <c r="FR59" s="135"/>
      <c r="FS59" s="134"/>
      <c r="FT59" s="134"/>
      <c r="FU59" s="134"/>
      <c r="FV59" s="134"/>
      <c r="FW59" s="134"/>
      <c r="FX59" s="134"/>
      <c r="FY59" s="134"/>
      <c r="FZ59" s="134"/>
      <c r="GA59" s="135"/>
      <c r="GB59" s="135"/>
      <c r="GC59" s="134"/>
      <c r="GD59" s="134"/>
      <c r="GE59" s="134"/>
      <c r="GF59" s="134"/>
      <c r="GG59" s="134"/>
      <c r="GH59" s="134"/>
      <c r="GI59" s="134"/>
      <c r="GJ59" s="134"/>
      <c r="GK59" s="135"/>
      <c r="GL59" s="135"/>
      <c r="GM59" s="134"/>
      <c r="GN59" s="134"/>
      <c r="GO59" s="134"/>
      <c r="GP59" s="134"/>
      <c r="GQ59" s="134"/>
      <c r="GR59" s="134"/>
      <c r="GS59" s="134"/>
      <c r="GT59" s="134"/>
      <c r="GU59" s="135"/>
      <c r="GV59" s="135"/>
      <c r="GW59" s="134"/>
      <c r="GX59" s="134"/>
      <c r="GY59" s="134"/>
      <c r="GZ59" s="134"/>
      <c r="HA59" s="134"/>
      <c r="HB59" s="134"/>
      <c r="HC59" s="134"/>
      <c r="HD59" s="134"/>
      <c r="HE59" s="135"/>
      <c r="HF59" s="135"/>
      <c r="HG59" s="134"/>
      <c r="HH59" s="134"/>
      <c r="HI59" s="134"/>
      <c r="HJ59" s="134"/>
      <c r="HK59" s="134"/>
      <c r="HL59" s="134"/>
      <c r="HM59" s="134"/>
      <c r="HN59" s="134"/>
      <c r="HO59" s="135"/>
      <c r="HP59" s="135"/>
      <c r="HQ59" s="134"/>
      <c r="HR59" s="134"/>
      <c r="HS59" s="134"/>
      <c r="HT59" s="134"/>
      <c r="HU59" s="134"/>
      <c r="HV59" s="134"/>
      <c r="HW59" s="134"/>
      <c r="HX59" s="134"/>
      <c r="HY59" s="135"/>
      <c r="HZ59" s="135"/>
      <c r="IA59" s="134"/>
      <c r="IB59" s="134"/>
      <c r="IC59" s="134"/>
      <c r="ID59" s="134"/>
      <c r="IE59" s="134"/>
      <c r="IF59" s="134"/>
      <c r="IG59" s="134"/>
      <c r="IH59" s="134"/>
      <c r="II59" s="135"/>
      <c r="IJ59" s="135"/>
      <c r="IK59" s="134"/>
      <c r="IL59" s="134"/>
      <c r="IM59" s="134"/>
      <c r="IN59" s="134"/>
      <c r="IO59" s="134"/>
      <c r="IP59" s="134"/>
      <c r="IQ59" s="134"/>
      <c r="IR59" s="134"/>
      <c r="IS59" s="135"/>
      <c r="IT59" s="135"/>
      <c r="IU59" s="134"/>
      <c r="IV59" s="134"/>
      <c r="IW59" s="134"/>
      <c r="IX59" s="134"/>
      <c r="IY59" s="134"/>
      <c r="IZ59" s="134"/>
      <c r="JA59" s="134"/>
      <c r="JB59" s="134"/>
      <c r="JC59" s="135"/>
      <c r="JD59" s="135"/>
    </row>
    <row r="60" spans="1:264" customFormat="1" ht="15" customHeight="1">
      <c r="A60" s="79" t="s">
        <v>322</v>
      </c>
      <c r="B60" s="362">
        <v>228</v>
      </c>
      <c r="C60" s="362"/>
      <c r="D60" s="362">
        <v>91</v>
      </c>
      <c r="E60" s="604" t="s">
        <v>2031</v>
      </c>
      <c r="F60" s="124" t="s">
        <v>2265</v>
      </c>
      <c r="G60" s="125">
        <v>2015</v>
      </c>
      <c r="H60" s="79">
        <v>26481979</v>
      </c>
      <c r="I60" s="79">
        <v>1</v>
      </c>
      <c r="J60" s="126"/>
      <c r="K60" s="127"/>
      <c r="L60" s="79">
        <v>1</v>
      </c>
      <c r="M60" s="79"/>
      <c r="N60" s="79">
        <v>1</v>
      </c>
      <c r="O60" s="128">
        <v>1</v>
      </c>
      <c r="P60" s="79" t="s">
        <v>21</v>
      </c>
      <c r="Q60" s="79" t="s">
        <v>1163</v>
      </c>
      <c r="R60" s="79" t="s">
        <v>819</v>
      </c>
      <c r="S60" s="79">
        <v>1</v>
      </c>
      <c r="T60" s="79"/>
      <c r="U60" s="79"/>
      <c r="V60" s="79"/>
      <c r="W60" s="79" t="s">
        <v>837</v>
      </c>
      <c r="X60" s="79" t="s">
        <v>836</v>
      </c>
      <c r="Y60" s="79"/>
      <c r="Z60" s="79"/>
      <c r="AA60" s="79"/>
      <c r="AB60" s="79"/>
      <c r="AC60" s="506" t="s">
        <v>6297</v>
      </c>
      <c r="AD60" s="573">
        <v>1</v>
      </c>
      <c r="AE60" s="573">
        <v>0</v>
      </c>
      <c r="AF60" s="154"/>
      <c r="AG60" s="155"/>
      <c r="AH60" s="121">
        <v>2</v>
      </c>
      <c r="AI60" s="484"/>
      <c r="AJ60" s="202"/>
      <c r="AK60" s="192"/>
      <c r="AL60" s="203"/>
      <c r="AM60" s="121"/>
      <c r="AN60" s="121"/>
      <c r="AO60" s="121"/>
      <c r="AP60" s="121"/>
      <c r="AQ60" s="121"/>
      <c r="AR60" s="121"/>
      <c r="AS60" s="121"/>
      <c r="AT60" s="121"/>
      <c r="AU60" s="121"/>
      <c r="AV60" s="121"/>
      <c r="AW60" s="121"/>
      <c r="AX60" s="121"/>
      <c r="AY60" s="121"/>
      <c r="AZ60" s="121"/>
      <c r="BA60" s="121"/>
      <c r="BB60" s="594"/>
      <c r="BC60" s="594"/>
      <c r="BD60" s="156"/>
      <c r="BE60" s="156"/>
      <c r="BF60" s="156" t="s">
        <v>5207</v>
      </c>
      <c r="BG60" s="156" t="s">
        <v>6175</v>
      </c>
      <c r="BH60" s="156"/>
      <c r="BI60" s="156" t="s">
        <v>5207</v>
      </c>
      <c r="BJ60" s="156"/>
      <c r="BK60" s="156" t="s">
        <v>6240</v>
      </c>
      <c r="BL60" s="156"/>
      <c r="BM60" s="156"/>
      <c r="BN60" s="156"/>
      <c r="BO60" s="156"/>
      <c r="BP60" s="156"/>
      <c r="BQ60" s="595"/>
      <c r="BR60" s="157"/>
      <c r="BS60" s="660"/>
      <c r="BT60" s="134"/>
      <c r="BU60" s="134"/>
      <c r="BV60" s="134"/>
      <c r="BW60" s="134"/>
      <c r="BX60" s="134"/>
      <c r="BY60" s="134"/>
      <c r="BZ60" s="259"/>
      <c r="CA60" s="454"/>
      <c r="CB60" s="138"/>
      <c r="CC60" s="134"/>
      <c r="CD60" s="134"/>
      <c r="CE60" s="134"/>
      <c r="CF60" s="138"/>
      <c r="CG60" s="134"/>
      <c r="CH60" s="134"/>
      <c r="CI60" s="134"/>
      <c r="CJ60" s="288"/>
      <c r="CK60" s="289"/>
      <c r="CL60" s="138"/>
      <c r="CM60" s="134"/>
      <c r="CN60" s="134"/>
      <c r="CO60" s="134"/>
      <c r="CP60" s="138"/>
      <c r="CQ60" s="134"/>
      <c r="CR60" s="134"/>
      <c r="CS60" s="134"/>
      <c r="CT60" s="288"/>
      <c r="CU60" s="289"/>
      <c r="CV60" s="276"/>
      <c r="CW60" s="308"/>
      <c r="CX60" s="138"/>
      <c r="CY60" s="134"/>
      <c r="CZ60" s="134"/>
      <c r="DA60" s="134"/>
      <c r="DB60" s="134"/>
      <c r="DC60" s="134"/>
      <c r="DD60" s="134"/>
      <c r="DE60" s="190"/>
      <c r="DF60" s="300"/>
      <c r="DG60" s="301"/>
      <c r="DH60" s="134"/>
      <c r="DI60" s="134"/>
      <c r="DJ60" s="134"/>
      <c r="DK60" s="134"/>
      <c r="DL60" s="134"/>
      <c r="DM60" s="134"/>
      <c r="DN60" s="134"/>
      <c r="DO60" s="134"/>
      <c r="DP60" s="300"/>
      <c r="DQ60" s="301"/>
      <c r="DR60" s="276"/>
      <c r="DS60" s="277"/>
      <c r="DT60" s="134"/>
      <c r="DU60" s="134"/>
      <c r="DV60" s="134"/>
      <c r="DW60" s="134"/>
      <c r="DX60" s="138"/>
      <c r="DY60" s="134"/>
      <c r="DZ60" s="134"/>
      <c r="EA60" s="134"/>
      <c r="EB60" s="301"/>
      <c r="EC60" s="301"/>
      <c r="ED60" s="138"/>
      <c r="EE60" s="134"/>
      <c r="EF60" s="134"/>
      <c r="EG60" s="134"/>
      <c r="EH60" s="138"/>
      <c r="EI60" s="134"/>
      <c r="EJ60" s="134"/>
      <c r="EK60" s="134"/>
      <c r="EL60" s="301"/>
      <c r="EM60" s="301"/>
      <c r="EN60" s="277"/>
      <c r="EO60" s="134"/>
      <c r="EP60" s="134"/>
      <c r="EQ60" s="134"/>
      <c r="ER60" s="134"/>
      <c r="ES60" s="134"/>
      <c r="ET60" s="134"/>
      <c r="EU60" s="134"/>
      <c r="EV60" s="134"/>
      <c r="EW60" s="301"/>
      <c r="EX60" s="301"/>
      <c r="EY60" s="134"/>
      <c r="EZ60" s="134"/>
      <c r="FA60" s="134"/>
      <c r="FB60" s="134"/>
      <c r="FC60" s="134"/>
      <c r="FD60" s="134"/>
      <c r="FE60" s="134"/>
      <c r="FF60" s="134"/>
      <c r="FG60" s="135"/>
      <c r="FH60" s="135"/>
      <c r="FI60" s="134"/>
      <c r="FJ60" s="134"/>
      <c r="FK60" s="134"/>
      <c r="FL60" s="134"/>
      <c r="FM60" s="134"/>
      <c r="FN60" s="134"/>
      <c r="FO60" s="134"/>
      <c r="FP60" s="134"/>
      <c r="FQ60" s="135"/>
      <c r="FR60" s="135"/>
      <c r="FS60" s="134"/>
      <c r="FT60" s="134"/>
      <c r="FU60" s="134"/>
      <c r="FV60" s="134"/>
      <c r="FW60" s="134"/>
      <c r="FX60" s="134"/>
      <c r="FY60" s="134"/>
      <c r="FZ60" s="134"/>
      <c r="GA60" s="135"/>
      <c r="GB60" s="135"/>
      <c r="GC60" s="134"/>
      <c r="GD60" s="134"/>
      <c r="GE60" s="134"/>
      <c r="GF60" s="134"/>
      <c r="GG60" s="134"/>
      <c r="GH60" s="134"/>
      <c r="GI60" s="134"/>
      <c r="GJ60" s="134"/>
      <c r="GK60" s="135"/>
      <c r="GL60" s="135"/>
      <c r="GM60" s="134"/>
      <c r="GN60" s="134"/>
      <c r="GO60" s="134"/>
      <c r="GP60" s="134"/>
      <c r="GQ60" s="134"/>
      <c r="GR60" s="134"/>
      <c r="GS60" s="134"/>
      <c r="GT60" s="134"/>
      <c r="GU60" s="135"/>
      <c r="GV60" s="135"/>
      <c r="GW60" s="134"/>
      <c r="GX60" s="134"/>
      <c r="GY60" s="134"/>
      <c r="GZ60" s="134"/>
      <c r="HA60" s="134"/>
      <c r="HB60" s="134"/>
      <c r="HC60" s="134"/>
      <c r="HD60" s="134"/>
      <c r="HE60" s="135"/>
      <c r="HF60" s="135"/>
      <c r="HG60" s="134"/>
      <c r="HH60" s="134"/>
      <c r="HI60" s="134"/>
      <c r="HJ60" s="134"/>
      <c r="HK60" s="134"/>
      <c r="HL60" s="134"/>
      <c r="HM60" s="134"/>
      <c r="HN60" s="134"/>
      <c r="HO60" s="135"/>
      <c r="HP60" s="135"/>
      <c r="HQ60" s="134"/>
      <c r="HR60" s="134"/>
      <c r="HS60" s="134"/>
      <c r="HT60" s="134"/>
      <c r="HU60" s="134"/>
      <c r="HV60" s="134"/>
      <c r="HW60" s="134"/>
      <c r="HX60" s="134"/>
      <c r="HY60" s="135"/>
      <c r="HZ60" s="135"/>
      <c r="IA60" s="134"/>
      <c r="IB60" s="134"/>
      <c r="IC60" s="134"/>
      <c r="ID60" s="134"/>
      <c r="IE60" s="134"/>
      <c r="IF60" s="134"/>
      <c r="IG60" s="134"/>
      <c r="IH60" s="134"/>
      <c r="II60" s="135"/>
      <c r="IJ60" s="135"/>
      <c r="IK60" s="134"/>
      <c r="IL60" s="134"/>
      <c r="IM60" s="134"/>
      <c r="IN60" s="134"/>
      <c r="IO60" s="134"/>
      <c r="IP60" s="134"/>
      <c r="IQ60" s="134"/>
      <c r="IR60" s="134"/>
      <c r="IS60" s="135"/>
      <c r="IT60" s="135"/>
      <c r="IU60" s="134"/>
      <c r="IV60" s="134"/>
      <c r="IW60" s="134"/>
      <c r="IX60" s="134"/>
      <c r="IY60" s="134"/>
      <c r="IZ60" s="134"/>
      <c r="JA60" s="134"/>
      <c r="JB60" s="134"/>
      <c r="JC60" s="135"/>
      <c r="JD60" s="135"/>
    </row>
    <row r="61" spans="1:264" customFormat="1" ht="15" customHeight="1">
      <c r="A61" s="79" t="s">
        <v>320</v>
      </c>
      <c r="B61" s="362">
        <v>229</v>
      </c>
      <c r="C61" s="362"/>
      <c r="D61" s="362">
        <v>92</v>
      </c>
      <c r="E61" s="604" t="s">
        <v>2031</v>
      </c>
      <c r="F61" s="124" t="s">
        <v>2266</v>
      </c>
      <c r="G61" s="125">
        <v>2013</v>
      </c>
      <c r="H61" s="79">
        <v>24157540</v>
      </c>
      <c r="I61" s="79">
        <v>1</v>
      </c>
      <c r="J61" s="126"/>
      <c r="K61" s="127"/>
      <c r="L61" s="79">
        <v>1</v>
      </c>
      <c r="M61" s="79"/>
      <c r="N61" s="79">
        <v>1</v>
      </c>
      <c r="O61" s="128">
        <v>1</v>
      </c>
      <c r="P61" s="79" t="s">
        <v>832</v>
      </c>
      <c r="Q61" s="79" t="s">
        <v>1192</v>
      </c>
      <c r="R61" s="79" t="s">
        <v>25</v>
      </c>
      <c r="S61" s="79">
        <v>1</v>
      </c>
      <c r="T61" s="79"/>
      <c r="U61" s="79"/>
      <c r="V61" s="79"/>
      <c r="W61" s="79" t="s">
        <v>778</v>
      </c>
      <c r="X61" s="79" t="s">
        <v>24</v>
      </c>
      <c r="Y61" s="79" t="s">
        <v>24</v>
      </c>
      <c r="Z61" s="79" t="s">
        <v>833</v>
      </c>
      <c r="AA61" s="79"/>
      <c r="AB61" s="79"/>
      <c r="AC61" s="506" t="s">
        <v>6298</v>
      </c>
      <c r="AD61" s="573">
        <v>1</v>
      </c>
      <c r="AE61" s="573">
        <v>0</v>
      </c>
      <c r="AF61" s="154"/>
      <c r="AG61" s="155"/>
      <c r="AH61" s="121">
        <v>2</v>
      </c>
      <c r="AI61" s="484"/>
      <c r="AJ61" s="202"/>
      <c r="AK61" s="192"/>
      <c r="AL61" s="203"/>
      <c r="AM61" s="121"/>
      <c r="AN61" s="121"/>
      <c r="AO61" s="121"/>
      <c r="AP61" s="121"/>
      <c r="AQ61" s="121"/>
      <c r="AR61" s="121"/>
      <c r="AS61" s="121"/>
      <c r="AT61" s="121"/>
      <c r="AU61" s="121"/>
      <c r="AV61" s="121"/>
      <c r="AW61" s="121"/>
      <c r="AX61" s="121"/>
      <c r="AY61" s="121"/>
      <c r="AZ61" s="121"/>
      <c r="BA61" s="121"/>
      <c r="BB61" s="594"/>
      <c r="BC61" s="594"/>
      <c r="BD61" s="156"/>
      <c r="BE61" s="156"/>
      <c r="BF61" s="156"/>
      <c r="BG61" s="156" t="s">
        <v>6175</v>
      </c>
      <c r="BH61" s="156"/>
      <c r="BI61" s="156" t="s">
        <v>5207</v>
      </c>
      <c r="BJ61" s="156"/>
      <c r="BK61" s="156" t="s">
        <v>6243</v>
      </c>
      <c r="BL61" s="156"/>
      <c r="BM61" s="156"/>
      <c r="BN61" s="156"/>
      <c r="BO61" s="156"/>
      <c r="BP61" s="156"/>
      <c r="BQ61" s="595"/>
      <c r="BR61" s="157"/>
      <c r="BS61" s="660"/>
      <c r="BT61" s="190"/>
      <c r="BU61" s="134"/>
      <c r="BV61" s="134"/>
      <c r="BW61" s="134"/>
      <c r="BX61" s="134"/>
      <c r="BY61" s="134"/>
      <c r="BZ61" s="540"/>
      <c r="CA61" s="454"/>
      <c r="CB61" s="138"/>
      <c r="CC61" s="190"/>
      <c r="CD61" s="134"/>
      <c r="CE61" s="190"/>
      <c r="CF61" s="138"/>
      <c r="CG61" s="190"/>
      <c r="CH61" s="134"/>
      <c r="CI61" s="389"/>
      <c r="CJ61" s="288"/>
      <c r="CK61" s="289"/>
      <c r="CL61" s="439"/>
      <c r="CM61" s="190"/>
      <c r="CN61" s="134"/>
      <c r="CO61" s="190"/>
      <c r="CP61" s="138"/>
      <c r="CQ61" s="190"/>
      <c r="CR61" s="134"/>
      <c r="CS61" s="389"/>
      <c r="CT61" s="288"/>
      <c r="CU61" s="441"/>
      <c r="CV61" s="479"/>
      <c r="CW61" s="308"/>
      <c r="CX61" s="138"/>
      <c r="CY61" s="190"/>
      <c r="CZ61" s="134"/>
      <c r="DA61" s="190"/>
      <c r="DB61" s="134"/>
      <c r="DC61" s="190"/>
      <c r="DD61" s="134"/>
      <c r="DE61" s="190"/>
      <c r="DF61" s="300"/>
      <c r="DG61" s="301"/>
      <c r="DH61" s="134"/>
      <c r="DI61" s="190"/>
      <c r="DJ61" s="134"/>
      <c r="DK61" s="190"/>
      <c r="DL61" s="134"/>
      <c r="DM61" s="190"/>
      <c r="DN61" s="134"/>
      <c r="DO61" s="190"/>
      <c r="DP61" s="300"/>
      <c r="DQ61" s="301"/>
      <c r="DR61" s="317"/>
      <c r="DS61" s="318"/>
      <c r="DT61" s="190"/>
      <c r="DU61" s="190"/>
      <c r="DV61" s="190"/>
      <c r="DW61" s="190"/>
      <c r="DX61" s="556"/>
      <c r="DY61" s="190"/>
      <c r="DZ61" s="190"/>
      <c r="EA61" s="190"/>
      <c r="EB61" s="469"/>
      <c r="EC61" s="469"/>
      <c r="ED61" s="556"/>
      <c r="EE61" s="190"/>
      <c r="EF61" s="190"/>
      <c r="EG61" s="190"/>
      <c r="EH61" s="556"/>
      <c r="EI61" s="190"/>
      <c r="EJ61" s="190"/>
      <c r="EK61" s="190"/>
      <c r="EL61" s="469"/>
      <c r="EM61" s="469"/>
      <c r="EN61" s="318"/>
      <c r="EO61" s="190"/>
      <c r="EP61" s="190"/>
      <c r="EQ61" s="190"/>
      <c r="ER61" s="190"/>
      <c r="ES61" s="190"/>
      <c r="ET61" s="190"/>
      <c r="EU61" s="190"/>
      <c r="EV61" s="190"/>
      <c r="EW61" s="469"/>
      <c r="EX61" s="469"/>
      <c r="EY61" s="190"/>
      <c r="EZ61" s="190"/>
      <c r="FA61" s="190"/>
      <c r="FB61" s="190"/>
      <c r="FC61" s="134"/>
      <c r="FD61" s="134"/>
      <c r="FE61" s="134"/>
      <c r="FF61" s="134"/>
      <c r="FG61" s="135"/>
      <c r="FH61" s="135"/>
      <c r="FI61" s="134"/>
      <c r="FJ61" s="134"/>
      <c r="FK61" s="134"/>
      <c r="FL61" s="134"/>
      <c r="FM61" s="134"/>
      <c r="FN61" s="134"/>
      <c r="FO61" s="134"/>
      <c r="FP61" s="134"/>
      <c r="FQ61" s="135"/>
      <c r="FR61" s="135"/>
      <c r="FS61" s="134"/>
      <c r="FT61" s="134"/>
      <c r="FU61" s="134"/>
      <c r="FV61" s="134"/>
      <c r="FW61" s="134"/>
      <c r="FX61" s="134"/>
      <c r="FY61" s="134"/>
      <c r="FZ61" s="134"/>
      <c r="GA61" s="135"/>
      <c r="GB61" s="135"/>
      <c r="GC61" s="134"/>
      <c r="GD61" s="134"/>
      <c r="GE61" s="134"/>
      <c r="GF61" s="134"/>
      <c r="GG61" s="134"/>
      <c r="GH61" s="134"/>
      <c r="GI61" s="134"/>
      <c r="GJ61" s="134"/>
      <c r="GK61" s="135"/>
      <c r="GL61" s="135"/>
      <c r="GM61" s="134"/>
      <c r="GN61" s="134"/>
      <c r="GO61" s="134"/>
      <c r="GP61" s="134"/>
      <c r="GQ61" s="134"/>
      <c r="GR61" s="134"/>
      <c r="GS61" s="134"/>
      <c r="GT61" s="134"/>
      <c r="GU61" s="135"/>
      <c r="GV61" s="135"/>
      <c r="GW61" s="134"/>
      <c r="GX61" s="134"/>
      <c r="GY61" s="134"/>
      <c r="GZ61" s="134"/>
      <c r="HA61" s="134"/>
      <c r="HB61" s="134"/>
      <c r="HC61" s="134"/>
      <c r="HD61" s="134"/>
      <c r="HE61" s="135"/>
      <c r="HF61" s="135"/>
      <c r="HG61" s="134"/>
      <c r="HH61" s="134"/>
      <c r="HI61" s="134"/>
      <c r="HJ61" s="134"/>
      <c r="HK61" s="134"/>
      <c r="HL61" s="134"/>
      <c r="HM61" s="134"/>
      <c r="HN61" s="134"/>
      <c r="HO61" s="135"/>
      <c r="HP61" s="135"/>
      <c r="HQ61" s="134"/>
      <c r="HR61" s="134"/>
      <c r="HS61" s="134"/>
      <c r="HT61" s="134"/>
      <c r="HU61" s="134"/>
      <c r="HV61" s="134"/>
      <c r="HW61" s="134"/>
      <c r="HX61" s="134"/>
      <c r="HY61" s="135"/>
      <c r="HZ61" s="135"/>
      <c r="IA61" s="134"/>
      <c r="IB61" s="134"/>
      <c r="IC61" s="134"/>
      <c r="ID61" s="134"/>
      <c r="IE61" s="134"/>
      <c r="IF61" s="134"/>
      <c r="IG61" s="134"/>
      <c r="IH61" s="134"/>
      <c r="II61" s="135"/>
      <c r="IJ61" s="135"/>
      <c r="IK61" s="134"/>
      <c r="IL61" s="134"/>
      <c r="IM61" s="134"/>
      <c r="IN61" s="134"/>
      <c r="IO61" s="134"/>
      <c r="IP61" s="134"/>
      <c r="IQ61" s="134"/>
      <c r="IR61" s="134"/>
      <c r="IS61" s="135"/>
      <c r="IT61" s="135"/>
      <c r="IU61" s="134"/>
      <c r="IV61" s="134"/>
      <c r="IW61" s="134"/>
      <c r="IX61" s="134"/>
      <c r="IY61" s="134"/>
      <c r="IZ61" s="134"/>
      <c r="JA61" s="134"/>
      <c r="JB61" s="134"/>
      <c r="JC61" s="135"/>
      <c r="JD61" s="135"/>
    </row>
    <row r="62" spans="1:264" customFormat="1" ht="15" customHeight="1">
      <c r="A62" s="79" t="s">
        <v>321</v>
      </c>
      <c r="B62" s="362">
        <v>230</v>
      </c>
      <c r="C62" s="362"/>
      <c r="D62" s="362">
        <v>93</v>
      </c>
      <c r="E62" s="604" t="s">
        <v>2031</v>
      </c>
      <c r="F62" s="124" t="s">
        <v>2267</v>
      </c>
      <c r="G62" s="125">
        <v>2012</v>
      </c>
      <c r="H62" s="79">
        <v>22595028</v>
      </c>
      <c r="I62" s="79">
        <v>1</v>
      </c>
      <c r="J62" s="126"/>
      <c r="K62" s="127"/>
      <c r="L62" s="79">
        <v>1</v>
      </c>
      <c r="M62" s="79"/>
      <c r="N62" s="79">
        <v>1</v>
      </c>
      <c r="O62" s="128">
        <v>1</v>
      </c>
      <c r="P62" s="79" t="s">
        <v>834</v>
      </c>
      <c r="Q62" s="79" t="s">
        <v>1192</v>
      </c>
      <c r="R62" s="79" t="s">
        <v>835</v>
      </c>
      <c r="S62" s="79">
        <v>1</v>
      </c>
      <c r="T62" s="79"/>
      <c r="U62" s="79"/>
      <c r="V62" s="79"/>
      <c r="W62" s="79" t="s">
        <v>778</v>
      </c>
      <c r="X62" s="79"/>
      <c r="Y62" s="79"/>
      <c r="Z62" s="79"/>
      <c r="AA62" s="79"/>
      <c r="AB62" s="79"/>
      <c r="AC62" s="506" t="s">
        <v>6296</v>
      </c>
      <c r="AD62" s="573">
        <v>1</v>
      </c>
      <c r="AE62" s="573">
        <v>0</v>
      </c>
      <c r="AF62" s="154"/>
      <c r="AG62" s="155"/>
      <c r="AH62" s="121">
        <v>2</v>
      </c>
      <c r="AI62" s="484"/>
      <c r="AJ62" s="202"/>
      <c r="AK62" s="192"/>
      <c r="AL62" s="203"/>
      <c r="AM62" s="121"/>
      <c r="AN62" s="121"/>
      <c r="AO62" s="121"/>
      <c r="AP62" s="121"/>
      <c r="AQ62" s="121"/>
      <c r="AR62" s="121"/>
      <c r="AS62" s="121"/>
      <c r="AT62" s="121"/>
      <c r="AU62" s="121"/>
      <c r="AV62" s="121"/>
      <c r="AW62" s="121"/>
      <c r="AX62" s="121"/>
      <c r="AY62" s="121"/>
      <c r="AZ62" s="121"/>
      <c r="BA62" s="121"/>
      <c r="BB62" s="594"/>
      <c r="BC62" s="594"/>
      <c r="BD62" s="156"/>
      <c r="BE62" s="156"/>
      <c r="BF62" s="156"/>
      <c r="BG62" s="156" t="s">
        <v>6175</v>
      </c>
      <c r="BH62" s="156"/>
      <c r="BI62" s="156" t="s">
        <v>5207</v>
      </c>
      <c r="BJ62" s="156"/>
      <c r="BK62" s="156" t="s">
        <v>6243</v>
      </c>
      <c r="BL62" s="156"/>
      <c r="BM62" s="156"/>
      <c r="BN62" s="156" t="s">
        <v>5207</v>
      </c>
      <c r="BO62" s="156"/>
      <c r="BP62" s="156"/>
      <c r="BQ62" s="595"/>
      <c r="BR62" s="157"/>
      <c r="BS62" s="660"/>
      <c r="BT62" s="134"/>
      <c r="BU62" s="134"/>
      <c r="BV62" s="134"/>
      <c r="BW62" s="134"/>
      <c r="BX62" s="134"/>
      <c r="BY62" s="134"/>
      <c r="BZ62" s="259"/>
      <c r="CA62" s="454"/>
      <c r="CB62" s="138"/>
      <c r="CC62" s="134"/>
      <c r="CD62" s="134"/>
      <c r="CE62" s="134"/>
      <c r="CF62" s="138"/>
      <c r="CG62" s="134"/>
      <c r="CH62" s="134"/>
      <c r="CI62" s="134"/>
      <c r="CJ62" s="288"/>
      <c r="CK62" s="289"/>
      <c r="CL62" s="138"/>
      <c r="CM62" s="134"/>
      <c r="CN62" s="134"/>
      <c r="CO62" s="134"/>
      <c r="CP62" s="138"/>
      <c r="CQ62" s="134"/>
      <c r="CR62" s="134"/>
      <c r="CS62" s="134"/>
      <c r="CT62" s="288"/>
      <c r="CU62" s="289"/>
      <c r="CV62" s="276"/>
      <c r="CW62" s="308"/>
      <c r="CX62" s="138"/>
      <c r="CY62" s="134"/>
      <c r="CZ62" s="134"/>
      <c r="DA62" s="134"/>
      <c r="DB62" s="134"/>
      <c r="DC62" s="134"/>
      <c r="DD62" s="134"/>
      <c r="DE62" s="134"/>
      <c r="DF62" s="300"/>
      <c r="DG62" s="301"/>
      <c r="DH62" s="134"/>
      <c r="DI62" s="134"/>
      <c r="DJ62" s="134"/>
      <c r="DK62" s="134"/>
      <c r="DL62" s="134"/>
      <c r="DM62" s="134"/>
      <c r="DN62" s="134"/>
      <c r="DO62" s="134"/>
      <c r="DP62" s="300"/>
      <c r="DQ62" s="301"/>
      <c r="DR62" s="276"/>
      <c r="DS62" s="277"/>
      <c r="DT62" s="134"/>
      <c r="DU62" s="134"/>
      <c r="DV62" s="134"/>
      <c r="DW62" s="134"/>
      <c r="DX62" s="138"/>
      <c r="DY62" s="134"/>
      <c r="DZ62" s="134"/>
      <c r="EA62" s="134"/>
      <c r="EB62" s="301"/>
      <c r="EC62" s="301"/>
      <c r="ED62" s="138"/>
      <c r="EE62" s="134"/>
      <c r="EF62" s="134"/>
      <c r="EG62" s="134"/>
      <c r="EH62" s="138"/>
      <c r="EI62" s="134"/>
      <c r="EJ62" s="134"/>
      <c r="EK62" s="134"/>
      <c r="EL62" s="301"/>
      <c r="EM62" s="301"/>
      <c r="EN62" s="277"/>
      <c r="EO62" s="134"/>
      <c r="EP62" s="134"/>
      <c r="EQ62" s="134"/>
      <c r="ER62" s="134"/>
      <c r="ES62" s="134"/>
      <c r="ET62" s="134"/>
      <c r="EU62" s="134"/>
      <c r="EV62" s="134"/>
      <c r="EW62" s="301"/>
      <c r="EX62" s="301"/>
      <c r="EY62" s="134"/>
      <c r="EZ62" s="134"/>
      <c r="FA62" s="134"/>
      <c r="FB62" s="134"/>
      <c r="FC62" s="134"/>
      <c r="FD62" s="134"/>
      <c r="FE62" s="134"/>
      <c r="FF62" s="134"/>
      <c r="FG62" s="135"/>
      <c r="FH62" s="135"/>
      <c r="FI62" s="134"/>
      <c r="FJ62" s="134"/>
      <c r="FK62" s="134"/>
      <c r="FL62" s="134"/>
      <c r="FM62" s="134"/>
      <c r="FN62" s="134"/>
      <c r="FO62" s="134"/>
      <c r="FP62" s="134"/>
      <c r="FQ62" s="135"/>
      <c r="FR62" s="135"/>
      <c r="FS62" s="134"/>
      <c r="FT62" s="134"/>
      <c r="FU62" s="134"/>
      <c r="FV62" s="134"/>
      <c r="FW62" s="134"/>
      <c r="FX62" s="134"/>
      <c r="FY62" s="134"/>
      <c r="FZ62" s="134"/>
      <c r="GA62" s="135"/>
      <c r="GB62" s="135"/>
      <c r="GC62" s="134"/>
      <c r="GD62" s="134"/>
      <c r="GE62" s="134"/>
      <c r="GF62" s="134"/>
      <c r="GG62" s="134"/>
      <c r="GH62" s="134"/>
      <c r="GI62" s="134"/>
      <c r="GJ62" s="134"/>
      <c r="GK62" s="135"/>
      <c r="GL62" s="135"/>
      <c r="GM62" s="134"/>
      <c r="GN62" s="134"/>
      <c r="GO62" s="134"/>
      <c r="GP62" s="134"/>
      <c r="GQ62" s="134"/>
      <c r="GR62" s="134"/>
      <c r="GS62" s="134"/>
      <c r="GT62" s="134"/>
      <c r="GU62" s="135"/>
      <c r="GV62" s="135"/>
      <c r="GW62" s="134"/>
      <c r="GX62" s="134"/>
      <c r="GY62" s="134"/>
      <c r="GZ62" s="134"/>
      <c r="HA62" s="134"/>
      <c r="HB62" s="134"/>
      <c r="HC62" s="134"/>
      <c r="HD62" s="134"/>
      <c r="HE62" s="135"/>
      <c r="HF62" s="135"/>
      <c r="HG62" s="134"/>
      <c r="HH62" s="134"/>
      <c r="HI62" s="134"/>
      <c r="HJ62" s="134"/>
      <c r="HK62" s="134"/>
      <c r="HL62" s="134"/>
      <c r="HM62" s="134"/>
      <c r="HN62" s="134"/>
      <c r="HO62" s="135"/>
      <c r="HP62" s="135"/>
      <c r="HQ62" s="134"/>
      <c r="HR62" s="134"/>
      <c r="HS62" s="134"/>
      <c r="HT62" s="134"/>
      <c r="HU62" s="134"/>
      <c r="HV62" s="134"/>
      <c r="HW62" s="134"/>
      <c r="HX62" s="134"/>
      <c r="HY62" s="135"/>
      <c r="HZ62" s="135"/>
      <c r="IA62" s="134"/>
      <c r="IB62" s="134"/>
      <c r="IC62" s="134"/>
      <c r="ID62" s="134"/>
      <c r="IE62" s="134"/>
      <c r="IF62" s="134"/>
      <c r="IG62" s="134"/>
      <c r="IH62" s="134"/>
      <c r="II62" s="135"/>
      <c r="IJ62" s="135"/>
      <c r="IK62" s="134"/>
      <c r="IL62" s="134"/>
      <c r="IM62" s="134"/>
      <c r="IN62" s="134"/>
      <c r="IO62" s="134"/>
      <c r="IP62" s="134"/>
      <c r="IQ62" s="134"/>
      <c r="IR62" s="134"/>
      <c r="IS62" s="135"/>
      <c r="IT62" s="135"/>
      <c r="IU62" s="134"/>
      <c r="IV62" s="134"/>
      <c r="IW62" s="134"/>
      <c r="IX62" s="134"/>
      <c r="IY62" s="134"/>
      <c r="IZ62" s="134"/>
      <c r="JA62" s="134"/>
      <c r="JB62" s="134"/>
      <c r="JC62" s="135"/>
      <c r="JD62" s="135"/>
    </row>
    <row r="63" spans="1:264" customFormat="1" ht="15" customHeight="1">
      <c r="A63" s="79" t="s">
        <v>325</v>
      </c>
      <c r="B63" s="362">
        <v>232</v>
      </c>
      <c r="C63" s="362"/>
      <c r="D63" s="362">
        <v>95</v>
      </c>
      <c r="E63" s="604" t="s">
        <v>2032</v>
      </c>
      <c r="F63" s="124" t="s">
        <v>2268</v>
      </c>
      <c r="G63" s="125">
        <v>2014</v>
      </c>
      <c r="H63" s="79">
        <v>24936431</v>
      </c>
      <c r="I63" s="79">
        <v>1</v>
      </c>
      <c r="J63" s="126"/>
      <c r="K63" s="127"/>
      <c r="L63" s="79">
        <v>1</v>
      </c>
      <c r="M63" s="79"/>
      <c r="N63" s="79">
        <v>1</v>
      </c>
      <c r="O63" s="128">
        <v>1</v>
      </c>
      <c r="P63" s="79" t="s">
        <v>609</v>
      </c>
      <c r="Q63" s="79" t="s">
        <v>1158</v>
      </c>
      <c r="R63" s="79" t="s">
        <v>591</v>
      </c>
      <c r="S63" s="79">
        <v>1</v>
      </c>
      <c r="T63" s="79"/>
      <c r="U63" s="79"/>
      <c r="V63" s="79"/>
      <c r="W63" s="79" t="s">
        <v>845</v>
      </c>
      <c r="X63" s="79" t="s">
        <v>846</v>
      </c>
      <c r="Y63" s="79"/>
      <c r="Z63" s="79"/>
      <c r="AA63" s="79"/>
      <c r="AB63" s="79"/>
      <c r="AC63" s="506" t="s">
        <v>6300</v>
      </c>
      <c r="AD63" s="573">
        <v>1</v>
      </c>
      <c r="AE63" s="573">
        <v>0</v>
      </c>
      <c r="AF63" s="154"/>
      <c r="AG63" s="155"/>
      <c r="AH63" s="121">
        <v>2</v>
      </c>
      <c r="AI63" s="484"/>
      <c r="AJ63" s="202"/>
      <c r="AK63" s="192"/>
      <c r="AL63" s="203"/>
      <c r="AM63" s="121"/>
      <c r="AN63" s="121"/>
      <c r="AO63" s="121"/>
      <c r="AP63" s="121"/>
      <c r="AQ63" s="121"/>
      <c r="AR63" s="121"/>
      <c r="AS63" s="121"/>
      <c r="AT63" s="121"/>
      <c r="AU63" s="121"/>
      <c r="AV63" s="121"/>
      <c r="AW63" s="121"/>
      <c r="AX63" s="121"/>
      <c r="AY63" s="121"/>
      <c r="AZ63" s="121"/>
      <c r="BA63" s="121"/>
      <c r="BB63" s="594"/>
      <c r="BC63" s="594"/>
      <c r="BD63" s="156"/>
      <c r="BE63" s="156"/>
      <c r="BF63" s="156"/>
      <c r="BG63" s="156"/>
      <c r="BH63" s="156"/>
      <c r="BI63" s="156"/>
      <c r="BJ63" s="156"/>
      <c r="BK63" s="156"/>
      <c r="BL63" s="156" t="s">
        <v>5207</v>
      </c>
      <c r="BM63" s="156"/>
      <c r="BN63" s="156"/>
      <c r="BO63" s="156"/>
      <c r="BP63" s="156"/>
      <c r="BQ63" s="595"/>
      <c r="BR63" s="157"/>
      <c r="BS63" s="660"/>
      <c r="BT63" s="134"/>
      <c r="BU63" s="134"/>
      <c r="BV63" s="134"/>
      <c r="BW63" s="134"/>
      <c r="BX63" s="134"/>
      <c r="BY63" s="134"/>
      <c r="BZ63" s="259"/>
      <c r="CA63" s="454"/>
      <c r="CB63" s="138"/>
      <c r="CC63" s="134"/>
      <c r="CD63" s="134"/>
      <c r="CE63" s="134"/>
      <c r="CF63" s="138"/>
      <c r="CG63" s="134"/>
      <c r="CH63" s="134"/>
      <c r="CI63" s="134"/>
      <c r="CJ63" s="288"/>
      <c r="CK63" s="289"/>
      <c r="CL63" s="138"/>
      <c r="CM63" s="134"/>
      <c r="CN63" s="134"/>
      <c r="CO63" s="134"/>
      <c r="CP63" s="138"/>
      <c r="CQ63" s="134"/>
      <c r="CR63" s="134"/>
      <c r="CS63" s="134"/>
      <c r="CT63" s="288"/>
      <c r="CU63" s="289"/>
      <c r="CV63" s="276"/>
      <c r="CW63" s="308"/>
      <c r="CX63" s="138"/>
      <c r="CY63" s="134"/>
      <c r="CZ63" s="134"/>
      <c r="DA63" s="134"/>
      <c r="DB63" s="134"/>
      <c r="DC63" s="134"/>
      <c r="DD63" s="134"/>
      <c r="DE63" s="134"/>
      <c r="DF63" s="300"/>
      <c r="DG63" s="301"/>
      <c r="DH63" s="134"/>
      <c r="DI63" s="134"/>
      <c r="DJ63" s="134"/>
      <c r="DK63" s="134"/>
      <c r="DL63" s="134"/>
      <c r="DM63" s="134"/>
      <c r="DN63" s="134"/>
      <c r="DO63" s="134"/>
      <c r="DP63" s="300"/>
      <c r="DQ63" s="301"/>
      <c r="DR63" s="276"/>
      <c r="DS63" s="277"/>
      <c r="DT63" s="134"/>
      <c r="DU63" s="134"/>
      <c r="DV63" s="134"/>
      <c r="DW63" s="134"/>
      <c r="DX63" s="138"/>
      <c r="DY63" s="134"/>
      <c r="DZ63" s="134"/>
      <c r="EA63" s="134"/>
      <c r="EB63" s="301"/>
      <c r="EC63" s="301"/>
      <c r="ED63" s="138"/>
      <c r="EE63" s="134"/>
      <c r="EF63" s="134"/>
      <c r="EG63" s="134"/>
      <c r="EH63" s="138"/>
      <c r="EI63" s="134"/>
      <c r="EJ63" s="134"/>
      <c r="EK63" s="134"/>
      <c r="EL63" s="301"/>
      <c r="EM63" s="301"/>
      <c r="EN63" s="447"/>
      <c r="EO63" s="134"/>
      <c r="EP63" s="134"/>
      <c r="EQ63" s="134"/>
      <c r="ER63" s="134"/>
      <c r="ES63" s="134"/>
      <c r="ET63" s="134"/>
      <c r="EU63" s="134"/>
      <c r="EV63" s="134"/>
      <c r="EW63" s="301"/>
      <c r="EX63" s="301"/>
      <c r="EY63" s="134"/>
      <c r="EZ63" s="134"/>
      <c r="FA63" s="134"/>
      <c r="FB63" s="134"/>
      <c r="FC63" s="134"/>
      <c r="FD63" s="134"/>
      <c r="FE63" s="134"/>
      <c r="FF63" s="134"/>
      <c r="FG63" s="135"/>
      <c r="FH63" s="135"/>
      <c r="FI63" s="134"/>
      <c r="FJ63" s="134"/>
      <c r="FK63" s="134"/>
      <c r="FL63" s="134"/>
      <c r="FM63" s="134"/>
      <c r="FN63" s="134"/>
      <c r="FO63" s="134"/>
      <c r="FP63" s="134"/>
      <c r="FQ63" s="135"/>
      <c r="FR63" s="135"/>
      <c r="FS63" s="134"/>
      <c r="FT63" s="134"/>
      <c r="FU63" s="134"/>
      <c r="FV63" s="134"/>
      <c r="FW63" s="134"/>
      <c r="FX63" s="134"/>
      <c r="FY63" s="134"/>
      <c r="FZ63" s="134"/>
      <c r="GA63" s="135"/>
      <c r="GB63" s="135"/>
      <c r="GC63" s="134"/>
      <c r="GD63" s="134"/>
      <c r="GE63" s="134"/>
      <c r="GF63" s="134"/>
      <c r="GG63" s="134"/>
      <c r="GH63" s="134"/>
      <c r="GI63" s="134"/>
      <c r="GJ63" s="134"/>
      <c r="GK63" s="135"/>
      <c r="GL63" s="135"/>
      <c r="GM63" s="134"/>
      <c r="GN63" s="134"/>
      <c r="GO63" s="134"/>
      <c r="GP63" s="134"/>
      <c r="GQ63" s="134"/>
      <c r="GR63" s="134"/>
      <c r="GS63" s="134"/>
      <c r="GT63" s="134"/>
      <c r="GU63" s="135"/>
      <c r="GV63" s="135"/>
      <c r="GW63" s="134"/>
      <c r="GX63" s="134"/>
      <c r="GY63" s="134"/>
      <c r="GZ63" s="134"/>
      <c r="HA63" s="134"/>
      <c r="HB63" s="134"/>
      <c r="HC63" s="134"/>
      <c r="HD63" s="134"/>
      <c r="HE63" s="135"/>
      <c r="HF63" s="135"/>
      <c r="HG63" s="134"/>
      <c r="HH63" s="134"/>
      <c r="HI63" s="134"/>
      <c r="HJ63" s="134"/>
      <c r="HK63" s="134"/>
      <c r="HL63" s="134"/>
      <c r="HM63" s="134"/>
      <c r="HN63" s="134"/>
      <c r="HO63" s="135"/>
      <c r="HP63" s="135"/>
      <c r="HQ63" s="134"/>
      <c r="HR63" s="134"/>
      <c r="HS63" s="134"/>
      <c r="HT63" s="134"/>
      <c r="HU63" s="134"/>
      <c r="HV63" s="134"/>
      <c r="HW63" s="134"/>
      <c r="HX63" s="134"/>
      <c r="HY63" s="135"/>
      <c r="HZ63" s="135"/>
      <c r="IA63" s="134"/>
      <c r="IB63" s="134"/>
      <c r="IC63" s="134"/>
      <c r="ID63" s="134"/>
      <c r="IE63" s="134"/>
      <c r="IF63" s="134"/>
      <c r="IG63" s="134"/>
      <c r="IH63" s="134"/>
      <c r="II63" s="135"/>
      <c r="IJ63" s="135"/>
      <c r="IK63" s="134"/>
      <c r="IL63" s="134"/>
      <c r="IM63" s="134"/>
      <c r="IN63" s="134"/>
      <c r="IO63" s="134"/>
      <c r="IP63" s="134"/>
      <c r="IQ63" s="134"/>
      <c r="IR63" s="134"/>
      <c r="IS63" s="135"/>
      <c r="IT63" s="135"/>
      <c r="IU63" s="134"/>
      <c r="IV63" s="134"/>
      <c r="IW63" s="134"/>
      <c r="IX63" s="134"/>
      <c r="IY63" s="134"/>
      <c r="IZ63" s="134"/>
      <c r="JA63" s="134"/>
      <c r="JB63" s="134"/>
      <c r="JC63" s="135"/>
      <c r="JD63" s="135"/>
    </row>
    <row r="64" spans="1:264" customFormat="1" ht="15" customHeight="1">
      <c r="A64" s="79" t="s">
        <v>332</v>
      </c>
      <c r="B64" s="362">
        <v>237</v>
      </c>
      <c r="C64" s="362"/>
      <c r="D64" s="362">
        <v>97</v>
      </c>
      <c r="E64" s="604" t="s">
        <v>2035</v>
      </c>
      <c r="F64" s="124" t="s">
        <v>2271</v>
      </c>
      <c r="G64" s="125">
        <v>1984</v>
      </c>
      <c r="H64" s="79">
        <v>6691477</v>
      </c>
      <c r="I64" s="79">
        <v>1</v>
      </c>
      <c r="J64" s="126" t="s">
        <v>1785</v>
      </c>
      <c r="K64" s="127"/>
      <c r="L64" s="79">
        <v>0</v>
      </c>
      <c r="M64" s="79"/>
      <c r="N64" s="164">
        <v>1</v>
      </c>
      <c r="O64" s="128">
        <v>1</v>
      </c>
      <c r="P64" s="79" t="s">
        <v>863</v>
      </c>
      <c r="Q64" s="79"/>
      <c r="R64" s="79" t="s">
        <v>819</v>
      </c>
      <c r="S64" s="79">
        <v>1</v>
      </c>
      <c r="T64" s="79"/>
      <c r="U64" s="79"/>
      <c r="V64" s="79"/>
      <c r="W64" s="79" t="s">
        <v>455</v>
      </c>
      <c r="X64" s="79"/>
      <c r="Y64" s="79"/>
      <c r="Z64" s="79"/>
      <c r="AA64" s="79"/>
      <c r="AB64" s="79" t="s">
        <v>864</v>
      </c>
      <c r="AC64" s="506" t="s">
        <v>6303</v>
      </c>
      <c r="AD64" s="573">
        <v>1</v>
      </c>
      <c r="AE64" s="573">
        <v>0</v>
      </c>
      <c r="AF64" s="154">
        <v>0</v>
      </c>
      <c r="AG64" s="155" t="s">
        <v>6304</v>
      </c>
      <c r="AH64" s="121">
        <v>2</v>
      </c>
      <c r="AI64" s="484"/>
      <c r="AJ64" s="202"/>
      <c r="AK64" s="192"/>
      <c r="AL64" s="203"/>
      <c r="AM64" s="121"/>
      <c r="AN64" s="121"/>
      <c r="AO64" s="121"/>
      <c r="AP64" s="121"/>
      <c r="AQ64" s="121"/>
      <c r="AR64" s="121"/>
      <c r="AS64" s="121"/>
      <c r="AT64" s="121"/>
      <c r="AU64" s="121"/>
      <c r="AV64" s="121"/>
      <c r="AW64" s="121"/>
      <c r="AX64" s="121"/>
      <c r="AY64" s="121"/>
      <c r="AZ64" s="121"/>
      <c r="BA64" s="121"/>
      <c r="BB64" s="594"/>
      <c r="BC64" s="594"/>
      <c r="BD64" s="156"/>
      <c r="BE64" s="156"/>
      <c r="BF64" s="156"/>
      <c r="BG64" s="156"/>
      <c r="BH64" s="156"/>
      <c r="BI64" s="156"/>
      <c r="BJ64" s="156"/>
      <c r="BK64" s="156"/>
      <c r="BL64" s="156"/>
      <c r="BM64" s="156"/>
      <c r="BN64" s="156"/>
      <c r="BO64" s="156"/>
      <c r="BP64" s="156"/>
      <c r="BQ64" s="595"/>
      <c r="BR64" s="157"/>
      <c r="BS64" s="660"/>
      <c r="BT64" s="134"/>
      <c r="BU64" s="134"/>
      <c r="BV64" s="134"/>
      <c r="BW64" s="134"/>
      <c r="BX64" s="134"/>
      <c r="BY64" s="134"/>
      <c r="BZ64" s="259"/>
      <c r="CA64" s="454"/>
      <c r="CB64" s="138"/>
      <c r="CC64" s="134"/>
      <c r="CD64" s="134"/>
      <c r="CE64" s="134"/>
      <c r="CF64" s="138"/>
      <c r="CG64" s="134"/>
      <c r="CH64" s="134"/>
      <c r="CI64" s="134"/>
      <c r="CJ64" s="288"/>
      <c r="CK64" s="289"/>
      <c r="CL64" s="138"/>
      <c r="CM64" s="134"/>
      <c r="CN64" s="134"/>
      <c r="CO64" s="134"/>
      <c r="CP64" s="138"/>
      <c r="CQ64" s="134"/>
      <c r="CR64" s="134"/>
      <c r="CS64" s="134"/>
      <c r="CT64" s="288"/>
      <c r="CU64" s="289"/>
      <c r="CV64" s="276"/>
      <c r="CW64" s="308"/>
      <c r="CX64" s="138"/>
      <c r="CY64" s="134"/>
      <c r="CZ64" s="134"/>
      <c r="DA64" s="134"/>
      <c r="DB64" s="134"/>
      <c r="DC64" s="134"/>
      <c r="DD64" s="134"/>
      <c r="DE64" s="134"/>
      <c r="DF64" s="300"/>
      <c r="DG64" s="301"/>
      <c r="DH64" s="134"/>
      <c r="DI64" s="134"/>
      <c r="DJ64" s="134"/>
      <c r="DK64" s="134"/>
      <c r="DL64" s="134"/>
      <c r="DM64" s="134"/>
      <c r="DN64" s="134"/>
      <c r="DO64" s="134"/>
      <c r="DP64" s="300"/>
      <c r="DQ64" s="301"/>
      <c r="DR64" s="276"/>
      <c r="DS64" s="277"/>
      <c r="DT64" s="134"/>
      <c r="DU64" s="134"/>
      <c r="DV64" s="134"/>
      <c r="DW64" s="134"/>
      <c r="DX64" s="138"/>
      <c r="DY64" s="134"/>
      <c r="DZ64" s="134"/>
      <c r="EA64" s="134"/>
      <c r="EB64" s="301"/>
      <c r="EC64" s="301"/>
      <c r="ED64" s="138"/>
      <c r="EE64" s="134"/>
      <c r="EF64" s="134"/>
      <c r="EG64" s="134"/>
      <c r="EH64" s="138"/>
      <c r="EI64" s="134"/>
      <c r="EJ64" s="134"/>
      <c r="EK64" s="134"/>
      <c r="EL64" s="301"/>
      <c r="EM64" s="301"/>
      <c r="EN64" s="447"/>
      <c r="EO64" s="134"/>
      <c r="EP64" s="134"/>
      <c r="EQ64" s="134"/>
      <c r="ER64" s="134"/>
      <c r="ES64" s="134"/>
      <c r="ET64" s="134"/>
      <c r="EU64" s="134"/>
      <c r="EV64" s="134"/>
      <c r="EW64" s="301"/>
      <c r="EX64" s="301"/>
      <c r="EY64" s="134"/>
      <c r="EZ64" s="134"/>
      <c r="FA64" s="134"/>
      <c r="FB64" s="134"/>
      <c r="FC64" s="134"/>
      <c r="FD64" s="134"/>
      <c r="FE64" s="134"/>
      <c r="FF64" s="134"/>
      <c r="FG64" s="135"/>
      <c r="FH64" s="135"/>
      <c r="FI64" s="134"/>
      <c r="FJ64" s="134"/>
      <c r="FK64" s="134"/>
      <c r="FL64" s="134"/>
      <c r="FM64" s="134"/>
      <c r="FN64" s="134"/>
      <c r="FO64" s="134"/>
      <c r="FP64" s="134"/>
      <c r="FQ64" s="135"/>
      <c r="FR64" s="135"/>
      <c r="FS64" s="134"/>
      <c r="FT64" s="134"/>
      <c r="FU64" s="134"/>
      <c r="FV64" s="134"/>
      <c r="FW64" s="134"/>
      <c r="FX64" s="134"/>
      <c r="FY64" s="134"/>
      <c r="FZ64" s="134"/>
      <c r="GA64" s="135"/>
      <c r="GB64" s="135"/>
      <c r="GC64" s="134"/>
      <c r="GD64" s="134"/>
      <c r="GE64" s="134"/>
      <c r="GF64" s="134"/>
      <c r="GG64" s="134"/>
      <c r="GH64" s="134"/>
      <c r="GI64" s="134"/>
      <c r="GJ64" s="134"/>
      <c r="GK64" s="135"/>
      <c r="GL64" s="135"/>
      <c r="GM64" s="134"/>
      <c r="GN64" s="134"/>
      <c r="GO64" s="134"/>
      <c r="GP64" s="134"/>
      <c r="GQ64" s="134"/>
      <c r="GR64" s="134"/>
      <c r="GS64" s="134"/>
      <c r="GT64" s="134"/>
      <c r="GU64" s="135"/>
      <c r="GV64" s="135"/>
      <c r="GW64" s="134"/>
      <c r="GX64" s="134"/>
      <c r="GY64" s="134"/>
      <c r="GZ64" s="134"/>
      <c r="HA64" s="134"/>
      <c r="HB64" s="134"/>
      <c r="HC64" s="134"/>
      <c r="HD64" s="134"/>
      <c r="HE64" s="135"/>
      <c r="HF64" s="135"/>
      <c r="HG64" s="134"/>
      <c r="HH64" s="134"/>
      <c r="HI64" s="134"/>
      <c r="HJ64" s="134"/>
      <c r="HK64" s="134"/>
      <c r="HL64" s="134"/>
      <c r="HM64" s="134"/>
      <c r="HN64" s="134"/>
      <c r="HO64" s="135"/>
      <c r="HP64" s="135"/>
      <c r="HQ64" s="134"/>
      <c r="HR64" s="134"/>
      <c r="HS64" s="134"/>
      <c r="HT64" s="134"/>
      <c r="HU64" s="134"/>
      <c r="HV64" s="134"/>
      <c r="HW64" s="134"/>
      <c r="HX64" s="134"/>
      <c r="HY64" s="135"/>
      <c r="HZ64" s="135"/>
      <c r="IA64" s="134"/>
      <c r="IB64" s="134"/>
      <c r="IC64" s="134"/>
      <c r="ID64" s="134"/>
      <c r="IE64" s="134"/>
      <c r="IF64" s="134"/>
      <c r="IG64" s="134"/>
      <c r="IH64" s="134"/>
      <c r="II64" s="135"/>
      <c r="IJ64" s="135"/>
      <c r="IK64" s="134"/>
      <c r="IL64" s="134"/>
      <c r="IM64" s="134"/>
      <c r="IN64" s="134"/>
      <c r="IO64" s="134"/>
      <c r="IP64" s="134"/>
      <c r="IQ64" s="134"/>
      <c r="IR64" s="134"/>
      <c r="IS64" s="135"/>
      <c r="IT64" s="135"/>
      <c r="IU64" s="134"/>
      <c r="IV64" s="134"/>
      <c r="IW64" s="134"/>
      <c r="IX64" s="134"/>
      <c r="IY64" s="134"/>
      <c r="IZ64" s="134"/>
      <c r="JA64" s="134"/>
      <c r="JB64" s="134"/>
      <c r="JC64" s="135"/>
      <c r="JD64" s="135"/>
    </row>
    <row r="65" spans="1:264" s="338" customFormat="1" ht="15" customHeight="1">
      <c r="A65" s="79" t="s">
        <v>334</v>
      </c>
      <c r="B65" s="362">
        <v>239</v>
      </c>
      <c r="C65" s="362"/>
      <c r="D65" s="362">
        <v>98</v>
      </c>
      <c r="E65" s="604" t="s">
        <v>2035</v>
      </c>
      <c r="F65" s="124" t="s">
        <v>2272</v>
      </c>
      <c r="G65" s="125">
        <v>2015</v>
      </c>
      <c r="H65" s="79">
        <v>25154707</v>
      </c>
      <c r="I65" s="79">
        <v>1</v>
      </c>
      <c r="J65" s="126"/>
      <c r="K65" s="127"/>
      <c r="L65" s="79">
        <v>1</v>
      </c>
      <c r="M65" s="79"/>
      <c r="N65" s="79">
        <v>1</v>
      </c>
      <c r="O65" s="128">
        <v>1</v>
      </c>
      <c r="P65" s="79" t="s">
        <v>870</v>
      </c>
      <c r="Q65" s="79" t="s">
        <v>1192</v>
      </c>
      <c r="R65" s="79" t="s">
        <v>25</v>
      </c>
      <c r="S65" s="79">
        <v>1</v>
      </c>
      <c r="T65" s="79"/>
      <c r="U65" s="79"/>
      <c r="V65" s="79"/>
      <c r="W65" s="79" t="s">
        <v>869</v>
      </c>
      <c r="X65" s="79" t="s">
        <v>56</v>
      </c>
      <c r="Y65" s="79"/>
      <c r="Z65" s="79"/>
      <c r="AA65" s="79"/>
      <c r="AB65" s="79" t="s">
        <v>871</v>
      </c>
      <c r="AC65" s="506" t="s">
        <v>6305</v>
      </c>
      <c r="AD65" s="573">
        <v>1</v>
      </c>
      <c r="AE65" s="573">
        <v>0</v>
      </c>
      <c r="AF65" s="154"/>
      <c r="AG65" s="155"/>
      <c r="AH65" s="121">
        <v>2</v>
      </c>
      <c r="AI65" s="484"/>
      <c r="AJ65" s="202"/>
      <c r="AK65" s="192"/>
      <c r="AL65" s="203"/>
      <c r="AM65" s="121"/>
      <c r="AN65" s="121"/>
      <c r="AO65" s="121"/>
      <c r="AP65" s="121"/>
      <c r="AQ65" s="121"/>
      <c r="AR65" s="121"/>
      <c r="AS65" s="121"/>
      <c r="AT65" s="121"/>
      <c r="AU65" s="121"/>
      <c r="AV65" s="121"/>
      <c r="AW65" s="121"/>
      <c r="AX65" s="121"/>
      <c r="AY65" s="121"/>
      <c r="AZ65" s="121"/>
      <c r="BA65" s="121"/>
      <c r="BB65" s="594"/>
      <c r="BC65" s="594"/>
      <c r="BD65" s="156"/>
      <c r="BE65" s="156"/>
      <c r="BF65" s="156"/>
      <c r="BG65" s="156" t="s">
        <v>6175</v>
      </c>
      <c r="BH65" s="156"/>
      <c r="BI65" s="156" t="s">
        <v>5207</v>
      </c>
      <c r="BJ65" s="156"/>
      <c r="BK65" s="156"/>
      <c r="BL65" s="156"/>
      <c r="BM65" s="156"/>
      <c r="BN65" s="156"/>
      <c r="BO65" s="156"/>
      <c r="BP65" s="156" t="s">
        <v>6306</v>
      </c>
      <c r="BQ65" s="595"/>
      <c r="BR65" s="157"/>
      <c r="BS65" s="660"/>
      <c r="BT65" s="134"/>
      <c r="BU65" s="134"/>
      <c r="BV65" s="134"/>
      <c r="BW65" s="134"/>
      <c r="BX65" s="134"/>
      <c r="BY65" s="134"/>
      <c r="BZ65" s="259"/>
      <c r="CA65" s="454"/>
      <c r="CB65" s="138"/>
      <c r="CC65" s="134"/>
      <c r="CD65" s="134"/>
      <c r="CE65" s="134"/>
      <c r="CF65" s="134"/>
      <c r="CG65" s="134"/>
      <c r="CH65" s="134"/>
      <c r="CI65" s="134"/>
      <c r="CJ65" s="288"/>
      <c r="CK65" s="289"/>
      <c r="CL65" s="138"/>
      <c r="CM65" s="134"/>
      <c r="CN65" s="134"/>
      <c r="CO65" s="134"/>
      <c r="CP65" s="138"/>
      <c r="CQ65" s="134"/>
      <c r="CR65" s="134"/>
      <c r="CS65" s="134"/>
      <c r="CT65" s="288"/>
      <c r="CU65" s="289"/>
      <c r="CV65" s="276"/>
      <c r="CW65" s="308"/>
      <c r="CX65" s="138"/>
      <c r="CY65" s="134"/>
      <c r="CZ65" s="134"/>
      <c r="DA65" s="134"/>
      <c r="DB65" s="134"/>
      <c r="DC65" s="134"/>
      <c r="DD65" s="134"/>
      <c r="DE65" s="134"/>
      <c r="DF65" s="300"/>
      <c r="DG65" s="301"/>
      <c r="DH65" s="134"/>
      <c r="DI65" s="134"/>
      <c r="DJ65" s="134"/>
      <c r="DK65" s="134"/>
      <c r="DL65" s="134"/>
      <c r="DM65" s="134"/>
      <c r="DN65" s="134"/>
      <c r="DO65" s="134"/>
      <c r="DP65" s="300"/>
      <c r="DQ65" s="301"/>
      <c r="DR65" s="276"/>
      <c r="DS65" s="277"/>
      <c r="DT65" s="134"/>
      <c r="DU65" s="134"/>
      <c r="DV65" s="134"/>
      <c r="DW65" s="134"/>
      <c r="DX65" s="138"/>
      <c r="DY65" s="134"/>
      <c r="DZ65" s="134"/>
      <c r="EA65" s="134"/>
      <c r="EB65" s="301"/>
      <c r="EC65" s="301"/>
      <c r="ED65" s="138"/>
      <c r="EE65" s="134"/>
      <c r="EF65" s="134"/>
      <c r="EG65" s="134"/>
      <c r="EH65" s="138"/>
      <c r="EI65" s="134"/>
      <c r="EJ65" s="134"/>
      <c r="EK65" s="134"/>
      <c r="EL65" s="301"/>
      <c r="EM65" s="301"/>
      <c r="EN65" s="447"/>
      <c r="EO65" s="134"/>
      <c r="EP65" s="134"/>
      <c r="EQ65" s="134"/>
      <c r="ER65" s="134"/>
      <c r="ES65" s="134"/>
      <c r="ET65" s="134"/>
      <c r="EU65" s="134"/>
      <c r="EV65" s="134"/>
      <c r="EW65" s="301"/>
      <c r="EX65" s="301"/>
      <c r="EY65" s="134"/>
      <c r="EZ65" s="134"/>
      <c r="FA65" s="134"/>
      <c r="FB65" s="134"/>
      <c r="FC65" s="134"/>
      <c r="FD65" s="134"/>
      <c r="FE65" s="134"/>
      <c r="FF65" s="134"/>
      <c r="FG65" s="135"/>
      <c r="FH65" s="135"/>
      <c r="FI65" s="134"/>
      <c r="FJ65" s="134"/>
      <c r="FK65" s="134"/>
      <c r="FL65" s="134"/>
      <c r="FM65" s="134"/>
      <c r="FN65" s="134"/>
      <c r="FO65" s="134"/>
      <c r="FP65" s="134"/>
      <c r="FQ65" s="135"/>
      <c r="FR65" s="135"/>
      <c r="FS65" s="134"/>
      <c r="FT65" s="134"/>
      <c r="FU65" s="134"/>
      <c r="FV65" s="134"/>
      <c r="FW65" s="134"/>
      <c r="FX65" s="134"/>
      <c r="FY65" s="134"/>
      <c r="FZ65" s="134"/>
      <c r="GA65" s="135"/>
      <c r="GB65" s="135"/>
      <c r="GC65" s="134"/>
      <c r="GD65" s="134"/>
      <c r="GE65" s="134"/>
      <c r="GF65" s="134"/>
      <c r="GG65" s="134"/>
      <c r="GH65" s="134"/>
      <c r="GI65" s="134"/>
      <c r="GJ65" s="134"/>
      <c r="GK65" s="135"/>
      <c r="GL65" s="135"/>
      <c r="GM65" s="134"/>
      <c r="GN65" s="134"/>
      <c r="GO65" s="134"/>
      <c r="GP65" s="134"/>
      <c r="GQ65" s="134"/>
      <c r="GR65" s="134"/>
      <c r="GS65" s="134"/>
      <c r="GT65" s="134"/>
      <c r="GU65" s="135"/>
      <c r="GV65" s="135"/>
      <c r="GW65" s="134"/>
      <c r="GX65" s="134"/>
      <c r="GY65" s="134"/>
      <c r="GZ65" s="134"/>
      <c r="HA65" s="134"/>
      <c r="HB65" s="134"/>
      <c r="HC65" s="134"/>
      <c r="HD65" s="134"/>
      <c r="HE65" s="135"/>
      <c r="HF65" s="135"/>
      <c r="HG65" s="134"/>
      <c r="HH65" s="134"/>
      <c r="HI65" s="134"/>
      <c r="HJ65" s="134"/>
      <c r="HK65" s="134"/>
      <c r="HL65" s="134"/>
      <c r="HM65" s="134"/>
      <c r="HN65" s="134"/>
      <c r="HO65" s="135"/>
      <c r="HP65" s="135"/>
      <c r="HQ65" s="134"/>
      <c r="HR65" s="134"/>
      <c r="HS65" s="134"/>
      <c r="HT65" s="134"/>
      <c r="HU65" s="134"/>
      <c r="HV65" s="134"/>
      <c r="HW65" s="134"/>
      <c r="HX65" s="134"/>
      <c r="HY65" s="135"/>
      <c r="HZ65" s="135"/>
      <c r="IA65" s="134"/>
      <c r="IB65" s="134"/>
      <c r="IC65" s="134"/>
      <c r="ID65" s="134"/>
      <c r="IE65" s="134"/>
      <c r="IF65" s="134"/>
      <c r="IG65" s="134"/>
      <c r="IH65" s="134"/>
      <c r="II65" s="135"/>
      <c r="IJ65" s="135"/>
      <c r="IK65" s="134"/>
      <c r="IL65" s="134"/>
      <c r="IM65" s="134"/>
      <c r="IN65" s="134"/>
      <c r="IO65" s="134"/>
      <c r="IP65" s="134"/>
      <c r="IQ65" s="134"/>
      <c r="IR65" s="134"/>
      <c r="IS65" s="135"/>
      <c r="IT65" s="135"/>
      <c r="IU65" s="134"/>
      <c r="IV65" s="134"/>
      <c r="IW65" s="134"/>
      <c r="IX65" s="134"/>
      <c r="IY65" s="134"/>
      <c r="IZ65" s="134"/>
      <c r="JA65" s="134"/>
      <c r="JB65" s="134"/>
      <c r="JC65" s="135"/>
      <c r="JD65" s="135"/>
    </row>
    <row r="66" spans="1:264" s="338" customFormat="1" ht="15" customHeight="1">
      <c r="A66" s="79" t="s">
        <v>335</v>
      </c>
      <c r="B66" s="362">
        <v>240</v>
      </c>
      <c r="C66" s="362"/>
      <c r="D66" s="362">
        <v>99</v>
      </c>
      <c r="E66" s="604" t="s">
        <v>2035</v>
      </c>
      <c r="F66" s="124" t="s">
        <v>2273</v>
      </c>
      <c r="G66" s="125">
        <v>2014</v>
      </c>
      <c r="H66" s="79">
        <v>24886789</v>
      </c>
      <c r="I66" s="79">
        <v>1</v>
      </c>
      <c r="J66" s="126"/>
      <c r="K66" s="127"/>
      <c r="L66" s="79">
        <v>1</v>
      </c>
      <c r="M66" s="79"/>
      <c r="N66" s="79">
        <v>1</v>
      </c>
      <c r="O66" s="128">
        <v>1</v>
      </c>
      <c r="P66" s="79" t="s">
        <v>870</v>
      </c>
      <c r="Q66" s="79" t="s">
        <v>1192</v>
      </c>
      <c r="R66" s="79" t="s">
        <v>25</v>
      </c>
      <c r="S66" s="79">
        <v>1</v>
      </c>
      <c r="T66" s="79"/>
      <c r="U66" s="79"/>
      <c r="V66" s="79"/>
      <c r="W66" s="79" t="s">
        <v>872</v>
      </c>
      <c r="X66" s="79" t="s">
        <v>56</v>
      </c>
      <c r="Y66" s="79"/>
      <c r="Z66" s="79"/>
      <c r="AA66" s="79"/>
      <c r="AB66" s="79"/>
      <c r="AC66" s="506" t="s">
        <v>6307</v>
      </c>
      <c r="AD66" s="573">
        <v>1</v>
      </c>
      <c r="AE66" s="573">
        <v>0</v>
      </c>
      <c r="AF66" s="154"/>
      <c r="AG66" s="155"/>
      <c r="AH66" s="121">
        <v>2</v>
      </c>
      <c r="AI66" s="484"/>
      <c r="AJ66" s="202"/>
      <c r="AK66" s="192"/>
      <c r="AL66" s="203"/>
      <c r="AM66" s="121"/>
      <c r="AN66" s="121"/>
      <c r="AO66" s="121"/>
      <c r="AP66" s="121"/>
      <c r="AQ66" s="121"/>
      <c r="AR66" s="121"/>
      <c r="AS66" s="121"/>
      <c r="AT66" s="121"/>
      <c r="AU66" s="121"/>
      <c r="AV66" s="121"/>
      <c r="AW66" s="121"/>
      <c r="AX66" s="121"/>
      <c r="AY66" s="121"/>
      <c r="AZ66" s="121"/>
      <c r="BA66" s="121"/>
      <c r="BB66" s="594"/>
      <c r="BC66" s="594"/>
      <c r="BD66" s="156"/>
      <c r="BE66" s="156"/>
      <c r="BF66" s="156"/>
      <c r="BG66" s="156" t="s">
        <v>6175</v>
      </c>
      <c r="BH66" s="156"/>
      <c r="BI66" s="156" t="s">
        <v>5207</v>
      </c>
      <c r="BJ66" s="156"/>
      <c r="BK66" s="156"/>
      <c r="BL66" s="156"/>
      <c r="BM66" s="156"/>
      <c r="BN66" s="156"/>
      <c r="BO66" s="156"/>
      <c r="BP66" s="156" t="s">
        <v>6306</v>
      </c>
      <c r="BQ66" s="595"/>
      <c r="BR66" s="157"/>
      <c r="BS66" s="660"/>
      <c r="BT66" s="134"/>
      <c r="BU66" s="134"/>
      <c r="BV66" s="134"/>
      <c r="BW66" s="134"/>
      <c r="BX66" s="134"/>
      <c r="BY66" s="134"/>
      <c r="BZ66" s="259"/>
      <c r="CA66" s="454"/>
      <c r="CB66" s="138"/>
      <c r="CC66" s="134"/>
      <c r="CD66" s="134"/>
      <c r="CE66" s="134"/>
      <c r="CF66" s="138"/>
      <c r="CG66" s="134"/>
      <c r="CH66" s="134"/>
      <c r="CI66" s="134"/>
      <c r="CJ66" s="288"/>
      <c r="CK66" s="289"/>
      <c r="CL66" s="138"/>
      <c r="CM66" s="134"/>
      <c r="CN66" s="134"/>
      <c r="CO66" s="134"/>
      <c r="CP66" s="138"/>
      <c r="CQ66" s="134"/>
      <c r="CR66" s="134"/>
      <c r="CS66" s="134"/>
      <c r="CT66" s="288"/>
      <c r="CU66" s="289"/>
      <c r="CV66" s="276"/>
      <c r="CW66" s="308"/>
      <c r="CX66" s="138"/>
      <c r="CY66" s="134"/>
      <c r="CZ66" s="134"/>
      <c r="DA66" s="134"/>
      <c r="DB66" s="134"/>
      <c r="DC66" s="134"/>
      <c r="DD66" s="134"/>
      <c r="DE66" s="134"/>
      <c r="DF66" s="300"/>
      <c r="DG66" s="301"/>
      <c r="DH66" s="134"/>
      <c r="DI66" s="134"/>
      <c r="DJ66" s="134"/>
      <c r="DK66" s="134"/>
      <c r="DL66" s="134"/>
      <c r="DM66" s="134"/>
      <c r="DN66" s="134"/>
      <c r="DO66" s="134"/>
      <c r="DP66" s="300"/>
      <c r="DQ66" s="301"/>
      <c r="DR66" s="276"/>
      <c r="DS66" s="277"/>
      <c r="DT66" s="134"/>
      <c r="DU66" s="134"/>
      <c r="DV66" s="134"/>
      <c r="DW66" s="134"/>
      <c r="DX66" s="138"/>
      <c r="DY66" s="134"/>
      <c r="DZ66" s="134"/>
      <c r="EA66" s="134"/>
      <c r="EB66" s="301"/>
      <c r="EC66" s="301"/>
      <c r="ED66" s="138"/>
      <c r="EE66" s="134"/>
      <c r="EF66" s="134"/>
      <c r="EG66" s="134"/>
      <c r="EH66" s="138"/>
      <c r="EI66" s="134"/>
      <c r="EJ66" s="134"/>
      <c r="EK66" s="134"/>
      <c r="EL66" s="301"/>
      <c r="EM66" s="301"/>
      <c r="EN66" s="277"/>
      <c r="EO66" s="134"/>
      <c r="EP66" s="134"/>
      <c r="EQ66" s="134"/>
      <c r="ER66" s="134"/>
      <c r="ES66" s="134"/>
      <c r="ET66" s="134"/>
      <c r="EU66" s="134"/>
      <c r="EV66" s="134"/>
      <c r="EW66" s="301"/>
      <c r="EX66" s="301"/>
      <c r="EY66" s="134"/>
      <c r="EZ66" s="134"/>
      <c r="FA66" s="134"/>
      <c r="FB66" s="134"/>
      <c r="FC66" s="134"/>
      <c r="FD66" s="134"/>
      <c r="FE66" s="134"/>
      <c r="FF66" s="134"/>
      <c r="FG66" s="135"/>
      <c r="FH66" s="135"/>
      <c r="FI66" s="134"/>
      <c r="FJ66" s="134"/>
      <c r="FK66" s="134"/>
      <c r="FL66" s="134"/>
      <c r="FM66" s="134"/>
      <c r="FN66" s="134"/>
      <c r="FO66" s="134"/>
      <c r="FP66" s="134"/>
      <c r="FQ66" s="135"/>
      <c r="FR66" s="135"/>
      <c r="FS66" s="134"/>
      <c r="FT66" s="134"/>
      <c r="FU66" s="134"/>
      <c r="FV66" s="134"/>
      <c r="FW66" s="134"/>
      <c r="FX66" s="134"/>
      <c r="FY66" s="134"/>
      <c r="FZ66" s="134"/>
      <c r="GA66" s="135"/>
      <c r="GB66" s="135"/>
      <c r="GC66" s="134"/>
      <c r="GD66" s="134"/>
      <c r="GE66" s="134"/>
      <c r="GF66" s="134"/>
      <c r="GG66" s="134"/>
      <c r="GH66" s="134"/>
      <c r="GI66" s="134"/>
      <c r="GJ66" s="134"/>
      <c r="GK66" s="135"/>
      <c r="GL66" s="135"/>
      <c r="GM66" s="134"/>
      <c r="GN66" s="134"/>
      <c r="GO66" s="134"/>
      <c r="GP66" s="134"/>
      <c r="GQ66" s="134"/>
      <c r="GR66" s="134"/>
      <c r="GS66" s="134"/>
      <c r="GT66" s="134"/>
      <c r="GU66" s="135"/>
      <c r="GV66" s="135"/>
      <c r="GW66" s="134"/>
      <c r="GX66" s="134"/>
      <c r="GY66" s="134"/>
      <c r="GZ66" s="134"/>
      <c r="HA66" s="134"/>
      <c r="HB66" s="134"/>
      <c r="HC66" s="134"/>
      <c r="HD66" s="134"/>
      <c r="HE66" s="135"/>
      <c r="HF66" s="135"/>
      <c r="HG66" s="134"/>
      <c r="HH66" s="134"/>
      <c r="HI66" s="134"/>
      <c r="HJ66" s="134"/>
      <c r="HK66" s="134"/>
      <c r="HL66" s="134"/>
      <c r="HM66" s="134"/>
      <c r="HN66" s="134"/>
      <c r="HO66" s="135"/>
      <c r="HP66" s="135"/>
      <c r="HQ66" s="134"/>
      <c r="HR66" s="134"/>
      <c r="HS66" s="134"/>
      <c r="HT66" s="134"/>
      <c r="HU66" s="134"/>
      <c r="HV66" s="134"/>
      <c r="HW66" s="134"/>
      <c r="HX66" s="134"/>
      <c r="HY66" s="135"/>
      <c r="HZ66" s="135"/>
      <c r="IA66" s="134"/>
      <c r="IB66" s="134"/>
      <c r="IC66" s="134"/>
      <c r="ID66" s="134"/>
      <c r="IE66" s="134"/>
      <c r="IF66" s="134"/>
      <c r="IG66" s="134"/>
      <c r="IH66" s="134"/>
      <c r="II66" s="135"/>
      <c r="IJ66" s="135"/>
      <c r="IK66" s="134"/>
      <c r="IL66" s="134"/>
      <c r="IM66" s="134"/>
      <c r="IN66" s="134"/>
      <c r="IO66" s="134"/>
      <c r="IP66" s="134"/>
      <c r="IQ66" s="134"/>
      <c r="IR66" s="134"/>
      <c r="IS66" s="135"/>
      <c r="IT66" s="135"/>
      <c r="IU66" s="134"/>
      <c r="IV66" s="134"/>
      <c r="IW66" s="134"/>
      <c r="IX66" s="134"/>
      <c r="IY66" s="134"/>
      <c r="IZ66" s="134"/>
      <c r="JA66" s="134"/>
      <c r="JB66" s="134"/>
      <c r="JC66" s="135"/>
      <c r="JD66" s="135"/>
    </row>
    <row r="67" spans="1:264" s="338" customFormat="1" ht="15" customHeight="1">
      <c r="A67" s="79" t="s">
        <v>958</v>
      </c>
      <c r="B67" s="362">
        <v>246</v>
      </c>
      <c r="C67" s="362"/>
      <c r="D67" s="362">
        <v>102</v>
      </c>
      <c r="E67" s="604" t="s">
        <v>2126</v>
      </c>
      <c r="F67" s="124" t="s">
        <v>2387</v>
      </c>
      <c r="G67" s="125">
        <v>2015</v>
      </c>
      <c r="H67" s="79">
        <v>25659132</v>
      </c>
      <c r="I67" s="79">
        <v>1</v>
      </c>
      <c r="J67" s="126" t="s">
        <v>1865</v>
      </c>
      <c r="K67" s="127"/>
      <c r="L67" s="79">
        <v>0</v>
      </c>
      <c r="M67" s="79"/>
      <c r="N67" s="79">
        <v>0</v>
      </c>
      <c r="O67" s="128">
        <v>2</v>
      </c>
      <c r="P67" s="79" t="s">
        <v>1615</v>
      </c>
      <c r="Q67" s="79"/>
      <c r="R67" s="79" t="s">
        <v>1130</v>
      </c>
      <c r="S67" s="79"/>
      <c r="T67" s="79" t="s">
        <v>1612</v>
      </c>
      <c r="U67" s="79" t="s">
        <v>803</v>
      </c>
      <c r="V67" s="79"/>
      <c r="W67" s="79" t="s">
        <v>1613</v>
      </c>
      <c r="X67" s="79"/>
      <c r="Y67" s="79" t="s">
        <v>1381</v>
      </c>
      <c r="Z67" s="79"/>
      <c r="AA67" s="79" t="s">
        <v>440</v>
      </c>
      <c r="AB67" s="79" t="s">
        <v>424</v>
      </c>
      <c r="AC67" s="506" t="s">
        <v>6310</v>
      </c>
      <c r="AD67" s="536">
        <v>1</v>
      </c>
      <c r="AE67" s="536">
        <v>0</v>
      </c>
      <c r="AF67" s="165" t="s">
        <v>3003</v>
      </c>
      <c r="AG67" s="166" t="s">
        <v>6311</v>
      </c>
      <c r="AH67" s="121">
        <v>4</v>
      </c>
      <c r="AI67" s="484"/>
      <c r="AJ67" s="202"/>
      <c r="AK67" s="192"/>
      <c r="AL67" s="203"/>
      <c r="AM67" s="121"/>
      <c r="AN67" s="121"/>
      <c r="AO67" s="121"/>
      <c r="AP67" s="121"/>
      <c r="AQ67" s="121"/>
      <c r="AR67" s="121"/>
      <c r="AS67" s="121"/>
      <c r="AT67" s="121"/>
      <c r="AU67" s="121"/>
      <c r="AV67" s="121"/>
      <c r="AW67" s="121"/>
      <c r="AX67" s="121"/>
      <c r="AY67" s="121"/>
      <c r="AZ67" s="121"/>
      <c r="BA67" s="121"/>
      <c r="BB67" s="594" t="s">
        <v>5207</v>
      </c>
      <c r="BC67" s="156" t="s">
        <v>6312</v>
      </c>
      <c r="BD67" s="156"/>
      <c r="BE67" s="156"/>
      <c r="BF67" s="156"/>
      <c r="BG67" s="156"/>
      <c r="BH67" s="156"/>
      <c r="BI67" s="156"/>
      <c r="BJ67" s="156"/>
      <c r="BK67" s="156"/>
      <c r="BL67" s="156"/>
      <c r="BM67" s="156"/>
      <c r="BN67" s="156"/>
      <c r="BO67" s="156"/>
      <c r="BP67" s="156" t="s">
        <v>6312</v>
      </c>
      <c r="BQ67" s="595"/>
      <c r="BR67" s="157"/>
      <c r="BS67" s="660"/>
      <c r="BT67" s="134"/>
      <c r="BU67" s="134"/>
      <c r="BV67" s="134"/>
      <c r="BW67" s="134"/>
      <c r="BX67" s="134"/>
      <c r="BY67" s="134"/>
      <c r="BZ67" s="259"/>
      <c r="CA67" s="454"/>
      <c r="CB67" s="516"/>
      <c r="CC67" s="134"/>
      <c r="CD67" s="134"/>
      <c r="CE67" s="134"/>
      <c r="CF67" s="138"/>
      <c r="CG67" s="134"/>
      <c r="CH67" s="134"/>
      <c r="CI67" s="134"/>
      <c r="CJ67" s="288"/>
      <c r="CK67" s="289"/>
      <c r="CL67" s="138"/>
      <c r="CM67" s="134"/>
      <c r="CN67" s="134"/>
      <c r="CO67" s="134"/>
      <c r="CP67" s="138"/>
      <c r="CQ67" s="134"/>
      <c r="CR67" s="134"/>
      <c r="CS67" s="134"/>
      <c r="CT67" s="288"/>
      <c r="CU67" s="289"/>
      <c r="CV67" s="276"/>
      <c r="CW67" s="308"/>
      <c r="CX67" s="138"/>
      <c r="CY67" s="134"/>
      <c r="CZ67" s="134"/>
      <c r="DA67" s="134"/>
      <c r="DB67" s="134"/>
      <c r="DC67" s="134"/>
      <c r="DD67" s="134"/>
      <c r="DE67" s="134"/>
      <c r="DF67" s="300"/>
      <c r="DG67" s="301"/>
      <c r="DH67" s="134"/>
      <c r="DI67" s="134"/>
      <c r="DJ67" s="134"/>
      <c r="DK67" s="134"/>
      <c r="DL67" s="134"/>
      <c r="DM67" s="134"/>
      <c r="DN67" s="134"/>
      <c r="DO67" s="134"/>
      <c r="DP67" s="300"/>
      <c r="DQ67" s="301"/>
      <c r="DR67" s="276"/>
      <c r="DS67" s="277"/>
      <c r="DT67" s="134"/>
      <c r="DU67" s="134"/>
      <c r="DV67" s="134"/>
      <c r="DW67" s="134"/>
      <c r="DX67" s="138"/>
      <c r="DY67" s="134"/>
      <c r="DZ67" s="134"/>
      <c r="EA67" s="134"/>
      <c r="EB67" s="301"/>
      <c r="EC67" s="301"/>
      <c r="ED67" s="138"/>
      <c r="EE67" s="134"/>
      <c r="EF67" s="134"/>
      <c r="EG67" s="134"/>
      <c r="EH67" s="138"/>
      <c r="EI67" s="134"/>
      <c r="EJ67" s="134"/>
      <c r="EK67" s="134"/>
      <c r="EL67" s="301"/>
      <c r="EM67" s="301"/>
      <c r="EN67" s="277"/>
      <c r="EO67" s="134"/>
      <c r="EP67" s="134"/>
      <c r="EQ67" s="134"/>
      <c r="ER67" s="134"/>
      <c r="ES67" s="134"/>
      <c r="ET67" s="134"/>
      <c r="EU67" s="134"/>
      <c r="EV67" s="134"/>
      <c r="EW67" s="301"/>
      <c r="EX67" s="301"/>
      <c r="EY67" s="134"/>
      <c r="EZ67" s="134"/>
      <c r="FA67" s="134"/>
      <c r="FB67" s="134"/>
      <c r="FC67" s="134"/>
      <c r="FD67" s="134"/>
      <c r="FE67" s="134"/>
      <c r="FF67" s="134"/>
      <c r="FG67" s="135"/>
      <c r="FH67" s="135"/>
      <c r="FI67" s="134"/>
      <c r="FJ67" s="134"/>
      <c r="FK67" s="134"/>
      <c r="FL67" s="134"/>
      <c r="FM67" s="134"/>
      <c r="FN67" s="134"/>
      <c r="FO67" s="134"/>
      <c r="FP67" s="134"/>
      <c r="FQ67" s="135"/>
      <c r="FR67" s="135"/>
      <c r="FS67" s="134"/>
      <c r="FT67" s="134"/>
      <c r="FU67" s="134"/>
      <c r="FV67" s="134"/>
      <c r="FW67" s="134"/>
      <c r="FX67" s="134"/>
      <c r="FY67" s="134"/>
      <c r="FZ67" s="134"/>
      <c r="GA67" s="135"/>
      <c r="GB67" s="135"/>
      <c r="GC67" s="134"/>
      <c r="GD67" s="134"/>
      <c r="GE67" s="134"/>
      <c r="GF67" s="134"/>
      <c r="GG67" s="134"/>
      <c r="GH67" s="134"/>
      <c r="GI67" s="134"/>
      <c r="GJ67" s="134"/>
      <c r="GK67" s="135"/>
      <c r="GL67" s="135"/>
      <c r="GM67" s="134"/>
      <c r="GN67" s="134"/>
      <c r="GO67" s="134"/>
      <c r="GP67" s="134"/>
      <c r="GQ67" s="134"/>
      <c r="GR67" s="134"/>
      <c r="GS67" s="134"/>
      <c r="GT67" s="134"/>
      <c r="GU67" s="135"/>
      <c r="GV67" s="135"/>
      <c r="GW67" s="134"/>
      <c r="GX67" s="134"/>
      <c r="GY67" s="134"/>
      <c r="GZ67" s="134"/>
      <c r="HA67" s="134"/>
      <c r="HB67" s="134"/>
      <c r="HC67" s="134"/>
      <c r="HD67" s="134"/>
      <c r="HE67" s="135"/>
      <c r="HF67" s="135"/>
      <c r="HG67" s="134"/>
      <c r="HH67" s="134"/>
      <c r="HI67" s="134"/>
      <c r="HJ67" s="134"/>
      <c r="HK67" s="134"/>
      <c r="HL67" s="134"/>
      <c r="HM67" s="134"/>
      <c r="HN67" s="134"/>
      <c r="HO67" s="135"/>
      <c r="HP67" s="135"/>
      <c r="HQ67" s="134"/>
      <c r="HR67" s="134"/>
      <c r="HS67" s="134"/>
      <c r="HT67" s="134"/>
      <c r="HU67" s="134"/>
      <c r="HV67" s="134"/>
      <c r="HW67" s="134"/>
      <c r="HX67" s="134"/>
      <c r="HY67" s="135"/>
      <c r="HZ67" s="135"/>
      <c r="IA67" s="134"/>
      <c r="IB67" s="134"/>
      <c r="IC67" s="134"/>
      <c r="ID67" s="134"/>
      <c r="IE67" s="134"/>
      <c r="IF67" s="134"/>
      <c r="IG67" s="134"/>
      <c r="IH67" s="134"/>
      <c r="II67" s="135"/>
      <c r="IJ67" s="135"/>
      <c r="IK67" s="134"/>
      <c r="IL67" s="134"/>
      <c r="IM67" s="134"/>
      <c r="IN67" s="134"/>
      <c r="IO67" s="134"/>
      <c r="IP67" s="134"/>
      <c r="IQ67" s="134"/>
      <c r="IR67" s="134"/>
      <c r="IS67" s="135"/>
      <c r="IT67" s="135"/>
      <c r="IU67" s="134"/>
      <c r="IV67" s="134"/>
      <c r="IW67" s="134"/>
      <c r="IX67" s="134"/>
      <c r="IY67" s="134"/>
      <c r="IZ67" s="134"/>
      <c r="JA67" s="134"/>
      <c r="JB67" s="134"/>
      <c r="JC67" s="135"/>
      <c r="JD67" s="135"/>
    </row>
    <row r="68" spans="1:264" s="338" customFormat="1" ht="15" customHeight="1">
      <c r="A68" s="79" t="s">
        <v>954</v>
      </c>
      <c r="B68" s="362">
        <v>248</v>
      </c>
      <c r="C68" s="362"/>
      <c r="D68" s="362">
        <v>103</v>
      </c>
      <c r="E68" s="604" t="s">
        <v>2126</v>
      </c>
      <c r="F68" s="124" t="s">
        <v>2390</v>
      </c>
      <c r="G68" s="125">
        <v>2015</v>
      </c>
      <c r="H68" s="79">
        <v>26277823</v>
      </c>
      <c r="I68" s="175">
        <v>1</v>
      </c>
      <c r="J68" s="126" t="s">
        <v>1863</v>
      </c>
      <c r="K68" s="127"/>
      <c r="L68" s="79">
        <v>0</v>
      </c>
      <c r="M68" s="79"/>
      <c r="N68" s="79">
        <v>0</v>
      </c>
      <c r="O68" s="128">
        <v>2</v>
      </c>
      <c r="P68" s="79" t="s">
        <v>1421</v>
      </c>
      <c r="Q68" s="79"/>
      <c r="R68" s="79" t="s">
        <v>1621</v>
      </c>
      <c r="S68" s="79"/>
      <c r="T68" s="79" t="s">
        <v>1545</v>
      </c>
      <c r="U68" s="79" t="s">
        <v>803</v>
      </c>
      <c r="V68" s="79" t="s">
        <v>23</v>
      </c>
      <c r="W68" s="79" t="s">
        <v>1670</v>
      </c>
      <c r="X68" s="79"/>
      <c r="Y68" s="79" t="s">
        <v>1622</v>
      </c>
      <c r="Z68" s="79"/>
      <c r="AA68" s="79" t="s">
        <v>1623</v>
      </c>
      <c r="AB68" s="79" t="s">
        <v>1279</v>
      </c>
      <c r="AC68" s="506" t="s">
        <v>6313</v>
      </c>
      <c r="AD68" s="536">
        <v>1</v>
      </c>
      <c r="AE68" s="536">
        <v>0</v>
      </c>
      <c r="AF68" s="165" t="s">
        <v>3003</v>
      </c>
      <c r="AG68" s="166" t="s">
        <v>6314</v>
      </c>
      <c r="AH68" s="121">
        <v>5</v>
      </c>
      <c r="AI68" s="484"/>
      <c r="AJ68" s="202"/>
      <c r="AK68" s="192"/>
      <c r="AL68" s="203"/>
      <c r="AM68" s="121"/>
      <c r="AN68" s="121"/>
      <c r="AO68" s="121"/>
      <c r="AP68" s="121"/>
      <c r="AQ68" s="121"/>
      <c r="AR68" s="121"/>
      <c r="AS68" s="121"/>
      <c r="AT68" s="121"/>
      <c r="AU68" s="121"/>
      <c r="AV68" s="121"/>
      <c r="AW68" s="121"/>
      <c r="AX68" s="121"/>
      <c r="AY68" s="121"/>
      <c r="AZ68" s="121"/>
      <c r="BA68" s="121"/>
      <c r="BB68" s="594" t="s">
        <v>5207</v>
      </c>
      <c r="BC68" s="594"/>
      <c r="BD68" s="156"/>
      <c r="BE68" s="156"/>
      <c r="BF68" s="156"/>
      <c r="BG68" s="156"/>
      <c r="BH68" s="156"/>
      <c r="BI68" s="156"/>
      <c r="BJ68" s="156"/>
      <c r="BK68" s="156"/>
      <c r="BL68" s="156"/>
      <c r="BM68" s="156"/>
      <c r="BN68" s="156"/>
      <c r="BO68" s="156"/>
      <c r="BP68" s="156"/>
      <c r="BQ68" s="595"/>
      <c r="BR68" s="157"/>
      <c r="BS68" s="660"/>
      <c r="BT68" s="134"/>
      <c r="BU68" s="134"/>
      <c r="BV68" s="134"/>
      <c r="BW68" s="134"/>
      <c r="BX68" s="134"/>
      <c r="BY68" s="134"/>
      <c r="BZ68" s="259"/>
      <c r="CA68" s="454"/>
      <c r="CB68" s="516"/>
      <c r="CC68" s="138"/>
      <c r="CD68" s="134"/>
      <c r="CE68" s="134"/>
      <c r="CF68" s="138"/>
      <c r="CG68" s="134"/>
      <c r="CH68" s="134"/>
      <c r="CI68" s="134"/>
      <c r="CJ68" s="288"/>
      <c r="CK68" s="289"/>
      <c r="CL68" s="138"/>
      <c r="CM68" s="134"/>
      <c r="CN68" s="134"/>
      <c r="CO68" s="134"/>
      <c r="CP68" s="138"/>
      <c r="CQ68" s="134"/>
      <c r="CR68" s="134"/>
      <c r="CS68" s="134"/>
      <c r="CT68" s="288"/>
      <c r="CU68" s="289"/>
      <c r="CV68" s="276"/>
      <c r="CW68" s="308"/>
      <c r="CX68" s="138"/>
      <c r="CY68" s="134"/>
      <c r="CZ68" s="134"/>
      <c r="DA68" s="134"/>
      <c r="DB68" s="134"/>
      <c r="DC68" s="134"/>
      <c r="DD68" s="134"/>
      <c r="DE68" s="134"/>
      <c r="DF68" s="300"/>
      <c r="DG68" s="301"/>
      <c r="DH68" s="134"/>
      <c r="DI68" s="134"/>
      <c r="DJ68" s="134"/>
      <c r="DK68" s="134"/>
      <c r="DL68" s="134"/>
      <c r="DM68" s="134"/>
      <c r="DN68" s="134"/>
      <c r="DO68" s="134"/>
      <c r="DP68" s="300"/>
      <c r="DQ68" s="301"/>
      <c r="DR68" s="276"/>
      <c r="DS68" s="277"/>
      <c r="DT68" s="134"/>
      <c r="DU68" s="134"/>
      <c r="DV68" s="134"/>
      <c r="DW68" s="134"/>
      <c r="DX68" s="138"/>
      <c r="DY68" s="134"/>
      <c r="DZ68" s="134"/>
      <c r="EA68" s="134"/>
      <c r="EB68" s="301"/>
      <c r="EC68" s="301"/>
      <c r="ED68" s="138"/>
      <c r="EE68" s="134"/>
      <c r="EF68" s="134"/>
      <c r="EG68" s="134"/>
      <c r="EH68" s="138"/>
      <c r="EI68" s="134"/>
      <c r="EJ68" s="134"/>
      <c r="EK68" s="134"/>
      <c r="EL68" s="301"/>
      <c r="EM68" s="301"/>
      <c r="EN68" s="277"/>
      <c r="EO68" s="134"/>
      <c r="EP68" s="134"/>
      <c r="EQ68" s="134"/>
      <c r="ER68" s="134"/>
      <c r="ES68" s="134"/>
      <c r="ET68" s="134"/>
      <c r="EU68" s="134"/>
      <c r="EV68" s="134"/>
      <c r="EW68" s="301"/>
      <c r="EX68" s="301"/>
      <c r="EY68" s="134"/>
      <c r="EZ68" s="134"/>
      <c r="FA68" s="134"/>
      <c r="FB68" s="134"/>
      <c r="FC68" s="134"/>
      <c r="FD68" s="134"/>
      <c r="FE68" s="134"/>
      <c r="FF68" s="134"/>
      <c r="FG68" s="135"/>
      <c r="FH68" s="135"/>
      <c r="FI68" s="134"/>
      <c r="FJ68" s="134"/>
      <c r="FK68" s="134"/>
      <c r="FL68" s="134"/>
      <c r="FM68" s="134"/>
      <c r="FN68" s="134"/>
      <c r="FO68" s="134"/>
      <c r="FP68" s="134"/>
      <c r="FQ68" s="135"/>
      <c r="FR68" s="135"/>
      <c r="FS68" s="134"/>
      <c r="FT68" s="134"/>
      <c r="FU68" s="134"/>
      <c r="FV68" s="134"/>
      <c r="FW68" s="134"/>
      <c r="FX68" s="134"/>
      <c r="FY68" s="134"/>
      <c r="FZ68" s="134"/>
      <c r="GA68" s="135"/>
      <c r="GB68" s="135"/>
      <c r="GC68" s="134"/>
      <c r="GD68" s="134"/>
      <c r="GE68" s="134"/>
      <c r="GF68" s="134"/>
      <c r="GG68" s="134"/>
      <c r="GH68" s="134"/>
      <c r="GI68" s="134"/>
      <c r="GJ68" s="134"/>
      <c r="GK68" s="135"/>
      <c r="GL68" s="135"/>
      <c r="GM68" s="134"/>
      <c r="GN68" s="134"/>
      <c r="GO68" s="134"/>
      <c r="GP68" s="134"/>
      <c r="GQ68" s="134"/>
      <c r="GR68" s="134"/>
      <c r="GS68" s="134"/>
      <c r="GT68" s="134"/>
      <c r="GU68" s="135"/>
      <c r="GV68" s="135"/>
      <c r="GW68" s="134"/>
      <c r="GX68" s="134"/>
      <c r="GY68" s="134"/>
      <c r="GZ68" s="134"/>
      <c r="HA68" s="134"/>
      <c r="HB68" s="134"/>
      <c r="HC68" s="134"/>
      <c r="HD68" s="134"/>
      <c r="HE68" s="135"/>
      <c r="HF68" s="135"/>
      <c r="HG68" s="134"/>
      <c r="HH68" s="134"/>
      <c r="HI68" s="134"/>
      <c r="HJ68" s="134"/>
      <c r="HK68" s="134"/>
      <c r="HL68" s="134"/>
      <c r="HM68" s="134"/>
      <c r="HN68" s="134"/>
      <c r="HO68" s="135"/>
      <c r="HP68" s="135"/>
      <c r="HQ68" s="134"/>
      <c r="HR68" s="134"/>
      <c r="HS68" s="134"/>
      <c r="HT68" s="134"/>
      <c r="HU68" s="134"/>
      <c r="HV68" s="134"/>
      <c r="HW68" s="134"/>
      <c r="HX68" s="134"/>
      <c r="HY68" s="135"/>
      <c r="HZ68" s="135"/>
      <c r="IA68" s="134"/>
      <c r="IB68" s="134"/>
      <c r="IC68" s="134"/>
      <c r="ID68" s="134"/>
      <c r="IE68" s="134"/>
      <c r="IF68" s="134"/>
      <c r="IG68" s="134"/>
      <c r="IH68" s="134"/>
      <c r="II68" s="135"/>
      <c r="IJ68" s="135"/>
      <c r="IK68" s="134"/>
      <c r="IL68" s="134"/>
      <c r="IM68" s="134"/>
      <c r="IN68" s="134"/>
      <c r="IO68" s="134"/>
      <c r="IP68" s="134"/>
      <c r="IQ68" s="134"/>
      <c r="IR68" s="134"/>
      <c r="IS68" s="135"/>
      <c r="IT68" s="135"/>
      <c r="IU68" s="134"/>
      <c r="IV68" s="134"/>
      <c r="IW68" s="134"/>
      <c r="IX68" s="134"/>
      <c r="IY68" s="134"/>
      <c r="IZ68" s="134"/>
      <c r="JA68" s="134"/>
      <c r="JB68" s="134"/>
      <c r="JC68" s="135"/>
      <c r="JD68" s="135"/>
    </row>
    <row r="69" spans="1:264" s="338" customFormat="1" ht="15" customHeight="1">
      <c r="A69" s="79" t="s">
        <v>345</v>
      </c>
      <c r="B69" s="362">
        <v>249</v>
      </c>
      <c r="C69" s="362"/>
      <c r="D69" s="362">
        <v>104</v>
      </c>
      <c r="E69" s="604" t="s">
        <v>2038</v>
      </c>
      <c r="F69" s="124" t="s">
        <v>2277</v>
      </c>
      <c r="G69" s="125">
        <v>2015</v>
      </c>
      <c r="H69" s="79">
        <v>26522237</v>
      </c>
      <c r="I69" s="79">
        <v>1</v>
      </c>
      <c r="J69" s="126"/>
      <c r="K69" s="127"/>
      <c r="L69" s="79">
        <v>1</v>
      </c>
      <c r="M69" s="79"/>
      <c r="N69" s="164">
        <v>1</v>
      </c>
      <c r="O69" s="128">
        <v>1</v>
      </c>
      <c r="P69" s="79" t="s">
        <v>1179</v>
      </c>
      <c r="Q69" s="79" t="s">
        <v>1142</v>
      </c>
      <c r="R69" s="79" t="s">
        <v>591</v>
      </c>
      <c r="S69" s="79">
        <v>1</v>
      </c>
      <c r="T69" s="79"/>
      <c r="U69" s="79"/>
      <c r="V69" s="79"/>
      <c r="W69" s="79" t="s">
        <v>897</v>
      </c>
      <c r="X69" s="79" t="s">
        <v>24</v>
      </c>
      <c r="Y69" s="79" t="s">
        <v>898</v>
      </c>
      <c r="Z69" s="79"/>
      <c r="AA69" s="79"/>
      <c r="AB69" s="79" t="s">
        <v>899</v>
      </c>
      <c r="AC69" s="506" t="s">
        <v>6315</v>
      </c>
      <c r="AD69" s="536">
        <v>1</v>
      </c>
      <c r="AE69" s="536">
        <v>0</v>
      </c>
      <c r="AF69" s="165" t="s">
        <v>3003</v>
      </c>
      <c r="AG69" s="166" t="s">
        <v>6316</v>
      </c>
      <c r="AH69" s="121">
        <v>2</v>
      </c>
      <c r="AI69" s="484"/>
      <c r="AJ69" s="202"/>
      <c r="AK69" s="192"/>
      <c r="AL69" s="203"/>
      <c r="AM69" s="121"/>
      <c r="AN69" s="121"/>
      <c r="AO69" s="121"/>
      <c r="AP69" s="121"/>
      <c r="AQ69" s="121"/>
      <c r="AR69" s="121"/>
      <c r="AS69" s="121"/>
      <c r="AT69" s="121"/>
      <c r="AU69" s="121"/>
      <c r="AV69" s="121"/>
      <c r="AW69" s="121"/>
      <c r="AX69" s="121"/>
      <c r="AY69" s="121"/>
      <c r="AZ69" s="121"/>
      <c r="BA69" s="121"/>
      <c r="BB69" s="594"/>
      <c r="BC69" s="594" t="s">
        <v>6317</v>
      </c>
      <c r="BD69" s="156"/>
      <c r="BE69" s="156"/>
      <c r="BF69" s="156"/>
      <c r="BG69" s="156"/>
      <c r="BH69" s="156"/>
      <c r="BI69" s="156"/>
      <c r="BJ69" s="156"/>
      <c r="BK69" s="156"/>
      <c r="BL69" s="156"/>
      <c r="BM69" s="156"/>
      <c r="BN69" s="156"/>
      <c r="BO69" s="156"/>
      <c r="BP69" s="419" t="s">
        <v>6317</v>
      </c>
      <c r="BQ69" s="595"/>
      <c r="BR69" s="157"/>
      <c r="BS69" s="660"/>
      <c r="BT69" s="134"/>
      <c r="BU69" s="134"/>
      <c r="BV69" s="134"/>
      <c r="BW69" s="134"/>
      <c r="BX69" s="134"/>
      <c r="BY69" s="134"/>
      <c r="BZ69" s="259"/>
      <c r="CA69" s="454"/>
      <c r="CB69" s="516"/>
      <c r="CC69" s="134"/>
      <c r="CD69" s="134"/>
      <c r="CE69" s="134"/>
      <c r="CF69" s="138"/>
      <c r="CG69" s="134"/>
      <c r="CH69" s="134"/>
      <c r="CI69" s="134"/>
      <c r="CJ69" s="288"/>
      <c r="CK69" s="289"/>
      <c r="CL69" s="138"/>
      <c r="CM69" s="134"/>
      <c r="CN69" s="134"/>
      <c r="CO69" s="134"/>
      <c r="CP69" s="138"/>
      <c r="CQ69" s="134"/>
      <c r="CR69" s="134"/>
      <c r="CS69" s="134"/>
      <c r="CT69" s="288"/>
      <c r="CU69" s="289"/>
      <c r="CV69" s="276"/>
      <c r="CW69" s="308"/>
      <c r="CX69" s="138"/>
      <c r="CY69" s="134"/>
      <c r="CZ69" s="134"/>
      <c r="DA69" s="134"/>
      <c r="DB69" s="134"/>
      <c r="DC69" s="134"/>
      <c r="DD69" s="134"/>
      <c r="DE69" s="134"/>
      <c r="DF69" s="300"/>
      <c r="DG69" s="301"/>
      <c r="DH69" s="134"/>
      <c r="DI69" s="134"/>
      <c r="DJ69" s="134"/>
      <c r="DK69" s="134"/>
      <c r="DL69" s="134"/>
      <c r="DM69" s="134"/>
      <c r="DN69" s="134"/>
      <c r="DO69" s="134"/>
      <c r="DP69" s="300"/>
      <c r="DQ69" s="301"/>
      <c r="DR69" s="276"/>
      <c r="DS69" s="277"/>
      <c r="DT69" s="134"/>
      <c r="DU69" s="134"/>
      <c r="DV69" s="134"/>
      <c r="DW69" s="134"/>
      <c r="DX69" s="138"/>
      <c r="DY69" s="134"/>
      <c r="DZ69" s="134"/>
      <c r="EA69" s="134"/>
      <c r="EB69" s="301"/>
      <c r="EC69" s="301"/>
      <c r="ED69" s="138"/>
      <c r="EE69" s="134"/>
      <c r="EF69" s="134"/>
      <c r="EG69" s="134"/>
      <c r="EH69" s="138"/>
      <c r="EI69" s="134"/>
      <c r="EJ69" s="134"/>
      <c r="EK69" s="134"/>
      <c r="EL69" s="301"/>
      <c r="EM69" s="301"/>
      <c r="EN69" s="277"/>
      <c r="EO69" s="134"/>
      <c r="EP69" s="134"/>
      <c r="EQ69" s="134"/>
      <c r="ER69" s="134"/>
      <c r="ES69" s="134"/>
      <c r="ET69" s="134"/>
      <c r="EU69" s="134"/>
      <c r="EV69" s="134"/>
      <c r="EW69" s="301"/>
      <c r="EX69" s="301"/>
      <c r="EY69" s="134"/>
      <c r="EZ69" s="134"/>
      <c r="FA69" s="134"/>
      <c r="FB69" s="134"/>
      <c r="FC69" s="134"/>
      <c r="FD69" s="134"/>
      <c r="FE69" s="134"/>
      <c r="FF69" s="134"/>
      <c r="FG69" s="135"/>
      <c r="FH69" s="135"/>
      <c r="FI69" s="134"/>
      <c r="FJ69" s="134"/>
      <c r="FK69" s="134"/>
      <c r="FL69" s="134"/>
      <c r="FM69" s="134"/>
      <c r="FN69" s="134"/>
      <c r="FO69" s="134"/>
      <c r="FP69" s="134"/>
      <c r="FQ69" s="135"/>
      <c r="FR69" s="135"/>
      <c r="FS69" s="134"/>
      <c r="FT69" s="134"/>
      <c r="FU69" s="134"/>
      <c r="FV69" s="134"/>
      <c r="FW69" s="134"/>
      <c r="FX69" s="134"/>
      <c r="FY69" s="134"/>
      <c r="FZ69" s="134"/>
      <c r="GA69" s="135"/>
      <c r="GB69" s="135"/>
      <c r="GC69" s="134"/>
      <c r="GD69" s="134"/>
      <c r="GE69" s="134"/>
      <c r="GF69" s="134"/>
      <c r="GG69" s="134"/>
      <c r="GH69" s="134"/>
      <c r="GI69" s="134"/>
      <c r="GJ69" s="134"/>
      <c r="GK69" s="135"/>
      <c r="GL69" s="135"/>
      <c r="GM69" s="134"/>
      <c r="GN69" s="134"/>
      <c r="GO69" s="134"/>
      <c r="GP69" s="134"/>
      <c r="GQ69" s="134"/>
      <c r="GR69" s="134"/>
      <c r="GS69" s="134"/>
      <c r="GT69" s="134"/>
      <c r="GU69" s="135"/>
      <c r="GV69" s="135"/>
      <c r="GW69" s="134"/>
      <c r="GX69" s="134"/>
      <c r="GY69" s="134"/>
      <c r="GZ69" s="134"/>
      <c r="HA69" s="134"/>
      <c r="HB69" s="134"/>
      <c r="HC69" s="134"/>
      <c r="HD69" s="134"/>
      <c r="HE69" s="135"/>
      <c r="HF69" s="135"/>
      <c r="HG69" s="134"/>
      <c r="HH69" s="134"/>
      <c r="HI69" s="134"/>
      <c r="HJ69" s="134"/>
      <c r="HK69" s="134"/>
      <c r="HL69" s="134"/>
      <c r="HM69" s="134"/>
      <c r="HN69" s="134"/>
      <c r="HO69" s="135"/>
      <c r="HP69" s="135"/>
      <c r="HQ69" s="134"/>
      <c r="HR69" s="134"/>
      <c r="HS69" s="134"/>
      <c r="HT69" s="134"/>
      <c r="HU69" s="134"/>
      <c r="HV69" s="134"/>
      <c r="HW69" s="134"/>
      <c r="HX69" s="134"/>
      <c r="HY69" s="135"/>
      <c r="HZ69" s="135"/>
      <c r="IA69" s="134"/>
      <c r="IB69" s="134"/>
      <c r="IC69" s="134"/>
      <c r="ID69" s="134"/>
      <c r="IE69" s="134"/>
      <c r="IF69" s="134"/>
      <c r="IG69" s="134"/>
      <c r="IH69" s="134"/>
      <c r="II69" s="135"/>
      <c r="IJ69" s="135"/>
      <c r="IK69" s="134"/>
      <c r="IL69" s="134"/>
      <c r="IM69" s="134"/>
      <c r="IN69" s="134"/>
      <c r="IO69" s="134"/>
      <c r="IP69" s="134"/>
      <c r="IQ69" s="134"/>
      <c r="IR69" s="134"/>
      <c r="IS69" s="135"/>
      <c r="IT69" s="135"/>
      <c r="IU69" s="134"/>
      <c r="IV69" s="134"/>
      <c r="IW69" s="134"/>
      <c r="IX69" s="134"/>
      <c r="IY69" s="134"/>
      <c r="IZ69" s="134"/>
      <c r="JA69" s="134"/>
      <c r="JB69" s="134"/>
      <c r="JC69" s="135"/>
      <c r="JD69" s="135"/>
    </row>
    <row r="70" spans="1:264" s="338" customFormat="1" ht="15" customHeight="1">
      <c r="A70" s="79" t="s">
        <v>350</v>
      </c>
      <c r="B70" s="362">
        <v>250</v>
      </c>
      <c r="C70" s="362"/>
      <c r="D70" s="362">
        <v>105</v>
      </c>
      <c r="E70" s="604" t="s">
        <v>2039</v>
      </c>
      <c r="F70" s="124" t="s">
        <v>2278</v>
      </c>
      <c r="G70" s="125">
        <v>2013</v>
      </c>
      <c r="H70" s="79">
        <v>23517445</v>
      </c>
      <c r="I70" s="79">
        <v>1</v>
      </c>
      <c r="J70" s="126"/>
      <c r="K70" s="127"/>
      <c r="L70" s="79">
        <v>1</v>
      </c>
      <c r="M70" s="79"/>
      <c r="N70" s="79">
        <v>1</v>
      </c>
      <c r="O70" s="128">
        <v>1</v>
      </c>
      <c r="P70" s="79" t="s">
        <v>909</v>
      </c>
      <c r="Q70" s="79" t="s">
        <v>1157</v>
      </c>
      <c r="R70" s="79" t="s">
        <v>25</v>
      </c>
      <c r="S70" s="79">
        <v>1</v>
      </c>
      <c r="T70" s="79"/>
      <c r="U70" s="79"/>
      <c r="V70" s="79"/>
      <c r="W70" s="79" t="s">
        <v>908</v>
      </c>
      <c r="X70" s="79"/>
      <c r="Y70" s="79"/>
      <c r="Z70" s="79"/>
      <c r="AA70" s="79"/>
      <c r="AB70" s="79"/>
      <c r="AC70" s="506" t="s">
        <v>6319</v>
      </c>
      <c r="AD70" s="573">
        <v>1</v>
      </c>
      <c r="AE70" s="573">
        <v>0</v>
      </c>
      <c r="AF70" s="154"/>
      <c r="AG70" s="155"/>
      <c r="AH70" s="121">
        <v>2</v>
      </c>
      <c r="AI70" s="484"/>
      <c r="AJ70" s="202"/>
      <c r="AK70" s="192"/>
      <c r="AL70" s="203"/>
      <c r="AM70" s="121"/>
      <c r="AN70" s="121"/>
      <c r="AO70" s="121"/>
      <c r="AP70" s="121"/>
      <c r="AQ70" s="121"/>
      <c r="AR70" s="121"/>
      <c r="AS70" s="121"/>
      <c r="AT70" s="121"/>
      <c r="AU70" s="121"/>
      <c r="AV70" s="121"/>
      <c r="AW70" s="121"/>
      <c r="AX70" s="121"/>
      <c r="AY70" s="121"/>
      <c r="AZ70" s="121"/>
      <c r="BA70" s="121"/>
      <c r="BB70" s="594"/>
      <c r="BC70" s="594"/>
      <c r="BD70" s="156"/>
      <c r="BE70" s="156"/>
      <c r="BF70" s="156" t="s">
        <v>5207</v>
      </c>
      <c r="BG70" s="156"/>
      <c r="BH70" s="156"/>
      <c r="BI70" s="156" t="s">
        <v>6320</v>
      </c>
      <c r="BJ70" s="156"/>
      <c r="BK70" s="156" t="s">
        <v>6318</v>
      </c>
      <c r="BL70" s="156"/>
      <c r="BM70" s="156"/>
      <c r="BN70" s="156"/>
      <c r="BO70" s="156"/>
      <c r="BP70" s="156"/>
      <c r="BQ70" s="595"/>
      <c r="BR70" s="157"/>
      <c r="BS70" s="660"/>
      <c r="BT70" s="134"/>
      <c r="BU70" s="134"/>
      <c r="BV70" s="134"/>
      <c r="BW70" s="134"/>
      <c r="BX70" s="134"/>
      <c r="BY70" s="134"/>
      <c r="BZ70" s="259"/>
      <c r="CA70" s="454"/>
      <c r="CB70" s="517"/>
      <c r="CC70" s="134"/>
      <c r="CD70" s="134"/>
      <c r="CE70" s="134"/>
      <c r="CF70" s="138"/>
      <c r="CG70" s="134"/>
      <c r="CH70" s="134"/>
      <c r="CI70" s="134"/>
      <c r="CJ70" s="288"/>
      <c r="CK70" s="289"/>
      <c r="CL70" s="138"/>
      <c r="CM70" s="134"/>
      <c r="CN70" s="134"/>
      <c r="CO70" s="134"/>
      <c r="CP70" s="138"/>
      <c r="CQ70" s="134"/>
      <c r="CR70" s="134"/>
      <c r="CS70" s="134"/>
      <c r="CT70" s="288"/>
      <c r="CU70" s="289"/>
      <c r="CV70" s="276"/>
      <c r="CW70" s="308"/>
      <c r="CX70" s="138"/>
      <c r="CY70" s="134"/>
      <c r="CZ70" s="134"/>
      <c r="DA70" s="134"/>
      <c r="DB70" s="134"/>
      <c r="DC70" s="134"/>
      <c r="DD70" s="134"/>
      <c r="DE70" s="134"/>
      <c r="DF70" s="300"/>
      <c r="DG70" s="301"/>
      <c r="DH70" s="134"/>
      <c r="DI70" s="134"/>
      <c r="DJ70" s="134"/>
      <c r="DK70" s="134"/>
      <c r="DL70" s="134"/>
      <c r="DM70" s="134"/>
      <c r="DN70" s="134"/>
      <c r="DO70" s="134"/>
      <c r="DP70" s="300"/>
      <c r="DQ70" s="301"/>
      <c r="DR70" s="276"/>
      <c r="DS70" s="277"/>
      <c r="DT70" s="134"/>
      <c r="DU70" s="134"/>
      <c r="DV70" s="134"/>
      <c r="DW70" s="134"/>
      <c r="DX70" s="138"/>
      <c r="DY70" s="134"/>
      <c r="DZ70" s="134"/>
      <c r="EA70" s="134"/>
      <c r="EB70" s="301"/>
      <c r="EC70" s="301"/>
      <c r="ED70" s="138"/>
      <c r="EE70" s="134"/>
      <c r="EF70" s="134"/>
      <c r="EG70" s="134"/>
      <c r="EH70" s="138"/>
      <c r="EI70" s="134"/>
      <c r="EJ70" s="134"/>
      <c r="EK70" s="134"/>
      <c r="EL70" s="301"/>
      <c r="EM70" s="301"/>
      <c r="EN70" s="277"/>
      <c r="EO70" s="134"/>
      <c r="EP70" s="134"/>
      <c r="EQ70" s="134"/>
      <c r="ER70" s="134"/>
      <c r="ES70" s="134"/>
      <c r="ET70" s="134"/>
      <c r="EU70" s="134"/>
      <c r="EV70" s="134"/>
      <c r="EW70" s="301"/>
      <c r="EX70" s="301"/>
      <c r="EY70" s="134"/>
      <c r="EZ70" s="134"/>
      <c r="FA70" s="134"/>
      <c r="FB70" s="134"/>
      <c r="FC70" s="134"/>
      <c r="FD70" s="134"/>
      <c r="FE70" s="134"/>
      <c r="FF70" s="134"/>
      <c r="FG70" s="135"/>
      <c r="FH70" s="135"/>
      <c r="FI70" s="134"/>
      <c r="FJ70" s="134"/>
      <c r="FK70" s="134"/>
      <c r="FL70" s="134"/>
      <c r="FM70" s="134"/>
      <c r="FN70" s="134"/>
      <c r="FO70" s="134"/>
      <c r="FP70" s="134"/>
      <c r="FQ70" s="135"/>
      <c r="FR70" s="135"/>
      <c r="FS70" s="134"/>
      <c r="FT70" s="134"/>
      <c r="FU70" s="134"/>
      <c r="FV70" s="134"/>
      <c r="FW70" s="134"/>
      <c r="FX70" s="134"/>
      <c r="FY70" s="134"/>
      <c r="FZ70" s="134"/>
      <c r="GA70" s="135"/>
      <c r="GB70" s="135"/>
      <c r="GC70" s="134"/>
      <c r="GD70" s="134"/>
      <c r="GE70" s="134"/>
      <c r="GF70" s="134"/>
      <c r="GG70" s="134"/>
      <c r="GH70" s="134"/>
      <c r="GI70" s="134"/>
      <c r="GJ70" s="134"/>
      <c r="GK70" s="135"/>
      <c r="GL70" s="135"/>
      <c r="GM70" s="134"/>
      <c r="GN70" s="134"/>
      <c r="GO70" s="134"/>
      <c r="GP70" s="134"/>
      <c r="GQ70" s="134"/>
      <c r="GR70" s="134"/>
      <c r="GS70" s="134"/>
      <c r="GT70" s="134"/>
      <c r="GU70" s="135"/>
      <c r="GV70" s="135"/>
      <c r="GW70" s="134"/>
      <c r="GX70" s="134"/>
      <c r="GY70" s="134"/>
      <c r="GZ70" s="134"/>
      <c r="HA70" s="134"/>
      <c r="HB70" s="134"/>
      <c r="HC70" s="134"/>
      <c r="HD70" s="134"/>
      <c r="HE70" s="135"/>
      <c r="HF70" s="135"/>
      <c r="HG70" s="134"/>
      <c r="HH70" s="134"/>
      <c r="HI70" s="134"/>
      <c r="HJ70" s="134"/>
      <c r="HK70" s="134"/>
      <c r="HL70" s="134"/>
      <c r="HM70" s="134"/>
      <c r="HN70" s="134"/>
      <c r="HO70" s="135"/>
      <c r="HP70" s="135"/>
      <c r="HQ70" s="134"/>
      <c r="HR70" s="134"/>
      <c r="HS70" s="134"/>
      <c r="HT70" s="134"/>
      <c r="HU70" s="134"/>
      <c r="HV70" s="134"/>
      <c r="HW70" s="134"/>
      <c r="HX70" s="134"/>
      <c r="HY70" s="135"/>
      <c r="HZ70" s="135"/>
      <c r="IA70" s="134"/>
      <c r="IB70" s="134"/>
      <c r="IC70" s="134"/>
      <c r="ID70" s="134"/>
      <c r="IE70" s="134"/>
      <c r="IF70" s="134"/>
      <c r="IG70" s="134"/>
      <c r="IH70" s="134"/>
      <c r="II70" s="135"/>
      <c r="IJ70" s="135"/>
      <c r="IK70" s="134"/>
      <c r="IL70" s="134"/>
      <c r="IM70" s="134"/>
      <c r="IN70" s="134"/>
      <c r="IO70" s="134"/>
      <c r="IP70" s="134"/>
      <c r="IQ70" s="134"/>
      <c r="IR70" s="134"/>
      <c r="IS70" s="135"/>
      <c r="IT70" s="135"/>
      <c r="IU70" s="134"/>
      <c r="IV70" s="134"/>
      <c r="IW70" s="134"/>
      <c r="IX70" s="134"/>
      <c r="IY70" s="134"/>
      <c r="IZ70" s="134"/>
      <c r="JA70" s="134"/>
      <c r="JB70" s="134"/>
      <c r="JC70" s="135"/>
      <c r="JD70" s="135"/>
    </row>
    <row r="71" spans="1:264" s="338" customFormat="1" ht="15" customHeight="1">
      <c r="A71" s="79" t="s">
        <v>352</v>
      </c>
      <c r="B71" s="362">
        <v>252</v>
      </c>
      <c r="C71" s="362"/>
      <c r="D71" s="362">
        <v>107</v>
      </c>
      <c r="E71" s="604" t="s">
        <v>2041</v>
      </c>
      <c r="F71" s="124" t="s">
        <v>2280</v>
      </c>
      <c r="G71" s="125">
        <v>2015</v>
      </c>
      <c r="H71" s="79">
        <v>25244677</v>
      </c>
      <c r="I71" s="79">
        <v>1</v>
      </c>
      <c r="J71" s="126"/>
      <c r="K71" s="127"/>
      <c r="L71" s="79">
        <v>1</v>
      </c>
      <c r="M71" s="79"/>
      <c r="N71" s="79">
        <v>1</v>
      </c>
      <c r="O71" s="128">
        <v>1</v>
      </c>
      <c r="P71" s="79" t="s">
        <v>913</v>
      </c>
      <c r="Q71" s="79" t="s">
        <v>1164</v>
      </c>
      <c r="R71" s="79" t="s">
        <v>865</v>
      </c>
      <c r="S71" s="79">
        <v>0</v>
      </c>
      <c r="T71" s="79"/>
      <c r="U71" s="79"/>
      <c r="V71" s="79"/>
      <c r="W71" s="79" t="s">
        <v>30</v>
      </c>
      <c r="X71" s="79"/>
      <c r="Y71" s="79"/>
      <c r="Z71" s="79" t="s">
        <v>912</v>
      </c>
      <c r="AA71" s="79"/>
      <c r="AB71" s="79"/>
      <c r="AC71" s="506" t="s">
        <v>6322</v>
      </c>
      <c r="AD71" s="573">
        <v>1</v>
      </c>
      <c r="AE71" s="573">
        <v>0</v>
      </c>
      <c r="AF71" s="154"/>
      <c r="AG71" s="155"/>
      <c r="AH71" s="121"/>
      <c r="AI71" s="484"/>
      <c r="AJ71" s="535"/>
      <c r="AK71" s="192"/>
      <c r="AL71" s="203"/>
      <c r="AM71" s="121"/>
      <c r="AN71" s="121"/>
      <c r="AO71" s="121"/>
      <c r="AP71" s="121"/>
      <c r="AQ71" s="121"/>
      <c r="AR71" s="121"/>
      <c r="AS71" s="121"/>
      <c r="AT71" s="121"/>
      <c r="AU71" s="121"/>
      <c r="AV71" s="121"/>
      <c r="AW71" s="121"/>
      <c r="AX71" s="121"/>
      <c r="AY71" s="121"/>
      <c r="AZ71" s="121"/>
      <c r="BA71" s="121"/>
      <c r="BB71" s="594"/>
      <c r="BC71" s="594"/>
      <c r="BD71" s="156"/>
      <c r="BE71" s="156"/>
      <c r="BF71" s="156" t="s">
        <v>5207</v>
      </c>
      <c r="BG71" s="156"/>
      <c r="BH71" s="156"/>
      <c r="BI71" s="156"/>
      <c r="BJ71" s="156"/>
      <c r="BK71" s="156"/>
      <c r="BL71" s="156"/>
      <c r="BM71" s="156"/>
      <c r="BN71" s="156"/>
      <c r="BO71" s="156"/>
      <c r="BP71" s="156"/>
      <c r="BQ71" s="595"/>
      <c r="BR71" s="157"/>
      <c r="BS71" s="660"/>
      <c r="BT71" s="134"/>
      <c r="BU71" s="134"/>
      <c r="BV71" s="134"/>
      <c r="BW71" s="134"/>
      <c r="BX71" s="134"/>
      <c r="BY71" s="134"/>
      <c r="BZ71" s="259"/>
      <c r="CA71" s="454"/>
      <c r="CB71" s="517"/>
      <c r="CC71" s="134"/>
      <c r="CD71" s="134"/>
      <c r="CE71" s="134"/>
      <c r="CF71" s="138"/>
      <c r="CG71" s="134"/>
      <c r="CH71" s="134"/>
      <c r="CI71" s="134"/>
      <c r="CJ71" s="288"/>
      <c r="CK71" s="289"/>
      <c r="CL71" s="138"/>
      <c r="CM71" s="134"/>
      <c r="CN71" s="134"/>
      <c r="CO71" s="134"/>
      <c r="CP71" s="138"/>
      <c r="CQ71" s="134"/>
      <c r="CR71" s="134"/>
      <c r="CS71" s="134"/>
      <c r="CT71" s="288"/>
      <c r="CU71" s="289"/>
      <c r="CV71" s="276"/>
      <c r="CW71" s="308"/>
      <c r="CX71" s="138"/>
      <c r="CY71" s="134"/>
      <c r="CZ71" s="134"/>
      <c r="DA71" s="134"/>
      <c r="DB71" s="134"/>
      <c r="DC71" s="134"/>
      <c r="DD71" s="134"/>
      <c r="DE71" s="134"/>
      <c r="DF71" s="300"/>
      <c r="DG71" s="301"/>
      <c r="DH71" s="134"/>
      <c r="DI71" s="134"/>
      <c r="DJ71" s="134"/>
      <c r="DK71" s="134"/>
      <c r="DL71" s="134"/>
      <c r="DM71" s="134"/>
      <c r="DN71" s="134"/>
      <c r="DO71" s="134"/>
      <c r="DP71" s="300"/>
      <c r="DQ71" s="301"/>
      <c r="DR71" s="276"/>
      <c r="DS71" s="277"/>
      <c r="DT71" s="134"/>
      <c r="DU71" s="134"/>
      <c r="DV71" s="134"/>
      <c r="DW71" s="134"/>
      <c r="DX71" s="138"/>
      <c r="DY71" s="134"/>
      <c r="DZ71" s="134"/>
      <c r="EA71" s="134"/>
      <c r="EB71" s="301"/>
      <c r="EC71" s="301"/>
      <c r="ED71" s="138"/>
      <c r="EE71" s="134"/>
      <c r="EF71" s="134"/>
      <c r="EG71" s="134"/>
      <c r="EH71" s="138"/>
      <c r="EI71" s="134"/>
      <c r="EJ71" s="134"/>
      <c r="EK71" s="134"/>
      <c r="EL71" s="301"/>
      <c r="EM71" s="301"/>
      <c r="EN71" s="277"/>
      <c r="EO71" s="134"/>
      <c r="EP71" s="134"/>
      <c r="EQ71" s="134"/>
      <c r="ER71" s="134"/>
      <c r="ES71" s="134"/>
      <c r="ET71" s="134"/>
      <c r="EU71" s="134"/>
      <c r="EV71" s="134"/>
      <c r="EW71" s="301"/>
      <c r="EX71" s="301"/>
      <c r="EY71" s="134"/>
      <c r="EZ71" s="134"/>
      <c r="FA71" s="134"/>
      <c r="FB71" s="134"/>
      <c r="FC71" s="134"/>
      <c r="FD71" s="134"/>
      <c r="FE71" s="134"/>
      <c r="FF71" s="134"/>
      <c r="FG71" s="135"/>
      <c r="FH71" s="135"/>
      <c r="FI71" s="134"/>
      <c r="FJ71" s="134"/>
      <c r="FK71" s="134"/>
      <c r="FL71" s="134"/>
      <c r="FM71" s="134"/>
      <c r="FN71" s="134"/>
      <c r="FO71" s="134"/>
      <c r="FP71" s="134"/>
      <c r="FQ71" s="135"/>
      <c r="FR71" s="135"/>
      <c r="FS71" s="134"/>
      <c r="FT71" s="134"/>
      <c r="FU71" s="134"/>
      <c r="FV71" s="134"/>
      <c r="FW71" s="134"/>
      <c r="FX71" s="134"/>
      <c r="FY71" s="134"/>
      <c r="FZ71" s="134"/>
      <c r="GA71" s="135"/>
      <c r="GB71" s="135"/>
      <c r="GC71" s="134"/>
      <c r="GD71" s="134"/>
      <c r="GE71" s="134"/>
      <c r="GF71" s="134"/>
      <c r="GG71" s="134"/>
      <c r="GH71" s="134"/>
      <c r="GI71" s="134"/>
      <c r="GJ71" s="134"/>
      <c r="GK71" s="135"/>
      <c r="GL71" s="135"/>
      <c r="GM71" s="134"/>
      <c r="GN71" s="134"/>
      <c r="GO71" s="134"/>
      <c r="GP71" s="134"/>
      <c r="GQ71" s="134"/>
      <c r="GR71" s="134"/>
      <c r="GS71" s="134"/>
      <c r="GT71" s="134"/>
      <c r="GU71" s="135"/>
      <c r="GV71" s="135"/>
      <c r="GW71" s="134"/>
      <c r="GX71" s="134"/>
      <c r="GY71" s="134"/>
      <c r="GZ71" s="134"/>
      <c r="HA71" s="134"/>
      <c r="HB71" s="134"/>
      <c r="HC71" s="134"/>
      <c r="HD71" s="134"/>
      <c r="HE71" s="135"/>
      <c r="HF71" s="135"/>
      <c r="HG71" s="134"/>
      <c r="HH71" s="134"/>
      <c r="HI71" s="134"/>
      <c r="HJ71" s="134"/>
      <c r="HK71" s="134"/>
      <c r="HL71" s="134"/>
      <c r="HM71" s="134"/>
      <c r="HN71" s="134"/>
      <c r="HO71" s="135"/>
      <c r="HP71" s="135"/>
      <c r="HQ71" s="134"/>
      <c r="HR71" s="134"/>
      <c r="HS71" s="134"/>
      <c r="HT71" s="134"/>
      <c r="HU71" s="134"/>
      <c r="HV71" s="134"/>
      <c r="HW71" s="134"/>
      <c r="HX71" s="134"/>
      <c r="HY71" s="135"/>
      <c r="HZ71" s="135"/>
      <c r="IA71" s="134"/>
      <c r="IB71" s="134"/>
      <c r="IC71" s="134"/>
      <c r="ID71" s="134"/>
      <c r="IE71" s="134"/>
      <c r="IF71" s="134"/>
      <c r="IG71" s="134"/>
      <c r="IH71" s="134"/>
      <c r="II71" s="135"/>
      <c r="IJ71" s="135"/>
      <c r="IK71" s="134"/>
      <c r="IL71" s="134"/>
      <c r="IM71" s="134"/>
      <c r="IN71" s="134"/>
      <c r="IO71" s="134"/>
      <c r="IP71" s="134"/>
      <c r="IQ71" s="134"/>
      <c r="IR71" s="134"/>
      <c r="IS71" s="135"/>
      <c r="IT71" s="135"/>
      <c r="IU71" s="134"/>
      <c r="IV71" s="134"/>
      <c r="IW71" s="134"/>
      <c r="IX71" s="134"/>
      <c r="IY71" s="134"/>
      <c r="IZ71" s="134"/>
      <c r="JA71" s="134"/>
      <c r="JB71" s="134"/>
      <c r="JC71" s="135"/>
      <c r="JD71" s="135"/>
    </row>
    <row r="72" spans="1:264" s="338" customFormat="1" ht="15" customHeight="1">
      <c r="A72" s="79" t="s">
        <v>353</v>
      </c>
      <c r="B72" s="362">
        <v>253</v>
      </c>
      <c r="C72" s="362"/>
      <c r="D72" s="362">
        <v>108</v>
      </c>
      <c r="E72" s="604" t="s">
        <v>2042</v>
      </c>
      <c r="F72" s="124" t="s">
        <v>2281</v>
      </c>
      <c r="G72" s="125">
        <v>2016</v>
      </c>
      <c r="H72" s="79">
        <v>26447678</v>
      </c>
      <c r="I72" s="79">
        <v>1</v>
      </c>
      <c r="J72" s="126"/>
      <c r="K72" s="127"/>
      <c r="L72" s="79">
        <v>1</v>
      </c>
      <c r="M72" s="79"/>
      <c r="N72" s="79">
        <v>1</v>
      </c>
      <c r="O72" s="128">
        <v>1</v>
      </c>
      <c r="P72" s="79" t="s">
        <v>609</v>
      </c>
      <c r="Q72" s="79" t="s">
        <v>1158</v>
      </c>
      <c r="R72" s="79" t="s">
        <v>25</v>
      </c>
      <c r="S72" s="79">
        <v>1</v>
      </c>
      <c r="T72" s="79"/>
      <c r="U72" s="79"/>
      <c r="V72" s="79"/>
      <c r="W72" s="79" t="s">
        <v>610</v>
      </c>
      <c r="X72" s="79" t="s">
        <v>915</v>
      </c>
      <c r="Y72" s="79" t="s">
        <v>914</v>
      </c>
      <c r="Z72" s="79"/>
      <c r="AA72" s="79"/>
      <c r="AB72" s="79"/>
      <c r="AC72" s="506" t="s">
        <v>6323</v>
      </c>
      <c r="AD72" s="573">
        <v>1</v>
      </c>
      <c r="AE72" s="573">
        <v>0</v>
      </c>
      <c r="AF72" s="154"/>
      <c r="AG72" s="155"/>
      <c r="AH72" s="121">
        <v>2</v>
      </c>
      <c r="AI72" s="484"/>
      <c r="AJ72" s="202"/>
      <c r="AK72" s="192"/>
      <c r="AL72" s="203"/>
      <c r="AM72" s="121"/>
      <c r="AN72" s="121"/>
      <c r="AO72" s="121"/>
      <c r="AP72" s="448"/>
      <c r="AQ72" s="448"/>
      <c r="AR72" s="448"/>
      <c r="AS72" s="121"/>
      <c r="AT72" s="448"/>
      <c r="AU72" s="121"/>
      <c r="AV72" s="121"/>
      <c r="AW72" s="121"/>
      <c r="AX72" s="121"/>
      <c r="AY72" s="121"/>
      <c r="AZ72" s="121"/>
      <c r="BA72" s="121"/>
      <c r="BB72" s="594"/>
      <c r="BC72" s="594"/>
      <c r="BD72" s="156"/>
      <c r="BE72" s="156"/>
      <c r="BF72" s="156"/>
      <c r="BG72" s="156"/>
      <c r="BH72" s="156"/>
      <c r="BI72" s="156"/>
      <c r="BJ72" s="156"/>
      <c r="BK72" s="156"/>
      <c r="BL72" s="156" t="s">
        <v>5207</v>
      </c>
      <c r="BM72" s="156"/>
      <c r="BN72" s="156"/>
      <c r="BO72" s="156"/>
      <c r="BP72" s="156"/>
      <c r="BQ72" s="595"/>
      <c r="BR72" s="157"/>
      <c r="BS72" s="660"/>
      <c r="BT72" s="134"/>
      <c r="BU72" s="134"/>
      <c r="BV72" s="134"/>
      <c r="BW72" s="134"/>
      <c r="BX72" s="134"/>
      <c r="BY72" s="134"/>
      <c r="BZ72" s="454"/>
      <c r="CA72" s="454"/>
      <c r="CB72" s="517"/>
      <c r="CC72" s="190"/>
      <c r="CD72" s="134"/>
      <c r="CE72" s="190"/>
      <c r="CF72" s="138"/>
      <c r="CG72" s="134"/>
      <c r="CH72" s="134"/>
      <c r="CI72" s="134"/>
      <c r="CJ72" s="288"/>
      <c r="CK72" s="289"/>
      <c r="CL72" s="138"/>
      <c r="CM72" s="134"/>
      <c r="CN72" s="134"/>
      <c r="CO72" s="134"/>
      <c r="CP72" s="138"/>
      <c r="CQ72" s="134"/>
      <c r="CR72" s="134"/>
      <c r="CS72" s="134"/>
      <c r="CT72" s="288"/>
      <c r="CU72" s="289"/>
      <c r="CV72" s="276"/>
      <c r="CW72" s="308"/>
      <c r="CX72" s="138"/>
      <c r="CY72" s="134"/>
      <c r="CZ72" s="134"/>
      <c r="DA72" s="134"/>
      <c r="DB72" s="134"/>
      <c r="DC72" s="134"/>
      <c r="DD72" s="134"/>
      <c r="DE72" s="134"/>
      <c r="DF72" s="300"/>
      <c r="DG72" s="301"/>
      <c r="DH72" s="134"/>
      <c r="DI72" s="134"/>
      <c r="DJ72" s="134"/>
      <c r="DK72" s="134"/>
      <c r="DL72" s="134"/>
      <c r="DM72" s="134"/>
      <c r="DN72" s="134"/>
      <c r="DO72" s="134"/>
      <c r="DP72" s="300"/>
      <c r="DQ72" s="301"/>
      <c r="DR72" s="276"/>
      <c r="DS72" s="277"/>
      <c r="DT72" s="134"/>
      <c r="DU72" s="134"/>
      <c r="DV72" s="134"/>
      <c r="DW72" s="134"/>
      <c r="DX72" s="138"/>
      <c r="DY72" s="134"/>
      <c r="DZ72" s="134"/>
      <c r="EA72" s="134"/>
      <c r="EB72" s="301"/>
      <c r="EC72" s="301"/>
      <c r="ED72" s="138"/>
      <c r="EE72" s="134"/>
      <c r="EF72" s="134"/>
      <c r="EG72" s="134"/>
      <c r="EH72" s="138"/>
      <c r="EI72" s="134"/>
      <c r="EJ72" s="134"/>
      <c r="EK72" s="134"/>
      <c r="EL72" s="301"/>
      <c r="EM72" s="301"/>
      <c r="EN72" s="277"/>
      <c r="EO72" s="134"/>
      <c r="EP72" s="134"/>
      <c r="EQ72" s="134"/>
      <c r="ER72" s="134"/>
      <c r="ES72" s="134"/>
      <c r="ET72" s="134"/>
      <c r="EU72" s="134"/>
      <c r="EV72" s="134"/>
      <c r="EW72" s="301"/>
      <c r="EX72" s="301"/>
      <c r="EY72" s="134"/>
      <c r="EZ72" s="134"/>
      <c r="FA72" s="134"/>
      <c r="FB72" s="134"/>
      <c r="FC72" s="134"/>
      <c r="FD72" s="134"/>
      <c r="FE72" s="134"/>
      <c r="FF72" s="134"/>
      <c r="FG72" s="135"/>
      <c r="FH72" s="135"/>
      <c r="FI72" s="134"/>
      <c r="FJ72" s="134"/>
      <c r="FK72" s="134"/>
      <c r="FL72" s="134"/>
      <c r="FM72" s="134"/>
      <c r="FN72" s="134"/>
      <c r="FO72" s="134"/>
      <c r="FP72" s="134"/>
      <c r="FQ72" s="135"/>
      <c r="FR72" s="135"/>
      <c r="FS72" s="134"/>
      <c r="FT72" s="134"/>
      <c r="FU72" s="134"/>
      <c r="FV72" s="134"/>
      <c r="FW72" s="134"/>
      <c r="FX72" s="134"/>
      <c r="FY72" s="134"/>
      <c r="FZ72" s="134"/>
      <c r="GA72" s="135"/>
      <c r="GB72" s="135"/>
      <c r="GC72" s="134"/>
      <c r="GD72" s="134"/>
      <c r="GE72" s="134"/>
      <c r="GF72" s="134"/>
      <c r="GG72" s="134"/>
      <c r="GH72" s="134"/>
      <c r="GI72" s="134"/>
      <c r="GJ72" s="134"/>
      <c r="GK72" s="135"/>
      <c r="GL72" s="135"/>
      <c r="GM72" s="134"/>
      <c r="GN72" s="134"/>
      <c r="GO72" s="134"/>
      <c r="GP72" s="134"/>
      <c r="GQ72" s="134"/>
      <c r="GR72" s="134"/>
      <c r="GS72" s="134"/>
      <c r="GT72" s="134"/>
      <c r="GU72" s="135"/>
      <c r="GV72" s="135"/>
      <c r="GW72" s="134"/>
      <c r="GX72" s="134"/>
      <c r="GY72" s="134"/>
      <c r="GZ72" s="134"/>
      <c r="HA72" s="134"/>
      <c r="HB72" s="134"/>
      <c r="HC72" s="134"/>
      <c r="HD72" s="134"/>
      <c r="HE72" s="135"/>
      <c r="HF72" s="135"/>
      <c r="HG72" s="134"/>
      <c r="HH72" s="134"/>
      <c r="HI72" s="134"/>
      <c r="HJ72" s="134"/>
      <c r="HK72" s="134"/>
      <c r="HL72" s="134"/>
      <c r="HM72" s="134"/>
      <c r="HN72" s="134"/>
      <c r="HO72" s="135"/>
      <c r="HP72" s="135"/>
      <c r="HQ72" s="134"/>
      <c r="HR72" s="134"/>
      <c r="HS72" s="134"/>
      <c r="HT72" s="134"/>
      <c r="HU72" s="134"/>
      <c r="HV72" s="134"/>
      <c r="HW72" s="134"/>
      <c r="HX72" s="134"/>
      <c r="HY72" s="135"/>
      <c r="HZ72" s="135"/>
      <c r="IA72" s="134"/>
      <c r="IB72" s="134"/>
      <c r="IC72" s="134"/>
      <c r="ID72" s="134"/>
      <c r="IE72" s="134"/>
      <c r="IF72" s="134"/>
      <c r="IG72" s="134"/>
      <c r="IH72" s="134"/>
      <c r="II72" s="135"/>
      <c r="IJ72" s="135"/>
      <c r="IK72" s="134"/>
      <c r="IL72" s="134"/>
      <c r="IM72" s="134"/>
      <c r="IN72" s="134"/>
      <c r="IO72" s="134"/>
      <c r="IP72" s="134"/>
      <c r="IQ72" s="134"/>
      <c r="IR72" s="134"/>
      <c r="IS72" s="135"/>
      <c r="IT72" s="135"/>
      <c r="IU72" s="134"/>
      <c r="IV72" s="134"/>
      <c r="IW72" s="134"/>
      <c r="IX72" s="134"/>
      <c r="IY72" s="134"/>
      <c r="IZ72" s="134"/>
      <c r="JA72" s="134"/>
      <c r="JB72" s="134"/>
      <c r="JC72" s="135"/>
      <c r="JD72" s="135"/>
    </row>
    <row r="73" spans="1:264" s="188" customFormat="1" ht="15" customHeight="1">
      <c r="A73" s="79" t="s">
        <v>354</v>
      </c>
      <c r="B73" s="362">
        <v>254</v>
      </c>
      <c r="C73" s="362"/>
      <c r="D73" s="362">
        <v>109</v>
      </c>
      <c r="E73" s="604" t="s">
        <v>2043</v>
      </c>
      <c r="F73" s="124" t="s">
        <v>2282</v>
      </c>
      <c r="G73" s="125">
        <v>2015</v>
      </c>
      <c r="H73" s="79">
        <v>26042021</v>
      </c>
      <c r="I73" s="79">
        <v>1</v>
      </c>
      <c r="J73" s="126" t="s">
        <v>1745</v>
      </c>
      <c r="K73" s="127" t="s">
        <v>1769</v>
      </c>
      <c r="L73" s="164">
        <v>1</v>
      </c>
      <c r="M73" s="79" t="s">
        <v>1753</v>
      </c>
      <c r="N73" s="79">
        <v>0</v>
      </c>
      <c r="O73" s="128">
        <v>1</v>
      </c>
      <c r="P73" s="79"/>
      <c r="Q73" s="79"/>
      <c r="R73" s="79" t="s">
        <v>693</v>
      </c>
      <c r="S73" s="79"/>
      <c r="T73" s="79"/>
      <c r="U73" s="79"/>
      <c r="V73" s="79"/>
      <c r="W73" s="79"/>
      <c r="X73" s="79"/>
      <c r="Y73" s="79"/>
      <c r="Z73" s="79"/>
      <c r="AA73" s="79"/>
      <c r="AB73" s="79" t="s">
        <v>916</v>
      </c>
      <c r="AC73" s="506" t="s">
        <v>28</v>
      </c>
      <c r="AD73" s="573">
        <v>1</v>
      </c>
      <c r="AE73" s="573">
        <v>0</v>
      </c>
      <c r="AF73" s="165" t="s">
        <v>3003</v>
      </c>
      <c r="AG73" s="166" t="s">
        <v>6324</v>
      </c>
      <c r="AH73" s="121"/>
      <c r="AI73" s="484"/>
      <c r="AJ73" s="202"/>
      <c r="AK73" s="192"/>
      <c r="AL73" s="203"/>
      <c r="AM73" s="121"/>
      <c r="AN73" s="121"/>
      <c r="AO73" s="121"/>
      <c r="AP73" s="121"/>
      <c r="AQ73" s="121"/>
      <c r="AR73" s="121"/>
      <c r="AS73" s="121"/>
      <c r="AT73" s="121"/>
      <c r="AU73" s="121"/>
      <c r="AV73" s="121"/>
      <c r="AW73" s="121"/>
      <c r="AX73" s="121"/>
      <c r="AY73" s="121"/>
      <c r="AZ73" s="121"/>
      <c r="BA73" s="121"/>
      <c r="BB73" s="594"/>
      <c r="BC73" s="594"/>
      <c r="BD73" s="156"/>
      <c r="BE73" s="156"/>
      <c r="BF73" s="156"/>
      <c r="BG73" s="156"/>
      <c r="BH73" s="156"/>
      <c r="BI73" s="156" t="s">
        <v>5207</v>
      </c>
      <c r="BJ73" s="156"/>
      <c r="BK73" s="156"/>
      <c r="BL73" s="156"/>
      <c r="BM73" s="156"/>
      <c r="BN73" s="156"/>
      <c r="BO73" s="156"/>
      <c r="BP73" s="156"/>
      <c r="BQ73" s="595"/>
      <c r="BR73" s="157"/>
      <c r="BS73" s="660"/>
      <c r="BT73" s="134"/>
      <c r="BU73" s="134"/>
      <c r="BV73" s="134"/>
      <c r="BW73" s="134"/>
      <c r="BX73" s="134"/>
      <c r="BY73" s="134"/>
      <c r="BZ73" s="259"/>
      <c r="CA73" s="454"/>
      <c r="CB73" s="517"/>
      <c r="CC73" s="134"/>
      <c r="CD73" s="134"/>
      <c r="CE73" s="134"/>
      <c r="CF73" s="138"/>
      <c r="CG73" s="134"/>
      <c r="CH73" s="134"/>
      <c r="CI73" s="134"/>
      <c r="CJ73" s="288"/>
      <c r="CK73" s="437"/>
      <c r="CL73" s="138"/>
      <c r="CM73" s="134"/>
      <c r="CN73" s="134"/>
      <c r="CO73" s="134"/>
      <c r="CP73" s="138"/>
      <c r="CQ73" s="134"/>
      <c r="CR73" s="134"/>
      <c r="CS73" s="134"/>
      <c r="CT73" s="288"/>
      <c r="CU73" s="289"/>
      <c r="CV73" s="276"/>
      <c r="CW73" s="308"/>
      <c r="CX73" s="138"/>
      <c r="CY73" s="134"/>
      <c r="CZ73" s="134"/>
      <c r="DA73" s="134"/>
      <c r="DB73" s="134"/>
      <c r="DC73" s="134"/>
      <c r="DD73" s="134"/>
      <c r="DE73" s="134"/>
      <c r="DF73" s="300"/>
      <c r="DG73" s="301"/>
      <c r="DH73" s="134"/>
      <c r="DI73" s="134"/>
      <c r="DJ73" s="134"/>
      <c r="DK73" s="134"/>
      <c r="DL73" s="134"/>
      <c r="DM73" s="134"/>
      <c r="DN73" s="134"/>
      <c r="DO73" s="134"/>
      <c r="DP73" s="300"/>
      <c r="DQ73" s="301"/>
      <c r="DR73" s="276"/>
      <c r="DS73" s="277"/>
      <c r="DT73" s="134"/>
      <c r="DU73" s="134"/>
      <c r="DV73" s="134"/>
      <c r="DW73" s="134"/>
      <c r="DX73" s="138"/>
      <c r="DY73" s="134"/>
      <c r="DZ73" s="134"/>
      <c r="EA73" s="134"/>
      <c r="EB73" s="301"/>
      <c r="EC73" s="301"/>
      <c r="ED73" s="138"/>
      <c r="EE73" s="134"/>
      <c r="EF73" s="134"/>
      <c r="EG73" s="134"/>
      <c r="EH73" s="138"/>
      <c r="EI73" s="134"/>
      <c r="EJ73" s="134"/>
      <c r="EK73" s="134"/>
      <c r="EL73" s="301"/>
      <c r="EM73" s="301"/>
      <c r="EN73" s="277"/>
      <c r="EO73" s="134"/>
      <c r="EP73" s="134"/>
      <c r="EQ73" s="134"/>
      <c r="ER73" s="134"/>
      <c r="ES73" s="134"/>
      <c r="ET73" s="134"/>
      <c r="EU73" s="134"/>
      <c r="EV73" s="134"/>
      <c r="EW73" s="301"/>
      <c r="EX73" s="301"/>
      <c r="EY73" s="134"/>
      <c r="EZ73" s="134"/>
      <c r="FA73" s="134"/>
      <c r="FB73" s="134"/>
      <c r="FC73" s="134"/>
      <c r="FD73" s="134"/>
      <c r="FE73" s="134"/>
      <c r="FF73" s="134"/>
      <c r="FG73" s="135"/>
      <c r="FH73" s="135"/>
      <c r="FI73" s="134"/>
      <c r="FJ73" s="134"/>
      <c r="FK73" s="134"/>
      <c r="FL73" s="134"/>
      <c r="FM73" s="134"/>
      <c r="FN73" s="134"/>
      <c r="FO73" s="134"/>
      <c r="FP73" s="134"/>
      <c r="FQ73" s="135"/>
      <c r="FR73" s="135"/>
      <c r="FS73" s="134"/>
      <c r="FT73" s="134"/>
      <c r="FU73" s="134"/>
      <c r="FV73" s="134"/>
      <c r="FW73" s="134"/>
      <c r="FX73" s="134"/>
      <c r="FY73" s="134"/>
      <c r="FZ73" s="134"/>
      <c r="GA73" s="135"/>
      <c r="GB73" s="135"/>
      <c r="GC73" s="134"/>
      <c r="GD73" s="134"/>
      <c r="GE73" s="134"/>
      <c r="GF73" s="134"/>
      <c r="GG73" s="134"/>
      <c r="GH73" s="134"/>
      <c r="GI73" s="134"/>
      <c r="GJ73" s="134"/>
      <c r="GK73" s="135"/>
      <c r="GL73" s="135"/>
      <c r="GM73" s="134"/>
      <c r="GN73" s="134"/>
      <c r="GO73" s="134"/>
      <c r="GP73" s="134"/>
      <c r="GQ73" s="134"/>
      <c r="GR73" s="134"/>
      <c r="GS73" s="134"/>
      <c r="GT73" s="134"/>
      <c r="GU73" s="135"/>
      <c r="GV73" s="135"/>
      <c r="GW73" s="134"/>
      <c r="GX73" s="134"/>
      <c r="GY73" s="134"/>
      <c r="GZ73" s="134"/>
      <c r="HA73" s="134"/>
      <c r="HB73" s="134"/>
      <c r="HC73" s="134"/>
      <c r="HD73" s="134"/>
      <c r="HE73" s="135"/>
      <c r="HF73" s="135"/>
      <c r="HG73" s="134"/>
      <c r="HH73" s="134"/>
      <c r="HI73" s="134"/>
      <c r="HJ73" s="134"/>
      <c r="HK73" s="134"/>
      <c r="HL73" s="134"/>
      <c r="HM73" s="134"/>
      <c r="HN73" s="134"/>
      <c r="HO73" s="135"/>
      <c r="HP73" s="135"/>
      <c r="HQ73" s="134"/>
      <c r="HR73" s="134"/>
      <c r="HS73" s="134"/>
      <c r="HT73" s="134"/>
      <c r="HU73" s="134"/>
      <c r="HV73" s="134"/>
      <c r="HW73" s="134"/>
      <c r="HX73" s="134"/>
      <c r="HY73" s="135"/>
      <c r="HZ73" s="135"/>
      <c r="IA73" s="134"/>
      <c r="IB73" s="134"/>
      <c r="IC73" s="134"/>
      <c r="ID73" s="134"/>
      <c r="IE73" s="134"/>
      <c r="IF73" s="134"/>
      <c r="IG73" s="134"/>
      <c r="IH73" s="134"/>
      <c r="II73" s="135"/>
      <c r="IJ73" s="135"/>
      <c r="IK73" s="134"/>
      <c r="IL73" s="134"/>
      <c r="IM73" s="134"/>
      <c r="IN73" s="134"/>
      <c r="IO73" s="134"/>
      <c r="IP73" s="134"/>
      <c r="IQ73" s="134"/>
      <c r="IR73" s="134"/>
      <c r="IS73" s="135"/>
      <c r="IT73" s="135"/>
      <c r="IU73" s="134"/>
      <c r="IV73" s="134"/>
      <c r="IW73" s="134"/>
      <c r="IX73" s="134"/>
      <c r="IY73" s="134"/>
      <c r="IZ73" s="134"/>
      <c r="JA73" s="134"/>
      <c r="JB73" s="134"/>
      <c r="JC73" s="135"/>
      <c r="JD73" s="135"/>
    </row>
    <row r="74" spans="1:264" s="119" customFormat="1" ht="15" customHeight="1">
      <c r="A74" s="79" t="s">
        <v>356</v>
      </c>
      <c r="B74" s="362">
        <v>256</v>
      </c>
      <c r="C74" s="362"/>
      <c r="D74" s="362">
        <v>110</v>
      </c>
      <c r="E74" s="604" t="s">
        <v>2044</v>
      </c>
      <c r="F74" s="124" t="s">
        <v>2284</v>
      </c>
      <c r="G74" s="125">
        <v>2015</v>
      </c>
      <c r="H74" s="79">
        <v>25516381</v>
      </c>
      <c r="I74" s="79">
        <v>1</v>
      </c>
      <c r="J74" s="126"/>
      <c r="K74" s="127"/>
      <c r="L74" s="79">
        <v>1</v>
      </c>
      <c r="M74" s="79"/>
      <c r="N74" s="79">
        <v>1</v>
      </c>
      <c r="O74" s="128">
        <v>1</v>
      </c>
      <c r="P74" s="79" t="s">
        <v>919</v>
      </c>
      <c r="Q74" s="79" t="s">
        <v>1192</v>
      </c>
      <c r="R74" s="79" t="s">
        <v>819</v>
      </c>
      <c r="S74" s="79">
        <v>1</v>
      </c>
      <c r="T74" s="79"/>
      <c r="U74" s="79"/>
      <c r="V74" s="79"/>
      <c r="W74" s="79" t="s">
        <v>918</v>
      </c>
      <c r="X74" s="79" t="s">
        <v>24</v>
      </c>
      <c r="Y74" s="79" t="s">
        <v>921</v>
      </c>
      <c r="Z74" s="79"/>
      <c r="AA74" s="79"/>
      <c r="AB74" s="79"/>
      <c r="AC74" s="506" t="s">
        <v>6326</v>
      </c>
      <c r="AD74" s="573">
        <v>1</v>
      </c>
      <c r="AE74" s="573">
        <v>0</v>
      </c>
      <c r="AF74" s="154" t="s">
        <v>3003</v>
      </c>
      <c r="AG74" s="155" t="s">
        <v>6327</v>
      </c>
      <c r="AH74" s="121">
        <v>2</v>
      </c>
      <c r="AI74" s="484"/>
      <c r="AJ74" s="202"/>
      <c r="AK74" s="192"/>
      <c r="AL74" s="203"/>
      <c r="AM74" s="121"/>
      <c r="AN74" s="121"/>
      <c r="AO74" s="121"/>
      <c r="AP74" s="121"/>
      <c r="AQ74" s="121"/>
      <c r="AR74" s="121"/>
      <c r="AS74" s="121"/>
      <c r="AT74" s="121"/>
      <c r="AU74" s="121"/>
      <c r="AV74" s="121"/>
      <c r="AW74" s="121"/>
      <c r="AX74" s="121"/>
      <c r="AY74" s="121"/>
      <c r="AZ74" s="121"/>
      <c r="BA74" s="121"/>
      <c r="BB74" s="594"/>
      <c r="BC74" s="594" t="s">
        <v>6325</v>
      </c>
      <c r="BD74" s="156"/>
      <c r="BE74" s="156"/>
      <c r="BF74" s="156"/>
      <c r="BG74" s="156" t="s">
        <v>6328</v>
      </c>
      <c r="BH74" s="156"/>
      <c r="BI74" s="156"/>
      <c r="BJ74" s="156"/>
      <c r="BK74" s="156" t="s">
        <v>6328</v>
      </c>
      <c r="BL74" s="156"/>
      <c r="BM74" s="156"/>
      <c r="BN74" s="156"/>
      <c r="BO74" s="156"/>
      <c r="BP74" s="156" t="s">
        <v>6328</v>
      </c>
      <c r="BQ74" s="595"/>
      <c r="BR74" s="157"/>
      <c r="BS74" s="660"/>
      <c r="BT74" s="134"/>
      <c r="BU74" s="134"/>
      <c r="BV74" s="134"/>
      <c r="BW74" s="134"/>
      <c r="BX74" s="134"/>
      <c r="BY74" s="134"/>
      <c r="BZ74" s="259"/>
      <c r="CA74" s="454"/>
      <c r="CB74" s="138"/>
      <c r="CC74" s="134"/>
      <c r="CD74" s="134"/>
      <c r="CE74" s="134"/>
      <c r="CF74" s="138"/>
      <c r="CG74" s="134"/>
      <c r="CH74" s="134"/>
      <c r="CI74" s="134"/>
      <c r="CJ74" s="288"/>
      <c r="CK74" s="289"/>
      <c r="CL74" s="138"/>
      <c r="CM74" s="134"/>
      <c r="CN74" s="134"/>
      <c r="CO74" s="134"/>
      <c r="CP74" s="138"/>
      <c r="CQ74" s="134"/>
      <c r="CR74" s="134"/>
      <c r="CS74" s="134"/>
      <c r="CT74" s="288"/>
      <c r="CU74" s="289"/>
      <c r="CV74" s="276"/>
      <c r="CW74" s="308"/>
      <c r="CX74" s="138"/>
      <c r="CY74" s="134"/>
      <c r="CZ74" s="134"/>
      <c r="DA74" s="134"/>
      <c r="DB74" s="134"/>
      <c r="DC74" s="134"/>
      <c r="DD74" s="134"/>
      <c r="DE74" s="134"/>
      <c r="DF74" s="300"/>
      <c r="DG74" s="301"/>
      <c r="DH74" s="134"/>
      <c r="DI74" s="134"/>
      <c r="DJ74" s="134"/>
      <c r="DK74" s="134"/>
      <c r="DL74" s="134"/>
      <c r="DM74" s="134"/>
      <c r="DN74" s="134"/>
      <c r="DO74" s="134"/>
      <c r="DP74" s="300"/>
      <c r="DQ74" s="301"/>
      <c r="DR74" s="276"/>
      <c r="DS74" s="277"/>
      <c r="DT74" s="134"/>
      <c r="DU74" s="134"/>
      <c r="DV74" s="134"/>
      <c r="DW74" s="134"/>
      <c r="DX74" s="138"/>
      <c r="DY74" s="134"/>
      <c r="DZ74" s="134"/>
      <c r="EA74" s="134"/>
      <c r="EB74" s="301"/>
      <c r="EC74" s="301"/>
      <c r="ED74" s="138"/>
      <c r="EE74" s="134"/>
      <c r="EF74" s="134"/>
      <c r="EG74" s="134"/>
      <c r="EH74" s="138"/>
      <c r="EI74" s="190"/>
      <c r="EJ74" s="134"/>
      <c r="EK74" s="134"/>
      <c r="EL74" s="301"/>
      <c r="EM74" s="301"/>
      <c r="EN74" s="277"/>
      <c r="EO74" s="134"/>
      <c r="EP74" s="134"/>
      <c r="EQ74" s="134"/>
      <c r="ER74" s="134"/>
      <c r="ES74" s="134"/>
      <c r="ET74" s="134"/>
      <c r="EU74" s="134"/>
      <c r="EV74" s="134"/>
      <c r="EW74" s="301"/>
      <c r="EX74" s="301"/>
      <c r="EY74" s="134"/>
      <c r="EZ74" s="134"/>
      <c r="FA74" s="134"/>
      <c r="FB74" s="134"/>
      <c r="FC74" s="134"/>
      <c r="FD74" s="134"/>
      <c r="FE74" s="134"/>
      <c r="FF74" s="134"/>
      <c r="FG74" s="135"/>
      <c r="FH74" s="135"/>
      <c r="FI74" s="134"/>
      <c r="FJ74" s="134"/>
      <c r="FK74" s="134"/>
      <c r="FL74" s="134"/>
      <c r="FM74" s="134"/>
      <c r="FN74" s="134"/>
      <c r="FO74" s="134"/>
      <c r="FP74" s="134"/>
      <c r="FQ74" s="135"/>
      <c r="FR74" s="135"/>
      <c r="FS74" s="134"/>
      <c r="FT74" s="134"/>
      <c r="FU74" s="134"/>
      <c r="FV74" s="134"/>
      <c r="FW74" s="134"/>
      <c r="FX74" s="134"/>
      <c r="FY74" s="134"/>
      <c r="FZ74" s="134"/>
      <c r="GA74" s="135"/>
      <c r="GB74" s="135"/>
      <c r="GC74" s="134"/>
      <c r="GD74" s="134"/>
      <c r="GE74" s="134"/>
      <c r="GF74" s="134"/>
      <c r="GG74" s="134"/>
      <c r="GH74" s="134"/>
      <c r="GI74" s="134"/>
      <c r="GJ74" s="134"/>
      <c r="GK74" s="135"/>
      <c r="GL74" s="135"/>
      <c r="GM74" s="134"/>
      <c r="GN74" s="134"/>
      <c r="GO74" s="134"/>
      <c r="GP74" s="134"/>
      <c r="GQ74" s="134"/>
      <c r="GR74" s="134"/>
      <c r="GS74" s="134"/>
      <c r="GT74" s="134"/>
      <c r="GU74" s="135"/>
      <c r="GV74" s="135"/>
      <c r="GW74" s="134"/>
      <c r="GX74" s="134"/>
      <c r="GY74" s="134"/>
      <c r="GZ74" s="134"/>
      <c r="HA74" s="134"/>
      <c r="HB74" s="134"/>
      <c r="HC74" s="134"/>
      <c r="HD74" s="134"/>
      <c r="HE74" s="135"/>
      <c r="HF74" s="135"/>
      <c r="HG74" s="134"/>
      <c r="HH74" s="134"/>
      <c r="HI74" s="134"/>
      <c r="HJ74" s="134"/>
      <c r="HK74" s="134"/>
      <c r="HL74" s="134"/>
      <c r="HM74" s="134"/>
      <c r="HN74" s="134"/>
      <c r="HO74" s="135"/>
      <c r="HP74" s="135"/>
      <c r="HQ74" s="134"/>
      <c r="HR74" s="134"/>
      <c r="HS74" s="134"/>
      <c r="HT74" s="134"/>
      <c r="HU74" s="134"/>
      <c r="HV74" s="134"/>
      <c r="HW74" s="134"/>
      <c r="HX74" s="134"/>
      <c r="HY74" s="135"/>
      <c r="HZ74" s="135"/>
      <c r="IA74" s="134"/>
      <c r="IB74" s="134"/>
      <c r="IC74" s="134"/>
      <c r="ID74" s="134"/>
      <c r="IE74" s="134"/>
      <c r="IF74" s="134"/>
      <c r="IG74" s="134"/>
      <c r="IH74" s="134"/>
      <c r="II74" s="135"/>
      <c r="IJ74" s="135"/>
      <c r="IK74" s="134"/>
      <c r="IL74" s="134"/>
      <c r="IM74" s="134"/>
      <c r="IN74" s="134"/>
      <c r="IO74" s="134"/>
      <c r="IP74" s="134"/>
      <c r="IQ74" s="134"/>
      <c r="IR74" s="134"/>
      <c r="IS74" s="135"/>
      <c r="IT74" s="135"/>
      <c r="IU74" s="134"/>
      <c r="IV74" s="134"/>
      <c r="IW74" s="134"/>
      <c r="IX74" s="134"/>
      <c r="IY74" s="134"/>
      <c r="IZ74" s="134"/>
      <c r="JA74" s="134"/>
      <c r="JB74" s="134"/>
      <c r="JC74" s="135"/>
      <c r="JD74" s="135"/>
    </row>
    <row r="75" spans="1:264" s="119" customFormat="1" ht="15" customHeight="1">
      <c r="A75" s="79" t="s">
        <v>945</v>
      </c>
      <c r="B75" s="362">
        <v>58</v>
      </c>
      <c r="C75" s="362"/>
      <c r="D75" s="362">
        <v>2</v>
      </c>
      <c r="E75" s="604" t="s">
        <v>2130</v>
      </c>
      <c r="F75" s="124" t="s">
        <v>2394</v>
      </c>
      <c r="G75" s="125">
        <v>2016</v>
      </c>
      <c r="H75" s="79">
        <v>26888649</v>
      </c>
      <c r="I75" s="79">
        <v>1</v>
      </c>
      <c r="J75" s="126" t="s">
        <v>1803</v>
      </c>
      <c r="K75" s="127"/>
      <c r="L75" s="79">
        <v>0</v>
      </c>
      <c r="M75" s="79"/>
      <c r="N75" s="153">
        <v>0</v>
      </c>
      <c r="O75" s="128">
        <v>2</v>
      </c>
      <c r="P75" s="79" t="s">
        <v>23</v>
      </c>
      <c r="Q75" s="79"/>
      <c r="R75" s="79" t="s">
        <v>1639</v>
      </c>
      <c r="S75" s="79"/>
      <c r="T75" s="79" t="s">
        <v>1319</v>
      </c>
      <c r="U75" s="79"/>
      <c r="V75" s="79"/>
      <c r="W75" s="79" t="s">
        <v>1669</v>
      </c>
      <c r="X75" s="79"/>
      <c r="Y75" s="79"/>
      <c r="Z75" s="79"/>
      <c r="AA75" s="79"/>
      <c r="AB75" s="79" t="s">
        <v>1640</v>
      </c>
      <c r="AC75" s="506"/>
      <c r="AD75" s="573">
        <v>1</v>
      </c>
      <c r="AE75" s="573">
        <v>0</v>
      </c>
      <c r="AF75" s="165">
        <v>0</v>
      </c>
      <c r="AG75" s="166" t="s">
        <v>6158</v>
      </c>
      <c r="AH75" s="120">
        <v>5</v>
      </c>
      <c r="AI75" s="120"/>
      <c r="AJ75" s="206"/>
      <c r="AK75" s="372"/>
      <c r="AL75" s="207"/>
      <c r="AM75" s="120"/>
      <c r="AN75" s="120"/>
      <c r="AO75" s="120"/>
      <c r="AP75" s="120"/>
      <c r="AQ75" s="120"/>
      <c r="AR75" s="120"/>
      <c r="AS75" s="120"/>
      <c r="AT75" s="120"/>
      <c r="AU75" s="120"/>
      <c r="AV75" s="120"/>
      <c r="AW75" s="120"/>
      <c r="AX75" s="120"/>
      <c r="AY75" s="120"/>
      <c r="AZ75" s="120"/>
      <c r="BA75" s="120"/>
      <c r="BB75" s="594"/>
      <c r="BC75" s="594"/>
      <c r="BD75" s="373" t="s">
        <v>5207</v>
      </c>
      <c r="BE75" s="373"/>
      <c r="BF75" s="373"/>
      <c r="BG75" s="373"/>
      <c r="BH75" s="373"/>
      <c r="BI75" s="373"/>
      <c r="BJ75" s="373" t="s">
        <v>6174</v>
      </c>
      <c r="BK75" s="373"/>
      <c r="BL75" s="373"/>
      <c r="BM75" s="373"/>
      <c r="BN75" s="373"/>
      <c r="BO75" s="373"/>
      <c r="BP75" s="373"/>
      <c r="BQ75" s="595"/>
      <c r="BR75" s="157"/>
      <c r="BS75" s="660"/>
      <c r="BT75" s="134"/>
      <c r="BU75" s="134"/>
      <c r="BV75" s="134"/>
      <c r="BW75" s="134"/>
      <c r="BX75" s="134"/>
      <c r="BY75" s="134"/>
      <c r="BZ75" s="259" t="s">
        <v>24</v>
      </c>
      <c r="CA75" s="454"/>
      <c r="CB75" s="138"/>
      <c r="CC75" s="134"/>
      <c r="CD75" s="134"/>
      <c r="CE75" s="134"/>
      <c r="CF75" s="138"/>
      <c r="CG75" s="134"/>
      <c r="CH75" s="134"/>
      <c r="CI75" s="134"/>
      <c r="CJ75" s="288"/>
      <c r="CK75" s="289"/>
      <c r="CL75" s="138"/>
      <c r="CM75" s="134"/>
      <c r="CN75" s="134"/>
      <c r="CO75" s="134"/>
      <c r="CP75" s="138"/>
      <c r="CQ75" s="134"/>
      <c r="CR75" s="134"/>
      <c r="CS75" s="134"/>
      <c r="CT75" s="288"/>
      <c r="CU75" s="289"/>
      <c r="CV75" s="276"/>
      <c r="CW75" s="308"/>
      <c r="CX75" s="138"/>
      <c r="CY75" s="134"/>
      <c r="CZ75" s="134"/>
      <c r="DA75" s="134"/>
      <c r="DB75" s="134"/>
      <c r="DC75" s="134"/>
      <c r="DD75" s="134"/>
      <c r="DE75" s="134"/>
      <c r="DF75" s="300"/>
      <c r="DG75" s="301"/>
      <c r="DH75" s="134"/>
      <c r="DI75" s="134"/>
      <c r="DJ75" s="134"/>
      <c r="DK75" s="134"/>
      <c r="DL75" s="134"/>
      <c r="DM75" s="134"/>
      <c r="DN75" s="134"/>
      <c r="DO75" s="134"/>
      <c r="DP75" s="300"/>
      <c r="DQ75" s="301"/>
      <c r="DR75" s="276"/>
      <c r="DS75" s="277"/>
      <c r="DT75" s="134"/>
      <c r="DU75" s="134"/>
      <c r="DV75" s="134"/>
      <c r="DW75" s="134"/>
      <c r="DX75" s="138"/>
      <c r="DY75" s="134"/>
      <c r="DZ75" s="134"/>
      <c r="EA75" s="134"/>
      <c r="EB75" s="301"/>
      <c r="EC75" s="301"/>
      <c r="ED75" s="138"/>
      <c r="EE75" s="134"/>
      <c r="EF75" s="134"/>
      <c r="EG75" s="134"/>
      <c r="EH75" s="138"/>
      <c r="EI75" s="134"/>
      <c r="EJ75" s="134"/>
      <c r="EK75" s="134"/>
      <c r="EL75" s="301"/>
      <c r="EM75" s="301"/>
      <c r="EN75" s="277"/>
      <c r="EO75" s="134"/>
      <c r="EP75" s="134"/>
      <c r="EQ75" s="134"/>
      <c r="ER75" s="134"/>
      <c r="ES75" s="134"/>
      <c r="ET75" s="134"/>
      <c r="EU75" s="134"/>
      <c r="EV75" s="134"/>
      <c r="EW75" s="301"/>
      <c r="EX75" s="301"/>
      <c r="EY75" s="134"/>
      <c r="EZ75" s="134"/>
      <c r="FA75" s="134"/>
      <c r="FB75" s="134"/>
      <c r="FC75" s="134"/>
      <c r="FD75" s="134"/>
      <c r="FE75" s="134"/>
      <c r="FF75" s="134"/>
      <c r="FG75" s="135"/>
      <c r="FH75" s="135"/>
      <c r="FI75" s="134"/>
      <c r="FJ75" s="134"/>
      <c r="FK75" s="134"/>
      <c r="FL75" s="134"/>
      <c r="FM75" s="134"/>
      <c r="FN75" s="134"/>
      <c r="FO75" s="134"/>
      <c r="FP75" s="134"/>
      <c r="FQ75" s="135"/>
      <c r="FR75" s="135"/>
      <c r="FS75" s="134"/>
      <c r="FT75" s="134"/>
      <c r="FU75" s="134"/>
      <c r="FV75" s="134"/>
      <c r="FW75" s="134"/>
      <c r="FX75" s="134"/>
      <c r="FY75" s="134"/>
      <c r="FZ75" s="134"/>
      <c r="GA75" s="135"/>
      <c r="GB75" s="135"/>
      <c r="GC75" s="134"/>
      <c r="GD75" s="134"/>
      <c r="GE75" s="134"/>
      <c r="GF75" s="134"/>
      <c r="GG75" s="134"/>
      <c r="GH75" s="134"/>
      <c r="GI75" s="134"/>
      <c r="GJ75" s="134"/>
      <c r="GK75" s="135"/>
      <c r="GL75" s="135"/>
      <c r="GM75" s="134"/>
      <c r="GN75" s="134"/>
      <c r="GO75" s="134"/>
      <c r="GP75" s="134"/>
      <c r="GQ75" s="134"/>
      <c r="GR75" s="134"/>
      <c r="GS75" s="134"/>
      <c r="GT75" s="134"/>
      <c r="GU75" s="135"/>
      <c r="GV75" s="135"/>
      <c r="GW75" s="134"/>
      <c r="GX75" s="134"/>
      <c r="GY75" s="134"/>
      <c r="GZ75" s="134"/>
      <c r="HA75" s="134"/>
      <c r="HB75" s="134"/>
      <c r="HC75" s="134"/>
      <c r="HD75" s="134"/>
      <c r="HE75" s="135"/>
      <c r="HF75" s="135"/>
      <c r="HG75" s="134"/>
      <c r="HH75" s="134"/>
      <c r="HI75" s="134"/>
      <c r="HJ75" s="134"/>
      <c r="HK75" s="134"/>
      <c r="HL75" s="134"/>
      <c r="HM75" s="134"/>
      <c r="HN75" s="134"/>
      <c r="HO75" s="135"/>
      <c r="HP75" s="135"/>
      <c r="HQ75" s="134"/>
      <c r="HR75" s="134"/>
      <c r="HS75" s="134"/>
      <c r="HT75" s="134"/>
      <c r="HU75" s="134"/>
      <c r="HV75" s="134"/>
      <c r="HW75" s="134"/>
      <c r="HX75" s="134"/>
      <c r="HY75" s="135"/>
      <c r="HZ75" s="135"/>
      <c r="IA75" s="134"/>
      <c r="IB75" s="134"/>
      <c r="IC75" s="134"/>
      <c r="ID75" s="134"/>
      <c r="IE75" s="134"/>
      <c r="IF75" s="134"/>
      <c r="IG75" s="134"/>
      <c r="IH75" s="134"/>
      <c r="II75" s="135"/>
      <c r="IJ75" s="135"/>
      <c r="IK75" s="134"/>
      <c r="IL75" s="134"/>
      <c r="IM75" s="134"/>
      <c r="IN75" s="134"/>
      <c r="IO75" s="134"/>
      <c r="IP75" s="134"/>
      <c r="IQ75" s="134"/>
      <c r="IR75" s="134"/>
      <c r="IS75" s="135"/>
      <c r="IT75" s="135"/>
      <c r="IU75" s="134"/>
      <c r="IV75" s="134"/>
      <c r="IW75" s="134"/>
      <c r="IX75" s="134"/>
      <c r="IY75" s="134"/>
      <c r="IZ75" s="134"/>
      <c r="JA75" s="134"/>
      <c r="JB75" s="134"/>
      <c r="JC75" s="135"/>
      <c r="JD75" s="135"/>
    </row>
    <row r="76" spans="1:264" s="119" customFormat="1" ht="15" customHeight="1">
      <c r="A76" s="79" t="s">
        <v>78</v>
      </c>
      <c r="B76" s="362">
        <v>60</v>
      </c>
      <c r="C76" s="362"/>
      <c r="D76" s="362">
        <v>4</v>
      </c>
      <c r="E76" s="604" t="s">
        <v>1921</v>
      </c>
      <c r="F76" s="124" t="s">
        <v>2138</v>
      </c>
      <c r="G76" s="125">
        <v>2015</v>
      </c>
      <c r="H76" s="79">
        <v>26372003</v>
      </c>
      <c r="I76" s="79">
        <v>1</v>
      </c>
      <c r="J76" s="126"/>
      <c r="K76" s="127"/>
      <c r="L76" s="79">
        <v>1</v>
      </c>
      <c r="M76" s="79"/>
      <c r="N76" s="79">
        <v>1</v>
      </c>
      <c r="O76" s="128">
        <v>1</v>
      </c>
      <c r="P76" s="79"/>
      <c r="Q76" s="79" t="s">
        <v>1146</v>
      </c>
      <c r="R76" s="79" t="s">
        <v>20</v>
      </c>
      <c r="S76" s="79">
        <v>1</v>
      </c>
      <c r="T76" s="79"/>
      <c r="U76" s="79"/>
      <c r="V76" s="79"/>
      <c r="W76" s="79" t="s">
        <v>19</v>
      </c>
      <c r="X76" s="79" t="s">
        <v>12</v>
      </c>
      <c r="Y76" s="79" t="s">
        <v>12</v>
      </c>
      <c r="Z76" s="79"/>
      <c r="AA76" s="79"/>
      <c r="AB76" s="79"/>
      <c r="AC76" s="506"/>
      <c r="AD76" s="573">
        <v>1</v>
      </c>
      <c r="AE76" s="573">
        <v>1</v>
      </c>
      <c r="AF76" s="165">
        <v>0</v>
      </c>
      <c r="AG76" s="166" t="s">
        <v>6648</v>
      </c>
      <c r="AH76" s="120">
        <v>2</v>
      </c>
      <c r="AI76" s="120"/>
      <c r="AJ76" s="206"/>
      <c r="AK76" s="372"/>
      <c r="AL76" s="207"/>
      <c r="AM76" s="120"/>
      <c r="AN76" s="120"/>
      <c r="AO76" s="120"/>
      <c r="AP76" s="120"/>
      <c r="AQ76" s="120"/>
      <c r="AR76" s="120"/>
      <c r="AS76" s="120"/>
      <c r="AT76" s="120"/>
      <c r="AU76" s="120"/>
      <c r="AV76" s="120"/>
      <c r="AW76" s="120"/>
      <c r="AX76" s="120"/>
      <c r="AY76" s="120"/>
      <c r="AZ76" s="120"/>
      <c r="BA76" s="120"/>
      <c r="BB76" s="377"/>
      <c r="BC76" s="377"/>
      <c r="BD76" s="373"/>
      <c r="BE76" s="373"/>
      <c r="BF76" s="373"/>
      <c r="BG76" s="373" t="s">
        <v>6650</v>
      </c>
      <c r="BH76" s="373"/>
      <c r="BI76" s="373" t="s">
        <v>6650</v>
      </c>
      <c r="BJ76" s="373" t="s">
        <v>6174</v>
      </c>
      <c r="BK76" s="373"/>
      <c r="BL76" s="373"/>
      <c r="BM76" s="373"/>
      <c r="BN76" s="373"/>
      <c r="BO76" s="373"/>
      <c r="BP76" s="373"/>
      <c r="BQ76" s="599" t="s">
        <v>6649</v>
      </c>
      <c r="BR76" s="374"/>
      <c r="BS76" s="660"/>
      <c r="BT76" s="134"/>
      <c r="BU76" s="134"/>
      <c r="BV76" s="134"/>
      <c r="BW76" s="134"/>
      <c r="BX76" s="134"/>
      <c r="BY76" s="134"/>
      <c r="BZ76" s="259"/>
      <c r="CA76" s="454"/>
      <c r="CB76" s="138"/>
      <c r="CC76" s="134"/>
      <c r="CD76" s="134"/>
      <c r="CE76" s="134"/>
      <c r="CF76" s="138"/>
      <c r="CG76" s="134"/>
      <c r="CH76" s="134"/>
      <c r="CI76" s="134"/>
      <c r="CJ76" s="288"/>
      <c r="CK76" s="289"/>
      <c r="CL76" s="138"/>
      <c r="CM76" s="190"/>
      <c r="CN76" s="134"/>
      <c r="CO76" s="190"/>
      <c r="CP76" s="138"/>
      <c r="CQ76" s="134"/>
      <c r="CR76" s="134"/>
      <c r="CS76" s="134"/>
      <c r="CT76" s="288"/>
      <c r="CU76" s="289"/>
      <c r="CV76" s="276"/>
      <c r="CW76" s="308"/>
      <c r="CX76" s="138"/>
      <c r="CY76" s="190"/>
      <c r="CZ76" s="134"/>
      <c r="DA76" s="190"/>
      <c r="DB76" s="134"/>
      <c r="DC76" s="134"/>
      <c r="DD76" s="134"/>
      <c r="DE76" s="134"/>
      <c r="DF76" s="300"/>
      <c r="DG76" s="301"/>
      <c r="DH76" s="134"/>
      <c r="DI76" s="190"/>
      <c r="DJ76" s="134"/>
      <c r="DK76" s="190"/>
      <c r="DL76" s="134"/>
      <c r="DM76" s="134"/>
      <c r="DN76" s="134"/>
      <c r="DO76" s="134"/>
      <c r="DP76" s="300"/>
      <c r="DQ76" s="301"/>
      <c r="DR76" s="276"/>
      <c r="DS76" s="277"/>
      <c r="DT76" s="134"/>
      <c r="DU76" s="190"/>
      <c r="DV76" s="134"/>
      <c r="DW76" s="190"/>
      <c r="DX76" s="138"/>
      <c r="DY76" s="134"/>
      <c r="DZ76" s="134"/>
      <c r="EA76" s="134"/>
      <c r="EB76" s="301"/>
      <c r="EC76" s="301"/>
      <c r="ED76" s="138"/>
      <c r="EE76" s="134"/>
      <c r="EF76" s="134"/>
      <c r="EG76" s="134"/>
      <c r="EH76" s="138"/>
      <c r="EI76" s="134"/>
      <c r="EJ76" s="134"/>
      <c r="EK76" s="134"/>
      <c r="EL76" s="301"/>
      <c r="EM76" s="301"/>
      <c r="EN76" s="277"/>
      <c r="EO76" s="134"/>
      <c r="EP76" s="134"/>
      <c r="EQ76" s="134"/>
      <c r="ER76" s="134"/>
      <c r="ES76" s="134"/>
      <c r="ET76" s="134"/>
      <c r="EU76" s="134"/>
      <c r="EV76" s="134"/>
      <c r="EW76" s="301"/>
      <c r="EX76" s="301"/>
      <c r="EY76" s="134"/>
      <c r="EZ76" s="134"/>
      <c r="FA76" s="134"/>
      <c r="FB76" s="134"/>
      <c r="FC76" s="134"/>
      <c r="FD76" s="134"/>
      <c r="FE76" s="134"/>
      <c r="FF76" s="134"/>
      <c r="FG76" s="135"/>
      <c r="FH76" s="135"/>
      <c r="FI76" s="134"/>
      <c r="FJ76" s="134"/>
      <c r="FK76" s="134"/>
      <c r="FL76" s="134"/>
      <c r="FM76" s="134"/>
      <c r="FN76" s="134"/>
      <c r="FO76" s="134"/>
      <c r="FP76" s="134"/>
      <c r="FQ76" s="135"/>
      <c r="FR76" s="135"/>
      <c r="FS76" s="134"/>
      <c r="FT76" s="134"/>
      <c r="FU76" s="134"/>
      <c r="FV76" s="134"/>
      <c r="FW76" s="134"/>
      <c r="FX76" s="134"/>
      <c r="FY76" s="134"/>
      <c r="FZ76" s="134"/>
      <c r="GA76" s="135"/>
      <c r="GB76" s="135"/>
      <c r="GC76" s="134"/>
      <c r="GD76" s="134"/>
      <c r="GE76" s="134"/>
      <c r="GF76" s="134"/>
      <c r="GG76" s="134"/>
      <c r="GH76" s="134"/>
      <c r="GI76" s="134"/>
      <c r="GJ76" s="134"/>
      <c r="GK76" s="135"/>
      <c r="GL76" s="135"/>
      <c r="GM76" s="134"/>
      <c r="GN76" s="134"/>
      <c r="GO76" s="134"/>
      <c r="GP76" s="134"/>
      <c r="GQ76" s="134"/>
      <c r="GR76" s="134"/>
      <c r="GS76" s="134"/>
      <c r="GT76" s="134"/>
      <c r="GU76" s="135"/>
      <c r="GV76" s="135"/>
      <c r="GW76" s="134"/>
      <c r="GX76" s="134"/>
      <c r="GY76" s="134"/>
      <c r="GZ76" s="134"/>
      <c r="HA76" s="134"/>
      <c r="HB76" s="134"/>
      <c r="HC76" s="134"/>
      <c r="HD76" s="134"/>
      <c r="HE76" s="135"/>
      <c r="HF76" s="135"/>
      <c r="HG76" s="134"/>
      <c r="HH76" s="134"/>
      <c r="HI76" s="134"/>
      <c r="HJ76" s="134"/>
      <c r="HK76" s="134"/>
      <c r="HL76" s="134"/>
      <c r="HM76" s="134"/>
      <c r="HN76" s="134"/>
      <c r="HO76" s="135"/>
      <c r="HP76" s="135"/>
      <c r="HQ76" s="134"/>
      <c r="HR76" s="134"/>
      <c r="HS76" s="134"/>
      <c r="HT76" s="134"/>
      <c r="HU76" s="134"/>
      <c r="HV76" s="134"/>
      <c r="HW76" s="134"/>
      <c r="HX76" s="134"/>
      <c r="HY76" s="135"/>
      <c r="HZ76" s="135"/>
      <c r="IA76" s="134"/>
      <c r="IB76" s="134"/>
      <c r="IC76" s="134"/>
      <c r="ID76" s="134"/>
      <c r="IE76" s="134"/>
      <c r="IF76" s="134"/>
      <c r="IG76" s="134"/>
      <c r="IH76" s="134"/>
      <c r="II76" s="135"/>
      <c r="IJ76" s="135"/>
      <c r="IK76" s="134"/>
      <c r="IL76" s="134"/>
      <c r="IM76" s="134"/>
      <c r="IN76" s="134"/>
      <c r="IO76" s="134"/>
      <c r="IP76" s="134"/>
      <c r="IQ76" s="134"/>
      <c r="IR76" s="134"/>
      <c r="IS76" s="135"/>
      <c r="IT76" s="135"/>
      <c r="IU76" s="134"/>
      <c r="IV76" s="134"/>
      <c r="IW76" s="134"/>
      <c r="IX76" s="134"/>
      <c r="IY76" s="134"/>
      <c r="IZ76" s="134"/>
      <c r="JA76" s="134"/>
      <c r="JB76" s="134"/>
      <c r="JC76" s="135"/>
      <c r="JD76" s="135"/>
    </row>
    <row r="77" spans="1:264" s="119" customFormat="1" ht="15" customHeight="1">
      <c r="A77" s="79" t="s">
        <v>1115</v>
      </c>
      <c r="B77" s="362">
        <v>64</v>
      </c>
      <c r="C77" s="362"/>
      <c r="D77" s="362">
        <v>8</v>
      </c>
      <c r="E77" s="604" t="s">
        <v>2049</v>
      </c>
      <c r="F77" s="124" t="s">
        <v>2292</v>
      </c>
      <c r="G77" s="125">
        <v>2012</v>
      </c>
      <c r="H77" s="79">
        <v>22522023</v>
      </c>
      <c r="I77" s="79">
        <v>1</v>
      </c>
      <c r="J77" s="126" t="s">
        <v>1835</v>
      </c>
      <c r="K77" s="127"/>
      <c r="L77" s="79">
        <v>0</v>
      </c>
      <c r="M77" s="79"/>
      <c r="N77" s="79">
        <v>0</v>
      </c>
      <c r="O77" s="128">
        <v>2</v>
      </c>
      <c r="P77" s="79" t="s">
        <v>24</v>
      </c>
      <c r="Q77" s="79" t="s">
        <v>1171</v>
      </c>
      <c r="R77" s="79" t="s">
        <v>1130</v>
      </c>
      <c r="S77" s="79"/>
      <c r="T77" s="79" t="s">
        <v>1495</v>
      </c>
      <c r="U77" s="79" t="s">
        <v>1539</v>
      </c>
      <c r="V77" s="79" t="s">
        <v>23</v>
      </c>
      <c r="W77" s="79" t="s">
        <v>1799</v>
      </c>
      <c r="X77" s="79" t="s">
        <v>1131</v>
      </c>
      <c r="Y77" s="79" t="s">
        <v>1132</v>
      </c>
      <c r="Z77" s="79"/>
      <c r="AA77" s="79"/>
      <c r="AB77" s="79" t="s">
        <v>1798</v>
      </c>
      <c r="AC77" s="506" t="s">
        <v>6169</v>
      </c>
      <c r="AD77" s="573">
        <v>1</v>
      </c>
      <c r="AE77" s="573">
        <v>1</v>
      </c>
      <c r="AF77" s="230" t="s">
        <v>3003</v>
      </c>
      <c r="AG77" s="231" t="s">
        <v>6660</v>
      </c>
      <c r="AH77" s="135">
        <v>4</v>
      </c>
      <c r="AI77" s="135"/>
      <c r="AJ77" s="235" t="s">
        <v>6658</v>
      </c>
      <c r="AK77" s="236">
        <v>0</v>
      </c>
      <c r="AL77" s="237">
        <v>1</v>
      </c>
      <c r="AM77" s="135"/>
      <c r="AN77" s="135">
        <v>8</v>
      </c>
      <c r="AO77" s="135">
        <v>8</v>
      </c>
      <c r="AP77" s="135" t="s">
        <v>6661</v>
      </c>
      <c r="AQ77" s="135" t="s">
        <v>6661</v>
      </c>
      <c r="AR77" s="135"/>
      <c r="AS77" s="135"/>
      <c r="AT77" s="135"/>
      <c r="AU77" s="135"/>
      <c r="AV77" s="135" t="s">
        <v>6651</v>
      </c>
      <c r="AW77" s="135">
        <v>1</v>
      </c>
      <c r="AX77" s="135">
        <v>1</v>
      </c>
      <c r="AY77" s="135" t="s">
        <v>6652</v>
      </c>
      <c r="AZ77" s="135" t="s">
        <v>1130</v>
      </c>
      <c r="BA77" s="135" t="s">
        <v>6653</v>
      </c>
      <c r="BB77" s="691" t="s">
        <v>1917</v>
      </c>
      <c r="BC77" s="594"/>
      <c r="BD77" s="156"/>
      <c r="BE77" s="156"/>
      <c r="BF77" s="156"/>
      <c r="BG77" s="156"/>
      <c r="BH77" s="156"/>
      <c r="BI77" s="156"/>
      <c r="BJ77" s="156"/>
      <c r="BK77" s="156"/>
      <c r="BL77" s="156"/>
      <c r="BM77" s="156"/>
      <c r="BN77" s="156"/>
      <c r="BO77" s="156"/>
      <c r="BP77" s="156"/>
      <c r="BQ77" s="595" t="s">
        <v>6656</v>
      </c>
      <c r="BR77" s="157" t="s">
        <v>6657</v>
      </c>
      <c r="BS77" s="660">
        <v>1</v>
      </c>
      <c r="BT77" s="134" t="s">
        <v>1876</v>
      </c>
      <c r="BU77" s="134" t="s">
        <v>3369</v>
      </c>
      <c r="BV77" s="134" t="s">
        <v>6659</v>
      </c>
      <c r="BW77" s="134" t="s">
        <v>6655</v>
      </c>
      <c r="BX77" s="134" t="s">
        <v>6654</v>
      </c>
      <c r="BY77" s="134" t="s">
        <v>2659</v>
      </c>
      <c r="BZ77" s="259"/>
      <c r="CA77" s="454"/>
      <c r="CB77" s="138"/>
      <c r="CC77" s="190"/>
      <c r="CD77" s="134"/>
      <c r="CE77" s="190"/>
      <c r="CF77" s="138"/>
      <c r="CG77" s="134"/>
      <c r="CH77" s="134"/>
      <c r="CI77" s="134"/>
      <c r="CJ77" s="288"/>
      <c r="CK77" s="289"/>
      <c r="CL77" s="138"/>
      <c r="CM77" s="134"/>
      <c r="CN77" s="134"/>
      <c r="CO77" s="134"/>
      <c r="CP77" s="138"/>
      <c r="CQ77" s="134"/>
      <c r="CR77" s="134"/>
      <c r="CS77" s="134"/>
      <c r="CT77" s="288"/>
      <c r="CU77" s="289"/>
      <c r="CV77" s="276"/>
      <c r="CW77" s="308"/>
      <c r="CX77" s="138"/>
      <c r="CY77" s="134"/>
      <c r="CZ77" s="134"/>
      <c r="DA77" s="134"/>
      <c r="DB77" s="134"/>
      <c r="DC77" s="134"/>
      <c r="DD77" s="134"/>
      <c r="DE77" s="134"/>
      <c r="DF77" s="300"/>
      <c r="DG77" s="301"/>
      <c r="DH77" s="134"/>
      <c r="DI77" s="134"/>
      <c r="DJ77" s="134"/>
      <c r="DK77" s="134"/>
      <c r="DL77" s="134"/>
      <c r="DM77" s="134"/>
      <c r="DN77" s="134"/>
      <c r="DO77" s="134"/>
      <c r="DP77" s="300"/>
      <c r="DQ77" s="301"/>
      <c r="DR77" s="276"/>
      <c r="DS77" s="277"/>
      <c r="DT77" s="134"/>
      <c r="DU77" s="134"/>
      <c r="DV77" s="134"/>
      <c r="DW77" s="134"/>
      <c r="DX77" s="138"/>
      <c r="DY77" s="134"/>
      <c r="DZ77" s="134"/>
      <c r="EA77" s="134"/>
      <c r="EB77" s="301"/>
      <c r="EC77" s="301"/>
      <c r="ED77" s="138"/>
      <c r="EE77" s="134"/>
      <c r="EF77" s="134"/>
      <c r="EG77" s="134"/>
      <c r="EH77" s="138"/>
      <c r="EI77" s="134"/>
      <c r="EJ77" s="134"/>
      <c r="EK77" s="134"/>
      <c r="EL77" s="301"/>
      <c r="EM77" s="301"/>
      <c r="EN77" s="277"/>
      <c r="EO77" s="134"/>
      <c r="EP77" s="134"/>
      <c r="EQ77" s="134"/>
      <c r="ER77" s="134"/>
      <c r="ES77" s="134"/>
      <c r="ET77" s="134"/>
      <c r="EU77" s="134"/>
      <c r="EV77" s="134"/>
      <c r="EW77" s="301"/>
      <c r="EX77" s="301"/>
      <c r="EY77" s="134"/>
      <c r="EZ77" s="134"/>
      <c r="FA77" s="134"/>
      <c r="FB77" s="134"/>
      <c r="FC77" s="134"/>
      <c r="FD77" s="134"/>
      <c r="FE77" s="134"/>
      <c r="FF77" s="134"/>
      <c r="FG77" s="135"/>
      <c r="FH77" s="135"/>
      <c r="FI77" s="134"/>
      <c r="FJ77" s="134"/>
      <c r="FK77" s="134"/>
      <c r="FL77" s="134"/>
      <c r="FM77" s="134"/>
      <c r="FN77" s="134"/>
      <c r="FO77" s="134"/>
      <c r="FP77" s="134"/>
      <c r="FQ77" s="135"/>
      <c r="FR77" s="135"/>
      <c r="FS77" s="134"/>
      <c r="FT77" s="134"/>
      <c r="FU77" s="134"/>
      <c r="FV77" s="134"/>
      <c r="FW77" s="134"/>
      <c r="FX77" s="134"/>
      <c r="FY77" s="134"/>
      <c r="FZ77" s="134"/>
      <c r="GA77" s="135"/>
      <c r="GB77" s="135"/>
      <c r="GC77" s="134"/>
      <c r="GD77" s="134"/>
      <c r="GE77" s="134"/>
      <c r="GF77" s="134"/>
      <c r="GG77" s="134"/>
      <c r="GH77" s="134"/>
      <c r="GI77" s="134"/>
      <c r="GJ77" s="134"/>
      <c r="GK77" s="135"/>
      <c r="GL77" s="135"/>
      <c r="GM77" s="134"/>
      <c r="GN77" s="134"/>
      <c r="GO77" s="134"/>
      <c r="GP77" s="134"/>
      <c r="GQ77" s="134"/>
      <c r="GR77" s="134"/>
      <c r="GS77" s="134"/>
      <c r="GT77" s="134"/>
      <c r="GU77" s="135"/>
      <c r="GV77" s="135"/>
      <c r="GW77" s="134"/>
      <c r="GX77" s="134"/>
      <c r="GY77" s="134"/>
      <c r="GZ77" s="134"/>
      <c r="HA77" s="134"/>
      <c r="HB77" s="134"/>
      <c r="HC77" s="134"/>
      <c r="HD77" s="134"/>
      <c r="HE77" s="135"/>
      <c r="HF77" s="135"/>
      <c r="HG77" s="134"/>
      <c r="HH77" s="134"/>
      <c r="HI77" s="134"/>
      <c r="HJ77" s="134"/>
      <c r="HK77" s="134"/>
      <c r="HL77" s="134"/>
      <c r="HM77" s="134"/>
      <c r="HN77" s="134"/>
      <c r="HO77" s="135"/>
      <c r="HP77" s="135"/>
      <c r="HQ77" s="134"/>
      <c r="HR77" s="134"/>
      <c r="HS77" s="134"/>
      <c r="HT77" s="134"/>
      <c r="HU77" s="134"/>
      <c r="HV77" s="134"/>
      <c r="HW77" s="134"/>
      <c r="HX77" s="134"/>
      <c r="HY77" s="135"/>
      <c r="HZ77" s="135"/>
      <c r="IA77" s="134"/>
      <c r="IB77" s="134"/>
      <c r="IC77" s="134"/>
      <c r="ID77" s="134"/>
      <c r="IE77" s="134"/>
      <c r="IF77" s="134"/>
      <c r="IG77" s="134"/>
      <c r="IH77" s="134"/>
      <c r="II77" s="135"/>
      <c r="IJ77" s="135"/>
      <c r="IK77" s="134"/>
      <c r="IL77" s="134"/>
      <c r="IM77" s="134"/>
      <c r="IN77" s="134"/>
      <c r="IO77" s="134"/>
      <c r="IP77" s="134"/>
      <c r="IQ77" s="134"/>
      <c r="IR77" s="134"/>
      <c r="IS77" s="135"/>
      <c r="IT77" s="135"/>
      <c r="IU77" s="134"/>
      <c r="IV77" s="134"/>
      <c r="IW77" s="134"/>
      <c r="IX77" s="134"/>
      <c r="IY77" s="134"/>
      <c r="IZ77" s="134"/>
      <c r="JA77" s="134"/>
      <c r="JB77" s="134"/>
      <c r="JC77" s="135"/>
      <c r="JD77" s="135"/>
    </row>
    <row r="78" spans="1:264" s="119" customFormat="1" ht="15" customHeight="1">
      <c r="A78" s="79" t="s">
        <v>1104</v>
      </c>
      <c r="B78" s="362">
        <v>70</v>
      </c>
      <c r="C78" s="362"/>
      <c r="D78" s="362">
        <v>13</v>
      </c>
      <c r="E78" s="604" t="s">
        <v>2054</v>
      </c>
      <c r="F78" s="124" t="s">
        <v>2297</v>
      </c>
      <c r="G78" s="125">
        <v>2006</v>
      </c>
      <c r="H78" s="79">
        <v>19412447</v>
      </c>
      <c r="I78" s="79">
        <v>1</v>
      </c>
      <c r="J78" s="126">
        <v>1</v>
      </c>
      <c r="K78" s="127"/>
      <c r="L78" s="79">
        <v>1</v>
      </c>
      <c r="M78" s="79"/>
      <c r="N78" s="79">
        <v>1</v>
      </c>
      <c r="O78" s="128">
        <v>2</v>
      </c>
      <c r="P78" s="79" t="s">
        <v>1206</v>
      </c>
      <c r="Q78" s="79" t="s">
        <v>1207</v>
      </c>
      <c r="R78" s="79" t="s">
        <v>1127</v>
      </c>
      <c r="S78" s="79"/>
      <c r="T78" s="79" t="s">
        <v>1506</v>
      </c>
      <c r="U78" s="79" t="s">
        <v>23</v>
      </c>
      <c r="V78" s="79" t="s">
        <v>23</v>
      </c>
      <c r="W78" s="79" t="s">
        <v>1205</v>
      </c>
      <c r="X78" s="79" t="s">
        <v>24</v>
      </c>
      <c r="Y78" s="79" t="s">
        <v>1209</v>
      </c>
      <c r="Z78" s="79"/>
      <c r="AA78" s="79" t="s">
        <v>1208</v>
      </c>
      <c r="AB78" s="79"/>
      <c r="AC78" s="506" t="s">
        <v>6177</v>
      </c>
      <c r="AD78" s="573">
        <v>1</v>
      </c>
      <c r="AE78" s="573">
        <v>1</v>
      </c>
      <c r="AF78" s="230" t="s">
        <v>3003</v>
      </c>
      <c r="AG78" s="231" t="s">
        <v>6663</v>
      </c>
      <c r="AH78" s="135">
        <v>4</v>
      </c>
      <c r="AI78" s="135"/>
      <c r="AJ78" s="235" t="s">
        <v>6662</v>
      </c>
      <c r="AK78" s="236"/>
      <c r="AL78" s="237"/>
      <c r="AM78" s="135"/>
      <c r="AN78" s="135"/>
      <c r="AO78" s="135"/>
      <c r="AP78" s="135"/>
      <c r="AQ78" s="135"/>
      <c r="AR78" s="135"/>
      <c r="AS78" s="135"/>
      <c r="AT78" s="135"/>
      <c r="AU78" s="135"/>
      <c r="AV78" s="135"/>
      <c r="AW78" s="135"/>
      <c r="AX78" s="135"/>
      <c r="AY78" s="135"/>
      <c r="AZ78" s="135"/>
      <c r="BA78" s="135"/>
      <c r="BB78" s="691"/>
      <c r="BC78" s="594"/>
      <c r="BD78" s="156" t="s">
        <v>4727</v>
      </c>
      <c r="BE78" s="156" t="s">
        <v>5545</v>
      </c>
      <c r="BF78" s="156"/>
      <c r="BG78" s="156"/>
      <c r="BH78" s="156"/>
      <c r="BI78" s="156"/>
      <c r="BJ78" s="156" t="s">
        <v>5545</v>
      </c>
      <c r="BK78" s="156"/>
      <c r="BL78" s="156"/>
      <c r="BM78" s="156"/>
      <c r="BN78" s="156"/>
      <c r="BO78" s="156"/>
      <c r="BP78" s="156"/>
      <c r="BQ78" s="595" t="s">
        <v>6665</v>
      </c>
      <c r="BR78" s="157"/>
      <c r="BS78" s="660"/>
      <c r="BT78" s="134"/>
      <c r="BU78" s="134"/>
      <c r="BV78" s="134"/>
      <c r="BW78" s="134"/>
      <c r="BX78" s="134"/>
      <c r="BY78" s="134"/>
      <c r="BZ78" s="259"/>
      <c r="CA78" s="454"/>
      <c r="CB78" s="138"/>
      <c r="CC78" s="134"/>
      <c r="CD78" s="134"/>
      <c r="CE78" s="134"/>
      <c r="CF78" s="138"/>
      <c r="CG78" s="134"/>
      <c r="CH78" s="134"/>
      <c r="CI78" s="134"/>
      <c r="CJ78" s="288"/>
      <c r="CK78" s="289"/>
      <c r="CL78" s="138"/>
      <c r="CM78" s="134"/>
      <c r="CN78" s="134"/>
      <c r="CO78" s="134"/>
      <c r="CP78" s="138"/>
      <c r="CQ78" s="134"/>
      <c r="CR78" s="134"/>
      <c r="CS78" s="134"/>
      <c r="CT78" s="288"/>
      <c r="CU78" s="289"/>
      <c r="CV78" s="276"/>
      <c r="CW78" s="308"/>
      <c r="CX78" s="138"/>
      <c r="CY78" s="134"/>
      <c r="CZ78" s="134"/>
      <c r="DA78" s="134"/>
      <c r="DB78" s="134"/>
      <c r="DC78" s="134"/>
      <c r="DD78" s="134"/>
      <c r="DE78" s="134"/>
      <c r="DF78" s="300"/>
      <c r="DG78" s="301"/>
      <c r="DH78" s="134"/>
      <c r="DI78" s="134"/>
      <c r="DJ78" s="134"/>
      <c r="DK78" s="134"/>
      <c r="DL78" s="134"/>
      <c r="DM78" s="134"/>
      <c r="DN78" s="134"/>
      <c r="DO78" s="134"/>
      <c r="DP78" s="300"/>
      <c r="DQ78" s="301"/>
      <c r="DR78" s="276"/>
      <c r="DS78" s="277"/>
      <c r="DT78" s="134"/>
      <c r="DU78" s="134"/>
      <c r="DV78" s="134"/>
      <c r="DW78" s="134"/>
      <c r="DX78" s="138"/>
      <c r="DY78" s="134"/>
      <c r="DZ78" s="134"/>
      <c r="EA78" s="134"/>
      <c r="EB78" s="301"/>
      <c r="EC78" s="301"/>
      <c r="ED78" s="138"/>
      <c r="EE78" s="134"/>
      <c r="EF78" s="134"/>
      <c r="EG78" s="134"/>
      <c r="EH78" s="138"/>
      <c r="EI78" s="134"/>
      <c r="EJ78" s="134"/>
      <c r="EK78" s="134"/>
      <c r="EL78" s="301"/>
      <c r="EM78" s="301"/>
      <c r="EN78" s="277"/>
      <c r="EO78" s="134"/>
      <c r="EP78" s="134"/>
      <c r="EQ78" s="134"/>
      <c r="ER78" s="134"/>
      <c r="ES78" s="134"/>
      <c r="ET78" s="134"/>
      <c r="EU78" s="134"/>
      <c r="EV78" s="134"/>
      <c r="EW78" s="301"/>
      <c r="EX78" s="301"/>
      <c r="EY78" s="134"/>
      <c r="EZ78" s="134"/>
      <c r="FA78" s="134"/>
      <c r="FB78" s="134"/>
      <c r="FC78" s="134"/>
      <c r="FD78" s="134"/>
      <c r="FE78" s="134"/>
      <c r="FF78" s="134"/>
      <c r="FG78" s="135"/>
      <c r="FH78" s="135"/>
      <c r="FI78" s="134"/>
      <c r="FJ78" s="134"/>
      <c r="FK78" s="134"/>
      <c r="FL78" s="134"/>
      <c r="FM78" s="134"/>
      <c r="FN78" s="134"/>
      <c r="FO78" s="134"/>
      <c r="FP78" s="134"/>
      <c r="FQ78" s="135"/>
      <c r="FR78" s="135"/>
      <c r="FS78" s="134"/>
      <c r="FT78" s="134"/>
      <c r="FU78" s="134"/>
      <c r="FV78" s="134"/>
      <c r="FW78" s="134"/>
      <c r="FX78" s="134"/>
      <c r="FY78" s="134"/>
      <c r="FZ78" s="134"/>
      <c r="GA78" s="135"/>
      <c r="GB78" s="135"/>
      <c r="GC78" s="134"/>
      <c r="GD78" s="134"/>
      <c r="GE78" s="134"/>
      <c r="GF78" s="134"/>
      <c r="GG78" s="134"/>
      <c r="GH78" s="134"/>
      <c r="GI78" s="134"/>
      <c r="GJ78" s="134"/>
      <c r="GK78" s="135"/>
      <c r="GL78" s="135"/>
      <c r="GM78" s="134"/>
      <c r="GN78" s="134"/>
      <c r="GO78" s="134"/>
      <c r="GP78" s="134"/>
      <c r="GQ78" s="134"/>
      <c r="GR78" s="134"/>
      <c r="GS78" s="134"/>
      <c r="GT78" s="134"/>
      <c r="GU78" s="135"/>
      <c r="GV78" s="135"/>
      <c r="GW78" s="134"/>
      <c r="GX78" s="134"/>
      <c r="GY78" s="134"/>
      <c r="GZ78" s="134"/>
      <c r="HA78" s="134"/>
      <c r="HB78" s="134"/>
      <c r="HC78" s="134"/>
      <c r="HD78" s="134"/>
      <c r="HE78" s="135"/>
      <c r="HF78" s="135"/>
      <c r="HG78" s="134"/>
      <c r="HH78" s="134"/>
      <c r="HI78" s="134"/>
      <c r="HJ78" s="134"/>
      <c r="HK78" s="134"/>
      <c r="HL78" s="134"/>
      <c r="HM78" s="134"/>
      <c r="HN78" s="134"/>
      <c r="HO78" s="135"/>
      <c r="HP78" s="135"/>
      <c r="HQ78" s="134"/>
      <c r="HR78" s="134"/>
      <c r="HS78" s="134"/>
      <c r="HT78" s="134"/>
      <c r="HU78" s="134"/>
      <c r="HV78" s="134"/>
      <c r="HW78" s="134"/>
      <c r="HX78" s="134"/>
      <c r="HY78" s="135"/>
      <c r="HZ78" s="135"/>
      <c r="IA78" s="134"/>
      <c r="IB78" s="134"/>
      <c r="IC78" s="134"/>
      <c r="ID78" s="134"/>
      <c r="IE78" s="134"/>
      <c r="IF78" s="134"/>
      <c r="IG78" s="134"/>
      <c r="IH78" s="134"/>
      <c r="II78" s="135"/>
      <c r="IJ78" s="135"/>
      <c r="IK78" s="134"/>
      <c r="IL78" s="134"/>
      <c r="IM78" s="134"/>
      <c r="IN78" s="134"/>
      <c r="IO78" s="134"/>
      <c r="IP78" s="134"/>
      <c r="IQ78" s="134"/>
      <c r="IR78" s="134"/>
      <c r="IS78" s="135"/>
      <c r="IT78" s="135"/>
      <c r="IU78" s="134"/>
      <c r="IV78" s="134"/>
      <c r="IW78" s="134"/>
      <c r="IX78" s="134"/>
      <c r="IY78" s="134"/>
      <c r="IZ78" s="134"/>
      <c r="JA78" s="134"/>
      <c r="JB78" s="134"/>
      <c r="JC78" s="135"/>
      <c r="JD78" s="135"/>
    </row>
    <row r="79" spans="1:264" s="119" customFormat="1" ht="15" customHeight="1">
      <c r="A79" s="79" t="s">
        <v>1105</v>
      </c>
      <c r="B79" s="362">
        <v>71</v>
      </c>
      <c r="C79" s="362"/>
      <c r="D79" s="362">
        <v>14</v>
      </c>
      <c r="E79" s="604" t="s">
        <v>2054</v>
      </c>
      <c r="F79" s="124" t="s">
        <v>2298</v>
      </c>
      <c r="G79" s="125">
        <v>2005</v>
      </c>
      <c r="H79" s="79">
        <v>18568126</v>
      </c>
      <c r="I79" s="79">
        <v>1</v>
      </c>
      <c r="J79" s="126">
        <v>1</v>
      </c>
      <c r="K79" s="127"/>
      <c r="L79" s="79">
        <v>1</v>
      </c>
      <c r="M79" s="79"/>
      <c r="N79" s="79">
        <v>1</v>
      </c>
      <c r="O79" s="128">
        <v>2</v>
      </c>
      <c r="P79" s="79" t="s">
        <v>1206</v>
      </c>
      <c r="Q79" s="79" t="s">
        <v>1207</v>
      </c>
      <c r="R79" s="79" t="s">
        <v>1127</v>
      </c>
      <c r="S79" s="79"/>
      <c r="T79" s="79" t="s">
        <v>1805</v>
      </c>
      <c r="U79" s="79" t="s">
        <v>23</v>
      </c>
      <c r="V79" s="79" t="s">
        <v>23</v>
      </c>
      <c r="W79" s="79" t="s">
        <v>1205</v>
      </c>
      <c r="X79" s="79" t="s">
        <v>24</v>
      </c>
      <c r="Y79" s="79" t="s">
        <v>1209</v>
      </c>
      <c r="Z79" s="79"/>
      <c r="AA79" s="79"/>
      <c r="AB79" s="79"/>
      <c r="AC79" s="506" t="s">
        <v>6178</v>
      </c>
      <c r="AD79" s="573">
        <v>1</v>
      </c>
      <c r="AE79" s="573">
        <v>1</v>
      </c>
      <c r="AF79" s="233" t="s">
        <v>3003</v>
      </c>
      <c r="AG79" s="652" t="s">
        <v>6664</v>
      </c>
      <c r="AH79" s="135">
        <v>4</v>
      </c>
      <c r="AI79" s="135"/>
      <c r="AJ79" s="235"/>
      <c r="AK79" s="236"/>
      <c r="AL79" s="237"/>
      <c r="AM79" s="135"/>
      <c r="AN79" s="135"/>
      <c r="AO79" s="135"/>
      <c r="AP79" s="135"/>
      <c r="AQ79" s="135"/>
      <c r="AR79" s="135"/>
      <c r="AS79" s="135"/>
      <c r="AT79" s="135"/>
      <c r="AU79" s="135"/>
      <c r="AV79" s="135"/>
      <c r="AW79" s="135"/>
      <c r="AX79" s="135"/>
      <c r="AY79" s="135"/>
      <c r="AZ79" s="135"/>
      <c r="BA79" s="135"/>
      <c r="BB79" s="691"/>
      <c r="BC79" s="594"/>
      <c r="BD79" s="156" t="s">
        <v>4727</v>
      </c>
      <c r="BE79" s="156" t="s">
        <v>5545</v>
      </c>
      <c r="BF79" s="156"/>
      <c r="BG79" s="156"/>
      <c r="BH79" s="156"/>
      <c r="BI79" s="156"/>
      <c r="BJ79" s="156" t="s">
        <v>5545</v>
      </c>
      <c r="BK79" s="156"/>
      <c r="BL79" s="156"/>
      <c r="BM79" s="156"/>
      <c r="BN79" s="156"/>
      <c r="BO79" s="156"/>
      <c r="BP79" s="156"/>
      <c r="BQ79" s="595" t="s">
        <v>6665</v>
      </c>
      <c r="BR79" s="157"/>
      <c r="BS79" s="660"/>
      <c r="BT79" s="134"/>
      <c r="BU79" s="134"/>
      <c r="BV79" s="134"/>
      <c r="BW79" s="134"/>
      <c r="BX79" s="134"/>
      <c r="BY79" s="134"/>
      <c r="BZ79" s="259"/>
      <c r="CA79" s="454"/>
      <c r="CB79" s="138"/>
      <c r="CC79" s="134"/>
      <c r="CD79" s="134"/>
      <c r="CE79" s="134"/>
      <c r="CF79" s="138"/>
      <c r="CG79" s="134"/>
      <c r="CH79" s="134"/>
      <c r="CI79" s="134"/>
      <c r="CJ79" s="288"/>
      <c r="CK79" s="289"/>
      <c r="CL79" s="138"/>
      <c r="CM79" s="190"/>
      <c r="CN79" s="134"/>
      <c r="CO79" s="190"/>
      <c r="CP79" s="138"/>
      <c r="CQ79" s="134"/>
      <c r="CR79" s="134"/>
      <c r="CS79" s="134"/>
      <c r="CT79" s="288"/>
      <c r="CU79" s="289"/>
      <c r="CV79" s="276"/>
      <c r="CW79" s="308"/>
      <c r="CX79" s="138"/>
      <c r="CY79" s="190"/>
      <c r="CZ79" s="134"/>
      <c r="DA79" s="190"/>
      <c r="DB79" s="134"/>
      <c r="DC79" s="134"/>
      <c r="DD79" s="134"/>
      <c r="DE79" s="134"/>
      <c r="DF79" s="300"/>
      <c r="DG79" s="301"/>
      <c r="DH79" s="134"/>
      <c r="DI79" s="190"/>
      <c r="DJ79" s="134"/>
      <c r="DK79" s="190"/>
      <c r="DL79" s="134"/>
      <c r="DM79" s="134"/>
      <c r="DN79" s="134"/>
      <c r="DO79" s="134"/>
      <c r="DP79" s="300"/>
      <c r="DQ79" s="301"/>
      <c r="DR79" s="276"/>
      <c r="DS79" s="277"/>
      <c r="DT79" s="190"/>
      <c r="DU79" s="190"/>
      <c r="DV79" s="190"/>
      <c r="DW79" s="190"/>
      <c r="DX79" s="138"/>
      <c r="DY79" s="134"/>
      <c r="DZ79" s="134"/>
      <c r="EA79" s="134"/>
      <c r="EB79" s="301"/>
      <c r="EC79" s="301"/>
      <c r="ED79" s="138"/>
      <c r="EE79" s="134"/>
      <c r="EF79" s="134"/>
      <c r="EG79" s="134"/>
      <c r="EH79" s="138"/>
      <c r="EI79" s="134"/>
      <c r="EJ79" s="134"/>
      <c r="EK79" s="134"/>
      <c r="EL79" s="301"/>
      <c r="EM79" s="301"/>
      <c r="EN79" s="277"/>
      <c r="EO79" s="190"/>
      <c r="EP79" s="190"/>
      <c r="EQ79" s="190"/>
      <c r="ER79" s="190"/>
      <c r="ES79" s="134"/>
      <c r="ET79" s="134"/>
      <c r="EU79" s="134"/>
      <c r="EV79" s="134"/>
      <c r="EW79" s="301"/>
      <c r="EX79" s="301"/>
      <c r="EY79" s="134"/>
      <c r="EZ79" s="134"/>
      <c r="FA79" s="134"/>
      <c r="FB79" s="134"/>
      <c r="FC79" s="134"/>
      <c r="FD79" s="134"/>
      <c r="FE79" s="134"/>
      <c r="FF79" s="134"/>
      <c r="FG79" s="135"/>
      <c r="FH79" s="135"/>
      <c r="FI79" s="134"/>
      <c r="FJ79" s="134"/>
      <c r="FK79" s="134"/>
      <c r="FL79" s="134"/>
      <c r="FM79" s="134"/>
      <c r="FN79" s="134"/>
      <c r="FO79" s="134"/>
      <c r="FP79" s="134"/>
      <c r="FQ79" s="135"/>
      <c r="FR79" s="135"/>
      <c r="FS79" s="134"/>
      <c r="FT79" s="134"/>
      <c r="FU79" s="134"/>
      <c r="FV79" s="134"/>
      <c r="FW79" s="134"/>
      <c r="FX79" s="134"/>
      <c r="FY79" s="134"/>
      <c r="FZ79" s="134"/>
      <c r="GA79" s="135"/>
      <c r="GB79" s="135"/>
      <c r="GC79" s="134"/>
      <c r="GD79" s="134"/>
      <c r="GE79" s="134"/>
      <c r="GF79" s="134"/>
      <c r="GG79" s="134"/>
      <c r="GH79" s="134"/>
      <c r="GI79" s="134"/>
      <c r="GJ79" s="134"/>
      <c r="GK79" s="135"/>
      <c r="GL79" s="135"/>
      <c r="GM79" s="134"/>
      <c r="GN79" s="134"/>
      <c r="GO79" s="134"/>
      <c r="GP79" s="134"/>
      <c r="GQ79" s="134"/>
      <c r="GR79" s="134"/>
      <c r="GS79" s="134"/>
      <c r="GT79" s="134"/>
      <c r="GU79" s="135"/>
      <c r="GV79" s="135"/>
      <c r="GW79" s="134"/>
      <c r="GX79" s="134"/>
      <c r="GY79" s="134"/>
      <c r="GZ79" s="134"/>
      <c r="HA79" s="134"/>
      <c r="HB79" s="134"/>
      <c r="HC79" s="134"/>
      <c r="HD79" s="134"/>
      <c r="HE79" s="135"/>
      <c r="HF79" s="135"/>
      <c r="HG79" s="134"/>
      <c r="HH79" s="134"/>
      <c r="HI79" s="134"/>
      <c r="HJ79" s="134"/>
      <c r="HK79" s="134"/>
      <c r="HL79" s="134"/>
      <c r="HM79" s="134"/>
      <c r="HN79" s="134"/>
      <c r="HO79" s="135"/>
      <c r="HP79" s="135"/>
      <c r="HQ79" s="134"/>
      <c r="HR79" s="134"/>
      <c r="HS79" s="134"/>
      <c r="HT79" s="134"/>
      <c r="HU79" s="134"/>
      <c r="HV79" s="134"/>
      <c r="HW79" s="134"/>
      <c r="HX79" s="134"/>
      <c r="HY79" s="135"/>
      <c r="HZ79" s="135"/>
      <c r="IA79" s="134"/>
      <c r="IB79" s="134"/>
      <c r="IC79" s="134"/>
      <c r="ID79" s="134"/>
      <c r="IE79" s="134"/>
      <c r="IF79" s="134"/>
      <c r="IG79" s="134"/>
      <c r="IH79" s="134"/>
      <c r="II79" s="135"/>
      <c r="IJ79" s="135"/>
      <c r="IK79" s="134"/>
      <c r="IL79" s="134"/>
      <c r="IM79" s="134"/>
      <c r="IN79" s="134"/>
      <c r="IO79" s="134"/>
      <c r="IP79" s="134"/>
      <c r="IQ79" s="134"/>
      <c r="IR79" s="134"/>
      <c r="IS79" s="135"/>
      <c r="IT79" s="135"/>
      <c r="IU79" s="134"/>
      <c r="IV79" s="134"/>
      <c r="IW79" s="134"/>
      <c r="IX79" s="134"/>
      <c r="IY79" s="134"/>
      <c r="IZ79" s="134"/>
      <c r="JA79" s="134"/>
      <c r="JB79" s="134"/>
      <c r="JC79" s="135"/>
      <c r="JD79" s="135"/>
    </row>
    <row r="80" spans="1:264" s="119" customFormat="1" ht="15" customHeight="1">
      <c r="A80" s="79" t="s">
        <v>1093</v>
      </c>
      <c r="B80" s="362">
        <v>80</v>
      </c>
      <c r="C80" s="362"/>
      <c r="D80" s="362">
        <v>18</v>
      </c>
      <c r="E80" s="604" t="s">
        <v>2059</v>
      </c>
      <c r="F80" s="124" t="s">
        <v>2304</v>
      </c>
      <c r="G80" s="125">
        <v>2011</v>
      </c>
      <c r="H80" s="79">
        <v>21701068</v>
      </c>
      <c r="I80" s="79">
        <v>1</v>
      </c>
      <c r="J80" s="126"/>
      <c r="K80" s="127"/>
      <c r="L80" s="79">
        <v>1</v>
      </c>
      <c r="M80" s="79"/>
      <c r="N80" s="79">
        <v>1</v>
      </c>
      <c r="O80" s="128">
        <v>2</v>
      </c>
      <c r="P80" s="79" t="s">
        <v>1240</v>
      </c>
      <c r="Q80" s="79" t="s">
        <v>1244</v>
      </c>
      <c r="R80" s="79"/>
      <c r="S80" s="79"/>
      <c r="T80" s="79" t="s">
        <v>1493</v>
      </c>
      <c r="U80" s="79"/>
      <c r="V80" s="79"/>
      <c r="W80" s="79" t="s">
        <v>1239</v>
      </c>
      <c r="X80" s="79" t="s">
        <v>1243</v>
      </c>
      <c r="Y80" s="79" t="s">
        <v>1242</v>
      </c>
      <c r="Z80" s="79"/>
      <c r="AA80" s="79"/>
      <c r="AB80" s="79" t="s">
        <v>1241</v>
      </c>
      <c r="AC80" s="506" t="s">
        <v>6183</v>
      </c>
      <c r="AD80" s="573">
        <v>1</v>
      </c>
      <c r="AE80" s="573">
        <v>1</v>
      </c>
      <c r="AF80" s="165">
        <v>0</v>
      </c>
      <c r="AG80" s="166" t="s">
        <v>6666</v>
      </c>
      <c r="AH80" s="120"/>
      <c r="AI80" s="120"/>
      <c r="AJ80" s="206"/>
      <c r="AK80" s="372"/>
      <c r="AL80" s="207"/>
      <c r="AM80" s="120"/>
      <c r="AN80" s="120"/>
      <c r="AO80" s="120"/>
      <c r="AP80" s="120"/>
      <c r="AQ80" s="120"/>
      <c r="AR80" s="120"/>
      <c r="AS80" s="120"/>
      <c r="AT80" s="120"/>
      <c r="AU80" s="120"/>
      <c r="AV80" s="120"/>
      <c r="AW80" s="120"/>
      <c r="AX80" s="120"/>
      <c r="AY80" s="120"/>
      <c r="AZ80" s="120"/>
      <c r="BA80" s="120"/>
      <c r="BB80" s="377"/>
      <c r="BC80" s="377"/>
      <c r="BD80" s="373"/>
      <c r="BE80" s="373"/>
      <c r="BF80" s="373"/>
      <c r="BG80" s="373"/>
      <c r="BH80" s="373"/>
      <c r="BI80" s="373"/>
      <c r="BJ80" s="373"/>
      <c r="BK80" s="373"/>
      <c r="BL80" s="373"/>
      <c r="BM80" s="373" t="s">
        <v>6205</v>
      </c>
      <c r="BN80" s="373"/>
      <c r="BO80" s="373"/>
      <c r="BP80" s="373"/>
      <c r="BQ80" s="599"/>
      <c r="BR80" s="374"/>
      <c r="BS80" s="660"/>
      <c r="BT80" s="134"/>
      <c r="BU80" s="134"/>
      <c r="BV80" s="134"/>
      <c r="BW80" s="134"/>
      <c r="BX80" s="134"/>
      <c r="BY80" s="134"/>
      <c r="BZ80" s="259"/>
      <c r="CA80" s="454"/>
      <c r="CB80" s="138"/>
      <c r="CC80" s="134"/>
      <c r="CD80" s="134"/>
      <c r="CE80" s="134"/>
      <c r="CF80" s="138"/>
      <c r="CG80" s="134"/>
      <c r="CH80" s="134"/>
      <c r="CI80" s="134"/>
      <c r="CJ80" s="288"/>
      <c r="CK80" s="289"/>
      <c r="CL80" s="138"/>
      <c r="CM80" s="134"/>
      <c r="CN80" s="134"/>
      <c r="CO80" s="134"/>
      <c r="CP80" s="138"/>
      <c r="CQ80" s="134"/>
      <c r="CR80" s="134"/>
      <c r="CS80" s="134"/>
      <c r="CT80" s="288"/>
      <c r="CU80" s="289"/>
      <c r="CV80" s="276"/>
      <c r="CW80" s="308"/>
      <c r="CX80" s="138"/>
      <c r="CY80" s="134"/>
      <c r="CZ80" s="134"/>
      <c r="DA80" s="134"/>
      <c r="DB80" s="134"/>
      <c r="DC80" s="134"/>
      <c r="DD80" s="134"/>
      <c r="DE80" s="134"/>
      <c r="DF80" s="300"/>
      <c r="DG80" s="301"/>
      <c r="DH80" s="134"/>
      <c r="DI80" s="134"/>
      <c r="DJ80" s="134"/>
      <c r="DK80" s="134"/>
      <c r="DL80" s="134"/>
      <c r="DM80" s="134"/>
      <c r="DN80" s="134"/>
      <c r="DO80" s="134"/>
      <c r="DP80" s="300"/>
      <c r="DQ80" s="301"/>
      <c r="DR80" s="276"/>
      <c r="DS80" s="277"/>
      <c r="DT80" s="190"/>
      <c r="DU80" s="190"/>
      <c r="DV80" s="190"/>
      <c r="DW80" s="190"/>
      <c r="DX80" s="556"/>
      <c r="DY80" s="134"/>
      <c r="DZ80" s="134"/>
      <c r="EA80" s="134"/>
      <c r="EB80" s="301"/>
      <c r="EC80" s="301"/>
      <c r="ED80" s="138"/>
      <c r="EE80" s="134"/>
      <c r="EF80" s="134"/>
      <c r="EG80" s="134"/>
      <c r="EH80" s="138"/>
      <c r="EI80" s="134"/>
      <c r="EJ80" s="134"/>
      <c r="EK80" s="134"/>
      <c r="EL80" s="301"/>
      <c r="EM80" s="301"/>
      <c r="EN80" s="277"/>
      <c r="EO80" s="190"/>
      <c r="EP80" s="190"/>
      <c r="EQ80" s="190"/>
      <c r="ER80" s="190"/>
      <c r="ES80" s="134"/>
      <c r="ET80" s="134"/>
      <c r="EU80" s="134"/>
      <c r="EV80" s="134"/>
      <c r="EW80" s="301"/>
      <c r="EX80" s="301"/>
      <c r="EY80" s="134"/>
      <c r="EZ80" s="190"/>
      <c r="FA80" s="190"/>
      <c r="FB80" s="190"/>
      <c r="FC80" s="190"/>
      <c r="FD80" s="134"/>
      <c r="FE80" s="134"/>
      <c r="FF80" s="134"/>
      <c r="FG80" s="135"/>
      <c r="FH80" s="135"/>
      <c r="FI80" s="134"/>
      <c r="FJ80" s="134"/>
      <c r="FK80" s="134"/>
      <c r="FL80" s="134"/>
      <c r="FM80" s="134"/>
      <c r="FN80" s="134"/>
      <c r="FO80" s="134"/>
      <c r="FP80" s="134"/>
      <c r="FQ80" s="135"/>
      <c r="FR80" s="135"/>
      <c r="FS80" s="134"/>
      <c r="FT80" s="134"/>
      <c r="FU80" s="134"/>
      <c r="FV80" s="134"/>
      <c r="FW80" s="134"/>
      <c r="FX80" s="134"/>
      <c r="FY80" s="134"/>
      <c r="FZ80" s="134"/>
      <c r="GA80" s="135"/>
      <c r="GB80" s="135"/>
      <c r="GC80" s="134"/>
      <c r="GD80" s="134"/>
      <c r="GE80" s="134"/>
      <c r="GF80" s="134"/>
      <c r="GG80" s="134"/>
      <c r="GH80" s="134"/>
      <c r="GI80" s="134"/>
      <c r="GJ80" s="134"/>
      <c r="GK80" s="135"/>
      <c r="GL80" s="135"/>
      <c r="GM80" s="134"/>
      <c r="GN80" s="134"/>
      <c r="GO80" s="134"/>
      <c r="GP80" s="134"/>
      <c r="GQ80" s="134"/>
      <c r="GR80" s="134"/>
      <c r="GS80" s="134"/>
      <c r="GT80" s="134"/>
      <c r="GU80" s="135"/>
      <c r="GV80" s="135"/>
      <c r="GW80" s="134"/>
      <c r="GX80" s="134"/>
      <c r="GY80" s="134"/>
      <c r="GZ80" s="134"/>
      <c r="HA80" s="134"/>
      <c r="HB80" s="134"/>
      <c r="HC80" s="134"/>
      <c r="HD80" s="134"/>
      <c r="HE80" s="135"/>
      <c r="HF80" s="135"/>
      <c r="HG80" s="134"/>
      <c r="HH80" s="134"/>
      <c r="HI80" s="134"/>
      <c r="HJ80" s="134"/>
      <c r="HK80" s="134"/>
      <c r="HL80" s="134"/>
      <c r="HM80" s="134"/>
      <c r="HN80" s="134"/>
      <c r="HO80" s="135"/>
      <c r="HP80" s="135"/>
      <c r="HQ80" s="134"/>
      <c r="HR80" s="134"/>
      <c r="HS80" s="134"/>
      <c r="HT80" s="134"/>
      <c r="HU80" s="134"/>
      <c r="HV80" s="134"/>
      <c r="HW80" s="134"/>
      <c r="HX80" s="134"/>
      <c r="HY80" s="135"/>
      <c r="HZ80" s="135"/>
      <c r="IA80" s="134"/>
      <c r="IB80" s="134"/>
      <c r="IC80" s="134"/>
      <c r="ID80" s="134"/>
      <c r="IE80" s="134"/>
      <c r="IF80" s="134"/>
      <c r="IG80" s="134"/>
      <c r="IH80" s="134"/>
      <c r="II80" s="135"/>
      <c r="IJ80" s="135"/>
      <c r="IK80" s="134"/>
      <c r="IL80" s="134"/>
      <c r="IM80" s="134"/>
      <c r="IN80" s="134"/>
      <c r="IO80" s="134"/>
      <c r="IP80" s="134"/>
      <c r="IQ80" s="134"/>
      <c r="IR80" s="134"/>
      <c r="IS80" s="135"/>
      <c r="IT80" s="135"/>
      <c r="IU80" s="134"/>
      <c r="IV80" s="134"/>
      <c r="IW80" s="134"/>
      <c r="IX80" s="134"/>
      <c r="IY80" s="134"/>
      <c r="IZ80" s="134"/>
      <c r="JA80" s="134"/>
      <c r="JB80" s="134"/>
      <c r="JC80" s="135"/>
      <c r="JD80" s="135"/>
    </row>
    <row r="81" spans="1:264" s="119" customFormat="1" ht="15" customHeight="1">
      <c r="A81" s="79" t="s">
        <v>1092</v>
      </c>
      <c r="B81" s="362">
        <v>86</v>
      </c>
      <c r="C81" s="362"/>
      <c r="D81" s="362">
        <v>20</v>
      </c>
      <c r="E81" s="604" t="s">
        <v>1938</v>
      </c>
      <c r="F81" s="124" t="s">
        <v>2306</v>
      </c>
      <c r="G81" s="125">
        <v>2010</v>
      </c>
      <c r="H81" s="79">
        <v>20403087</v>
      </c>
      <c r="I81" s="79">
        <v>1</v>
      </c>
      <c r="J81" s="126" t="s">
        <v>1827</v>
      </c>
      <c r="K81" s="127"/>
      <c r="L81" s="79">
        <v>0</v>
      </c>
      <c r="M81" s="79"/>
      <c r="N81" s="79">
        <v>0</v>
      </c>
      <c r="O81" s="128">
        <v>2</v>
      </c>
      <c r="P81" s="79" t="s">
        <v>1247</v>
      </c>
      <c r="Q81" s="79" t="s">
        <v>1171</v>
      </c>
      <c r="R81" s="79" t="s">
        <v>1127</v>
      </c>
      <c r="S81" s="79"/>
      <c r="T81" s="79" t="s">
        <v>1495</v>
      </c>
      <c r="U81" s="79" t="s">
        <v>803</v>
      </c>
      <c r="V81" s="79" t="s">
        <v>23</v>
      </c>
      <c r="W81" s="79" t="s">
        <v>1826</v>
      </c>
      <c r="X81" s="79" t="s">
        <v>1245</v>
      </c>
      <c r="Y81" s="79" t="s">
        <v>1246</v>
      </c>
      <c r="Z81" s="79"/>
      <c r="AA81" s="79"/>
      <c r="AB81" s="79" t="s">
        <v>424</v>
      </c>
      <c r="AC81" s="506" t="s">
        <v>6187</v>
      </c>
      <c r="AD81" s="573">
        <v>1</v>
      </c>
      <c r="AE81" s="573">
        <v>1</v>
      </c>
      <c r="AF81" s="154">
        <v>1</v>
      </c>
      <c r="AG81" s="155" t="s">
        <v>6667</v>
      </c>
      <c r="AH81" s="121">
        <v>4</v>
      </c>
      <c r="AI81" s="484"/>
      <c r="AJ81" s="202" t="s">
        <v>6686</v>
      </c>
      <c r="AK81" s="192">
        <v>2</v>
      </c>
      <c r="AL81" s="203" t="s">
        <v>6668</v>
      </c>
      <c r="AM81" s="121">
        <f>Table668[[#This Row],[Data_Subjects_n_ptsd]]+Table668[[#This Row],[Data_Subjects_n_control]]</f>
        <v>17</v>
      </c>
      <c r="AN81" s="121">
        <v>11</v>
      </c>
      <c r="AO81" s="121">
        <v>6</v>
      </c>
      <c r="AP81" s="121" t="s">
        <v>803</v>
      </c>
      <c r="AQ81" s="121" t="s">
        <v>803</v>
      </c>
      <c r="AR81" s="355" t="s">
        <v>3403</v>
      </c>
      <c r="AS81" s="121" t="s">
        <v>2882</v>
      </c>
      <c r="AT81" s="355" t="s">
        <v>3403</v>
      </c>
      <c r="AU81" s="121" t="s">
        <v>2882</v>
      </c>
      <c r="AV81" s="121" t="s">
        <v>6671</v>
      </c>
      <c r="AW81" s="121">
        <v>1</v>
      </c>
      <c r="AX81" s="121">
        <v>1</v>
      </c>
      <c r="AY81" s="121" t="s">
        <v>6672</v>
      </c>
      <c r="AZ81" s="121" t="s">
        <v>1130</v>
      </c>
      <c r="BA81" s="121" t="s">
        <v>6653</v>
      </c>
      <c r="BB81" s="594"/>
      <c r="BC81" s="594"/>
      <c r="BD81" s="156" t="s">
        <v>1917</v>
      </c>
      <c r="BE81" s="156"/>
      <c r="BF81" s="156"/>
      <c r="BG81" s="156"/>
      <c r="BH81" s="156"/>
      <c r="BI81" s="156"/>
      <c r="BJ81" s="156">
        <v>1</v>
      </c>
      <c r="BK81" s="156"/>
      <c r="BL81" s="156"/>
      <c r="BM81" s="156"/>
      <c r="BN81" s="156"/>
      <c r="BO81" s="156"/>
      <c r="BP81" s="156"/>
      <c r="BQ81" s="595" t="s">
        <v>6688</v>
      </c>
      <c r="BR81" s="157" t="s">
        <v>6689</v>
      </c>
      <c r="BS81" s="660">
        <v>1</v>
      </c>
      <c r="BT81" s="134" t="s">
        <v>1876</v>
      </c>
      <c r="BU81" s="134" t="s">
        <v>6669</v>
      </c>
      <c r="BV81" s="134" t="s">
        <v>6674</v>
      </c>
      <c r="BW81" s="134" t="s">
        <v>1121</v>
      </c>
      <c r="BX81" s="134" t="s">
        <v>6677</v>
      </c>
      <c r="BY81" s="134" t="s">
        <v>2659</v>
      </c>
      <c r="BZ81" s="259" t="s">
        <v>6695</v>
      </c>
      <c r="CA81" s="454" t="s">
        <v>6627</v>
      </c>
      <c r="CB81" s="138" t="s">
        <v>6678</v>
      </c>
      <c r="CC81" s="134">
        <v>64</v>
      </c>
      <c r="CD81" s="134" t="s">
        <v>24</v>
      </c>
      <c r="CE81" s="134">
        <v>3.4</v>
      </c>
      <c r="CF81" s="138" t="s">
        <v>6679</v>
      </c>
      <c r="CG81" s="134">
        <v>11.7</v>
      </c>
      <c r="CH81" s="134" t="s">
        <v>24</v>
      </c>
      <c r="CI81" s="134">
        <v>2.1</v>
      </c>
      <c r="CJ81" s="567" t="s">
        <v>6682</v>
      </c>
      <c r="CK81" s="568" t="s">
        <v>6684</v>
      </c>
      <c r="CL81" s="138" t="s">
        <v>24</v>
      </c>
      <c r="CM81" s="134"/>
      <c r="CN81" s="134"/>
      <c r="CO81" s="134"/>
      <c r="CP81" s="138"/>
      <c r="CQ81" s="134"/>
      <c r="CR81" s="134"/>
      <c r="CS81" s="134"/>
      <c r="CT81" s="567"/>
      <c r="CU81" s="568"/>
      <c r="CV81" s="276"/>
      <c r="CW81" s="308"/>
      <c r="CX81" s="138"/>
      <c r="CY81" s="134"/>
      <c r="CZ81" s="134"/>
      <c r="DA81" s="134"/>
      <c r="DB81" s="134"/>
      <c r="DC81" s="134"/>
      <c r="DD81" s="134"/>
      <c r="DE81" s="134"/>
      <c r="DF81" s="570"/>
      <c r="DG81" s="571"/>
      <c r="DH81" s="134"/>
      <c r="DI81" s="134"/>
      <c r="DJ81" s="134"/>
      <c r="DK81" s="134"/>
      <c r="DL81" s="134"/>
      <c r="DM81" s="134"/>
      <c r="DN81" s="134"/>
      <c r="DO81" s="134"/>
      <c r="DP81" s="300"/>
      <c r="DQ81" s="301"/>
      <c r="DR81" s="276"/>
      <c r="DS81" s="277"/>
      <c r="DT81" s="134"/>
      <c r="DU81" s="134"/>
      <c r="DV81" s="134"/>
      <c r="DW81" s="134"/>
      <c r="DX81" s="138"/>
      <c r="DY81" s="134"/>
      <c r="DZ81" s="134"/>
      <c r="EA81" s="134"/>
      <c r="EB81" s="301"/>
      <c r="EC81" s="301"/>
      <c r="ED81" s="138"/>
      <c r="EE81" s="134"/>
      <c r="EF81" s="134"/>
      <c r="EG81" s="134"/>
      <c r="EH81" s="138"/>
      <c r="EI81" s="134"/>
      <c r="EJ81" s="134"/>
      <c r="EK81" s="134"/>
      <c r="EL81" s="301"/>
      <c r="EM81" s="301"/>
      <c r="EN81" s="277"/>
      <c r="EO81" s="190"/>
      <c r="EP81" s="190"/>
      <c r="EQ81" s="190"/>
      <c r="ER81" s="190"/>
      <c r="ES81" s="134"/>
      <c r="ET81" s="134"/>
      <c r="EU81" s="134"/>
      <c r="EV81" s="134"/>
      <c r="EW81" s="301"/>
      <c r="EX81" s="301"/>
      <c r="EY81" s="134"/>
      <c r="EZ81" s="190"/>
      <c r="FA81" s="190"/>
      <c r="FB81" s="190"/>
      <c r="FC81" s="190"/>
      <c r="FD81" s="134"/>
      <c r="FE81" s="134"/>
      <c r="FF81" s="134"/>
      <c r="FG81" s="135"/>
      <c r="FH81" s="135"/>
      <c r="FI81" s="134"/>
      <c r="FJ81" s="134"/>
      <c r="FK81" s="134"/>
      <c r="FL81" s="134"/>
      <c r="FM81" s="134"/>
      <c r="FN81" s="134"/>
      <c r="FO81" s="134"/>
      <c r="FP81" s="134"/>
      <c r="FQ81" s="135"/>
      <c r="FR81" s="135"/>
      <c r="FS81" s="134"/>
      <c r="FT81" s="134"/>
      <c r="FU81" s="134"/>
      <c r="FV81" s="134"/>
      <c r="FW81" s="134"/>
      <c r="FX81" s="134"/>
      <c r="FY81" s="134"/>
      <c r="FZ81" s="134"/>
      <c r="GA81" s="135"/>
      <c r="GB81" s="135"/>
      <c r="GC81" s="134"/>
      <c r="GD81" s="134"/>
      <c r="GE81" s="134"/>
      <c r="GF81" s="134"/>
      <c r="GG81" s="134"/>
      <c r="GH81" s="134"/>
      <c r="GI81" s="134"/>
      <c r="GJ81" s="134"/>
      <c r="GK81" s="135"/>
      <c r="GL81" s="135"/>
      <c r="GM81" s="134"/>
      <c r="GN81" s="134"/>
      <c r="GO81" s="134"/>
      <c r="GP81" s="134"/>
      <c r="GQ81" s="134"/>
      <c r="GR81" s="134"/>
      <c r="GS81" s="134"/>
      <c r="GT81" s="134"/>
      <c r="GU81" s="135"/>
      <c r="GV81" s="135"/>
      <c r="GW81" s="134"/>
      <c r="GX81" s="134"/>
      <c r="GY81" s="134"/>
      <c r="GZ81" s="134"/>
      <c r="HA81" s="134"/>
      <c r="HB81" s="134"/>
      <c r="HC81" s="134"/>
      <c r="HD81" s="134"/>
      <c r="HE81" s="135"/>
      <c r="HF81" s="135"/>
      <c r="HG81" s="134"/>
      <c r="HH81" s="134"/>
      <c r="HI81" s="134"/>
      <c r="HJ81" s="134"/>
      <c r="HK81" s="134"/>
      <c r="HL81" s="134"/>
      <c r="HM81" s="134"/>
      <c r="HN81" s="134"/>
      <c r="HO81" s="135"/>
      <c r="HP81" s="135"/>
      <c r="HQ81" s="134"/>
      <c r="HR81" s="134"/>
      <c r="HS81" s="134"/>
      <c r="HT81" s="134"/>
      <c r="HU81" s="134"/>
      <c r="HV81" s="134"/>
      <c r="HW81" s="134"/>
      <c r="HX81" s="134"/>
      <c r="HY81" s="135"/>
      <c r="HZ81" s="135"/>
      <c r="IA81" s="134"/>
      <c r="IB81" s="134"/>
      <c r="IC81" s="134"/>
      <c r="ID81" s="134"/>
      <c r="IE81" s="134"/>
      <c r="IF81" s="134"/>
      <c r="IG81" s="134"/>
      <c r="IH81" s="134"/>
      <c r="II81" s="135"/>
      <c r="IJ81" s="135"/>
      <c r="IK81" s="134"/>
      <c r="IL81" s="134"/>
      <c r="IM81" s="134"/>
      <c r="IN81" s="134"/>
      <c r="IO81" s="134"/>
      <c r="IP81" s="134"/>
      <c r="IQ81" s="134"/>
      <c r="IR81" s="134"/>
      <c r="IS81" s="135"/>
      <c r="IT81" s="135"/>
      <c r="IU81" s="134"/>
      <c r="IV81" s="134"/>
      <c r="IW81" s="134"/>
      <c r="IX81" s="134"/>
      <c r="IY81" s="134"/>
      <c r="IZ81" s="134"/>
      <c r="JA81" s="134"/>
      <c r="JB81" s="134"/>
      <c r="JC81" s="135"/>
      <c r="JD81" s="135"/>
    </row>
    <row r="82" spans="1:264" s="119" customFormat="1" ht="15" customHeight="1">
      <c r="A82" s="118" t="s">
        <v>1092</v>
      </c>
      <c r="B82" s="616">
        <v>86</v>
      </c>
      <c r="C82" s="616"/>
      <c r="D82" s="616">
        <v>20</v>
      </c>
      <c r="E82" s="605" t="s">
        <v>1938</v>
      </c>
      <c r="F82" s="140" t="s">
        <v>2306</v>
      </c>
      <c r="G82" s="141">
        <v>2010</v>
      </c>
      <c r="H82" s="118">
        <v>20403087</v>
      </c>
      <c r="I82" s="118">
        <v>1</v>
      </c>
      <c r="J82" s="118" t="s">
        <v>1827</v>
      </c>
      <c r="K82" s="118"/>
      <c r="L82" s="118">
        <v>0</v>
      </c>
      <c r="M82" s="118"/>
      <c r="N82" s="118">
        <v>0</v>
      </c>
      <c r="O82" s="142">
        <v>2</v>
      </c>
      <c r="P82" s="118" t="s">
        <v>1247</v>
      </c>
      <c r="Q82" s="118" t="s">
        <v>1171</v>
      </c>
      <c r="R82" s="118" t="s">
        <v>1127</v>
      </c>
      <c r="S82" s="118"/>
      <c r="T82" s="118" t="s">
        <v>1495</v>
      </c>
      <c r="U82" s="118" t="s">
        <v>803</v>
      </c>
      <c r="V82" s="118" t="s">
        <v>23</v>
      </c>
      <c r="W82" s="118" t="s">
        <v>1826</v>
      </c>
      <c r="X82" s="118" t="s">
        <v>1245</v>
      </c>
      <c r="Y82" s="118" t="s">
        <v>1246</v>
      </c>
      <c r="Z82" s="118"/>
      <c r="AA82" s="118"/>
      <c r="AB82" s="118" t="s">
        <v>424</v>
      </c>
      <c r="AC82" s="145" t="s">
        <v>6187</v>
      </c>
      <c r="AD82" s="653">
        <v>1</v>
      </c>
      <c r="AE82" s="653">
        <v>1</v>
      </c>
      <c r="AF82" s="159">
        <v>1</v>
      </c>
      <c r="AG82" s="160" t="s">
        <v>6667</v>
      </c>
      <c r="AH82" s="122">
        <v>4</v>
      </c>
      <c r="AI82" s="485"/>
      <c r="AJ82" s="204" t="s">
        <v>6685</v>
      </c>
      <c r="AK82" s="192">
        <v>2</v>
      </c>
      <c r="AL82" s="205" t="s">
        <v>6668</v>
      </c>
      <c r="AM82" s="122">
        <f>Table668[[#This Row],[Data_Subjects_n_ptsd]]+Table668[[#This Row],[Data_Subjects_n_control]]</f>
        <v>20</v>
      </c>
      <c r="AN82" s="122">
        <v>10</v>
      </c>
      <c r="AO82" s="122">
        <v>10</v>
      </c>
      <c r="AP82" s="122" t="s">
        <v>803</v>
      </c>
      <c r="AQ82" s="122" t="s">
        <v>803</v>
      </c>
      <c r="AR82" s="358" t="s">
        <v>3403</v>
      </c>
      <c r="AS82" s="122" t="s">
        <v>2882</v>
      </c>
      <c r="AT82" s="358" t="s">
        <v>3403</v>
      </c>
      <c r="AU82" s="122" t="s">
        <v>2882</v>
      </c>
      <c r="AV82" s="122" t="s">
        <v>6670</v>
      </c>
      <c r="AW82" s="122">
        <v>1</v>
      </c>
      <c r="AX82" s="122">
        <v>1</v>
      </c>
      <c r="AY82" s="122" t="s">
        <v>6673</v>
      </c>
      <c r="AZ82" s="122" t="s">
        <v>1130</v>
      </c>
      <c r="BA82" s="122" t="s">
        <v>6653</v>
      </c>
      <c r="BB82" s="588"/>
      <c r="BC82" s="588"/>
      <c r="BD82" s="161" t="s">
        <v>1917</v>
      </c>
      <c r="BE82" s="161"/>
      <c r="BF82" s="161"/>
      <c r="BG82" s="161"/>
      <c r="BH82" s="161"/>
      <c r="BI82" s="161"/>
      <c r="BJ82" s="161">
        <v>1</v>
      </c>
      <c r="BK82" s="161"/>
      <c r="BL82" s="161"/>
      <c r="BM82" s="161"/>
      <c r="BN82" s="161"/>
      <c r="BO82" s="161"/>
      <c r="BP82" s="161"/>
      <c r="BQ82" s="596" t="s">
        <v>6688</v>
      </c>
      <c r="BR82" s="162" t="s">
        <v>6689</v>
      </c>
      <c r="BS82" s="660">
        <v>1</v>
      </c>
      <c r="BT82" s="150" t="s">
        <v>1876</v>
      </c>
      <c r="BU82" s="150" t="s">
        <v>6669</v>
      </c>
      <c r="BV82" s="150" t="s">
        <v>6675</v>
      </c>
      <c r="BW82" s="150" t="s">
        <v>1121</v>
      </c>
      <c r="BX82" s="150" t="s">
        <v>6676</v>
      </c>
      <c r="BY82" s="150" t="s">
        <v>2659</v>
      </c>
      <c r="BZ82" s="258" t="s">
        <v>6695</v>
      </c>
      <c r="CA82" s="257" t="s">
        <v>6627</v>
      </c>
      <c r="CB82" s="151" t="s">
        <v>6680</v>
      </c>
      <c r="CC82" s="150">
        <v>43.2</v>
      </c>
      <c r="CD82" s="150" t="s">
        <v>24</v>
      </c>
      <c r="CE82" s="150">
        <v>7.9</v>
      </c>
      <c r="CF82" s="151" t="s">
        <v>6681</v>
      </c>
      <c r="CG82" s="150">
        <v>16.8</v>
      </c>
      <c r="CH82" s="150" t="s">
        <v>24</v>
      </c>
      <c r="CI82" s="150">
        <v>3.1</v>
      </c>
      <c r="CJ82" s="654" t="s">
        <v>6682</v>
      </c>
      <c r="CK82" s="655" t="s">
        <v>6683</v>
      </c>
      <c r="CL82" s="151" t="s">
        <v>24</v>
      </c>
      <c r="CM82" s="150"/>
      <c r="CN82" s="150"/>
      <c r="CO82" s="150"/>
      <c r="CP82" s="151"/>
      <c r="CQ82" s="150"/>
      <c r="CR82" s="150"/>
      <c r="CS82" s="150"/>
      <c r="CT82" s="654"/>
      <c r="CU82" s="655"/>
      <c r="CV82" s="278"/>
      <c r="CW82" s="285"/>
      <c r="CX82" s="151"/>
      <c r="CY82" s="150"/>
      <c r="CZ82" s="150"/>
      <c r="DA82" s="150"/>
      <c r="DB82" s="150"/>
      <c r="DC82" s="150"/>
      <c r="DD82" s="150"/>
      <c r="DE82" s="150"/>
      <c r="DF82" s="656"/>
      <c r="DG82" s="657"/>
      <c r="DH82" s="150"/>
      <c r="DI82" s="150"/>
      <c r="DJ82" s="150"/>
      <c r="DK82" s="150"/>
      <c r="DL82" s="150"/>
      <c r="DM82" s="150"/>
      <c r="DN82" s="150"/>
      <c r="DO82" s="150"/>
      <c r="DP82" s="302"/>
      <c r="DQ82" s="303"/>
      <c r="DR82" s="278"/>
      <c r="DS82" s="279"/>
      <c r="DT82" s="150"/>
      <c r="DU82" s="150"/>
      <c r="DV82" s="150"/>
      <c r="DW82" s="150"/>
      <c r="DX82" s="151"/>
      <c r="DY82" s="150"/>
      <c r="DZ82" s="150"/>
      <c r="EA82" s="150"/>
      <c r="EB82" s="303"/>
      <c r="EC82" s="303"/>
      <c r="ED82" s="151"/>
      <c r="EE82" s="150"/>
      <c r="EF82" s="150"/>
      <c r="EG82" s="150"/>
      <c r="EH82" s="151"/>
      <c r="EI82" s="150"/>
      <c r="EJ82" s="150"/>
      <c r="EK82" s="150"/>
      <c r="EL82" s="303"/>
      <c r="EM82" s="303"/>
      <c r="EN82" s="279"/>
      <c r="EO82" s="266"/>
      <c r="EP82" s="266"/>
      <c r="EQ82" s="266"/>
      <c r="ER82" s="266"/>
      <c r="ES82" s="150"/>
      <c r="ET82" s="150"/>
      <c r="EU82" s="150"/>
      <c r="EV82" s="150"/>
      <c r="EW82" s="303"/>
      <c r="EX82" s="303"/>
      <c r="EY82" s="150"/>
      <c r="EZ82" s="266"/>
      <c r="FA82" s="266"/>
      <c r="FB82" s="266"/>
      <c r="FC82" s="266"/>
      <c r="FD82" s="150"/>
      <c r="FE82" s="150"/>
      <c r="FF82" s="150"/>
      <c r="FG82" s="152"/>
      <c r="FH82" s="152"/>
      <c r="FI82" s="150"/>
      <c r="FJ82" s="150"/>
      <c r="FK82" s="150"/>
      <c r="FL82" s="150"/>
      <c r="FM82" s="150"/>
      <c r="FN82" s="150"/>
      <c r="FO82" s="150"/>
      <c r="FP82" s="150"/>
      <c r="FQ82" s="152"/>
      <c r="FR82" s="152"/>
      <c r="FS82" s="150"/>
      <c r="FT82" s="150"/>
      <c r="FU82" s="150"/>
      <c r="FV82" s="150"/>
      <c r="FW82" s="150"/>
      <c r="FX82" s="150"/>
      <c r="FY82" s="150"/>
      <c r="FZ82" s="150"/>
      <c r="GA82" s="152"/>
      <c r="GB82" s="152"/>
      <c r="GC82" s="150"/>
      <c r="GD82" s="150"/>
      <c r="GE82" s="150"/>
      <c r="GF82" s="150"/>
      <c r="GG82" s="150"/>
      <c r="GH82" s="150"/>
      <c r="GI82" s="150"/>
      <c r="GJ82" s="150"/>
      <c r="GK82" s="152"/>
      <c r="GL82" s="152"/>
      <c r="GM82" s="150"/>
      <c r="GN82" s="150"/>
      <c r="GO82" s="150"/>
      <c r="GP82" s="150"/>
      <c r="GQ82" s="150"/>
      <c r="GR82" s="150"/>
      <c r="GS82" s="150"/>
      <c r="GT82" s="150"/>
      <c r="GU82" s="152"/>
      <c r="GV82" s="152"/>
      <c r="GW82" s="150"/>
      <c r="GX82" s="150"/>
      <c r="GY82" s="150"/>
      <c r="GZ82" s="150"/>
      <c r="HA82" s="150"/>
      <c r="HB82" s="150"/>
      <c r="HC82" s="150"/>
      <c r="HD82" s="150"/>
      <c r="HE82" s="152"/>
      <c r="HF82" s="152"/>
      <c r="HG82" s="150"/>
      <c r="HH82" s="150"/>
      <c r="HI82" s="150"/>
      <c r="HJ82" s="150"/>
      <c r="HK82" s="150"/>
      <c r="HL82" s="150"/>
      <c r="HM82" s="150"/>
      <c r="HN82" s="150"/>
      <c r="HO82" s="152"/>
      <c r="HP82" s="152"/>
      <c r="HQ82" s="150"/>
      <c r="HR82" s="150"/>
      <c r="HS82" s="150"/>
      <c r="HT82" s="150"/>
      <c r="HU82" s="150"/>
      <c r="HV82" s="150"/>
      <c r="HW82" s="150"/>
      <c r="HX82" s="150"/>
      <c r="HY82" s="152"/>
      <c r="HZ82" s="152"/>
      <c r="IA82" s="150"/>
      <c r="IB82" s="150"/>
      <c r="IC82" s="150"/>
      <c r="ID82" s="150"/>
      <c r="IE82" s="150"/>
      <c r="IF82" s="150"/>
      <c r="IG82" s="150"/>
      <c r="IH82" s="150"/>
      <c r="II82" s="152"/>
      <c r="IJ82" s="152"/>
      <c r="IK82" s="150"/>
      <c r="IL82" s="150"/>
      <c r="IM82" s="150"/>
      <c r="IN82" s="150"/>
      <c r="IO82" s="150"/>
      <c r="IP82" s="150"/>
      <c r="IQ82" s="150"/>
      <c r="IR82" s="150"/>
      <c r="IS82" s="152"/>
      <c r="IT82" s="152"/>
      <c r="IU82" s="150"/>
      <c r="IV82" s="150"/>
      <c r="IW82" s="150"/>
      <c r="IX82" s="150"/>
      <c r="IY82" s="150"/>
      <c r="IZ82" s="150"/>
      <c r="JA82" s="150"/>
      <c r="JB82" s="150"/>
      <c r="JC82" s="152"/>
      <c r="JD82" s="152"/>
    </row>
    <row r="83" spans="1:264" s="119" customFormat="1" ht="15" customHeight="1">
      <c r="A83" s="79" t="s">
        <v>1084</v>
      </c>
      <c r="B83" s="362">
        <v>90</v>
      </c>
      <c r="C83" s="362"/>
      <c r="D83" s="362">
        <v>22</v>
      </c>
      <c r="E83" s="604" t="s">
        <v>1938</v>
      </c>
      <c r="F83" s="124" t="s">
        <v>2311</v>
      </c>
      <c r="G83" s="125">
        <v>2012</v>
      </c>
      <c r="H83" s="79">
        <v>22713910</v>
      </c>
      <c r="I83" s="79">
        <v>1</v>
      </c>
      <c r="J83" s="126" t="s">
        <v>1827</v>
      </c>
      <c r="K83" s="127"/>
      <c r="L83" s="79">
        <v>0</v>
      </c>
      <c r="M83" s="79"/>
      <c r="N83" s="79">
        <v>0</v>
      </c>
      <c r="O83" s="128">
        <v>2</v>
      </c>
      <c r="P83" s="79" t="s">
        <v>23</v>
      </c>
      <c r="Q83" s="79"/>
      <c r="R83" s="79" t="s">
        <v>1127</v>
      </c>
      <c r="S83" s="79"/>
      <c r="T83" s="79" t="s">
        <v>1505</v>
      </c>
      <c r="U83" s="79" t="s">
        <v>803</v>
      </c>
      <c r="V83" s="79" t="s">
        <v>23</v>
      </c>
      <c r="W83" s="79" t="s">
        <v>1825</v>
      </c>
      <c r="X83" s="79" t="s">
        <v>1272</v>
      </c>
      <c r="Y83" s="79" t="s">
        <v>1270</v>
      </c>
      <c r="Z83" s="79"/>
      <c r="AA83" s="79" t="s">
        <v>1271</v>
      </c>
      <c r="AB83" s="79"/>
      <c r="AC83" s="506" t="s">
        <v>6189</v>
      </c>
      <c r="AD83" s="573">
        <v>1</v>
      </c>
      <c r="AE83" s="573">
        <v>1</v>
      </c>
      <c r="AF83" s="154">
        <v>1</v>
      </c>
      <c r="AG83" s="160" t="s">
        <v>6667</v>
      </c>
      <c r="AH83" s="121">
        <v>4</v>
      </c>
      <c r="AI83" s="484"/>
      <c r="AJ83" s="202" t="s">
        <v>6687</v>
      </c>
      <c r="AK83" s="192">
        <v>0</v>
      </c>
      <c r="AL83" s="203">
        <v>0</v>
      </c>
      <c r="AM83" s="121">
        <f>Table668[[#This Row],[Data_Subjects_n_ptsd]]+Table668[[#This Row],[Data_Subjects_n_control]]</f>
        <v>33</v>
      </c>
      <c r="AN83" s="121">
        <v>18</v>
      </c>
      <c r="AO83" s="121">
        <v>15</v>
      </c>
      <c r="AP83" s="122" t="s">
        <v>803</v>
      </c>
      <c r="AQ83" s="122" t="s">
        <v>803</v>
      </c>
      <c r="AR83" s="358" t="s">
        <v>3403</v>
      </c>
      <c r="AS83" s="122" t="s">
        <v>2882</v>
      </c>
      <c r="AT83" s="358" t="s">
        <v>3403</v>
      </c>
      <c r="AU83" s="122" t="s">
        <v>2882</v>
      </c>
      <c r="AV83" s="121" t="s">
        <v>6691</v>
      </c>
      <c r="AW83" s="121">
        <v>1</v>
      </c>
      <c r="AX83" s="121">
        <v>1</v>
      </c>
      <c r="AY83" s="121" t="s">
        <v>6690</v>
      </c>
      <c r="AZ83" s="121" t="s">
        <v>1130</v>
      </c>
      <c r="BA83" s="121" t="s">
        <v>6653</v>
      </c>
      <c r="BB83" s="594"/>
      <c r="BC83" s="594"/>
      <c r="BD83" s="156" t="s">
        <v>1917</v>
      </c>
      <c r="BE83" s="156"/>
      <c r="BF83" s="156"/>
      <c r="BG83" s="156"/>
      <c r="BH83" s="156"/>
      <c r="BI83" s="156"/>
      <c r="BJ83" s="156">
        <v>1</v>
      </c>
      <c r="BK83" s="156"/>
      <c r="BL83" s="156"/>
      <c r="BM83" s="156"/>
      <c r="BN83" s="156"/>
      <c r="BO83" s="156"/>
      <c r="BP83" s="156"/>
      <c r="BQ83" s="596" t="s">
        <v>6701</v>
      </c>
      <c r="BR83" s="162" t="s">
        <v>6689</v>
      </c>
      <c r="BS83" s="660">
        <v>1</v>
      </c>
      <c r="BT83" s="134" t="s">
        <v>1876</v>
      </c>
      <c r="BU83" s="134" t="s">
        <v>6692</v>
      </c>
      <c r="BV83" s="134" t="s">
        <v>6693</v>
      </c>
      <c r="BW83" s="134" t="s">
        <v>1121</v>
      </c>
      <c r="BX83" s="134" t="s">
        <v>6677</v>
      </c>
      <c r="BY83" s="134" t="s">
        <v>2659</v>
      </c>
      <c r="BZ83" s="259" t="s">
        <v>6695</v>
      </c>
      <c r="CA83" s="454" t="s">
        <v>6627</v>
      </c>
      <c r="CB83" s="138" t="s">
        <v>6678</v>
      </c>
      <c r="CC83" s="134">
        <v>75.84</v>
      </c>
      <c r="CD83" s="134" t="s">
        <v>24</v>
      </c>
      <c r="CE83" s="134">
        <v>4</v>
      </c>
      <c r="CF83" s="138" t="s">
        <v>6679</v>
      </c>
      <c r="CG83" s="134">
        <v>13.3</v>
      </c>
      <c r="CH83" s="134" t="s">
        <v>24</v>
      </c>
      <c r="CI83" s="134">
        <v>2.1</v>
      </c>
      <c r="CJ83" s="288" t="s">
        <v>6694</v>
      </c>
      <c r="CK83" s="289" t="s">
        <v>2483</v>
      </c>
      <c r="CL83" s="430" t="s">
        <v>24</v>
      </c>
      <c r="CM83" s="134"/>
      <c r="CN83" s="134"/>
      <c r="CO83" s="134"/>
      <c r="CP83" s="430"/>
      <c r="CQ83" s="134"/>
      <c r="CR83" s="134"/>
      <c r="CS83" s="134"/>
      <c r="CT83" s="288"/>
      <c r="CU83" s="289"/>
      <c r="CV83" s="276"/>
      <c r="CW83" s="308"/>
      <c r="CX83" s="138"/>
      <c r="CY83" s="190"/>
      <c r="CZ83" s="134"/>
      <c r="DA83" s="190"/>
      <c r="DB83" s="134"/>
      <c r="DC83" s="134"/>
      <c r="DD83" s="134"/>
      <c r="DE83" s="134"/>
      <c r="DF83" s="300"/>
      <c r="DG83" s="301"/>
      <c r="DH83" s="134"/>
      <c r="DI83" s="134"/>
      <c r="DJ83" s="134"/>
      <c r="DK83" s="134"/>
      <c r="DL83" s="426"/>
      <c r="DM83" s="134"/>
      <c r="DN83" s="134"/>
      <c r="DO83" s="134"/>
      <c r="DP83" s="300"/>
      <c r="DQ83" s="301"/>
      <c r="DR83" s="276"/>
      <c r="DS83" s="277"/>
      <c r="DT83" s="426"/>
      <c r="DU83" s="190"/>
      <c r="DV83" s="190"/>
      <c r="DW83" s="190"/>
      <c r="DX83" s="138"/>
      <c r="DY83" s="134"/>
      <c r="DZ83" s="134"/>
      <c r="EA83" s="134"/>
      <c r="EB83" s="301"/>
      <c r="EC83" s="301"/>
      <c r="ED83" s="138"/>
      <c r="EE83" s="134"/>
      <c r="EF83" s="134"/>
      <c r="EG83" s="134"/>
      <c r="EH83" s="138"/>
      <c r="EI83" s="134"/>
      <c r="EJ83" s="134"/>
      <c r="EK83" s="134"/>
      <c r="EL83" s="301"/>
      <c r="EM83" s="301"/>
      <c r="EN83" s="277"/>
      <c r="EO83" s="426"/>
      <c r="EP83" s="134"/>
      <c r="EQ83" s="134"/>
      <c r="ER83" s="134"/>
      <c r="ES83" s="426"/>
      <c r="ET83" s="134"/>
      <c r="EU83" s="134"/>
      <c r="EV83" s="134"/>
      <c r="EW83" s="301"/>
      <c r="EX83" s="301"/>
      <c r="EY83" s="134"/>
      <c r="EZ83" s="134"/>
      <c r="FA83" s="134"/>
      <c r="FB83" s="134"/>
      <c r="FC83" s="134"/>
      <c r="FD83" s="134"/>
      <c r="FE83" s="134"/>
      <c r="FF83" s="134"/>
      <c r="FG83" s="135"/>
      <c r="FH83" s="135"/>
      <c r="FI83" s="134"/>
      <c r="FJ83" s="134"/>
      <c r="FK83" s="134"/>
      <c r="FL83" s="134"/>
      <c r="FM83" s="426"/>
      <c r="FN83" s="134"/>
      <c r="FO83" s="134"/>
      <c r="FP83" s="134"/>
      <c r="FQ83" s="135"/>
      <c r="FR83" s="135"/>
      <c r="FS83" s="426"/>
      <c r="FT83" s="190"/>
      <c r="FU83" s="190"/>
      <c r="FV83" s="190"/>
      <c r="FW83" s="134"/>
      <c r="FX83" s="134"/>
      <c r="FY83" s="134"/>
      <c r="FZ83" s="134"/>
      <c r="GA83" s="135"/>
      <c r="GB83" s="135"/>
      <c r="GC83" s="134"/>
      <c r="GD83" s="134"/>
      <c r="GE83" s="134"/>
      <c r="GF83" s="190"/>
      <c r="GG83" s="190"/>
      <c r="GH83" s="134"/>
      <c r="GI83" s="134"/>
      <c r="GJ83" s="134"/>
      <c r="GK83" s="135"/>
      <c r="GL83" s="135"/>
      <c r="GM83" s="134"/>
      <c r="GN83" s="134"/>
      <c r="GO83" s="134"/>
      <c r="GP83" s="134"/>
      <c r="GQ83" s="134"/>
      <c r="GR83" s="134"/>
      <c r="GS83" s="134"/>
      <c r="GT83" s="134"/>
      <c r="GU83" s="135"/>
      <c r="GV83" s="135"/>
      <c r="GW83" s="134"/>
      <c r="GX83" s="134"/>
      <c r="GY83" s="134"/>
      <c r="GZ83" s="134"/>
      <c r="HA83" s="134"/>
      <c r="HB83" s="134"/>
      <c r="HC83" s="134"/>
      <c r="HD83" s="134"/>
      <c r="HE83" s="135"/>
      <c r="HF83" s="135"/>
      <c r="HG83" s="134"/>
      <c r="HH83" s="134"/>
      <c r="HI83" s="134"/>
      <c r="HJ83" s="134"/>
      <c r="HK83" s="134"/>
      <c r="HL83" s="134"/>
      <c r="HM83" s="134"/>
      <c r="HN83" s="134"/>
      <c r="HO83" s="135"/>
      <c r="HP83" s="135"/>
      <c r="HQ83" s="134"/>
      <c r="HR83" s="134"/>
      <c r="HS83" s="134"/>
      <c r="HT83" s="134"/>
      <c r="HU83" s="134"/>
      <c r="HV83" s="134"/>
      <c r="HW83" s="134"/>
      <c r="HX83" s="134"/>
      <c r="HY83" s="135"/>
      <c r="HZ83" s="135"/>
      <c r="IA83" s="134"/>
      <c r="IB83" s="134"/>
      <c r="IC83" s="134"/>
      <c r="ID83" s="134"/>
      <c r="IE83" s="134"/>
      <c r="IF83" s="134"/>
      <c r="IG83" s="134"/>
      <c r="IH83" s="134"/>
      <c r="II83" s="135"/>
      <c r="IJ83" s="135"/>
      <c r="IK83" s="134"/>
      <c r="IL83" s="134"/>
      <c r="IM83" s="134"/>
      <c r="IN83" s="134"/>
      <c r="IO83" s="134"/>
      <c r="IP83" s="134"/>
      <c r="IQ83" s="134"/>
      <c r="IR83" s="134"/>
      <c r="IS83" s="135"/>
      <c r="IT83" s="135"/>
      <c r="IU83" s="134"/>
      <c r="IV83" s="134"/>
      <c r="IW83" s="134"/>
      <c r="IX83" s="134"/>
      <c r="IY83" s="134"/>
      <c r="IZ83" s="134"/>
      <c r="JA83" s="134"/>
      <c r="JB83" s="134"/>
      <c r="JC83" s="135"/>
      <c r="JD83" s="135"/>
    </row>
    <row r="84" spans="1:264" s="119" customFormat="1" ht="15" customHeight="1">
      <c r="A84" s="79" t="s">
        <v>1082</v>
      </c>
      <c r="B84" s="362">
        <v>92</v>
      </c>
      <c r="C84" s="362"/>
      <c r="D84" s="362">
        <v>24</v>
      </c>
      <c r="E84" s="604" t="s">
        <v>2061</v>
      </c>
      <c r="F84" s="124" t="s">
        <v>2313</v>
      </c>
      <c r="G84" s="125">
        <v>2013</v>
      </c>
      <c r="H84" s="79">
        <v>23011267</v>
      </c>
      <c r="I84" s="79">
        <v>1</v>
      </c>
      <c r="J84" s="126" t="s">
        <v>1836</v>
      </c>
      <c r="K84" s="127"/>
      <c r="L84" s="79">
        <v>0</v>
      </c>
      <c r="M84" s="79"/>
      <c r="N84" s="79">
        <v>0</v>
      </c>
      <c r="O84" s="128">
        <v>2</v>
      </c>
      <c r="P84" s="79" t="s">
        <v>1275</v>
      </c>
      <c r="Q84" s="79" t="s">
        <v>1162</v>
      </c>
      <c r="R84" s="79" t="s">
        <v>1127</v>
      </c>
      <c r="S84" s="79"/>
      <c r="T84" s="79" t="s">
        <v>1500</v>
      </c>
      <c r="U84" s="79"/>
      <c r="V84" s="79"/>
      <c r="W84" s="79" t="s">
        <v>1275</v>
      </c>
      <c r="X84" s="79" t="s">
        <v>1274</v>
      </c>
      <c r="Y84" s="79"/>
      <c r="Z84" s="79"/>
      <c r="AA84" s="79"/>
      <c r="AB84" s="79" t="s">
        <v>1124</v>
      </c>
      <c r="AC84" s="506" t="s">
        <v>6192</v>
      </c>
      <c r="AD84" s="573">
        <v>1</v>
      </c>
      <c r="AE84" s="573">
        <v>1</v>
      </c>
      <c r="AF84" s="154">
        <v>1</v>
      </c>
      <c r="AG84" s="160" t="s">
        <v>6714</v>
      </c>
      <c r="AH84" s="121">
        <v>4</v>
      </c>
      <c r="AI84" s="484"/>
      <c r="AJ84" s="202" t="s">
        <v>6715</v>
      </c>
      <c r="AK84" s="192">
        <v>0</v>
      </c>
      <c r="AL84" s="203">
        <v>0</v>
      </c>
      <c r="AM84" s="121">
        <f>Table668[[#This Row],[Data_Subjects_n_ptsd]]+Table668[[#This Row],[Data_Subjects_n_control]]</f>
        <v>29</v>
      </c>
      <c r="AN84" s="121">
        <v>15</v>
      </c>
      <c r="AO84" s="121">
        <v>14</v>
      </c>
      <c r="AP84" s="121" t="s">
        <v>803</v>
      </c>
      <c r="AQ84" s="121" t="s">
        <v>803</v>
      </c>
      <c r="AR84" s="121" t="s">
        <v>2882</v>
      </c>
      <c r="AS84" s="121" t="s">
        <v>2882</v>
      </c>
      <c r="AT84" s="121" t="s">
        <v>2882</v>
      </c>
      <c r="AU84" s="121" t="s">
        <v>2882</v>
      </c>
      <c r="AV84" s="121" t="s">
        <v>6696</v>
      </c>
      <c r="AW84" s="121">
        <v>1</v>
      </c>
      <c r="AX84" s="121">
        <v>1</v>
      </c>
      <c r="AY84" s="121" t="s">
        <v>6697</v>
      </c>
      <c r="AZ84" s="121" t="s">
        <v>1130</v>
      </c>
      <c r="BA84" s="121" t="s">
        <v>6653</v>
      </c>
      <c r="BB84" s="594" t="s">
        <v>1917</v>
      </c>
      <c r="BC84" s="594" t="s">
        <v>1917</v>
      </c>
      <c r="BD84" s="156" t="s">
        <v>1917</v>
      </c>
      <c r="BE84" s="156"/>
      <c r="BF84" s="156"/>
      <c r="BG84" s="156"/>
      <c r="BH84" s="156"/>
      <c r="BI84" s="156"/>
      <c r="BJ84" s="156">
        <v>1</v>
      </c>
      <c r="BK84" s="156"/>
      <c r="BL84" s="156"/>
      <c r="BM84" s="156"/>
      <c r="BN84" s="156"/>
      <c r="BO84" s="156"/>
      <c r="BP84" s="156"/>
      <c r="BQ84" s="596" t="s">
        <v>6704</v>
      </c>
      <c r="BR84" s="162" t="s">
        <v>6703</v>
      </c>
      <c r="BS84" s="660">
        <v>1</v>
      </c>
      <c r="BT84" s="134" t="s">
        <v>1876</v>
      </c>
      <c r="BU84" s="134" t="s">
        <v>6702</v>
      </c>
      <c r="BV84" s="134" t="s">
        <v>6698</v>
      </c>
      <c r="BW84" s="134" t="s">
        <v>1121</v>
      </c>
      <c r="BX84" s="134" t="s">
        <v>6699</v>
      </c>
      <c r="BY84" s="134" t="s">
        <v>6700</v>
      </c>
      <c r="BZ84" s="259" t="s">
        <v>6713</v>
      </c>
      <c r="CA84" s="454" t="s">
        <v>24</v>
      </c>
      <c r="CB84" s="138" t="s">
        <v>6705</v>
      </c>
      <c r="CC84" s="134">
        <v>3.6818900000000001</v>
      </c>
      <c r="CD84" s="134" t="s">
        <v>24</v>
      </c>
      <c r="CE84" s="134">
        <f>5.12237-Table668[[#This Row],[Data_Outcome1_M]]</f>
        <v>1.44048</v>
      </c>
      <c r="CF84" s="138" t="s">
        <v>6706</v>
      </c>
      <c r="CG84" s="134">
        <v>32.806800000000003</v>
      </c>
      <c r="CH84" s="134" t="s">
        <v>24</v>
      </c>
      <c r="CI84" s="134">
        <f>37.7451-Table668[[#This Row],[Data_Outcome2_M]]</f>
        <v>4.9382999999999981</v>
      </c>
      <c r="CJ84" s="300" t="s">
        <v>6711</v>
      </c>
      <c r="CK84" s="301" t="s">
        <v>2588</v>
      </c>
      <c r="CL84" s="138" t="s">
        <v>6707</v>
      </c>
      <c r="CM84" s="134">
        <v>5.5684199999999997</v>
      </c>
      <c r="CN84" s="134" t="s">
        <v>24</v>
      </c>
      <c r="CO84" s="134">
        <f>7.62602-Table668[[#This Row],[Data_Outcome3_M]]</f>
        <v>2.0575999999999999</v>
      </c>
      <c r="CP84" s="138" t="s">
        <v>6708</v>
      </c>
      <c r="CQ84" s="134">
        <v>33.492899999999999</v>
      </c>
      <c r="CR84" s="134" t="s">
        <v>24</v>
      </c>
      <c r="CS84" s="134">
        <f>38.5683-Table668[[#This Row],[Data_Outcome4_M]]</f>
        <v>5.0754000000000019</v>
      </c>
      <c r="CT84" s="300" t="s">
        <v>6711</v>
      </c>
      <c r="CU84" s="301" t="s">
        <v>2588</v>
      </c>
      <c r="CV84" s="276" t="s">
        <v>6712</v>
      </c>
      <c r="CW84" s="308"/>
      <c r="CX84" s="340" t="s">
        <v>6709</v>
      </c>
      <c r="CY84" s="339">
        <v>8.4834399999999999</v>
      </c>
      <c r="CZ84" s="340" t="s">
        <v>24</v>
      </c>
      <c r="DA84" s="339">
        <f>11.4327-Table668[[#This Row],[Data_Outcome5_M]]</f>
        <v>2.9492600000000007</v>
      </c>
      <c r="DB84" s="340" t="s">
        <v>6710</v>
      </c>
      <c r="DC84" s="134">
        <v>38.808500000000002</v>
      </c>
      <c r="DD84" s="134" t="s">
        <v>24</v>
      </c>
      <c r="DE84" s="134">
        <f>41.2776-Table668[[#This Row],[Data_Outcome6_M]]</f>
        <v>2.4690999999999974</v>
      </c>
      <c r="DF84" s="300" t="s">
        <v>6711</v>
      </c>
      <c r="DG84" s="301" t="s">
        <v>2588</v>
      </c>
      <c r="DH84" s="134"/>
      <c r="DI84" s="134"/>
      <c r="DJ84" s="134"/>
      <c r="DK84" s="134"/>
      <c r="DL84" s="134"/>
      <c r="DM84" s="134"/>
      <c r="DN84" s="134"/>
      <c r="DO84" s="134"/>
      <c r="DP84" s="300"/>
      <c r="DQ84" s="301"/>
      <c r="DR84" s="276"/>
      <c r="DS84" s="277"/>
      <c r="DT84" s="190"/>
      <c r="DU84" s="190"/>
      <c r="DV84" s="190"/>
      <c r="DW84" s="190"/>
      <c r="DX84" s="556"/>
      <c r="DY84" s="134"/>
      <c r="DZ84" s="134"/>
      <c r="EA84" s="134"/>
      <c r="EB84" s="301"/>
      <c r="EC84" s="301"/>
      <c r="ED84" s="138"/>
      <c r="EE84" s="134"/>
      <c r="EF84" s="134"/>
      <c r="EG84" s="134"/>
      <c r="EH84" s="138"/>
      <c r="EI84" s="134"/>
      <c r="EJ84" s="134"/>
      <c r="EK84" s="134"/>
      <c r="EL84" s="301"/>
      <c r="EM84" s="301"/>
      <c r="EN84" s="277"/>
      <c r="EO84" s="134"/>
      <c r="EP84" s="134"/>
      <c r="EQ84" s="134"/>
      <c r="ER84" s="134"/>
      <c r="ES84" s="134"/>
      <c r="ET84" s="134"/>
      <c r="EU84" s="134"/>
      <c r="EV84" s="134"/>
      <c r="EW84" s="301"/>
      <c r="EX84" s="301"/>
      <c r="EY84" s="134"/>
      <c r="EZ84" s="134"/>
      <c r="FA84" s="134"/>
      <c r="FB84" s="134"/>
      <c r="FC84" s="134"/>
      <c r="FD84" s="134"/>
      <c r="FE84" s="134"/>
      <c r="FF84" s="134"/>
      <c r="FG84" s="135"/>
      <c r="FH84" s="135"/>
      <c r="FI84" s="134"/>
      <c r="FJ84" s="134"/>
      <c r="FK84" s="134"/>
      <c r="FL84" s="134"/>
      <c r="FM84" s="134"/>
      <c r="FN84" s="134"/>
      <c r="FO84" s="134"/>
      <c r="FP84" s="134"/>
      <c r="FQ84" s="135"/>
      <c r="FR84" s="135"/>
      <c r="FS84" s="134"/>
      <c r="FT84" s="190"/>
      <c r="FU84" s="190"/>
      <c r="FV84" s="190"/>
      <c r="FW84" s="190"/>
      <c r="FX84" s="134"/>
      <c r="FY84" s="134"/>
      <c r="FZ84" s="134"/>
      <c r="GA84" s="135"/>
      <c r="GB84" s="135"/>
      <c r="GC84" s="134"/>
      <c r="GD84" s="134"/>
      <c r="GE84" s="134"/>
      <c r="GF84" s="190"/>
      <c r="GG84" s="190"/>
      <c r="GH84" s="134"/>
      <c r="GI84" s="134"/>
      <c r="GJ84" s="134"/>
      <c r="GK84" s="135"/>
      <c r="GL84" s="135"/>
      <c r="GM84" s="134"/>
      <c r="GN84" s="134"/>
      <c r="GO84" s="134"/>
      <c r="GP84" s="134"/>
      <c r="GQ84" s="134"/>
      <c r="GR84" s="134"/>
      <c r="GS84" s="134"/>
      <c r="GT84" s="134"/>
      <c r="GU84" s="135"/>
      <c r="GV84" s="135"/>
      <c r="GW84" s="134"/>
      <c r="GX84" s="134"/>
      <c r="GY84" s="134"/>
      <c r="GZ84" s="134"/>
      <c r="HA84" s="134"/>
      <c r="HB84" s="134"/>
      <c r="HC84" s="134"/>
      <c r="HD84" s="134"/>
      <c r="HE84" s="135"/>
      <c r="HF84" s="135"/>
      <c r="HG84" s="134"/>
      <c r="HH84" s="134"/>
      <c r="HI84" s="134"/>
      <c r="HJ84" s="134"/>
      <c r="HK84" s="134"/>
      <c r="HL84" s="134"/>
      <c r="HM84" s="134"/>
      <c r="HN84" s="134"/>
      <c r="HO84" s="135"/>
      <c r="HP84" s="135"/>
      <c r="HQ84" s="134"/>
      <c r="HR84" s="134"/>
      <c r="HS84" s="134"/>
      <c r="HT84" s="134"/>
      <c r="HU84" s="134"/>
      <c r="HV84" s="134"/>
      <c r="HW84" s="134"/>
      <c r="HX84" s="134"/>
      <c r="HY84" s="135"/>
      <c r="HZ84" s="135"/>
      <c r="IA84" s="134"/>
      <c r="IB84" s="134"/>
      <c r="IC84" s="134"/>
      <c r="ID84" s="134"/>
      <c r="IE84" s="134"/>
      <c r="IF84" s="134"/>
      <c r="IG84" s="134"/>
      <c r="IH84" s="134"/>
      <c r="II84" s="135"/>
      <c r="IJ84" s="135"/>
      <c r="IK84" s="134"/>
      <c r="IL84" s="134"/>
      <c r="IM84" s="134"/>
      <c r="IN84" s="134"/>
      <c r="IO84" s="134"/>
      <c r="IP84" s="134"/>
      <c r="IQ84" s="134"/>
      <c r="IR84" s="134"/>
      <c r="IS84" s="135"/>
      <c r="IT84" s="135"/>
      <c r="IU84" s="134"/>
      <c r="IV84" s="134"/>
      <c r="IW84" s="134"/>
      <c r="IX84" s="134"/>
      <c r="IY84" s="134"/>
      <c r="IZ84" s="134"/>
      <c r="JA84" s="134"/>
      <c r="JB84" s="134"/>
      <c r="JC84" s="135"/>
      <c r="JD84" s="135"/>
    </row>
    <row r="85" spans="1:264" ht="15" customHeight="1">
      <c r="A85" s="79" t="s">
        <v>1076</v>
      </c>
      <c r="B85" s="362">
        <v>100</v>
      </c>
      <c r="C85" s="362"/>
      <c r="D85" s="362">
        <v>29</v>
      </c>
      <c r="E85" s="604" t="s">
        <v>2064</v>
      </c>
      <c r="F85" s="124" t="s">
        <v>2316</v>
      </c>
      <c r="G85" s="125">
        <v>2015</v>
      </c>
      <c r="H85" s="79">
        <v>25979764</v>
      </c>
      <c r="I85" s="79">
        <v>1</v>
      </c>
      <c r="J85" s="126"/>
      <c r="K85" s="127"/>
      <c r="L85" s="164">
        <v>1</v>
      </c>
      <c r="M85" s="79"/>
      <c r="N85" s="164">
        <v>1</v>
      </c>
      <c r="O85" s="128">
        <v>2</v>
      </c>
      <c r="P85" s="79" t="s">
        <v>1293</v>
      </c>
      <c r="Q85" s="79" t="s">
        <v>23</v>
      </c>
      <c r="R85" s="79" t="s">
        <v>1127</v>
      </c>
      <c r="S85" s="79"/>
      <c r="T85" s="79" t="s">
        <v>1487</v>
      </c>
      <c r="U85" s="79"/>
      <c r="V85" s="79"/>
      <c r="W85" s="79" t="s">
        <v>1293</v>
      </c>
      <c r="X85" s="79" t="s">
        <v>1292</v>
      </c>
      <c r="Y85" s="79"/>
      <c r="Z85" s="79"/>
      <c r="AA85" s="79"/>
      <c r="AB85" s="79" t="s">
        <v>1294</v>
      </c>
      <c r="AC85" s="506" t="s">
        <v>6197</v>
      </c>
      <c r="AD85" s="573">
        <v>1</v>
      </c>
      <c r="AE85" s="573">
        <v>1</v>
      </c>
      <c r="AF85" s="154">
        <v>1</v>
      </c>
      <c r="AG85" s="155" t="s">
        <v>6719</v>
      </c>
      <c r="AH85" s="121">
        <v>4</v>
      </c>
      <c r="AI85" s="484" t="s">
        <v>6727</v>
      </c>
      <c r="AJ85" s="202" t="s">
        <v>6728</v>
      </c>
      <c r="AK85" s="192">
        <v>0</v>
      </c>
      <c r="AL85" s="203">
        <v>0</v>
      </c>
      <c r="AM85" s="121">
        <v>20</v>
      </c>
      <c r="AN85" s="121" t="s">
        <v>6732</v>
      </c>
      <c r="AO85" s="121" t="s">
        <v>6733</v>
      </c>
      <c r="AP85" s="121" t="s">
        <v>803</v>
      </c>
      <c r="AQ85" s="121" t="s">
        <v>803</v>
      </c>
      <c r="AR85" s="121" t="s">
        <v>2687</v>
      </c>
      <c r="AS85" s="121" t="s">
        <v>2882</v>
      </c>
      <c r="AT85" s="121" t="s">
        <v>2687</v>
      </c>
      <c r="AU85" s="121" t="s">
        <v>2882</v>
      </c>
      <c r="AV85" s="121" t="s">
        <v>6716</v>
      </c>
      <c r="AW85" s="121">
        <v>1</v>
      </c>
      <c r="AX85" s="121">
        <v>1</v>
      </c>
      <c r="AY85" s="121" t="s">
        <v>6717</v>
      </c>
      <c r="AZ85" s="121" t="s">
        <v>1130</v>
      </c>
      <c r="BA85" s="121" t="s">
        <v>6653</v>
      </c>
      <c r="BB85" s="594"/>
      <c r="BC85" s="594"/>
      <c r="BD85" s="156">
        <v>1</v>
      </c>
      <c r="BE85" s="156"/>
      <c r="BF85" s="156"/>
      <c r="BG85" s="156"/>
      <c r="BH85" s="156"/>
      <c r="BI85" s="156"/>
      <c r="BJ85" s="156"/>
      <c r="BK85" s="156"/>
      <c r="BL85" s="156"/>
      <c r="BM85" s="156"/>
      <c r="BN85" s="156"/>
      <c r="BO85" s="156"/>
      <c r="BP85" s="156"/>
      <c r="BQ85" s="595" t="s">
        <v>6720</v>
      </c>
      <c r="BR85" s="157" t="s">
        <v>6595</v>
      </c>
      <c r="BS85" s="660">
        <v>2</v>
      </c>
      <c r="BT85" s="134" t="s">
        <v>1876</v>
      </c>
      <c r="BU85" s="134">
        <v>2</v>
      </c>
      <c r="BV85" s="134" t="s">
        <v>6721</v>
      </c>
      <c r="BW85" s="134" t="s">
        <v>4416</v>
      </c>
      <c r="BX85" s="134" t="s">
        <v>6723</v>
      </c>
      <c r="BY85" s="134" t="s">
        <v>6640</v>
      </c>
      <c r="BZ85" s="259" t="s">
        <v>6729</v>
      </c>
      <c r="CA85" s="454" t="s">
        <v>6731</v>
      </c>
      <c r="CB85" s="138" t="s">
        <v>6722</v>
      </c>
      <c r="CC85" s="134">
        <v>63.900100000000002</v>
      </c>
      <c r="CD85" s="134" t="s">
        <v>24</v>
      </c>
      <c r="CE85" s="134">
        <f>73.455-Table668[[#This Row],[Data_Outcome1_M]]</f>
        <v>9.5548999999999964</v>
      </c>
      <c r="CF85" s="138" t="s">
        <v>6724</v>
      </c>
      <c r="CG85" s="134">
        <v>73.524699999999996</v>
      </c>
      <c r="CH85" s="134" t="s">
        <v>24</v>
      </c>
      <c r="CI85" s="134">
        <f>85.141-Table668[[#This Row],[Data_Outcome2_M]]</f>
        <v>11.61630000000001</v>
      </c>
      <c r="CJ85" s="288" t="s">
        <v>24</v>
      </c>
      <c r="CK85" s="289" t="s">
        <v>24</v>
      </c>
      <c r="CL85" s="138" t="s">
        <v>6725</v>
      </c>
      <c r="CM85" s="134">
        <v>30.3169</v>
      </c>
      <c r="CN85" s="134" t="s">
        <v>24</v>
      </c>
      <c r="CO85" s="134">
        <f>41.3706-Table668[[#This Row],[Data_Outcome3_M]]</f>
        <v>11.053700000000003</v>
      </c>
      <c r="CP85" s="138" t="s">
        <v>6726</v>
      </c>
      <c r="CQ85" s="134">
        <v>17.9283</v>
      </c>
      <c r="CR85" s="134" t="s">
        <v>24</v>
      </c>
      <c r="CS85" s="134">
        <f>22.2374-Table668[[#This Row],[Data_Outcome4_M]]</f>
        <v>4.3091000000000008</v>
      </c>
      <c r="CT85" s="288" t="s">
        <v>24</v>
      </c>
      <c r="CU85" s="289" t="s">
        <v>24</v>
      </c>
      <c r="CV85" s="276" t="s">
        <v>6729</v>
      </c>
      <c r="CW85" s="308" t="s">
        <v>6730</v>
      </c>
      <c r="CX85" s="137" t="s">
        <v>24</v>
      </c>
      <c r="CY85" s="134"/>
      <c r="CZ85" s="134"/>
      <c r="DA85" s="134"/>
      <c r="DB85" s="168"/>
      <c r="DC85" s="134"/>
      <c r="DD85" s="134"/>
      <c r="DE85" s="134"/>
      <c r="DF85" s="300"/>
      <c r="DG85" s="301"/>
      <c r="DH85" s="134"/>
      <c r="DI85" s="134"/>
      <c r="DJ85" s="134"/>
      <c r="DK85" s="134"/>
      <c r="DL85" s="134"/>
      <c r="DM85" s="134"/>
      <c r="DN85" s="134"/>
      <c r="DO85" s="134"/>
      <c r="DP85" s="300"/>
      <c r="DQ85" s="301"/>
      <c r="DR85" s="276"/>
      <c r="DS85" s="277"/>
      <c r="DT85" s="134"/>
      <c r="DU85" s="134"/>
      <c r="DV85" s="190"/>
      <c r="DW85" s="190"/>
      <c r="DX85" s="556"/>
      <c r="DY85" s="190"/>
      <c r="DZ85" s="134"/>
      <c r="EA85" s="134"/>
      <c r="EB85" s="301"/>
      <c r="EC85" s="301"/>
      <c r="ED85" s="556"/>
      <c r="EE85" s="190"/>
      <c r="EF85" s="190"/>
      <c r="EG85" s="190"/>
      <c r="EH85" s="556"/>
      <c r="EI85" s="190"/>
      <c r="EJ85" s="134"/>
      <c r="EK85" s="134"/>
      <c r="EL85" s="301"/>
      <c r="EM85" s="301"/>
      <c r="EN85" s="277"/>
      <c r="EO85" s="190"/>
      <c r="EP85" s="190"/>
      <c r="EQ85" s="190"/>
      <c r="ER85" s="190"/>
      <c r="ES85" s="190"/>
      <c r="ET85" s="134"/>
      <c r="EU85" s="134"/>
      <c r="EV85" s="134"/>
      <c r="EW85" s="301"/>
      <c r="EX85" s="301"/>
      <c r="EY85" s="134"/>
      <c r="EZ85" s="190"/>
      <c r="FA85" s="190"/>
      <c r="FB85" s="190"/>
      <c r="FC85" s="190"/>
      <c r="FD85" s="190"/>
      <c r="FE85" s="134"/>
      <c r="FF85" s="134"/>
      <c r="FG85" s="135"/>
      <c r="FH85" s="135"/>
      <c r="FI85" s="134"/>
      <c r="FJ85" s="134"/>
      <c r="FK85" s="134"/>
      <c r="FL85" s="134"/>
      <c r="FM85" s="134"/>
      <c r="FN85" s="134"/>
      <c r="FO85" s="134"/>
      <c r="FP85" s="134"/>
      <c r="FQ85" s="135"/>
      <c r="FR85" s="135"/>
      <c r="FS85" s="134"/>
      <c r="FT85" s="134"/>
      <c r="FU85" s="134"/>
      <c r="FV85" s="134"/>
      <c r="FW85" s="134"/>
      <c r="FX85" s="134"/>
      <c r="FY85" s="134"/>
      <c r="FZ85" s="134"/>
      <c r="GA85" s="135"/>
      <c r="GB85" s="135"/>
      <c r="GC85" s="134"/>
      <c r="GD85" s="134"/>
      <c r="GE85" s="134"/>
      <c r="GF85" s="134"/>
      <c r="GG85" s="134"/>
      <c r="GH85" s="134"/>
      <c r="GI85" s="134"/>
      <c r="GJ85" s="134"/>
      <c r="GK85" s="135"/>
      <c r="GL85" s="135"/>
      <c r="GM85" s="134"/>
      <c r="GN85" s="134"/>
      <c r="GO85" s="134"/>
      <c r="GP85" s="134"/>
      <c r="GQ85" s="134"/>
      <c r="GR85" s="134"/>
      <c r="GS85" s="134"/>
      <c r="GT85" s="134"/>
      <c r="GU85" s="135"/>
      <c r="GV85" s="135"/>
      <c r="GW85" s="134"/>
      <c r="GX85" s="134"/>
      <c r="GY85" s="134"/>
      <c r="GZ85" s="134"/>
      <c r="HA85" s="134"/>
      <c r="HB85" s="134"/>
      <c r="HC85" s="134"/>
      <c r="HD85" s="134"/>
      <c r="HE85" s="135"/>
      <c r="HF85" s="135"/>
      <c r="HG85" s="134"/>
      <c r="HH85" s="134"/>
      <c r="HI85" s="134"/>
      <c r="HJ85" s="134"/>
      <c r="HK85" s="134"/>
      <c r="HL85" s="134"/>
      <c r="HM85" s="134"/>
      <c r="HN85" s="134"/>
      <c r="HO85" s="135"/>
      <c r="HP85" s="135"/>
      <c r="HQ85" s="134"/>
      <c r="HR85" s="134"/>
      <c r="HS85" s="134"/>
      <c r="HT85" s="134"/>
      <c r="HU85" s="134"/>
      <c r="HV85" s="134"/>
      <c r="HW85" s="134"/>
      <c r="HX85" s="134"/>
      <c r="HY85" s="135"/>
      <c r="HZ85" s="135"/>
      <c r="IA85" s="134"/>
      <c r="IB85" s="134"/>
      <c r="IC85" s="134"/>
      <c r="ID85" s="134"/>
      <c r="IE85" s="134"/>
      <c r="IF85" s="134"/>
      <c r="IG85" s="134"/>
      <c r="IH85" s="134"/>
      <c r="II85" s="135"/>
      <c r="IJ85" s="135"/>
      <c r="IK85" s="134"/>
      <c r="IL85" s="134"/>
      <c r="IM85" s="134"/>
      <c r="IN85" s="134"/>
      <c r="IO85" s="134"/>
      <c r="IP85" s="134"/>
      <c r="IQ85" s="134"/>
      <c r="IR85" s="134"/>
      <c r="IS85" s="135"/>
      <c r="IT85" s="135"/>
      <c r="IU85" s="134"/>
      <c r="IV85" s="134"/>
      <c r="IW85" s="134"/>
      <c r="IX85" s="134"/>
      <c r="IY85" s="134"/>
      <c r="IZ85" s="134"/>
      <c r="JA85" s="134"/>
      <c r="JB85" s="134"/>
      <c r="JC85" s="135"/>
      <c r="JD85" s="135"/>
    </row>
    <row r="86" spans="1:264" customFormat="1" ht="15" customHeight="1">
      <c r="A86" s="79" t="s">
        <v>1074</v>
      </c>
      <c r="B86" s="362">
        <v>103</v>
      </c>
      <c r="C86" s="362"/>
      <c r="D86" s="362">
        <v>31</v>
      </c>
      <c r="E86" s="604" t="s">
        <v>2065</v>
      </c>
      <c r="F86" s="124" t="s">
        <v>2317</v>
      </c>
      <c r="G86" s="125">
        <v>2016</v>
      </c>
      <c r="H86" s="79">
        <v>27417516</v>
      </c>
      <c r="I86" s="79">
        <v>1</v>
      </c>
      <c r="J86" s="126">
        <v>1</v>
      </c>
      <c r="K86" s="127"/>
      <c r="L86" s="79">
        <v>1</v>
      </c>
      <c r="M86" s="79"/>
      <c r="N86" s="79">
        <v>1</v>
      </c>
      <c r="O86" s="128">
        <v>2</v>
      </c>
      <c r="P86" s="79" t="s">
        <v>1296</v>
      </c>
      <c r="Q86" s="79" t="s">
        <v>1166</v>
      </c>
      <c r="R86" s="79" t="s">
        <v>1127</v>
      </c>
      <c r="S86" s="79"/>
      <c r="T86" s="79" t="s">
        <v>1542</v>
      </c>
      <c r="U86" s="79"/>
      <c r="V86" s="79"/>
      <c r="W86" s="79" t="s">
        <v>1297</v>
      </c>
      <c r="X86" s="79" t="s">
        <v>1298</v>
      </c>
      <c r="Y86" s="79"/>
      <c r="Z86" s="79"/>
      <c r="AA86" s="79"/>
      <c r="AB86" s="79" t="s">
        <v>1299</v>
      </c>
      <c r="AC86" s="506" t="s">
        <v>6199</v>
      </c>
      <c r="AD86" s="573">
        <v>1</v>
      </c>
      <c r="AE86" s="573">
        <v>1</v>
      </c>
      <c r="AF86" s="230" t="s">
        <v>3003</v>
      </c>
      <c r="AG86" s="231" t="s">
        <v>6734</v>
      </c>
      <c r="AH86" s="135">
        <v>4</v>
      </c>
      <c r="AI86" s="135"/>
      <c r="AJ86" s="235"/>
      <c r="AK86" s="236"/>
      <c r="AL86" s="237"/>
      <c r="AM86" s="135"/>
      <c r="AN86" s="246"/>
      <c r="AO86" s="135"/>
      <c r="AP86" s="135"/>
      <c r="AQ86" s="135"/>
      <c r="AR86" s="135"/>
      <c r="AS86" s="135"/>
      <c r="AT86" s="135"/>
      <c r="AU86" s="135"/>
      <c r="AV86" s="135"/>
      <c r="AW86" s="135"/>
      <c r="AX86" s="135"/>
      <c r="AY86" s="135"/>
      <c r="AZ86" s="135"/>
      <c r="BA86" s="135"/>
      <c r="BB86" s="691"/>
      <c r="BC86" s="691"/>
      <c r="BD86" s="239" t="s">
        <v>5207</v>
      </c>
      <c r="BE86" s="156"/>
      <c r="BF86" s="156" t="s">
        <v>5207</v>
      </c>
      <c r="BG86" s="156" t="s">
        <v>1917</v>
      </c>
      <c r="BH86" s="156"/>
      <c r="BI86" s="156" t="s">
        <v>4727</v>
      </c>
      <c r="BJ86" s="156"/>
      <c r="BK86" s="156"/>
      <c r="BL86" s="156"/>
      <c r="BM86" s="156"/>
      <c r="BN86" s="156"/>
      <c r="BO86" s="156"/>
      <c r="BP86" s="156"/>
      <c r="BQ86" s="595"/>
      <c r="BR86" s="157"/>
      <c r="BS86" s="660"/>
      <c r="BT86" s="134"/>
      <c r="BU86" s="134"/>
      <c r="BV86" s="134"/>
      <c r="BW86" s="134"/>
      <c r="BX86" s="134"/>
      <c r="BY86" s="134"/>
      <c r="BZ86" s="259"/>
      <c r="CA86" s="454"/>
      <c r="CB86" s="138"/>
      <c r="CC86" s="190"/>
      <c r="CD86" s="134"/>
      <c r="CE86" s="190"/>
      <c r="CF86" s="463"/>
      <c r="CG86" s="134"/>
      <c r="CH86" s="134"/>
      <c r="CI86" s="134"/>
      <c r="CJ86" s="288"/>
      <c r="CK86" s="289"/>
      <c r="CL86" s="439"/>
      <c r="CM86" s="190"/>
      <c r="CN86" s="134"/>
      <c r="CO86" s="190"/>
      <c r="CP86" s="463"/>
      <c r="CQ86" s="134"/>
      <c r="CR86" s="134"/>
      <c r="CS86" s="134"/>
      <c r="CT86" s="288"/>
      <c r="CU86" s="289"/>
      <c r="CV86" s="276"/>
      <c r="CW86" s="308"/>
      <c r="CX86" s="138"/>
      <c r="CY86" s="190"/>
      <c r="CZ86" s="134"/>
      <c r="DA86" s="190"/>
      <c r="DB86" s="134"/>
      <c r="DC86" s="134"/>
      <c r="DD86" s="134"/>
      <c r="DE86" s="134"/>
      <c r="DF86" s="300"/>
      <c r="DG86" s="301"/>
      <c r="DH86" s="134"/>
      <c r="DI86" s="134"/>
      <c r="DJ86" s="134"/>
      <c r="DK86" s="134"/>
      <c r="DL86" s="134"/>
      <c r="DM86" s="134"/>
      <c r="DN86" s="134"/>
      <c r="DO86" s="134"/>
      <c r="DP86" s="300"/>
      <c r="DQ86" s="301"/>
      <c r="DR86" s="276"/>
      <c r="DS86" s="277"/>
      <c r="DT86" s="134"/>
      <c r="DU86" s="190"/>
      <c r="DV86" s="190"/>
      <c r="DW86" s="190"/>
      <c r="DX86" s="556"/>
      <c r="DY86" s="190"/>
      <c r="DZ86" s="134"/>
      <c r="EA86" s="134"/>
      <c r="EB86" s="301"/>
      <c r="EC86" s="301"/>
      <c r="ED86" s="556"/>
      <c r="EE86" s="190"/>
      <c r="EF86" s="190"/>
      <c r="EG86" s="190"/>
      <c r="EH86" s="556"/>
      <c r="EI86" s="190"/>
      <c r="EJ86" s="134"/>
      <c r="EK86" s="134"/>
      <c r="EL86" s="301"/>
      <c r="EM86" s="301"/>
      <c r="EN86" s="277"/>
      <c r="EO86" s="190"/>
      <c r="EP86" s="190"/>
      <c r="EQ86" s="190"/>
      <c r="ER86" s="190"/>
      <c r="ES86" s="190"/>
      <c r="ET86" s="134"/>
      <c r="EU86" s="134"/>
      <c r="EV86" s="134"/>
      <c r="EW86" s="301"/>
      <c r="EX86" s="301"/>
      <c r="EY86" s="134"/>
      <c r="EZ86" s="190"/>
      <c r="FA86" s="190"/>
      <c r="FB86" s="190"/>
      <c r="FC86" s="190"/>
      <c r="FD86" s="190"/>
      <c r="FE86" s="190"/>
      <c r="FF86" s="134"/>
      <c r="FG86" s="135"/>
      <c r="FH86" s="135"/>
      <c r="FI86" s="134"/>
      <c r="FJ86" s="134"/>
      <c r="FK86" s="134"/>
      <c r="FL86" s="134"/>
      <c r="FM86" s="134"/>
      <c r="FN86" s="134"/>
      <c r="FO86" s="134"/>
      <c r="FP86" s="134"/>
      <c r="FQ86" s="135"/>
      <c r="FR86" s="135"/>
      <c r="FS86" s="134"/>
      <c r="FT86" s="190"/>
      <c r="FU86" s="190"/>
      <c r="FV86" s="190"/>
      <c r="FW86" s="134"/>
      <c r="FX86" s="134"/>
      <c r="FY86" s="134"/>
      <c r="FZ86" s="134"/>
      <c r="GA86" s="135"/>
      <c r="GB86" s="135"/>
      <c r="GC86" s="134"/>
      <c r="GD86" s="134"/>
      <c r="GE86" s="134"/>
      <c r="GF86" s="134"/>
      <c r="GG86" s="134"/>
      <c r="GH86" s="134"/>
      <c r="GI86" s="134"/>
      <c r="GJ86" s="134"/>
      <c r="GK86" s="135"/>
      <c r="GL86" s="135"/>
      <c r="GM86" s="134"/>
      <c r="GN86" s="134"/>
      <c r="GO86" s="134"/>
      <c r="GP86" s="134"/>
      <c r="GQ86" s="134"/>
      <c r="GR86" s="134"/>
      <c r="GS86" s="134"/>
      <c r="GT86" s="134"/>
      <c r="GU86" s="135"/>
      <c r="GV86" s="135"/>
      <c r="GW86" s="134"/>
      <c r="GX86" s="134"/>
      <c r="GY86" s="134"/>
      <c r="GZ86" s="134"/>
      <c r="HA86" s="134"/>
      <c r="HB86" s="134"/>
      <c r="HC86" s="134"/>
      <c r="HD86" s="134"/>
      <c r="HE86" s="135"/>
      <c r="HF86" s="135"/>
      <c r="HG86" s="134"/>
      <c r="HH86" s="134"/>
      <c r="HI86" s="134"/>
      <c r="HJ86" s="134"/>
      <c r="HK86" s="134"/>
      <c r="HL86" s="134"/>
      <c r="HM86" s="134"/>
      <c r="HN86" s="134"/>
      <c r="HO86" s="135"/>
      <c r="HP86" s="135"/>
      <c r="HQ86" s="134"/>
      <c r="HR86" s="134"/>
      <c r="HS86" s="134"/>
      <c r="HT86" s="134"/>
      <c r="HU86" s="134"/>
      <c r="HV86" s="134"/>
      <c r="HW86" s="134"/>
      <c r="HX86" s="134"/>
      <c r="HY86" s="135"/>
      <c r="HZ86" s="135"/>
      <c r="IA86" s="134"/>
      <c r="IB86" s="134"/>
      <c r="IC86" s="134"/>
      <c r="ID86" s="134"/>
      <c r="IE86" s="134"/>
      <c r="IF86" s="134"/>
      <c r="IG86" s="134"/>
      <c r="IH86" s="134"/>
      <c r="II86" s="135"/>
      <c r="IJ86" s="135"/>
      <c r="IK86" s="134"/>
      <c r="IL86" s="134"/>
      <c r="IM86" s="134"/>
      <c r="IN86" s="134"/>
      <c r="IO86" s="134"/>
      <c r="IP86" s="134"/>
      <c r="IQ86" s="134"/>
      <c r="IR86" s="134"/>
      <c r="IS86" s="135"/>
      <c r="IT86" s="135"/>
      <c r="IU86" s="134"/>
      <c r="IV86" s="134"/>
      <c r="IW86" s="134"/>
      <c r="IX86" s="134"/>
      <c r="IY86" s="134"/>
      <c r="IZ86" s="134"/>
      <c r="JA86" s="134"/>
      <c r="JB86" s="134"/>
      <c r="JC86" s="135"/>
      <c r="JD86" s="135"/>
    </row>
    <row r="87" spans="1:264" s="119" customFormat="1" ht="15" customHeight="1">
      <c r="A87" s="79" t="s">
        <v>1070</v>
      </c>
      <c r="B87" s="362">
        <v>105</v>
      </c>
      <c r="C87" s="362"/>
      <c r="D87" s="362">
        <v>33</v>
      </c>
      <c r="E87" s="604" t="s">
        <v>2068</v>
      </c>
      <c r="F87" s="124" t="s">
        <v>2320</v>
      </c>
      <c r="G87" s="125">
        <v>2014</v>
      </c>
      <c r="H87" s="79">
        <v>24675061</v>
      </c>
      <c r="I87" s="79">
        <v>1</v>
      </c>
      <c r="J87" s="126"/>
      <c r="K87" s="127"/>
      <c r="L87" s="79">
        <v>1</v>
      </c>
      <c r="M87" s="79"/>
      <c r="N87" s="79">
        <v>1</v>
      </c>
      <c r="O87" s="128">
        <v>2</v>
      </c>
      <c r="P87" s="79" t="s">
        <v>1307</v>
      </c>
      <c r="Q87" s="79" t="s">
        <v>1224</v>
      </c>
      <c r="R87" s="79" t="s">
        <v>1127</v>
      </c>
      <c r="S87" s="79"/>
      <c r="T87" s="79" t="s">
        <v>1498</v>
      </c>
      <c r="U87" s="79"/>
      <c r="V87" s="79"/>
      <c r="W87" s="79" t="s">
        <v>1516</v>
      </c>
      <c r="X87" s="79" t="s">
        <v>1308</v>
      </c>
      <c r="Y87" s="79" t="s">
        <v>1309</v>
      </c>
      <c r="Z87" s="79"/>
      <c r="AA87" s="79"/>
      <c r="AB87" s="79"/>
      <c r="AC87" s="506" t="s">
        <v>6201</v>
      </c>
      <c r="AD87" s="573">
        <v>1</v>
      </c>
      <c r="AE87" s="573">
        <v>1</v>
      </c>
      <c r="AF87" s="154">
        <v>1</v>
      </c>
      <c r="AG87" s="155"/>
      <c r="AH87" s="121">
        <v>4</v>
      </c>
      <c r="AI87" s="484"/>
      <c r="AJ87" s="202" t="s">
        <v>6765</v>
      </c>
      <c r="AK87" s="192">
        <v>2</v>
      </c>
      <c r="AL87" s="203">
        <v>0</v>
      </c>
      <c r="AM87" s="121">
        <f>Table668[[#This Row],[Data_Subjects_n_ptsd]]+Table668[[#This Row],[Data_Subjects_n_control]]</f>
        <v>18</v>
      </c>
      <c r="AN87" s="417">
        <v>8</v>
      </c>
      <c r="AO87" s="121">
        <v>10</v>
      </c>
      <c r="AP87" s="121" t="s">
        <v>803</v>
      </c>
      <c r="AQ87" s="121" t="s">
        <v>803</v>
      </c>
      <c r="AR87" s="121" t="s">
        <v>6735</v>
      </c>
      <c r="AS87" s="417" t="s">
        <v>2882</v>
      </c>
      <c r="AT87" s="121" t="s">
        <v>6735</v>
      </c>
      <c r="AU87" s="121" t="s">
        <v>2882</v>
      </c>
      <c r="AV87" s="121" t="s">
        <v>6737</v>
      </c>
      <c r="AW87" s="121">
        <v>1</v>
      </c>
      <c r="AX87" s="121">
        <v>1</v>
      </c>
      <c r="AY87" s="121" t="s">
        <v>6740</v>
      </c>
      <c r="AZ87" s="121" t="s">
        <v>1130</v>
      </c>
      <c r="BA87" s="121" t="s">
        <v>6653</v>
      </c>
      <c r="BB87" s="594"/>
      <c r="BC87" s="594"/>
      <c r="BD87" s="156">
        <v>1</v>
      </c>
      <c r="BE87" s="156"/>
      <c r="BF87" s="156"/>
      <c r="BG87" s="156"/>
      <c r="BH87" s="156"/>
      <c r="BI87" s="156"/>
      <c r="BJ87" s="156"/>
      <c r="BK87" s="156"/>
      <c r="BL87" s="156"/>
      <c r="BM87" s="156"/>
      <c r="BN87" s="156"/>
      <c r="BO87" s="156"/>
      <c r="BP87" s="156"/>
      <c r="BQ87" s="595" t="s">
        <v>6738</v>
      </c>
      <c r="BR87" s="157" t="s">
        <v>6657</v>
      </c>
      <c r="BS87" s="660">
        <v>1</v>
      </c>
      <c r="BT87" s="134" t="s">
        <v>1876</v>
      </c>
      <c r="BU87" s="134">
        <v>2</v>
      </c>
      <c r="BV87" s="134" t="s">
        <v>6741</v>
      </c>
      <c r="BW87" s="134" t="s">
        <v>6736</v>
      </c>
      <c r="BX87" s="134" t="s">
        <v>6742</v>
      </c>
      <c r="BY87" s="134" t="s">
        <v>2659</v>
      </c>
      <c r="BZ87" s="259" t="s">
        <v>6747</v>
      </c>
      <c r="CA87" s="454" t="s">
        <v>6627</v>
      </c>
      <c r="CB87" s="138" t="s">
        <v>6743</v>
      </c>
      <c r="CC87" s="190">
        <v>86.148499999999999</v>
      </c>
      <c r="CD87" s="134" t="s">
        <v>24</v>
      </c>
      <c r="CE87" s="190">
        <f>90.7462-Table668[[#This Row],[Data_Outcome1_M]]</f>
        <v>4.5977000000000032</v>
      </c>
      <c r="CF87" s="138" t="s">
        <v>6744</v>
      </c>
      <c r="CG87" s="134">
        <v>5.8032700000000004</v>
      </c>
      <c r="CH87" s="134" t="s">
        <v>24</v>
      </c>
      <c r="CI87" s="134">
        <f>7.18257-Table668[[#This Row],[Data_Outcome2_M]]</f>
        <v>1.3792999999999997</v>
      </c>
      <c r="CJ87" s="288" t="s">
        <v>6745</v>
      </c>
      <c r="CK87" s="289" t="s">
        <v>6746</v>
      </c>
      <c r="CL87" s="439"/>
      <c r="CM87" s="190"/>
      <c r="CN87" s="134"/>
      <c r="CO87" s="190"/>
      <c r="CP87" s="463"/>
      <c r="CQ87" s="134"/>
      <c r="CR87" s="134"/>
      <c r="CS87" s="134"/>
      <c r="CT87" s="288"/>
      <c r="CU87" s="289"/>
      <c r="CV87" s="276"/>
      <c r="CW87" s="308"/>
      <c r="CX87" s="138"/>
      <c r="CY87" s="190"/>
      <c r="CZ87" s="134"/>
      <c r="DA87" s="190"/>
      <c r="DB87" s="134"/>
      <c r="DC87" s="134"/>
      <c r="DD87" s="134"/>
      <c r="DE87" s="134"/>
      <c r="DF87" s="300"/>
      <c r="DG87" s="301"/>
      <c r="DH87" s="134"/>
      <c r="DI87" s="134"/>
      <c r="DJ87" s="134"/>
      <c r="DK87" s="134"/>
      <c r="DL87" s="134"/>
      <c r="DM87" s="134"/>
      <c r="DN87" s="134"/>
      <c r="DO87" s="134"/>
      <c r="DP87" s="300"/>
      <c r="DQ87" s="301"/>
      <c r="DR87" s="276"/>
      <c r="DS87" s="277"/>
      <c r="DT87" s="134"/>
      <c r="DU87" s="190"/>
      <c r="DV87" s="190"/>
      <c r="DW87" s="190"/>
      <c r="DX87" s="556"/>
      <c r="DY87" s="190"/>
      <c r="DZ87" s="134"/>
      <c r="EA87" s="134"/>
      <c r="EB87" s="301"/>
      <c r="EC87" s="301"/>
      <c r="ED87" s="138"/>
      <c r="EE87" s="134"/>
      <c r="EF87" s="134"/>
      <c r="EG87" s="134"/>
      <c r="EH87" s="138"/>
      <c r="EI87" s="134"/>
      <c r="EJ87" s="134"/>
      <c r="EK87" s="134"/>
      <c r="EL87" s="301"/>
      <c r="EM87" s="301"/>
      <c r="EN87" s="277"/>
      <c r="EO87" s="134"/>
      <c r="EP87" s="134"/>
      <c r="EQ87" s="134"/>
      <c r="ER87" s="134"/>
      <c r="ES87" s="134"/>
      <c r="ET87" s="134"/>
      <c r="EU87" s="134"/>
      <c r="EV87" s="134"/>
      <c r="EW87" s="301"/>
      <c r="EX87" s="301"/>
      <c r="EY87" s="134"/>
      <c r="EZ87" s="134"/>
      <c r="FA87" s="134"/>
      <c r="FB87" s="134"/>
      <c r="FC87" s="134"/>
      <c r="FD87" s="134"/>
      <c r="FE87" s="134"/>
      <c r="FF87" s="134"/>
      <c r="FG87" s="135"/>
      <c r="FH87" s="135"/>
      <c r="FI87" s="134"/>
      <c r="FJ87" s="134"/>
      <c r="FK87" s="134"/>
      <c r="FL87" s="134"/>
      <c r="FM87" s="134"/>
      <c r="FN87" s="134"/>
      <c r="FO87" s="134"/>
      <c r="FP87" s="134"/>
      <c r="FQ87" s="135"/>
      <c r="FR87" s="135"/>
      <c r="FS87" s="134"/>
      <c r="FT87" s="134"/>
      <c r="FU87" s="134"/>
      <c r="FV87" s="134"/>
      <c r="FW87" s="134"/>
      <c r="FX87" s="134"/>
      <c r="FY87" s="134"/>
      <c r="FZ87" s="134"/>
      <c r="GA87" s="135"/>
      <c r="GB87" s="135"/>
      <c r="GC87" s="134"/>
      <c r="GD87" s="134"/>
      <c r="GE87" s="134"/>
      <c r="GF87" s="134"/>
      <c r="GG87" s="134"/>
      <c r="GH87" s="134"/>
      <c r="GI87" s="134"/>
      <c r="GJ87" s="134"/>
      <c r="GK87" s="135"/>
      <c r="GL87" s="135"/>
      <c r="GM87" s="134"/>
      <c r="GN87" s="134"/>
      <c r="GO87" s="134"/>
      <c r="GP87" s="134"/>
      <c r="GQ87" s="134"/>
      <c r="GR87" s="134"/>
      <c r="GS87" s="134"/>
      <c r="GT87" s="134"/>
      <c r="GU87" s="135"/>
      <c r="GV87" s="135"/>
      <c r="GW87" s="134"/>
      <c r="GX87" s="134"/>
      <c r="GY87" s="134"/>
      <c r="GZ87" s="134"/>
      <c r="HA87" s="134"/>
      <c r="HB87" s="134"/>
      <c r="HC87" s="134"/>
      <c r="HD87" s="134"/>
      <c r="HE87" s="135"/>
      <c r="HF87" s="135"/>
      <c r="HG87" s="134"/>
      <c r="HH87" s="134"/>
      <c r="HI87" s="134"/>
      <c r="HJ87" s="134"/>
      <c r="HK87" s="134"/>
      <c r="HL87" s="134"/>
      <c r="HM87" s="134"/>
      <c r="HN87" s="134"/>
      <c r="HO87" s="135"/>
      <c r="HP87" s="135"/>
      <c r="HQ87" s="134"/>
      <c r="HR87" s="134"/>
      <c r="HS87" s="134"/>
      <c r="HT87" s="134"/>
      <c r="HU87" s="134"/>
      <c r="HV87" s="134"/>
      <c r="HW87" s="134"/>
      <c r="HX87" s="134"/>
      <c r="HY87" s="135"/>
      <c r="HZ87" s="135"/>
      <c r="IA87" s="134"/>
      <c r="IB87" s="134"/>
      <c r="IC87" s="134"/>
      <c r="ID87" s="134"/>
      <c r="IE87" s="134"/>
      <c r="IF87" s="134"/>
      <c r="IG87" s="134"/>
      <c r="IH87" s="134"/>
      <c r="II87" s="135"/>
      <c r="IJ87" s="135"/>
      <c r="IK87" s="134"/>
      <c r="IL87" s="134"/>
      <c r="IM87" s="134"/>
      <c r="IN87" s="134"/>
      <c r="IO87" s="134"/>
      <c r="IP87" s="134"/>
      <c r="IQ87" s="134"/>
      <c r="IR87" s="134"/>
      <c r="IS87" s="135"/>
      <c r="IT87" s="135"/>
      <c r="IU87" s="134"/>
      <c r="IV87" s="134"/>
      <c r="IW87" s="134"/>
      <c r="IX87" s="134"/>
      <c r="IY87" s="134"/>
      <c r="IZ87" s="134"/>
      <c r="JA87" s="134"/>
      <c r="JB87" s="134"/>
      <c r="JC87" s="135"/>
      <c r="JD87" s="135"/>
    </row>
    <row r="88" spans="1:264" s="119" customFormat="1" ht="15" customHeight="1">
      <c r="A88" s="118" t="s">
        <v>1070</v>
      </c>
      <c r="B88" s="616">
        <v>105</v>
      </c>
      <c r="C88" s="616"/>
      <c r="D88" s="616">
        <v>33</v>
      </c>
      <c r="E88" s="605" t="s">
        <v>2068</v>
      </c>
      <c r="F88" s="140" t="s">
        <v>2320</v>
      </c>
      <c r="G88" s="141">
        <v>2014</v>
      </c>
      <c r="H88" s="118">
        <v>24675061</v>
      </c>
      <c r="I88" s="118">
        <v>1</v>
      </c>
      <c r="J88" s="118"/>
      <c r="K88" s="118"/>
      <c r="L88" s="118">
        <v>1</v>
      </c>
      <c r="M88" s="118"/>
      <c r="N88" s="118">
        <v>1</v>
      </c>
      <c r="O88" s="142">
        <v>2</v>
      </c>
      <c r="P88" s="118" t="s">
        <v>1307</v>
      </c>
      <c r="Q88" s="118" t="s">
        <v>1224</v>
      </c>
      <c r="R88" s="118" t="s">
        <v>1127</v>
      </c>
      <c r="S88" s="118"/>
      <c r="T88" s="118" t="s">
        <v>1498</v>
      </c>
      <c r="U88" s="118"/>
      <c r="V88" s="118"/>
      <c r="W88" s="118" t="s">
        <v>1516</v>
      </c>
      <c r="X88" s="118" t="s">
        <v>1308</v>
      </c>
      <c r="Y88" s="118" t="s">
        <v>1309</v>
      </c>
      <c r="Z88" s="118"/>
      <c r="AA88" s="118"/>
      <c r="AB88" s="118"/>
      <c r="AC88" s="145" t="s">
        <v>6201</v>
      </c>
      <c r="AD88" s="653">
        <v>1</v>
      </c>
      <c r="AE88" s="653">
        <v>1</v>
      </c>
      <c r="AF88" s="159">
        <v>1</v>
      </c>
      <c r="AG88" s="160"/>
      <c r="AH88" s="122">
        <v>4</v>
      </c>
      <c r="AI88" s="485"/>
      <c r="AJ88" s="202" t="s">
        <v>6765</v>
      </c>
      <c r="AK88" s="192">
        <v>2.1</v>
      </c>
      <c r="AL88" s="205">
        <v>0</v>
      </c>
      <c r="AM88" s="122">
        <f>Table668[[#This Row],[Data_Subjects_n_ptsd]]+Table668[[#This Row],[Data_Subjects_n_control]]</f>
        <v>18</v>
      </c>
      <c r="AN88" s="500">
        <v>8</v>
      </c>
      <c r="AO88" s="122">
        <v>10</v>
      </c>
      <c r="AP88" s="122" t="s">
        <v>803</v>
      </c>
      <c r="AQ88" s="122" t="s">
        <v>803</v>
      </c>
      <c r="AR88" s="122" t="s">
        <v>6735</v>
      </c>
      <c r="AS88" s="500" t="s">
        <v>2882</v>
      </c>
      <c r="AT88" s="122" t="s">
        <v>6735</v>
      </c>
      <c r="AU88" s="122" t="s">
        <v>2882</v>
      </c>
      <c r="AV88" s="122" t="s">
        <v>6737</v>
      </c>
      <c r="AW88" s="122">
        <v>1</v>
      </c>
      <c r="AX88" s="122">
        <v>1</v>
      </c>
      <c r="AY88" s="121" t="s">
        <v>6740</v>
      </c>
      <c r="AZ88" s="122" t="s">
        <v>1130</v>
      </c>
      <c r="BA88" s="122" t="s">
        <v>6653</v>
      </c>
      <c r="BB88" s="588"/>
      <c r="BC88" s="588"/>
      <c r="BD88" s="161"/>
      <c r="BE88" s="161"/>
      <c r="BF88" s="161"/>
      <c r="BG88" s="161"/>
      <c r="BH88" s="161"/>
      <c r="BI88" s="161"/>
      <c r="BJ88" s="161">
        <v>1</v>
      </c>
      <c r="BK88" s="161"/>
      <c r="BL88" s="161"/>
      <c r="BM88" s="161"/>
      <c r="BN88" s="161"/>
      <c r="BO88" s="161"/>
      <c r="BP88" s="161"/>
      <c r="BQ88" s="596" t="s">
        <v>6764</v>
      </c>
      <c r="BR88" s="162" t="s">
        <v>6763</v>
      </c>
      <c r="BS88" s="659">
        <v>2</v>
      </c>
      <c r="BT88" s="150" t="s">
        <v>1876</v>
      </c>
      <c r="BU88" s="150">
        <v>2</v>
      </c>
      <c r="BV88" s="150" t="s">
        <v>6758</v>
      </c>
      <c r="BW88" s="150" t="s">
        <v>6736</v>
      </c>
      <c r="BX88" s="150" t="s">
        <v>6761</v>
      </c>
      <c r="BY88" s="150" t="s">
        <v>6639</v>
      </c>
      <c r="BZ88" s="258" t="s">
        <v>6783</v>
      </c>
      <c r="CA88" s="257" t="s">
        <v>24</v>
      </c>
      <c r="CB88" s="151" t="s">
        <v>6748</v>
      </c>
      <c r="CC88" s="266">
        <v>45.078800000000001</v>
      </c>
      <c r="CD88" s="150" t="s">
        <v>24</v>
      </c>
      <c r="CE88" s="266">
        <f>52.2629-Table668[[#This Row],[Data_Outcome1_M]]</f>
        <v>7.1841000000000008</v>
      </c>
      <c r="CF88" s="151" t="s">
        <v>6749</v>
      </c>
      <c r="CG88" s="150">
        <v>14.756600000000001</v>
      </c>
      <c r="CH88" s="150" t="s">
        <v>24</v>
      </c>
      <c r="CI88" s="150">
        <f>20.3441-Table668[[#This Row],[Data_Outcome2_M]]</f>
        <v>5.5875000000000004</v>
      </c>
      <c r="CJ88" s="290" t="s">
        <v>6767</v>
      </c>
      <c r="CK88" s="291" t="s">
        <v>6768</v>
      </c>
      <c r="CL88" s="151" t="s">
        <v>6750</v>
      </c>
      <c r="CM88" s="266">
        <v>41.329500000000003</v>
      </c>
      <c r="CN88" s="150" t="s">
        <v>24</v>
      </c>
      <c r="CO88" s="266">
        <f>48.7797-Table668[[#This Row],[Data_Outcome3_M]]</f>
        <v>7.4501999999999953</v>
      </c>
      <c r="CP88" s="151" t="s">
        <v>6751</v>
      </c>
      <c r="CQ88" s="150">
        <v>14.9984</v>
      </c>
      <c r="CR88" s="150" t="s">
        <v>24</v>
      </c>
      <c r="CS88" s="150">
        <f>18.7234-Table668[[#This Row],[Data_Outcome4_M]]</f>
        <v>3.7250000000000014</v>
      </c>
      <c r="CT88" s="290" t="s">
        <v>6772</v>
      </c>
      <c r="CU88" s="291" t="s">
        <v>6771</v>
      </c>
      <c r="CV88" s="278" t="s">
        <v>24</v>
      </c>
      <c r="CW88" s="285" t="s">
        <v>24</v>
      </c>
      <c r="CX88" s="151" t="s">
        <v>6752</v>
      </c>
      <c r="CY88" s="190">
        <v>28.532800000000002</v>
      </c>
      <c r="CZ88" s="168" t="s">
        <v>24</v>
      </c>
      <c r="DA88" s="266">
        <f>36.1159-Table668[[#This Row],[Data_Outcome5_M]]</f>
        <v>7.5831000000000017</v>
      </c>
      <c r="DB88" s="151" t="s">
        <v>6753</v>
      </c>
      <c r="DC88" s="266">
        <v>12.179399999999999</v>
      </c>
      <c r="DD88" s="150" t="s">
        <v>24</v>
      </c>
      <c r="DE88" s="150">
        <f>16.3034-Table668[[#This Row],[Data_Outcome6_M]]</f>
        <v>4.1240000000000006</v>
      </c>
      <c r="DF88" s="302" t="s">
        <v>5823</v>
      </c>
      <c r="DG88" s="303" t="s">
        <v>6770</v>
      </c>
      <c r="DH88" s="151" t="s">
        <v>6754</v>
      </c>
      <c r="DI88" s="266">
        <v>44.517099999999999</v>
      </c>
      <c r="DJ88" s="150" t="s">
        <v>24</v>
      </c>
      <c r="DK88" s="266">
        <f>51.6123-Table668[[#This Row],[Data_Outcome7_M]]</f>
        <v>7.0951999999999984</v>
      </c>
      <c r="DL88" s="151" t="s">
        <v>6755</v>
      </c>
      <c r="DM88" s="150">
        <v>8.8290100000000002</v>
      </c>
      <c r="DN88" s="150" t="s">
        <v>24</v>
      </c>
      <c r="DO88" s="150">
        <f>11.3567-Table668[[#This Row],[Data_Outcome8_M]]</f>
        <v>2.5276899999999998</v>
      </c>
      <c r="DP88" s="290" t="s">
        <v>6772</v>
      </c>
      <c r="DQ88" s="303" t="s">
        <v>6773</v>
      </c>
      <c r="DR88" s="278" t="s">
        <v>24</v>
      </c>
      <c r="DS88" s="279" t="s">
        <v>24</v>
      </c>
      <c r="DT88" s="151" t="s">
        <v>6756</v>
      </c>
      <c r="DU88" s="266">
        <v>15.7126</v>
      </c>
      <c r="DV88" s="150" t="s">
        <v>24</v>
      </c>
      <c r="DW88" s="266">
        <f>22.0985-Table668[[#This Row],[Data_Outcome9_M]]</f>
        <v>6.3859000000000012</v>
      </c>
      <c r="DX88" s="151" t="s">
        <v>6757</v>
      </c>
      <c r="DY88" s="266">
        <v>8.1398200000000003</v>
      </c>
      <c r="DZ88" s="150" t="s">
        <v>24</v>
      </c>
      <c r="EA88" s="150">
        <f>13.5944-Table668[[#This Row],[Data_Outcome10_M]]</f>
        <v>5.45458</v>
      </c>
      <c r="EB88" s="303" t="s">
        <v>5823</v>
      </c>
      <c r="EC88" s="303" t="s">
        <v>6769</v>
      </c>
      <c r="ED88" s="151" t="s">
        <v>24</v>
      </c>
      <c r="EE88" s="266"/>
      <c r="EF88" s="150"/>
      <c r="EG88" s="266"/>
      <c r="EH88" s="151"/>
      <c r="EI88" s="150"/>
      <c r="EJ88" s="150"/>
      <c r="EK88" s="150"/>
      <c r="EL88" s="303"/>
      <c r="EM88" s="303"/>
      <c r="EN88" s="279"/>
      <c r="EO88" s="150"/>
      <c r="EP88" s="150"/>
      <c r="EQ88" s="150"/>
      <c r="ER88" s="150"/>
      <c r="ES88" s="150"/>
      <c r="ET88" s="150"/>
      <c r="EU88" s="150"/>
      <c r="EV88" s="150"/>
      <c r="EW88" s="303"/>
      <c r="EX88" s="303"/>
      <c r="EY88" s="150"/>
      <c r="EZ88" s="150"/>
      <c r="FA88" s="150"/>
      <c r="FB88" s="150"/>
      <c r="FC88" s="150"/>
      <c r="FD88" s="150"/>
      <c r="FE88" s="150"/>
      <c r="FF88" s="150"/>
      <c r="FG88" s="152"/>
      <c r="FH88" s="152"/>
      <c r="FI88" s="150"/>
      <c r="FJ88" s="150"/>
      <c r="FK88" s="150"/>
      <c r="FL88" s="150"/>
      <c r="FM88" s="150"/>
      <c r="FN88" s="150"/>
      <c r="FO88" s="150"/>
      <c r="FP88" s="150"/>
      <c r="FQ88" s="152"/>
      <c r="FR88" s="152"/>
      <c r="FS88" s="150"/>
      <c r="FT88" s="150"/>
      <c r="FU88" s="150"/>
      <c r="FV88" s="150"/>
      <c r="FW88" s="150"/>
      <c r="FX88" s="150"/>
      <c r="FY88" s="150"/>
      <c r="FZ88" s="150"/>
      <c r="GA88" s="152"/>
      <c r="GB88" s="152"/>
      <c r="GC88" s="150"/>
      <c r="GD88" s="150"/>
      <c r="GE88" s="150"/>
      <c r="GF88" s="150"/>
      <c r="GG88" s="150"/>
      <c r="GH88" s="150"/>
      <c r="GI88" s="150"/>
      <c r="GJ88" s="150"/>
      <c r="GK88" s="152"/>
      <c r="GL88" s="152"/>
      <c r="GM88" s="150"/>
      <c r="GN88" s="150"/>
      <c r="GO88" s="150"/>
      <c r="GP88" s="150"/>
      <c r="GQ88" s="150"/>
      <c r="GR88" s="150"/>
      <c r="GS88" s="150"/>
      <c r="GT88" s="150"/>
      <c r="GU88" s="152"/>
      <c r="GV88" s="152"/>
      <c r="GW88" s="150"/>
      <c r="GX88" s="150"/>
      <c r="GY88" s="150"/>
      <c r="GZ88" s="150"/>
      <c r="HA88" s="150"/>
      <c r="HB88" s="150"/>
      <c r="HC88" s="150"/>
      <c r="HD88" s="150"/>
      <c r="HE88" s="152"/>
      <c r="HF88" s="152"/>
      <c r="HG88" s="150"/>
      <c r="HH88" s="150"/>
      <c r="HI88" s="150"/>
      <c r="HJ88" s="150"/>
      <c r="HK88" s="150"/>
      <c r="HL88" s="150"/>
      <c r="HM88" s="150"/>
      <c r="HN88" s="150"/>
      <c r="HO88" s="152"/>
      <c r="HP88" s="152"/>
      <c r="HQ88" s="150"/>
      <c r="HR88" s="150"/>
      <c r="HS88" s="150"/>
      <c r="HT88" s="150"/>
      <c r="HU88" s="150"/>
      <c r="HV88" s="150"/>
      <c r="HW88" s="150"/>
      <c r="HX88" s="150"/>
      <c r="HY88" s="152"/>
      <c r="HZ88" s="152"/>
      <c r="IA88" s="150"/>
      <c r="IB88" s="150"/>
      <c r="IC88" s="150"/>
      <c r="ID88" s="150"/>
      <c r="IE88" s="150"/>
      <c r="IF88" s="150"/>
      <c r="IG88" s="150"/>
      <c r="IH88" s="150"/>
      <c r="II88" s="152"/>
      <c r="IJ88" s="152"/>
      <c r="IK88" s="150"/>
      <c r="IL88" s="150"/>
      <c r="IM88" s="150"/>
      <c r="IN88" s="150"/>
      <c r="IO88" s="150"/>
      <c r="IP88" s="150"/>
      <c r="IQ88" s="150"/>
      <c r="IR88" s="150"/>
      <c r="IS88" s="152"/>
      <c r="IT88" s="152"/>
      <c r="IU88" s="150"/>
      <c r="IV88" s="150"/>
      <c r="IW88" s="150"/>
      <c r="IX88" s="150"/>
      <c r="IY88" s="150"/>
      <c r="IZ88" s="150"/>
      <c r="JA88" s="150"/>
      <c r="JB88" s="150"/>
      <c r="JC88" s="152"/>
      <c r="JD88" s="152"/>
    </row>
    <row r="89" spans="1:264" s="119" customFormat="1" ht="15" customHeight="1">
      <c r="A89" s="118" t="s">
        <v>1070</v>
      </c>
      <c r="B89" s="616">
        <v>105</v>
      </c>
      <c r="C89" s="616"/>
      <c r="D89" s="616">
        <v>33</v>
      </c>
      <c r="E89" s="605" t="s">
        <v>2068</v>
      </c>
      <c r="F89" s="140" t="s">
        <v>2320</v>
      </c>
      <c r="G89" s="141">
        <v>2014</v>
      </c>
      <c r="H89" s="118">
        <v>24675061</v>
      </c>
      <c r="I89" s="118">
        <v>1</v>
      </c>
      <c r="J89" s="118"/>
      <c r="K89" s="118"/>
      <c r="L89" s="118">
        <v>1</v>
      </c>
      <c r="M89" s="118"/>
      <c r="N89" s="118">
        <v>1</v>
      </c>
      <c r="O89" s="142">
        <v>2</v>
      </c>
      <c r="P89" s="118" t="s">
        <v>1307</v>
      </c>
      <c r="Q89" s="118" t="s">
        <v>1224</v>
      </c>
      <c r="R89" s="118" t="s">
        <v>1127</v>
      </c>
      <c r="S89" s="118"/>
      <c r="T89" s="118" t="s">
        <v>1498</v>
      </c>
      <c r="U89" s="118"/>
      <c r="V89" s="118"/>
      <c r="W89" s="118" t="s">
        <v>1516</v>
      </c>
      <c r="X89" s="118" t="s">
        <v>1308</v>
      </c>
      <c r="Y89" s="118" t="s">
        <v>1309</v>
      </c>
      <c r="Z89" s="118"/>
      <c r="AA89" s="118"/>
      <c r="AB89" s="118"/>
      <c r="AC89" s="145" t="s">
        <v>6201</v>
      </c>
      <c r="AD89" s="653">
        <v>1</v>
      </c>
      <c r="AE89" s="653">
        <v>1</v>
      </c>
      <c r="AF89" s="159">
        <v>1</v>
      </c>
      <c r="AG89" s="160"/>
      <c r="AH89" s="122">
        <v>4</v>
      </c>
      <c r="AI89" s="485"/>
      <c r="AJ89" s="202" t="s">
        <v>6765</v>
      </c>
      <c r="AK89" s="192">
        <v>2.1</v>
      </c>
      <c r="AL89" s="205">
        <v>0</v>
      </c>
      <c r="AM89" s="122">
        <f>Table668[[#This Row],[Data_Subjects_n_ptsd]]+Table668[[#This Row],[Data_Subjects_n_control]]</f>
        <v>18</v>
      </c>
      <c r="AN89" s="500">
        <v>8</v>
      </c>
      <c r="AO89" s="122">
        <v>10</v>
      </c>
      <c r="AP89" s="122" t="s">
        <v>803</v>
      </c>
      <c r="AQ89" s="122" t="s">
        <v>803</v>
      </c>
      <c r="AR89" s="122" t="s">
        <v>6735</v>
      </c>
      <c r="AS89" s="500" t="s">
        <v>2882</v>
      </c>
      <c r="AT89" s="122" t="s">
        <v>6735</v>
      </c>
      <c r="AU89" s="122" t="s">
        <v>2882</v>
      </c>
      <c r="AV89" s="122" t="s">
        <v>6737</v>
      </c>
      <c r="AW89" s="122">
        <v>1</v>
      </c>
      <c r="AX89" s="122">
        <v>1</v>
      </c>
      <c r="AY89" s="121" t="s">
        <v>6740</v>
      </c>
      <c r="AZ89" s="122" t="s">
        <v>1130</v>
      </c>
      <c r="BA89" s="122" t="s">
        <v>6653</v>
      </c>
      <c r="BB89" s="588"/>
      <c r="BC89" s="588"/>
      <c r="BD89" s="161"/>
      <c r="BE89" s="161"/>
      <c r="BF89" s="161"/>
      <c r="BG89" s="161"/>
      <c r="BH89" s="161"/>
      <c r="BI89" s="161"/>
      <c r="BJ89" s="161">
        <v>1</v>
      </c>
      <c r="BK89" s="161"/>
      <c r="BL89" s="161"/>
      <c r="BM89" s="161"/>
      <c r="BN89" s="161"/>
      <c r="BO89" s="161"/>
      <c r="BP89" s="161"/>
      <c r="BQ89" s="596" t="s">
        <v>3563</v>
      </c>
      <c r="BR89" s="162" t="s">
        <v>6613</v>
      </c>
      <c r="BS89" s="659">
        <v>2</v>
      </c>
      <c r="BT89" s="150" t="s">
        <v>1876</v>
      </c>
      <c r="BU89" s="150">
        <v>2</v>
      </c>
      <c r="BV89" s="150" t="s">
        <v>6759</v>
      </c>
      <c r="BW89" s="150" t="s">
        <v>6736</v>
      </c>
      <c r="BX89" s="150" t="s">
        <v>6760</v>
      </c>
      <c r="BY89" s="150" t="s">
        <v>6762</v>
      </c>
      <c r="BZ89" s="258" t="s">
        <v>6790</v>
      </c>
      <c r="CA89" s="257" t="s">
        <v>24</v>
      </c>
      <c r="CB89" s="151" t="s">
        <v>6766</v>
      </c>
      <c r="CC89" s="266">
        <v>1.29308</v>
      </c>
      <c r="CD89" s="150" t="s">
        <v>24</v>
      </c>
      <c r="CE89" s="266">
        <f>1.6812-Table668[[#This Row],[Data_Outcome1_M]]</f>
        <v>0.38812000000000002</v>
      </c>
      <c r="CF89" s="151" t="s">
        <v>6774</v>
      </c>
      <c r="CG89" s="150">
        <v>2.3332000000000002</v>
      </c>
      <c r="CH89" s="150" t="s">
        <v>24</v>
      </c>
      <c r="CI89" s="150">
        <f>2.94514-Table668[[#This Row],[Data_Outcome2_M]]</f>
        <v>0.61193999999999971</v>
      </c>
      <c r="CJ89" s="290" t="s">
        <v>5823</v>
      </c>
      <c r="CK89" s="291" t="s">
        <v>6784</v>
      </c>
      <c r="CL89" s="151" t="s">
        <v>6775</v>
      </c>
      <c r="CM89" s="266">
        <v>1.4382900000000001</v>
      </c>
      <c r="CN89" s="150" t="s">
        <v>24</v>
      </c>
      <c r="CO89" s="266">
        <f>1.81143-Table668[[#This Row],[Data_Outcome3_M]]</f>
        <v>0.37314000000000003</v>
      </c>
      <c r="CP89" s="151" t="s">
        <v>6776</v>
      </c>
      <c r="CQ89" s="150">
        <v>2.7172800000000001</v>
      </c>
      <c r="CR89" s="150" t="s">
        <v>24</v>
      </c>
      <c r="CS89" s="150">
        <f>3.25453-Table668[[#This Row],[Data_Outcome4_M]]</f>
        <v>0.53724999999999978</v>
      </c>
      <c r="CT89" s="290" t="s">
        <v>5823</v>
      </c>
      <c r="CU89" s="291" t="s">
        <v>6785</v>
      </c>
      <c r="CV89" s="278" t="s">
        <v>24</v>
      </c>
      <c r="CW89" s="285" t="s">
        <v>24</v>
      </c>
      <c r="CX89" s="151" t="s">
        <v>6777</v>
      </c>
      <c r="CY89" s="266">
        <v>2.0764800000000001</v>
      </c>
      <c r="CZ89" s="150" t="s">
        <v>24</v>
      </c>
      <c r="DA89" s="266">
        <f>2.24072-Table668[[#This Row],[Data_Outcome5_M]]</f>
        <v>0.16423999999999994</v>
      </c>
      <c r="DB89" s="151" t="s">
        <v>6778</v>
      </c>
      <c r="DC89" s="150">
        <v>3.8331499999999998</v>
      </c>
      <c r="DD89" s="150" t="s">
        <v>24</v>
      </c>
      <c r="DE89" s="150">
        <f>4.41517-Table668[[#This Row],[Data_Outcome6_M]]</f>
        <v>0.58201999999999998</v>
      </c>
      <c r="DF89" s="303" t="s">
        <v>6789</v>
      </c>
      <c r="DG89" s="303" t="s">
        <v>6786</v>
      </c>
      <c r="DH89" s="151" t="s">
        <v>6779</v>
      </c>
      <c r="DI89" s="266">
        <v>1.81884</v>
      </c>
      <c r="DJ89" s="150" t="s">
        <v>24</v>
      </c>
      <c r="DK89" s="266">
        <f>2.22188-Table668[[#This Row],[Data_Outcome7_M]]</f>
        <v>0.40304000000000006</v>
      </c>
      <c r="DL89" s="151" t="s">
        <v>6780</v>
      </c>
      <c r="DM89" s="150">
        <v>3.6351399999999998</v>
      </c>
      <c r="DN89" s="150" t="s">
        <v>24</v>
      </c>
      <c r="DO89" s="150">
        <f>3.91872-Table668[[#This Row],[Data_Outcome8_M]]</f>
        <v>0.28358000000000017</v>
      </c>
      <c r="DP89" s="303" t="s">
        <v>6789</v>
      </c>
      <c r="DQ89" s="303" t="s">
        <v>6787</v>
      </c>
      <c r="DR89" s="278" t="s">
        <v>24</v>
      </c>
      <c r="DS89" s="279" t="s">
        <v>24</v>
      </c>
      <c r="DT89" s="386" t="s">
        <v>6781</v>
      </c>
      <c r="DU89" s="662">
        <v>2.1132399999999998</v>
      </c>
      <c r="DV89" s="663" t="s">
        <v>24</v>
      </c>
      <c r="DW89" s="662">
        <f>2.33712-Table668[[#This Row],[Data_Outcome9_M]]</f>
        <v>0.2238800000000003</v>
      </c>
      <c r="DX89" s="386" t="s">
        <v>6782</v>
      </c>
      <c r="DY89" s="266">
        <v>4.2878100000000003</v>
      </c>
      <c r="DZ89" s="150" t="s">
        <v>24</v>
      </c>
      <c r="EA89" s="150">
        <f>4.64596-Table668[[#This Row],[Data_Outcome10_M]]</f>
        <v>0.3581499999999993</v>
      </c>
      <c r="EB89" s="303" t="s">
        <v>6789</v>
      </c>
      <c r="EC89" s="303" t="s">
        <v>6788</v>
      </c>
      <c r="ED89" s="151" t="s">
        <v>24</v>
      </c>
      <c r="EE89" s="266"/>
      <c r="EF89" s="150"/>
      <c r="EG89" s="266"/>
      <c r="EH89" s="151"/>
      <c r="EI89" s="150"/>
      <c r="EJ89" s="150"/>
      <c r="EK89" s="150"/>
      <c r="EL89" s="303"/>
      <c r="EM89" s="303"/>
      <c r="EN89" s="279"/>
      <c r="EO89" s="150"/>
      <c r="EP89" s="150"/>
      <c r="EQ89" s="150"/>
      <c r="ER89" s="150"/>
      <c r="ES89" s="150"/>
      <c r="ET89" s="150"/>
      <c r="EU89" s="150"/>
      <c r="EV89" s="150"/>
      <c r="EW89" s="303"/>
      <c r="EX89" s="303"/>
      <c r="EY89" s="150"/>
      <c r="EZ89" s="150"/>
      <c r="FA89" s="150"/>
      <c r="FB89" s="150"/>
      <c r="FC89" s="150"/>
      <c r="FD89" s="150"/>
      <c r="FE89" s="150"/>
      <c r="FF89" s="150"/>
      <c r="FG89" s="152"/>
      <c r="FH89" s="152"/>
      <c r="FI89" s="150"/>
      <c r="FJ89" s="150"/>
      <c r="FK89" s="150"/>
      <c r="FL89" s="150"/>
      <c r="FM89" s="150"/>
      <c r="FN89" s="150"/>
      <c r="FO89" s="150"/>
      <c r="FP89" s="150"/>
      <c r="FQ89" s="152"/>
      <c r="FR89" s="152"/>
      <c r="FS89" s="150"/>
      <c r="FT89" s="150"/>
      <c r="FU89" s="150"/>
      <c r="FV89" s="150"/>
      <c r="FW89" s="150"/>
      <c r="FX89" s="150"/>
      <c r="FY89" s="150"/>
      <c r="FZ89" s="150"/>
      <c r="GA89" s="152"/>
      <c r="GB89" s="152"/>
      <c r="GC89" s="150"/>
      <c r="GD89" s="150"/>
      <c r="GE89" s="150"/>
      <c r="GF89" s="150"/>
      <c r="GG89" s="150"/>
      <c r="GH89" s="150"/>
      <c r="GI89" s="150"/>
      <c r="GJ89" s="150"/>
      <c r="GK89" s="152"/>
      <c r="GL89" s="152"/>
      <c r="GM89" s="150"/>
      <c r="GN89" s="150"/>
      <c r="GO89" s="150"/>
      <c r="GP89" s="150"/>
      <c r="GQ89" s="150"/>
      <c r="GR89" s="150"/>
      <c r="GS89" s="150"/>
      <c r="GT89" s="150"/>
      <c r="GU89" s="152"/>
      <c r="GV89" s="152"/>
      <c r="GW89" s="150"/>
      <c r="GX89" s="150"/>
      <c r="GY89" s="150"/>
      <c r="GZ89" s="150"/>
      <c r="HA89" s="150"/>
      <c r="HB89" s="150"/>
      <c r="HC89" s="150"/>
      <c r="HD89" s="150"/>
      <c r="HE89" s="152"/>
      <c r="HF89" s="152"/>
      <c r="HG89" s="150"/>
      <c r="HH89" s="150"/>
      <c r="HI89" s="150"/>
      <c r="HJ89" s="150"/>
      <c r="HK89" s="150"/>
      <c r="HL89" s="150"/>
      <c r="HM89" s="150"/>
      <c r="HN89" s="150"/>
      <c r="HO89" s="152"/>
      <c r="HP89" s="152"/>
      <c r="HQ89" s="150"/>
      <c r="HR89" s="150"/>
      <c r="HS89" s="150"/>
      <c r="HT89" s="150"/>
      <c r="HU89" s="150"/>
      <c r="HV89" s="150"/>
      <c r="HW89" s="150"/>
      <c r="HX89" s="150"/>
      <c r="HY89" s="152"/>
      <c r="HZ89" s="152"/>
      <c r="IA89" s="150"/>
      <c r="IB89" s="150"/>
      <c r="IC89" s="150"/>
      <c r="ID89" s="150"/>
      <c r="IE89" s="150"/>
      <c r="IF89" s="150"/>
      <c r="IG89" s="150"/>
      <c r="IH89" s="150"/>
      <c r="II89" s="152"/>
      <c r="IJ89" s="152"/>
      <c r="IK89" s="150"/>
      <c r="IL89" s="150"/>
      <c r="IM89" s="150"/>
      <c r="IN89" s="150"/>
      <c r="IO89" s="150"/>
      <c r="IP89" s="150"/>
      <c r="IQ89" s="150"/>
      <c r="IR89" s="150"/>
      <c r="IS89" s="152"/>
      <c r="IT89" s="152"/>
      <c r="IU89" s="150"/>
      <c r="IV89" s="150"/>
      <c r="IW89" s="150"/>
      <c r="IX89" s="150"/>
      <c r="IY89" s="150"/>
      <c r="IZ89" s="150"/>
      <c r="JA89" s="150"/>
      <c r="JB89" s="150"/>
      <c r="JC89" s="152"/>
      <c r="JD89" s="152"/>
    </row>
    <row r="90" spans="1:264" s="229" customFormat="1" ht="15" customHeight="1">
      <c r="A90" s="79" t="s">
        <v>163</v>
      </c>
      <c r="B90" s="362">
        <v>119</v>
      </c>
      <c r="C90" s="362"/>
      <c r="D90" s="362">
        <v>38</v>
      </c>
      <c r="E90" s="604" t="s">
        <v>1959</v>
      </c>
      <c r="F90" s="124" t="s">
        <v>2181</v>
      </c>
      <c r="G90" s="125">
        <v>2008</v>
      </c>
      <c r="H90" s="79">
        <v>18806234</v>
      </c>
      <c r="I90" s="79">
        <v>1</v>
      </c>
      <c r="J90" s="126"/>
      <c r="K90" s="127"/>
      <c r="L90" s="79">
        <v>1</v>
      </c>
      <c r="M90" s="79"/>
      <c r="N90" s="79">
        <v>1</v>
      </c>
      <c r="O90" s="128">
        <v>1</v>
      </c>
      <c r="P90" s="79" t="s">
        <v>486</v>
      </c>
      <c r="Q90" s="79"/>
      <c r="R90" s="79" t="s">
        <v>487</v>
      </c>
      <c r="S90" s="79">
        <v>0</v>
      </c>
      <c r="T90" s="79"/>
      <c r="U90" s="79"/>
      <c r="V90" s="79"/>
      <c r="W90" s="79"/>
      <c r="X90" s="79"/>
      <c r="Y90" s="79"/>
      <c r="Z90" s="79"/>
      <c r="AA90" s="79"/>
      <c r="AB90" s="79"/>
      <c r="AC90" s="506" t="s">
        <v>6210</v>
      </c>
      <c r="AD90" s="573">
        <v>1</v>
      </c>
      <c r="AE90" s="573">
        <v>1</v>
      </c>
      <c r="AF90" s="233" t="s">
        <v>3003</v>
      </c>
      <c r="AG90" s="234" t="s">
        <v>6828</v>
      </c>
      <c r="AH90" s="135" t="s">
        <v>6799</v>
      </c>
      <c r="AI90" s="135"/>
      <c r="AJ90" s="235" t="s">
        <v>6800</v>
      </c>
      <c r="AK90" s="236">
        <v>1</v>
      </c>
      <c r="AL90" s="237" t="s">
        <v>24</v>
      </c>
      <c r="AM90" s="135">
        <v>25</v>
      </c>
      <c r="AN90" s="135" t="s">
        <v>6801</v>
      </c>
      <c r="AO90" s="135">
        <v>11</v>
      </c>
      <c r="AP90" s="135" t="s">
        <v>803</v>
      </c>
      <c r="AQ90" s="135" t="s">
        <v>803</v>
      </c>
      <c r="AR90" s="135">
        <f>AVERAGE(80.9, 79.3)</f>
        <v>80.099999999999994</v>
      </c>
      <c r="AS90" s="135">
        <f>AVERAGE(2.3,1.5)</f>
        <v>1.9</v>
      </c>
      <c r="AT90" s="135">
        <v>80</v>
      </c>
      <c r="AU90" s="135">
        <v>2.2000000000000002</v>
      </c>
      <c r="AV90" s="135" t="s">
        <v>6802</v>
      </c>
      <c r="AW90" s="135" t="s">
        <v>24</v>
      </c>
      <c r="AX90" s="135" t="s">
        <v>24</v>
      </c>
      <c r="AY90" s="135" t="s">
        <v>6803</v>
      </c>
      <c r="AZ90" s="135" t="s">
        <v>6791</v>
      </c>
      <c r="BA90" s="135" t="s">
        <v>6792</v>
      </c>
      <c r="BB90" s="594"/>
      <c r="BC90" s="594"/>
      <c r="BD90" s="156"/>
      <c r="BE90" s="156"/>
      <c r="BF90" s="156" t="s">
        <v>6209</v>
      </c>
      <c r="BG90" s="156"/>
      <c r="BH90" s="156"/>
      <c r="BI90" s="156" t="s">
        <v>4727</v>
      </c>
      <c r="BJ90" s="156">
        <v>1</v>
      </c>
      <c r="BK90" s="156"/>
      <c r="BL90" s="156" t="s">
        <v>4727</v>
      </c>
      <c r="BM90" s="156"/>
      <c r="BN90" s="156"/>
      <c r="BO90" s="156"/>
      <c r="BP90" s="156"/>
      <c r="BQ90" s="595" t="s">
        <v>6797</v>
      </c>
      <c r="BR90" s="157" t="s">
        <v>6610</v>
      </c>
      <c r="BS90" s="660">
        <v>2</v>
      </c>
      <c r="BT90" s="134" t="s">
        <v>1876</v>
      </c>
      <c r="BU90" s="134" t="s">
        <v>6804</v>
      </c>
      <c r="BV90" s="134" t="s">
        <v>6795</v>
      </c>
      <c r="BW90" s="134" t="s">
        <v>24</v>
      </c>
      <c r="BX90" s="134" t="s">
        <v>6796</v>
      </c>
      <c r="BY90" s="134"/>
      <c r="BZ90" s="259" t="s">
        <v>6827</v>
      </c>
      <c r="CA90" s="454">
        <v>0</v>
      </c>
      <c r="CB90" s="138" t="s">
        <v>6816</v>
      </c>
      <c r="CC90" s="190">
        <v>3.9</v>
      </c>
      <c r="CD90" s="168">
        <v>1.2</v>
      </c>
      <c r="CE90" s="190" t="s">
        <v>24</v>
      </c>
      <c r="CF90" s="138" t="s">
        <v>6817</v>
      </c>
      <c r="CG90" s="134">
        <v>4</v>
      </c>
      <c r="CH90" s="134">
        <v>0</v>
      </c>
      <c r="CI90" s="134" t="s">
        <v>24</v>
      </c>
      <c r="CJ90" s="288" t="s">
        <v>6822</v>
      </c>
      <c r="CK90" s="289" t="s">
        <v>2480</v>
      </c>
      <c r="CL90" s="439" t="s">
        <v>6818</v>
      </c>
      <c r="CM90" s="190">
        <v>4</v>
      </c>
      <c r="CN90" s="134">
        <v>1.4</v>
      </c>
      <c r="CO90" s="190" t="s">
        <v>24</v>
      </c>
      <c r="CP90" s="439" t="s">
        <v>6819</v>
      </c>
      <c r="CQ90" s="134">
        <v>34.1</v>
      </c>
      <c r="CR90" s="134">
        <v>10.4</v>
      </c>
      <c r="CS90" s="134" t="s">
        <v>24</v>
      </c>
      <c r="CT90" s="288" t="s">
        <v>6823</v>
      </c>
      <c r="CU90" s="289" t="s">
        <v>2480</v>
      </c>
      <c r="CV90" s="276" t="s">
        <v>24</v>
      </c>
      <c r="CW90" s="308" t="s">
        <v>24</v>
      </c>
      <c r="CX90" s="138" t="s">
        <v>6820</v>
      </c>
      <c r="CY90" s="134">
        <v>32.6</v>
      </c>
      <c r="CZ90" s="168">
        <v>7</v>
      </c>
      <c r="DA90" s="190" t="s">
        <v>24</v>
      </c>
      <c r="DB90" s="138" t="s">
        <v>6821</v>
      </c>
      <c r="DC90" s="134">
        <v>34</v>
      </c>
      <c r="DD90" s="134">
        <v>6.9</v>
      </c>
      <c r="DE90" s="134" t="s">
        <v>24</v>
      </c>
      <c r="DF90" s="288" t="s">
        <v>24</v>
      </c>
      <c r="DG90" s="289" t="s">
        <v>24</v>
      </c>
      <c r="DH90" s="168"/>
      <c r="DI90" s="134"/>
      <c r="DJ90" s="134"/>
      <c r="DK90" s="134"/>
      <c r="DL90" s="134"/>
      <c r="DM90" s="134"/>
      <c r="DN90" s="134"/>
      <c r="DO90" s="134"/>
      <c r="DP90" s="300"/>
      <c r="DQ90" s="301"/>
      <c r="DR90" s="276"/>
      <c r="DS90" s="277"/>
      <c r="DT90" s="134"/>
      <c r="DU90" s="134"/>
      <c r="DV90" s="134"/>
      <c r="DW90" s="134"/>
      <c r="DX90" s="138"/>
      <c r="DY90" s="134"/>
      <c r="DZ90" s="134"/>
      <c r="EA90" s="134"/>
      <c r="EB90" s="301"/>
      <c r="EC90" s="301"/>
      <c r="ED90" s="138"/>
      <c r="EE90" s="134"/>
      <c r="EF90" s="134"/>
      <c r="EG90" s="134"/>
      <c r="EH90" s="138"/>
      <c r="EI90" s="134"/>
      <c r="EJ90" s="134"/>
      <c r="EK90" s="134"/>
      <c r="EL90" s="301"/>
      <c r="EM90" s="301"/>
      <c r="EN90" s="277"/>
      <c r="EO90" s="134"/>
      <c r="EP90" s="134"/>
      <c r="EQ90" s="134"/>
      <c r="ER90" s="134"/>
      <c r="ES90" s="134"/>
      <c r="ET90" s="134"/>
      <c r="EU90" s="134"/>
      <c r="EV90" s="134"/>
      <c r="EW90" s="301"/>
      <c r="EX90" s="301"/>
      <c r="EY90" s="134"/>
      <c r="EZ90" s="134"/>
      <c r="FA90" s="134"/>
      <c r="FB90" s="134"/>
      <c r="FC90" s="134"/>
      <c r="FD90" s="134"/>
      <c r="FE90" s="134"/>
      <c r="FF90" s="134"/>
      <c r="FG90" s="135"/>
      <c r="FH90" s="135"/>
      <c r="FI90" s="134"/>
      <c r="FJ90" s="134"/>
      <c r="FK90" s="134"/>
      <c r="FL90" s="134"/>
      <c r="FM90" s="134"/>
      <c r="FN90" s="134"/>
      <c r="FO90" s="134"/>
      <c r="FP90" s="134"/>
      <c r="FQ90" s="135"/>
      <c r="FR90" s="135"/>
      <c r="FS90" s="134"/>
      <c r="FT90" s="134"/>
      <c r="FU90" s="134"/>
      <c r="FV90" s="134"/>
      <c r="FW90" s="134"/>
      <c r="FX90" s="134"/>
      <c r="FY90" s="134"/>
      <c r="FZ90" s="134"/>
      <c r="GA90" s="135"/>
      <c r="GB90" s="135"/>
      <c r="GC90" s="134"/>
      <c r="GD90" s="134"/>
      <c r="GE90" s="134"/>
      <c r="GF90" s="134"/>
      <c r="GG90" s="134"/>
      <c r="GH90" s="134"/>
      <c r="GI90" s="134"/>
      <c r="GJ90" s="134"/>
      <c r="GK90" s="135"/>
      <c r="GL90" s="135"/>
      <c r="GM90" s="134"/>
      <c r="GN90" s="134"/>
      <c r="GO90" s="134"/>
      <c r="GP90" s="134"/>
      <c r="GQ90" s="134"/>
      <c r="GR90" s="134"/>
      <c r="GS90" s="134"/>
      <c r="GT90" s="134"/>
      <c r="GU90" s="135"/>
      <c r="GV90" s="135"/>
      <c r="GW90" s="134"/>
      <c r="GX90" s="134"/>
      <c r="GY90" s="134"/>
      <c r="GZ90" s="134"/>
      <c r="HA90" s="134"/>
      <c r="HB90" s="134"/>
      <c r="HC90" s="134"/>
      <c r="HD90" s="134"/>
      <c r="HE90" s="135"/>
      <c r="HF90" s="135"/>
      <c r="HG90" s="134"/>
      <c r="HH90" s="134"/>
      <c r="HI90" s="134"/>
      <c r="HJ90" s="134"/>
      <c r="HK90" s="134"/>
      <c r="HL90" s="134"/>
      <c r="HM90" s="134"/>
      <c r="HN90" s="134"/>
      <c r="HO90" s="135"/>
      <c r="HP90" s="135"/>
      <c r="HQ90" s="134"/>
      <c r="HR90" s="134"/>
      <c r="HS90" s="134"/>
      <c r="HT90" s="134"/>
      <c r="HU90" s="134"/>
      <c r="HV90" s="134"/>
      <c r="HW90" s="134"/>
      <c r="HX90" s="134"/>
      <c r="HY90" s="135"/>
      <c r="HZ90" s="135"/>
      <c r="IA90" s="134"/>
      <c r="IB90" s="134"/>
      <c r="IC90" s="134"/>
      <c r="ID90" s="134"/>
      <c r="IE90" s="134"/>
      <c r="IF90" s="134"/>
      <c r="IG90" s="134"/>
      <c r="IH90" s="134"/>
      <c r="II90" s="135"/>
      <c r="IJ90" s="135"/>
      <c r="IK90" s="134"/>
      <c r="IL90" s="134"/>
      <c r="IM90" s="134"/>
      <c r="IN90" s="134"/>
      <c r="IO90" s="134"/>
      <c r="IP90" s="134"/>
      <c r="IQ90" s="134"/>
      <c r="IR90" s="134"/>
      <c r="IS90" s="135"/>
      <c r="IT90" s="135"/>
      <c r="IU90" s="134"/>
      <c r="IV90" s="134"/>
      <c r="IW90" s="134"/>
      <c r="IX90" s="134"/>
      <c r="IY90" s="134"/>
      <c r="IZ90" s="134"/>
      <c r="JA90" s="134"/>
      <c r="JB90" s="134"/>
      <c r="JC90" s="135"/>
      <c r="JD90" s="135"/>
    </row>
    <row r="91" spans="1:264" s="229" customFormat="1" ht="15" customHeight="1">
      <c r="A91" s="118" t="s">
        <v>163</v>
      </c>
      <c r="B91" s="616">
        <v>119</v>
      </c>
      <c r="C91" s="616"/>
      <c r="D91" s="616">
        <v>38</v>
      </c>
      <c r="E91" s="605" t="s">
        <v>1959</v>
      </c>
      <c r="F91" s="140" t="s">
        <v>2181</v>
      </c>
      <c r="G91" s="141">
        <v>2008</v>
      </c>
      <c r="H91" s="118">
        <v>18806234</v>
      </c>
      <c r="I91" s="118">
        <v>1</v>
      </c>
      <c r="J91" s="118"/>
      <c r="K91" s="118"/>
      <c r="L91" s="118">
        <v>1</v>
      </c>
      <c r="M91" s="118"/>
      <c r="N91" s="118">
        <v>1</v>
      </c>
      <c r="O91" s="142">
        <v>1</v>
      </c>
      <c r="P91" s="118" t="s">
        <v>486</v>
      </c>
      <c r="Q91" s="118"/>
      <c r="R91" s="118" t="s">
        <v>487</v>
      </c>
      <c r="S91" s="118">
        <v>0</v>
      </c>
      <c r="T91" s="118"/>
      <c r="U91" s="118"/>
      <c r="V91" s="118"/>
      <c r="W91" s="118"/>
      <c r="X91" s="118"/>
      <c r="Y91" s="118"/>
      <c r="Z91" s="118"/>
      <c r="AA91" s="118"/>
      <c r="AB91" s="118"/>
      <c r="AC91" s="145" t="s">
        <v>6210</v>
      </c>
      <c r="AD91" s="653">
        <v>1</v>
      </c>
      <c r="AE91" s="653">
        <v>1</v>
      </c>
      <c r="AF91" s="472" t="s">
        <v>3003</v>
      </c>
      <c r="AG91" s="473" t="s">
        <v>6828</v>
      </c>
      <c r="AH91" s="152" t="s">
        <v>6799</v>
      </c>
      <c r="AI91" s="152"/>
      <c r="AJ91" s="242" t="s">
        <v>6800</v>
      </c>
      <c r="AK91" s="236">
        <v>1</v>
      </c>
      <c r="AL91" s="243" t="s">
        <v>24</v>
      </c>
      <c r="AM91" s="152">
        <v>25</v>
      </c>
      <c r="AN91" s="152" t="s">
        <v>6801</v>
      </c>
      <c r="AO91" s="152">
        <v>11</v>
      </c>
      <c r="AP91" s="152" t="s">
        <v>803</v>
      </c>
      <c r="AQ91" s="152" t="s">
        <v>803</v>
      </c>
      <c r="AR91" s="152">
        <f>AVERAGE(80.9, 79.3)</f>
        <v>80.099999999999994</v>
      </c>
      <c r="AS91" s="152">
        <f>AVERAGE(2.3,1.5)</f>
        <v>1.9</v>
      </c>
      <c r="AT91" s="152">
        <v>80</v>
      </c>
      <c r="AU91" s="152">
        <v>2.2000000000000002</v>
      </c>
      <c r="AV91" s="152" t="s">
        <v>6802</v>
      </c>
      <c r="AW91" s="152" t="s">
        <v>24</v>
      </c>
      <c r="AX91" s="152" t="s">
        <v>24</v>
      </c>
      <c r="AY91" s="152" t="s">
        <v>6803</v>
      </c>
      <c r="AZ91" s="152" t="s">
        <v>6791</v>
      </c>
      <c r="BA91" s="152" t="s">
        <v>6792</v>
      </c>
      <c r="BB91" s="588"/>
      <c r="BC91" s="588"/>
      <c r="BD91" s="161"/>
      <c r="BE91" s="161"/>
      <c r="BF91" s="161" t="s">
        <v>6209</v>
      </c>
      <c r="BG91" s="161"/>
      <c r="BH91" s="161"/>
      <c r="BI91" s="161" t="s">
        <v>4727</v>
      </c>
      <c r="BJ91" s="161">
        <v>1</v>
      </c>
      <c r="BK91" s="161"/>
      <c r="BL91" s="161" t="s">
        <v>4727</v>
      </c>
      <c r="BM91" s="161"/>
      <c r="BN91" s="161"/>
      <c r="BO91" s="161"/>
      <c r="BP91" s="161"/>
      <c r="BQ91" s="596" t="s">
        <v>4000</v>
      </c>
      <c r="BR91" s="162" t="s">
        <v>6609</v>
      </c>
      <c r="BS91" s="659">
        <v>2</v>
      </c>
      <c r="BT91" s="150" t="s">
        <v>1876</v>
      </c>
      <c r="BU91" s="150" t="s">
        <v>6804</v>
      </c>
      <c r="BV91" s="150" t="s">
        <v>6793</v>
      </c>
      <c r="BW91" s="150" t="s">
        <v>24</v>
      </c>
      <c r="BX91" s="477" t="s">
        <v>6805</v>
      </c>
      <c r="BY91" s="150"/>
      <c r="BZ91" s="258" t="s">
        <v>6827</v>
      </c>
      <c r="CA91" s="257">
        <v>0</v>
      </c>
      <c r="CB91" s="151" t="s">
        <v>6807</v>
      </c>
      <c r="CC91" s="266">
        <v>11</v>
      </c>
      <c r="CD91" s="150">
        <v>4.9000000000000004</v>
      </c>
      <c r="CE91" s="266" t="s">
        <v>24</v>
      </c>
      <c r="CF91" s="151" t="s">
        <v>6808</v>
      </c>
      <c r="CG91" s="150">
        <v>10.1</v>
      </c>
      <c r="CH91" s="150">
        <v>2.6</v>
      </c>
      <c r="CI91" s="150" t="s">
        <v>24</v>
      </c>
      <c r="CJ91" s="290" t="s">
        <v>6822</v>
      </c>
      <c r="CK91" s="291" t="s">
        <v>2480</v>
      </c>
      <c r="CL91" s="438" t="s">
        <v>6809</v>
      </c>
      <c r="CM91" s="266">
        <v>9</v>
      </c>
      <c r="CN91" s="150">
        <v>3.7</v>
      </c>
      <c r="CO91" s="266" t="s">
        <v>24</v>
      </c>
      <c r="CP91" s="438" t="s">
        <v>6812</v>
      </c>
      <c r="CQ91" s="150">
        <v>8.6</v>
      </c>
      <c r="CR91" s="150">
        <v>3.9</v>
      </c>
      <c r="CS91" s="150" t="s">
        <v>24</v>
      </c>
      <c r="CT91" s="290" t="s">
        <v>6822</v>
      </c>
      <c r="CU91" s="291" t="s">
        <v>2480</v>
      </c>
      <c r="CV91" s="278" t="s">
        <v>24</v>
      </c>
      <c r="CW91" s="285" t="s">
        <v>24</v>
      </c>
      <c r="CX91" s="151" t="s">
        <v>6810</v>
      </c>
      <c r="CY91" s="266">
        <v>7.5</v>
      </c>
      <c r="CZ91" s="150">
        <v>4</v>
      </c>
      <c r="DA91" s="266" t="s">
        <v>24</v>
      </c>
      <c r="DB91" s="151" t="s">
        <v>6811</v>
      </c>
      <c r="DC91" s="150">
        <v>9.4</v>
      </c>
      <c r="DD91" s="150">
        <v>2.5</v>
      </c>
      <c r="DE91" s="150" t="s">
        <v>24</v>
      </c>
      <c r="DF91" s="302" t="s">
        <v>24</v>
      </c>
      <c r="DG91" s="303" t="s">
        <v>24</v>
      </c>
      <c r="DH91" s="150"/>
      <c r="DI91" s="150"/>
      <c r="DJ91" s="150"/>
      <c r="DK91" s="150"/>
      <c r="DL91" s="150"/>
      <c r="DM91" s="150"/>
      <c r="DN91" s="150"/>
      <c r="DO91" s="150"/>
      <c r="DP91" s="302"/>
      <c r="DQ91" s="303"/>
      <c r="DR91" s="278"/>
      <c r="DS91" s="279"/>
      <c r="DT91" s="150"/>
      <c r="DU91" s="150"/>
      <c r="DV91" s="150"/>
      <c r="DW91" s="150"/>
      <c r="DX91" s="151"/>
      <c r="DY91" s="150"/>
      <c r="DZ91" s="150"/>
      <c r="EA91" s="150"/>
      <c r="EB91" s="303"/>
      <c r="EC91" s="303"/>
      <c r="ED91" s="151"/>
      <c r="EE91" s="150"/>
      <c r="EF91" s="150"/>
      <c r="EG91" s="150"/>
      <c r="EH91" s="151"/>
      <c r="EI91" s="150"/>
      <c r="EJ91" s="150"/>
      <c r="EK91" s="150"/>
      <c r="EL91" s="303"/>
      <c r="EM91" s="303"/>
      <c r="EN91" s="279"/>
      <c r="EO91" s="150"/>
      <c r="EP91" s="150"/>
      <c r="EQ91" s="150"/>
      <c r="ER91" s="150"/>
      <c r="ES91" s="150"/>
      <c r="ET91" s="150"/>
      <c r="EU91" s="150"/>
      <c r="EV91" s="150"/>
      <c r="EW91" s="303"/>
      <c r="EX91" s="303"/>
      <c r="EY91" s="150"/>
      <c r="EZ91" s="150"/>
      <c r="FA91" s="150"/>
      <c r="FB91" s="150"/>
      <c r="FC91" s="150"/>
      <c r="FD91" s="150"/>
      <c r="FE91" s="150"/>
      <c r="FF91" s="150"/>
      <c r="FG91" s="152"/>
      <c r="FH91" s="152"/>
      <c r="FI91" s="150"/>
      <c r="FJ91" s="150"/>
      <c r="FK91" s="150"/>
      <c r="FL91" s="150"/>
      <c r="FM91" s="150"/>
      <c r="FN91" s="150"/>
      <c r="FO91" s="150"/>
      <c r="FP91" s="150"/>
      <c r="FQ91" s="152"/>
      <c r="FR91" s="152"/>
      <c r="FS91" s="150"/>
      <c r="FT91" s="150"/>
      <c r="FU91" s="150"/>
      <c r="FV91" s="150"/>
      <c r="FW91" s="150"/>
      <c r="FX91" s="150"/>
      <c r="FY91" s="150"/>
      <c r="FZ91" s="150"/>
      <c r="GA91" s="152"/>
      <c r="GB91" s="152"/>
      <c r="GC91" s="150"/>
      <c r="GD91" s="150"/>
      <c r="GE91" s="150"/>
      <c r="GF91" s="150"/>
      <c r="GG91" s="150"/>
      <c r="GH91" s="150"/>
      <c r="GI91" s="150"/>
      <c r="GJ91" s="150"/>
      <c r="GK91" s="152"/>
      <c r="GL91" s="152"/>
      <c r="GM91" s="150"/>
      <c r="GN91" s="150"/>
      <c r="GO91" s="150"/>
      <c r="GP91" s="150"/>
      <c r="GQ91" s="150"/>
      <c r="GR91" s="150"/>
      <c r="GS91" s="150"/>
      <c r="GT91" s="150"/>
      <c r="GU91" s="152"/>
      <c r="GV91" s="152"/>
      <c r="GW91" s="150"/>
      <c r="GX91" s="150"/>
      <c r="GY91" s="150"/>
      <c r="GZ91" s="150"/>
      <c r="HA91" s="150"/>
      <c r="HB91" s="150"/>
      <c r="HC91" s="150"/>
      <c r="HD91" s="150"/>
      <c r="HE91" s="152"/>
      <c r="HF91" s="152"/>
      <c r="HG91" s="150"/>
      <c r="HH91" s="150"/>
      <c r="HI91" s="150"/>
      <c r="HJ91" s="150"/>
      <c r="HK91" s="150"/>
      <c r="HL91" s="150"/>
      <c r="HM91" s="150"/>
      <c r="HN91" s="150"/>
      <c r="HO91" s="152"/>
      <c r="HP91" s="152"/>
      <c r="HQ91" s="150"/>
      <c r="HR91" s="150"/>
      <c r="HS91" s="150"/>
      <c r="HT91" s="150"/>
      <c r="HU91" s="150"/>
      <c r="HV91" s="150"/>
      <c r="HW91" s="150"/>
      <c r="HX91" s="150"/>
      <c r="HY91" s="152"/>
      <c r="HZ91" s="152"/>
      <c r="IA91" s="150"/>
      <c r="IB91" s="150"/>
      <c r="IC91" s="150"/>
      <c r="ID91" s="150"/>
      <c r="IE91" s="150"/>
      <c r="IF91" s="150"/>
      <c r="IG91" s="150"/>
      <c r="IH91" s="150"/>
      <c r="II91" s="152"/>
      <c r="IJ91" s="152"/>
      <c r="IK91" s="150"/>
      <c r="IL91" s="150"/>
      <c r="IM91" s="150"/>
      <c r="IN91" s="150"/>
      <c r="IO91" s="150"/>
      <c r="IP91" s="150"/>
      <c r="IQ91" s="150"/>
      <c r="IR91" s="150"/>
      <c r="IS91" s="152"/>
      <c r="IT91" s="152"/>
      <c r="IU91" s="150"/>
      <c r="IV91" s="150"/>
      <c r="IW91" s="150"/>
      <c r="IX91" s="150"/>
      <c r="IY91" s="150"/>
      <c r="IZ91" s="150"/>
      <c r="JA91" s="150"/>
      <c r="JB91" s="150"/>
      <c r="JC91" s="152"/>
      <c r="JD91" s="152"/>
    </row>
    <row r="92" spans="1:264" s="229" customFormat="1" ht="15" customHeight="1">
      <c r="A92" s="118" t="s">
        <v>163</v>
      </c>
      <c r="B92" s="616">
        <v>119</v>
      </c>
      <c r="C92" s="616"/>
      <c r="D92" s="616">
        <v>38</v>
      </c>
      <c r="E92" s="605" t="s">
        <v>1959</v>
      </c>
      <c r="F92" s="140" t="s">
        <v>2181</v>
      </c>
      <c r="G92" s="141">
        <v>2008</v>
      </c>
      <c r="H92" s="118">
        <v>18806234</v>
      </c>
      <c r="I92" s="118">
        <v>1</v>
      </c>
      <c r="J92" s="118"/>
      <c r="K92" s="118"/>
      <c r="L92" s="118">
        <v>1</v>
      </c>
      <c r="M92" s="118"/>
      <c r="N92" s="118">
        <v>1</v>
      </c>
      <c r="O92" s="142">
        <v>1</v>
      </c>
      <c r="P92" s="118" t="s">
        <v>486</v>
      </c>
      <c r="Q92" s="118"/>
      <c r="R92" s="118" t="s">
        <v>487</v>
      </c>
      <c r="S92" s="118">
        <v>0</v>
      </c>
      <c r="T92" s="118"/>
      <c r="U92" s="118"/>
      <c r="V92" s="118"/>
      <c r="W92" s="118"/>
      <c r="X92" s="118"/>
      <c r="Y92" s="118"/>
      <c r="Z92" s="118"/>
      <c r="AA92" s="118"/>
      <c r="AB92" s="118"/>
      <c r="AC92" s="145" t="s">
        <v>6210</v>
      </c>
      <c r="AD92" s="653">
        <v>1</v>
      </c>
      <c r="AE92" s="653">
        <v>1</v>
      </c>
      <c r="AF92" s="472" t="s">
        <v>3003</v>
      </c>
      <c r="AG92" s="473" t="s">
        <v>6828</v>
      </c>
      <c r="AH92" s="152" t="s">
        <v>6799</v>
      </c>
      <c r="AI92" s="152"/>
      <c r="AJ92" s="242" t="s">
        <v>6800</v>
      </c>
      <c r="AK92" s="236">
        <v>1</v>
      </c>
      <c r="AL92" s="243" t="s">
        <v>24</v>
      </c>
      <c r="AM92" s="152">
        <v>25</v>
      </c>
      <c r="AN92" s="152" t="s">
        <v>6801</v>
      </c>
      <c r="AO92" s="152">
        <v>11</v>
      </c>
      <c r="AP92" s="152" t="s">
        <v>803</v>
      </c>
      <c r="AQ92" s="152" t="s">
        <v>803</v>
      </c>
      <c r="AR92" s="152">
        <f>AVERAGE(80.9, 79.3)</f>
        <v>80.099999999999994</v>
      </c>
      <c r="AS92" s="152">
        <f>AVERAGE(2.3,1.5)</f>
        <v>1.9</v>
      </c>
      <c r="AT92" s="152">
        <v>80</v>
      </c>
      <c r="AU92" s="152">
        <v>2.2000000000000002</v>
      </c>
      <c r="AV92" s="152" t="s">
        <v>6802</v>
      </c>
      <c r="AW92" s="152" t="s">
        <v>24</v>
      </c>
      <c r="AX92" s="152" t="s">
        <v>24</v>
      </c>
      <c r="AY92" s="152" t="s">
        <v>6803</v>
      </c>
      <c r="AZ92" s="152" t="s">
        <v>6791</v>
      </c>
      <c r="BA92" s="152" t="s">
        <v>6792</v>
      </c>
      <c r="BB92" s="588"/>
      <c r="BC92" s="588"/>
      <c r="BD92" s="161"/>
      <c r="BE92" s="161"/>
      <c r="BF92" s="161" t="s">
        <v>6209</v>
      </c>
      <c r="BG92" s="161"/>
      <c r="BH92" s="161"/>
      <c r="BI92" s="161" t="s">
        <v>4727</v>
      </c>
      <c r="BJ92" s="161">
        <v>1</v>
      </c>
      <c r="BK92" s="161"/>
      <c r="BL92" s="161" t="s">
        <v>4727</v>
      </c>
      <c r="BM92" s="161"/>
      <c r="BN92" s="161"/>
      <c r="BO92" s="161"/>
      <c r="BP92" s="161"/>
      <c r="BQ92" s="596" t="s">
        <v>6798</v>
      </c>
      <c r="BR92" s="162" t="s">
        <v>6612</v>
      </c>
      <c r="BS92" s="659">
        <v>2</v>
      </c>
      <c r="BT92" s="150" t="s">
        <v>1876</v>
      </c>
      <c r="BU92" s="150" t="s">
        <v>6804</v>
      </c>
      <c r="BV92" s="150" t="s">
        <v>6794</v>
      </c>
      <c r="BW92" s="150" t="s">
        <v>24</v>
      </c>
      <c r="BX92" s="150" t="s">
        <v>6806</v>
      </c>
      <c r="BY92" s="150"/>
      <c r="BZ92" s="258" t="s">
        <v>6826</v>
      </c>
      <c r="CA92" s="257" t="s">
        <v>24</v>
      </c>
      <c r="CB92" s="151" t="s">
        <v>6813</v>
      </c>
      <c r="CC92" s="266">
        <v>39.200000000000003</v>
      </c>
      <c r="CD92" s="150">
        <v>3.4</v>
      </c>
      <c r="CE92" s="266" t="s">
        <v>24</v>
      </c>
      <c r="CF92" s="151" t="s">
        <v>6814</v>
      </c>
      <c r="CG92" s="150">
        <v>36.1</v>
      </c>
      <c r="CH92" s="150">
        <v>6.1</v>
      </c>
      <c r="CI92" s="150" t="s">
        <v>24</v>
      </c>
      <c r="CJ92" s="290" t="s">
        <v>6824</v>
      </c>
      <c r="CK92" s="291" t="s">
        <v>6825</v>
      </c>
      <c r="CL92" s="438" t="s">
        <v>6815</v>
      </c>
      <c r="CM92" s="266">
        <v>41.2</v>
      </c>
      <c r="CN92" s="150">
        <v>2.9</v>
      </c>
      <c r="CO92" s="266" t="s">
        <v>24</v>
      </c>
      <c r="CP92" s="542" t="s">
        <v>24</v>
      </c>
      <c r="CQ92" s="150" t="s">
        <v>24</v>
      </c>
      <c r="CR92" s="150" t="s">
        <v>24</v>
      </c>
      <c r="CS92" s="150" t="s">
        <v>24</v>
      </c>
      <c r="CT92" s="290" t="s">
        <v>24</v>
      </c>
      <c r="CU92" s="291" t="s">
        <v>24</v>
      </c>
      <c r="CV92" s="278"/>
      <c r="CW92" s="285"/>
      <c r="CX92" s="151"/>
      <c r="CY92" s="266"/>
      <c r="CZ92" s="150"/>
      <c r="DA92" s="266"/>
      <c r="DB92" s="150"/>
      <c r="DC92" s="150"/>
      <c r="DD92" s="150"/>
      <c r="DE92" s="150"/>
      <c r="DF92" s="302"/>
      <c r="DG92" s="303"/>
      <c r="DH92" s="150"/>
      <c r="DI92" s="150"/>
      <c r="DJ92" s="150"/>
      <c r="DK92" s="150"/>
      <c r="DL92" s="150"/>
      <c r="DM92" s="150"/>
      <c r="DN92" s="150"/>
      <c r="DO92" s="150"/>
      <c r="DP92" s="302"/>
      <c r="DQ92" s="303"/>
      <c r="DR92" s="278"/>
      <c r="DS92" s="279"/>
      <c r="DT92" s="150"/>
      <c r="DU92" s="150"/>
      <c r="DV92" s="150"/>
      <c r="DW92" s="150"/>
      <c r="DX92" s="151"/>
      <c r="DY92" s="150"/>
      <c r="DZ92" s="150"/>
      <c r="EA92" s="150"/>
      <c r="EB92" s="303"/>
      <c r="EC92" s="303"/>
      <c r="ED92" s="151"/>
      <c r="EE92" s="150"/>
      <c r="EF92" s="150"/>
      <c r="EG92" s="150"/>
      <c r="EH92" s="151"/>
      <c r="EI92" s="150"/>
      <c r="EJ92" s="150"/>
      <c r="EK92" s="150"/>
      <c r="EL92" s="303"/>
      <c r="EM92" s="303"/>
      <c r="EN92" s="279"/>
      <c r="EO92" s="150"/>
      <c r="EP92" s="150"/>
      <c r="EQ92" s="150"/>
      <c r="ER92" s="150"/>
      <c r="ES92" s="150"/>
      <c r="ET92" s="150"/>
      <c r="EU92" s="150"/>
      <c r="EV92" s="150"/>
      <c r="EW92" s="303"/>
      <c r="EX92" s="303"/>
      <c r="EY92" s="150"/>
      <c r="EZ92" s="150"/>
      <c r="FA92" s="150"/>
      <c r="FB92" s="150"/>
      <c r="FC92" s="150"/>
      <c r="FD92" s="150"/>
      <c r="FE92" s="150"/>
      <c r="FF92" s="150"/>
      <c r="FG92" s="152"/>
      <c r="FH92" s="152"/>
      <c r="FI92" s="150"/>
      <c r="FJ92" s="150"/>
      <c r="FK92" s="150"/>
      <c r="FL92" s="150"/>
      <c r="FM92" s="150"/>
      <c r="FN92" s="150"/>
      <c r="FO92" s="150"/>
      <c r="FP92" s="150"/>
      <c r="FQ92" s="152"/>
      <c r="FR92" s="152"/>
      <c r="FS92" s="150"/>
      <c r="FT92" s="150"/>
      <c r="FU92" s="150"/>
      <c r="FV92" s="150"/>
      <c r="FW92" s="150"/>
      <c r="FX92" s="150"/>
      <c r="FY92" s="150"/>
      <c r="FZ92" s="150"/>
      <c r="GA92" s="152"/>
      <c r="GB92" s="152"/>
      <c r="GC92" s="150"/>
      <c r="GD92" s="150"/>
      <c r="GE92" s="150"/>
      <c r="GF92" s="150"/>
      <c r="GG92" s="150"/>
      <c r="GH92" s="150"/>
      <c r="GI92" s="150"/>
      <c r="GJ92" s="150"/>
      <c r="GK92" s="152"/>
      <c r="GL92" s="152"/>
      <c r="GM92" s="150"/>
      <c r="GN92" s="150"/>
      <c r="GO92" s="150"/>
      <c r="GP92" s="150"/>
      <c r="GQ92" s="150"/>
      <c r="GR92" s="150"/>
      <c r="GS92" s="150"/>
      <c r="GT92" s="150"/>
      <c r="GU92" s="152"/>
      <c r="GV92" s="152"/>
      <c r="GW92" s="150"/>
      <c r="GX92" s="150"/>
      <c r="GY92" s="150"/>
      <c r="GZ92" s="150"/>
      <c r="HA92" s="150"/>
      <c r="HB92" s="150"/>
      <c r="HC92" s="150"/>
      <c r="HD92" s="150"/>
      <c r="HE92" s="152"/>
      <c r="HF92" s="152"/>
      <c r="HG92" s="150"/>
      <c r="HH92" s="150"/>
      <c r="HI92" s="150"/>
      <c r="HJ92" s="150"/>
      <c r="HK92" s="150"/>
      <c r="HL92" s="150"/>
      <c r="HM92" s="150"/>
      <c r="HN92" s="150"/>
      <c r="HO92" s="152"/>
      <c r="HP92" s="152"/>
      <c r="HQ92" s="150"/>
      <c r="HR92" s="150"/>
      <c r="HS92" s="150"/>
      <c r="HT92" s="150"/>
      <c r="HU92" s="150"/>
      <c r="HV92" s="150"/>
      <c r="HW92" s="150"/>
      <c r="HX92" s="150"/>
      <c r="HY92" s="152"/>
      <c r="HZ92" s="152"/>
      <c r="IA92" s="150"/>
      <c r="IB92" s="150"/>
      <c r="IC92" s="150"/>
      <c r="ID92" s="150"/>
      <c r="IE92" s="150"/>
      <c r="IF92" s="150"/>
      <c r="IG92" s="150"/>
      <c r="IH92" s="150"/>
      <c r="II92" s="152"/>
      <c r="IJ92" s="152"/>
      <c r="IK92" s="150"/>
      <c r="IL92" s="150"/>
      <c r="IM92" s="150"/>
      <c r="IN92" s="150"/>
      <c r="IO92" s="150"/>
      <c r="IP92" s="150"/>
      <c r="IQ92" s="150"/>
      <c r="IR92" s="150"/>
      <c r="IS92" s="152"/>
      <c r="IT92" s="152"/>
      <c r="IU92" s="150"/>
      <c r="IV92" s="150"/>
      <c r="IW92" s="150"/>
      <c r="IX92" s="150"/>
      <c r="IY92" s="150"/>
      <c r="IZ92" s="150"/>
      <c r="JA92" s="150"/>
      <c r="JB92" s="150"/>
      <c r="JC92" s="152"/>
      <c r="JD92" s="152"/>
    </row>
    <row r="93" spans="1:264" s="188" customFormat="1" ht="15" customHeight="1">
      <c r="A93" s="79" t="s">
        <v>1057</v>
      </c>
      <c r="B93" s="617">
        <v>123</v>
      </c>
      <c r="C93" s="617"/>
      <c r="D93" s="617">
        <v>39</v>
      </c>
      <c r="E93" s="608" t="s">
        <v>2074</v>
      </c>
      <c r="F93" s="181" t="s">
        <v>2326</v>
      </c>
      <c r="G93" s="182">
        <v>2012</v>
      </c>
      <c r="H93" s="79">
        <v>22659471</v>
      </c>
      <c r="I93" s="79">
        <v>1</v>
      </c>
      <c r="J93" s="79"/>
      <c r="K93" s="79"/>
      <c r="L93" s="79">
        <v>1</v>
      </c>
      <c r="M93" s="79"/>
      <c r="N93" s="79">
        <v>1</v>
      </c>
      <c r="O93" s="128">
        <v>2</v>
      </c>
      <c r="P93" s="79" t="s">
        <v>1336</v>
      </c>
      <c r="Q93" s="79" t="s">
        <v>1224</v>
      </c>
      <c r="R93" s="79" t="s">
        <v>1127</v>
      </c>
      <c r="S93" s="79"/>
      <c r="T93" s="79" t="s">
        <v>1498</v>
      </c>
      <c r="U93" s="79" t="s">
        <v>803</v>
      </c>
      <c r="V93" s="79"/>
      <c r="W93" s="79" t="s">
        <v>1337</v>
      </c>
      <c r="X93" s="79" t="s">
        <v>1338</v>
      </c>
      <c r="Y93" s="79"/>
      <c r="Z93" s="79"/>
      <c r="AA93" s="79"/>
      <c r="AB93" s="79"/>
      <c r="AC93" s="506" t="s">
        <v>1227</v>
      </c>
      <c r="AD93" s="573">
        <v>1</v>
      </c>
      <c r="AE93" s="573">
        <v>1</v>
      </c>
      <c r="AF93" s="352">
        <v>1</v>
      </c>
      <c r="AG93" s="353" t="s">
        <v>6831</v>
      </c>
      <c r="AH93" s="346">
        <v>4</v>
      </c>
      <c r="AI93" s="487"/>
      <c r="AJ93" s="459" t="s">
        <v>6829</v>
      </c>
      <c r="AK93" s="348">
        <v>2</v>
      </c>
      <c r="AL93" s="349">
        <v>0</v>
      </c>
      <c r="AM93" s="346">
        <f>Table668[[#This Row],[Data_Subjects_n_ptsd]]+Table668[[#This Row],[Data_Subjects_n_control]]</f>
        <v>24</v>
      </c>
      <c r="AN93" s="346">
        <v>12</v>
      </c>
      <c r="AO93" s="346">
        <v>12</v>
      </c>
      <c r="AP93" s="346" t="s">
        <v>803</v>
      </c>
      <c r="AQ93" s="346" t="s">
        <v>803</v>
      </c>
      <c r="AR93" s="666" t="s">
        <v>4544</v>
      </c>
      <c r="AS93" s="346" t="s">
        <v>2882</v>
      </c>
      <c r="AT93" s="666" t="s">
        <v>4544</v>
      </c>
      <c r="AU93" s="346" t="s">
        <v>2882</v>
      </c>
      <c r="AV93" s="346" t="s">
        <v>6830</v>
      </c>
      <c r="AW93" s="346">
        <v>1</v>
      </c>
      <c r="AX93" s="346">
        <v>1</v>
      </c>
      <c r="AY93" s="346" t="s">
        <v>5662</v>
      </c>
      <c r="AZ93" s="346" t="s">
        <v>1130</v>
      </c>
      <c r="BA93" s="346" t="s">
        <v>6653</v>
      </c>
      <c r="BB93" s="598"/>
      <c r="BC93" s="598"/>
      <c r="BD93" s="184">
        <v>1</v>
      </c>
      <c r="BE93" s="184"/>
      <c r="BF93" s="184"/>
      <c r="BG93" s="184"/>
      <c r="BH93" s="184"/>
      <c r="BI93" s="184"/>
      <c r="BJ93" s="184">
        <v>1</v>
      </c>
      <c r="BK93" s="184"/>
      <c r="BL93" s="184"/>
      <c r="BM93" s="184"/>
      <c r="BN93" s="184"/>
      <c r="BO93" s="184"/>
      <c r="BP93" s="184"/>
      <c r="BQ93" s="600" t="s">
        <v>6866</v>
      </c>
      <c r="BR93" s="185" t="s">
        <v>6838</v>
      </c>
      <c r="BS93" s="660">
        <v>1</v>
      </c>
      <c r="BT93" s="186" t="s">
        <v>1876</v>
      </c>
      <c r="BU93" s="186" t="s">
        <v>6833</v>
      </c>
      <c r="BV93" s="272" t="s">
        <v>6836</v>
      </c>
      <c r="BW93" s="186" t="s">
        <v>6839</v>
      </c>
      <c r="BX93" s="467" t="s">
        <v>6840</v>
      </c>
      <c r="BY93" s="186" t="s">
        <v>6639</v>
      </c>
      <c r="BZ93" s="261" t="s">
        <v>6874</v>
      </c>
      <c r="CA93" s="620" t="s">
        <v>6868</v>
      </c>
      <c r="CB93" s="267" t="s">
        <v>6842</v>
      </c>
      <c r="CC93" s="271">
        <v>14.852</v>
      </c>
      <c r="CD93" s="186" t="s">
        <v>24</v>
      </c>
      <c r="CE93" s="271">
        <f>26.3326-Table668[[#This Row],[Data_Outcome1_M]]</f>
        <v>11.480599999999999</v>
      </c>
      <c r="CF93" s="267" t="s">
        <v>6843</v>
      </c>
      <c r="CG93" s="186">
        <v>14.482100000000001</v>
      </c>
      <c r="CH93" s="186" t="s">
        <v>24</v>
      </c>
      <c r="CI93" s="186">
        <f>25.2224-Table668[[#This Row],[Data_Outcome2_M]]</f>
        <v>10.7403</v>
      </c>
      <c r="CJ93" s="294" t="s">
        <v>3390</v>
      </c>
      <c r="CK93" s="295" t="s">
        <v>3790</v>
      </c>
      <c r="CL93" s="267" t="s">
        <v>6844</v>
      </c>
      <c r="CM93" s="271">
        <v>135.63</v>
      </c>
      <c r="CN93" s="186" t="s">
        <v>24</v>
      </c>
      <c r="CO93" s="271">
        <f>177.11-Table668[[#This Row],[Data_Outcome3_M]]</f>
        <v>41.480000000000018</v>
      </c>
      <c r="CP93" s="267" t="s">
        <v>6845</v>
      </c>
      <c r="CQ93" s="186">
        <v>3.7789600000000001</v>
      </c>
      <c r="CR93" s="186" t="s">
        <v>24</v>
      </c>
      <c r="CS93" s="186">
        <f>6.74192-Table668[[#This Row],[Data_Outcome4_M]]</f>
        <v>2.9629600000000003</v>
      </c>
      <c r="CT93" s="294" t="s">
        <v>6867</v>
      </c>
      <c r="CU93" s="667" t="s">
        <v>6869</v>
      </c>
      <c r="CV93" s="280" t="s">
        <v>24</v>
      </c>
      <c r="CW93" s="310" t="s">
        <v>24</v>
      </c>
      <c r="CX93" s="668" t="s">
        <v>6846</v>
      </c>
      <c r="CY93" s="669">
        <v>103.44499999999999</v>
      </c>
      <c r="CZ93" s="670" t="s">
        <v>24</v>
      </c>
      <c r="DA93" s="669">
        <f>136.778-Table668[[#This Row],[Data_Outcome5_M]]</f>
        <v>33.332999999999998</v>
      </c>
      <c r="DB93" s="668" t="s">
        <v>6847</v>
      </c>
      <c r="DC93" s="186">
        <v>2.7045699999999999</v>
      </c>
      <c r="DD93" s="186" t="s">
        <v>24</v>
      </c>
      <c r="DE93" s="186">
        <f>5.66798-Table668[[#This Row],[Data_Outcome6_M]]</f>
        <v>2.9634100000000001</v>
      </c>
      <c r="DF93" s="294" t="s">
        <v>6867</v>
      </c>
      <c r="DG93" s="295" t="s">
        <v>2588</v>
      </c>
      <c r="DH93" s="668" t="s">
        <v>6848</v>
      </c>
      <c r="DI93" s="669">
        <v>7.1852799999999997</v>
      </c>
      <c r="DJ93" s="670" t="s">
        <v>24</v>
      </c>
      <c r="DK93" s="669">
        <f>10.5182-Table668[[#This Row],[Data_Outcome7_M]]</f>
        <v>3.3329200000000005</v>
      </c>
      <c r="DL93" s="668" t="s">
        <v>6849</v>
      </c>
      <c r="DM93" s="186">
        <v>2.00054</v>
      </c>
      <c r="DN93" s="186" t="s">
        <v>24</v>
      </c>
      <c r="DO93" s="186">
        <f>4.96351-Table668[[#This Row],[Data_Outcome8_M]]</f>
        <v>2.9629700000000003</v>
      </c>
      <c r="DP93" s="671" t="s">
        <v>3229</v>
      </c>
      <c r="DQ93" s="315" t="s">
        <v>6870</v>
      </c>
      <c r="DR93" s="280" t="s">
        <v>24</v>
      </c>
      <c r="DS93" s="281" t="s">
        <v>24</v>
      </c>
      <c r="DT93" s="668" t="s">
        <v>6850</v>
      </c>
      <c r="DU93" s="669">
        <v>31.666899999999998</v>
      </c>
      <c r="DV93" s="670" t="s">
        <v>24</v>
      </c>
      <c r="DW93" s="669">
        <f>55.7401-Table668[[#This Row],[Data_Outcome9_M]]</f>
        <v>24.0732</v>
      </c>
      <c r="DX93" s="668" t="s">
        <v>6851</v>
      </c>
      <c r="DY93" s="186">
        <v>2.4076300000000002</v>
      </c>
      <c r="DZ93" s="186" t="s">
        <v>24</v>
      </c>
      <c r="EA93" s="186">
        <f>4.62986-Table668[[#This Row],[Data_Outcome10_M]]</f>
        <v>2.2222299999999997</v>
      </c>
      <c r="EB93" s="671" t="s">
        <v>3229</v>
      </c>
      <c r="EC93" s="315" t="s">
        <v>6870</v>
      </c>
      <c r="ED93" s="668" t="s">
        <v>6852</v>
      </c>
      <c r="EE93" s="669">
        <v>9.4809400000000004</v>
      </c>
      <c r="EF93" s="670" t="s">
        <v>24</v>
      </c>
      <c r="EG93" s="669">
        <f>12.4439-Table668[[#This Row],[Data_Outcome11_M]]</f>
        <v>2.9629599999999989</v>
      </c>
      <c r="EH93" s="668" t="s">
        <v>6853</v>
      </c>
      <c r="EI93" s="186">
        <v>3.55592</v>
      </c>
      <c r="EJ93" s="186" t="s">
        <v>24</v>
      </c>
      <c r="EK93" s="186">
        <f>6.51843-Table668[[#This Row],[Data_Outcome12_M]]</f>
        <v>2.9625100000000004</v>
      </c>
      <c r="EL93" s="671" t="s">
        <v>3229</v>
      </c>
      <c r="EM93" s="315" t="s">
        <v>6870</v>
      </c>
      <c r="EN93" s="281" t="s">
        <v>24</v>
      </c>
      <c r="EO93" s="668" t="s">
        <v>6854</v>
      </c>
      <c r="EP93" s="669">
        <v>6.9250600000000002</v>
      </c>
      <c r="EQ93" s="670" t="s">
        <v>24</v>
      </c>
      <c r="ER93" s="669">
        <f>9.51811-Table668[[#This Row],[Data_Outcome13_M]]</f>
        <v>2.5930499999999999</v>
      </c>
      <c r="ES93" s="668" t="s">
        <v>6855</v>
      </c>
      <c r="ET93" s="186">
        <v>1.7407900000000001</v>
      </c>
      <c r="EU93" s="186" t="s">
        <v>24</v>
      </c>
      <c r="EV93" s="186">
        <f>4.33338-Table668[[#This Row],[Data_Outcome14_M]]</f>
        <v>2.59259</v>
      </c>
      <c r="EW93" s="672" t="s">
        <v>3229</v>
      </c>
      <c r="EX93" s="673" t="s">
        <v>6870</v>
      </c>
      <c r="EY93" s="668" t="s">
        <v>6856</v>
      </c>
      <c r="EZ93" s="669">
        <v>6.2214999999999998</v>
      </c>
      <c r="FA93" s="670" t="s">
        <v>24</v>
      </c>
      <c r="FB93" s="669">
        <f>8.44327-Table668[[#This Row],[Data_Outcome15_M]]</f>
        <v>2.2217700000000002</v>
      </c>
      <c r="FC93" s="668" t="s">
        <v>6857</v>
      </c>
      <c r="FD93" s="186">
        <v>0.296931</v>
      </c>
      <c r="FE93" s="186" t="s">
        <v>24</v>
      </c>
      <c r="FF93" s="186">
        <f>2.5187-Table668[[#This Row],[Data_Outcome16_M]]</f>
        <v>2.2217690000000001</v>
      </c>
      <c r="FG93" s="672" t="s">
        <v>3229</v>
      </c>
      <c r="FH93" s="673" t="s">
        <v>6870</v>
      </c>
      <c r="FI93" s="668" t="s">
        <v>6858</v>
      </c>
      <c r="FJ93" s="669">
        <v>2.9248799999999999</v>
      </c>
      <c r="FK93" s="670" t="s">
        <v>24</v>
      </c>
      <c r="FL93" s="669">
        <f>5.14801-Table668[[#This Row],[Data_Outcome17_M]]</f>
        <v>2.2231300000000003</v>
      </c>
      <c r="FM93" s="668" t="s">
        <v>6859</v>
      </c>
      <c r="FN93" s="186">
        <v>0.27675300000000003</v>
      </c>
      <c r="FO93" s="186" t="s">
        <v>24</v>
      </c>
      <c r="FP93" s="186">
        <f>3.32103-Table668[[#This Row],[Data_Outcome18_M]]</f>
        <v>3.0442770000000001</v>
      </c>
      <c r="FQ93" s="672" t="s">
        <v>3229</v>
      </c>
      <c r="FR93" s="673" t="s">
        <v>6870</v>
      </c>
      <c r="FS93" s="668" t="s">
        <v>6860</v>
      </c>
      <c r="FT93" s="669">
        <v>7.0356800000000002</v>
      </c>
      <c r="FU93" s="670" t="s">
        <v>24</v>
      </c>
      <c r="FV93" s="669">
        <f>11.4801-Table668[[#This Row],[Data_Outcome19_M]]</f>
        <v>4.44442</v>
      </c>
      <c r="FW93" s="668" t="s">
        <v>6861</v>
      </c>
      <c r="FX93" s="186">
        <v>0.74028700000000003</v>
      </c>
      <c r="FY93" s="186" t="s">
        <v>24</v>
      </c>
      <c r="FZ93" s="186">
        <f>3.33333-Table668[[#This Row],[Data_Outcome20_M]]</f>
        <v>2.5930430000000002</v>
      </c>
      <c r="GA93" s="672" t="s">
        <v>3229</v>
      </c>
      <c r="GB93" s="673" t="s">
        <v>6870</v>
      </c>
      <c r="GC93" s="186" t="s">
        <v>6862</v>
      </c>
      <c r="GD93" s="186">
        <v>3.5019900000000002</v>
      </c>
      <c r="GE93" s="186" t="s">
        <v>24</v>
      </c>
      <c r="GF93" s="186">
        <f>4.61493-Table668[[#This Row],[Data_Outcome21_M]]</f>
        <v>1.11294</v>
      </c>
      <c r="GG93" s="186" t="s">
        <v>6863</v>
      </c>
      <c r="GH93" s="186">
        <v>1.2295499999999999</v>
      </c>
      <c r="GI93" s="186" t="s">
        <v>24</v>
      </c>
      <c r="GJ93" s="186">
        <f>1.60038-Table668[[#This Row],[Data_Outcome22_M]]</f>
        <v>0.37082999999999999</v>
      </c>
      <c r="GK93" s="187" t="s">
        <v>5379</v>
      </c>
      <c r="GL93" s="187" t="s">
        <v>3790</v>
      </c>
      <c r="GM93" s="186"/>
      <c r="GN93" s="186"/>
      <c r="GO93" s="186"/>
      <c r="GP93" s="186"/>
      <c r="GQ93" s="186"/>
      <c r="GR93" s="186"/>
      <c r="GS93" s="186"/>
      <c r="GT93" s="186"/>
      <c r="GU93" s="187"/>
      <c r="GV93" s="187"/>
      <c r="GW93" s="186"/>
      <c r="GX93" s="186"/>
      <c r="GY93" s="186"/>
      <c r="GZ93" s="186"/>
      <c r="HA93" s="186"/>
      <c r="HB93" s="186"/>
      <c r="HC93" s="186"/>
      <c r="HD93" s="186"/>
      <c r="HE93" s="187"/>
      <c r="HF93" s="187"/>
      <c r="HG93" s="186"/>
      <c r="HH93" s="186"/>
      <c r="HI93" s="186"/>
      <c r="HJ93" s="186"/>
      <c r="HK93" s="186"/>
      <c r="HL93" s="186"/>
      <c r="HM93" s="186"/>
      <c r="HN93" s="186"/>
      <c r="HO93" s="187"/>
      <c r="HP93" s="187"/>
      <c r="HQ93" s="186"/>
      <c r="HR93" s="186"/>
      <c r="HS93" s="186"/>
      <c r="HT93" s="186"/>
      <c r="HU93" s="186"/>
      <c r="HV93" s="186"/>
      <c r="HW93" s="186"/>
      <c r="HX93" s="186"/>
      <c r="HY93" s="187"/>
      <c r="HZ93" s="187"/>
      <c r="IA93" s="186"/>
      <c r="IB93" s="186"/>
      <c r="IC93" s="186"/>
      <c r="ID93" s="186"/>
      <c r="IE93" s="186"/>
      <c r="IF93" s="186"/>
      <c r="IG93" s="186"/>
      <c r="IH93" s="186"/>
      <c r="II93" s="187"/>
      <c r="IJ93" s="187"/>
      <c r="IK93" s="186"/>
      <c r="IL93" s="186"/>
      <c r="IM93" s="186"/>
      <c r="IN93" s="186"/>
      <c r="IO93" s="186"/>
      <c r="IP93" s="186"/>
      <c r="IQ93" s="186"/>
      <c r="IR93" s="186"/>
      <c r="IS93" s="187"/>
      <c r="IT93" s="187"/>
      <c r="IU93" s="186"/>
      <c r="IV93" s="186"/>
      <c r="IW93" s="186"/>
      <c r="IX93" s="186"/>
      <c r="IY93" s="186"/>
      <c r="IZ93" s="186"/>
      <c r="JA93" s="186"/>
      <c r="JB93" s="186"/>
      <c r="JC93" s="187"/>
      <c r="JD93" s="187"/>
    </row>
    <row r="94" spans="1:264" s="119" customFormat="1" ht="15" customHeight="1">
      <c r="A94" s="118" t="s">
        <v>1057</v>
      </c>
      <c r="B94" s="616">
        <v>123</v>
      </c>
      <c r="C94" s="616"/>
      <c r="D94" s="616">
        <v>39</v>
      </c>
      <c r="E94" s="605" t="s">
        <v>2074</v>
      </c>
      <c r="F94" s="140" t="s">
        <v>2326</v>
      </c>
      <c r="G94" s="141">
        <v>2012</v>
      </c>
      <c r="H94" s="118">
        <v>22659471</v>
      </c>
      <c r="I94" s="118">
        <v>1</v>
      </c>
      <c r="J94" s="118"/>
      <c r="K94" s="118"/>
      <c r="L94" s="118">
        <v>1</v>
      </c>
      <c r="M94" s="118"/>
      <c r="N94" s="118">
        <v>1</v>
      </c>
      <c r="O94" s="142">
        <v>2</v>
      </c>
      <c r="P94" s="118" t="s">
        <v>1336</v>
      </c>
      <c r="Q94" s="118" t="s">
        <v>1224</v>
      </c>
      <c r="R94" s="118" t="s">
        <v>1127</v>
      </c>
      <c r="S94" s="118"/>
      <c r="T94" s="118" t="s">
        <v>1498</v>
      </c>
      <c r="U94" s="118" t="s">
        <v>803</v>
      </c>
      <c r="V94" s="118"/>
      <c r="W94" s="118" t="s">
        <v>1337</v>
      </c>
      <c r="X94" s="118" t="s">
        <v>1338</v>
      </c>
      <c r="Y94" s="118"/>
      <c r="Z94" s="118"/>
      <c r="AA94" s="118"/>
      <c r="AB94" s="118"/>
      <c r="AC94" s="145" t="s">
        <v>1227</v>
      </c>
      <c r="AD94" s="653">
        <v>1</v>
      </c>
      <c r="AE94" s="653">
        <v>1</v>
      </c>
      <c r="AF94" s="159">
        <v>1</v>
      </c>
      <c r="AG94" s="160" t="s">
        <v>6832</v>
      </c>
      <c r="AH94" s="122">
        <v>4</v>
      </c>
      <c r="AI94" s="485"/>
      <c r="AJ94" s="204" t="s">
        <v>6829</v>
      </c>
      <c r="AK94" s="192">
        <v>2</v>
      </c>
      <c r="AL94" s="205">
        <v>0</v>
      </c>
      <c r="AM94" s="122">
        <f>Table668[[#This Row],[Data_Subjects_n_ptsd]]+Table668[[#This Row],[Data_Subjects_n_control]]</f>
        <v>24</v>
      </c>
      <c r="AN94" s="122">
        <v>12</v>
      </c>
      <c r="AO94" s="122">
        <v>12</v>
      </c>
      <c r="AP94" s="122" t="s">
        <v>803</v>
      </c>
      <c r="AQ94" s="122" t="s">
        <v>803</v>
      </c>
      <c r="AR94" s="357" t="s">
        <v>4544</v>
      </c>
      <c r="AS94" s="122" t="s">
        <v>2882</v>
      </c>
      <c r="AT94" s="357" t="s">
        <v>4544</v>
      </c>
      <c r="AU94" s="122" t="s">
        <v>2882</v>
      </c>
      <c r="AV94" s="122" t="s">
        <v>6830</v>
      </c>
      <c r="AW94" s="122">
        <v>1</v>
      </c>
      <c r="AX94" s="122">
        <v>1</v>
      </c>
      <c r="AY94" s="122" t="s">
        <v>5662</v>
      </c>
      <c r="AZ94" s="122" t="s">
        <v>1130</v>
      </c>
      <c r="BA94" s="122" t="s">
        <v>6653</v>
      </c>
      <c r="BB94" s="588"/>
      <c r="BC94" s="588"/>
      <c r="BD94" s="161">
        <v>1</v>
      </c>
      <c r="BE94" s="161"/>
      <c r="BF94" s="161"/>
      <c r="BG94" s="161"/>
      <c r="BH94" s="161"/>
      <c r="BI94" s="161"/>
      <c r="BJ94" s="161">
        <v>1</v>
      </c>
      <c r="BK94" s="161"/>
      <c r="BL94" s="161"/>
      <c r="BM94" s="161"/>
      <c r="BN94" s="161"/>
      <c r="BO94" s="161"/>
      <c r="BP94" s="161"/>
      <c r="BQ94" s="596" t="s">
        <v>6865</v>
      </c>
      <c r="BR94" s="162" t="s">
        <v>6837</v>
      </c>
      <c r="BS94" s="659">
        <v>1</v>
      </c>
      <c r="BT94" s="150" t="s">
        <v>1876</v>
      </c>
      <c r="BU94" s="150" t="s">
        <v>6834</v>
      </c>
      <c r="BV94" s="228" t="s">
        <v>6835</v>
      </c>
      <c r="BW94" s="150" t="s">
        <v>6839</v>
      </c>
      <c r="BX94" s="150" t="s">
        <v>6841</v>
      </c>
      <c r="BY94" s="150" t="s">
        <v>6639</v>
      </c>
      <c r="BZ94" s="258" t="s">
        <v>6873</v>
      </c>
      <c r="CA94" s="257" t="s">
        <v>6627</v>
      </c>
      <c r="CB94" s="151" t="s">
        <v>6864</v>
      </c>
      <c r="CC94" s="266">
        <v>63.706000000000003</v>
      </c>
      <c r="CD94" s="150" t="s">
        <v>24</v>
      </c>
      <c r="CE94" s="266">
        <f>89.3087-Table668[[#This Row],[Data_Outcome1_M]]</f>
        <v>25.602699999999999</v>
      </c>
      <c r="CF94" s="151" t="s">
        <v>6864</v>
      </c>
      <c r="CG94" s="150">
        <v>9.29969</v>
      </c>
      <c r="CH94" s="150" t="s">
        <v>24</v>
      </c>
      <c r="CI94" s="150">
        <f>12.0826-Table668[[#This Row],[Data_Outcome2_M]]</f>
        <v>2.7829099999999993</v>
      </c>
      <c r="CJ94" s="290" t="s">
        <v>6871</v>
      </c>
      <c r="CK94" s="291" t="s">
        <v>6872</v>
      </c>
      <c r="CL94" s="151"/>
      <c r="CM94" s="266"/>
      <c r="CN94" s="150"/>
      <c r="CO94" s="266"/>
      <c r="CP94" s="151"/>
      <c r="CQ94" s="150"/>
      <c r="CR94" s="150"/>
      <c r="CS94" s="150"/>
      <c r="CT94" s="290"/>
      <c r="CU94" s="291"/>
      <c r="CV94" s="278"/>
      <c r="CW94" s="285"/>
      <c r="CX94" s="151"/>
      <c r="CY94" s="266"/>
      <c r="CZ94" s="150"/>
      <c r="DA94" s="266"/>
      <c r="DB94" s="150"/>
      <c r="DC94" s="150"/>
      <c r="DD94" s="150"/>
      <c r="DE94" s="150"/>
      <c r="DF94" s="302"/>
      <c r="DG94" s="303"/>
      <c r="DH94" s="150"/>
      <c r="DI94" s="150"/>
      <c r="DJ94" s="150"/>
      <c r="DK94" s="150"/>
      <c r="DL94" s="150"/>
      <c r="DM94" s="150"/>
      <c r="DN94" s="150"/>
      <c r="DO94" s="150"/>
      <c r="DP94" s="302"/>
      <c r="DQ94" s="303"/>
      <c r="DR94" s="278"/>
      <c r="DS94" s="279"/>
      <c r="DT94" s="150"/>
      <c r="DU94" s="150"/>
      <c r="DV94" s="150"/>
      <c r="DW94" s="150"/>
      <c r="DX94" s="151"/>
      <c r="DY94" s="150"/>
      <c r="DZ94" s="150"/>
      <c r="EA94" s="150"/>
      <c r="EB94" s="665"/>
      <c r="EC94" s="665"/>
      <c r="ED94" s="468"/>
      <c r="EE94" s="266"/>
      <c r="EF94" s="266"/>
      <c r="EG94" s="266"/>
      <c r="EH94" s="468"/>
      <c r="EI94" s="150"/>
      <c r="EJ94" s="150"/>
      <c r="EK94" s="150"/>
      <c r="EL94" s="303"/>
      <c r="EM94" s="303"/>
      <c r="EN94" s="279"/>
      <c r="EO94" s="266"/>
      <c r="EP94" s="266"/>
      <c r="EQ94" s="266"/>
      <c r="ER94" s="266"/>
      <c r="ES94" s="266"/>
      <c r="ET94" s="150"/>
      <c r="EU94" s="150"/>
      <c r="EV94" s="150"/>
      <c r="EW94" s="303"/>
      <c r="EX94" s="303"/>
      <c r="EY94" s="150"/>
      <c r="EZ94" s="150"/>
      <c r="FA94" s="150"/>
      <c r="FB94" s="150"/>
      <c r="FC94" s="150"/>
      <c r="FD94" s="150"/>
      <c r="FE94" s="150"/>
      <c r="FF94" s="150"/>
      <c r="FG94" s="152"/>
      <c r="FH94" s="152"/>
      <c r="FI94" s="150"/>
      <c r="FJ94" s="150"/>
      <c r="FK94" s="150"/>
      <c r="FL94" s="150"/>
      <c r="FM94" s="150"/>
      <c r="FN94" s="150"/>
      <c r="FO94" s="150"/>
      <c r="FP94" s="150"/>
      <c r="FQ94" s="152"/>
      <c r="FR94" s="152"/>
      <c r="FS94" s="150"/>
      <c r="FT94" s="150"/>
      <c r="FU94" s="150"/>
      <c r="FV94" s="150"/>
      <c r="FW94" s="150"/>
      <c r="FX94" s="150"/>
      <c r="FY94" s="150"/>
      <c r="FZ94" s="150"/>
      <c r="GA94" s="152"/>
      <c r="GB94" s="152"/>
      <c r="GC94" s="150"/>
      <c r="GD94" s="150"/>
      <c r="GE94" s="150"/>
      <c r="GF94" s="150"/>
      <c r="GG94" s="150"/>
      <c r="GH94" s="150"/>
      <c r="GI94" s="150"/>
      <c r="GJ94" s="150"/>
      <c r="GK94" s="152"/>
      <c r="GL94" s="152"/>
      <c r="GM94" s="150"/>
      <c r="GN94" s="150"/>
      <c r="GO94" s="150"/>
      <c r="GP94" s="150"/>
      <c r="GQ94" s="150"/>
      <c r="GR94" s="150"/>
      <c r="GS94" s="150"/>
      <c r="GT94" s="150"/>
      <c r="GU94" s="152"/>
      <c r="GV94" s="152"/>
      <c r="GW94" s="150"/>
      <c r="GX94" s="150"/>
      <c r="GY94" s="150"/>
      <c r="GZ94" s="150"/>
      <c r="HA94" s="150"/>
      <c r="HB94" s="150"/>
      <c r="HC94" s="150"/>
      <c r="HD94" s="150"/>
      <c r="HE94" s="152"/>
      <c r="HF94" s="152"/>
      <c r="HG94" s="150"/>
      <c r="HH94" s="150"/>
      <c r="HI94" s="150"/>
      <c r="HJ94" s="150"/>
      <c r="HK94" s="150"/>
      <c r="HL94" s="150"/>
      <c r="HM94" s="150"/>
      <c r="HN94" s="150"/>
      <c r="HO94" s="152"/>
      <c r="HP94" s="152"/>
      <c r="HQ94" s="150"/>
      <c r="HR94" s="150"/>
      <c r="HS94" s="150"/>
      <c r="HT94" s="150"/>
      <c r="HU94" s="150"/>
      <c r="HV94" s="150"/>
      <c r="HW94" s="150"/>
      <c r="HX94" s="150"/>
      <c r="HY94" s="152"/>
      <c r="HZ94" s="152"/>
      <c r="IA94" s="150"/>
      <c r="IB94" s="150"/>
      <c r="IC94" s="150"/>
      <c r="ID94" s="150"/>
      <c r="IE94" s="150"/>
      <c r="IF94" s="150"/>
      <c r="IG94" s="150"/>
      <c r="IH94" s="150"/>
      <c r="II94" s="152"/>
      <c r="IJ94" s="152"/>
      <c r="IK94" s="150"/>
      <c r="IL94" s="150"/>
      <c r="IM94" s="150"/>
      <c r="IN94" s="150"/>
      <c r="IO94" s="150"/>
      <c r="IP94" s="150"/>
      <c r="IQ94" s="150"/>
      <c r="IR94" s="150"/>
      <c r="IS94" s="152"/>
      <c r="IT94" s="152"/>
      <c r="IU94" s="150"/>
      <c r="IV94" s="150"/>
      <c r="IW94" s="150"/>
      <c r="IX94" s="150"/>
      <c r="IY94" s="150"/>
      <c r="IZ94" s="150"/>
      <c r="JA94" s="150"/>
      <c r="JB94" s="150"/>
      <c r="JC94" s="152"/>
      <c r="JD94" s="152"/>
    </row>
    <row r="95" spans="1:264" customFormat="1" ht="15" customHeight="1">
      <c r="A95" s="79" t="s">
        <v>170</v>
      </c>
      <c r="B95" s="362">
        <v>125</v>
      </c>
      <c r="C95" s="362"/>
      <c r="D95" s="362">
        <v>40</v>
      </c>
      <c r="E95" s="604" t="s">
        <v>1961</v>
      </c>
      <c r="F95" s="124" t="s">
        <v>2184</v>
      </c>
      <c r="G95" s="125">
        <v>2014</v>
      </c>
      <c r="H95" s="79">
        <v>24165904</v>
      </c>
      <c r="I95" s="79">
        <v>1</v>
      </c>
      <c r="J95" s="126"/>
      <c r="K95" s="127"/>
      <c r="L95" s="79">
        <v>1</v>
      </c>
      <c r="M95" s="79"/>
      <c r="N95" s="79">
        <v>1</v>
      </c>
      <c r="O95" s="128">
        <v>1</v>
      </c>
      <c r="P95" s="79" t="s">
        <v>497</v>
      </c>
      <c r="Q95" s="79" t="s">
        <v>1198</v>
      </c>
      <c r="R95" s="79" t="s">
        <v>498</v>
      </c>
      <c r="S95" s="79">
        <v>0</v>
      </c>
      <c r="T95" s="79"/>
      <c r="U95" s="79"/>
      <c r="V95" s="79"/>
      <c r="W95" s="79" t="s">
        <v>496</v>
      </c>
      <c r="X95" s="79" t="s">
        <v>499</v>
      </c>
      <c r="Y95" s="79"/>
      <c r="Z95" s="79"/>
      <c r="AA95" s="79"/>
      <c r="AB95" s="79"/>
      <c r="AC95" s="506" t="s">
        <v>6211</v>
      </c>
      <c r="AD95" s="573">
        <v>1</v>
      </c>
      <c r="AE95" s="573">
        <v>1</v>
      </c>
      <c r="AF95" s="377">
        <v>0</v>
      </c>
      <c r="AG95" s="377" t="s">
        <v>6875</v>
      </c>
      <c r="AH95" s="120"/>
      <c r="AI95" s="120"/>
      <c r="AJ95" s="206"/>
      <c r="AK95" s="372"/>
      <c r="AL95" s="207"/>
      <c r="AM95" s="120"/>
      <c r="AN95" s="120"/>
      <c r="AO95" s="120"/>
      <c r="AP95" s="120"/>
      <c r="AQ95" s="120"/>
      <c r="AR95" s="120"/>
      <c r="AS95" s="120"/>
      <c r="AT95" s="120"/>
      <c r="AU95" s="120"/>
      <c r="AV95" s="120"/>
      <c r="AW95" s="120"/>
      <c r="AX95" s="120"/>
      <c r="AY95" s="120"/>
      <c r="AZ95" s="120"/>
      <c r="BA95" s="120"/>
      <c r="BB95" s="377"/>
      <c r="BC95" s="377"/>
      <c r="BD95" s="373"/>
      <c r="BE95" s="373"/>
      <c r="BF95" s="373" t="s">
        <v>6209</v>
      </c>
      <c r="BG95" s="373" t="s">
        <v>1917</v>
      </c>
      <c r="BH95" s="373"/>
      <c r="BI95" s="373" t="s">
        <v>4727</v>
      </c>
      <c r="BJ95" s="373"/>
      <c r="BK95" s="373"/>
      <c r="BL95" s="373" t="s">
        <v>5207</v>
      </c>
      <c r="BM95" s="373"/>
      <c r="BN95" s="373"/>
      <c r="BO95" s="373"/>
      <c r="BP95" s="373"/>
      <c r="BQ95" s="599"/>
      <c r="BR95" s="374"/>
      <c r="BS95" s="510"/>
      <c r="BT95" s="120"/>
      <c r="BU95" s="120"/>
      <c r="BV95" s="384"/>
      <c r="BW95" s="120"/>
      <c r="BX95" s="120"/>
      <c r="BY95" s="120"/>
      <c r="BZ95" s="675"/>
      <c r="CA95" s="380"/>
      <c r="CB95" s="376"/>
      <c r="CC95" s="120"/>
      <c r="CD95" s="120"/>
      <c r="CE95" s="120"/>
      <c r="CF95" s="376"/>
      <c r="CG95" s="120"/>
      <c r="CH95" s="120"/>
      <c r="CI95" s="120"/>
      <c r="CJ95" s="375"/>
      <c r="CK95" s="377"/>
      <c r="CL95" s="376"/>
      <c r="CM95" s="120"/>
      <c r="CN95" s="120"/>
      <c r="CO95" s="120"/>
      <c r="CP95" s="376"/>
      <c r="CQ95" s="120"/>
      <c r="CR95" s="120"/>
      <c r="CS95" s="120"/>
      <c r="CT95" s="375"/>
      <c r="CU95" s="377"/>
      <c r="CV95" s="380"/>
      <c r="CW95" s="376"/>
      <c r="CX95" s="376"/>
      <c r="CY95" s="120"/>
      <c r="CZ95" s="120"/>
      <c r="DA95" s="120"/>
      <c r="DB95" s="120"/>
      <c r="DC95" s="120"/>
      <c r="DD95" s="120"/>
      <c r="DE95" s="120"/>
      <c r="DF95" s="380"/>
      <c r="DG95" s="120"/>
      <c r="DH95" s="120"/>
      <c r="DI95" s="120"/>
      <c r="DJ95" s="120"/>
      <c r="DK95" s="120"/>
      <c r="DL95" s="120"/>
      <c r="DM95" s="120"/>
      <c r="DN95" s="120"/>
      <c r="DO95" s="120"/>
      <c r="DP95" s="380"/>
      <c r="DQ95" s="120"/>
      <c r="DR95" s="380"/>
      <c r="DS95" s="120"/>
      <c r="DT95" s="120"/>
      <c r="DU95" s="120"/>
      <c r="DV95" s="120"/>
      <c r="DW95" s="120"/>
      <c r="DX95" s="376"/>
      <c r="DY95" s="120"/>
      <c r="DZ95" s="120"/>
      <c r="EA95" s="120"/>
      <c r="EB95" s="120"/>
      <c r="EC95" s="120"/>
      <c r="ED95" s="376"/>
      <c r="EE95" s="120"/>
      <c r="EF95" s="120"/>
      <c r="EG95" s="120"/>
      <c r="EH95" s="376"/>
      <c r="EI95" s="120"/>
      <c r="EJ95" s="120"/>
      <c r="EK95" s="120"/>
      <c r="EL95" s="120"/>
      <c r="EM95" s="120"/>
      <c r="EN95" s="120"/>
      <c r="EO95" s="120"/>
      <c r="EP95" s="120"/>
      <c r="EQ95" s="120"/>
      <c r="ER95" s="120"/>
      <c r="ES95" s="120"/>
      <c r="ET95" s="120"/>
      <c r="EU95" s="120"/>
      <c r="EV95" s="120"/>
      <c r="EW95" s="120"/>
      <c r="EX95" s="120"/>
      <c r="EY95" s="120"/>
      <c r="EZ95" s="120"/>
      <c r="FA95" s="120"/>
      <c r="FB95" s="120"/>
      <c r="FC95" s="120"/>
      <c r="FD95" s="120"/>
      <c r="FE95" s="120"/>
      <c r="FF95" s="120"/>
      <c r="FG95" s="120"/>
      <c r="FH95" s="120"/>
      <c r="FI95" s="120"/>
      <c r="FJ95" s="120"/>
      <c r="FK95" s="120"/>
      <c r="FL95" s="120"/>
      <c r="FM95" s="120"/>
      <c r="FN95" s="120"/>
      <c r="FO95" s="120"/>
      <c r="FP95" s="120"/>
      <c r="FQ95" s="120"/>
      <c r="FR95" s="120"/>
      <c r="FS95" s="120"/>
      <c r="FT95" s="120"/>
      <c r="FU95" s="120"/>
      <c r="FV95" s="120"/>
      <c r="FW95" s="120"/>
      <c r="FX95" s="120"/>
      <c r="FY95" s="120"/>
      <c r="FZ95" s="120"/>
      <c r="GA95" s="120"/>
      <c r="GB95" s="120"/>
      <c r="GC95" s="120"/>
      <c r="GD95" s="120"/>
      <c r="GE95" s="120"/>
      <c r="GF95" s="120"/>
      <c r="GG95" s="120"/>
      <c r="GH95" s="120"/>
      <c r="GI95" s="120"/>
      <c r="GJ95" s="120"/>
      <c r="GK95" s="120"/>
      <c r="GL95" s="120"/>
      <c r="GM95" s="120"/>
      <c r="GN95" s="120"/>
      <c r="GO95" s="120"/>
      <c r="GP95" s="120"/>
      <c r="GQ95" s="120"/>
      <c r="GR95" s="120"/>
      <c r="GS95" s="120"/>
      <c r="GT95" s="120"/>
      <c r="GU95" s="120"/>
      <c r="GV95" s="120"/>
      <c r="GW95" s="120"/>
      <c r="GX95" s="120"/>
      <c r="GY95" s="120"/>
      <c r="GZ95" s="120"/>
      <c r="HA95" s="120"/>
      <c r="HB95" s="120"/>
      <c r="HC95" s="120"/>
      <c r="HD95" s="120"/>
      <c r="HE95" s="120"/>
      <c r="HF95" s="120"/>
      <c r="HG95" s="120"/>
      <c r="HH95" s="120"/>
      <c r="HI95" s="120"/>
      <c r="HJ95" s="120"/>
      <c r="HK95" s="120"/>
      <c r="HL95" s="120"/>
      <c r="HM95" s="120"/>
      <c r="HN95" s="120"/>
      <c r="HO95" s="120"/>
      <c r="HP95" s="120"/>
      <c r="HQ95" s="120"/>
      <c r="HR95" s="120"/>
      <c r="HS95" s="120"/>
      <c r="HT95" s="120"/>
      <c r="HU95" s="120"/>
      <c r="HV95" s="120"/>
      <c r="HW95" s="120"/>
      <c r="HX95" s="120"/>
      <c r="HY95" s="120"/>
      <c r="HZ95" s="120"/>
      <c r="IA95" s="120"/>
      <c r="IB95" s="120"/>
      <c r="IC95" s="120"/>
      <c r="ID95" s="120"/>
      <c r="IE95" s="120"/>
      <c r="IF95" s="120"/>
      <c r="IG95" s="120"/>
      <c r="IH95" s="120"/>
      <c r="II95" s="120"/>
      <c r="IJ95" s="120"/>
      <c r="IK95" s="120"/>
      <c r="IL95" s="120"/>
      <c r="IM95" s="120"/>
      <c r="IN95" s="120"/>
      <c r="IO95" s="120"/>
      <c r="IP95" s="120"/>
      <c r="IQ95" s="120"/>
      <c r="IR95" s="120"/>
      <c r="IS95" s="120"/>
      <c r="IT95" s="120"/>
      <c r="IU95" s="120"/>
      <c r="IV95" s="120"/>
      <c r="IW95" s="120"/>
      <c r="IX95" s="120"/>
      <c r="IY95" s="120"/>
      <c r="IZ95" s="120"/>
      <c r="JA95" s="120"/>
      <c r="JB95" s="120"/>
      <c r="JC95" s="120"/>
      <c r="JD95" s="120"/>
    </row>
    <row r="96" spans="1:264" s="119" customFormat="1" ht="15" customHeight="1">
      <c r="A96" s="79" t="s">
        <v>1047</v>
      </c>
      <c r="B96" s="362">
        <v>131</v>
      </c>
      <c r="C96" s="362"/>
      <c r="D96" s="362">
        <v>42</v>
      </c>
      <c r="E96" s="604" t="s">
        <v>2079</v>
      </c>
      <c r="F96" s="124" t="s">
        <v>2333</v>
      </c>
      <c r="G96" s="125">
        <v>2016</v>
      </c>
      <c r="H96" s="79">
        <v>27275520</v>
      </c>
      <c r="I96" s="79">
        <v>1</v>
      </c>
      <c r="J96" s="126"/>
      <c r="K96" s="127"/>
      <c r="L96" s="79">
        <v>1</v>
      </c>
      <c r="M96" s="79"/>
      <c r="N96" s="79">
        <v>1</v>
      </c>
      <c r="O96" s="128">
        <v>2</v>
      </c>
      <c r="P96" s="79" t="s">
        <v>1361</v>
      </c>
      <c r="Q96" s="79" t="s">
        <v>1216</v>
      </c>
      <c r="R96" s="79" t="s">
        <v>1127</v>
      </c>
      <c r="S96" s="79"/>
      <c r="T96" s="79" t="s">
        <v>1487</v>
      </c>
      <c r="U96" s="79"/>
      <c r="V96" s="79"/>
      <c r="W96" s="79" t="s">
        <v>1360</v>
      </c>
      <c r="X96" s="79" t="s">
        <v>24</v>
      </c>
      <c r="Y96" s="79" t="s">
        <v>24</v>
      </c>
      <c r="Z96" s="79"/>
      <c r="AA96" s="79"/>
      <c r="AB96" s="79"/>
      <c r="AC96" s="506" t="s">
        <v>6213</v>
      </c>
      <c r="AD96" s="573">
        <v>1</v>
      </c>
      <c r="AE96" s="573">
        <v>1</v>
      </c>
      <c r="AF96" s="580">
        <v>1</v>
      </c>
      <c r="AG96" s="580"/>
      <c r="AH96" s="121">
        <v>4</v>
      </c>
      <c r="AI96" s="484" t="s">
        <v>6889</v>
      </c>
      <c r="AJ96" s="202" t="s">
        <v>6883</v>
      </c>
      <c r="AK96" s="192">
        <v>1</v>
      </c>
      <c r="AL96" s="203">
        <v>1</v>
      </c>
      <c r="AM96" s="121">
        <f>Table668[[#This Row],[Data_Subjects_n_ptsd]]+Table668[[#This Row],[Data_Subjects_n_control]]</f>
        <v>20</v>
      </c>
      <c r="AN96" s="121">
        <v>10</v>
      </c>
      <c r="AO96" s="121">
        <v>10</v>
      </c>
      <c r="AP96" s="121" t="s">
        <v>803</v>
      </c>
      <c r="AQ96" s="121" t="s">
        <v>803</v>
      </c>
      <c r="AR96" s="121" t="s">
        <v>2687</v>
      </c>
      <c r="AS96" s="121" t="s">
        <v>2882</v>
      </c>
      <c r="AT96" s="121" t="s">
        <v>2687</v>
      </c>
      <c r="AU96" s="121" t="s">
        <v>2882</v>
      </c>
      <c r="AV96" s="121" t="s">
        <v>6876</v>
      </c>
      <c r="AW96" s="121">
        <v>1</v>
      </c>
      <c r="AX96" s="121" t="s">
        <v>6877</v>
      </c>
      <c r="AY96" s="121" t="s">
        <v>6888</v>
      </c>
      <c r="AZ96" s="121" t="s">
        <v>1130</v>
      </c>
      <c r="BA96" s="121" t="s">
        <v>6653</v>
      </c>
      <c r="BB96" s="594" t="s">
        <v>5207</v>
      </c>
      <c r="BC96" s="594"/>
      <c r="BD96" s="156"/>
      <c r="BE96" s="156"/>
      <c r="BF96" s="156"/>
      <c r="BG96" s="156"/>
      <c r="BH96" s="156"/>
      <c r="BI96" s="156"/>
      <c r="BJ96" s="156">
        <v>1</v>
      </c>
      <c r="BK96" s="156"/>
      <c r="BL96" s="156"/>
      <c r="BM96" s="156"/>
      <c r="BN96" s="156"/>
      <c r="BO96" s="156"/>
      <c r="BP96" s="156"/>
      <c r="BQ96" s="595" t="s">
        <v>6764</v>
      </c>
      <c r="BR96" s="157" t="s">
        <v>6763</v>
      </c>
      <c r="BS96" s="660">
        <v>2</v>
      </c>
      <c r="BT96" s="134" t="s">
        <v>1876</v>
      </c>
      <c r="BU96" s="168" t="s">
        <v>6884</v>
      </c>
      <c r="BV96" s="664" t="s">
        <v>6879</v>
      </c>
      <c r="BW96" s="134" t="s">
        <v>6885</v>
      </c>
      <c r="BX96" s="134" t="s">
        <v>6878</v>
      </c>
      <c r="BY96" s="134" t="s">
        <v>6639</v>
      </c>
      <c r="BZ96" s="259" t="s">
        <v>6902</v>
      </c>
      <c r="CA96" s="454" t="s">
        <v>24</v>
      </c>
      <c r="CB96" s="138" t="s">
        <v>6891</v>
      </c>
      <c r="CC96" s="134">
        <v>59.203800000000001</v>
      </c>
      <c r="CD96" s="134" t="s">
        <v>24</v>
      </c>
      <c r="CE96" s="134">
        <f>62.32-Table668[[#This Row],[Data_Outcome1_M]]</f>
        <v>3.1161999999999992</v>
      </c>
      <c r="CF96" s="138" t="s">
        <v>6892</v>
      </c>
      <c r="CG96" s="134">
        <v>56.765500000000003</v>
      </c>
      <c r="CH96" s="134" t="s">
        <v>24</v>
      </c>
      <c r="CI96" s="134">
        <f>58.7295-Table668[[#This Row],[Data_Outcome2_M]]</f>
        <v>1.9639999999999986</v>
      </c>
      <c r="CJ96" s="288" t="s">
        <v>5379</v>
      </c>
      <c r="CK96" s="289" t="s">
        <v>3790</v>
      </c>
      <c r="CL96" s="138" t="s">
        <v>6893</v>
      </c>
      <c r="CM96" s="134">
        <v>42.446800000000003</v>
      </c>
      <c r="CN96" s="134" t="s">
        <v>24</v>
      </c>
      <c r="CO96" s="134">
        <f>45.1562-Table668[[#This Row],[Data_Outcome3_M]]</f>
        <v>2.7093999999999951</v>
      </c>
      <c r="CP96" s="138" t="s">
        <v>6894</v>
      </c>
      <c r="CQ96" s="134">
        <v>33.235399999999998</v>
      </c>
      <c r="CR96" s="134" t="s">
        <v>24</v>
      </c>
      <c r="CS96" s="134">
        <f>36.0801-Table668[[#This Row],[Data_Outcome4_M]]</f>
        <v>2.8447000000000031</v>
      </c>
      <c r="CT96" s="288" t="s">
        <v>6901</v>
      </c>
      <c r="CU96" s="289" t="s">
        <v>2588</v>
      </c>
      <c r="CV96" s="276" t="s">
        <v>24</v>
      </c>
      <c r="CW96" s="308" t="s">
        <v>24</v>
      </c>
      <c r="CX96" s="138" t="s">
        <v>6895</v>
      </c>
      <c r="CY96" s="134">
        <v>32.4634</v>
      </c>
      <c r="CZ96" s="134" t="s">
        <v>24</v>
      </c>
      <c r="DA96" s="134">
        <f>34.631-Table668[[#This Row],[Data_Outcome5_M]]</f>
        <v>2.1676000000000002</v>
      </c>
      <c r="DB96" s="138" t="s">
        <v>6896</v>
      </c>
      <c r="DC96" s="134">
        <v>22.846</v>
      </c>
      <c r="DD96" s="134" t="s">
        <v>24</v>
      </c>
      <c r="DE96" s="134">
        <f>24.9456-Table668[[#This Row],[Data_Outcome6_M]]</f>
        <v>2.0995999999999988</v>
      </c>
      <c r="DF96" s="288" t="s">
        <v>6901</v>
      </c>
      <c r="DG96" s="289" t="s">
        <v>2588</v>
      </c>
      <c r="DH96" s="138" t="s">
        <v>6897</v>
      </c>
      <c r="DI96" s="134">
        <v>23.699000000000002</v>
      </c>
      <c r="DJ96" s="134" t="s">
        <v>24</v>
      </c>
      <c r="DK96" s="134">
        <f>26.4762-Table668[[#This Row],[Data_Outcome7_M]]</f>
        <v>2.777199999999997</v>
      </c>
      <c r="DL96" s="138" t="s">
        <v>6898</v>
      </c>
      <c r="DM96" s="134">
        <v>12.9977</v>
      </c>
      <c r="DN96" s="134" t="s">
        <v>24</v>
      </c>
      <c r="DO96" s="134">
        <f>14.6906-Table668[[#This Row],[Data_Outcome8_M]]</f>
        <v>1.6928999999999998</v>
      </c>
      <c r="DP96" s="288" t="s">
        <v>6901</v>
      </c>
      <c r="DQ96" s="289" t="s">
        <v>2588</v>
      </c>
      <c r="DR96" s="276" t="s">
        <v>24</v>
      </c>
      <c r="DS96" s="277" t="s">
        <v>24</v>
      </c>
      <c r="DT96" s="138" t="s">
        <v>6899</v>
      </c>
      <c r="DU96" s="134">
        <v>13.783300000000001</v>
      </c>
      <c r="DV96" s="134" t="s">
        <v>24</v>
      </c>
      <c r="DW96" s="134">
        <f>16.2215-Table668[[#This Row],[Data_Outcome9_M]]</f>
        <v>2.4381999999999984</v>
      </c>
      <c r="DX96" s="138" t="s">
        <v>6900</v>
      </c>
      <c r="DY96" s="134">
        <v>8.7709100000000007</v>
      </c>
      <c r="DZ96" s="134" t="s">
        <v>24</v>
      </c>
      <c r="EA96" s="134">
        <f>10.3966-Table668[[#This Row],[Data_Outcome10_M]]</f>
        <v>1.6256899999999987</v>
      </c>
      <c r="EB96" s="288" t="s">
        <v>6901</v>
      </c>
      <c r="EC96" s="289" t="s">
        <v>2555</v>
      </c>
      <c r="ED96" s="138" t="s">
        <v>24</v>
      </c>
      <c r="EE96" s="134"/>
      <c r="EF96" s="134"/>
      <c r="EG96" s="134"/>
      <c r="EH96" s="138"/>
      <c r="EI96" s="134"/>
      <c r="EJ96" s="134"/>
      <c r="EK96" s="134"/>
      <c r="EL96" s="301"/>
      <c r="EM96" s="301"/>
      <c r="EN96" s="277"/>
      <c r="EO96" s="134"/>
      <c r="EP96" s="134"/>
      <c r="EQ96" s="134"/>
      <c r="ER96" s="134"/>
      <c r="ES96" s="134"/>
      <c r="ET96" s="134"/>
      <c r="EU96" s="134"/>
      <c r="EV96" s="134"/>
      <c r="EW96" s="301"/>
      <c r="EX96" s="301"/>
      <c r="EY96" s="134"/>
      <c r="EZ96" s="134"/>
      <c r="FA96" s="134"/>
      <c r="FB96" s="134"/>
      <c r="FC96" s="134"/>
      <c r="FD96" s="134"/>
      <c r="FE96" s="134"/>
      <c r="FF96" s="134"/>
      <c r="FG96" s="135"/>
      <c r="FH96" s="135"/>
      <c r="FI96" s="134"/>
      <c r="FJ96" s="134"/>
      <c r="FK96" s="134"/>
      <c r="FL96" s="134"/>
      <c r="FM96" s="134"/>
      <c r="FN96" s="134"/>
      <c r="FO96" s="134"/>
      <c r="FP96" s="134"/>
      <c r="FQ96" s="135"/>
      <c r="FR96" s="135"/>
      <c r="FS96" s="134"/>
      <c r="FT96" s="134"/>
      <c r="FU96" s="134"/>
      <c r="FV96" s="134"/>
      <c r="FW96" s="134"/>
      <c r="FX96" s="134"/>
      <c r="FY96" s="134"/>
      <c r="FZ96" s="134"/>
      <c r="GA96" s="135"/>
      <c r="GB96" s="135"/>
      <c r="GC96" s="134"/>
      <c r="GD96" s="134"/>
      <c r="GE96" s="134"/>
      <c r="GF96" s="134"/>
      <c r="GG96" s="134"/>
      <c r="GH96" s="134"/>
      <c r="GI96" s="134"/>
      <c r="GJ96" s="134"/>
      <c r="GK96" s="135"/>
      <c r="GL96" s="135"/>
      <c r="GM96" s="134"/>
      <c r="GN96" s="134"/>
      <c r="GO96" s="134"/>
      <c r="GP96" s="134"/>
      <c r="GQ96" s="134"/>
      <c r="GR96" s="134"/>
      <c r="GS96" s="134"/>
      <c r="GT96" s="134"/>
      <c r="GU96" s="135"/>
      <c r="GV96" s="135"/>
      <c r="GW96" s="134"/>
      <c r="GX96" s="134"/>
      <c r="GY96" s="134"/>
      <c r="GZ96" s="134"/>
      <c r="HA96" s="134"/>
      <c r="HB96" s="134"/>
      <c r="HC96" s="134"/>
      <c r="HD96" s="134"/>
      <c r="HE96" s="135"/>
      <c r="HF96" s="135"/>
      <c r="HG96" s="134"/>
      <c r="HH96" s="134"/>
      <c r="HI96" s="134"/>
      <c r="HJ96" s="134"/>
      <c r="HK96" s="134"/>
      <c r="HL96" s="134"/>
      <c r="HM96" s="134"/>
      <c r="HN96" s="134"/>
      <c r="HO96" s="135"/>
      <c r="HP96" s="135"/>
      <c r="HQ96" s="134"/>
      <c r="HR96" s="134"/>
      <c r="HS96" s="134"/>
      <c r="HT96" s="134"/>
      <c r="HU96" s="134"/>
      <c r="HV96" s="134"/>
      <c r="HW96" s="134"/>
      <c r="HX96" s="134"/>
      <c r="HY96" s="135"/>
      <c r="HZ96" s="135"/>
      <c r="IA96" s="134"/>
      <c r="IB96" s="134"/>
      <c r="IC96" s="134"/>
      <c r="ID96" s="134"/>
      <c r="IE96" s="134"/>
      <c r="IF96" s="134"/>
      <c r="IG96" s="134"/>
      <c r="IH96" s="134"/>
      <c r="II96" s="135"/>
      <c r="IJ96" s="135"/>
      <c r="IK96" s="134"/>
      <c r="IL96" s="134"/>
      <c r="IM96" s="134"/>
      <c r="IN96" s="134"/>
      <c r="IO96" s="134"/>
      <c r="IP96" s="134"/>
      <c r="IQ96" s="134"/>
      <c r="IR96" s="134"/>
      <c r="IS96" s="135"/>
      <c r="IT96" s="135"/>
      <c r="IU96" s="134"/>
      <c r="IV96" s="134"/>
      <c r="IW96" s="134"/>
      <c r="IX96" s="134"/>
      <c r="IY96" s="134"/>
      <c r="IZ96" s="134"/>
      <c r="JA96" s="134"/>
      <c r="JB96" s="134"/>
      <c r="JC96" s="135"/>
      <c r="JD96" s="135"/>
    </row>
    <row r="97" spans="1:264" s="119" customFormat="1" ht="15" customHeight="1">
      <c r="A97" s="118" t="s">
        <v>1047</v>
      </c>
      <c r="B97" s="616">
        <v>131</v>
      </c>
      <c r="C97" s="616"/>
      <c r="D97" s="616">
        <v>42</v>
      </c>
      <c r="E97" s="605" t="s">
        <v>2079</v>
      </c>
      <c r="F97" s="140" t="s">
        <v>2333</v>
      </c>
      <c r="G97" s="141">
        <v>2016</v>
      </c>
      <c r="H97" s="118">
        <v>27275520</v>
      </c>
      <c r="I97" s="118">
        <v>1</v>
      </c>
      <c r="J97" s="118"/>
      <c r="K97" s="118"/>
      <c r="L97" s="118">
        <v>1</v>
      </c>
      <c r="M97" s="118"/>
      <c r="N97" s="118">
        <v>1</v>
      </c>
      <c r="O97" s="142">
        <v>2</v>
      </c>
      <c r="P97" s="118" t="s">
        <v>1361</v>
      </c>
      <c r="Q97" s="118" t="s">
        <v>1216</v>
      </c>
      <c r="R97" s="118" t="s">
        <v>1127</v>
      </c>
      <c r="S97" s="118"/>
      <c r="T97" s="118" t="s">
        <v>1487</v>
      </c>
      <c r="U97" s="118"/>
      <c r="V97" s="118"/>
      <c r="W97" s="118" t="s">
        <v>1360</v>
      </c>
      <c r="X97" s="118" t="s">
        <v>24</v>
      </c>
      <c r="Y97" s="118" t="s">
        <v>24</v>
      </c>
      <c r="Z97" s="118"/>
      <c r="AA97" s="118"/>
      <c r="AB97" s="118"/>
      <c r="AC97" s="145" t="s">
        <v>6213</v>
      </c>
      <c r="AD97" s="653">
        <v>1</v>
      </c>
      <c r="AE97" s="653">
        <v>1</v>
      </c>
      <c r="AF97" s="674">
        <v>1</v>
      </c>
      <c r="AG97" s="674"/>
      <c r="AH97" s="122">
        <v>4</v>
      </c>
      <c r="AI97" s="485" t="s">
        <v>6889</v>
      </c>
      <c r="AJ97" s="204" t="s">
        <v>6883</v>
      </c>
      <c r="AK97" s="192">
        <v>1</v>
      </c>
      <c r="AL97" s="205">
        <v>1</v>
      </c>
      <c r="AM97" s="122">
        <f>Table668[[#This Row],[Data_Subjects_n_ptsd]]+Table668[[#This Row],[Data_Subjects_n_control]]</f>
        <v>20</v>
      </c>
      <c r="AN97" s="122">
        <v>10</v>
      </c>
      <c r="AO97" s="122">
        <v>10</v>
      </c>
      <c r="AP97" s="122" t="s">
        <v>803</v>
      </c>
      <c r="AQ97" s="122" t="s">
        <v>803</v>
      </c>
      <c r="AR97" s="122" t="s">
        <v>2687</v>
      </c>
      <c r="AS97" s="122" t="s">
        <v>2882</v>
      </c>
      <c r="AT97" s="122" t="s">
        <v>2687</v>
      </c>
      <c r="AU97" s="122" t="s">
        <v>2882</v>
      </c>
      <c r="AV97" s="122" t="s">
        <v>6876</v>
      </c>
      <c r="AW97" s="122">
        <v>1</v>
      </c>
      <c r="AX97" s="122" t="s">
        <v>6877</v>
      </c>
      <c r="AY97" s="122" t="s">
        <v>6888</v>
      </c>
      <c r="AZ97" s="122" t="s">
        <v>1130</v>
      </c>
      <c r="BA97" s="122" t="s">
        <v>6653</v>
      </c>
      <c r="BB97" s="588" t="s">
        <v>5207</v>
      </c>
      <c r="BC97" s="588"/>
      <c r="BD97" s="161"/>
      <c r="BE97" s="161"/>
      <c r="BF97" s="161"/>
      <c r="BG97" s="161"/>
      <c r="BH97" s="161"/>
      <c r="BI97" s="161"/>
      <c r="BJ97" s="161">
        <v>1</v>
      </c>
      <c r="BK97" s="161"/>
      <c r="BL97" s="161"/>
      <c r="BM97" s="161"/>
      <c r="BN97" s="161"/>
      <c r="BO97" s="161"/>
      <c r="BP97" s="161"/>
      <c r="BQ97" s="596" t="s">
        <v>3563</v>
      </c>
      <c r="BR97" s="162" t="s">
        <v>6613</v>
      </c>
      <c r="BS97" s="659">
        <v>2</v>
      </c>
      <c r="BT97" s="150" t="s">
        <v>1876</v>
      </c>
      <c r="BU97" s="228" t="s">
        <v>6884</v>
      </c>
      <c r="BV97" s="477" t="s">
        <v>6880</v>
      </c>
      <c r="BW97" s="150" t="s">
        <v>6885</v>
      </c>
      <c r="BX97" s="150" t="s">
        <v>6881</v>
      </c>
      <c r="BY97" s="150" t="s">
        <v>6882</v>
      </c>
      <c r="BZ97" s="258" t="s">
        <v>6903</v>
      </c>
      <c r="CA97" s="257" t="s">
        <v>24</v>
      </c>
      <c r="CB97" s="151" t="s">
        <v>6886</v>
      </c>
      <c r="CC97" s="150">
        <v>25.479800000000001</v>
      </c>
      <c r="CD97" s="150" t="s">
        <v>24</v>
      </c>
      <c r="CE97" s="150">
        <f>27.8782-Table668[[#This Row],[Data_Outcome1_M]]</f>
        <v>2.3983999999999988</v>
      </c>
      <c r="CF97" s="151" t="s">
        <v>6887</v>
      </c>
      <c r="CG97" s="150">
        <v>31.6281</v>
      </c>
      <c r="CH97" s="150" t="s">
        <v>24</v>
      </c>
      <c r="CI97" s="150">
        <f>35.1165-Table668[[#This Row],[Data_Outcome2_M]]</f>
        <v>3.4884000000000022</v>
      </c>
      <c r="CJ97" s="290" t="s">
        <v>6890</v>
      </c>
      <c r="CK97" s="291" t="s">
        <v>2588</v>
      </c>
      <c r="CL97" s="151" t="s">
        <v>24</v>
      </c>
      <c r="CM97" s="150"/>
      <c r="CN97" s="150"/>
      <c r="CO97" s="150"/>
      <c r="CP97" s="151"/>
      <c r="CQ97" s="150"/>
      <c r="CR97" s="150"/>
      <c r="CS97" s="150"/>
      <c r="CT97" s="290"/>
      <c r="CU97" s="291"/>
      <c r="CV97" s="278"/>
      <c r="CW97" s="285"/>
      <c r="CX97" s="151"/>
      <c r="CY97" s="150"/>
      <c r="CZ97" s="150"/>
      <c r="DA97" s="150"/>
      <c r="DB97" s="150"/>
      <c r="DC97" s="150"/>
      <c r="DD97" s="150"/>
      <c r="DE97" s="150"/>
      <c r="DF97" s="302"/>
      <c r="DG97" s="303"/>
      <c r="DH97" s="150"/>
      <c r="DI97" s="150"/>
      <c r="DJ97" s="150"/>
      <c r="DK97" s="150"/>
      <c r="DL97" s="150"/>
      <c r="DM97" s="150"/>
      <c r="DN97" s="150"/>
      <c r="DO97" s="150"/>
      <c r="DP97" s="302"/>
      <c r="DQ97" s="303"/>
      <c r="DR97" s="278"/>
      <c r="DS97" s="279"/>
      <c r="DT97" s="150"/>
      <c r="DU97" s="150"/>
      <c r="DV97" s="150"/>
      <c r="DW97" s="150"/>
      <c r="DX97" s="151"/>
      <c r="DY97" s="150"/>
      <c r="DZ97" s="150"/>
      <c r="EA97" s="150"/>
      <c r="EB97" s="303"/>
      <c r="EC97" s="303"/>
      <c r="ED97" s="151"/>
      <c r="EE97" s="150"/>
      <c r="EF97" s="150"/>
      <c r="EG97" s="150"/>
      <c r="EH97" s="151"/>
      <c r="EI97" s="150"/>
      <c r="EJ97" s="150"/>
      <c r="EK97" s="150"/>
      <c r="EL97" s="303"/>
      <c r="EM97" s="303"/>
      <c r="EN97" s="279"/>
      <c r="EO97" s="150"/>
      <c r="EP97" s="150"/>
      <c r="EQ97" s="150"/>
      <c r="ER97" s="150"/>
      <c r="ES97" s="150"/>
      <c r="ET97" s="150"/>
      <c r="EU97" s="150"/>
      <c r="EV97" s="150"/>
      <c r="EW97" s="303"/>
      <c r="EX97" s="303"/>
      <c r="EY97" s="150"/>
      <c r="EZ97" s="150"/>
      <c r="FA97" s="150"/>
      <c r="FB97" s="150"/>
      <c r="FC97" s="150"/>
      <c r="FD97" s="150"/>
      <c r="FE97" s="150"/>
      <c r="FF97" s="150"/>
      <c r="FG97" s="152"/>
      <c r="FH97" s="152"/>
      <c r="FI97" s="150"/>
      <c r="FJ97" s="150"/>
      <c r="FK97" s="150"/>
      <c r="FL97" s="150"/>
      <c r="FM97" s="150"/>
      <c r="FN97" s="150"/>
      <c r="FO97" s="150"/>
      <c r="FP97" s="150"/>
      <c r="FQ97" s="152"/>
      <c r="FR97" s="152"/>
      <c r="FS97" s="150"/>
      <c r="FT97" s="150"/>
      <c r="FU97" s="150"/>
      <c r="FV97" s="150"/>
      <c r="FW97" s="150"/>
      <c r="FX97" s="150"/>
      <c r="FY97" s="150"/>
      <c r="FZ97" s="150"/>
      <c r="GA97" s="152"/>
      <c r="GB97" s="152"/>
      <c r="GC97" s="150"/>
      <c r="GD97" s="150"/>
      <c r="GE97" s="150"/>
      <c r="GF97" s="150"/>
      <c r="GG97" s="150"/>
      <c r="GH97" s="150"/>
      <c r="GI97" s="150"/>
      <c r="GJ97" s="150"/>
      <c r="GK97" s="152"/>
      <c r="GL97" s="152"/>
      <c r="GM97" s="150"/>
      <c r="GN97" s="150"/>
      <c r="GO97" s="150"/>
      <c r="GP97" s="150"/>
      <c r="GQ97" s="150"/>
      <c r="GR97" s="150"/>
      <c r="GS97" s="150"/>
      <c r="GT97" s="150"/>
      <c r="GU97" s="152"/>
      <c r="GV97" s="152"/>
      <c r="GW97" s="150"/>
      <c r="GX97" s="150"/>
      <c r="GY97" s="150"/>
      <c r="GZ97" s="150"/>
      <c r="HA97" s="150"/>
      <c r="HB97" s="150"/>
      <c r="HC97" s="150"/>
      <c r="HD97" s="150"/>
      <c r="HE97" s="152"/>
      <c r="HF97" s="152"/>
      <c r="HG97" s="150"/>
      <c r="HH97" s="150"/>
      <c r="HI97" s="150"/>
      <c r="HJ97" s="150"/>
      <c r="HK97" s="150"/>
      <c r="HL97" s="150"/>
      <c r="HM97" s="150"/>
      <c r="HN97" s="150"/>
      <c r="HO97" s="152"/>
      <c r="HP97" s="152"/>
      <c r="HQ97" s="150"/>
      <c r="HR97" s="150"/>
      <c r="HS97" s="150"/>
      <c r="HT97" s="150"/>
      <c r="HU97" s="150"/>
      <c r="HV97" s="150"/>
      <c r="HW97" s="150"/>
      <c r="HX97" s="150"/>
      <c r="HY97" s="152"/>
      <c r="HZ97" s="152"/>
      <c r="IA97" s="150"/>
      <c r="IB97" s="150"/>
      <c r="IC97" s="150"/>
      <c r="ID97" s="150"/>
      <c r="IE97" s="150"/>
      <c r="IF97" s="150"/>
      <c r="IG97" s="150"/>
      <c r="IH97" s="150"/>
      <c r="II97" s="152"/>
      <c r="IJ97" s="152"/>
      <c r="IK97" s="150"/>
      <c r="IL97" s="150"/>
      <c r="IM97" s="150"/>
      <c r="IN97" s="150"/>
      <c r="IO97" s="150"/>
      <c r="IP97" s="150"/>
      <c r="IQ97" s="150"/>
      <c r="IR97" s="150"/>
      <c r="IS97" s="152"/>
      <c r="IT97" s="152"/>
      <c r="IU97" s="150"/>
      <c r="IV97" s="150"/>
      <c r="IW97" s="150"/>
      <c r="IX97" s="150"/>
      <c r="IY97" s="150"/>
      <c r="IZ97" s="150"/>
      <c r="JA97" s="150"/>
      <c r="JB97" s="150"/>
      <c r="JC97" s="152"/>
      <c r="JD97" s="152"/>
    </row>
    <row r="98" spans="1:264" s="119" customFormat="1" ht="15" customHeight="1">
      <c r="A98" s="79" t="s">
        <v>1043</v>
      </c>
      <c r="B98" s="362">
        <v>132</v>
      </c>
      <c r="C98" s="362"/>
      <c r="D98" s="362">
        <v>43</v>
      </c>
      <c r="E98" s="604" t="s">
        <v>2080</v>
      </c>
      <c r="F98" s="124" t="s">
        <v>2334</v>
      </c>
      <c r="G98" s="125">
        <v>2014</v>
      </c>
      <c r="H98" s="79">
        <v>24239430</v>
      </c>
      <c r="I98" s="79">
        <v>1</v>
      </c>
      <c r="J98" s="126" t="s">
        <v>1852</v>
      </c>
      <c r="K98" s="127"/>
      <c r="L98" s="79">
        <v>0</v>
      </c>
      <c r="M98" s="79"/>
      <c r="N98" s="79">
        <v>0</v>
      </c>
      <c r="O98" s="128">
        <v>2</v>
      </c>
      <c r="P98" s="79" t="s">
        <v>1369</v>
      </c>
      <c r="Q98" s="79"/>
      <c r="R98" s="79"/>
      <c r="S98" s="79"/>
      <c r="T98" s="79" t="s">
        <v>1367</v>
      </c>
      <c r="U98" s="79"/>
      <c r="V98" s="79"/>
      <c r="W98" s="79" t="s">
        <v>1248</v>
      </c>
      <c r="X98" s="79" t="s">
        <v>24</v>
      </c>
      <c r="Y98" s="79" t="s">
        <v>1368</v>
      </c>
      <c r="Z98" s="79"/>
      <c r="AA98" s="79" t="s">
        <v>1660</v>
      </c>
      <c r="AB98" s="79" t="s">
        <v>1659</v>
      </c>
      <c r="AC98" s="506" t="s">
        <v>6214</v>
      </c>
      <c r="AD98" s="573">
        <v>1</v>
      </c>
      <c r="AE98" s="573">
        <v>1</v>
      </c>
      <c r="AF98" s="154">
        <v>1</v>
      </c>
      <c r="AG98" s="155" t="s">
        <v>6943</v>
      </c>
      <c r="AH98" s="121">
        <v>4</v>
      </c>
      <c r="AI98" s="484"/>
      <c r="AJ98" s="121" t="s">
        <v>6914</v>
      </c>
      <c r="AK98" s="192">
        <v>0</v>
      </c>
      <c r="AL98" s="203" t="s">
        <v>6904</v>
      </c>
      <c r="AM98" s="121">
        <f>107/4</f>
        <v>26.75</v>
      </c>
      <c r="AN98" s="121">
        <f>107/8</f>
        <v>13.375</v>
      </c>
      <c r="AO98" s="121">
        <f>107/8</f>
        <v>13.375</v>
      </c>
      <c r="AP98" s="121" t="s">
        <v>803</v>
      </c>
      <c r="AQ98" s="121" t="s">
        <v>803</v>
      </c>
      <c r="AR98" s="121" t="s">
        <v>2882</v>
      </c>
      <c r="AS98" s="121" t="s">
        <v>2882</v>
      </c>
      <c r="AT98" s="121" t="s">
        <v>2882</v>
      </c>
      <c r="AU98" s="121" t="s">
        <v>2882</v>
      </c>
      <c r="AV98" s="121" t="s">
        <v>2717</v>
      </c>
      <c r="AW98" s="121">
        <v>1</v>
      </c>
      <c r="AX98" s="121">
        <v>1</v>
      </c>
      <c r="AY98" s="121" t="s">
        <v>4992</v>
      </c>
      <c r="AZ98" s="121" t="s">
        <v>1130</v>
      </c>
      <c r="BA98" s="121" t="s">
        <v>6653</v>
      </c>
      <c r="BB98" s="594" t="s">
        <v>5207</v>
      </c>
      <c r="BC98" s="594"/>
      <c r="BD98" s="156">
        <v>1</v>
      </c>
      <c r="BE98" s="156"/>
      <c r="BF98" s="156"/>
      <c r="BG98" s="156"/>
      <c r="BH98" s="156"/>
      <c r="BI98" s="156"/>
      <c r="BJ98" s="156">
        <v>1</v>
      </c>
      <c r="BK98" s="156"/>
      <c r="BL98" s="156"/>
      <c r="BM98" s="156"/>
      <c r="BN98" s="156"/>
      <c r="BO98" s="156"/>
      <c r="BP98" s="156"/>
      <c r="BQ98" s="595" t="s">
        <v>6910</v>
      </c>
      <c r="BR98" s="157" t="s">
        <v>6657</v>
      </c>
      <c r="BS98" s="660">
        <v>1</v>
      </c>
      <c r="BT98" s="134" t="s">
        <v>1876</v>
      </c>
      <c r="BU98" s="134" t="s">
        <v>6907</v>
      </c>
      <c r="BV98" s="134" t="s">
        <v>6906</v>
      </c>
      <c r="BW98" s="134" t="s">
        <v>1121</v>
      </c>
      <c r="BX98" s="134" t="s">
        <v>6905</v>
      </c>
      <c r="BY98" s="134" t="s">
        <v>2659</v>
      </c>
      <c r="BZ98" s="259" t="s">
        <v>6912</v>
      </c>
      <c r="CA98" s="454" t="s">
        <v>6627</v>
      </c>
      <c r="CB98" s="138" t="s">
        <v>6908</v>
      </c>
      <c r="CC98" s="134">
        <v>34.112900000000003</v>
      </c>
      <c r="CD98" s="134" t="s">
        <v>24</v>
      </c>
      <c r="CE98" s="134">
        <f>38.1214-Table668[[#This Row],[Data_Outcome1_M]]</f>
        <v>4.008499999999998</v>
      </c>
      <c r="CF98" s="138" t="s">
        <v>6909</v>
      </c>
      <c r="CG98" s="134">
        <v>15.452999999999999</v>
      </c>
      <c r="CH98" s="134" t="s">
        <v>24</v>
      </c>
      <c r="CI98" s="134">
        <f>18.2585-Table668[[#This Row],[Data_Outcome2_M]]</f>
        <v>2.8055000000000021</v>
      </c>
      <c r="CJ98" s="288" t="s">
        <v>6911</v>
      </c>
      <c r="CK98" s="289" t="s">
        <v>6913</v>
      </c>
      <c r="CL98" s="138" t="s">
        <v>24</v>
      </c>
      <c r="CM98" s="134"/>
      <c r="CN98" s="134"/>
      <c r="CO98" s="134"/>
      <c r="CP98" s="138"/>
      <c r="CQ98" s="134"/>
      <c r="CR98" s="134"/>
      <c r="CS98" s="134"/>
      <c r="CT98" s="288"/>
      <c r="CU98" s="289"/>
      <c r="CV98" s="276"/>
      <c r="CW98" s="308"/>
      <c r="CX98" s="138"/>
      <c r="CY98" s="134"/>
      <c r="CZ98" s="134"/>
      <c r="DA98" s="134"/>
      <c r="DB98" s="134"/>
      <c r="DC98" s="134"/>
      <c r="DD98" s="134"/>
      <c r="DE98" s="134"/>
      <c r="DF98" s="300"/>
      <c r="DG98" s="301"/>
      <c r="DH98" s="134"/>
      <c r="DI98" s="134"/>
      <c r="DJ98" s="134"/>
      <c r="DK98" s="134"/>
      <c r="DL98" s="134"/>
      <c r="DM98" s="134"/>
      <c r="DN98" s="134"/>
      <c r="DO98" s="134"/>
      <c r="DP98" s="300"/>
      <c r="DQ98" s="301"/>
      <c r="DR98" s="276"/>
      <c r="DS98" s="277"/>
      <c r="DT98" s="134"/>
      <c r="DU98" s="134"/>
      <c r="DV98" s="134"/>
      <c r="DW98" s="134"/>
      <c r="DX98" s="138"/>
      <c r="DY98" s="134"/>
      <c r="DZ98" s="134"/>
      <c r="EA98" s="134"/>
      <c r="EB98" s="301"/>
      <c r="EC98" s="301"/>
      <c r="ED98" s="138"/>
      <c r="EE98" s="134"/>
      <c r="EF98" s="134"/>
      <c r="EG98" s="134"/>
      <c r="EH98" s="138"/>
      <c r="EI98" s="134"/>
      <c r="EJ98" s="134"/>
      <c r="EK98" s="134"/>
      <c r="EL98" s="301"/>
      <c r="EM98" s="301"/>
      <c r="EN98" s="277"/>
      <c r="EO98" s="134"/>
      <c r="EP98" s="134"/>
      <c r="EQ98" s="134"/>
      <c r="ER98" s="134"/>
      <c r="ES98" s="134"/>
      <c r="ET98" s="134"/>
      <c r="EU98" s="134"/>
      <c r="EV98" s="134"/>
      <c r="EW98" s="301"/>
      <c r="EX98" s="301"/>
      <c r="EY98" s="134"/>
      <c r="EZ98" s="134"/>
      <c r="FA98" s="134"/>
      <c r="FB98" s="134"/>
      <c r="FC98" s="134"/>
      <c r="FD98" s="134"/>
      <c r="FE98" s="134"/>
      <c r="FF98" s="134"/>
      <c r="FG98" s="135"/>
      <c r="FH98" s="135"/>
      <c r="FI98" s="134"/>
      <c r="FJ98" s="134"/>
      <c r="FK98" s="134"/>
      <c r="FL98" s="134"/>
      <c r="FM98" s="134"/>
      <c r="FN98" s="134"/>
      <c r="FO98" s="134"/>
      <c r="FP98" s="134"/>
      <c r="FQ98" s="135"/>
      <c r="FR98" s="135"/>
      <c r="FS98" s="134"/>
      <c r="FT98" s="134"/>
      <c r="FU98" s="134"/>
      <c r="FV98" s="134"/>
      <c r="FW98" s="134"/>
      <c r="FX98" s="134"/>
      <c r="FY98" s="134"/>
      <c r="FZ98" s="134"/>
      <c r="GA98" s="135"/>
      <c r="GB98" s="135"/>
      <c r="GC98" s="134"/>
      <c r="GD98" s="134"/>
      <c r="GE98" s="134"/>
      <c r="GF98" s="134"/>
      <c r="GG98" s="134"/>
      <c r="GH98" s="134"/>
      <c r="GI98" s="134"/>
      <c r="GJ98" s="134"/>
      <c r="GK98" s="135"/>
      <c r="GL98" s="135"/>
      <c r="GM98" s="134"/>
      <c r="GN98" s="134"/>
      <c r="GO98" s="134"/>
      <c r="GP98" s="134"/>
      <c r="GQ98" s="134"/>
      <c r="GR98" s="134"/>
      <c r="GS98" s="134"/>
      <c r="GT98" s="134"/>
      <c r="GU98" s="135"/>
      <c r="GV98" s="135"/>
      <c r="GW98" s="134"/>
      <c r="GX98" s="134"/>
      <c r="GY98" s="134"/>
      <c r="GZ98" s="134"/>
      <c r="HA98" s="134"/>
      <c r="HB98" s="134"/>
      <c r="HC98" s="134"/>
      <c r="HD98" s="134"/>
      <c r="HE98" s="135"/>
      <c r="HF98" s="135"/>
      <c r="HG98" s="134"/>
      <c r="HH98" s="134"/>
      <c r="HI98" s="134"/>
      <c r="HJ98" s="134"/>
      <c r="HK98" s="134"/>
      <c r="HL98" s="134"/>
      <c r="HM98" s="134"/>
      <c r="HN98" s="134"/>
      <c r="HO98" s="135"/>
      <c r="HP98" s="135"/>
      <c r="HQ98" s="134"/>
      <c r="HR98" s="134"/>
      <c r="HS98" s="134"/>
      <c r="HT98" s="134"/>
      <c r="HU98" s="134"/>
      <c r="HV98" s="134"/>
      <c r="HW98" s="134"/>
      <c r="HX98" s="134"/>
      <c r="HY98" s="135"/>
      <c r="HZ98" s="135"/>
      <c r="IA98" s="134"/>
      <c r="IB98" s="134"/>
      <c r="IC98" s="134"/>
      <c r="ID98" s="134"/>
      <c r="IE98" s="134"/>
      <c r="IF98" s="134"/>
      <c r="IG98" s="134"/>
      <c r="IH98" s="134"/>
      <c r="II98" s="135"/>
      <c r="IJ98" s="135"/>
      <c r="IK98" s="134"/>
      <c r="IL98" s="134"/>
      <c r="IM98" s="134"/>
      <c r="IN98" s="134"/>
      <c r="IO98" s="134"/>
      <c r="IP98" s="134"/>
      <c r="IQ98" s="134"/>
      <c r="IR98" s="134"/>
      <c r="IS98" s="135"/>
      <c r="IT98" s="135"/>
      <c r="IU98" s="134"/>
      <c r="IV98" s="134"/>
      <c r="IW98" s="134"/>
      <c r="IX98" s="134"/>
      <c r="IY98" s="134"/>
      <c r="IZ98" s="134"/>
      <c r="JA98" s="134"/>
      <c r="JB98" s="134"/>
      <c r="JC98" s="135"/>
      <c r="JD98" s="135"/>
    </row>
    <row r="99" spans="1:264" s="119" customFormat="1" ht="15" customHeight="1">
      <c r="A99" s="79" t="s">
        <v>1039</v>
      </c>
      <c r="B99" s="362">
        <v>141</v>
      </c>
      <c r="C99" s="362"/>
      <c r="D99" s="362">
        <v>47</v>
      </c>
      <c r="E99" s="604" t="s">
        <v>2081</v>
      </c>
      <c r="F99" s="124" t="s">
        <v>2335</v>
      </c>
      <c r="G99" s="125">
        <v>2001</v>
      </c>
      <c r="H99" s="79">
        <v>12587183</v>
      </c>
      <c r="I99" s="79">
        <v>1</v>
      </c>
      <c r="J99" s="126">
        <v>1</v>
      </c>
      <c r="K99" s="127"/>
      <c r="L99" s="79">
        <v>1</v>
      </c>
      <c r="M99" s="79"/>
      <c r="N99" s="79">
        <v>1</v>
      </c>
      <c r="O99" s="128">
        <v>2</v>
      </c>
      <c r="P99" s="79" t="s">
        <v>1376</v>
      </c>
      <c r="Q99" s="79" t="s">
        <v>1377</v>
      </c>
      <c r="R99" s="79"/>
      <c r="S99" s="79"/>
      <c r="T99" s="79" t="s">
        <v>1498</v>
      </c>
      <c r="U99" s="79"/>
      <c r="V99" s="79"/>
      <c r="W99" s="79" t="s">
        <v>1682</v>
      </c>
      <c r="X99" s="79"/>
      <c r="Y99" s="79"/>
      <c r="Z99" s="79"/>
      <c r="AA99" s="79"/>
      <c r="AB99" s="79"/>
      <c r="AC99" s="506" t="s">
        <v>6221</v>
      </c>
      <c r="AD99" s="573">
        <v>1</v>
      </c>
      <c r="AE99" s="573">
        <v>1</v>
      </c>
      <c r="AF99" s="233" t="s">
        <v>3003</v>
      </c>
      <c r="AG99" s="234" t="s">
        <v>6915</v>
      </c>
      <c r="AH99" s="135">
        <v>4</v>
      </c>
      <c r="AI99" s="135"/>
      <c r="AJ99" s="235"/>
      <c r="AK99" s="236"/>
      <c r="AL99" s="237"/>
      <c r="AM99" s="135">
        <v>24</v>
      </c>
      <c r="AN99" s="135">
        <v>12</v>
      </c>
      <c r="AO99" s="135">
        <v>12</v>
      </c>
      <c r="AP99" s="135"/>
      <c r="AQ99" s="135"/>
      <c r="AR99" s="135"/>
      <c r="AS99" s="135"/>
      <c r="AT99" s="135"/>
      <c r="AU99" s="135"/>
      <c r="AV99" s="135"/>
      <c r="AW99" s="135"/>
      <c r="AX99" s="135"/>
      <c r="AY99" s="135"/>
      <c r="AZ99" s="135"/>
      <c r="BA99" s="135"/>
      <c r="BB99" s="691"/>
      <c r="BC99" s="691"/>
      <c r="BD99" s="239" t="s">
        <v>5207</v>
      </c>
      <c r="BE99" s="156" t="s">
        <v>6205</v>
      </c>
      <c r="BF99" s="156"/>
      <c r="BG99" s="156"/>
      <c r="BH99" s="156"/>
      <c r="BI99" s="156"/>
      <c r="BJ99" s="156" t="s">
        <v>6174</v>
      </c>
      <c r="BK99" s="156"/>
      <c r="BL99" s="156"/>
      <c r="BM99" s="156"/>
      <c r="BN99" s="156"/>
      <c r="BO99" s="156"/>
      <c r="BP99" s="156"/>
      <c r="BQ99" s="595"/>
      <c r="BR99" s="157"/>
      <c r="BS99" s="660"/>
      <c r="BT99" s="134"/>
      <c r="BU99" s="134"/>
      <c r="BV99" s="134"/>
      <c r="BW99" s="134"/>
      <c r="BX99" s="134"/>
      <c r="BY99" s="134"/>
      <c r="BZ99" s="259"/>
      <c r="CA99" s="454"/>
      <c r="CB99" s="138"/>
      <c r="CC99" s="134"/>
      <c r="CD99" s="134"/>
      <c r="CE99" s="134"/>
      <c r="CF99" s="138"/>
      <c r="CG99" s="134"/>
      <c r="CH99" s="134"/>
      <c r="CI99" s="134"/>
      <c r="CJ99" s="288"/>
      <c r="CK99" s="289"/>
      <c r="CL99" s="138"/>
      <c r="CM99" s="134"/>
      <c r="CN99" s="134"/>
      <c r="CO99" s="134"/>
      <c r="CP99" s="138"/>
      <c r="CQ99" s="134"/>
      <c r="CR99" s="134"/>
      <c r="CS99" s="134"/>
      <c r="CT99" s="288"/>
      <c r="CU99" s="289"/>
      <c r="CV99" s="276"/>
      <c r="CW99" s="308"/>
      <c r="CX99" s="138"/>
      <c r="CY99" s="134"/>
      <c r="CZ99" s="134"/>
      <c r="DA99" s="134"/>
      <c r="DB99" s="134"/>
      <c r="DC99" s="134"/>
      <c r="DD99" s="134"/>
      <c r="DE99" s="134"/>
      <c r="DF99" s="300"/>
      <c r="DG99" s="301"/>
      <c r="DH99" s="134"/>
      <c r="DI99" s="134"/>
      <c r="DJ99" s="134"/>
      <c r="DK99" s="134"/>
      <c r="DL99" s="134"/>
      <c r="DM99" s="134"/>
      <c r="DN99" s="134"/>
      <c r="DO99" s="134"/>
      <c r="DP99" s="300"/>
      <c r="DQ99" s="301"/>
      <c r="DR99" s="276"/>
      <c r="DS99" s="277"/>
      <c r="DT99" s="134"/>
      <c r="DU99" s="134"/>
      <c r="DV99" s="134"/>
      <c r="DW99" s="134"/>
      <c r="DX99" s="138"/>
      <c r="DY99" s="134"/>
      <c r="DZ99" s="134"/>
      <c r="EA99" s="134"/>
      <c r="EB99" s="301"/>
      <c r="EC99" s="301"/>
      <c r="ED99" s="138"/>
      <c r="EE99" s="134"/>
      <c r="EF99" s="134"/>
      <c r="EG99" s="134"/>
      <c r="EH99" s="138"/>
      <c r="EI99" s="134"/>
      <c r="EJ99" s="134"/>
      <c r="EK99" s="134"/>
      <c r="EL99" s="301"/>
      <c r="EM99" s="301"/>
      <c r="EN99" s="277"/>
      <c r="EO99" s="134"/>
      <c r="EP99" s="134"/>
      <c r="EQ99" s="134"/>
      <c r="ER99" s="134"/>
      <c r="ES99" s="134"/>
      <c r="ET99" s="134"/>
      <c r="EU99" s="134"/>
      <c r="EV99" s="134"/>
      <c r="EW99" s="301"/>
      <c r="EX99" s="301"/>
      <c r="EY99" s="134"/>
      <c r="EZ99" s="134"/>
      <c r="FA99" s="134"/>
      <c r="FB99" s="134"/>
      <c r="FC99" s="134"/>
      <c r="FD99" s="134"/>
      <c r="FE99" s="134"/>
      <c r="FF99" s="134"/>
      <c r="FG99" s="135"/>
      <c r="FH99" s="135"/>
      <c r="FI99" s="134"/>
      <c r="FJ99" s="134"/>
      <c r="FK99" s="134"/>
      <c r="FL99" s="134"/>
      <c r="FM99" s="134"/>
      <c r="FN99" s="134"/>
      <c r="FO99" s="134"/>
      <c r="FP99" s="134"/>
      <c r="FQ99" s="135"/>
      <c r="FR99" s="135"/>
      <c r="FS99" s="134"/>
      <c r="FT99" s="134"/>
      <c r="FU99" s="134"/>
      <c r="FV99" s="134"/>
      <c r="FW99" s="134"/>
      <c r="FX99" s="134"/>
      <c r="FY99" s="134"/>
      <c r="FZ99" s="134"/>
      <c r="GA99" s="135"/>
      <c r="GB99" s="135"/>
      <c r="GC99" s="134"/>
      <c r="GD99" s="134"/>
      <c r="GE99" s="134"/>
      <c r="GF99" s="134"/>
      <c r="GG99" s="134"/>
      <c r="GH99" s="134"/>
      <c r="GI99" s="134"/>
      <c r="GJ99" s="134"/>
      <c r="GK99" s="135"/>
      <c r="GL99" s="135"/>
      <c r="GM99" s="134"/>
      <c r="GN99" s="134"/>
      <c r="GO99" s="134"/>
      <c r="GP99" s="134"/>
      <c r="GQ99" s="134"/>
      <c r="GR99" s="134"/>
      <c r="GS99" s="134"/>
      <c r="GT99" s="134"/>
      <c r="GU99" s="135"/>
      <c r="GV99" s="135"/>
      <c r="GW99" s="134"/>
      <c r="GX99" s="134"/>
      <c r="GY99" s="134"/>
      <c r="GZ99" s="134"/>
      <c r="HA99" s="134"/>
      <c r="HB99" s="134"/>
      <c r="HC99" s="134"/>
      <c r="HD99" s="134"/>
      <c r="HE99" s="135"/>
      <c r="HF99" s="135"/>
      <c r="HG99" s="134"/>
      <c r="HH99" s="134"/>
      <c r="HI99" s="134"/>
      <c r="HJ99" s="134"/>
      <c r="HK99" s="134"/>
      <c r="HL99" s="134"/>
      <c r="HM99" s="134"/>
      <c r="HN99" s="134"/>
      <c r="HO99" s="135"/>
      <c r="HP99" s="135"/>
      <c r="HQ99" s="134"/>
      <c r="HR99" s="134"/>
      <c r="HS99" s="134"/>
      <c r="HT99" s="134"/>
      <c r="HU99" s="134"/>
      <c r="HV99" s="134"/>
      <c r="HW99" s="134"/>
      <c r="HX99" s="134"/>
      <c r="HY99" s="135"/>
      <c r="HZ99" s="135"/>
      <c r="IA99" s="134"/>
      <c r="IB99" s="134"/>
      <c r="IC99" s="134"/>
      <c r="ID99" s="134"/>
      <c r="IE99" s="134"/>
      <c r="IF99" s="134"/>
      <c r="IG99" s="134"/>
      <c r="IH99" s="134"/>
      <c r="II99" s="135"/>
      <c r="IJ99" s="135"/>
      <c r="IK99" s="134"/>
      <c r="IL99" s="134"/>
      <c r="IM99" s="134"/>
      <c r="IN99" s="134"/>
      <c r="IO99" s="134"/>
      <c r="IP99" s="134"/>
      <c r="IQ99" s="134"/>
      <c r="IR99" s="134"/>
      <c r="IS99" s="135"/>
      <c r="IT99" s="135"/>
      <c r="IU99" s="134"/>
      <c r="IV99" s="134"/>
      <c r="IW99" s="134"/>
      <c r="IX99" s="134"/>
      <c r="IY99" s="134"/>
      <c r="IZ99" s="134"/>
      <c r="JA99" s="134"/>
      <c r="JB99" s="134"/>
      <c r="JC99" s="135"/>
      <c r="JD99" s="135"/>
    </row>
    <row r="100" spans="1:264" s="119" customFormat="1" ht="15" customHeight="1">
      <c r="A100" s="79" t="s">
        <v>1037</v>
      </c>
      <c r="B100" s="362">
        <v>145</v>
      </c>
      <c r="C100" s="362"/>
      <c r="D100" s="362">
        <v>49</v>
      </c>
      <c r="E100" s="604" t="s">
        <v>2082</v>
      </c>
      <c r="F100" s="124" t="s">
        <v>2336</v>
      </c>
      <c r="G100" s="125">
        <v>2009</v>
      </c>
      <c r="H100" s="79">
        <v>19095221</v>
      </c>
      <c r="I100" s="79">
        <v>1</v>
      </c>
      <c r="J100" s="126" t="s">
        <v>1853</v>
      </c>
      <c r="K100" s="127"/>
      <c r="L100" s="79">
        <v>0</v>
      </c>
      <c r="M100" s="79"/>
      <c r="N100" s="79">
        <v>0</v>
      </c>
      <c r="O100" s="128">
        <v>2</v>
      </c>
      <c r="P100" s="79" t="s">
        <v>24</v>
      </c>
      <c r="Q100" s="79" t="s">
        <v>24</v>
      </c>
      <c r="R100" s="79" t="s">
        <v>1127</v>
      </c>
      <c r="S100" s="79"/>
      <c r="T100" s="79" t="s">
        <v>1495</v>
      </c>
      <c r="U100" s="79"/>
      <c r="V100" s="79"/>
      <c r="W100" s="79" t="s">
        <v>1382</v>
      </c>
      <c r="X100" s="79" t="s">
        <v>1380</v>
      </c>
      <c r="Y100" s="79" t="s">
        <v>1381</v>
      </c>
      <c r="Z100" s="79"/>
      <c r="AA100" s="79"/>
      <c r="AB100" s="79" t="s">
        <v>424</v>
      </c>
      <c r="AC100" s="506" t="s">
        <v>6224</v>
      </c>
      <c r="AD100" s="573">
        <v>1</v>
      </c>
      <c r="AE100" s="573">
        <v>1</v>
      </c>
      <c r="AF100" s="154">
        <v>1</v>
      </c>
      <c r="AG100" s="155" t="s">
        <v>6832</v>
      </c>
      <c r="AH100" s="121">
        <v>4</v>
      </c>
      <c r="AI100" s="484"/>
      <c r="AJ100" s="202"/>
      <c r="AK100" s="192">
        <v>0</v>
      </c>
      <c r="AL100" s="203">
        <v>1</v>
      </c>
      <c r="AM100" s="121">
        <f>Table668[[#This Row],[Data_Subjects_n_ptsd]]+Table668[[#This Row],[Data_Subjects_n_control]]</f>
        <v>21</v>
      </c>
      <c r="AN100" s="121">
        <v>11</v>
      </c>
      <c r="AO100" s="121">
        <v>10</v>
      </c>
      <c r="AP100" s="121" t="s">
        <v>803</v>
      </c>
      <c r="AQ100" s="121" t="s">
        <v>803</v>
      </c>
      <c r="AR100" s="121" t="s">
        <v>2882</v>
      </c>
      <c r="AS100" s="121" t="s">
        <v>2882</v>
      </c>
      <c r="AT100" s="121" t="s">
        <v>2882</v>
      </c>
      <c r="AU100" s="121" t="s">
        <v>2882</v>
      </c>
      <c r="AV100" s="121" t="s">
        <v>6916</v>
      </c>
      <c r="AW100" s="121">
        <v>1</v>
      </c>
      <c r="AX100" s="121">
        <v>1</v>
      </c>
      <c r="AY100" s="121" t="s">
        <v>4992</v>
      </c>
      <c r="AZ100" s="121" t="s">
        <v>1130</v>
      </c>
      <c r="BA100" s="121" t="s">
        <v>6653</v>
      </c>
      <c r="BB100" s="594"/>
      <c r="BC100" s="594"/>
      <c r="BD100" s="156">
        <v>1</v>
      </c>
      <c r="BE100" s="156"/>
      <c r="BF100" s="156"/>
      <c r="BG100" s="156"/>
      <c r="BH100" s="156"/>
      <c r="BI100" s="156"/>
      <c r="BJ100" s="156">
        <v>1</v>
      </c>
      <c r="BK100" s="156"/>
      <c r="BL100" s="156"/>
      <c r="BM100" s="156"/>
      <c r="BN100" s="156"/>
      <c r="BO100" s="156"/>
      <c r="BP100" s="156"/>
      <c r="BQ100" s="595" t="s">
        <v>6701</v>
      </c>
      <c r="BR100" s="157" t="s">
        <v>6837</v>
      </c>
      <c r="BS100" s="660">
        <v>1</v>
      </c>
      <c r="BT100" s="134" t="s">
        <v>1876</v>
      </c>
      <c r="BU100" s="134" t="s">
        <v>3856</v>
      </c>
      <c r="BV100" s="134" t="s">
        <v>6917</v>
      </c>
      <c r="BW100" s="134" t="s">
        <v>1121</v>
      </c>
      <c r="BX100" s="134" t="s">
        <v>6905</v>
      </c>
      <c r="BY100" s="134" t="s">
        <v>2659</v>
      </c>
      <c r="BZ100" s="259" t="s">
        <v>6912</v>
      </c>
      <c r="CA100" s="454" t="s">
        <v>6627</v>
      </c>
      <c r="CB100" s="138" t="s">
        <v>6918</v>
      </c>
      <c r="CC100" s="134">
        <v>64.171300000000002</v>
      </c>
      <c r="CD100" s="134" t="s">
        <v>24</v>
      </c>
      <c r="CE100" s="134">
        <f>67.6692-Table668[[#This Row],[Data_Outcome1_M]]</f>
        <v>3.4979000000000013</v>
      </c>
      <c r="CF100" s="138" t="s">
        <v>6919</v>
      </c>
      <c r="CG100" s="134">
        <v>11.598800000000001</v>
      </c>
      <c r="CH100" s="134" t="s">
        <v>24</v>
      </c>
      <c r="CI100" s="134">
        <f>13.6573-Table668[[#This Row],[Data_Outcome2_M]]</f>
        <v>2.0584999999999987</v>
      </c>
      <c r="CJ100" s="288" t="s">
        <v>6920</v>
      </c>
      <c r="CK100" s="289" t="s">
        <v>6921</v>
      </c>
      <c r="CL100" s="138" t="s">
        <v>24</v>
      </c>
      <c r="CM100" s="134"/>
      <c r="CN100" s="134"/>
      <c r="CO100" s="134"/>
      <c r="CP100" s="138"/>
      <c r="CQ100" s="134"/>
      <c r="CR100" s="134"/>
      <c r="CS100" s="134"/>
      <c r="CT100" s="288"/>
      <c r="CU100" s="289"/>
      <c r="CV100" s="276"/>
      <c r="CW100" s="308"/>
      <c r="CX100" s="138"/>
      <c r="CY100" s="134"/>
      <c r="CZ100" s="134"/>
      <c r="DA100" s="134"/>
      <c r="DB100" s="134"/>
      <c r="DC100" s="134"/>
      <c r="DD100" s="134"/>
      <c r="DE100" s="134"/>
      <c r="DF100" s="300"/>
      <c r="DG100" s="301"/>
      <c r="DH100" s="134"/>
      <c r="DI100" s="134"/>
      <c r="DJ100" s="134"/>
      <c r="DK100" s="134"/>
      <c r="DL100" s="134"/>
      <c r="DM100" s="134"/>
      <c r="DN100" s="134"/>
      <c r="DO100" s="134"/>
      <c r="DP100" s="300"/>
      <c r="DQ100" s="301"/>
      <c r="DR100" s="276"/>
      <c r="DS100" s="277"/>
      <c r="DT100" s="134"/>
      <c r="DU100" s="134"/>
      <c r="DV100" s="134"/>
      <c r="DW100" s="134"/>
      <c r="DX100" s="138"/>
      <c r="DY100" s="134"/>
      <c r="DZ100" s="134"/>
      <c r="EA100" s="134"/>
      <c r="EB100" s="301"/>
      <c r="EC100" s="301"/>
      <c r="ED100" s="138"/>
      <c r="EE100" s="134"/>
      <c r="EF100" s="134"/>
      <c r="EG100" s="134"/>
      <c r="EH100" s="138"/>
      <c r="EI100" s="134"/>
      <c r="EJ100" s="134"/>
      <c r="EK100" s="134"/>
      <c r="EL100" s="301"/>
      <c r="EM100" s="301"/>
      <c r="EN100" s="277"/>
      <c r="EO100" s="134"/>
      <c r="EP100" s="134"/>
      <c r="EQ100" s="134"/>
      <c r="ER100" s="134"/>
      <c r="ES100" s="134"/>
      <c r="ET100" s="134"/>
      <c r="EU100" s="134"/>
      <c r="EV100" s="134"/>
      <c r="EW100" s="301"/>
      <c r="EX100" s="301"/>
      <c r="EY100" s="134"/>
      <c r="EZ100" s="134"/>
      <c r="FA100" s="134"/>
      <c r="FB100" s="134"/>
      <c r="FC100" s="134"/>
      <c r="FD100" s="134"/>
      <c r="FE100" s="134"/>
      <c r="FF100" s="134"/>
      <c r="FG100" s="135"/>
      <c r="FH100" s="135"/>
      <c r="FI100" s="134"/>
      <c r="FJ100" s="134"/>
      <c r="FK100" s="134"/>
      <c r="FL100" s="134"/>
      <c r="FM100" s="134"/>
      <c r="FN100" s="134"/>
      <c r="FO100" s="134"/>
      <c r="FP100" s="134"/>
      <c r="FQ100" s="135"/>
      <c r="FR100" s="135"/>
      <c r="FS100" s="134"/>
      <c r="FT100" s="134"/>
      <c r="FU100" s="134"/>
      <c r="FV100" s="134"/>
      <c r="FW100" s="134"/>
      <c r="FX100" s="134"/>
      <c r="FY100" s="134"/>
      <c r="FZ100" s="134"/>
      <c r="GA100" s="135"/>
      <c r="GB100" s="135"/>
      <c r="GC100" s="134"/>
      <c r="GD100" s="134"/>
      <c r="GE100" s="134"/>
      <c r="GF100" s="134"/>
      <c r="GG100" s="134"/>
      <c r="GH100" s="134"/>
      <c r="GI100" s="134"/>
      <c r="GJ100" s="134"/>
      <c r="GK100" s="135"/>
      <c r="GL100" s="135"/>
      <c r="GM100" s="134"/>
      <c r="GN100" s="134"/>
      <c r="GO100" s="134"/>
      <c r="GP100" s="134"/>
      <c r="GQ100" s="134"/>
      <c r="GR100" s="134"/>
      <c r="GS100" s="134"/>
      <c r="GT100" s="134"/>
      <c r="GU100" s="135"/>
      <c r="GV100" s="135"/>
      <c r="GW100" s="134"/>
      <c r="GX100" s="134"/>
      <c r="GY100" s="134"/>
      <c r="GZ100" s="134"/>
      <c r="HA100" s="134"/>
      <c r="HB100" s="134"/>
      <c r="HC100" s="134"/>
      <c r="HD100" s="134"/>
      <c r="HE100" s="135"/>
      <c r="HF100" s="135"/>
      <c r="HG100" s="134"/>
      <c r="HH100" s="134"/>
      <c r="HI100" s="134"/>
      <c r="HJ100" s="134"/>
      <c r="HK100" s="134"/>
      <c r="HL100" s="134"/>
      <c r="HM100" s="134"/>
      <c r="HN100" s="134"/>
      <c r="HO100" s="135"/>
      <c r="HP100" s="135"/>
      <c r="HQ100" s="134"/>
      <c r="HR100" s="134"/>
      <c r="HS100" s="134"/>
      <c r="HT100" s="134"/>
      <c r="HU100" s="134"/>
      <c r="HV100" s="134"/>
      <c r="HW100" s="134"/>
      <c r="HX100" s="134"/>
      <c r="HY100" s="135"/>
      <c r="HZ100" s="135"/>
      <c r="IA100" s="134"/>
      <c r="IB100" s="134"/>
      <c r="IC100" s="134"/>
      <c r="ID100" s="134"/>
      <c r="IE100" s="134"/>
      <c r="IF100" s="134"/>
      <c r="IG100" s="134"/>
      <c r="IH100" s="134"/>
      <c r="II100" s="135"/>
      <c r="IJ100" s="135"/>
      <c r="IK100" s="134"/>
      <c r="IL100" s="134"/>
      <c r="IM100" s="134"/>
      <c r="IN100" s="134"/>
      <c r="IO100" s="134"/>
      <c r="IP100" s="134"/>
      <c r="IQ100" s="134"/>
      <c r="IR100" s="134"/>
      <c r="IS100" s="135"/>
      <c r="IT100" s="135"/>
      <c r="IU100" s="134"/>
      <c r="IV100" s="134"/>
      <c r="IW100" s="134"/>
      <c r="IX100" s="134"/>
      <c r="IY100" s="134"/>
      <c r="IZ100" s="134"/>
      <c r="JA100" s="134"/>
      <c r="JB100" s="134"/>
      <c r="JC100" s="135"/>
      <c r="JD100" s="135"/>
    </row>
    <row r="101" spans="1:264" s="119" customFormat="1" ht="15" customHeight="1">
      <c r="A101" s="79" t="s">
        <v>204</v>
      </c>
      <c r="B101" s="362">
        <v>150</v>
      </c>
      <c r="C101" s="362"/>
      <c r="D101" s="362">
        <v>51</v>
      </c>
      <c r="E101" s="604" t="s">
        <v>1977</v>
      </c>
      <c r="F101" s="124" t="s">
        <v>2201</v>
      </c>
      <c r="G101" s="125">
        <v>2010</v>
      </c>
      <c r="H101" s="79">
        <v>20088647</v>
      </c>
      <c r="I101" s="79">
        <v>1</v>
      </c>
      <c r="J101" s="126"/>
      <c r="K101" s="127"/>
      <c r="L101" s="174">
        <v>1</v>
      </c>
      <c r="M101" s="79"/>
      <c r="N101" s="164">
        <v>1</v>
      </c>
      <c r="O101" s="128">
        <v>1</v>
      </c>
      <c r="P101" s="79"/>
      <c r="Q101" s="79"/>
      <c r="R101" s="79" t="s">
        <v>583</v>
      </c>
      <c r="S101" s="79">
        <v>1</v>
      </c>
      <c r="T101" s="79"/>
      <c r="U101" s="79"/>
      <c r="V101" s="79"/>
      <c r="W101" s="79" t="s">
        <v>23</v>
      </c>
      <c r="X101" s="79" t="s">
        <v>582</v>
      </c>
      <c r="Y101" s="79"/>
      <c r="Z101" s="79"/>
      <c r="AA101" s="79"/>
      <c r="AB101" s="79" t="s">
        <v>584</v>
      </c>
      <c r="AC101" s="506" t="s">
        <v>6227</v>
      </c>
      <c r="AD101" s="573">
        <v>1</v>
      </c>
      <c r="AE101" s="573">
        <v>1</v>
      </c>
      <c r="AF101" s="165">
        <v>0</v>
      </c>
      <c r="AG101" s="166" t="s">
        <v>6229</v>
      </c>
      <c r="AH101" s="120"/>
      <c r="AI101" s="120"/>
      <c r="AJ101" s="206"/>
      <c r="AK101" s="372"/>
      <c r="AL101" s="207"/>
      <c r="AM101" s="120"/>
      <c r="AN101" s="120"/>
      <c r="AO101" s="120"/>
      <c r="AP101" s="120"/>
      <c r="AQ101" s="120"/>
      <c r="AR101" s="120"/>
      <c r="AS101" s="120"/>
      <c r="AT101" s="120"/>
      <c r="AU101" s="120"/>
      <c r="AV101" s="120"/>
      <c r="AW101" s="120"/>
      <c r="AX101" s="120"/>
      <c r="AY101" s="120"/>
      <c r="AZ101" s="120"/>
      <c r="BA101" s="120"/>
      <c r="BB101" s="377"/>
      <c r="BC101" s="377"/>
      <c r="BD101" s="373"/>
      <c r="BE101" s="373"/>
      <c r="BF101" s="373"/>
      <c r="BG101" s="373"/>
      <c r="BH101" s="373" t="s">
        <v>6228</v>
      </c>
      <c r="BI101" s="373" t="s">
        <v>6228</v>
      </c>
      <c r="BJ101" s="373" t="s">
        <v>6174</v>
      </c>
      <c r="BK101" s="373"/>
      <c r="BL101" s="373"/>
      <c r="BM101" s="373"/>
      <c r="BN101" s="373"/>
      <c r="BO101" s="373"/>
      <c r="BP101" s="373"/>
      <c r="BQ101" s="599"/>
      <c r="BR101" s="374"/>
      <c r="BS101" s="510"/>
      <c r="BT101" s="120"/>
      <c r="BU101" s="120"/>
      <c r="BV101" s="120"/>
      <c r="BW101" s="120"/>
      <c r="BX101" s="120"/>
      <c r="BY101" s="120"/>
      <c r="BZ101" s="375"/>
      <c r="CA101" s="380"/>
      <c r="CB101" s="376"/>
      <c r="CC101" s="120"/>
      <c r="CD101" s="120"/>
      <c r="CE101" s="120"/>
      <c r="CF101" s="376"/>
      <c r="CG101" s="120"/>
      <c r="CH101" s="120"/>
      <c r="CI101" s="120"/>
      <c r="CJ101" s="375"/>
      <c r="CK101" s="377"/>
      <c r="CL101" s="376"/>
      <c r="CM101" s="120"/>
      <c r="CN101" s="120"/>
      <c r="CO101" s="120"/>
      <c r="CP101" s="376"/>
      <c r="CQ101" s="120"/>
      <c r="CR101" s="120"/>
      <c r="CS101" s="120"/>
      <c r="CT101" s="375"/>
      <c r="CU101" s="377"/>
      <c r="CV101" s="380"/>
      <c r="CW101" s="376"/>
      <c r="CX101" s="376"/>
      <c r="CY101" s="120"/>
      <c r="CZ101" s="120"/>
      <c r="DA101" s="120"/>
      <c r="DB101" s="120"/>
      <c r="DC101" s="120"/>
      <c r="DD101" s="120"/>
      <c r="DE101" s="120"/>
      <c r="DF101" s="380"/>
      <c r="DG101" s="120"/>
      <c r="DH101" s="120"/>
      <c r="DI101" s="120"/>
      <c r="DJ101" s="120"/>
      <c r="DK101" s="120"/>
      <c r="DL101" s="120"/>
      <c r="DM101" s="120"/>
      <c r="DN101" s="120"/>
      <c r="DO101" s="120"/>
      <c r="DP101" s="380"/>
      <c r="DQ101" s="120"/>
      <c r="DR101" s="380"/>
      <c r="DS101" s="120"/>
      <c r="DT101" s="120"/>
      <c r="DU101" s="120"/>
      <c r="DV101" s="120"/>
      <c r="DW101" s="120"/>
      <c r="DX101" s="376"/>
      <c r="DY101" s="120"/>
      <c r="DZ101" s="120"/>
      <c r="EA101" s="120"/>
      <c r="EB101" s="120"/>
      <c r="EC101" s="120"/>
      <c r="ED101" s="376"/>
      <c r="EE101" s="120"/>
      <c r="EF101" s="120"/>
      <c r="EG101" s="120"/>
      <c r="EH101" s="376"/>
      <c r="EI101" s="120"/>
      <c r="EJ101" s="120"/>
      <c r="EK101" s="120"/>
      <c r="EL101" s="120"/>
      <c r="EM101" s="120"/>
      <c r="EN101" s="120"/>
      <c r="EO101" s="120"/>
      <c r="EP101" s="120"/>
      <c r="EQ101" s="120"/>
      <c r="ER101" s="120"/>
      <c r="ES101" s="120"/>
      <c r="ET101" s="120"/>
      <c r="EU101" s="120"/>
      <c r="EV101" s="120"/>
      <c r="EW101" s="120"/>
      <c r="EX101" s="120"/>
      <c r="EY101" s="120"/>
      <c r="EZ101" s="120"/>
      <c r="FA101" s="120"/>
      <c r="FB101" s="120"/>
      <c r="FC101" s="120"/>
      <c r="FD101" s="120"/>
      <c r="FE101" s="120"/>
      <c r="FF101" s="120"/>
      <c r="FG101" s="120"/>
      <c r="FH101" s="120"/>
      <c r="FI101" s="120"/>
      <c r="FJ101" s="120"/>
      <c r="FK101" s="120"/>
      <c r="FL101" s="120"/>
      <c r="FM101" s="120"/>
      <c r="FN101" s="120"/>
      <c r="FO101" s="120"/>
      <c r="FP101" s="120"/>
      <c r="FQ101" s="120"/>
      <c r="FR101" s="120"/>
      <c r="FS101" s="120"/>
      <c r="FT101" s="120"/>
      <c r="FU101" s="120"/>
      <c r="FV101" s="120"/>
      <c r="FW101" s="120"/>
      <c r="FX101" s="120"/>
      <c r="FY101" s="120"/>
      <c r="FZ101" s="120"/>
      <c r="GA101" s="120"/>
      <c r="GB101" s="120"/>
      <c r="GC101" s="120"/>
      <c r="GD101" s="120"/>
      <c r="GE101" s="120"/>
      <c r="GF101" s="120"/>
      <c r="GG101" s="120"/>
      <c r="GH101" s="120"/>
      <c r="GI101" s="120"/>
      <c r="GJ101" s="120"/>
      <c r="GK101" s="120"/>
      <c r="GL101" s="120"/>
      <c r="GM101" s="120"/>
      <c r="GN101" s="120"/>
      <c r="GO101" s="120"/>
      <c r="GP101" s="120"/>
      <c r="GQ101" s="120"/>
      <c r="GR101" s="120"/>
      <c r="GS101" s="120"/>
      <c r="GT101" s="120"/>
      <c r="GU101" s="120"/>
      <c r="GV101" s="120"/>
      <c r="GW101" s="120"/>
      <c r="GX101" s="120"/>
      <c r="GY101" s="120"/>
      <c r="GZ101" s="120"/>
      <c r="HA101" s="120"/>
      <c r="HB101" s="120"/>
      <c r="HC101" s="120"/>
      <c r="HD101" s="120"/>
      <c r="HE101" s="120"/>
      <c r="HF101" s="120"/>
      <c r="HG101" s="120"/>
      <c r="HH101" s="120"/>
      <c r="HI101" s="120"/>
      <c r="HJ101" s="120"/>
      <c r="HK101" s="120"/>
      <c r="HL101" s="120"/>
      <c r="HM101" s="120"/>
      <c r="HN101" s="120"/>
      <c r="HO101" s="120"/>
      <c r="HP101" s="120"/>
      <c r="HQ101" s="120"/>
      <c r="HR101" s="120"/>
      <c r="HS101" s="120"/>
      <c r="HT101" s="120"/>
      <c r="HU101" s="120"/>
      <c r="HV101" s="120"/>
      <c r="HW101" s="120"/>
      <c r="HX101" s="120"/>
      <c r="HY101" s="120"/>
      <c r="HZ101" s="120"/>
      <c r="IA101" s="120"/>
      <c r="IB101" s="120"/>
      <c r="IC101" s="120"/>
      <c r="ID101" s="120"/>
      <c r="IE101" s="120"/>
      <c r="IF101" s="120"/>
      <c r="IG101" s="120"/>
      <c r="IH101" s="120"/>
      <c r="II101" s="120"/>
      <c r="IJ101" s="120"/>
      <c r="IK101" s="120"/>
      <c r="IL101" s="120"/>
      <c r="IM101" s="120"/>
      <c r="IN101" s="120"/>
      <c r="IO101" s="120"/>
      <c r="IP101" s="120"/>
      <c r="IQ101" s="120"/>
      <c r="IR101" s="120"/>
      <c r="IS101" s="120"/>
      <c r="IT101" s="120"/>
      <c r="IU101" s="120"/>
      <c r="IV101" s="120"/>
      <c r="IW101" s="120"/>
      <c r="IX101" s="120"/>
      <c r="IY101" s="120"/>
      <c r="IZ101" s="120"/>
      <c r="JA101" s="120"/>
      <c r="JB101" s="120"/>
      <c r="JC101" s="120"/>
      <c r="JD101" s="120"/>
    </row>
    <row r="102" spans="1:264" customFormat="1" ht="15" customHeight="1">
      <c r="A102" s="79" t="s">
        <v>207</v>
      </c>
      <c r="B102" s="362">
        <v>153</v>
      </c>
      <c r="C102" s="362"/>
      <c r="D102" s="362">
        <v>52</v>
      </c>
      <c r="E102" s="604" t="s">
        <v>1978</v>
      </c>
      <c r="F102" s="124" t="s">
        <v>2202</v>
      </c>
      <c r="G102" s="125">
        <v>1996</v>
      </c>
      <c r="H102" s="79">
        <v>8827652</v>
      </c>
      <c r="I102" s="79">
        <v>1</v>
      </c>
      <c r="J102" s="126"/>
      <c r="K102" s="127"/>
      <c r="L102" s="79">
        <v>1</v>
      </c>
      <c r="M102" s="79"/>
      <c r="N102" s="79">
        <v>1</v>
      </c>
      <c r="O102" s="128">
        <v>1</v>
      </c>
      <c r="P102" s="79" t="s">
        <v>920</v>
      </c>
      <c r="Q102" s="79" t="s">
        <v>1165</v>
      </c>
      <c r="R102" s="79" t="s">
        <v>591</v>
      </c>
      <c r="S102" s="79">
        <v>1</v>
      </c>
      <c r="T102" s="79"/>
      <c r="U102" s="79"/>
      <c r="V102" s="79"/>
      <c r="W102" s="79" t="s">
        <v>1156</v>
      </c>
      <c r="X102" s="79"/>
      <c r="Y102" s="79" t="s">
        <v>592</v>
      </c>
      <c r="Z102" s="79" t="s">
        <v>593</v>
      </c>
      <c r="AA102" s="79"/>
      <c r="AB102" s="79"/>
      <c r="AC102" s="506" t="s">
        <v>6230</v>
      </c>
      <c r="AD102" s="573">
        <v>1</v>
      </c>
      <c r="AE102" s="573">
        <v>1</v>
      </c>
      <c r="AF102" s="233" t="s">
        <v>1917</v>
      </c>
      <c r="AG102" s="234" t="s">
        <v>6922</v>
      </c>
      <c r="AH102" s="135">
        <v>2</v>
      </c>
      <c r="AI102" s="135" t="s">
        <v>6942</v>
      </c>
      <c r="AJ102" s="235" t="s">
        <v>6927</v>
      </c>
      <c r="AK102" s="236">
        <v>0</v>
      </c>
      <c r="AL102" s="237" t="s">
        <v>24</v>
      </c>
      <c r="AM102" s="246">
        <f>Table668[[#This Row],[Data_Subjects_n_ptsd]]+Table668[[#This Row],[Data_Subjects_n_control]]</f>
        <v>39</v>
      </c>
      <c r="AN102" s="135">
        <v>24</v>
      </c>
      <c r="AO102" s="135">
        <v>15</v>
      </c>
      <c r="AP102" s="135" t="s">
        <v>6928</v>
      </c>
      <c r="AQ102" s="135" t="s">
        <v>6928</v>
      </c>
      <c r="AR102" s="135">
        <v>42.4</v>
      </c>
      <c r="AS102" s="135">
        <v>2.31</v>
      </c>
      <c r="AT102" s="135">
        <v>43.2</v>
      </c>
      <c r="AU102" s="135">
        <v>3.17</v>
      </c>
      <c r="AV102" s="135" t="s">
        <v>3206</v>
      </c>
      <c r="AW102" s="135" t="s">
        <v>24</v>
      </c>
      <c r="AX102" s="135" t="s">
        <v>24</v>
      </c>
      <c r="AY102" s="135" t="s">
        <v>2423</v>
      </c>
      <c r="AZ102" s="135" t="s">
        <v>4371</v>
      </c>
      <c r="BA102" s="135" t="s">
        <v>6926</v>
      </c>
      <c r="BB102" s="594"/>
      <c r="BC102" s="594"/>
      <c r="BD102" s="156"/>
      <c r="BE102" s="156"/>
      <c r="BF102" s="156" t="s">
        <v>5207</v>
      </c>
      <c r="BG102" s="156"/>
      <c r="BH102" s="156"/>
      <c r="BI102" s="156" t="s">
        <v>4727</v>
      </c>
      <c r="BJ102" s="156">
        <v>1</v>
      </c>
      <c r="BK102" s="156" t="s">
        <v>6923</v>
      </c>
      <c r="BL102" s="156"/>
      <c r="BM102" s="156"/>
      <c r="BN102" s="156" t="s">
        <v>5207</v>
      </c>
      <c r="BO102" s="156"/>
      <c r="BP102" s="156"/>
      <c r="BQ102" s="595" t="s">
        <v>6925</v>
      </c>
      <c r="BR102" s="157" t="s">
        <v>6609</v>
      </c>
      <c r="BS102" s="660">
        <v>2</v>
      </c>
      <c r="BT102" s="134" t="s">
        <v>1876</v>
      </c>
      <c r="BU102" s="134" t="s">
        <v>6924</v>
      </c>
      <c r="BV102" s="134" t="s">
        <v>6929</v>
      </c>
      <c r="BW102" s="134" t="s">
        <v>24</v>
      </c>
      <c r="BX102" s="134" t="s">
        <v>6930</v>
      </c>
      <c r="BY102" s="134" t="s">
        <v>6931</v>
      </c>
      <c r="BZ102" s="259" t="s">
        <v>6941</v>
      </c>
      <c r="CA102" s="454">
        <v>0</v>
      </c>
      <c r="CB102" s="138" t="s">
        <v>6932</v>
      </c>
      <c r="CC102" s="134">
        <v>0.92400000000000004</v>
      </c>
      <c r="CD102" s="134">
        <v>7.0000000000000007E-2</v>
      </c>
      <c r="CE102" s="134" t="s">
        <v>24</v>
      </c>
      <c r="CF102" s="138" t="s">
        <v>6939</v>
      </c>
      <c r="CG102" s="134">
        <v>0.94699999999999995</v>
      </c>
      <c r="CH102" s="134">
        <v>0.03</v>
      </c>
      <c r="CI102" s="134" t="s">
        <v>24</v>
      </c>
      <c r="CJ102" s="288" t="s">
        <v>24</v>
      </c>
      <c r="CK102" s="289" t="s">
        <v>24</v>
      </c>
      <c r="CL102" s="138" t="s">
        <v>6933</v>
      </c>
      <c r="CM102" s="134">
        <v>0.90800000000000003</v>
      </c>
      <c r="CN102" s="134">
        <v>7.0000000000000007E-2</v>
      </c>
      <c r="CO102" s="134" t="s">
        <v>24</v>
      </c>
      <c r="CP102" s="138" t="s">
        <v>6938</v>
      </c>
      <c r="CQ102" s="134">
        <v>0.90800000000000003</v>
      </c>
      <c r="CR102" s="134">
        <v>7.0000000000000007E-2</v>
      </c>
      <c r="CS102" s="134" t="s">
        <v>24</v>
      </c>
      <c r="CT102" s="288" t="s">
        <v>24</v>
      </c>
      <c r="CU102" s="289" t="s">
        <v>24</v>
      </c>
      <c r="CV102" s="276" t="s">
        <v>6940</v>
      </c>
      <c r="CW102" s="308" t="s">
        <v>3790</v>
      </c>
      <c r="CX102" s="138" t="s">
        <v>6934</v>
      </c>
      <c r="CY102" s="134">
        <v>0.85899999999999999</v>
      </c>
      <c r="CZ102" s="134">
        <v>0.08</v>
      </c>
      <c r="DA102" s="134" t="s">
        <v>24</v>
      </c>
      <c r="DB102" s="138" t="s">
        <v>6937</v>
      </c>
      <c r="DC102" s="134">
        <v>0.91600000000000004</v>
      </c>
      <c r="DD102" s="134">
        <v>7.0000000000000007E-2</v>
      </c>
      <c r="DE102" s="134" t="s">
        <v>24</v>
      </c>
      <c r="DF102" s="300" t="s">
        <v>24</v>
      </c>
      <c r="DG102" s="301" t="s">
        <v>24</v>
      </c>
      <c r="DH102" s="138" t="s">
        <v>6935</v>
      </c>
      <c r="DI102" s="134">
        <v>0.872</v>
      </c>
      <c r="DJ102" s="134">
        <v>0.08</v>
      </c>
      <c r="DK102" s="134" t="s">
        <v>24</v>
      </c>
      <c r="DL102" s="138" t="s">
        <v>6936</v>
      </c>
      <c r="DM102" s="134">
        <v>0.9</v>
      </c>
      <c r="DN102" s="134">
        <v>0.05</v>
      </c>
      <c r="DO102" s="134" t="s">
        <v>24</v>
      </c>
      <c r="DP102" s="300" t="s">
        <v>24</v>
      </c>
      <c r="DQ102" s="301" t="s">
        <v>24</v>
      </c>
      <c r="DR102" s="276" t="s">
        <v>6940</v>
      </c>
      <c r="DS102" s="277" t="s">
        <v>3790</v>
      </c>
      <c r="DT102" s="134" t="s">
        <v>24</v>
      </c>
      <c r="DU102" s="134"/>
      <c r="DV102" s="134"/>
      <c r="DW102" s="134"/>
      <c r="DX102" s="138"/>
      <c r="DY102" s="134"/>
      <c r="DZ102" s="134"/>
      <c r="EA102" s="134"/>
      <c r="EB102" s="301"/>
      <c r="EC102" s="301"/>
      <c r="ED102" s="138"/>
      <c r="EE102" s="134"/>
      <c r="EF102" s="134"/>
      <c r="EG102" s="134"/>
      <c r="EH102" s="138"/>
      <c r="EI102" s="134"/>
      <c r="EJ102" s="134"/>
      <c r="EK102" s="134"/>
      <c r="EL102" s="301"/>
      <c r="EM102" s="301"/>
      <c r="EN102" s="277"/>
      <c r="EO102" s="134"/>
      <c r="EP102" s="134"/>
      <c r="EQ102" s="134"/>
      <c r="ER102" s="134"/>
      <c r="ES102" s="134"/>
      <c r="ET102" s="134"/>
      <c r="EU102" s="134"/>
      <c r="EV102" s="134"/>
      <c r="EW102" s="301"/>
      <c r="EX102" s="301"/>
      <c r="EY102" s="134"/>
      <c r="EZ102" s="134"/>
      <c r="FA102" s="134"/>
      <c r="FB102" s="134"/>
      <c r="FC102" s="134"/>
      <c r="FD102" s="134"/>
      <c r="FE102" s="134"/>
      <c r="FF102" s="134"/>
      <c r="FG102" s="135"/>
      <c r="FH102" s="135"/>
      <c r="FI102" s="134"/>
      <c r="FJ102" s="134"/>
      <c r="FK102" s="134"/>
      <c r="FL102" s="134"/>
      <c r="FM102" s="134"/>
      <c r="FN102" s="134"/>
      <c r="FO102" s="134"/>
      <c r="FP102" s="134"/>
      <c r="FQ102" s="135"/>
      <c r="FR102" s="135"/>
      <c r="FS102" s="134"/>
      <c r="FT102" s="134"/>
      <c r="FU102" s="134"/>
      <c r="FV102" s="134"/>
      <c r="FW102" s="134"/>
      <c r="FX102" s="134"/>
      <c r="FY102" s="134"/>
      <c r="FZ102" s="134"/>
      <c r="GA102" s="135"/>
      <c r="GB102" s="135"/>
      <c r="GC102" s="134"/>
      <c r="GD102" s="134"/>
      <c r="GE102" s="134"/>
      <c r="GF102" s="134"/>
      <c r="GG102" s="134"/>
      <c r="GH102" s="134"/>
      <c r="GI102" s="134"/>
      <c r="GJ102" s="134"/>
      <c r="GK102" s="135"/>
      <c r="GL102" s="135"/>
      <c r="GM102" s="134"/>
      <c r="GN102" s="134"/>
      <c r="GO102" s="134"/>
      <c r="GP102" s="134"/>
      <c r="GQ102" s="134"/>
      <c r="GR102" s="134"/>
      <c r="GS102" s="134"/>
      <c r="GT102" s="134"/>
      <c r="GU102" s="135"/>
      <c r="GV102" s="135"/>
      <c r="GW102" s="134"/>
      <c r="GX102" s="134"/>
      <c r="GY102" s="134"/>
      <c r="GZ102" s="134"/>
      <c r="HA102" s="134"/>
      <c r="HB102" s="134"/>
      <c r="HC102" s="134"/>
      <c r="HD102" s="134"/>
      <c r="HE102" s="135"/>
      <c r="HF102" s="135"/>
      <c r="HG102" s="134"/>
      <c r="HH102" s="134"/>
      <c r="HI102" s="134"/>
      <c r="HJ102" s="134"/>
      <c r="HK102" s="134"/>
      <c r="HL102" s="134"/>
      <c r="HM102" s="134"/>
      <c r="HN102" s="134"/>
      <c r="HO102" s="135"/>
      <c r="HP102" s="135"/>
      <c r="HQ102" s="134"/>
      <c r="HR102" s="134"/>
      <c r="HS102" s="134"/>
      <c r="HT102" s="134"/>
      <c r="HU102" s="134"/>
      <c r="HV102" s="134"/>
      <c r="HW102" s="134"/>
      <c r="HX102" s="134"/>
      <c r="HY102" s="135"/>
      <c r="HZ102" s="135"/>
      <c r="IA102" s="134"/>
      <c r="IB102" s="134"/>
      <c r="IC102" s="134"/>
      <c r="ID102" s="134"/>
      <c r="IE102" s="134"/>
      <c r="IF102" s="134"/>
      <c r="IG102" s="134"/>
      <c r="IH102" s="134"/>
      <c r="II102" s="135"/>
      <c r="IJ102" s="135"/>
      <c r="IK102" s="134"/>
      <c r="IL102" s="134"/>
      <c r="IM102" s="134"/>
      <c r="IN102" s="134"/>
      <c r="IO102" s="134"/>
      <c r="IP102" s="134"/>
      <c r="IQ102" s="134"/>
      <c r="IR102" s="134"/>
      <c r="IS102" s="135"/>
      <c r="IT102" s="135"/>
      <c r="IU102" s="134"/>
      <c r="IV102" s="134"/>
      <c r="IW102" s="134"/>
      <c r="IX102" s="134"/>
      <c r="IY102" s="134"/>
      <c r="IZ102" s="134"/>
      <c r="JA102" s="134"/>
      <c r="JB102" s="134"/>
      <c r="JC102" s="135"/>
      <c r="JD102" s="135"/>
    </row>
    <row r="103" spans="1:264" s="119" customFormat="1" ht="15" customHeight="1">
      <c r="A103" s="79" t="s">
        <v>1024</v>
      </c>
      <c r="B103" s="362">
        <v>157</v>
      </c>
      <c r="C103" s="362"/>
      <c r="D103" s="362">
        <v>55</v>
      </c>
      <c r="E103" s="604" t="s">
        <v>2090</v>
      </c>
      <c r="F103" s="124" t="s">
        <v>2345</v>
      </c>
      <c r="G103" s="125">
        <v>2009</v>
      </c>
      <c r="H103" s="79">
        <v>19167197</v>
      </c>
      <c r="I103" s="79">
        <v>1</v>
      </c>
      <c r="J103" s="126" t="s">
        <v>1856</v>
      </c>
      <c r="K103" s="127"/>
      <c r="L103" s="79">
        <v>0</v>
      </c>
      <c r="M103" s="79"/>
      <c r="N103" s="79">
        <v>0</v>
      </c>
      <c r="O103" s="128">
        <v>2</v>
      </c>
      <c r="P103" s="79" t="s">
        <v>1407</v>
      </c>
      <c r="Q103" s="79" t="s">
        <v>1264</v>
      </c>
      <c r="R103" s="79" t="s">
        <v>1127</v>
      </c>
      <c r="S103" s="79"/>
      <c r="T103" s="79" t="s">
        <v>1507</v>
      </c>
      <c r="U103" s="79" t="s">
        <v>803</v>
      </c>
      <c r="V103" s="79" t="s">
        <v>23</v>
      </c>
      <c r="W103" s="79" t="s">
        <v>1248</v>
      </c>
      <c r="X103" s="79"/>
      <c r="Y103" s="79" t="s">
        <v>1408</v>
      </c>
      <c r="Z103" s="79"/>
      <c r="AA103" s="79" t="s">
        <v>1664</v>
      </c>
      <c r="AB103" s="79" t="s">
        <v>1663</v>
      </c>
      <c r="AC103" s="506" t="s">
        <v>6236</v>
      </c>
      <c r="AD103" s="573">
        <v>1</v>
      </c>
      <c r="AE103" s="573">
        <v>1</v>
      </c>
      <c r="AF103" s="154">
        <v>1</v>
      </c>
      <c r="AG103" s="155" t="s">
        <v>6943</v>
      </c>
      <c r="AH103" s="121">
        <v>4</v>
      </c>
      <c r="AI103" s="484"/>
      <c r="AJ103" s="202" t="s">
        <v>6949</v>
      </c>
      <c r="AK103" s="192">
        <v>2</v>
      </c>
      <c r="AL103" s="203">
        <v>1</v>
      </c>
      <c r="AM103" s="417">
        <f>Table668[[#This Row],[Data_Subjects_n_ptsd]]+Table668[[#This Row],[Data_Subjects_n_control]]</f>
        <v>38</v>
      </c>
      <c r="AN103" s="417">
        <v>19</v>
      </c>
      <c r="AO103" s="417">
        <v>19</v>
      </c>
      <c r="AP103" s="121" t="s">
        <v>803</v>
      </c>
      <c r="AQ103" s="121" t="s">
        <v>803</v>
      </c>
      <c r="AR103" s="121" t="s">
        <v>2687</v>
      </c>
      <c r="AS103" s="417" t="s">
        <v>2882</v>
      </c>
      <c r="AT103" s="121" t="s">
        <v>2687</v>
      </c>
      <c r="AU103" s="121" t="s">
        <v>2882</v>
      </c>
      <c r="AV103" s="121" t="s">
        <v>4991</v>
      </c>
      <c r="AW103" s="121">
        <v>1</v>
      </c>
      <c r="AX103" s="121">
        <v>1</v>
      </c>
      <c r="AY103" s="121" t="s">
        <v>6946</v>
      </c>
      <c r="AZ103" s="121" t="s">
        <v>1130</v>
      </c>
      <c r="BA103" s="121" t="s">
        <v>6653</v>
      </c>
      <c r="BB103" s="594">
        <v>1</v>
      </c>
      <c r="BC103" s="594"/>
      <c r="BD103" s="156">
        <v>1</v>
      </c>
      <c r="BE103" s="156"/>
      <c r="BF103" s="156"/>
      <c r="BG103" s="156"/>
      <c r="BH103" s="156"/>
      <c r="BI103" s="156"/>
      <c r="BJ103" s="156">
        <v>1</v>
      </c>
      <c r="BK103" s="156"/>
      <c r="BL103" s="156"/>
      <c r="BM103" s="156"/>
      <c r="BN103" s="156"/>
      <c r="BO103" s="156"/>
      <c r="BP103" s="156"/>
      <c r="BQ103" s="595" t="s">
        <v>6944</v>
      </c>
      <c r="BR103" s="157" t="s">
        <v>6837</v>
      </c>
      <c r="BS103" s="660">
        <v>1</v>
      </c>
      <c r="BT103" s="134" t="s">
        <v>1876</v>
      </c>
      <c r="BU103" s="134" t="s">
        <v>6947</v>
      </c>
      <c r="BV103" s="134" t="s">
        <v>3982</v>
      </c>
      <c r="BW103" s="134" t="s">
        <v>1121</v>
      </c>
      <c r="BX103" s="134" t="s">
        <v>6945</v>
      </c>
      <c r="BY103" s="134" t="s">
        <v>2659</v>
      </c>
      <c r="BZ103" s="259" t="s">
        <v>6957</v>
      </c>
      <c r="CA103" s="454" t="s">
        <v>6627</v>
      </c>
      <c r="CB103" s="168" t="s">
        <v>6950</v>
      </c>
      <c r="CC103" s="134">
        <v>60.126399999999997</v>
      </c>
      <c r="CD103" s="134" t="s">
        <v>24</v>
      </c>
      <c r="CE103" s="134">
        <f>64.6045-Table668[[#This Row],[Data_Outcome1_M]]</f>
        <v>4.4781000000000049</v>
      </c>
      <c r="CF103" s="168" t="s">
        <v>6952</v>
      </c>
      <c r="CG103" s="134">
        <v>12.713100000000001</v>
      </c>
      <c r="CH103" s="134" t="s">
        <v>24</v>
      </c>
      <c r="CI103" s="134">
        <f>14.7659-Table668[[#This Row],[Data_Outcome2_M]]</f>
        <v>2.0527999999999995</v>
      </c>
      <c r="CJ103" s="403" t="s">
        <v>6954</v>
      </c>
      <c r="CK103" s="404" t="s">
        <v>6956</v>
      </c>
      <c r="CL103" s="342" t="s">
        <v>24</v>
      </c>
      <c r="CM103" s="134"/>
      <c r="CN103" s="134"/>
      <c r="CO103" s="134"/>
      <c r="CP103" s="138"/>
      <c r="CQ103" s="134"/>
      <c r="CR103" s="134"/>
      <c r="CS103" s="134"/>
      <c r="CT103" s="288"/>
      <c r="CU103" s="289"/>
      <c r="CV103" s="276"/>
      <c r="CW103" s="308"/>
      <c r="CX103" s="137"/>
      <c r="CY103" s="134"/>
      <c r="CZ103" s="134"/>
      <c r="DA103" s="134"/>
      <c r="DB103" s="134"/>
      <c r="DC103" s="134"/>
      <c r="DD103" s="134"/>
      <c r="DE103" s="134"/>
      <c r="DF103" s="434"/>
      <c r="DG103" s="436"/>
      <c r="DH103" s="134"/>
      <c r="DI103" s="134"/>
      <c r="DJ103" s="134"/>
      <c r="DK103" s="134"/>
      <c r="DL103" s="134"/>
      <c r="DM103" s="134"/>
      <c r="DN103" s="134"/>
      <c r="DO103" s="134"/>
      <c r="DP103" s="434"/>
      <c r="DQ103" s="436"/>
      <c r="DR103" s="276"/>
      <c r="DS103" s="277"/>
      <c r="DT103" s="134"/>
      <c r="DU103" s="134"/>
      <c r="DV103" s="134"/>
      <c r="DW103" s="134"/>
      <c r="DX103" s="138"/>
      <c r="DY103" s="134"/>
      <c r="DZ103" s="134"/>
      <c r="EA103" s="134"/>
      <c r="EB103" s="301"/>
      <c r="EC103" s="301"/>
      <c r="ED103" s="138"/>
      <c r="EE103" s="134"/>
      <c r="EF103" s="134"/>
      <c r="EG103" s="134"/>
      <c r="EH103" s="138"/>
      <c r="EI103" s="134"/>
      <c r="EJ103" s="134"/>
      <c r="EK103" s="134"/>
      <c r="EL103" s="301"/>
      <c r="EM103" s="301"/>
      <c r="EN103" s="277"/>
      <c r="EO103" s="134"/>
      <c r="EP103" s="134"/>
      <c r="EQ103" s="134"/>
      <c r="ER103" s="134"/>
      <c r="ES103" s="134"/>
      <c r="ET103" s="134"/>
      <c r="EU103" s="134"/>
      <c r="EV103" s="134"/>
      <c r="EW103" s="301"/>
      <c r="EX103" s="301"/>
      <c r="EY103" s="134"/>
      <c r="EZ103" s="134"/>
      <c r="FA103" s="134"/>
      <c r="FB103" s="134"/>
      <c r="FC103" s="134"/>
      <c r="FD103" s="134"/>
      <c r="FE103" s="134"/>
      <c r="FF103" s="134"/>
      <c r="FG103" s="135"/>
      <c r="FH103" s="135"/>
      <c r="FI103" s="134"/>
      <c r="FJ103" s="134"/>
      <c r="FK103" s="134"/>
      <c r="FL103" s="134"/>
      <c r="FM103" s="134"/>
      <c r="FN103" s="134"/>
      <c r="FO103" s="134"/>
      <c r="FP103" s="134"/>
      <c r="FQ103" s="135"/>
      <c r="FR103" s="135"/>
      <c r="FS103" s="134"/>
      <c r="FT103" s="134"/>
      <c r="FU103" s="134"/>
      <c r="FV103" s="134"/>
      <c r="FW103" s="134"/>
      <c r="FX103" s="134"/>
      <c r="FY103" s="134"/>
      <c r="FZ103" s="134"/>
      <c r="GA103" s="135"/>
      <c r="GB103" s="135"/>
      <c r="GC103" s="134"/>
      <c r="GD103" s="134"/>
      <c r="GE103" s="134"/>
      <c r="GF103" s="134"/>
      <c r="GG103" s="134"/>
      <c r="GH103" s="134"/>
      <c r="GI103" s="134"/>
      <c r="GJ103" s="134"/>
      <c r="GK103" s="135"/>
      <c r="GL103" s="135"/>
      <c r="GM103" s="134"/>
      <c r="GN103" s="134"/>
      <c r="GO103" s="134"/>
      <c r="GP103" s="134"/>
      <c r="GQ103" s="134"/>
      <c r="GR103" s="134"/>
      <c r="GS103" s="134"/>
      <c r="GT103" s="134"/>
      <c r="GU103" s="135"/>
      <c r="GV103" s="135"/>
      <c r="GW103" s="134"/>
      <c r="GX103" s="134"/>
      <c r="GY103" s="134"/>
      <c r="GZ103" s="134"/>
      <c r="HA103" s="134"/>
      <c r="HB103" s="134"/>
      <c r="HC103" s="134"/>
      <c r="HD103" s="134"/>
      <c r="HE103" s="135"/>
      <c r="HF103" s="135"/>
      <c r="HG103" s="134"/>
      <c r="HH103" s="134"/>
      <c r="HI103" s="134"/>
      <c r="HJ103" s="134"/>
      <c r="HK103" s="134"/>
      <c r="HL103" s="134"/>
      <c r="HM103" s="134"/>
      <c r="HN103" s="134"/>
      <c r="HO103" s="135"/>
      <c r="HP103" s="135"/>
      <c r="HQ103" s="134"/>
      <c r="HR103" s="134"/>
      <c r="HS103" s="134"/>
      <c r="HT103" s="134"/>
      <c r="HU103" s="134"/>
      <c r="HV103" s="134"/>
      <c r="HW103" s="134"/>
      <c r="HX103" s="134"/>
      <c r="HY103" s="135"/>
      <c r="HZ103" s="135"/>
      <c r="IA103" s="134"/>
      <c r="IB103" s="134"/>
      <c r="IC103" s="134"/>
      <c r="ID103" s="134"/>
      <c r="IE103" s="134"/>
      <c r="IF103" s="134"/>
      <c r="IG103" s="134"/>
      <c r="IH103" s="134"/>
      <c r="II103" s="135"/>
      <c r="IJ103" s="135"/>
      <c r="IK103" s="134"/>
      <c r="IL103" s="134"/>
      <c r="IM103" s="134"/>
      <c r="IN103" s="134"/>
      <c r="IO103" s="134"/>
      <c r="IP103" s="134"/>
      <c r="IQ103" s="134"/>
      <c r="IR103" s="134"/>
      <c r="IS103" s="135"/>
      <c r="IT103" s="135"/>
      <c r="IU103" s="134"/>
      <c r="IV103" s="134"/>
      <c r="IW103" s="134"/>
      <c r="IX103" s="134"/>
      <c r="IY103" s="134"/>
      <c r="IZ103" s="134"/>
      <c r="JA103" s="134"/>
      <c r="JB103" s="134"/>
      <c r="JC103" s="135"/>
      <c r="JD103" s="135"/>
    </row>
    <row r="104" spans="1:264" s="119" customFormat="1" ht="15" customHeight="1">
      <c r="A104" s="118" t="s">
        <v>1024</v>
      </c>
      <c r="B104" s="616">
        <v>157</v>
      </c>
      <c r="C104" s="616"/>
      <c r="D104" s="616">
        <v>55</v>
      </c>
      <c r="E104" s="605" t="s">
        <v>2090</v>
      </c>
      <c r="F104" s="140" t="s">
        <v>2345</v>
      </c>
      <c r="G104" s="141">
        <v>2009</v>
      </c>
      <c r="H104" s="118">
        <v>19167197</v>
      </c>
      <c r="I104" s="118">
        <v>1</v>
      </c>
      <c r="J104" s="118" t="s">
        <v>1856</v>
      </c>
      <c r="K104" s="118"/>
      <c r="L104" s="118">
        <v>0</v>
      </c>
      <c r="M104" s="118"/>
      <c r="N104" s="118">
        <v>0</v>
      </c>
      <c r="O104" s="142">
        <v>2</v>
      </c>
      <c r="P104" s="118" t="s">
        <v>1407</v>
      </c>
      <c r="Q104" s="118" t="s">
        <v>1264</v>
      </c>
      <c r="R104" s="118" t="s">
        <v>1127</v>
      </c>
      <c r="S104" s="118"/>
      <c r="T104" s="118" t="s">
        <v>1507</v>
      </c>
      <c r="U104" s="118" t="s">
        <v>803</v>
      </c>
      <c r="V104" s="118" t="s">
        <v>23</v>
      </c>
      <c r="W104" s="118" t="s">
        <v>1248</v>
      </c>
      <c r="X104" s="118"/>
      <c r="Y104" s="118" t="s">
        <v>1408</v>
      </c>
      <c r="Z104" s="118"/>
      <c r="AA104" s="118" t="s">
        <v>1664</v>
      </c>
      <c r="AB104" s="118" t="s">
        <v>1663</v>
      </c>
      <c r="AC104" s="145" t="s">
        <v>6236</v>
      </c>
      <c r="AD104" s="653">
        <v>1</v>
      </c>
      <c r="AE104" s="653">
        <v>1</v>
      </c>
      <c r="AF104" s="159">
        <v>1</v>
      </c>
      <c r="AG104" s="160" t="s">
        <v>6943</v>
      </c>
      <c r="AH104" s="122">
        <v>4</v>
      </c>
      <c r="AI104" s="485"/>
      <c r="AJ104" s="204" t="s">
        <v>6948</v>
      </c>
      <c r="AK104" s="192">
        <v>2</v>
      </c>
      <c r="AL104" s="205">
        <v>1</v>
      </c>
      <c r="AM104" s="500">
        <f>Table668[[#This Row],[Data_Subjects_n_ptsd]]+Table668[[#This Row],[Data_Subjects_n_control]]</f>
        <v>32</v>
      </c>
      <c r="AN104" s="500">
        <v>16</v>
      </c>
      <c r="AO104" s="500">
        <v>16</v>
      </c>
      <c r="AP104" s="122" t="s">
        <v>803</v>
      </c>
      <c r="AQ104" s="122" t="s">
        <v>803</v>
      </c>
      <c r="AR104" s="122" t="s">
        <v>2687</v>
      </c>
      <c r="AS104" s="500" t="s">
        <v>2882</v>
      </c>
      <c r="AT104" s="122" t="s">
        <v>2687</v>
      </c>
      <c r="AU104" s="122" t="s">
        <v>2882</v>
      </c>
      <c r="AV104" s="122" t="s">
        <v>4991</v>
      </c>
      <c r="AW104" s="122">
        <v>1</v>
      </c>
      <c r="AX104" s="122">
        <v>1</v>
      </c>
      <c r="AY104" s="122" t="s">
        <v>6946</v>
      </c>
      <c r="AZ104" s="122" t="s">
        <v>1130</v>
      </c>
      <c r="BA104" s="122" t="s">
        <v>6653</v>
      </c>
      <c r="BB104" s="588">
        <v>1</v>
      </c>
      <c r="BC104" s="588"/>
      <c r="BD104" s="161">
        <v>1</v>
      </c>
      <c r="BE104" s="161"/>
      <c r="BF104" s="161"/>
      <c r="BG104" s="161"/>
      <c r="BH104" s="161"/>
      <c r="BI104" s="161"/>
      <c r="BJ104" s="161">
        <v>1</v>
      </c>
      <c r="BK104" s="161"/>
      <c r="BL104" s="161"/>
      <c r="BM104" s="161"/>
      <c r="BN104" s="161"/>
      <c r="BO104" s="161"/>
      <c r="BP104" s="161"/>
      <c r="BQ104" s="596" t="s">
        <v>6944</v>
      </c>
      <c r="BR104" s="162" t="s">
        <v>6837</v>
      </c>
      <c r="BS104" s="659">
        <v>1</v>
      </c>
      <c r="BT104" s="150" t="s">
        <v>1876</v>
      </c>
      <c r="BU104" s="150" t="s">
        <v>6947</v>
      </c>
      <c r="BV104" s="150" t="s">
        <v>3982</v>
      </c>
      <c r="BW104" s="150" t="s">
        <v>1121</v>
      </c>
      <c r="BX104" s="150" t="s">
        <v>6945</v>
      </c>
      <c r="BY104" s="150" t="s">
        <v>2659</v>
      </c>
      <c r="BZ104" s="258" t="s">
        <v>6957</v>
      </c>
      <c r="CA104" s="257" t="s">
        <v>6627</v>
      </c>
      <c r="CB104" s="228" t="s">
        <v>6951</v>
      </c>
      <c r="CC104" s="150">
        <v>62.405999999999999</v>
      </c>
      <c r="CD104" s="150"/>
      <c r="CE104" s="150">
        <f>68.6207-Table668[[#This Row],[Data_Outcome1_M]]</f>
        <v>6.2147000000000006</v>
      </c>
      <c r="CF104" s="228" t="s">
        <v>6953</v>
      </c>
      <c r="CG104" s="150">
        <v>18.9968</v>
      </c>
      <c r="CH104" s="150" t="s">
        <v>24</v>
      </c>
      <c r="CI104" s="150">
        <f>21.8217-Table668[[#This Row],[Data_Outcome2_M]]</f>
        <v>2.8248999999999995</v>
      </c>
      <c r="CJ104" s="290" t="s">
        <v>6954</v>
      </c>
      <c r="CK104" s="291" t="s">
        <v>6955</v>
      </c>
      <c r="CL104" s="360" t="s">
        <v>24</v>
      </c>
      <c r="CM104" s="150"/>
      <c r="CN104" s="150"/>
      <c r="CO104" s="150"/>
      <c r="CP104" s="151"/>
      <c r="CQ104" s="150"/>
      <c r="CR104" s="150"/>
      <c r="CS104" s="150"/>
      <c r="CT104" s="290"/>
      <c r="CU104" s="291"/>
      <c r="CV104" s="278"/>
      <c r="CW104" s="285"/>
      <c r="CX104" s="167"/>
      <c r="CY104" s="150"/>
      <c r="CZ104" s="150"/>
      <c r="DA104" s="150"/>
      <c r="DB104" s="150"/>
      <c r="DC104" s="150"/>
      <c r="DD104" s="150"/>
      <c r="DE104" s="150"/>
      <c r="DF104" s="543"/>
      <c r="DG104" s="545"/>
      <c r="DH104" s="150"/>
      <c r="DI104" s="150"/>
      <c r="DJ104" s="150"/>
      <c r="DK104" s="150"/>
      <c r="DL104" s="150"/>
      <c r="DM104" s="150"/>
      <c r="DN104" s="150"/>
      <c r="DO104" s="150"/>
      <c r="DP104" s="543"/>
      <c r="DQ104" s="545"/>
      <c r="DR104" s="278"/>
      <c r="DS104" s="279"/>
      <c r="DT104" s="150"/>
      <c r="DU104" s="150"/>
      <c r="DV104" s="150"/>
      <c r="DW104" s="150"/>
      <c r="DX104" s="151"/>
      <c r="DY104" s="150"/>
      <c r="DZ104" s="150"/>
      <c r="EA104" s="150"/>
      <c r="EB104" s="303"/>
      <c r="EC104" s="303"/>
      <c r="ED104" s="151"/>
      <c r="EE104" s="150"/>
      <c r="EF104" s="150"/>
      <c r="EG104" s="150"/>
      <c r="EH104" s="151"/>
      <c r="EI104" s="150"/>
      <c r="EJ104" s="150"/>
      <c r="EK104" s="150"/>
      <c r="EL104" s="303"/>
      <c r="EM104" s="303"/>
      <c r="EN104" s="279"/>
      <c r="EO104" s="150"/>
      <c r="EP104" s="150"/>
      <c r="EQ104" s="150"/>
      <c r="ER104" s="150"/>
      <c r="ES104" s="150"/>
      <c r="ET104" s="150"/>
      <c r="EU104" s="150"/>
      <c r="EV104" s="150"/>
      <c r="EW104" s="303"/>
      <c r="EX104" s="303"/>
      <c r="EY104" s="150"/>
      <c r="EZ104" s="150"/>
      <c r="FA104" s="150"/>
      <c r="FB104" s="150"/>
      <c r="FC104" s="150"/>
      <c r="FD104" s="150"/>
      <c r="FE104" s="150"/>
      <c r="FF104" s="150"/>
      <c r="FG104" s="152"/>
      <c r="FH104" s="152"/>
      <c r="FI104" s="150"/>
      <c r="FJ104" s="150"/>
      <c r="FK104" s="150"/>
      <c r="FL104" s="150"/>
      <c r="FM104" s="150"/>
      <c r="FN104" s="150"/>
      <c r="FO104" s="150"/>
      <c r="FP104" s="150"/>
      <c r="FQ104" s="152"/>
      <c r="FR104" s="152"/>
      <c r="FS104" s="150"/>
      <c r="FT104" s="150"/>
      <c r="FU104" s="150"/>
      <c r="FV104" s="150"/>
      <c r="FW104" s="150"/>
      <c r="FX104" s="150"/>
      <c r="FY104" s="150"/>
      <c r="FZ104" s="150"/>
      <c r="GA104" s="152"/>
      <c r="GB104" s="152"/>
      <c r="GC104" s="150"/>
      <c r="GD104" s="150"/>
      <c r="GE104" s="150"/>
      <c r="GF104" s="150"/>
      <c r="GG104" s="150"/>
      <c r="GH104" s="150"/>
      <c r="GI104" s="150"/>
      <c r="GJ104" s="150"/>
      <c r="GK104" s="152"/>
      <c r="GL104" s="152"/>
      <c r="GM104" s="150"/>
      <c r="GN104" s="150"/>
      <c r="GO104" s="150"/>
      <c r="GP104" s="150"/>
      <c r="GQ104" s="150"/>
      <c r="GR104" s="150"/>
      <c r="GS104" s="150"/>
      <c r="GT104" s="150"/>
      <c r="GU104" s="152"/>
      <c r="GV104" s="152"/>
      <c r="GW104" s="150"/>
      <c r="GX104" s="150"/>
      <c r="GY104" s="150"/>
      <c r="GZ104" s="150"/>
      <c r="HA104" s="150"/>
      <c r="HB104" s="150"/>
      <c r="HC104" s="150"/>
      <c r="HD104" s="150"/>
      <c r="HE104" s="152"/>
      <c r="HF104" s="152"/>
      <c r="HG104" s="150"/>
      <c r="HH104" s="150"/>
      <c r="HI104" s="150"/>
      <c r="HJ104" s="150"/>
      <c r="HK104" s="150"/>
      <c r="HL104" s="150"/>
      <c r="HM104" s="150"/>
      <c r="HN104" s="150"/>
      <c r="HO104" s="152"/>
      <c r="HP104" s="152"/>
      <c r="HQ104" s="150"/>
      <c r="HR104" s="150"/>
      <c r="HS104" s="150"/>
      <c r="HT104" s="150"/>
      <c r="HU104" s="150"/>
      <c r="HV104" s="150"/>
      <c r="HW104" s="150"/>
      <c r="HX104" s="150"/>
      <c r="HY104" s="152"/>
      <c r="HZ104" s="152"/>
      <c r="IA104" s="150"/>
      <c r="IB104" s="150"/>
      <c r="IC104" s="150"/>
      <c r="ID104" s="150"/>
      <c r="IE104" s="150"/>
      <c r="IF104" s="150"/>
      <c r="IG104" s="150"/>
      <c r="IH104" s="150"/>
      <c r="II104" s="152"/>
      <c r="IJ104" s="152"/>
      <c r="IK104" s="150"/>
      <c r="IL104" s="150"/>
      <c r="IM104" s="150"/>
      <c r="IN104" s="150"/>
      <c r="IO104" s="150"/>
      <c r="IP104" s="150"/>
      <c r="IQ104" s="150"/>
      <c r="IR104" s="150"/>
      <c r="IS104" s="152"/>
      <c r="IT104" s="152"/>
      <c r="IU104" s="150"/>
      <c r="IV104" s="150"/>
      <c r="IW104" s="150"/>
      <c r="IX104" s="150"/>
      <c r="IY104" s="150"/>
      <c r="IZ104" s="150"/>
      <c r="JA104" s="150"/>
      <c r="JB104" s="150"/>
      <c r="JC104" s="152"/>
      <c r="JD104" s="152"/>
    </row>
    <row r="105" spans="1:264" s="188" customFormat="1" ht="15" customHeight="1">
      <c r="A105" s="79" t="s">
        <v>1007</v>
      </c>
      <c r="B105" s="617">
        <v>183</v>
      </c>
      <c r="C105" s="617"/>
      <c r="D105" s="617">
        <v>68</v>
      </c>
      <c r="E105" s="608" t="s">
        <v>2100</v>
      </c>
      <c r="F105" s="181" t="s">
        <v>2355</v>
      </c>
      <c r="G105" s="182">
        <v>1996</v>
      </c>
      <c r="H105" s="79">
        <v>8731522</v>
      </c>
      <c r="I105" s="79">
        <v>1</v>
      </c>
      <c r="J105" s="79">
        <v>1</v>
      </c>
      <c r="K105" s="79"/>
      <c r="L105" s="79">
        <v>1</v>
      </c>
      <c r="M105" s="79"/>
      <c r="N105" s="79">
        <v>1</v>
      </c>
      <c r="O105" s="128">
        <v>2</v>
      </c>
      <c r="P105" s="79"/>
      <c r="Q105" s="79"/>
      <c r="R105" s="79" t="s">
        <v>1234</v>
      </c>
      <c r="S105" s="79"/>
      <c r="T105" s="79" t="s">
        <v>1446</v>
      </c>
      <c r="U105" s="79" t="s">
        <v>803</v>
      </c>
      <c r="V105" s="79"/>
      <c r="W105" s="79" t="s">
        <v>1447</v>
      </c>
      <c r="X105" s="79"/>
      <c r="Y105" s="79"/>
      <c r="Z105" s="79"/>
      <c r="AA105" s="79"/>
      <c r="AB105" s="79" t="s">
        <v>1448</v>
      </c>
      <c r="AC105" s="506" t="s">
        <v>6256</v>
      </c>
      <c r="AD105" s="573">
        <v>1</v>
      </c>
      <c r="AE105" s="573">
        <v>1</v>
      </c>
      <c r="AF105" s="352">
        <v>1</v>
      </c>
      <c r="AG105" s="353" t="s">
        <v>6963</v>
      </c>
      <c r="AH105" s="346">
        <v>4</v>
      </c>
      <c r="AI105" s="487" t="s">
        <v>6979</v>
      </c>
      <c r="AJ105" s="678" t="s">
        <v>6964</v>
      </c>
      <c r="AK105" s="348" t="s">
        <v>4089</v>
      </c>
      <c r="AL105" s="349">
        <v>0</v>
      </c>
      <c r="AM105" s="676">
        <v>12</v>
      </c>
      <c r="AN105" s="346">
        <v>6</v>
      </c>
      <c r="AO105" s="346">
        <v>6</v>
      </c>
      <c r="AP105" s="346" t="s">
        <v>803</v>
      </c>
      <c r="AQ105" s="346" t="s">
        <v>803</v>
      </c>
      <c r="AR105" s="346" t="s">
        <v>6959</v>
      </c>
      <c r="AS105" s="346" t="s">
        <v>2882</v>
      </c>
      <c r="AT105" s="346" t="s">
        <v>6959</v>
      </c>
      <c r="AU105" s="346" t="s">
        <v>2882</v>
      </c>
      <c r="AV105" s="346" t="s">
        <v>6977</v>
      </c>
      <c r="AW105" s="346">
        <v>1</v>
      </c>
      <c r="AX105" s="346">
        <v>1</v>
      </c>
      <c r="AY105" s="346" t="s">
        <v>6960</v>
      </c>
      <c r="AZ105" s="346" t="s">
        <v>2912</v>
      </c>
      <c r="BA105" s="346" t="s">
        <v>6653</v>
      </c>
      <c r="BB105" s="598"/>
      <c r="BC105" s="598"/>
      <c r="BD105" s="184">
        <v>1</v>
      </c>
      <c r="BE105" s="184" t="s">
        <v>6205</v>
      </c>
      <c r="BF105" s="184"/>
      <c r="BG105" s="184"/>
      <c r="BH105" s="184"/>
      <c r="BI105" s="184"/>
      <c r="BJ105" s="184"/>
      <c r="BK105" s="184"/>
      <c r="BL105" s="184"/>
      <c r="BM105" s="184"/>
      <c r="BN105" s="184"/>
      <c r="BO105" s="184"/>
      <c r="BP105" s="184"/>
      <c r="BQ105" s="600" t="s">
        <v>2493</v>
      </c>
      <c r="BR105" s="185" t="s">
        <v>6595</v>
      </c>
      <c r="BS105" s="660">
        <v>2</v>
      </c>
      <c r="BT105" s="186" t="s">
        <v>1876</v>
      </c>
      <c r="BU105" s="186">
        <v>2</v>
      </c>
      <c r="BV105" s="186" t="s">
        <v>6962</v>
      </c>
      <c r="BW105" s="186" t="s">
        <v>6961</v>
      </c>
      <c r="BX105" s="186" t="s">
        <v>6965</v>
      </c>
      <c r="BY105" s="186" t="s">
        <v>6639</v>
      </c>
      <c r="BZ105" s="261" t="s">
        <v>6981</v>
      </c>
      <c r="CA105" s="620" t="s">
        <v>6627</v>
      </c>
      <c r="CB105" s="272" t="s">
        <v>6966</v>
      </c>
      <c r="CC105" s="186">
        <v>29.828099999999999</v>
      </c>
      <c r="CD105" s="186" t="s">
        <v>24</v>
      </c>
      <c r="CE105" s="186" t="s">
        <v>24</v>
      </c>
      <c r="CF105" s="272" t="s">
        <v>6967</v>
      </c>
      <c r="CG105" s="186">
        <v>24.895199999999999</v>
      </c>
      <c r="CH105" s="186" t="s">
        <v>24</v>
      </c>
      <c r="CI105" s="186" t="s">
        <v>24</v>
      </c>
      <c r="CJ105" s="294" t="s">
        <v>24</v>
      </c>
      <c r="CK105" s="295" t="s">
        <v>24</v>
      </c>
      <c r="CL105" s="272" t="s">
        <v>6968</v>
      </c>
      <c r="CM105" s="186">
        <v>3.6684000000000001</v>
      </c>
      <c r="CN105" s="186" t="s">
        <v>24</v>
      </c>
      <c r="CO105" s="186" t="s">
        <v>24</v>
      </c>
      <c r="CP105" s="272" t="s">
        <v>6969</v>
      </c>
      <c r="CQ105" s="186">
        <v>8.1870600000000007</v>
      </c>
      <c r="CR105" s="186" t="s">
        <v>24</v>
      </c>
      <c r="CS105" s="186" t="s">
        <v>24</v>
      </c>
      <c r="CT105" s="294" t="s">
        <v>24</v>
      </c>
      <c r="CU105" s="295" t="s">
        <v>24</v>
      </c>
      <c r="CV105" s="280" t="s">
        <v>24</v>
      </c>
      <c r="CW105" s="310" t="s">
        <v>24</v>
      </c>
      <c r="CX105" s="272" t="s">
        <v>6970</v>
      </c>
      <c r="CY105" s="186">
        <v>209.82</v>
      </c>
      <c r="CZ105" s="186" t="s">
        <v>24</v>
      </c>
      <c r="DA105" s="186" t="s">
        <v>24</v>
      </c>
      <c r="DB105" s="272" t="s">
        <v>6971</v>
      </c>
      <c r="DC105" s="186">
        <v>105.345</v>
      </c>
      <c r="DD105" s="186" t="s">
        <v>24</v>
      </c>
      <c r="DE105" s="186" t="s">
        <v>24</v>
      </c>
      <c r="DF105" s="294" t="s">
        <v>24</v>
      </c>
      <c r="DG105" s="295" t="s">
        <v>24</v>
      </c>
      <c r="DH105" s="272" t="s">
        <v>6972</v>
      </c>
      <c r="DI105" s="186">
        <v>188.92400000000001</v>
      </c>
      <c r="DJ105" s="186" t="s">
        <v>24</v>
      </c>
      <c r="DK105" s="186" t="s">
        <v>24</v>
      </c>
      <c r="DL105" s="272" t="s">
        <v>6973</v>
      </c>
      <c r="DM105" s="186">
        <v>152.31899999999999</v>
      </c>
      <c r="DN105" s="186" t="s">
        <v>24</v>
      </c>
      <c r="DO105" s="186" t="s">
        <v>24</v>
      </c>
      <c r="DP105" s="294" t="s">
        <v>24</v>
      </c>
      <c r="DQ105" s="295" t="s">
        <v>24</v>
      </c>
      <c r="DR105" s="280" t="s">
        <v>6980</v>
      </c>
      <c r="DS105" s="281" t="s">
        <v>24</v>
      </c>
      <c r="DT105" s="670" t="s">
        <v>6974</v>
      </c>
      <c r="DU105" s="670">
        <v>171.31800000000001</v>
      </c>
      <c r="DV105" s="670" t="s">
        <v>24</v>
      </c>
      <c r="DW105" s="670" t="s">
        <v>24</v>
      </c>
      <c r="DX105" s="670" t="s">
        <v>6975</v>
      </c>
      <c r="DY105" s="186">
        <v>144.17099999999999</v>
      </c>
      <c r="DZ105" s="186" t="s">
        <v>24</v>
      </c>
      <c r="EA105" s="186" t="s">
        <v>24</v>
      </c>
      <c r="EB105" s="294" t="s">
        <v>24</v>
      </c>
      <c r="EC105" s="295" t="s">
        <v>24</v>
      </c>
      <c r="ED105" s="267" t="s">
        <v>24</v>
      </c>
      <c r="EE105" s="186" t="s">
        <v>24</v>
      </c>
      <c r="EF105" s="267" t="s">
        <v>24</v>
      </c>
      <c r="EG105" s="186" t="s">
        <v>24</v>
      </c>
      <c r="EH105" s="267" t="s">
        <v>24</v>
      </c>
      <c r="EI105" s="186" t="s">
        <v>24</v>
      </c>
      <c r="EJ105" s="267" t="s">
        <v>24</v>
      </c>
      <c r="EK105" s="186" t="s">
        <v>24</v>
      </c>
      <c r="EL105" s="315"/>
      <c r="EM105" s="315"/>
      <c r="EN105" s="281"/>
      <c r="EO105" s="186"/>
      <c r="EP105" s="186"/>
      <c r="EQ105" s="186"/>
      <c r="ER105" s="186"/>
      <c r="ES105" s="186"/>
      <c r="ET105" s="186"/>
      <c r="EU105" s="186"/>
      <c r="EV105" s="186"/>
      <c r="EW105" s="315"/>
      <c r="EX105" s="315"/>
      <c r="EY105" s="186"/>
      <c r="EZ105" s="186"/>
      <c r="FA105" s="186"/>
      <c r="FB105" s="186"/>
      <c r="FC105" s="186"/>
      <c r="FD105" s="186"/>
      <c r="FE105" s="186"/>
      <c r="FF105" s="186"/>
      <c r="FG105" s="187"/>
      <c r="FH105" s="187"/>
      <c r="FI105" s="186"/>
      <c r="FJ105" s="186"/>
      <c r="FK105" s="186"/>
      <c r="FL105" s="186"/>
      <c r="FM105" s="186"/>
      <c r="FN105" s="186"/>
      <c r="FO105" s="186"/>
      <c r="FP105" s="186"/>
      <c r="FQ105" s="187"/>
      <c r="FR105" s="187"/>
      <c r="FS105" s="186"/>
      <c r="FT105" s="186"/>
      <c r="FU105" s="186"/>
      <c r="FV105" s="186"/>
      <c r="FW105" s="186"/>
      <c r="FX105" s="186"/>
      <c r="FY105" s="186"/>
      <c r="FZ105" s="186"/>
      <c r="GA105" s="187"/>
      <c r="GB105" s="187"/>
      <c r="GC105" s="186"/>
      <c r="GD105" s="186"/>
      <c r="GE105" s="186"/>
      <c r="GF105" s="186"/>
      <c r="GG105" s="186"/>
      <c r="GH105" s="186"/>
      <c r="GI105" s="186"/>
      <c r="GJ105" s="186"/>
      <c r="GK105" s="187"/>
      <c r="GL105" s="187"/>
      <c r="GM105" s="186"/>
      <c r="GN105" s="186"/>
      <c r="GO105" s="186"/>
      <c r="GP105" s="186"/>
      <c r="GQ105" s="186"/>
      <c r="GR105" s="186"/>
      <c r="GS105" s="186"/>
      <c r="GT105" s="186"/>
      <c r="GU105" s="187"/>
      <c r="GV105" s="187"/>
      <c r="GW105" s="186"/>
      <c r="GX105" s="186"/>
      <c r="GY105" s="186"/>
      <c r="GZ105" s="186"/>
      <c r="HA105" s="186"/>
      <c r="HB105" s="186"/>
      <c r="HC105" s="186"/>
      <c r="HD105" s="186"/>
      <c r="HE105" s="187"/>
      <c r="HF105" s="187"/>
      <c r="HG105" s="186"/>
      <c r="HH105" s="186"/>
      <c r="HI105" s="186"/>
      <c r="HJ105" s="186"/>
      <c r="HK105" s="186"/>
      <c r="HL105" s="186"/>
      <c r="HM105" s="186"/>
      <c r="HN105" s="186"/>
      <c r="HO105" s="187"/>
      <c r="HP105" s="187"/>
      <c r="HQ105" s="186"/>
      <c r="HR105" s="186"/>
      <c r="HS105" s="186"/>
      <c r="HT105" s="186"/>
      <c r="HU105" s="186"/>
      <c r="HV105" s="186"/>
      <c r="HW105" s="186"/>
      <c r="HX105" s="186"/>
      <c r="HY105" s="187"/>
      <c r="HZ105" s="187"/>
      <c r="IA105" s="186"/>
      <c r="IB105" s="186"/>
      <c r="IC105" s="186"/>
      <c r="ID105" s="186"/>
      <c r="IE105" s="186"/>
      <c r="IF105" s="186"/>
      <c r="IG105" s="186"/>
      <c r="IH105" s="186"/>
      <c r="II105" s="187"/>
      <c r="IJ105" s="187"/>
      <c r="IK105" s="186"/>
      <c r="IL105" s="186"/>
      <c r="IM105" s="186"/>
      <c r="IN105" s="186"/>
      <c r="IO105" s="186"/>
      <c r="IP105" s="186"/>
      <c r="IQ105" s="186"/>
      <c r="IR105" s="186"/>
      <c r="IS105" s="187"/>
      <c r="IT105" s="187"/>
      <c r="IU105" s="186"/>
      <c r="IV105" s="186"/>
      <c r="IW105" s="186"/>
      <c r="IX105" s="186"/>
      <c r="IY105" s="186"/>
      <c r="IZ105" s="186"/>
      <c r="JA105" s="186"/>
      <c r="JB105" s="186"/>
      <c r="JC105" s="187"/>
      <c r="JD105" s="187"/>
    </row>
    <row r="106" spans="1:264" s="119" customFormat="1" ht="15" customHeight="1">
      <c r="A106" s="118" t="s">
        <v>1007</v>
      </c>
      <c r="B106" s="616">
        <v>183</v>
      </c>
      <c r="C106" s="616"/>
      <c r="D106" s="616">
        <v>68</v>
      </c>
      <c r="E106" s="605" t="s">
        <v>2100</v>
      </c>
      <c r="F106" s="140" t="s">
        <v>2355</v>
      </c>
      <c r="G106" s="141">
        <v>1996</v>
      </c>
      <c r="H106" s="118">
        <v>8731522</v>
      </c>
      <c r="I106" s="118">
        <v>1</v>
      </c>
      <c r="J106" s="118">
        <v>1</v>
      </c>
      <c r="K106" s="118"/>
      <c r="L106" s="118">
        <v>1</v>
      </c>
      <c r="M106" s="118"/>
      <c r="N106" s="118">
        <v>1</v>
      </c>
      <c r="O106" s="142">
        <v>2</v>
      </c>
      <c r="P106" s="118"/>
      <c r="Q106" s="118"/>
      <c r="R106" s="118" t="s">
        <v>1234</v>
      </c>
      <c r="S106" s="118"/>
      <c r="T106" s="118" t="s">
        <v>1446</v>
      </c>
      <c r="U106" s="118" t="s">
        <v>803</v>
      </c>
      <c r="V106" s="118"/>
      <c r="W106" s="118" t="s">
        <v>1447</v>
      </c>
      <c r="X106" s="118"/>
      <c r="Y106" s="118"/>
      <c r="Z106" s="118"/>
      <c r="AA106" s="118"/>
      <c r="AB106" s="118" t="s">
        <v>1448</v>
      </c>
      <c r="AC106" s="145" t="s">
        <v>6256</v>
      </c>
      <c r="AD106" s="653">
        <v>1</v>
      </c>
      <c r="AE106" s="653">
        <v>1</v>
      </c>
      <c r="AF106" s="159">
        <v>1</v>
      </c>
      <c r="AG106" s="160" t="s">
        <v>6963</v>
      </c>
      <c r="AH106" s="122">
        <v>4</v>
      </c>
      <c r="AI106" s="485" t="s">
        <v>6979</v>
      </c>
      <c r="AJ106" s="677" t="s">
        <v>6964</v>
      </c>
      <c r="AK106" s="192" t="s">
        <v>4089</v>
      </c>
      <c r="AL106" s="205">
        <v>0</v>
      </c>
      <c r="AM106" s="500">
        <v>12</v>
      </c>
      <c r="AN106" s="122">
        <v>6</v>
      </c>
      <c r="AO106" s="122">
        <v>6</v>
      </c>
      <c r="AP106" s="122" t="s">
        <v>803</v>
      </c>
      <c r="AQ106" s="122" t="s">
        <v>803</v>
      </c>
      <c r="AR106" s="122" t="s">
        <v>6959</v>
      </c>
      <c r="AS106" s="122" t="s">
        <v>2882</v>
      </c>
      <c r="AT106" s="122" t="s">
        <v>6959</v>
      </c>
      <c r="AU106" s="122" t="s">
        <v>2882</v>
      </c>
      <c r="AV106" s="122" t="s">
        <v>6977</v>
      </c>
      <c r="AW106" s="122">
        <v>1</v>
      </c>
      <c r="AX106" s="122">
        <v>1</v>
      </c>
      <c r="AY106" s="122" t="s">
        <v>6960</v>
      </c>
      <c r="AZ106" s="122" t="s">
        <v>6976</v>
      </c>
      <c r="BA106" s="122" t="s">
        <v>6653</v>
      </c>
      <c r="BB106" s="588"/>
      <c r="BC106" s="588"/>
      <c r="BD106" s="161">
        <v>1</v>
      </c>
      <c r="BE106" s="161" t="s">
        <v>6205</v>
      </c>
      <c r="BF106" s="161"/>
      <c r="BG106" s="161"/>
      <c r="BH106" s="161"/>
      <c r="BI106" s="161"/>
      <c r="BJ106" s="161"/>
      <c r="BK106" s="161"/>
      <c r="BL106" s="161"/>
      <c r="BM106" s="161"/>
      <c r="BN106" s="161"/>
      <c r="BO106" s="161"/>
      <c r="BP106" s="161"/>
      <c r="BQ106" s="596" t="s">
        <v>2493</v>
      </c>
      <c r="BR106" s="162" t="s">
        <v>6595</v>
      </c>
      <c r="BS106" s="659">
        <v>2</v>
      </c>
      <c r="BT106" s="150" t="s">
        <v>1876</v>
      </c>
      <c r="BU106" s="150">
        <v>2</v>
      </c>
      <c r="BV106" s="150" t="s">
        <v>6962</v>
      </c>
      <c r="BW106" s="150" t="s">
        <v>6961</v>
      </c>
      <c r="BX106" s="150" t="s">
        <v>6965</v>
      </c>
      <c r="BY106" s="150" t="s">
        <v>6639</v>
      </c>
      <c r="BZ106" s="258" t="s">
        <v>6981</v>
      </c>
      <c r="CA106" s="257" t="s">
        <v>6627</v>
      </c>
      <c r="CB106" s="228" t="s">
        <v>6966</v>
      </c>
      <c r="CC106" s="150">
        <v>28.2851</v>
      </c>
      <c r="CD106" s="150" t="s">
        <v>24</v>
      </c>
      <c r="CE106" s="150" t="s">
        <v>24</v>
      </c>
      <c r="CF106" s="228" t="s">
        <v>6967</v>
      </c>
      <c r="CG106" s="150">
        <v>12.4262</v>
      </c>
      <c r="CH106" s="150" t="s">
        <v>24</v>
      </c>
      <c r="CI106" s="150" t="s">
        <v>24</v>
      </c>
      <c r="CJ106" s="290" t="s">
        <v>24</v>
      </c>
      <c r="CK106" s="291" t="s">
        <v>24</v>
      </c>
      <c r="CL106" s="228" t="s">
        <v>6968</v>
      </c>
      <c r="CM106" s="150">
        <v>34.205399999999997</v>
      </c>
      <c r="CN106" s="150" t="s">
        <v>24</v>
      </c>
      <c r="CO106" s="150" t="s">
        <v>24</v>
      </c>
      <c r="CP106" s="228" t="s">
        <v>6969</v>
      </c>
      <c r="CQ106" s="150">
        <v>8.0639400000000006</v>
      </c>
      <c r="CR106" s="150" t="s">
        <v>24</v>
      </c>
      <c r="CS106" s="150" t="s">
        <v>24</v>
      </c>
      <c r="CT106" s="290" t="s">
        <v>24</v>
      </c>
      <c r="CU106" s="291" t="s">
        <v>24</v>
      </c>
      <c r="CV106" s="278" t="s">
        <v>24</v>
      </c>
      <c r="CW106" s="285" t="s">
        <v>24</v>
      </c>
      <c r="CX106" s="228" t="s">
        <v>6970</v>
      </c>
      <c r="CY106" s="150">
        <v>297.50700000000001</v>
      </c>
      <c r="CZ106" s="150" t="s">
        <v>24</v>
      </c>
      <c r="DA106" s="150" t="s">
        <v>24</v>
      </c>
      <c r="DB106" s="228" t="s">
        <v>6971</v>
      </c>
      <c r="DC106" s="150">
        <v>209.26400000000001</v>
      </c>
      <c r="DD106" s="150" t="s">
        <v>24</v>
      </c>
      <c r="DE106" s="150" t="s">
        <v>24</v>
      </c>
      <c r="DF106" s="290" t="s">
        <v>24</v>
      </c>
      <c r="DG106" s="291" t="s">
        <v>24</v>
      </c>
      <c r="DH106" s="228" t="s">
        <v>6972</v>
      </c>
      <c r="DI106" s="150">
        <v>297.173</v>
      </c>
      <c r="DJ106" s="150" t="s">
        <v>24</v>
      </c>
      <c r="DK106" s="150" t="s">
        <v>24</v>
      </c>
      <c r="DL106" s="228" t="s">
        <v>6973</v>
      </c>
      <c r="DM106" s="150">
        <v>234.042</v>
      </c>
      <c r="DN106" s="150" t="s">
        <v>24</v>
      </c>
      <c r="DO106" s="150" t="s">
        <v>24</v>
      </c>
      <c r="DP106" s="290" t="s">
        <v>24</v>
      </c>
      <c r="DQ106" s="291" t="s">
        <v>24</v>
      </c>
      <c r="DR106" s="278" t="s">
        <v>6980</v>
      </c>
      <c r="DS106" s="279" t="s">
        <v>24</v>
      </c>
      <c r="DT106" s="345" t="s">
        <v>6974</v>
      </c>
      <c r="DU106" s="345">
        <v>296.43200000000002</v>
      </c>
      <c r="DV106" s="345" t="s">
        <v>24</v>
      </c>
      <c r="DW106" s="345" t="s">
        <v>24</v>
      </c>
      <c r="DX106" s="345" t="s">
        <v>6975</v>
      </c>
      <c r="DY106" s="150">
        <v>218.80500000000001</v>
      </c>
      <c r="DZ106" s="150" t="s">
        <v>24</v>
      </c>
      <c r="EA106" s="150" t="s">
        <v>24</v>
      </c>
      <c r="EB106" s="290" t="s">
        <v>24</v>
      </c>
      <c r="EC106" s="291" t="s">
        <v>24</v>
      </c>
      <c r="ED106" s="151" t="s">
        <v>24</v>
      </c>
      <c r="EE106" s="150" t="s">
        <v>24</v>
      </c>
      <c r="EF106" s="151" t="s">
        <v>24</v>
      </c>
      <c r="EG106" s="150" t="s">
        <v>24</v>
      </c>
      <c r="EH106" s="151" t="s">
        <v>24</v>
      </c>
      <c r="EI106" s="150" t="s">
        <v>24</v>
      </c>
      <c r="EJ106" s="151" t="s">
        <v>24</v>
      </c>
      <c r="EK106" s="150" t="s">
        <v>24</v>
      </c>
      <c r="EL106" s="303"/>
      <c r="EM106" s="303"/>
      <c r="EN106" s="279"/>
      <c r="EO106" s="150"/>
      <c r="EP106" s="150"/>
      <c r="EQ106" s="150"/>
      <c r="ER106" s="150"/>
      <c r="ES106" s="150"/>
      <c r="ET106" s="150"/>
      <c r="EU106" s="150"/>
      <c r="EV106" s="150"/>
      <c r="EW106" s="303"/>
      <c r="EX106" s="303"/>
      <c r="EY106" s="150"/>
      <c r="EZ106" s="150"/>
      <c r="FA106" s="150"/>
      <c r="FB106" s="150"/>
      <c r="FC106" s="150"/>
      <c r="FD106" s="150"/>
      <c r="FE106" s="150"/>
      <c r="FF106" s="150"/>
      <c r="FG106" s="152"/>
      <c r="FH106" s="152"/>
      <c r="FI106" s="150"/>
      <c r="FJ106" s="150"/>
      <c r="FK106" s="150"/>
      <c r="FL106" s="150"/>
      <c r="FM106" s="150"/>
      <c r="FN106" s="150"/>
      <c r="FO106" s="150"/>
      <c r="FP106" s="150"/>
      <c r="FQ106" s="152"/>
      <c r="FR106" s="152"/>
      <c r="FS106" s="150"/>
      <c r="FT106" s="150"/>
      <c r="FU106" s="150"/>
      <c r="FV106" s="150"/>
      <c r="FW106" s="150"/>
      <c r="FX106" s="150"/>
      <c r="FY106" s="150"/>
      <c r="FZ106" s="150"/>
      <c r="GA106" s="152"/>
      <c r="GB106" s="152"/>
      <c r="GC106" s="150"/>
      <c r="GD106" s="150"/>
      <c r="GE106" s="150"/>
      <c r="GF106" s="150"/>
      <c r="GG106" s="150"/>
      <c r="GH106" s="150"/>
      <c r="GI106" s="150"/>
      <c r="GJ106" s="150"/>
      <c r="GK106" s="152"/>
      <c r="GL106" s="152"/>
      <c r="GM106" s="150"/>
      <c r="GN106" s="150"/>
      <c r="GO106" s="150"/>
      <c r="GP106" s="150"/>
      <c r="GQ106" s="150"/>
      <c r="GR106" s="150"/>
      <c r="GS106" s="150"/>
      <c r="GT106" s="150"/>
      <c r="GU106" s="152"/>
      <c r="GV106" s="152"/>
      <c r="GW106" s="150"/>
      <c r="GX106" s="150"/>
      <c r="GY106" s="150"/>
      <c r="GZ106" s="150"/>
      <c r="HA106" s="150"/>
      <c r="HB106" s="150"/>
      <c r="HC106" s="150"/>
      <c r="HD106" s="150"/>
      <c r="HE106" s="152"/>
      <c r="HF106" s="152"/>
      <c r="HG106" s="150"/>
      <c r="HH106" s="150"/>
      <c r="HI106" s="150"/>
      <c r="HJ106" s="150"/>
      <c r="HK106" s="150"/>
      <c r="HL106" s="150"/>
      <c r="HM106" s="150"/>
      <c r="HN106" s="150"/>
      <c r="HO106" s="152"/>
      <c r="HP106" s="152"/>
      <c r="HQ106" s="150"/>
      <c r="HR106" s="150"/>
      <c r="HS106" s="150"/>
      <c r="HT106" s="150"/>
      <c r="HU106" s="150"/>
      <c r="HV106" s="150"/>
      <c r="HW106" s="150"/>
      <c r="HX106" s="150"/>
      <c r="HY106" s="152"/>
      <c r="HZ106" s="152"/>
      <c r="IA106" s="150"/>
      <c r="IB106" s="150"/>
      <c r="IC106" s="150"/>
      <c r="ID106" s="150"/>
      <c r="IE106" s="150"/>
      <c r="IF106" s="150"/>
      <c r="IG106" s="150"/>
      <c r="IH106" s="150"/>
      <c r="II106" s="152"/>
      <c r="IJ106" s="152"/>
      <c r="IK106" s="150"/>
      <c r="IL106" s="150"/>
      <c r="IM106" s="150"/>
      <c r="IN106" s="150"/>
      <c r="IO106" s="150"/>
      <c r="IP106" s="150"/>
      <c r="IQ106" s="150"/>
      <c r="IR106" s="150"/>
      <c r="IS106" s="152"/>
      <c r="IT106" s="152"/>
      <c r="IU106" s="150"/>
      <c r="IV106" s="150"/>
      <c r="IW106" s="150"/>
      <c r="IX106" s="150"/>
      <c r="IY106" s="150"/>
      <c r="IZ106" s="150"/>
      <c r="JA106" s="150"/>
      <c r="JB106" s="150"/>
      <c r="JC106" s="152"/>
      <c r="JD106" s="152"/>
    </row>
    <row r="107" spans="1:264" s="119" customFormat="1" ht="15" customHeight="1">
      <c r="A107" s="118" t="s">
        <v>1007</v>
      </c>
      <c r="B107" s="616">
        <v>183</v>
      </c>
      <c r="C107" s="616"/>
      <c r="D107" s="616">
        <v>68</v>
      </c>
      <c r="E107" s="605" t="s">
        <v>2100</v>
      </c>
      <c r="F107" s="140" t="s">
        <v>2355</v>
      </c>
      <c r="G107" s="141">
        <v>1996</v>
      </c>
      <c r="H107" s="118">
        <v>8731522</v>
      </c>
      <c r="I107" s="118">
        <v>1</v>
      </c>
      <c r="J107" s="118">
        <v>1</v>
      </c>
      <c r="K107" s="118"/>
      <c r="L107" s="118">
        <v>1</v>
      </c>
      <c r="M107" s="118"/>
      <c r="N107" s="118">
        <v>1</v>
      </c>
      <c r="O107" s="142">
        <v>2</v>
      </c>
      <c r="P107" s="118"/>
      <c r="Q107" s="118"/>
      <c r="R107" s="118" t="s">
        <v>1234</v>
      </c>
      <c r="S107" s="118"/>
      <c r="T107" s="118" t="s">
        <v>1446</v>
      </c>
      <c r="U107" s="118" t="s">
        <v>803</v>
      </c>
      <c r="V107" s="118"/>
      <c r="W107" s="118" t="s">
        <v>1447</v>
      </c>
      <c r="X107" s="118"/>
      <c r="Y107" s="118"/>
      <c r="Z107" s="118"/>
      <c r="AA107" s="118"/>
      <c r="AB107" s="118" t="s">
        <v>1448</v>
      </c>
      <c r="AC107" s="145" t="s">
        <v>6256</v>
      </c>
      <c r="AD107" s="653">
        <v>1</v>
      </c>
      <c r="AE107" s="653">
        <v>1</v>
      </c>
      <c r="AF107" s="159">
        <v>1</v>
      </c>
      <c r="AG107" s="160" t="s">
        <v>6963</v>
      </c>
      <c r="AH107" s="122">
        <v>4</v>
      </c>
      <c r="AI107" s="485" t="s">
        <v>6979</v>
      </c>
      <c r="AJ107" s="677" t="s">
        <v>6964</v>
      </c>
      <c r="AK107" s="192" t="s">
        <v>4089</v>
      </c>
      <c r="AL107" s="205">
        <v>0</v>
      </c>
      <c r="AM107" s="500">
        <v>12</v>
      </c>
      <c r="AN107" s="122">
        <v>6</v>
      </c>
      <c r="AO107" s="122">
        <v>6</v>
      </c>
      <c r="AP107" s="122" t="s">
        <v>803</v>
      </c>
      <c r="AQ107" s="122" t="s">
        <v>803</v>
      </c>
      <c r="AR107" s="122" t="s">
        <v>6959</v>
      </c>
      <c r="AS107" s="122" t="s">
        <v>2882</v>
      </c>
      <c r="AT107" s="122" t="s">
        <v>6959</v>
      </c>
      <c r="AU107" s="122" t="s">
        <v>2882</v>
      </c>
      <c r="AV107" s="122" t="s">
        <v>6978</v>
      </c>
      <c r="AW107" s="122">
        <v>1</v>
      </c>
      <c r="AX107" s="122">
        <v>1</v>
      </c>
      <c r="AY107" s="122" t="s">
        <v>6960</v>
      </c>
      <c r="AZ107" s="122" t="s">
        <v>2912</v>
      </c>
      <c r="BA107" s="122" t="s">
        <v>6653</v>
      </c>
      <c r="BB107" s="588"/>
      <c r="BC107" s="588"/>
      <c r="BD107" s="161">
        <v>1</v>
      </c>
      <c r="BE107" s="161" t="s">
        <v>6205</v>
      </c>
      <c r="BF107" s="161"/>
      <c r="BG107" s="161"/>
      <c r="BH107" s="161"/>
      <c r="BI107" s="161"/>
      <c r="BJ107" s="161"/>
      <c r="BK107" s="161"/>
      <c r="BL107" s="161"/>
      <c r="BM107" s="161"/>
      <c r="BN107" s="161"/>
      <c r="BO107" s="161"/>
      <c r="BP107" s="161"/>
      <c r="BQ107" s="596" t="s">
        <v>2493</v>
      </c>
      <c r="BR107" s="162" t="s">
        <v>6595</v>
      </c>
      <c r="BS107" s="659">
        <v>2</v>
      </c>
      <c r="BT107" s="150" t="s">
        <v>1876</v>
      </c>
      <c r="BU107" s="150">
        <v>2</v>
      </c>
      <c r="BV107" s="150" t="s">
        <v>6962</v>
      </c>
      <c r="BW107" s="150" t="s">
        <v>6961</v>
      </c>
      <c r="BX107" s="150" t="s">
        <v>6965</v>
      </c>
      <c r="BY107" s="150" t="s">
        <v>6639</v>
      </c>
      <c r="BZ107" s="258" t="s">
        <v>6981</v>
      </c>
      <c r="CA107" s="257" t="s">
        <v>6627</v>
      </c>
      <c r="CB107" s="228" t="s">
        <v>6966</v>
      </c>
      <c r="CC107" s="150">
        <v>19.045200000000001</v>
      </c>
      <c r="CD107" s="150" t="s">
        <v>24</v>
      </c>
      <c r="CE107" s="150" t="s">
        <v>24</v>
      </c>
      <c r="CF107" s="228" t="s">
        <v>6967</v>
      </c>
      <c r="CG107" s="150">
        <v>15.3697</v>
      </c>
      <c r="CH107" s="150" t="s">
        <v>24</v>
      </c>
      <c r="CI107" s="150" t="s">
        <v>24</v>
      </c>
      <c r="CJ107" s="290" t="s">
        <v>24</v>
      </c>
      <c r="CK107" s="291" t="s">
        <v>24</v>
      </c>
      <c r="CL107" s="228" t="s">
        <v>6968</v>
      </c>
      <c r="CM107" s="150">
        <v>12.3447</v>
      </c>
      <c r="CN107" s="150" t="s">
        <v>24</v>
      </c>
      <c r="CO107" s="150" t="s">
        <v>24</v>
      </c>
      <c r="CP107" s="228" t="s">
        <v>6969</v>
      </c>
      <c r="CQ107" s="150">
        <v>5.8039399999999999</v>
      </c>
      <c r="CR107" s="150" t="s">
        <v>24</v>
      </c>
      <c r="CS107" s="150" t="s">
        <v>24</v>
      </c>
      <c r="CT107" s="290" t="s">
        <v>24</v>
      </c>
      <c r="CU107" s="291" t="s">
        <v>24</v>
      </c>
      <c r="CV107" s="278" t="s">
        <v>24</v>
      </c>
      <c r="CW107" s="285" t="s">
        <v>24</v>
      </c>
      <c r="CX107" s="228" t="s">
        <v>6970</v>
      </c>
      <c r="CY107" s="150">
        <v>184.90700000000001</v>
      </c>
      <c r="CZ107" s="150" t="s">
        <v>24</v>
      </c>
      <c r="DA107" s="150" t="s">
        <v>24</v>
      </c>
      <c r="DB107" s="228" t="s">
        <v>6971</v>
      </c>
      <c r="DC107" s="150">
        <v>132.99799999999999</v>
      </c>
      <c r="DD107" s="150" t="s">
        <v>24</v>
      </c>
      <c r="DE107" s="150" t="s">
        <v>24</v>
      </c>
      <c r="DF107" s="290" t="s">
        <v>24</v>
      </c>
      <c r="DG107" s="291" t="s">
        <v>24</v>
      </c>
      <c r="DH107" s="228" t="s">
        <v>6972</v>
      </c>
      <c r="DI107" s="150">
        <v>194.959</v>
      </c>
      <c r="DJ107" s="150" t="s">
        <v>24</v>
      </c>
      <c r="DK107" s="150" t="s">
        <v>24</v>
      </c>
      <c r="DL107" s="228" t="s">
        <v>6973</v>
      </c>
      <c r="DM107" s="150">
        <v>128.75</v>
      </c>
      <c r="DN107" s="150" t="s">
        <v>24</v>
      </c>
      <c r="DO107" s="150" t="s">
        <v>24</v>
      </c>
      <c r="DP107" s="290" t="s">
        <v>24</v>
      </c>
      <c r="DQ107" s="291" t="s">
        <v>24</v>
      </c>
      <c r="DR107" s="278" t="s">
        <v>6980</v>
      </c>
      <c r="DS107" s="279" t="s">
        <v>24</v>
      </c>
      <c r="DT107" s="345" t="s">
        <v>6974</v>
      </c>
      <c r="DU107" s="345">
        <v>186.62200000000001</v>
      </c>
      <c r="DV107" s="345" t="s">
        <v>24</v>
      </c>
      <c r="DW107" s="345" t="s">
        <v>24</v>
      </c>
      <c r="DX107" s="345" t="s">
        <v>6975</v>
      </c>
      <c r="DY107" s="150">
        <v>122.455</v>
      </c>
      <c r="DZ107" s="150" t="s">
        <v>24</v>
      </c>
      <c r="EA107" s="150" t="s">
        <v>24</v>
      </c>
      <c r="EB107" s="290" t="s">
        <v>24</v>
      </c>
      <c r="EC107" s="291" t="s">
        <v>24</v>
      </c>
      <c r="ED107" s="151" t="s">
        <v>24</v>
      </c>
      <c r="EE107" s="150" t="s">
        <v>24</v>
      </c>
      <c r="EF107" s="151" t="s">
        <v>24</v>
      </c>
      <c r="EG107" s="150" t="s">
        <v>24</v>
      </c>
      <c r="EH107" s="151" t="s">
        <v>24</v>
      </c>
      <c r="EI107" s="150" t="s">
        <v>24</v>
      </c>
      <c r="EJ107" s="151" t="s">
        <v>24</v>
      </c>
      <c r="EK107" s="150" t="s">
        <v>24</v>
      </c>
      <c r="EL107" s="303"/>
      <c r="EM107" s="303"/>
      <c r="EN107" s="279"/>
      <c r="EO107" s="150"/>
      <c r="EP107" s="150"/>
      <c r="EQ107" s="150"/>
      <c r="ER107" s="150"/>
      <c r="ES107" s="150"/>
      <c r="ET107" s="150"/>
      <c r="EU107" s="150"/>
      <c r="EV107" s="150"/>
      <c r="EW107" s="303"/>
      <c r="EX107" s="303"/>
      <c r="EY107" s="150"/>
      <c r="EZ107" s="150"/>
      <c r="FA107" s="150"/>
      <c r="FB107" s="150"/>
      <c r="FC107" s="150"/>
      <c r="FD107" s="150"/>
      <c r="FE107" s="150"/>
      <c r="FF107" s="150"/>
      <c r="FG107" s="152"/>
      <c r="FH107" s="152"/>
      <c r="FI107" s="150"/>
      <c r="FJ107" s="150"/>
      <c r="FK107" s="150"/>
      <c r="FL107" s="150"/>
      <c r="FM107" s="150"/>
      <c r="FN107" s="150"/>
      <c r="FO107" s="150"/>
      <c r="FP107" s="150"/>
      <c r="FQ107" s="152"/>
      <c r="FR107" s="152"/>
      <c r="FS107" s="150"/>
      <c r="FT107" s="150"/>
      <c r="FU107" s="150"/>
      <c r="FV107" s="150"/>
      <c r="FW107" s="150"/>
      <c r="FX107" s="150"/>
      <c r="FY107" s="150"/>
      <c r="FZ107" s="150"/>
      <c r="GA107" s="152"/>
      <c r="GB107" s="152"/>
      <c r="GC107" s="150"/>
      <c r="GD107" s="150"/>
      <c r="GE107" s="150"/>
      <c r="GF107" s="150"/>
      <c r="GG107" s="150"/>
      <c r="GH107" s="150"/>
      <c r="GI107" s="150"/>
      <c r="GJ107" s="150"/>
      <c r="GK107" s="152"/>
      <c r="GL107" s="152"/>
      <c r="GM107" s="150"/>
      <c r="GN107" s="150"/>
      <c r="GO107" s="150"/>
      <c r="GP107" s="150"/>
      <c r="GQ107" s="150"/>
      <c r="GR107" s="150"/>
      <c r="GS107" s="150"/>
      <c r="GT107" s="150"/>
      <c r="GU107" s="152"/>
      <c r="GV107" s="152"/>
      <c r="GW107" s="150"/>
      <c r="GX107" s="150"/>
      <c r="GY107" s="150"/>
      <c r="GZ107" s="150"/>
      <c r="HA107" s="150"/>
      <c r="HB107" s="150"/>
      <c r="HC107" s="150"/>
      <c r="HD107" s="150"/>
      <c r="HE107" s="152"/>
      <c r="HF107" s="152"/>
      <c r="HG107" s="150"/>
      <c r="HH107" s="150"/>
      <c r="HI107" s="150"/>
      <c r="HJ107" s="150"/>
      <c r="HK107" s="150"/>
      <c r="HL107" s="150"/>
      <c r="HM107" s="150"/>
      <c r="HN107" s="150"/>
      <c r="HO107" s="152"/>
      <c r="HP107" s="152"/>
      <c r="HQ107" s="150"/>
      <c r="HR107" s="150"/>
      <c r="HS107" s="150"/>
      <c r="HT107" s="150"/>
      <c r="HU107" s="150"/>
      <c r="HV107" s="150"/>
      <c r="HW107" s="150"/>
      <c r="HX107" s="150"/>
      <c r="HY107" s="152"/>
      <c r="HZ107" s="152"/>
      <c r="IA107" s="150"/>
      <c r="IB107" s="150"/>
      <c r="IC107" s="150"/>
      <c r="ID107" s="150"/>
      <c r="IE107" s="150"/>
      <c r="IF107" s="150"/>
      <c r="IG107" s="150"/>
      <c r="IH107" s="150"/>
      <c r="II107" s="152"/>
      <c r="IJ107" s="152"/>
      <c r="IK107" s="150"/>
      <c r="IL107" s="150"/>
      <c r="IM107" s="150"/>
      <c r="IN107" s="150"/>
      <c r="IO107" s="150"/>
      <c r="IP107" s="150"/>
      <c r="IQ107" s="150"/>
      <c r="IR107" s="150"/>
      <c r="IS107" s="152"/>
      <c r="IT107" s="152"/>
      <c r="IU107" s="150"/>
      <c r="IV107" s="150"/>
      <c r="IW107" s="150"/>
      <c r="IX107" s="150"/>
      <c r="IY107" s="150"/>
      <c r="IZ107" s="150"/>
      <c r="JA107" s="150"/>
      <c r="JB107" s="150"/>
      <c r="JC107" s="152"/>
      <c r="JD107" s="152"/>
    </row>
    <row r="108" spans="1:264" s="119" customFormat="1" ht="15" customHeight="1">
      <c r="A108" s="118" t="s">
        <v>1007</v>
      </c>
      <c r="B108" s="616">
        <v>183</v>
      </c>
      <c r="C108" s="616"/>
      <c r="D108" s="616">
        <v>68</v>
      </c>
      <c r="E108" s="605" t="s">
        <v>2100</v>
      </c>
      <c r="F108" s="140" t="s">
        <v>2355</v>
      </c>
      <c r="G108" s="141">
        <v>1996</v>
      </c>
      <c r="H108" s="118">
        <v>8731522</v>
      </c>
      <c r="I108" s="118">
        <v>1</v>
      </c>
      <c r="J108" s="118">
        <v>1</v>
      </c>
      <c r="K108" s="118"/>
      <c r="L108" s="118">
        <v>1</v>
      </c>
      <c r="M108" s="118"/>
      <c r="N108" s="118">
        <v>1</v>
      </c>
      <c r="O108" s="142">
        <v>2</v>
      </c>
      <c r="P108" s="118"/>
      <c r="Q108" s="118"/>
      <c r="R108" s="118" t="s">
        <v>1234</v>
      </c>
      <c r="S108" s="118"/>
      <c r="T108" s="118" t="s">
        <v>1446</v>
      </c>
      <c r="U108" s="118" t="s">
        <v>803</v>
      </c>
      <c r="V108" s="118"/>
      <c r="W108" s="118" t="s">
        <v>1447</v>
      </c>
      <c r="X108" s="118"/>
      <c r="Y108" s="118"/>
      <c r="Z108" s="118"/>
      <c r="AA108" s="118"/>
      <c r="AB108" s="118" t="s">
        <v>1448</v>
      </c>
      <c r="AC108" s="145" t="s">
        <v>6256</v>
      </c>
      <c r="AD108" s="653">
        <v>1</v>
      </c>
      <c r="AE108" s="653">
        <v>1</v>
      </c>
      <c r="AF108" s="159">
        <v>1</v>
      </c>
      <c r="AG108" s="160" t="s">
        <v>6963</v>
      </c>
      <c r="AH108" s="122">
        <v>4</v>
      </c>
      <c r="AI108" s="485" t="s">
        <v>6979</v>
      </c>
      <c r="AJ108" s="677" t="s">
        <v>6964</v>
      </c>
      <c r="AK108" s="192" t="s">
        <v>4089</v>
      </c>
      <c r="AL108" s="205">
        <v>0</v>
      </c>
      <c r="AM108" s="500">
        <v>12</v>
      </c>
      <c r="AN108" s="122">
        <v>6</v>
      </c>
      <c r="AO108" s="122">
        <v>6</v>
      </c>
      <c r="AP108" s="122" t="s">
        <v>803</v>
      </c>
      <c r="AQ108" s="122" t="s">
        <v>803</v>
      </c>
      <c r="AR108" s="122" t="s">
        <v>6959</v>
      </c>
      <c r="AS108" s="122" t="s">
        <v>2882</v>
      </c>
      <c r="AT108" s="122" t="s">
        <v>6959</v>
      </c>
      <c r="AU108" s="122" t="s">
        <v>2882</v>
      </c>
      <c r="AV108" s="122" t="s">
        <v>6978</v>
      </c>
      <c r="AW108" s="122">
        <v>1</v>
      </c>
      <c r="AX108" s="122">
        <v>1</v>
      </c>
      <c r="AY108" s="122" t="s">
        <v>6960</v>
      </c>
      <c r="AZ108" s="122" t="s">
        <v>6976</v>
      </c>
      <c r="BA108" s="122" t="s">
        <v>6653</v>
      </c>
      <c r="BB108" s="588"/>
      <c r="BC108" s="588"/>
      <c r="BD108" s="161">
        <v>1</v>
      </c>
      <c r="BE108" s="161" t="s">
        <v>6205</v>
      </c>
      <c r="BF108" s="161"/>
      <c r="BG108" s="161"/>
      <c r="BH108" s="161"/>
      <c r="BI108" s="161"/>
      <c r="BJ108" s="161"/>
      <c r="BK108" s="161"/>
      <c r="BL108" s="161"/>
      <c r="BM108" s="161"/>
      <c r="BN108" s="161"/>
      <c r="BO108" s="161"/>
      <c r="BP108" s="161"/>
      <c r="BQ108" s="596" t="s">
        <v>2493</v>
      </c>
      <c r="BR108" s="162" t="s">
        <v>6595</v>
      </c>
      <c r="BS108" s="659">
        <v>2</v>
      </c>
      <c r="BT108" s="150" t="s">
        <v>1876</v>
      </c>
      <c r="BU108" s="150">
        <v>2</v>
      </c>
      <c r="BV108" s="150" t="s">
        <v>6962</v>
      </c>
      <c r="BW108" s="150" t="s">
        <v>6961</v>
      </c>
      <c r="BX108" s="150" t="s">
        <v>6965</v>
      </c>
      <c r="BY108" s="150" t="s">
        <v>6639</v>
      </c>
      <c r="BZ108" s="258" t="s">
        <v>6981</v>
      </c>
      <c r="CA108" s="257" t="s">
        <v>6627</v>
      </c>
      <c r="CB108" s="228" t="s">
        <v>6966</v>
      </c>
      <c r="CC108" s="150">
        <v>9.7140000000000004</v>
      </c>
      <c r="CD108" s="150" t="s">
        <v>24</v>
      </c>
      <c r="CE108" s="150" t="s">
        <v>24</v>
      </c>
      <c r="CF108" s="228" t="s">
        <v>6967</v>
      </c>
      <c r="CG108" s="150">
        <v>12.572100000000001</v>
      </c>
      <c r="CH108" s="150" t="s">
        <v>24</v>
      </c>
      <c r="CI108" s="150" t="s">
        <v>24</v>
      </c>
      <c r="CJ108" s="290" t="s">
        <v>24</v>
      </c>
      <c r="CK108" s="291" t="s">
        <v>24</v>
      </c>
      <c r="CL108" s="228" t="s">
        <v>6968</v>
      </c>
      <c r="CM108" s="150">
        <v>16.498000000000001</v>
      </c>
      <c r="CN108" s="150" t="s">
        <v>24</v>
      </c>
      <c r="CO108" s="150" t="s">
        <v>24</v>
      </c>
      <c r="CP108" s="228" t="s">
        <v>6969</v>
      </c>
      <c r="CQ108" s="150">
        <v>9.1397999999999993</v>
      </c>
      <c r="CR108" s="150" t="s">
        <v>24</v>
      </c>
      <c r="CS108" s="150" t="s">
        <v>24</v>
      </c>
      <c r="CT108" s="290" t="s">
        <v>24</v>
      </c>
      <c r="CU108" s="291" t="s">
        <v>24</v>
      </c>
      <c r="CV108" s="278" t="s">
        <v>24</v>
      </c>
      <c r="CW108" s="285" t="s">
        <v>24</v>
      </c>
      <c r="CX108" s="228" t="s">
        <v>6970</v>
      </c>
      <c r="CY108" s="150">
        <v>287.54599999999999</v>
      </c>
      <c r="CZ108" s="150" t="s">
        <v>24</v>
      </c>
      <c r="DA108" s="150" t="s">
        <v>24</v>
      </c>
      <c r="DB108" s="228" t="s">
        <v>6971</v>
      </c>
      <c r="DC108" s="150">
        <v>142.86199999999999</v>
      </c>
      <c r="DD108" s="150" t="s">
        <v>24</v>
      </c>
      <c r="DE108" s="150" t="s">
        <v>24</v>
      </c>
      <c r="DF108" s="290" t="s">
        <v>24</v>
      </c>
      <c r="DG108" s="291" t="s">
        <v>24</v>
      </c>
      <c r="DH108" s="228" t="s">
        <v>6972</v>
      </c>
      <c r="DI108" s="150">
        <v>299.642</v>
      </c>
      <c r="DJ108" s="150" t="s">
        <v>24</v>
      </c>
      <c r="DK108" s="150" t="s">
        <v>24</v>
      </c>
      <c r="DL108" s="228" t="s">
        <v>6973</v>
      </c>
      <c r="DM108" s="150">
        <v>165.99700000000001</v>
      </c>
      <c r="DN108" s="150" t="s">
        <v>24</v>
      </c>
      <c r="DO108" s="150" t="s">
        <v>24</v>
      </c>
      <c r="DP108" s="290" t="s">
        <v>24</v>
      </c>
      <c r="DQ108" s="291" t="s">
        <v>24</v>
      </c>
      <c r="DR108" s="278" t="s">
        <v>6980</v>
      </c>
      <c r="DS108" s="279" t="s">
        <v>24</v>
      </c>
      <c r="DT108" s="345" t="s">
        <v>6974</v>
      </c>
      <c r="DU108" s="345">
        <v>270.86799999999999</v>
      </c>
      <c r="DV108" s="345" t="s">
        <v>24</v>
      </c>
      <c r="DW108" s="345" t="s">
        <v>24</v>
      </c>
      <c r="DX108" s="345" t="s">
        <v>6975</v>
      </c>
      <c r="DY108" s="150">
        <v>160.11099999999999</v>
      </c>
      <c r="DZ108" s="150" t="s">
        <v>24</v>
      </c>
      <c r="EA108" s="150" t="s">
        <v>24</v>
      </c>
      <c r="EB108" s="290" t="s">
        <v>24</v>
      </c>
      <c r="EC108" s="291" t="s">
        <v>24</v>
      </c>
      <c r="ED108" s="151" t="s">
        <v>24</v>
      </c>
      <c r="EE108" s="150" t="s">
        <v>24</v>
      </c>
      <c r="EF108" s="151" t="s">
        <v>24</v>
      </c>
      <c r="EG108" s="150" t="s">
        <v>24</v>
      </c>
      <c r="EH108" s="151" t="s">
        <v>24</v>
      </c>
      <c r="EI108" s="150" t="s">
        <v>24</v>
      </c>
      <c r="EJ108" s="151" t="s">
        <v>24</v>
      </c>
      <c r="EK108" s="150" t="s">
        <v>24</v>
      </c>
      <c r="EL108" s="303"/>
      <c r="EM108" s="303"/>
      <c r="EN108" s="279"/>
      <c r="EO108" s="150"/>
      <c r="EP108" s="150"/>
      <c r="EQ108" s="150"/>
      <c r="ER108" s="150"/>
      <c r="ES108" s="150"/>
      <c r="ET108" s="150"/>
      <c r="EU108" s="150"/>
      <c r="EV108" s="150"/>
      <c r="EW108" s="303"/>
      <c r="EX108" s="303"/>
      <c r="EY108" s="150"/>
      <c r="EZ108" s="150"/>
      <c r="FA108" s="150"/>
      <c r="FB108" s="150"/>
      <c r="FC108" s="150"/>
      <c r="FD108" s="150"/>
      <c r="FE108" s="150"/>
      <c r="FF108" s="150"/>
      <c r="FG108" s="152"/>
      <c r="FH108" s="152"/>
      <c r="FI108" s="150"/>
      <c r="FJ108" s="150"/>
      <c r="FK108" s="150"/>
      <c r="FL108" s="150"/>
      <c r="FM108" s="150"/>
      <c r="FN108" s="150"/>
      <c r="FO108" s="150"/>
      <c r="FP108" s="150"/>
      <c r="FQ108" s="152"/>
      <c r="FR108" s="152"/>
      <c r="FS108" s="150"/>
      <c r="FT108" s="150"/>
      <c r="FU108" s="150"/>
      <c r="FV108" s="150"/>
      <c r="FW108" s="150"/>
      <c r="FX108" s="150"/>
      <c r="FY108" s="150"/>
      <c r="FZ108" s="150"/>
      <c r="GA108" s="152"/>
      <c r="GB108" s="152"/>
      <c r="GC108" s="150"/>
      <c r="GD108" s="150"/>
      <c r="GE108" s="150"/>
      <c r="GF108" s="150"/>
      <c r="GG108" s="150"/>
      <c r="GH108" s="150"/>
      <c r="GI108" s="150"/>
      <c r="GJ108" s="150"/>
      <c r="GK108" s="152"/>
      <c r="GL108" s="152"/>
      <c r="GM108" s="150"/>
      <c r="GN108" s="150"/>
      <c r="GO108" s="150"/>
      <c r="GP108" s="150"/>
      <c r="GQ108" s="150"/>
      <c r="GR108" s="150"/>
      <c r="GS108" s="150"/>
      <c r="GT108" s="150"/>
      <c r="GU108" s="152"/>
      <c r="GV108" s="152"/>
      <c r="GW108" s="150"/>
      <c r="GX108" s="150"/>
      <c r="GY108" s="150"/>
      <c r="GZ108" s="150"/>
      <c r="HA108" s="150"/>
      <c r="HB108" s="150"/>
      <c r="HC108" s="150"/>
      <c r="HD108" s="150"/>
      <c r="HE108" s="152"/>
      <c r="HF108" s="152"/>
      <c r="HG108" s="150"/>
      <c r="HH108" s="150"/>
      <c r="HI108" s="150"/>
      <c r="HJ108" s="150"/>
      <c r="HK108" s="150"/>
      <c r="HL108" s="150"/>
      <c r="HM108" s="150"/>
      <c r="HN108" s="150"/>
      <c r="HO108" s="152"/>
      <c r="HP108" s="152"/>
      <c r="HQ108" s="150"/>
      <c r="HR108" s="150"/>
      <c r="HS108" s="150"/>
      <c r="HT108" s="150"/>
      <c r="HU108" s="150"/>
      <c r="HV108" s="150"/>
      <c r="HW108" s="150"/>
      <c r="HX108" s="150"/>
      <c r="HY108" s="152"/>
      <c r="HZ108" s="152"/>
      <c r="IA108" s="150"/>
      <c r="IB108" s="150"/>
      <c r="IC108" s="150"/>
      <c r="ID108" s="150"/>
      <c r="IE108" s="150"/>
      <c r="IF108" s="150"/>
      <c r="IG108" s="150"/>
      <c r="IH108" s="150"/>
      <c r="II108" s="152"/>
      <c r="IJ108" s="152"/>
      <c r="IK108" s="150"/>
      <c r="IL108" s="150"/>
      <c r="IM108" s="150"/>
      <c r="IN108" s="150"/>
      <c r="IO108" s="150"/>
      <c r="IP108" s="150"/>
      <c r="IQ108" s="150"/>
      <c r="IR108" s="150"/>
      <c r="IS108" s="152"/>
      <c r="IT108" s="152"/>
      <c r="IU108" s="150"/>
      <c r="IV108" s="150"/>
      <c r="IW108" s="150"/>
      <c r="IX108" s="150"/>
      <c r="IY108" s="150"/>
      <c r="IZ108" s="150"/>
      <c r="JA108" s="150"/>
      <c r="JB108" s="150"/>
      <c r="JC108" s="152"/>
      <c r="JD108" s="152"/>
    </row>
    <row r="109" spans="1:264" s="119" customFormat="1" ht="15" customHeight="1">
      <c r="A109" s="79" t="s">
        <v>989</v>
      </c>
      <c r="B109" s="362">
        <v>193</v>
      </c>
      <c r="C109" s="362"/>
      <c r="D109" s="362">
        <v>73</v>
      </c>
      <c r="E109" s="604" t="s">
        <v>2110</v>
      </c>
      <c r="F109" s="124" t="s">
        <v>2369</v>
      </c>
      <c r="G109" s="125">
        <v>2015</v>
      </c>
      <c r="H109" s="79">
        <v>25575638</v>
      </c>
      <c r="I109" s="175">
        <v>1</v>
      </c>
      <c r="J109" s="126" t="s">
        <v>1823</v>
      </c>
      <c r="K109" s="127"/>
      <c r="L109" s="79">
        <v>0</v>
      </c>
      <c r="M109" s="79"/>
      <c r="N109" s="153">
        <v>0</v>
      </c>
      <c r="O109" s="128">
        <v>2</v>
      </c>
      <c r="P109" s="79" t="s">
        <v>24</v>
      </c>
      <c r="Q109" s="79"/>
      <c r="R109" s="79" t="s">
        <v>1523</v>
      </c>
      <c r="S109" s="79"/>
      <c r="T109" s="79" t="s">
        <v>1488</v>
      </c>
      <c r="U109" s="79" t="s">
        <v>803</v>
      </c>
      <c r="V109" s="79" t="s">
        <v>23</v>
      </c>
      <c r="W109" s="79" t="s">
        <v>1524</v>
      </c>
      <c r="X109" s="79"/>
      <c r="Y109" s="79"/>
      <c r="Z109" s="79"/>
      <c r="AA109" s="79"/>
      <c r="AB109" s="79" t="s">
        <v>1279</v>
      </c>
      <c r="AC109" s="506" t="s">
        <v>6982</v>
      </c>
      <c r="AD109" s="573">
        <v>1</v>
      </c>
      <c r="AE109" s="573">
        <v>1</v>
      </c>
      <c r="AF109" s="233" t="s">
        <v>3003</v>
      </c>
      <c r="AG109" s="234" t="s">
        <v>6984</v>
      </c>
      <c r="AH109" s="135">
        <v>4</v>
      </c>
      <c r="AI109" s="135"/>
      <c r="AJ109" s="235" t="s">
        <v>6983</v>
      </c>
      <c r="AK109" s="236"/>
      <c r="AL109" s="237"/>
      <c r="AM109" s="246"/>
      <c r="AN109" s="135"/>
      <c r="AO109" s="135"/>
      <c r="AP109" s="135"/>
      <c r="AQ109" s="135"/>
      <c r="AR109" s="135"/>
      <c r="AS109" s="135"/>
      <c r="AT109" s="135"/>
      <c r="AU109" s="135"/>
      <c r="AV109" s="135"/>
      <c r="AW109" s="135"/>
      <c r="AX109" s="135"/>
      <c r="AY109" s="135"/>
      <c r="AZ109" s="135"/>
      <c r="BA109" s="135"/>
      <c r="BB109" s="691" t="s">
        <v>1917</v>
      </c>
      <c r="BC109" s="594"/>
      <c r="BD109" s="156" t="s">
        <v>5207</v>
      </c>
      <c r="BE109" s="156"/>
      <c r="BF109" s="156"/>
      <c r="BG109" s="156"/>
      <c r="BH109" s="156"/>
      <c r="BI109" s="156"/>
      <c r="BJ109" s="156">
        <v>1</v>
      </c>
      <c r="BK109" s="156"/>
      <c r="BL109" s="156"/>
      <c r="BM109" s="156"/>
      <c r="BN109" s="156"/>
      <c r="BO109" s="156"/>
      <c r="BP109" s="156"/>
      <c r="BQ109" s="595"/>
      <c r="BR109" s="157"/>
      <c r="BS109" s="660"/>
      <c r="BT109" s="190"/>
      <c r="BU109" s="168"/>
      <c r="BV109" s="168"/>
      <c r="BW109" s="134"/>
      <c r="BX109" s="134"/>
      <c r="BY109" s="134"/>
      <c r="BZ109" s="259"/>
      <c r="CA109" s="454"/>
      <c r="CB109" s="168"/>
      <c r="CC109" s="134"/>
      <c r="CD109" s="134"/>
      <c r="CE109" s="134"/>
      <c r="CF109" s="138"/>
      <c r="CG109" s="134"/>
      <c r="CH109" s="134"/>
      <c r="CI109" s="134"/>
      <c r="CJ109" s="288"/>
      <c r="CK109" s="289"/>
      <c r="CL109" s="138"/>
      <c r="CM109" s="134"/>
      <c r="CN109" s="134"/>
      <c r="CO109" s="134"/>
      <c r="CP109" s="138"/>
      <c r="CQ109" s="134"/>
      <c r="CR109" s="134"/>
      <c r="CS109" s="134"/>
      <c r="CT109" s="288"/>
      <c r="CU109" s="289"/>
      <c r="CV109" s="276"/>
      <c r="CW109" s="308"/>
      <c r="CX109" s="138"/>
      <c r="CY109" s="134"/>
      <c r="CZ109" s="134"/>
      <c r="DA109" s="134"/>
      <c r="DB109" s="134"/>
      <c r="DC109" s="134"/>
      <c r="DD109" s="134"/>
      <c r="DE109" s="134"/>
      <c r="DF109" s="434"/>
      <c r="DG109" s="436"/>
      <c r="DH109" s="134"/>
      <c r="DI109" s="134"/>
      <c r="DJ109" s="134"/>
      <c r="DK109" s="134"/>
      <c r="DL109" s="134"/>
      <c r="DM109" s="134"/>
      <c r="DN109" s="134"/>
      <c r="DO109" s="134"/>
      <c r="DP109" s="434"/>
      <c r="DQ109" s="436"/>
      <c r="DR109" s="276"/>
      <c r="DS109" s="277"/>
      <c r="DT109" s="134"/>
      <c r="DU109" s="134"/>
      <c r="DV109" s="134"/>
      <c r="DW109" s="134"/>
      <c r="DX109" s="138"/>
      <c r="DY109" s="134"/>
      <c r="DZ109" s="134"/>
      <c r="EA109" s="134"/>
      <c r="EB109" s="301"/>
      <c r="EC109" s="301"/>
      <c r="ED109" s="138"/>
      <c r="EE109" s="134"/>
      <c r="EF109" s="134"/>
      <c r="EG109" s="134"/>
      <c r="EH109" s="138"/>
      <c r="EI109" s="134"/>
      <c r="EJ109" s="134"/>
      <c r="EK109" s="134"/>
      <c r="EL109" s="301"/>
      <c r="EM109" s="301"/>
      <c r="EN109" s="277"/>
      <c r="EO109" s="134"/>
      <c r="EP109" s="134"/>
      <c r="EQ109" s="134"/>
      <c r="ER109" s="134"/>
      <c r="ES109" s="134"/>
      <c r="ET109" s="134"/>
      <c r="EU109" s="134"/>
      <c r="EV109" s="134"/>
      <c r="EW109" s="301"/>
      <c r="EX109" s="301"/>
      <c r="EY109" s="134"/>
      <c r="EZ109" s="134"/>
      <c r="FA109" s="134"/>
      <c r="FB109" s="134"/>
      <c r="FC109" s="134"/>
      <c r="FD109" s="134"/>
      <c r="FE109" s="134"/>
      <c r="FF109" s="134"/>
      <c r="FG109" s="135"/>
      <c r="FH109" s="135"/>
      <c r="FI109" s="134"/>
      <c r="FJ109" s="134"/>
      <c r="FK109" s="134"/>
      <c r="FL109" s="134"/>
      <c r="FM109" s="134"/>
      <c r="FN109" s="134"/>
      <c r="FO109" s="134"/>
      <c r="FP109" s="134"/>
      <c r="FQ109" s="135"/>
      <c r="FR109" s="135"/>
      <c r="FS109" s="134"/>
      <c r="FT109" s="134"/>
      <c r="FU109" s="134"/>
      <c r="FV109" s="134"/>
      <c r="FW109" s="134"/>
      <c r="FX109" s="134"/>
      <c r="FY109" s="134"/>
      <c r="FZ109" s="134"/>
      <c r="GA109" s="135"/>
      <c r="GB109" s="135"/>
      <c r="GC109" s="134"/>
      <c r="GD109" s="134"/>
      <c r="GE109" s="134"/>
      <c r="GF109" s="134"/>
      <c r="GG109" s="134"/>
      <c r="GH109" s="134"/>
      <c r="GI109" s="134"/>
      <c r="GJ109" s="134"/>
      <c r="GK109" s="135"/>
      <c r="GL109" s="135"/>
      <c r="GM109" s="134"/>
      <c r="GN109" s="134"/>
      <c r="GO109" s="134"/>
      <c r="GP109" s="134"/>
      <c r="GQ109" s="134"/>
      <c r="GR109" s="134"/>
      <c r="GS109" s="134"/>
      <c r="GT109" s="134"/>
      <c r="GU109" s="135"/>
      <c r="GV109" s="135"/>
      <c r="GW109" s="134"/>
      <c r="GX109" s="134"/>
      <c r="GY109" s="134"/>
      <c r="GZ109" s="134"/>
      <c r="HA109" s="134"/>
      <c r="HB109" s="134"/>
      <c r="HC109" s="134"/>
      <c r="HD109" s="134"/>
      <c r="HE109" s="135"/>
      <c r="HF109" s="135"/>
      <c r="HG109" s="134"/>
      <c r="HH109" s="134"/>
      <c r="HI109" s="134"/>
      <c r="HJ109" s="134"/>
      <c r="HK109" s="134"/>
      <c r="HL109" s="134"/>
      <c r="HM109" s="134"/>
      <c r="HN109" s="134"/>
      <c r="HO109" s="135"/>
      <c r="HP109" s="135"/>
      <c r="HQ109" s="134"/>
      <c r="HR109" s="134"/>
      <c r="HS109" s="134"/>
      <c r="HT109" s="134"/>
      <c r="HU109" s="134"/>
      <c r="HV109" s="134"/>
      <c r="HW109" s="134"/>
      <c r="HX109" s="134"/>
      <c r="HY109" s="135"/>
      <c r="HZ109" s="135"/>
      <c r="IA109" s="134"/>
      <c r="IB109" s="134"/>
      <c r="IC109" s="134"/>
      <c r="ID109" s="134"/>
      <c r="IE109" s="134"/>
      <c r="IF109" s="134"/>
      <c r="IG109" s="134"/>
      <c r="IH109" s="134"/>
      <c r="II109" s="135"/>
      <c r="IJ109" s="135"/>
      <c r="IK109" s="134"/>
      <c r="IL109" s="134"/>
      <c r="IM109" s="134"/>
      <c r="IN109" s="134"/>
      <c r="IO109" s="134"/>
      <c r="IP109" s="134"/>
      <c r="IQ109" s="134"/>
      <c r="IR109" s="134"/>
      <c r="IS109" s="135"/>
      <c r="IT109" s="135"/>
      <c r="IU109" s="134"/>
      <c r="IV109" s="134"/>
      <c r="IW109" s="134"/>
      <c r="IX109" s="134"/>
      <c r="IY109" s="134"/>
      <c r="IZ109" s="134"/>
      <c r="JA109" s="134"/>
      <c r="JB109" s="134"/>
      <c r="JC109" s="135"/>
      <c r="JD109" s="135"/>
    </row>
    <row r="110" spans="1:264" s="188" customFormat="1" ht="15" customHeight="1">
      <c r="A110" s="79" t="s">
        <v>982</v>
      </c>
      <c r="B110" s="362">
        <v>202</v>
      </c>
      <c r="C110" s="362"/>
      <c r="D110" s="362">
        <v>78</v>
      </c>
      <c r="E110" s="604" t="s">
        <v>2114</v>
      </c>
      <c r="F110" s="124" t="s">
        <v>2373</v>
      </c>
      <c r="G110" s="125">
        <v>2015</v>
      </c>
      <c r="H110" s="79">
        <v>26225843</v>
      </c>
      <c r="I110" s="79">
        <v>1</v>
      </c>
      <c r="J110" s="126">
        <v>1</v>
      </c>
      <c r="K110" s="127"/>
      <c r="L110" s="79">
        <v>1</v>
      </c>
      <c r="M110" s="79"/>
      <c r="N110" s="79">
        <v>1</v>
      </c>
      <c r="O110" s="128">
        <v>2</v>
      </c>
      <c r="P110" s="79" t="s">
        <v>1206</v>
      </c>
      <c r="Q110" s="79" t="s">
        <v>1552</v>
      </c>
      <c r="R110" s="79" t="s">
        <v>1127</v>
      </c>
      <c r="S110" s="79"/>
      <c r="T110" s="79" t="s">
        <v>1495</v>
      </c>
      <c r="U110" s="79" t="s">
        <v>803</v>
      </c>
      <c r="V110" s="79"/>
      <c r="W110" s="79" t="s">
        <v>1550</v>
      </c>
      <c r="X110" s="79" t="s">
        <v>1551</v>
      </c>
      <c r="Y110" s="79"/>
      <c r="Z110" s="79"/>
      <c r="AA110" s="79" t="s">
        <v>1549</v>
      </c>
      <c r="AB110" s="79" t="s">
        <v>1548</v>
      </c>
      <c r="AC110" s="506" t="s">
        <v>6277</v>
      </c>
      <c r="AD110" s="573">
        <v>1</v>
      </c>
      <c r="AE110" s="573">
        <v>1</v>
      </c>
      <c r="AF110" s="154">
        <v>1</v>
      </c>
      <c r="AG110" s="155" t="s">
        <v>7023</v>
      </c>
      <c r="AH110" s="121">
        <v>4</v>
      </c>
      <c r="AI110" s="484"/>
      <c r="AJ110" s="202" t="s">
        <v>7006</v>
      </c>
      <c r="AK110" s="192" t="s">
        <v>6991</v>
      </c>
      <c r="AL110" s="203">
        <v>1</v>
      </c>
      <c r="AM110" s="417" t="s">
        <v>6992</v>
      </c>
      <c r="AN110" s="121" t="s">
        <v>6993</v>
      </c>
      <c r="AO110" s="121">
        <v>6</v>
      </c>
      <c r="AP110" s="121" t="s">
        <v>6994</v>
      </c>
      <c r="AQ110" s="121" t="s">
        <v>6994</v>
      </c>
      <c r="AR110" s="121" t="s">
        <v>2687</v>
      </c>
      <c r="AS110" s="121" t="s">
        <v>24</v>
      </c>
      <c r="AT110" s="121" t="s">
        <v>2687</v>
      </c>
      <c r="AU110" s="121" t="s">
        <v>24</v>
      </c>
      <c r="AV110" s="121" t="s">
        <v>7005</v>
      </c>
      <c r="AW110" s="121">
        <v>1</v>
      </c>
      <c r="AX110" s="121">
        <v>1</v>
      </c>
      <c r="AY110" s="121" t="s">
        <v>6986</v>
      </c>
      <c r="AZ110" s="121" t="s">
        <v>2912</v>
      </c>
      <c r="BA110" s="121" t="s">
        <v>6653</v>
      </c>
      <c r="BB110" s="594"/>
      <c r="BC110" s="594"/>
      <c r="BD110" s="156">
        <v>1</v>
      </c>
      <c r="BE110" s="156"/>
      <c r="BF110" s="156"/>
      <c r="BG110" s="156"/>
      <c r="BH110" s="156"/>
      <c r="BI110" s="156"/>
      <c r="BJ110" s="156">
        <v>1</v>
      </c>
      <c r="BK110" s="156"/>
      <c r="BL110" s="156"/>
      <c r="BM110" s="156"/>
      <c r="BN110" s="156"/>
      <c r="BO110" s="156"/>
      <c r="BP110" s="156" t="s">
        <v>6276</v>
      </c>
      <c r="BQ110" s="595" t="s">
        <v>6995</v>
      </c>
      <c r="BR110" s="157" t="s">
        <v>6837</v>
      </c>
      <c r="BS110" s="660">
        <v>1</v>
      </c>
      <c r="BT110" s="134" t="s">
        <v>1876</v>
      </c>
      <c r="BU110" s="134" t="s">
        <v>6987</v>
      </c>
      <c r="BV110" s="134" t="s">
        <v>6988</v>
      </c>
      <c r="BW110" s="134" t="s">
        <v>6985</v>
      </c>
      <c r="BX110" s="134" t="s">
        <v>6989</v>
      </c>
      <c r="BY110" s="134" t="s">
        <v>6640</v>
      </c>
      <c r="BZ110" s="259" t="s">
        <v>7022</v>
      </c>
      <c r="CA110" s="454">
        <v>0</v>
      </c>
      <c r="CB110" s="138" t="s">
        <v>7007</v>
      </c>
      <c r="CC110" s="134">
        <v>50.6</v>
      </c>
      <c r="CD110" s="134" t="s">
        <v>24</v>
      </c>
      <c r="CE110" s="134">
        <v>2.4</v>
      </c>
      <c r="CF110" s="138" t="s">
        <v>7009</v>
      </c>
      <c r="CG110" s="134">
        <v>11</v>
      </c>
      <c r="CH110" s="134" t="s">
        <v>24</v>
      </c>
      <c r="CI110" s="134">
        <v>2.6</v>
      </c>
      <c r="CJ110" s="679" t="s">
        <v>6997</v>
      </c>
      <c r="CK110" s="289" t="s">
        <v>2555</v>
      </c>
      <c r="CL110" s="138" t="s">
        <v>7011</v>
      </c>
      <c r="CM110" s="134">
        <v>15.115399999999999</v>
      </c>
      <c r="CN110" s="134" t="s">
        <v>24</v>
      </c>
      <c r="CO110" s="134">
        <f>20.7237-Table668[[#This Row],[Data_Outcome3_M]]</f>
        <v>5.6083000000000016</v>
      </c>
      <c r="CP110" s="138" t="s">
        <v>7013</v>
      </c>
      <c r="CQ110" s="134">
        <v>18.130400000000002</v>
      </c>
      <c r="CR110" s="134" t="s">
        <v>24</v>
      </c>
      <c r="CS110" s="134">
        <f>24.4139-Table668[[#This Row],[Data_Outcome4_M]]</f>
        <v>6.2835000000000001</v>
      </c>
      <c r="CT110" s="288" t="s">
        <v>5379</v>
      </c>
      <c r="CU110" s="289" t="s">
        <v>3790</v>
      </c>
      <c r="CV110" s="276" t="s">
        <v>24</v>
      </c>
      <c r="CW110" s="308" t="s">
        <v>24</v>
      </c>
      <c r="CX110" s="267" t="s">
        <v>7015</v>
      </c>
      <c r="CY110" s="190">
        <v>12.911899999999999</v>
      </c>
      <c r="CZ110" s="168" t="s">
        <v>24</v>
      </c>
      <c r="DA110" s="190">
        <f>17.5064-Table668[[#This Row],[Data_Outcome5_M]]</f>
        <v>4.5945</v>
      </c>
      <c r="DB110" s="168" t="s">
        <v>24</v>
      </c>
      <c r="DC110" s="134" t="s">
        <v>24</v>
      </c>
      <c r="DD110" s="134" t="s">
        <v>24</v>
      </c>
      <c r="DE110" s="134" t="s">
        <v>24</v>
      </c>
      <c r="DF110" s="341" t="s">
        <v>7000</v>
      </c>
      <c r="DG110" s="410" t="s">
        <v>3790</v>
      </c>
      <c r="DH110" s="134" t="s">
        <v>24</v>
      </c>
      <c r="DI110" s="134" t="s">
        <v>24</v>
      </c>
      <c r="DJ110" s="134" t="s">
        <v>24</v>
      </c>
      <c r="DK110" s="134" t="s">
        <v>24</v>
      </c>
      <c r="DL110" s="134" t="s">
        <v>24</v>
      </c>
      <c r="DM110" s="134" t="s">
        <v>24</v>
      </c>
      <c r="DN110" s="134" t="s">
        <v>24</v>
      </c>
      <c r="DO110" s="134" t="s">
        <v>24</v>
      </c>
      <c r="DP110" s="300"/>
      <c r="DQ110" s="301"/>
      <c r="DR110" s="276"/>
      <c r="DS110" s="277"/>
      <c r="DT110" s="134" t="s">
        <v>24</v>
      </c>
      <c r="DU110" s="134" t="s">
        <v>24</v>
      </c>
      <c r="DV110" s="134" t="s">
        <v>24</v>
      </c>
      <c r="DW110" s="134" t="s">
        <v>24</v>
      </c>
      <c r="DX110" s="134" t="s">
        <v>24</v>
      </c>
      <c r="DY110" s="134" t="s">
        <v>24</v>
      </c>
      <c r="DZ110" s="134" t="s">
        <v>24</v>
      </c>
      <c r="EA110" s="134" t="s">
        <v>24</v>
      </c>
      <c r="EB110" s="301"/>
      <c r="EC110" s="301"/>
      <c r="ED110" s="134" t="s">
        <v>24</v>
      </c>
      <c r="EE110" s="134" t="s">
        <v>24</v>
      </c>
      <c r="EF110" s="134" t="s">
        <v>24</v>
      </c>
      <c r="EG110" s="134" t="s">
        <v>24</v>
      </c>
      <c r="EH110" s="134" t="s">
        <v>24</v>
      </c>
      <c r="EI110" s="134" t="s">
        <v>24</v>
      </c>
      <c r="EJ110" s="134" t="s">
        <v>24</v>
      </c>
      <c r="EK110" s="134" t="s">
        <v>24</v>
      </c>
      <c r="EL110" s="301" t="s">
        <v>24</v>
      </c>
      <c r="EM110" s="301" t="s">
        <v>24</v>
      </c>
      <c r="EN110" s="277" t="s">
        <v>24</v>
      </c>
      <c r="EO110" s="134"/>
      <c r="EP110" s="134"/>
      <c r="EQ110" s="134"/>
      <c r="ER110" s="134"/>
      <c r="ES110" s="134"/>
      <c r="ET110" s="134"/>
      <c r="EU110" s="134"/>
      <c r="EV110" s="134"/>
      <c r="EW110" s="301"/>
      <c r="EX110" s="301"/>
      <c r="EY110" s="134"/>
      <c r="EZ110" s="134"/>
      <c r="FA110" s="134"/>
      <c r="FB110" s="134"/>
      <c r="FC110" s="134"/>
      <c r="FD110" s="134"/>
      <c r="FE110" s="134"/>
      <c r="FF110" s="134"/>
      <c r="FG110" s="135"/>
      <c r="FH110" s="135"/>
      <c r="FI110" s="134"/>
      <c r="FJ110" s="134"/>
      <c r="FK110" s="134"/>
      <c r="FL110" s="134"/>
      <c r="FM110" s="134"/>
      <c r="FN110" s="134"/>
      <c r="FO110" s="134"/>
      <c r="FP110" s="134"/>
      <c r="FQ110" s="135"/>
      <c r="FR110" s="135"/>
      <c r="FS110" s="134"/>
      <c r="FT110" s="134"/>
      <c r="FU110" s="134"/>
      <c r="FV110" s="134"/>
      <c r="FW110" s="134"/>
      <c r="FX110" s="134"/>
      <c r="FY110" s="134"/>
      <c r="FZ110" s="134"/>
      <c r="GA110" s="135"/>
      <c r="GB110" s="135"/>
      <c r="GC110" s="134"/>
      <c r="GD110" s="134"/>
      <c r="GE110" s="134"/>
      <c r="GF110" s="134"/>
      <c r="GG110" s="134"/>
      <c r="GH110" s="134"/>
      <c r="GI110" s="134"/>
      <c r="GJ110" s="134"/>
      <c r="GK110" s="135"/>
      <c r="GL110" s="135"/>
      <c r="GM110" s="134"/>
      <c r="GN110" s="134"/>
      <c r="GO110" s="134"/>
      <c r="GP110" s="134"/>
      <c r="GQ110" s="134"/>
      <c r="GR110" s="134"/>
      <c r="GS110" s="134"/>
      <c r="GT110" s="134"/>
      <c r="GU110" s="135"/>
      <c r="GV110" s="135"/>
      <c r="GW110" s="134"/>
      <c r="GX110" s="134"/>
      <c r="GY110" s="134"/>
      <c r="GZ110" s="134"/>
      <c r="HA110" s="134"/>
      <c r="HB110" s="134"/>
      <c r="HC110" s="134"/>
      <c r="HD110" s="134"/>
      <c r="HE110" s="135"/>
      <c r="HF110" s="135"/>
      <c r="HG110" s="134"/>
      <c r="HH110" s="134"/>
      <c r="HI110" s="134"/>
      <c r="HJ110" s="134"/>
      <c r="HK110" s="134"/>
      <c r="HL110" s="134"/>
      <c r="HM110" s="134"/>
      <c r="HN110" s="134"/>
      <c r="HO110" s="135"/>
      <c r="HP110" s="135"/>
      <c r="HQ110" s="134"/>
      <c r="HR110" s="134"/>
      <c r="HS110" s="134"/>
      <c r="HT110" s="134"/>
      <c r="HU110" s="134"/>
      <c r="HV110" s="134"/>
      <c r="HW110" s="134"/>
      <c r="HX110" s="134"/>
      <c r="HY110" s="135"/>
      <c r="HZ110" s="135"/>
      <c r="IA110" s="134"/>
      <c r="IB110" s="134"/>
      <c r="IC110" s="134"/>
      <c r="ID110" s="134"/>
      <c r="IE110" s="134"/>
      <c r="IF110" s="134"/>
      <c r="IG110" s="134"/>
      <c r="IH110" s="134"/>
      <c r="II110" s="135"/>
      <c r="IJ110" s="135"/>
      <c r="IK110" s="134"/>
      <c r="IL110" s="134"/>
      <c r="IM110" s="134"/>
      <c r="IN110" s="134"/>
      <c r="IO110" s="134"/>
      <c r="IP110" s="134"/>
      <c r="IQ110" s="134"/>
      <c r="IR110" s="134"/>
      <c r="IS110" s="135"/>
      <c r="IT110" s="135"/>
      <c r="IU110" s="134"/>
      <c r="IV110" s="134"/>
      <c r="IW110" s="134"/>
      <c r="IX110" s="134"/>
      <c r="IY110" s="134"/>
      <c r="IZ110" s="134"/>
      <c r="JA110" s="134"/>
      <c r="JB110" s="134"/>
      <c r="JC110" s="135"/>
      <c r="JD110" s="135"/>
    </row>
    <row r="111" spans="1:264" s="119" customFormat="1" ht="15" customHeight="1">
      <c r="A111" s="118" t="s">
        <v>982</v>
      </c>
      <c r="B111" s="616">
        <v>202</v>
      </c>
      <c r="C111" s="616"/>
      <c r="D111" s="616">
        <v>78</v>
      </c>
      <c r="E111" s="605" t="s">
        <v>2114</v>
      </c>
      <c r="F111" s="140" t="s">
        <v>2373</v>
      </c>
      <c r="G111" s="141">
        <v>2015</v>
      </c>
      <c r="H111" s="118">
        <v>26225843</v>
      </c>
      <c r="I111" s="118">
        <v>1</v>
      </c>
      <c r="J111" s="118">
        <v>1</v>
      </c>
      <c r="K111" s="118"/>
      <c r="L111" s="118">
        <v>1</v>
      </c>
      <c r="M111" s="118"/>
      <c r="N111" s="118">
        <v>1</v>
      </c>
      <c r="O111" s="142">
        <v>2</v>
      </c>
      <c r="P111" s="118" t="s">
        <v>1206</v>
      </c>
      <c r="Q111" s="118" t="s">
        <v>1552</v>
      </c>
      <c r="R111" s="118" t="s">
        <v>1127</v>
      </c>
      <c r="S111" s="118"/>
      <c r="T111" s="118" t="s">
        <v>1495</v>
      </c>
      <c r="U111" s="118" t="s">
        <v>803</v>
      </c>
      <c r="V111" s="118"/>
      <c r="W111" s="118" t="s">
        <v>1550</v>
      </c>
      <c r="X111" s="118" t="s">
        <v>1551</v>
      </c>
      <c r="Y111" s="118"/>
      <c r="Z111" s="118"/>
      <c r="AA111" s="118" t="s">
        <v>1549</v>
      </c>
      <c r="AB111" s="118" t="s">
        <v>1548</v>
      </c>
      <c r="AC111" s="145" t="s">
        <v>6277</v>
      </c>
      <c r="AD111" s="653">
        <v>1</v>
      </c>
      <c r="AE111" s="653">
        <v>1</v>
      </c>
      <c r="AF111" s="159">
        <v>1</v>
      </c>
      <c r="AG111" s="160" t="s">
        <v>7024</v>
      </c>
      <c r="AH111" s="122">
        <v>4</v>
      </c>
      <c r="AI111" s="485"/>
      <c r="AJ111" s="204" t="s">
        <v>7006</v>
      </c>
      <c r="AK111" s="192" t="s">
        <v>6991</v>
      </c>
      <c r="AL111" s="205">
        <v>1</v>
      </c>
      <c r="AM111" s="500" t="s">
        <v>6992</v>
      </c>
      <c r="AN111" s="122" t="s">
        <v>6993</v>
      </c>
      <c r="AO111" s="122">
        <v>6</v>
      </c>
      <c r="AP111" s="122" t="s">
        <v>6994</v>
      </c>
      <c r="AQ111" s="122" t="s">
        <v>6994</v>
      </c>
      <c r="AR111" s="122" t="s">
        <v>2687</v>
      </c>
      <c r="AS111" s="122" t="s">
        <v>24</v>
      </c>
      <c r="AT111" s="122" t="s">
        <v>2687</v>
      </c>
      <c r="AU111" s="122" t="s">
        <v>24</v>
      </c>
      <c r="AV111" s="122" t="s">
        <v>7005</v>
      </c>
      <c r="AW111" s="122">
        <v>1</v>
      </c>
      <c r="AX111" s="122">
        <v>1</v>
      </c>
      <c r="AY111" s="122" t="s">
        <v>6986</v>
      </c>
      <c r="AZ111" s="122" t="s">
        <v>2912</v>
      </c>
      <c r="BA111" s="122" t="s">
        <v>6653</v>
      </c>
      <c r="BB111" s="588"/>
      <c r="BC111" s="588"/>
      <c r="BD111" s="161">
        <v>1</v>
      </c>
      <c r="BE111" s="161">
        <v>1</v>
      </c>
      <c r="BF111" s="161"/>
      <c r="BG111" s="161"/>
      <c r="BH111" s="161"/>
      <c r="BI111" s="161"/>
      <c r="BJ111" s="161">
        <v>1</v>
      </c>
      <c r="BK111" s="161"/>
      <c r="BL111" s="161"/>
      <c r="BM111" s="161"/>
      <c r="BN111" s="161"/>
      <c r="BO111" s="161"/>
      <c r="BP111" s="161" t="s">
        <v>6276</v>
      </c>
      <c r="BQ111" s="596" t="s">
        <v>6996</v>
      </c>
      <c r="BR111" s="162" t="s">
        <v>6837</v>
      </c>
      <c r="BS111" s="659">
        <v>1</v>
      </c>
      <c r="BT111" s="150" t="s">
        <v>1876</v>
      </c>
      <c r="BU111" s="150" t="s">
        <v>6987</v>
      </c>
      <c r="BV111" s="150" t="s">
        <v>6988</v>
      </c>
      <c r="BW111" s="150" t="s">
        <v>6985</v>
      </c>
      <c r="BX111" s="150" t="s">
        <v>6990</v>
      </c>
      <c r="BY111" s="150"/>
      <c r="BZ111" s="258" t="s">
        <v>7004</v>
      </c>
      <c r="CA111" s="257" t="s">
        <v>6627</v>
      </c>
      <c r="CB111" s="151" t="s">
        <v>7008</v>
      </c>
      <c r="CC111" s="150">
        <v>116</v>
      </c>
      <c r="CD111" s="150" t="s">
        <v>24</v>
      </c>
      <c r="CE111" s="150">
        <v>27.9</v>
      </c>
      <c r="CF111" s="151" t="s">
        <v>7010</v>
      </c>
      <c r="CG111" s="150">
        <v>12</v>
      </c>
      <c r="CH111" s="150" t="s">
        <v>24</v>
      </c>
      <c r="CI111" s="150">
        <v>3.3</v>
      </c>
      <c r="CJ111" s="685" t="s">
        <v>6998</v>
      </c>
      <c r="CK111" s="291" t="s">
        <v>3060</v>
      </c>
      <c r="CL111" s="151" t="s">
        <v>7012</v>
      </c>
      <c r="CM111" s="150">
        <v>136.18</v>
      </c>
      <c r="CN111" s="150" t="s">
        <v>24</v>
      </c>
      <c r="CO111" s="150">
        <f>162.192-Table668[[#This Row],[Data_Outcome3_M]]</f>
        <v>26.012</v>
      </c>
      <c r="CP111" s="151" t="s">
        <v>7014</v>
      </c>
      <c r="CQ111" s="150">
        <v>345.05200000000002</v>
      </c>
      <c r="CR111" s="150" t="s">
        <v>24</v>
      </c>
      <c r="CS111" s="150">
        <f>415.381-Table668[[#This Row],[Data_Outcome4_M]]</f>
        <v>70.328999999999951</v>
      </c>
      <c r="CT111" s="290" t="s">
        <v>5379</v>
      </c>
      <c r="CU111" s="291" t="s">
        <v>3790</v>
      </c>
      <c r="CV111" s="278" t="s">
        <v>24</v>
      </c>
      <c r="CW111" s="285" t="s">
        <v>24</v>
      </c>
      <c r="CX111" s="151" t="s">
        <v>7016</v>
      </c>
      <c r="CY111" s="266">
        <v>144.071</v>
      </c>
      <c r="CZ111" s="228" t="s">
        <v>24</v>
      </c>
      <c r="DA111" s="266">
        <f>178.753-Table668[[#This Row],[Data_Outcome5_M]]</f>
        <v>34.681999999999988</v>
      </c>
      <c r="DB111" s="228" t="s">
        <v>24</v>
      </c>
      <c r="DC111" s="150" t="s">
        <v>24</v>
      </c>
      <c r="DD111" s="150" t="s">
        <v>24</v>
      </c>
      <c r="DE111" s="150" t="s">
        <v>24</v>
      </c>
      <c r="DF111" s="686" t="s">
        <v>5379</v>
      </c>
      <c r="DG111" s="687" t="s">
        <v>3790</v>
      </c>
      <c r="DH111" s="151" t="s">
        <v>7017</v>
      </c>
      <c r="DI111" s="150">
        <v>289.7</v>
      </c>
      <c r="DJ111" s="150" t="s">
        <v>24</v>
      </c>
      <c r="DK111" s="150">
        <v>68.8</v>
      </c>
      <c r="DL111" s="151" t="s">
        <v>7018</v>
      </c>
      <c r="DM111" s="150">
        <v>494</v>
      </c>
      <c r="DN111" s="150" t="s">
        <v>24</v>
      </c>
      <c r="DO111" s="150">
        <v>13.7</v>
      </c>
      <c r="DP111" s="685" t="s">
        <v>6999</v>
      </c>
      <c r="DQ111" s="303" t="s">
        <v>2588</v>
      </c>
      <c r="DR111" s="278" t="s">
        <v>24</v>
      </c>
      <c r="DS111" s="279" t="s">
        <v>24</v>
      </c>
      <c r="DT111" s="151" t="s">
        <v>7019</v>
      </c>
      <c r="DU111" s="150">
        <v>288.339</v>
      </c>
      <c r="DV111" s="150" t="s">
        <v>24</v>
      </c>
      <c r="DW111" s="150">
        <f>324.247-Table668[[#This Row],[Data_Outcome9_M]]</f>
        <v>35.908000000000015</v>
      </c>
      <c r="DX111" s="151" t="s">
        <v>7020</v>
      </c>
      <c r="DY111" s="150">
        <v>101.601</v>
      </c>
      <c r="DZ111" s="150" t="s">
        <v>24</v>
      </c>
      <c r="EA111" s="150">
        <f>106.612-Table668[[#This Row],[Data_Outcome10_M]]</f>
        <v>5.0109999999999957</v>
      </c>
      <c r="EB111" s="303" t="s">
        <v>7001</v>
      </c>
      <c r="EC111" s="303" t="s">
        <v>3026</v>
      </c>
      <c r="ED111" s="151" t="s">
        <v>7021</v>
      </c>
      <c r="EE111" s="266">
        <v>256.28199999999998</v>
      </c>
      <c r="EF111" s="266" t="s">
        <v>24</v>
      </c>
      <c r="EG111" s="688">
        <f>298.035-Table668[[#This Row],[Data_Outcome11_M]]</f>
        <v>41.753000000000043</v>
      </c>
      <c r="EH111" s="266" t="s">
        <v>24</v>
      </c>
      <c r="EI111" s="150" t="s">
        <v>24</v>
      </c>
      <c r="EJ111" s="150" t="s">
        <v>24</v>
      </c>
      <c r="EK111" s="150" t="s">
        <v>24</v>
      </c>
      <c r="EL111" s="303" t="s">
        <v>7002</v>
      </c>
      <c r="EM111" s="303" t="s">
        <v>7003</v>
      </c>
      <c r="EN111" s="279" t="s">
        <v>24</v>
      </c>
      <c r="EO111" s="150"/>
      <c r="EP111" s="150"/>
      <c r="EQ111" s="150"/>
      <c r="ER111" s="150"/>
      <c r="ES111" s="150"/>
      <c r="ET111" s="150"/>
      <c r="EU111" s="150"/>
      <c r="EV111" s="150"/>
      <c r="EW111" s="303"/>
      <c r="EX111" s="303"/>
      <c r="EY111" s="150"/>
      <c r="EZ111" s="150"/>
      <c r="FA111" s="150"/>
      <c r="FB111" s="150"/>
      <c r="FC111" s="150"/>
      <c r="FD111" s="150"/>
      <c r="FE111" s="150"/>
      <c r="FF111" s="150"/>
      <c r="FG111" s="152"/>
      <c r="FH111" s="152"/>
      <c r="FI111" s="150"/>
      <c r="FJ111" s="150"/>
      <c r="FK111" s="150"/>
      <c r="FL111" s="150"/>
      <c r="FM111" s="150"/>
      <c r="FN111" s="150"/>
      <c r="FO111" s="150"/>
      <c r="FP111" s="150"/>
      <c r="FQ111" s="152"/>
      <c r="FR111" s="152"/>
      <c r="FS111" s="150"/>
      <c r="FT111" s="150"/>
      <c r="FU111" s="150"/>
      <c r="FV111" s="150"/>
      <c r="FW111" s="150"/>
      <c r="FX111" s="150"/>
      <c r="FY111" s="150"/>
      <c r="FZ111" s="150"/>
      <c r="GA111" s="152"/>
      <c r="GB111" s="152"/>
      <c r="GC111" s="150"/>
      <c r="GD111" s="150"/>
      <c r="GE111" s="150"/>
      <c r="GF111" s="150"/>
      <c r="GG111" s="150"/>
      <c r="GH111" s="150"/>
      <c r="GI111" s="150"/>
      <c r="GJ111" s="150"/>
      <c r="GK111" s="152"/>
      <c r="GL111" s="152"/>
      <c r="GM111" s="150"/>
      <c r="GN111" s="150"/>
      <c r="GO111" s="150"/>
      <c r="GP111" s="150"/>
      <c r="GQ111" s="150"/>
      <c r="GR111" s="150"/>
      <c r="GS111" s="150"/>
      <c r="GT111" s="150"/>
      <c r="GU111" s="152"/>
      <c r="GV111" s="152"/>
      <c r="GW111" s="150"/>
      <c r="GX111" s="150"/>
      <c r="GY111" s="150"/>
      <c r="GZ111" s="150"/>
      <c r="HA111" s="150"/>
      <c r="HB111" s="150"/>
      <c r="HC111" s="150"/>
      <c r="HD111" s="150"/>
      <c r="HE111" s="152"/>
      <c r="HF111" s="152"/>
      <c r="HG111" s="150"/>
      <c r="HH111" s="150"/>
      <c r="HI111" s="150"/>
      <c r="HJ111" s="150"/>
      <c r="HK111" s="150"/>
      <c r="HL111" s="150"/>
      <c r="HM111" s="150"/>
      <c r="HN111" s="150"/>
      <c r="HO111" s="152"/>
      <c r="HP111" s="152"/>
      <c r="HQ111" s="150"/>
      <c r="HR111" s="150"/>
      <c r="HS111" s="150"/>
      <c r="HT111" s="150"/>
      <c r="HU111" s="150"/>
      <c r="HV111" s="150"/>
      <c r="HW111" s="150"/>
      <c r="HX111" s="150"/>
      <c r="HY111" s="152"/>
      <c r="HZ111" s="152"/>
      <c r="IA111" s="150"/>
      <c r="IB111" s="150"/>
      <c r="IC111" s="150"/>
      <c r="ID111" s="150"/>
      <c r="IE111" s="150"/>
      <c r="IF111" s="150"/>
      <c r="IG111" s="150"/>
      <c r="IH111" s="150"/>
      <c r="II111" s="152"/>
      <c r="IJ111" s="152"/>
      <c r="IK111" s="150"/>
      <c r="IL111" s="150"/>
      <c r="IM111" s="150"/>
      <c r="IN111" s="150"/>
      <c r="IO111" s="150"/>
      <c r="IP111" s="150"/>
      <c r="IQ111" s="150"/>
      <c r="IR111" s="150"/>
      <c r="IS111" s="152"/>
      <c r="IT111" s="152"/>
      <c r="IU111" s="150"/>
      <c r="IV111" s="150"/>
      <c r="IW111" s="150"/>
      <c r="IX111" s="150"/>
      <c r="IY111" s="150"/>
      <c r="IZ111" s="150"/>
      <c r="JA111" s="150"/>
      <c r="JB111" s="150"/>
      <c r="JC111" s="152"/>
      <c r="JD111" s="152"/>
    </row>
    <row r="112" spans="1:264" s="119" customFormat="1" ht="15" customHeight="1">
      <c r="A112" s="79" t="s">
        <v>981</v>
      </c>
      <c r="B112" s="362">
        <v>204</v>
      </c>
      <c r="C112" s="362"/>
      <c r="D112" s="362">
        <v>80</v>
      </c>
      <c r="E112" s="604" t="s">
        <v>2115</v>
      </c>
      <c r="F112" s="124" t="s">
        <v>2374</v>
      </c>
      <c r="G112" s="125">
        <v>2004</v>
      </c>
      <c r="H112" s="79">
        <v>15036608</v>
      </c>
      <c r="I112" s="79">
        <v>1</v>
      </c>
      <c r="J112" s="126">
        <v>1</v>
      </c>
      <c r="K112" s="127"/>
      <c r="L112" s="79">
        <v>1</v>
      </c>
      <c r="M112" s="79"/>
      <c r="N112" s="79">
        <v>1</v>
      </c>
      <c r="O112" s="128">
        <v>2</v>
      </c>
      <c r="P112" s="79" t="s">
        <v>1553</v>
      </c>
      <c r="Q112" s="79" t="s">
        <v>1552</v>
      </c>
      <c r="R112" s="79" t="s">
        <v>1229</v>
      </c>
      <c r="S112" s="79"/>
      <c r="T112" s="79" t="s">
        <v>1498</v>
      </c>
      <c r="U112" s="79" t="s">
        <v>803</v>
      </c>
      <c r="V112" s="79"/>
      <c r="W112" s="79" t="s">
        <v>1682</v>
      </c>
      <c r="X112" s="79"/>
      <c r="Y112" s="79"/>
      <c r="Z112" s="79"/>
      <c r="AA112" s="79"/>
      <c r="AB112" s="79"/>
      <c r="AC112" s="506" t="s">
        <v>6280</v>
      </c>
      <c r="AD112" s="573">
        <v>1</v>
      </c>
      <c r="AE112" s="573">
        <v>1</v>
      </c>
      <c r="AF112" s="154">
        <v>1</v>
      </c>
      <c r="AG112" s="155" t="s">
        <v>7066</v>
      </c>
      <c r="AH112" s="121">
        <v>4</v>
      </c>
      <c r="AI112" s="484"/>
      <c r="AJ112" s="202" t="s">
        <v>7070</v>
      </c>
      <c r="AK112" s="192" t="s">
        <v>7052</v>
      </c>
      <c r="AL112" s="203" t="s">
        <v>7028</v>
      </c>
      <c r="AM112" s="417">
        <f>Table668[[#This Row],[Data_Subjects_n_ptsd]]+Table668[[#This Row],[Data_Subjects_n_control]]</f>
        <v>42</v>
      </c>
      <c r="AN112" s="121">
        <v>21</v>
      </c>
      <c r="AO112" s="121">
        <v>21</v>
      </c>
      <c r="AP112" s="121" t="s">
        <v>803</v>
      </c>
      <c r="AQ112" s="121" t="s">
        <v>803</v>
      </c>
      <c r="AR112" s="121" t="s">
        <v>7027</v>
      </c>
      <c r="AS112" s="121" t="s">
        <v>24</v>
      </c>
      <c r="AT112" s="121" t="s">
        <v>7027</v>
      </c>
      <c r="AU112" s="121" t="s">
        <v>24</v>
      </c>
      <c r="AV112" s="121" t="s">
        <v>7025</v>
      </c>
      <c r="AW112" s="121">
        <v>1</v>
      </c>
      <c r="AX112" s="121">
        <v>1</v>
      </c>
      <c r="AY112" s="121" t="s">
        <v>7049</v>
      </c>
      <c r="AZ112" s="121" t="s">
        <v>2912</v>
      </c>
      <c r="BA112" s="121" t="s">
        <v>6653</v>
      </c>
      <c r="BB112" s="594"/>
      <c r="BC112" s="594"/>
      <c r="BD112" s="156">
        <v>1</v>
      </c>
      <c r="BE112" s="156">
        <v>1</v>
      </c>
      <c r="BF112" s="156"/>
      <c r="BG112" s="156"/>
      <c r="BH112" s="156"/>
      <c r="BI112" s="156"/>
      <c r="BJ112" s="156">
        <v>1</v>
      </c>
      <c r="BK112" s="156"/>
      <c r="BL112" s="156"/>
      <c r="BM112" s="156"/>
      <c r="BN112" s="156"/>
      <c r="BO112" s="156"/>
      <c r="BP112" s="156"/>
      <c r="BQ112" s="595" t="s">
        <v>7051</v>
      </c>
      <c r="BR112" s="157" t="s">
        <v>6837</v>
      </c>
      <c r="BS112" s="660">
        <v>1</v>
      </c>
      <c r="BT112" s="134" t="s">
        <v>1876</v>
      </c>
      <c r="BU112" s="134" t="s">
        <v>7029</v>
      </c>
      <c r="BV112" s="134" t="s">
        <v>7042</v>
      </c>
      <c r="BW112" s="134" t="s">
        <v>7026</v>
      </c>
      <c r="BX112" s="134" t="s">
        <v>7050</v>
      </c>
      <c r="BY112" s="134" t="s">
        <v>7119</v>
      </c>
      <c r="BZ112" s="259" t="s">
        <v>7053</v>
      </c>
      <c r="CA112" s="454" t="s">
        <v>24</v>
      </c>
      <c r="CB112" s="138" t="s">
        <v>7040</v>
      </c>
      <c r="CC112" s="138">
        <v>11.1</v>
      </c>
      <c r="CD112" s="134" t="s">
        <v>24</v>
      </c>
      <c r="CE112" s="134">
        <v>1.7</v>
      </c>
      <c r="CF112" s="168" t="s">
        <v>7041</v>
      </c>
      <c r="CG112" s="134">
        <v>22.3</v>
      </c>
      <c r="CH112" s="134" t="s">
        <v>24</v>
      </c>
      <c r="CI112" s="134">
        <v>1</v>
      </c>
      <c r="CJ112" s="301" t="s">
        <v>7043</v>
      </c>
      <c r="CK112" s="682" t="s">
        <v>7044</v>
      </c>
      <c r="CL112" s="138" t="s">
        <v>24</v>
      </c>
      <c r="CM112" s="138" t="s">
        <v>24</v>
      </c>
      <c r="CN112" s="134" t="s">
        <v>24</v>
      </c>
      <c r="CO112" s="134" t="s">
        <v>24</v>
      </c>
      <c r="CP112" s="168" t="s">
        <v>24</v>
      </c>
      <c r="CQ112" s="134" t="s">
        <v>24</v>
      </c>
      <c r="CR112" s="134" t="s">
        <v>24</v>
      </c>
      <c r="CS112" s="134" t="s">
        <v>24</v>
      </c>
      <c r="CT112" s="288"/>
      <c r="CU112" s="681"/>
      <c r="CV112" s="276"/>
      <c r="CW112" s="308"/>
      <c r="CX112" s="138" t="s">
        <v>24</v>
      </c>
      <c r="CY112" s="138" t="s">
        <v>24</v>
      </c>
      <c r="CZ112" s="134" t="s">
        <v>24</v>
      </c>
      <c r="DA112" s="134" t="s">
        <v>24</v>
      </c>
      <c r="DB112" s="168" t="s">
        <v>24</v>
      </c>
      <c r="DC112" s="134" t="s">
        <v>24</v>
      </c>
      <c r="DD112" s="134" t="s">
        <v>24</v>
      </c>
      <c r="DE112" s="134" t="s">
        <v>24</v>
      </c>
      <c r="DF112" s="300"/>
      <c r="DG112" s="301"/>
      <c r="DH112" s="138"/>
      <c r="DI112" s="138"/>
      <c r="DJ112" s="134"/>
      <c r="DK112" s="134"/>
      <c r="DL112" s="168"/>
      <c r="DM112" s="134"/>
      <c r="DN112" s="134"/>
      <c r="DO112" s="134"/>
      <c r="DP112" s="300"/>
      <c r="DQ112" s="301"/>
      <c r="DR112" s="276"/>
      <c r="DS112" s="277"/>
      <c r="DT112" s="190"/>
      <c r="DU112" s="190"/>
      <c r="DV112" s="190"/>
      <c r="DW112" s="680"/>
      <c r="DX112" s="190"/>
      <c r="DY112" s="190"/>
      <c r="DZ112" s="190"/>
      <c r="EA112" s="680"/>
      <c r="EB112" s="469"/>
      <c r="EC112" s="469"/>
      <c r="ED112" s="138" t="s">
        <v>24</v>
      </c>
      <c r="EE112" s="134"/>
      <c r="EF112" s="134"/>
      <c r="EG112" s="134"/>
      <c r="EH112" s="138"/>
      <c r="EI112" s="134"/>
      <c r="EJ112" s="134"/>
      <c r="EK112" s="134"/>
      <c r="EL112" s="301"/>
      <c r="EM112" s="301"/>
      <c r="EN112" s="277"/>
      <c r="EO112" s="134"/>
      <c r="EP112" s="134"/>
      <c r="EQ112" s="134"/>
      <c r="ER112" s="134"/>
      <c r="ES112" s="134"/>
      <c r="ET112" s="134"/>
      <c r="EU112" s="134"/>
      <c r="EV112" s="134"/>
      <c r="EW112" s="301"/>
      <c r="EX112" s="301"/>
      <c r="EY112" s="134"/>
      <c r="EZ112" s="134"/>
      <c r="FA112" s="134"/>
      <c r="FB112" s="134"/>
      <c r="FC112" s="134"/>
      <c r="FD112" s="134"/>
      <c r="FE112" s="134"/>
      <c r="FF112" s="134"/>
      <c r="FG112" s="135"/>
      <c r="FH112" s="135"/>
      <c r="FI112" s="134"/>
      <c r="FJ112" s="134"/>
      <c r="FK112" s="134"/>
      <c r="FL112" s="134"/>
      <c r="FM112" s="134"/>
      <c r="FN112" s="134"/>
      <c r="FO112" s="134"/>
      <c r="FP112" s="134"/>
      <c r="FQ112" s="135"/>
      <c r="FR112" s="135"/>
      <c r="FS112" s="134"/>
      <c r="FT112" s="134"/>
      <c r="FU112" s="134"/>
      <c r="FV112" s="134"/>
      <c r="FW112" s="134"/>
      <c r="FX112" s="134"/>
      <c r="FY112" s="134"/>
      <c r="FZ112" s="134"/>
      <c r="GA112" s="135"/>
      <c r="GB112" s="135"/>
      <c r="GC112" s="134"/>
      <c r="GD112" s="134"/>
      <c r="GE112" s="134"/>
      <c r="GF112" s="134"/>
      <c r="GG112" s="134"/>
      <c r="GH112" s="134"/>
      <c r="GI112" s="134"/>
      <c r="GJ112" s="134"/>
      <c r="GK112" s="135"/>
      <c r="GL112" s="135"/>
      <c r="GM112" s="134"/>
      <c r="GN112" s="134"/>
      <c r="GO112" s="134"/>
      <c r="GP112" s="134"/>
      <c r="GQ112" s="134"/>
      <c r="GR112" s="134"/>
      <c r="GS112" s="134"/>
      <c r="GT112" s="134"/>
      <c r="GU112" s="135"/>
      <c r="GV112" s="135"/>
      <c r="GW112" s="134"/>
      <c r="GX112" s="134"/>
      <c r="GY112" s="134"/>
      <c r="GZ112" s="134"/>
      <c r="HA112" s="134"/>
      <c r="HB112" s="134"/>
      <c r="HC112" s="134"/>
      <c r="HD112" s="134"/>
      <c r="HE112" s="135"/>
      <c r="HF112" s="135"/>
      <c r="HG112" s="134"/>
      <c r="HH112" s="134"/>
      <c r="HI112" s="134"/>
      <c r="HJ112" s="134"/>
      <c r="HK112" s="134"/>
      <c r="HL112" s="134"/>
      <c r="HM112" s="134"/>
      <c r="HN112" s="134"/>
      <c r="HO112" s="135"/>
      <c r="HP112" s="135"/>
      <c r="HQ112" s="134"/>
      <c r="HR112" s="134"/>
      <c r="HS112" s="134"/>
      <c r="HT112" s="134"/>
      <c r="HU112" s="134"/>
      <c r="HV112" s="134"/>
      <c r="HW112" s="134"/>
      <c r="HX112" s="134"/>
      <c r="HY112" s="135"/>
      <c r="HZ112" s="135"/>
      <c r="IA112" s="134"/>
      <c r="IB112" s="134"/>
      <c r="IC112" s="134"/>
      <c r="ID112" s="134"/>
      <c r="IE112" s="134"/>
      <c r="IF112" s="134"/>
      <c r="IG112" s="134"/>
      <c r="IH112" s="134"/>
      <c r="II112" s="135"/>
      <c r="IJ112" s="135"/>
      <c r="IK112" s="134"/>
      <c r="IL112" s="134"/>
      <c r="IM112" s="134"/>
      <c r="IN112" s="134"/>
      <c r="IO112" s="134"/>
      <c r="IP112" s="134"/>
      <c r="IQ112" s="134"/>
      <c r="IR112" s="134"/>
      <c r="IS112" s="135"/>
      <c r="IT112" s="135"/>
      <c r="IU112" s="134"/>
      <c r="IV112" s="134"/>
      <c r="IW112" s="134"/>
      <c r="IX112" s="134"/>
      <c r="IY112" s="134"/>
      <c r="IZ112" s="134"/>
      <c r="JA112" s="134"/>
      <c r="JB112" s="134"/>
      <c r="JC112" s="135"/>
      <c r="JD112" s="135"/>
    </row>
    <row r="113" spans="1:264" s="119" customFormat="1" ht="15" customHeight="1">
      <c r="A113" s="118" t="s">
        <v>981</v>
      </c>
      <c r="B113" s="616">
        <v>204</v>
      </c>
      <c r="C113" s="616"/>
      <c r="D113" s="616">
        <v>80</v>
      </c>
      <c r="E113" s="605" t="s">
        <v>2115</v>
      </c>
      <c r="F113" s="140" t="s">
        <v>2374</v>
      </c>
      <c r="G113" s="141">
        <v>2004</v>
      </c>
      <c r="H113" s="118">
        <v>15036608</v>
      </c>
      <c r="I113" s="118">
        <v>1</v>
      </c>
      <c r="J113" s="118">
        <v>1</v>
      </c>
      <c r="K113" s="118"/>
      <c r="L113" s="118">
        <v>1</v>
      </c>
      <c r="M113" s="118"/>
      <c r="N113" s="118">
        <v>1</v>
      </c>
      <c r="O113" s="142">
        <v>2</v>
      </c>
      <c r="P113" s="118" t="s">
        <v>1553</v>
      </c>
      <c r="Q113" s="118" t="s">
        <v>1552</v>
      </c>
      <c r="R113" s="118" t="s">
        <v>1229</v>
      </c>
      <c r="S113" s="118"/>
      <c r="T113" s="118" t="s">
        <v>1498</v>
      </c>
      <c r="U113" s="118" t="s">
        <v>803</v>
      </c>
      <c r="V113" s="118"/>
      <c r="W113" s="118" t="s">
        <v>1682</v>
      </c>
      <c r="X113" s="118"/>
      <c r="Y113" s="118"/>
      <c r="Z113" s="118"/>
      <c r="AA113" s="118"/>
      <c r="AB113" s="118"/>
      <c r="AC113" s="145" t="s">
        <v>6280</v>
      </c>
      <c r="AD113" s="653">
        <v>1</v>
      </c>
      <c r="AE113" s="653">
        <v>1</v>
      </c>
      <c r="AF113" s="159">
        <v>1</v>
      </c>
      <c r="AG113" s="155" t="s">
        <v>7066</v>
      </c>
      <c r="AH113" s="122">
        <v>4</v>
      </c>
      <c r="AI113" s="485"/>
      <c r="AJ113" s="202" t="s">
        <v>7070</v>
      </c>
      <c r="AK113" s="192" t="s">
        <v>7052</v>
      </c>
      <c r="AL113" s="205" t="s">
        <v>7028</v>
      </c>
      <c r="AM113" s="500">
        <f>Table668[[#This Row],[Data_Subjects_n_ptsd]]+Table668[[#This Row],[Data_Subjects_n_control]]</f>
        <v>42</v>
      </c>
      <c r="AN113" s="122">
        <v>21</v>
      </c>
      <c r="AO113" s="122">
        <v>21</v>
      </c>
      <c r="AP113" s="122" t="s">
        <v>803</v>
      </c>
      <c r="AQ113" s="122" t="s">
        <v>803</v>
      </c>
      <c r="AR113" s="122" t="s">
        <v>7027</v>
      </c>
      <c r="AS113" s="122" t="s">
        <v>24</v>
      </c>
      <c r="AT113" s="122" t="s">
        <v>7027</v>
      </c>
      <c r="AU113" s="122" t="s">
        <v>24</v>
      </c>
      <c r="AV113" s="122" t="s">
        <v>7025</v>
      </c>
      <c r="AW113" s="122">
        <v>1</v>
      </c>
      <c r="AX113" s="122">
        <v>1</v>
      </c>
      <c r="AY113" s="122" t="s">
        <v>7049</v>
      </c>
      <c r="AZ113" s="122" t="s">
        <v>2912</v>
      </c>
      <c r="BA113" s="122" t="s">
        <v>6653</v>
      </c>
      <c r="BB113" s="588"/>
      <c r="BC113" s="588"/>
      <c r="BD113" s="161">
        <v>1</v>
      </c>
      <c r="BE113" s="161">
        <v>1</v>
      </c>
      <c r="BF113" s="161"/>
      <c r="BG113" s="161"/>
      <c r="BH113" s="161"/>
      <c r="BI113" s="161"/>
      <c r="BJ113" s="161">
        <v>1</v>
      </c>
      <c r="BK113" s="161"/>
      <c r="BL113" s="161"/>
      <c r="BM113" s="161"/>
      <c r="BN113" s="161"/>
      <c r="BO113" s="161"/>
      <c r="BP113" s="161"/>
      <c r="BQ113" s="596" t="s">
        <v>7056</v>
      </c>
      <c r="BR113" s="162" t="s">
        <v>6596</v>
      </c>
      <c r="BS113" s="659">
        <v>2</v>
      </c>
      <c r="BT113" s="150" t="s">
        <v>1876</v>
      </c>
      <c r="BU113" s="150" t="s">
        <v>7029</v>
      </c>
      <c r="BV113" s="150" t="s">
        <v>7042</v>
      </c>
      <c r="BW113" s="150" t="s">
        <v>7026</v>
      </c>
      <c r="BX113" s="150" t="s">
        <v>7063</v>
      </c>
      <c r="BY113" s="400" t="s">
        <v>7121</v>
      </c>
      <c r="BZ113" s="258" t="s">
        <v>7055</v>
      </c>
      <c r="CA113" s="257" t="s">
        <v>6627</v>
      </c>
      <c r="CB113" s="151" t="s">
        <v>7030</v>
      </c>
      <c r="CC113" s="150">
        <v>21.1</v>
      </c>
      <c r="CD113" s="150" t="s">
        <v>24</v>
      </c>
      <c r="CE113" s="150">
        <v>3.1</v>
      </c>
      <c r="CF113" s="151" t="s">
        <v>7031</v>
      </c>
      <c r="CG113" s="150">
        <v>5.3</v>
      </c>
      <c r="CH113" s="150" t="s">
        <v>24</v>
      </c>
      <c r="CI113" s="150">
        <v>1.4</v>
      </c>
      <c r="CJ113" s="290" t="s">
        <v>7037</v>
      </c>
      <c r="CK113" s="291" t="s">
        <v>7038</v>
      </c>
      <c r="CL113" s="151" t="s">
        <v>7033</v>
      </c>
      <c r="CM113" s="151">
        <v>57.1</v>
      </c>
      <c r="CN113" s="150" t="s">
        <v>24</v>
      </c>
      <c r="CO113" s="150">
        <v>3</v>
      </c>
      <c r="CP113" s="228" t="s">
        <v>7032</v>
      </c>
      <c r="CQ113" s="150">
        <v>74.7</v>
      </c>
      <c r="CR113" s="150" t="s">
        <v>24</v>
      </c>
      <c r="CS113" s="150">
        <v>1.4</v>
      </c>
      <c r="CT113" s="290" t="s">
        <v>7039</v>
      </c>
      <c r="CU113" s="527" t="s">
        <v>7048</v>
      </c>
      <c r="CV113" s="278" t="s">
        <v>24</v>
      </c>
      <c r="CW113" s="285" t="s">
        <v>24</v>
      </c>
      <c r="CX113" s="151" t="s">
        <v>7034</v>
      </c>
      <c r="CY113" s="151">
        <v>1.8</v>
      </c>
      <c r="CZ113" s="150"/>
      <c r="DA113" s="150">
        <v>0.5</v>
      </c>
      <c r="DB113" s="228" t="s">
        <v>7035</v>
      </c>
      <c r="DC113" s="150">
        <v>0</v>
      </c>
      <c r="DD113" s="150" t="s">
        <v>24</v>
      </c>
      <c r="DE113" s="150">
        <v>0</v>
      </c>
      <c r="DF113" s="302" t="s">
        <v>7047</v>
      </c>
      <c r="DG113" s="303" t="s">
        <v>3790</v>
      </c>
      <c r="DH113" s="151" t="s">
        <v>7036</v>
      </c>
      <c r="DI113" s="151">
        <v>28.8</v>
      </c>
      <c r="DJ113" s="150" t="s">
        <v>24</v>
      </c>
      <c r="DK113" s="150">
        <v>4.7</v>
      </c>
      <c r="DL113" s="228" t="s">
        <v>7045</v>
      </c>
      <c r="DM113" s="150">
        <v>11.1</v>
      </c>
      <c r="DN113" s="150" t="s">
        <v>24</v>
      </c>
      <c r="DO113" s="150">
        <v>1.4</v>
      </c>
      <c r="DP113" s="302" t="s">
        <v>7054</v>
      </c>
      <c r="DQ113" s="303" t="s">
        <v>7046</v>
      </c>
      <c r="DR113" s="278" t="s">
        <v>24</v>
      </c>
      <c r="DS113" s="279" t="s">
        <v>24</v>
      </c>
      <c r="DT113" s="151"/>
      <c r="DU113" s="151"/>
      <c r="DV113" s="150"/>
      <c r="DW113" s="150"/>
      <c r="DX113" s="228"/>
      <c r="DY113" s="150"/>
      <c r="DZ113" s="150"/>
      <c r="EA113" s="150"/>
      <c r="EB113" s="303"/>
      <c r="EC113" s="684"/>
      <c r="ED113" s="151"/>
      <c r="EE113" s="150"/>
      <c r="EF113" s="150"/>
      <c r="EG113" s="150"/>
      <c r="EH113" s="151"/>
      <c r="EI113" s="150"/>
      <c r="EJ113" s="150"/>
      <c r="EK113" s="150"/>
      <c r="EL113" s="303"/>
      <c r="EM113" s="303"/>
      <c r="EN113" s="279"/>
      <c r="EO113" s="150"/>
      <c r="EP113" s="150"/>
      <c r="EQ113" s="150"/>
      <c r="ER113" s="150"/>
      <c r="ES113" s="150"/>
      <c r="ET113" s="150"/>
      <c r="EU113" s="150"/>
      <c r="EV113" s="150"/>
      <c r="EW113" s="303"/>
      <c r="EX113" s="303"/>
      <c r="EY113" s="150"/>
      <c r="EZ113" s="150"/>
      <c r="FA113" s="150"/>
      <c r="FB113" s="150"/>
      <c r="FC113" s="150"/>
      <c r="FD113" s="150"/>
      <c r="FE113" s="150"/>
      <c r="FF113" s="150"/>
      <c r="FG113" s="152"/>
      <c r="FH113" s="152"/>
      <c r="FI113" s="150"/>
      <c r="FJ113" s="150"/>
      <c r="FK113" s="150"/>
      <c r="FL113" s="150"/>
      <c r="FM113" s="150"/>
      <c r="FN113" s="150"/>
      <c r="FO113" s="150"/>
      <c r="FP113" s="150"/>
      <c r="FQ113" s="152"/>
      <c r="FR113" s="152"/>
      <c r="FS113" s="150"/>
      <c r="FT113" s="150"/>
      <c r="FU113" s="150"/>
      <c r="FV113" s="150"/>
      <c r="FW113" s="150"/>
      <c r="FX113" s="150"/>
      <c r="FY113" s="150"/>
      <c r="FZ113" s="150"/>
      <c r="GA113" s="152"/>
      <c r="GB113" s="152"/>
      <c r="GC113" s="150"/>
      <c r="GD113" s="150"/>
      <c r="GE113" s="150"/>
      <c r="GF113" s="150"/>
      <c r="GG113" s="150"/>
      <c r="GH113" s="150"/>
      <c r="GI113" s="150"/>
      <c r="GJ113" s="150"/>
      <c r="GK113" s="152"/>
      <c r="GL113" s="152"/>
      <c r="GM113" s="150"/>
      <c r="GN113" s="150"/>
      <c r="GO113" s="150"/>
      <c r="GP113" s="150"/>
      <c r="GQ113" s="150"/>
      <c r="GR113" s="150"/>
      <c r="GS113" s="150"/>
      <c r="GT113" s="150"/>
      <c r="GU113" s="152"/>
      <c r="GV113" s="152"/>
      <c r="GW113" s="150"/>
      <c r="GX113" s="150"/>
      <c r="GY113" s="150"/>
      <c r="GZ113" s="150"/>
      <c r="HA113" s="150"/>
      <c r="HB113" s="150"/>
      <c r="HC113" s="150"/>
      <c r="HD113" s="150"/>
      <c r="HE113" s="152"/>
      <c r="HF113" s="152"/>
      <c r="HG113" s="150"/>
      <c r="HH113" s="150"/>
      <c r="HI113" s="150"/>
      <c r="HJ113" s="150"/>
      <c r="HK113" s="150"/>
      <c r="HL113" s="150"/>
      <c r="HM113" s="150"/>
      <c r="HN113" s="150"/>
      <c r="HO113" s="152"/>
      <c r="HP113" s="152"/>
      <c r="HQ113" s="150"/>
      <c r="HR113" s="150"/>
      <c r="HS113" s="150"/>
      <c r="HT113" s="150"/>
      <c r="HU113" s="150"/>
      <c r="HV113" s="150"/>
      <c r="HW113" s="150"/>
      <c r="HX113" s="150"/>
      <c r="HY113" s="152"/>
      <c r="HZ113" s="152"/>
      <c r="IA113" s="150"/>
      <c r="IB113" s="150"/>
      <c r="IC113" s="150"/>
      <c r="ID113" s="150"/>
      <c r="IE113" s="150"/>
      <c r="IF113" s="150"/>
      <c r="IG113" s="150"/>
      <c r="IH113" s="150"/>
      <c r="II113" s="152"/>
      <c r="IJ113" s="152"/>
      <c r="IK113" s="150"/>
      <c r="IL113" s="150"/>
      <c r="IM113" s="150"/>
      <c r="IN113" s="150"/>
      <c r="IO113" s="150"/>
      <c r="IP113" s="150"/>
      <c r="IQ113" s="150"/>
      <c r="IR113" s="150"/>
      <c r="IS113" s="152"/>
      <c r="IT113" s="152"/>
      <c r="IU113" s="150"/>
      <c r="IV113" s="150"/>
      <c r="IW113" s="150"/>
      <c r="IX113" s="150"/>
      <c r="IY113" s="150"/>
      <c r="IZ113" s="150"/>
      <c r="JA113" s="150"/>
      <c r="JB113" s="150"/>
      <c r="JC113" s="152"/>
      <c r="JD113" s="152"/>
    </row>
    <row r="114" spans="1:264" s="119" customFormat="1" ht="15" customHeight="1">
      <c r="A114" s="79" t="s">
        <v>283</v>
      </c>
      <c r="B114" s="362">
        <v>57</v>
      </c>
      <c r="C114" s="362"/>
      <c r="D114" s="362">
        <v>1</v>
      </c>
      <c r="E114" s="604" t="s">
        <v>2012</v>
      </c>
      <c r="F114" s="124" t="s">
        <v>2244</v>
      </c>
      <c r="G114" s="125">
        <v>2016</v>
      </c>
      <c r="H114" s="79">
        <v>27459209</v>
      </c>
      <c r="I114" s="79">
        <v>1</v>
      </c>
      <c r="J114" s="126"/>
      <c r="K114" s="127"/>
      <c r="L114" s="79">
        <v>1</v>
      </c>
      <c r="M114" s="79"/>
      <c r="N114" s="79">
        <v>1</v>
      </c>
      <c r="O114" s="128">
        <v>1</v>
      </c>
      <c r="P114" s="79" t="s">
        <v>742</v>
      </c>
      <c r="Q114" s="79" t="s">
        <v>1188</v>
      </c>
      <c r="R114" s="79" t="s">
        <v>25</v>
      </c>
      <c r="S114" s="79">
        <v>1</v>
      </c>
      <c r="T114" s="79"/>
      <c r="U114" s="79"/>
      <c r="V114" s="79"/>
      <c r="W114" s="79" t="s">
        <v>743</v>
      </c>
      <c r="X114" s="79" t="s">
        <v>24</v>
      </c>
      <c r="Y114" s="79" t="s">
        <v>24</v>
      </c>
      <c r="Z114" s="79"/>
      <c r="AA114" s="79"/>
      <c r="AB114" s="79"/>
      <c r="AC114" s="506"/>
      <c r="AD114" s="573">
        <v>1</v>
      </c>
      <c r="AE114" s="573">
        <v>1</v>
      </c>
      <c r="AF114" s="233">
        <v>0</v>
      </c>
      <c r="AG114" s="234" t="s">
        <v>7057</v>
      </c>
      <c r="AH114" s="135">
        <v>2</v>
      </c>
      <c r="AI114" s="135"/>
      <c r="AJ114" s="235"/>
      <c r="AK114" s="236"/>
      <c r="AL114" s="237"/>
      <c r="AM114" s="246"/>
      <c r="AN114" s="135"/>
      <c r="AO114" s="135"/>
      <c r="AP114" s="135"/>
      <c r="AQ114" s="135"/>
      <c r="AR114" s="135"/>
      <c r="AS114" s="135"/>
      <c r="AT114" s="135"/>
      <c r="AU114" s="135"/>
      <c r="AV114" s="135"/>
      <c r="AW114" s="135"/>
      <c r="AX114" s="135"/>
      <c r="AY114" s="135"/>
      <c r="AZ114" s="135"/>
      <c r="BA114" s="135"/>
      <c r="BB114" s="691"/>
      <c r="BC114" s="691"/>
      <c r="BD114" s="239"/>
      <c r="BE114" s="239"/>
      <c r="BF114" s="239"/>
      <c r="BG114" s="239"/>
      <c r="BH114" s="239"/>
      <c r="BI114" s="239"/>
      <c r="BJ114" s="239" t="s">
        <v>6160</v>
      </c>
      <c r="BK114" s="156"/>
      <c r="BL114" s="156"/>
      <c r="BM114" s="156" t="s">
        <v>5545</v>
      </c>
      <c r="BN114" s="156"/>
      <c r="BO114" s="156"/>
      <c r="BP114" s="156"/>
      <c r="BQ114" s="595" t="s">
        <v>6157</v>
      </c>
      <c r="BR114" s="157"/>
      <c r="BS114" s="660"/>
      <c r="BT114" s="134"/>
      <c r="BU114" s="134"/>
      <c r="BV114" s="134"/>
      <c r="BW114" s="134"/>
      <c r="BX114" s="134"/>
      <c r="BY114" s="134"/>
      <c r="BZ114" s="259" t="s">
        <v>24</v>
      </c>
      <c r="CA114" s="454"/>
      <c r="CB114" s="138"/>
      <c r="CC114" s="134"/>
      <c r="CD114" s="134"/>
      <c r="CE114" s="134"/>
      <c r="CF114" s="138"/>
      <c r="CG114" s="134"/>
      <c r="CH114" s="134"/>
      <c r="CI114" s="134"/>
      <c r="CJ114" s="288"/>
      <c r="CK114" s="289"/>
      <c r="CL114" s="342"/>
      <c r="CM114" s="190"/>
      <c r="CN114" s="168"/>
      <c r="CO114" s="190"/>
      <c r="CP114" s="168"/>
      <c r="CQ114" s="134"/>
      <c r="CR114" s="134"/>
      <c r="CS114" s="134"/>
      <c r="CT114" s="288"/>
      <c r="CU114" s="289"/>
      <c r="CV114" s="276"/>
      <c r="CW114" s="308"/>
      <c r="CX114" s="138"/>
      <c r="CY114" s="134"/>
      <c r="CZ114" s="134"/>
      <c r="DA114" s="134"/>
      <c r="DB114" s="134"/>
      <c r="DC114" s="134"/>
      <c r="DD114" s="134"/>
      <c r="DE114" s="134"/>
      <c r="DF114" s="300"/>
      <c r="DG114" s="301"/>
      <c r="DH114" s="134"/>
      <c r="DI114" s="134"/>
      <c r="DJ114" s="134"/>
      <c r="DK114" s="134"/>
      <c r="DL114" s="134"/>
      <c r="DM114" s="134"/>
      <c r="DN114" s="134"/>
      <c r="DO114" s="134"/>
      <c r="DP114" s="300"/>
      <c r="DQ114" s="301"/>
      <c r="DR114" s="276"/>
      <c r="DS114" s="277"/>
      <c r="DT114" s="134"/>
      <c r="DU114" s="190"/>
      <c r="DV114" s="134"/>
      <c r="DW114" s="134"/>
      <c r="DX114" s="138"/>
      <c r="DY114" s="134"/>
      <c r="DZ114" s="134"/>
      <c r="EA114" s="134"/>
      <c r="EB114" s="301"/>
      <c r="EC114" s="301"/>
      <c r="ED114" s="138"/>
      <c r="EE114" s="134"/>
      <c r="EF114" s="134"/>
      <c r="EG114" s="134"/>
      <c r="EH114" s="138"/>
      <c r="EI114" s="134"/>
      <c r="EJ114" s="134"/>
      <c r="EK114" s="134"/>
      <c r="EL114" s="301"/>
      <c r="EM114" s="301"/>
      <c r="EN114" s="277"/>
      <c r="EO114" s="134"/>
      <c r="EP114" s="134"/>
      <c r="EQ114" s="134"/>
      <c r="ER114" s="134"/>
      <c r="ES114" s="134"/>
      <c r="ET114" s="134"/>
      <c r="EU114" s="134"/>
      <c r="EV114" s="134"/>
      <c r="EW114" s="301"/>
      <c r="EX114" s="301"/>
      <c r="EY114" s="134"/>
      <c r="EZ114" s="134"/>
      <c r="FA114" s="134"/>
      <c r="FB114" s="134"/>
      <c r="FC114" s="134"/>
      <c r="FD114" s="134"/>
      <c r="FE114" s="134"/>
      <c r="FF114" s="134"/>
      <c r="FG114" s="135"/>
      <c r="FH114" s="135"/>
      <c r="FI114" s="134"/>
      <c r="FJ114" s="134"/>
      <c r="FK114" s="134"/>
      <c r="FL114" s="134"/>
      <c r="FM114" s="134"/>
      <c r="FN114" s="134"/>
      <c r="FO114" s="134"/>
      <c r="FP114" s="134"/>
      <c r="FQ114" s="135"/>
      <c r="FR114" s="135"/>
      <c r="FS114" s="134"/>
      <c r="FT114" s="134"/>
      <c r="FU114" s="134"/>
      <c r="FV114" s="134"/>
      <c r="FW114" s="134"/>
      <c r="FX114" s="134"/>
      <c r="FY114" s="134"/>
      <c r="FZ114" s="134"/>
      <c r="GA114" s="135"/>
      <c r="GB114" s="135"/>
      <c r="GC114" s="134"/>
      <c r="GD114" s="134"/>
      <c r="GE114" s="134"/>
      <c r="GF114" s="134"/>
      <c r="GG114" s="134"/>
      <c r="GH114" s="134"/>
      <c r="GI114" s="134"/>
      <c r="GJ114" s="134"/>
      <c r="GK114" s="135"/>
      <c r="GL114" s="135"/>
      <c r="GM114" s="134"/>
      <c r="GN114" s="134"/>
      <c r="GO114" s="134"/>
      <c r="GP114" s="134"/>
      <c r="GQ114" s="134"/>
      <c r="GR114" s="134"/>
      <c r="GS114" s="134"/>
      <c r="GT114" s="134"/>
      <c r="GU114" s="135"/>
      <c r="GV114" s="135"/>
      <c r="GW114" s="134"/>
      <c r="GX114" s="134"/>
      <c r="GY114" s="134"/>
      <c r="GZ114" s="134"/>
      <c r="HA114" s="134"/>
      <c r="HB114" s="134"/>
      <c r="HC114" s="134"/>
      <c r="HD114" s="134"/>
      <c r="HE114" s="135"/>
      <c r="HF114" s="135"/>
      <c r="HG114" s="134"/>
      <c r="HH114" s="134"/>
      <c r="HI114" s="134"/>
      <c r="HJ114" s="134"/>
      <c r="HK114" s="134"/>
      <c r="HL114" s="134"/>
      <c r="HM114" s="134"/>
      <c r="HN114" s="134"/>
      <c r="HO114" s="135"/>
      <c r="HP114" s="135"/>
      <c r="HQ114" s="134"/>
      <c r="HR114" s="134"/>
      <c r="HS114" s="134"/>
      <c r="HT114" s="134"/>
      <c r="HU114" s="134"/>
      <c r="HV114" s="134"/>
      <c r="HW114" s="134"/>
      <c r="HX114" s="134"/>
      <c r="HY114" s="135"/>
      <c r="HZ114" s="135"/>
      <c r="IA114" s="134"/>
      <c r="IB114" s="134"/>
      <c r="IC114" s="134"/>
      <c r="ID114" s="134"/>
      <c r="IE114" s="134"/>
      <c r="IF114" s="134"/>
      <c r="IG114" s="134"/>
      <c r="IH114" s="134"/>
      <c r="II114" s="135"/>
      <c r="IJ114" s="135"/>
      <c r="IK114" s="134"/>
      <c r="IL114" s="134"/>
      <c r="IM114" s="134"/>
      <c r="IN114" s="134"/>
      <c r="IO114" s="134"/>
      <c r="IP114" s="134"/>
      <c r="IQ114" s="134"/>
      <c r="IR114" s="134"/>
      <c r="IS114" s="135"/>
      <c r="IT114" s="135"/>
      <c r="IU114" s="134"/>
      <c r="IV114" s="134"/>
      <c r="IW114" s="134"/>
      <c r="IX114" s="134"/>
      <c r="IY114" s="134"/>
      <c r="IZ114" s="134"/>
      <c r="JA114" s="134"/>
      <c r="JB114" s="134"/>
      <c r="JC114" s="135"/>
      <c r="JD114" s="135"/>
    </row>
    <row r="115" spans="1:264" customFormat="1" ht="15" customHeight="1">
      <c r="A115" s="79" t="s">
        <v>302</v>
      </c>
      <c r="B115" s="362">
        <v>217</v>
      </c>
      <c r="C115" s="362"/>
      <c r="D115" s="362">
        <v>88</v>
      </c>
      <c r="E115" s="604" t="s">
        <v>2023</v>
      </c>
      <c r="F115" s="124" t="s">
        <v>2256</v>
      </c>
      <c r="G115" s="125">
        <v>2013</v>
      </c>
      <c r="H115" s="79">
        <v>23672579</v>
      </c>
      <c r="I115" s="79">
        <v>1</v>
      </c>
      <c r="J115" s="126"/>
      <c r="K115" s="127"/>
      <c r="L115" s="79">
        <v>1</v>
      </c>
      <c r="M115" s="79"/>
      <c r="N115" s="79">
        <v>1</v>
      </c>
      <c r="O115" s="128">
        <v>1</v>
      </c>
      <c r="P115" s="79" t="s">
        <v>792</v>
      </c>
      <c r="Q115" s="79" t="s">
        <v>23</v>
      </c>
      <c r="R115" s="79" t="s">
        <v>762</v>
      </c>
      <c r="S115" s="79">
        <v>1</v>
      </c>
      <c r="T115" s="79"/>
      <c r="U115" s="79"/>
      <c r="V115" s="79"/>
      <c r="W115" s="79" t="s">
        <v>492</v>
      </c>
      <c r="X115" s="79" t="s">
        <v>24</v>
      </c>
      <c r="Y115" s="79" t="s">
        <v>24</v>
      </c>
      <c r="Z115" s="79" t="s">
        <v>793</v>
      </c>
      <c r="AA115" s="79"/>
      <c r="AB115" s="79"/>
      <c r="AC115" s="506" t="s">
        <v>6291</v>
      </c>
      <c r="AD115" s="573">
        <v>1</v>
      </c>
      <c r="AE115" s="573">
        <v>1</v>
      </c>
      <c r="AF115" s="165">
        <v>0</v>
      </c>
      <c r="AG115" s="166" t="s">
        <v>7060</v>
      </c>
      <c r="AH115" s="120">
        <v>2</v>
      </c>
      <c r="AI115" s="120"/>
      <c r="AJ115" s="206"/>
      <c r="AK115" s="372"/>
      <c r="AL115" s="207"/>
      <c r="AM115" s="683"/>
      <c r="AN115" s="120"/>
      <c r="AO115" s="120"/>
      <c r="AP115" s="120"/>
      <c r="AQ115" s="120"/>
      <c r="AR115" s="120"/>
      <c r="AS115" s="120"/>
      <c r="AT115" s="633"/>
      <c r="AU115" s="120"/>
      <c r="AV115" s="120"/>
      <c r="AW115" s="120"/>
      <c r="AX115" s="120"/>
      <c r="AY115" s="120"/>
      <c r="AZ115" s="120"/>
      <c r="BA115" s="120"/>
      <c r="BB115" s="377"/>
      <c r="BC115" s="377"/>
      <c r="BD115" s="373"/>
      <c r="BE115" s="373"/>
      <c r="BF115" s="373" t="s">
        <v>5207</v>
      </c>
      <c r="BG115" s="156"/>
      <c r="BH115" s="156"/>
      <c r="BI115" s="156" t="s">
        <v>5207</v>
      </c>
      <c r="BJ115" s="156" t="s">
        <v>5207</v>
      </c>
      <c r="BK115" s="156"/>
      <c r="BL115" s="156"/>
      <c r="BM115" s="156"/>
      <c r="BN115" s="156" t="s">
        <v>5207</v>
      </c>
      <c r="BO115" s="156" t="s">
        <v>5207</v>
      </c>
      <c r="BP115" s="156"/>
      <c r="BQ115" s="595"/>
      <c r="BR115" s="157"/>
      <c r="BS115" s="660"/>
      <c r="BT115" s="134"/>
      <c r="BU115" s="134"/>
      <c r="BV115" s="134"/>
      <c r="BW115" s="134"/>
      <c r="BX115" s="134"/>
      <c r="BY115" s="134"/>
      <c r="BZ115" s="259"/>
      <c r="CA115" s="454"/>
      <c r="CB115" s="138"/>
      <c r="CC115" s="134"/>
      <c r="CD115" s="134"/>
      <c r="CE115" s="134"/>
      <c r="CF115" s="138"/>
      <c r="CG115" s="134"/>
      <c r="CH115" s="134"/>
      <c r="CI115" s="134"/>
      <c r="CJ115" s="288"/>
      <c r="CK115" s="289"/>
      <c r="CL115" s="430"/>
      <c r="CM115" s="134"/>
      <c r="CN115" s="134"/>
      <c r="CO115" s="134"/>
      <c r="CP115" s="430"/>
      <c r="CQ115" s="134"/>
      <c r="CR115" s="134"/>
      <c r="CS115" s="134"/>
      <c r="CT115" s="288"/>
      <c r="CU115" s="289"/>
      <c r="CV115" s="479"/>
      <c r="CW115" s="308"/>
      <c r="CX115" s="138"/>
      <c r="CY115" s="134"/>
      <c r="CZ115" s="134"/>
      <c r="DA115" s="134"/>
      <c r="DB115" s="134"/>
      <c r="DC115" s="134"/>
      <c r="DD115" s="134"/>
      <c r="DE115" s="134"/>
      <c r="DF115" s="300"/>
      <c r="DG115" s="301"/>
      <c r="DH115" s="134"/>
      <c r="DI115" s="134"/>
      <c r="DJ115" s="134"/>
      <c r="DK115" s="134"/>
      <c r="DL115" s="134"/>
      <c r="DM115" s="134"/>
      <c r="DN115" s="134"/>
      <c r="DO115" s="134"/>
      <c r="DP115" s="300"/>
      <c r="DQ115" s="301"/>
      <c r="DR115" s="276"/>
      <c r="DS115" s="277"/>
      <c r="DT115" s="134"/>
      <c r="DU115" s="134"/>
      <c r="DV115" s="134"/>
      <c r="DW115" s="134"/>
      <c r="DX115" s="138"/>
      <c r="DY115" s="134"/>
      <c r="DZ115" s="134"/>
      <c r="EA115" s="134"/>
      <c r="EB115" s="301"/>
      <c r="EC115" s="301"/>
      <c r="ED115" s="138"/>
      <c r="EE115" s="134"/>
      <c r="EF115" s="134"/>
      <c r="EG115" s="134"/>
      <c r="EH115" s="138"/>
      <c r="EI115" s="134"/>
      <c r="EJ115" s="134"/>
      <c r="EK115" s="134"/>
      <c r="EL115" s="301"/>
      <c r="EM115" s="301"/>
      <c r="EN115" s="277"/>
      <c r="EO115" s="134"/>
      <c r="EP115" s="134"/>
      <c r="EQ115" s="134"/>
      <c r="ER115" s="134"/>
      <c r="ES115" s="134"/>
      <c r="ET115" s="134"/>
      <c r="EU115" s="134"/>
      <c r="EV115" s="134"/>
      <c r="EW115" s="301"/>
      <c r="EX115" s="301"/>
      <c r="EY115" s="134"/>
      <c r="EZ115" s="134"/>
      <c r="FA115" s="134"/>
      <c r="FB115" s="134"/>
      <c r="FC115" s="134"/>
      <c r="FD115" s="134"/>
      <c r="FE115" s="134"/>
      <c r="FF115" s="134"/>
      <c r="FG115" s="135"/>
      <c r="FH115" s="135"/>
      <c r="FI115" s="134"/>
      <c r="FJ115" s="134"/>
      <c r="FK115" s="134"/>
      <c r="FL115" s="134"/>
      <c r="FM115" s="134"/>
      <c r="FN115" s="134"/>
      <c r="FO115" s="134"/>
      <c r="FP115" s="134"/>
      <c r="FQ115" s="135"/>
      <c r="FR115" s="135"/>
      <c r="FS115" s="134"/>
      <c r="FT115" s="134"/>
      <c r="FU115" s="134"/>
      <c r="FV115" s="134"/>
      <c r="FW115" s="134"/>
      <c r="FX115" s="134"/>
      <c r="FY115" s="134"/>
      <c r="FZ115" s="134"/>
      <c r="GA115" s="135"/>
      <c r="GB115" s="135"/>
      <c r="GC115" s="134"/>
      <c r="GD115" s="134"/>
      <c r="GE115" s="134"/>
      <c r="GF115" s="134"/>
      <c r="GG115" s="134"/>
      <c r="GH115" s="134"/>
      <c r="GI115" s="134"/>
      <c r="GJ115" s="134"/>
      <c r="GK115" s="135"/>
      <c r="GL115" s="135"/>
      <c r="GM115" s="134"/>
      <c r="GN115" s="134"/>
      <c r="GO115" s="134"/>
      <c r="GP115" s="134"/>
      <c r="GQ115" s="134"/>
      <c r="GR115" s="134"/>
      <c r="GS115" s="134"/>
      <c r="GT115" s="134"/>
      <c r="GU115" s="135"/>
      <c r="GV115" s="135"/>
      <c r="GW115" s="134"/>
      <c r="GX115" s="134"/>
      <c r="GY115" s="134"/>
      <c r="GZ115" s="134"/>
      <c r="HA115" s="134"/>
      <c r="HB115" s="134"/>
      <c r="HC115" s="134"/>
      <c r="HD115" s="134"/>
      <c r="HE115" s="135"/>
      <c r="HF115" s="135"/>
      <c r="HG115" s="134"/>
      <c r="HH115" s="134"/>
      <c r="HI115" s="134"/>
      <c r="HJ115" s="134"/>
      <c r="HK115" s="134"/>
      <c r="HL115" s="134"/>
      <c r="HM115" s="134"/>
      <c r="HN115" s="134"/>
      <c r="HO115" s="135"/>
      <c r="HP115" s="135"/>
      <c r="HQ115" s="134"/>
      <c r="HR115" s="134"/>
      <c r="HS115" s="134"/>
      <c r="HT115" s="134"/>
      <c r="HU115" s="134"/>
      <c r="HV115" s="134"/>
      <c r="HW115" s="134"/>
      <c r="HX115" s="134"/>
      <c r="HY115" s="135"/>
      <c r="HZ115" s="135"/>
      <c r="IA115" s="134"/>
      <c r="IB115" s="134"/>
      <c r="IC115" s="134"/>
      <c r="ID115" s="134"/>
      <c r="IE115" s="134"/>
      <c r="IF115" s="134"/>
      <c r="IG115" s="134"/>
      <c r="IH115" s="134"/>
      <c r="II115" s="135"/>
      <c r="IJ115" s="135"/>
      <c r="IK115" s="134"/>
      <c r="IL115" s="134"/>
      <c r="IM115" s="134"/>
      <c r="IN115" s="134"/>
      <c r="IO115" s="134"/>
      <c r="IP115" s="134"/>
      <c r="IQ115" s="134"/>
      <c r="IR115" s="134"/>
      <c r="IS115" s="135"/>
      <c r="IT115" s="135"/>
      <c r="IU115" s="134"/>
      <c r="IV115" s="134"/>
      <c r="IW115" s="134"/>
      <c r="IX115" s="134"/>
      <c r="IY115" s="134"/>
      <c r="IZ115" s="134"/>
      <c r="JA115" s="134"/>
      <c r="JB115" s="134"/>
      <c r="JC115" s="135"/>
      <c r="JD115" s="135"/>
    </row>
    <row r="116" spans="1:264" customFormat="1" ht="15" customHeight="1">
      <c r="A116" s="79" t="s">
        <v>312</v>
      </c>
      <c r="B116" s="362">
        <v>221</v>
      </c>
      <c r="C116" s="362"/>
      <c r="D116" s="362">
        <v>89</v>
      </c>
      <c r="E116" s="604" t="s">
        <v>2026</v>
      </c>
      <c r="F116" s="124" t="s">
        <v>2259</v>
      </c>
      <c r="G116" s="125">
        <v>2015</v>
      </c>
      <c r="H116" s="79">
        <v>26029852</v>
      </c>
      <c r="I116" s="79">
        <v>1</v>
      </c>
      <c r="J116" s="126"/>
      <c r="K116" s="127"/>
      <c r="L116" s="79">
        <v>1</v>
      </c>
      <c r="M116" s="79"/>
      <c r="N116" s="79">
        <v>1</v>
      </c>
      <c r="O116" s="128">
        <v>1</v>
      </c>
      <c r="P116" s="79" t="s">
        <v>812</v>
      </c>
      <c r="Q116" s="79" t="s">
        <v>1154</v>
      </c>
      <c r="R116" s="79" t="s">
        <v>1194</v>
      </c>
      <c r="S116" s="79">
        <v>1</v>
      </c>
      <c r="T116" s="79"/>
      <c r="U116" s="79"/>
      <c r="V116" s="79"/>
      <c r="W116" s="79" t="s">
        <v>492</v>
      </c>
      <c r="X116" s="79" t="s">
        <v>24</v>
      </c>
      <c r="Y116" s="79" t="s">
        <v>24</v>
      </c>
      <c r="Z116" s="79" t="s">
        <v>24</v>
      </c>
      <c r="AA116" s="79"/>
      <c r="AB116" s="79"/>
      <c r="AC116" s="506" t="s">
        <v>6292</v>
      </c>
      <c r="AD116" s="573">
        <v>1</v>
      </c>
      <c r="AE116" s="573">
        <v>1</v>
      </c>
      <c r="AF116" s="165">
        <v>0</v>
      </c>
      <c r="AG116" s="166" t="s">
        <v>7061</v>
      </c>
      <c r="AH116" s="120">
        <v>2</v>
      </c>
      <c r="AI116" s="120"/>
      <c r="AJ116" s="206"/>
      <c r="AK116" s="372"/>
      <c r="AL116" s="207"/>
      <c r="AM116" s="683"/>
      <c r="AN116" s="120"/>
      <c r="AO116" s="120"/>
      <c r="AP116" s="120"/>
      <c r="AQ116" s="120"/>
      <c r="AR116" s="120"/>
      <c r="AS116" s="120"/>
      <c r="AT116" s="633"/>
      <c r="AU116" s="120"/>
      <c r="AV116" s="120"/>
      <c r="AW116" s="120"/>
      <c r="AX116" s="120"/>
      <c r="AY116" s="120"/>
      <c r="AZ116" s="120"/>
      <c r="BA116" s="120"/>
      <c r="BB116" s="377"/>
      <c r="BC116" s="377"/>
      <c r="BD116" s="373"/>
      <c r="BE116" s="373"/>
      <c r="BF116" s="373" t="s">
        <v>5207</v>
      </c>
      <c r="BG116" s="156"/>
      <c r="BH116" s="156"/>
      <c r="BI116" s="156" t="s">
        <v>5207</v>
      </c>
      <c r="BJ116" s="156" t="s">
        <v>6174</v>
      </c>
      <c r="BK116" s="156"/>
      <c r="BL116" s="156"/>
      <c r="BM116" s="156"/>
      <c r="BN116" s="156" t="s">
        <v>5207</v>
      </c>
      <c r="BO116" s="156"/>
      <c r="BP116" s="156" t="s">
        <v>6293</v>
      </c>
      <c r="BQ116" s="595"/>
      <c r="BR116" s="157"/>
      <c r="BS116" s="660"/>
      <c r="BT116" s="134"/>
      <c r="BU116" s="134"/>
      <c r="BV116" s="134"/>
      <c r="BW116" s="134"/>
      <c r="BX116" s="134"/>
      <c r="BY116" s="134"/>
      <c r="BZ116" s="259"/>
      <c r="CA116" s="454"/>
      <c r="CB116" s="138"/>
      <c r="CC116" s="134"/>
      <c r="CD116" s="134"/>
      <c r="CE116" s="134"/>
      <c r="CF116" s="138"/>
      <c r="CG116" s="134"/>
      <c r="CH116" s="134"/>
      <c r="CI116" s="134"/>
      <c r="CJ116" s="288"/>
      <c r="CK116" s="289"/>
      <c r="CL116" s="430"/>
      <c r="CM116" s="134"/>
      <c r="CN116" s="134"/>
      <c r="CO116" s="134"/>
      <c r="CP116" s="430"/>
      <c r="CQ116" s="134"/>
      <c r="CR116" s="134"/>
      <c r="CS116" s="134"/>
      <c r="CT116" s="288"/>
      <c r="CU116" s="289"/>
      <c r="CV116" s="479"/>
      <c r="CW116" s="308"/>
      <c r="CX116" s="138"/>
      <c r="CY116" s="134"/>
      <c r="CZ116" s="134"/>
      <c r="DA116" s="134"/>
      <c r="DB116" s="134"/>
      <c r="DC116" s="134"/>
      <c r="DD116" s="134"/>
      <c r="DE116" s="134"/>
      <c r="DF116" s="300"/>
      <c r="DG116" s="301"/>
      <c r="DH116" s="134"/>
      <c r="DI116" s="134"/>
      <c r="DJ116" s="134"/>
      <c r="DK116" s="134"/>
      <c r="DL116" s="134"/>
      <c r="DM116" s="134"/>
      <c r="DN116" s="134"/>
      <c r="DO116" s="134"/>
      <c r="DP116" s="300"/>
      <c r="DQ116" s="301"/>
      <c r="DR116" s="276"/>
      <c r="DS116" s="277"/>
      <c r="DT116" s="134"/>
      <c r="DU116" s="134"/>
      <c r="DV116" s="134"/>
      <c r="DW116" s="134"/>
      <c r="DX116" s="138"/>
      <c r="DY116" s="134"/>
      <c r="DZ116" s="134"/>
      <c r="EA116" s="134"/>
      <c r="EB116" s="301"/>
      <c r="EC116" s="301"/>
      <c r="ED116" s="138"/>
      <c r="EE116" s="134"/>
      <c r="EF116" s="134"/>
      <c r="EG116" s="134"/>
      <c r="EH116" s="138"/>
      <c r="EI116" s="134"/>
      <c r="EJ116" s="134"/>
      <c r="EK116" s="134"/>
      <c r="EL116" s="301"/>
      <c r="EM116" s="301"/>
      <c r="EN116" s="277"/>
      <c r="EO116" s="134"/>
      <c r="EP116" s="134"/>
      <c r="EQ116" s="134"/>
      <c r="ER116" s="134"/>
      <c r="ES116" s="134"/>
      <c r="ET116" s="134"/>
      <c r="EU116" s="134"/>
      <c r="EV116" s="134"/>
      <c r="EW116" s="301"/>
      <c r="EX116" s="301"/>
      <c r="EY116" s="134"/>
      <c r="EZ116" s="134"/>
      <c r="FA116" s="134"/>
      <c r="FB116" s="134"/>
      <c r="FC116" s="134"/>
      <c r="FD116" s="134"/>
      <c r="FE116" s="134"/>
      <c r="FF116" s="134"/>
      <c r="FG116" s="135"/>
      <c r="FH116" s="135"/>
      <c r="FI116" s="134"/>
      <c r="FJ116" s="134"/>
      <c r="FK116" s="134"/>
      <c r="FL116" s="134"/>
      <c r="FM116" s="134"/>
      <c r="FN116" s="134"/>
      <c r="FO116" s="134"/>
      <c r="FP116" s="134"/>
      <c r="FQ116" s="135"/>
      <c r="FR116" s="135"/>
      <c r="FS116" s="134"/>
      <c r="FT116" s="134"/>
      <c r="FU116" s="134"/>
      <c r="FV116" s="134"/>
      <c r="FW116" s="134"/>
      <c r="FX116" s="134"/>
      <c r="FY116" s="134"/>
      <c r="FZ116" s="134"/>
      <c r="GA116" s="135"/>
      <c r="GB116" s="135"/>
      <c r="GC116" s="134"/>
      <c r="GD116" s="134"/>
      <c r="GE116" s="134"/>
      <c r="GF116" s="134"/>
      <c r="GG116" s="134"/>
      <c r="GH116" s="134"/>
      <c r="GI116" s="134"/>
      <c r="GJ116" s="134"/>
      <c r="GK116" s="135"/>
      <c r="GL116" s="135"/>
      <c r="GM116" s="134"/>
      <c r="GN116" s="134"/>
      <c r="GO116" s="134"/>
      <c r="GP116" s="134"/>
      <c r="GQ116" s="134"/>
      <c r="GR116" s="134"/>
      <c r="GS116" s="134"/>
      <c r="GT116" s="134"/>
      <c r="GU116" s="135"/>
      <c r="GV116" s="135"/>
      <c r="GW116" s="134"/>
      <c r="GX116" s="134"/>
      <c r="GY116" s="134"/>
      <c r="GZ116" s="134"/>
      <c r="HA116" s="134"/>
      <c r="HB116" s="134"/>
      <c r="HC116" s="134"/>
      <c r="HD116" s="134"/>
      <c r="HE116" s="135"/>
      <c r="HF116" s="135"/>
      <c r="HG116" s="134"/>
      <c r="HH116" s="134"/>
      <c r="HI116" s="134"/>
      <c r="HJ116" s="134"/>
      <c r="HK116" s="134"/>
      <c r="HL116" s="134"/>
      <c r="HM116" s="134"/>
      <c r="HN116" s="134"/>
      <c r="HO116" s="135"/>
      <c r="HP116" s="135"/>
      <c r="HQ116" s="134"/>
      <c r="HR116" s="134"/>
      <c r="HS116" s="134"/>
      <c r="HT116" s="134"/>
      <c r="HU116" s="134"/>
      <c r="HV116" s="134"/>
      <c r="HW116" s="134"/>
      <c r="HX116" s="134"/>
      <c r="HY116" s="135"/>
      <c r="HZ116" s="135"/>
      <c r="IA116" s="134"/>
      <c r="IB116" s="134"/>
      <c r="IC116" s="134"/>
      <c r="ID116" s="134"/>
      <c r="IE116" s="134"/>
      <c r="IF116" s="134"/>
      <c r="IG116" s="134"/>
      <c r="IH116" s="134"/>
      <c r="II116" s="135"/>
      <c r="IJ116" s="135"/>
      <c r="IK116" s="134"/>
      <c r="IL116" s="134"/>
      <c r="IM116" s="134"/>
      <c r="IN116" s="134"/>
      <c r="IO116" s="134"/>
      <c r="IP116" s="134"/>
      <c r="IQ116" s="134"/>
      <c r="IR116" s="134"/>
      <c r="IS116" s="135"/>
      <c r="IT116" s="135"/>
      <c r="IU116" s="134"/>
      <c r="IV116" s="134"/>
      <c r="IW116" s="134"/>
      <c r="IX116" s="134"/>
      <c r="IY116" s="134"/>
      <c r="IZ116" s="134"/>
      <c r="JA116" s="134"/>
      <c r="JB116" s="134"/>
      <c r="JC116" s="135"/>
      <c r="JD116" s="135"/>
    </row>
    <row r="117" spans="1:264" s="119" customFormat="1" ht="15" customHeight="1">
      <c r="A117" s="79" t="s">
        <v>314</v>
      </c>
      <c r="B117" s="362">
        <v>223</v>
      </c>
      <c r="C117" s="362"/>
      <c r="D117" s="362">
        <v>90</v>
      </c>
      <c r="E117" s="604" t="s">
        <v>2028</v>
      </c>
      <c r="F117" s="124" t="s">
        <v>2261</v>
      </c>
      <c r="G117" s="125">
        <v>2014</v>
      </c>
      <c r="H117" s="79">
        <v>24686914</v>
      </c>
      <c r="I117" s="79">
        <v>1</v>
      </c>
      <c r="J117" s="126"/>
      <c r="K117" s="127"/>
      <c r="L117" s="79">
        <v>1</v>
      </c>
      <c r="M117" s="79"/>
      <c r="N117" s="79">
        <v>1</v>
      </c>
      <c r="O117" s="128">
        <v>1</v>
      </c>
      <c r="P117" s="79" t="s">
        <v>816</v>
      </c>
      <c r="Q117" s="79" t="s">
        <v>1189</v>
      </c>
      <c r="R117" s="79" t="s">
        <v>25</v>
      </c>
      <c r="S117" s="79">
        <v>1</v>
      </c>
      <c r="T117" s="79"/>
      <c r="U117" s="79"/>
      <c r="V117" s="79"/>
      <c r="W117" s="79" t="s">
        <v>817</v>
      </c>
      <c r="X117" s="79"/>
      <c r="Y117" s="79"/>
      <c r="Z117" s="79"/>
      <c r="AA117" s="79"/>
      <c r="AB117" s="79"/>
      <c r="AC117" s="506" t="s">
        <v>6296</v>
      </c>
      <c r="AD117" s="573">
        <v>1</v>
      </c>
      <c r="AE117" s="573">
        <v>1</v>
      </c>
      <c r="AF117" s="233" t="s">
        <v>3003</v>
      </c>
      <c r="AG117" s="382" t="s">
        <v>7062</v>
      </c>
      <c r="AH117" s="135">
        <v>2</v>
      </c>
      <c r="AI117" s="135"/>
      <c r="AJ117" s="234"/>
      <c r="AK117" s="236"/>
      <c r="AL117" s="237"/>
      <c r="AM117" s="246"/>
      <c r="AN117" s="135"/>
      <c r="AO117" s="135"/>
      <c r="AP117" s="135"/>
      <c r="AQ117" s="135"/>
      <c r="AR117" s="135"/>
      <c r="AS117" s="135"/>
      <c r="AT117" s="135"/>
      <c r="AU117" s="135"/>
      <c r="AV117" s="135"/>
      <c r="AW117" s="135"/>
      <c r="AX117" s="135"/>
      <c r="AY117" s="135"/>
      <c r="AZ117" s="135"/>
      <c r="BA117" s="135"/>
      <c r="BB117" s="691"/>
      <c r="BC117" s="691"/>
      <c r="BD117" s="239"/>
      <c r="BE117" s="239"/>
      <c r="BF117" s="239" t="s">
        <v>5207</v>
      </c>
      <c r="BG117" s="156"/>
      <c r="BH117" s="156"/>
      <c r="BI117" s="156" t="s">
        <v>6294</v>
      </c>
      <c r="BJ117" s="156"/>
      <c r="BK117" s="156"/>
      <c r="BL117" s="156"/>
      <c r="BM117" s="156"/>
      <c r="BN117" s="156" t="s">
        <v>5207</v>
      </c>
      <c r="BO117" s="156" t="s">
        <v>6295</v>
      </c>
      <c r="BP117" s="156">
        <v>1</v>
      </c>
      <c r="BQ117" s="595"/>
      <c r="BR117" s="157"/>
      <c r="BS117" s="660"/>
      <c r="BT117" s="134"/>
      <c r="BU117" s="134"/>
      <c r="BV117" s="134"/>
      <c r="BW117" s="134"/>
      <c r="BX117" s="134"/>
      <c r="BY117" s="134"/>
      <c r="BZ117" s="259"/>
      <c r="CA117" s="454"/>
      <c r="CB117" s="138"/>
      <c r="CC117" s="134"/>
      <c r="CD117" s="134"/>
      <c r="CE117" s="134"/>
      <c r="CF117" s="138"/>
      <c r="CG117" s="134"/>
      <c r="CH117" s="134"/>
      <c r="CI117" s="134"/>
      <c r="CJ117" s="288"/>
      <c r="CK117" s="289"/>
      <c r="CL117" s="138"/>
      <c r="CM117" s="134"/>
      <c r="CN117" s="134"/>
      <c r="CO117" s="134"/>
      <c r="CP117" s="138"/>
      <c r="CQ117" s="134"/>
      <c r="CR117" s="134"/>
      <c r="CS117" s="134"/>
      <c r="CT117" s="288"/>
      <c r="CU117" s="289"/>
      <c r="CV117" s="276"/>
      <c r="CW117" s="308"/>
      <c r="CX117" s="138"/>
      <c r="CY117" s="134"/>
      <c r="CZ117" s="134"/>
      <c r="DA117" s="134"/>
      <c r="DB117" s="134"/>
      <c r="DC117" s="134"/>
      <c r="DD117" s="134"/>
      <c r="DE117" s="134"/>
      <c r="DF117" s="300"/>
      <c r="DG117" s="301"/>
      <c r="DH117" s="134"/>
      <c r="DI117" s="134"/>
      <c r="DJ117" s="134"/>
      <c r="DK117" s="134"/>
      <c r="DL117" s="134"/>
      <c r="DM117" s="190"/>
      <c r="DN117" s="134"/>
      <c r="DO117" s="190"/>
      <c r="DP117" s="300"/>
      <c r="DQ117" s="301"/>
      <c r="DR117" s="276"/>
      <c r="DS117" s="277"/>
      <c r="DT117" s="134"/>
      <c r="DU117" s="134"/>
      <c r="DV117" s="134"/>
      <c r="DW117" s="134"/>
      <c r="DX117" s="138"/>
      <c r="DY117" s="134"/>
      <c r="DZ117" s="134"/>
      <c r="EA117" s="134"/>
      <c r="EB117" s="301"/>
      <c r="EC117" s="301"/>
      <c r="ED117" s="138"/>
      <c r="EE117" s="134"/>
      <c r="EF117" s="134"/>
      <c r="EG117" s="134"/>
      <c r="EH117" s="138"/>
      <c r="EI117" s="134"/>
      <c r="EJ117" s="134"/>
      <c r="EK117" s="134"/>
      <c r="EL117" s="301"/>
      <c r="EM117" s="301"/>
      <c r="EN117" s="277"/>
      <c r="EO117" s="134"/>
      <c r="EP117" s="134"/>
      <c r="EQ117" s="134"/>
      <c r="ER117" s="134"/>
      <c r="ES117" s="134"/>
      <c r="ET117" s="134"/>
      <c r="EU117" s="134"/>
      <c r="EV117" s="134"/>
      <c r="EW117" s="301"/>
      <c r="EX117" s="301"/>
      <c r="EY117" s="134"/>
      <c r="EZ117" s="134"/>
      <c r="FA117" s="134"/>
      <c r="FB117" s="134"/>
      <c r="FC117" s="134"/>
      <c r="FD117" s="134"/>
      <c r="FE117" s="134"/>
      <c r="FF117" s="134"/>
      <c r="FG117" s="135"/>
      <c r="FH117" s="135"/>
      <c r="FI117" s="134"/>
      <c r="FJ117" s="134"/>
      <c r="FK117" s="134"/>
      <c r="FL117" s="134"/>
      <c r="FM117" s="134"/>
      <c r="FN117" s="134"/>
      <c r="FO117" s="134"/>
      <c r="FP117" s="134"/>
      <c r="FQ117" s="135"/>
      <c r="FR117" s="135"/>
      <c r="FS117" s="134"/>
      <c r="FT117" s="134"/>
      <c r="FU117" s="134"/>
      <c r="FV117" s="134"/>
      <c r="FW117" s="134"/>
      <c r="FX117" s="134"/>
      <c r="FY117" s="134"/>
      <c r="FZ117" s="134"/>
      <c r="GA117" s="135"/>
      <c r="GB117" s="135"/>
      <c r="GC117" s="134"/>
      <c r="GD117" s="134"/>
      <c r="GE117" s="134"/>
      <c r="GF117" s="134"/>
      <c r="GG117" s="134"/>
      <c r="GH117" s="134"/>
      <c r="GI117" s="134"/>
      <c r="GJ117" s="134"/>
      <c r="GK117" s="135"/>
      <c r="GL117" s="135"/>
      <c r="GM117" s="134"/>
      <c r="GN117" s="134"/>
      <c r="GO117" s="134"/>
      <c r="GP117" s="134"/>
      <c r="GQ117" s="134"/>
      <c r="GR117" s="134"/>
      <c r="GS117" s="134"/>
      <c r="GT117" s="134"/>
      <c r="GU117" s="135"/>
      <c r="GV117" s="135"/>
      <c r="GW117" s="134"/>
      <c r="GX117" s="134"/>
      <c r="GY117" s="134"/>
      <c r="GZ117" s="134"/>
      <c r="HA117" s="134"/>
      <c r="HB117" s="134"/>
      <c r="HC117" s="134"/>
      <c r="HD117" s="134"/>
      <c r="HE117" s="135"/>
      <c r="HF117" s="135"/>
      <c r="HG117" s="134"/>
      <c r="HH117" s="134"/>
      <c r="HI117" s="134"/>
      <c r="HJ117" s="134"/>
      <c r="HK117" s="134"/>
      <c r="HL117" s="134"/>
      <c r="HM117" s="134"/>
      <c r="HN117" s="134"/>
      <c r="HO117" s="135"/>
      <c r="HP117" s="135"/>
      <c r="HQ117" s="134"/>
      <c r="HR117" s="134"/>
      <c r="HS117" s="134"/>
      <c r="HT117" s="134"/>
      <c r="HU117" s="134"/>
      <c r="HV117" s="134"/>
      <c r="HW117" s="134"/>
      <c r="HX117" s="134"/>
      <c r="HY117" s="135"/>
      <c r="HZ117" s="135"/>
      <c r="IA117" s="134"/>
      <c r="IB117" s="134"/>
      <c r="IC117" s="134"/>
      <c r="ID117" s="134"/>
      <c r="IE117" s="134"/>
      <c r="IF117" s="134"/>
      <c r="IG117" s="134"/>
      <c r="IH117" s="134"/>
      <c r="II117" s="135"/>
      <c r="IJ117" s="135"/>
      <c r="IK117" s="134"/>
      <c r="IL117" s="134"/>
      <c r="IM117" s="134"/>
      <c r="IN117" s="134"/>
      <c r="IO117" s="134"/>
      <c r="IP117" s="134"/>
      <c r="IQ117" s="134"/>
      <c r="IR117" s="134"/>
      <c r="IS117" s="135"/>
      <c r="IT117" s="135"/>
      <c r="IU117" s="134"/>
      <c r="IV117" s="134"/>
      <c r="IW117" s="134"/>
      <c r="IX117" s="134"/>
      <c r="IY117" s="134"/>
      <c r="IZ117" s="134"/>
      <c r="JA117" s="134"/>
      <c r="JB117" s="134"/>
      <c r="JC117" s="135"/>
      <c r="JD117" s="135"/>
    </row>
    <row r="118" spans="1:264" customFormat="1" ht="15" customHeight="1">
      <c r="A118" s="79" t="s">
        <v>967</v>
      </c>
      <c r="B118" s="362">
        <v>231</v>
      </c>
      <c r="C118" s="362"/>
      <c r="D118" s="362">
        <v>94</v>
      </c>
      <c r="E118" s="604" t="s">
        <v>2119</v>
      </c>
      <c r="F118" s="124" t="s">
        <v>2380</v>
      </c>
      <c r="G118" s="125">
        <v>2014</v>
      </c>
      <c r="H118" s="79">
        <v>25451096</v>
      </c>
      <c r="I118" s="79">
        <v>1</v>
      </c>
      <c r="J118" s="126" t="s">
        <v>1787</v>
      </c>
      <c r="K118" s="127" t="s">
        <v>1771</v>
      </c>
      <c r="L118" s="164">
        <v>0</v>
      </c>
      <c r="M118" s="79"/>
      <c r="N118" s="164">
        <v>1</v>
      </c>
      <c r="O118" s="128">
        <v>2</v>
      </c>
      <c r="P118" s="79" t="s">
        <v>1593</v>
      </c>
      <c r="Q118" s="79" t="s">
        <v>1377</v>
      </c>
      <c r="R118" s="79" t="s">
        <v>1127</v>
      </c>
      <c r="S118" s="79"/>
      <c r="T118" s="79" t="s">
        <v>1594</v>
      </c>
      <c r="U118" s="79" t="s">
        <v>803</v>
      </c>
      <c r="V118" s="79"/>
      <c r="W118" s="79" t="s">
        <v>1592</v>
      </c>
      <c r="X118" s="79" t="s">
        <v>1591</v>
      </c>
      <c r="Y118" s="79"/>
      <c r="Z118" s="79"/>
      <c r="AA118" s="79" t="s">
        <v>1581</v>
      </c>
      <c r="AB118" s="79"/>
      <c r="AC118" s="506" t="s">
        <v>6299</v>
      </c>
      <c r="AD118" s="573">
        <v>1</v>
      </c>
      <c r="AE118" s="573">
        <v>1</v>
      </c>
      <c r="AF118" s="154">
        <v>1</v>
      </c>
      <c r="AG118" s="155" t="s">
        <v>7066</v>
      </c>
      <c r="AH118" s="121">
        <v>4</v>
      </c>
      <c r="AI118" s="484"/>
      <c r="AJ118" s="202" t="s">
        <v>7069</v>
      </c>
      <c r="AK118" s="192" t="s">
        <v>7052</v>
      </c>
      <c r="AL118" s="203">
        <v>0</v>
      </c>
      <c r="AM118" s="121">
        <f>Table668[[#This Row],[Data_Subjects_n_ptsd]]+Table668[[#This Row],[Data_Subjects_n_control]]</f>
        <v>32</v>
      </c>
      <c r="AN118" s="121">
        <v>16</v>
      </c>
      <c r="AO118" s="121">
        <v>16</v>
      </c>
      <c r="AP118" s="121" t="s">
        <v>803</v>
      </c>
      <c r="AQ118" s="121" t="s">
        <v>803</v>
      </c>
      <c r="AR118" s="121" t="s">
        <v>2654</v>
      </c>
      <c r="AS118" s="121" t="s">
        <v>24</v>
      </c>
      <c r="AT118" s="448" t="s">
        <v>2654</v>
      </c>
      <c r="AU118" s="121" t="s">
        <v>24</v>
      </c>
      <c r="AV118" s="121" t="s">
        <v>7064</v>
      </c>
      <c r="AW118" s="121">
        <v>1</v>
      </c>
      <c r="AX118" s="121">
        <v>1</v>
      </c>
      <c r="AY118" s="121" t="s">
        <v>7109</v>
      </c>
      <c r="AZ118" s="121" t="s">
        <v>2912</v>
      </c>
      <c r="BA118" s="121" t="s">
        <v>6653</v>
      </c>
      <c r="BB118" s="594"/>
      <c r="BC118" s="594"/>
      <c r="BD118" s="156">
        <v>1</v>
      </c>
      <c r="BE118" s="156">
        <v>1</v>
      </c>
      <c r="BF118" s="156"/>
      <c r="BG118" s="156"/>
      <c r="BH118" s="156"/>
      <c r="BI118" s="156"/>
      <c r="BJ118" s="156">
        <v>1</v>
      </c>
      <c r="BK118" s="156"/>
      <c r="BL118" s="156"/>
      <c r="BM118" s="156"/>
      <c r="BN118" s="156"/>
      <c r="BO118" s="156"/>
      <c r="BP118" s="156"/>
      <c r="BQ118" s="595" t="s">
        <v>7051</v>
      </c>
      <c r="BR118" s="157" t="s">
        <v>6837</v>
      </c>
      <c r="BS118" s="660">
        <v>1</v>
      </c>
      <c r="BT118" s="134" t="s">
        <v>1876</v>
      </c>
      <c r="BU118" s="134" t="s">
        <v>7065</v>
      </c>
      <c r="BV118" s="150" t="s">
        <v>7067</v>
      </c>
      <c r="BW118" s="134" t="s">
        <v>7084</v>
      </c>
      <c r="BX118" s="134" t="s">
        <v>7076</v>
      </c>
      <c r="BY118" s="134" t="s">
        <v>7119</v>
      </c>
      <c r="BZ118" s="259" t="s">
        <v>7053</v>
      </c>
      <c r="CA118" s="454" t="s">
        <v>6627</v>
      </c>
      <c r="CB118" s="138" t="s">
        <v>7071</v>
      </c>
      <c r="CC118" s="134">
        <v>5.7</v>
      </c>
      <c r="CD118" s="134" t="s">
        <v>24</v>
      </c>
      <c r="CE118" s="134">
        <v>1.3</v>
      </c>
      <c r="CF118" s="168" t="s">
        <v>7072</v>
      </c>
      <c r="CG118" s="134">
        <v>15.9</v>
      </c>
      <c r="CH118" s="134" t="s">
        <v>24</v>
      </c>
      <c r="CI118" s="134">
        <v>0.7</v>
      </c>
      <c r="CJ118" s="301" t="s">
        <v>7077</v>
      </c>
      <c r="CK118" s="289" t="s">
        <v>3060</v>
      </c>
      <c r="CL118" s="138" t="s">
        <v>24</v>
      </c>
      <c r="CM118" s="138" t="s">
        <v>24</v>
      </c>
      <c r="CN118" s="134" t="s">
        <v>24</v>
      </c>
      <c r="CO118" s="134" t="s">
        <v>24</v>
      </c>
      <c r="CP118" s="168" t="s">
        <v>24</v>
      </c>
      <c r="CQ118" s="134" t="s">
        <v>24</v>
      </c>
      <c r="CR118" s="134" t="s">
        <v>24</v>
      </c>
      <c r="CS118" s="134" t="s">
        <v>24</v>
      </c>
      <c r="CT118" s="288" t="s">
        <v>24</v>
      </c>
      <c r="CU118" s="289" t="s">
        <v>24</v>
      </c>
      <c r="CV118" s="276" t="s">
        <v>24</v>
      </c>
      <c r="CW118" s="308" t="s">
        <v>24</v>
      </c>
      <c r="CX118" s="138"/>
      <c r="CY118" s="134"/>
      <c r="CZ118" s="134"/>
      <c r="DA118" s="134"/>
      <c r="DB118" s="134"/>
      <c r="DC118" s="134"/>
      <c r="DD118" s="134"/>
      <c r="DE118" s="134"/>
      <c r="DF118" s="300"/>
      <c r="DG118" s="301"/>
      <c r="DH118" s="134"/>
      <c r="DI118" s="134"/>
      <c r="DJ118" s="134"/>
      <c r="DK118" s="134"/>
      <c r="DL118" s="134"/>
      <c r="DM118" s="134"/>
      <c r="DN118" s="134"/>
      <c r="DO118" s="134"/>
      <c r="DP118" s="300"/>
      <c r="DQ118" s="301"/>
      <c r="DR118" s="276"/>
      <c r="DS118" s="277"/>
      <c r="DT118" s="190"/>
      <c r="DU118" s="190"/>
      <c r="DV118" s="190"/>
      <c r="DW118" s="190"/>
      <c r="DX118" s="556"/>
      <c r="DY118" s="190"/>
      <c r="DZ118" s="190"/>
      <c r="EA118" s="190"/>
      <c r="EB118" s="469"/>
      <c r="EC118" s="469"/>
      <c r="ED118" s="138"/>
      <c r="EE118" s="134"/>
      <c r="EF118" s="134"/>
      <c r="EG118" s="134"/>
      <c r="EH118" s="138"/>
      <c r="EI118" s="134"/>
      <c r="EJ118" s="134"/>
      <c r="EK118" s="134"/>
      <c r="EL118" s="301"/>
      <c r="EM118" s="301"/>
      <c r="EN118" s="277"/>
      <c r="EO118" s="134"/>
      <c r="EP118" s="134"/>
      <c r="EQ118" s="134"/>
      <c r="ER118" s="134"/>
      <c r="ES118" s="134"/>
      <c r="ET118" s="134"/>
      <c r="EU118" s="134"/>
      <c r="EV118" s="134"/>
      <c r="EW118" s="301"/>
      <c r="EX118" s="301"/>
      <c r="EY118" s="134"/>
      <c r="EZ118" s="134"/>
      <c r="FA118" s="134"/>
      <c r="FB118" s="134"/>
      <c r="FC118" s="134"/>
      <c r="FD118" s="134"/>
      <c r="FE118" s="134"/>
      <c r="FF118" s="134"/>
      <c r="FG118" s="135"/>
      <c r="FH118" s="135"/>
      <c r="FI118" s="134"/>
      <c r="FJ118" s="134"/>
      <c r="FK118" s="134"/>
      <c r="FL118" s="134"/>
      <c r="FM118" s="134"/>
      <c r="FN118" s="134"/>
      <c r="FO118" s="134"/>
      <c r="FP118" s="134"/>
      <c r="FQ118" s="135"/>
      <c r="FR118" s="135"/>
      <c r="FS118" s="134"/>
      <c r="FT118" s="134"/>
      <c r="FU118" s="134"/>
      <c r="FV118" s="134"/>
      <c r="FW118" s="134"/>
      <c r="FX118" s="134"/>
      <c r="FY118" s="134"/>
      <c r="FZ118" s="134"/>
      <c r="GA118" s="135"/>
      <c r="GB118" s="135"/>
      <c r="GC118" s="134"/>
      <c r="GD118" s="134"/>
      <c r="GE118" s="134"/>
      <c r="GF118" s="134"/>
      <c r="GG118" s="134"/>
      <c r="GH118" s="134"/>
      <c r="GI118" s="134"/>
      <c r="GJ118" s="134"/>
      <c r="GK118" s="135"/>
      <c r="GL118" s="135"/>
      <c r="GM118" s="134"/>
      <c r="GN118" s="134"/>
      <c r="GO118" s="134"/>
      <c r="GP118" s="134"/>
      <c r="GQ118" s="134"/>
      <c r="GR118" s="134"/>
      <c r="GS118" s="134"/>
      <c r="GT118" s="134"/>
      <c r="GU118" s="135"/>
      <c r="GV118" s="135"/>
      <c r="GW118" s="134"/>
      <c r="GX118" s="134"/>
      <c r="GY118" s="134"/>
      <c r="GZ118" s="134"/>
      <c r="HA118" s="134"/>
      <c r="HB118" s="134"/>
      <c r="HC118" s="134"/>
      <c r="HD118" s="134"/>
      <c r="HE118" s="135"/>
      <c r="HF118" s="135"/>
      <c r="HG118" s="134"/>
      <c r="HH118" s="134"/>
      <c r="HI118" s="134"/>
      <c r="HJ118" s="134"/>
      <c r="HK118" s="134"/>
      <c r="HL118" s="134"/>
      <c r="HM118" s="134"/>
      <c r="HN118" s="134"/>
      <c r="HO118" s="135"/>
      <c r="HP118" s="135"/>
      <c r="HQ118" s="134"/>
      <c r="HR118" s="134"/>
      <c r="HS118" s="134"/>
      <c r="HT118" s="134"/>
      <c r="HU118" s="134"/>
      <c r="HV118" s="134"/>
      <c r="HW118" s="134"/>
      <c r="HX118" s="134"/>
      <c r="HY118" s="135"/>
      <c r="HZ118" s="135"/>
      <c r="IA118" s="134"/>
      <c r="IB118" s="134"/>
      <c r="IC118" s="134"/>
      <c r="ID118" s="134"/>
      <c r="IE118" s="134"/>
      <c r="IF118" s="134"/>
      <c r="IG118" s="134"/>
      <c r="IH118" s="134"/>
      <c r="II118" s="135"/>
      <c r="IJ118" s="135"/>
      <c r="IK118" s="134"/>
      <c r="IL118" s="134"/>
      <c r="IM118" s="134"/>
      <c r="IN118" s="134"/>
      <c r="IO118" s="134"/>
      <c r="IP118" s="134"/>
      <c r="IQ118" s="134"/>
      <c r="IR118" s="134"/>
      <c r="IS118" s="135"/>
      <c r="IT118" s="135"/>
      <c r="IU118" s="134"/>
      <c r="IV118" s="134"/>
      <c r="IW118" s="134"/>
      <c r="IX118" s="134"/>
      <c r="IY118" s="134"/>
      <c r="IZ118" s="134"/>
      <c r="JA118" s="134"/>
      <c r="JB118" s="134"/>
      <c r="JC118" s="135"/>
      <c r="JD118" s="135"/>
    </row>
    <row r="119" spans="1:264" s="119" customFormat="1" ht="15" customHeight="1">
      <c r="A119" s="118" t="s">
        <v>967</v>
      </c>
      <c r="B119" s="616">
        <v>231</v>
      </c>
      <c r="C119" s="616"/>
      <c r="D119" s="616">
        <v>94</v>
      </c>
      <c r="E119" s="605" t="s">
        <v>2119</v>
      </c>
      <c r="F119" s="140" t="s">
        <v>2380</v>
      </c>
      <c r="G119" s="141">
        <v>2014</v>
      </c>
      <c r="H119" s="118">
        <v>25451096</v>
      </c>
      <c r="I119" s="118">
        <v>1</v>
      </c>
      <c r="J119" s="118" t="s">
        <v>1787</v>
      </c>
      <c r="K119" s="118" t="s">
        <v>1771</v>
      </c>
      <c r="L119" s="387">
        <v>0</v>
      </c>
      <c r="M119" s="118"/>
      <c r="N119" s="387">
        <v>1</v>
      </c>
      <c r="O119" s="142">
        <v>2</v>
      </c>
      <c r="P119" s="118" t="s">
        <v>1593</v>
      </c>
      <c r="Q119" s="118" t="s">
        <v>1377</v>
      </c>
      <c r="R119" s="118" t="s">
        <v>1127</v>
      </c>
      <c r="S119" s="118"/>
      <c r="T119" s="118" t="s">
        <v>1594</v>
      </c>
      <c r="U119" s="118" t="s">
        <v>803</v>
      </c>
      <c r="V119" s="118"/>
      <c r="W119" s="118" t="s">
        <v>1592</v>
      </c>
      <c r="X119" s="118" t="s">
        <v>1591</v>
      </c>
      <c r="Y119" s="118"/>
      <c r="Z119" s="118"/>
      <c r="AA119" s="118" t="s">
        <v>1581</v>
      </c>
      <c r="AB119" s="118"/>
      <c r="AC119" s="145" t="s">
        <v>6299</v>
      </c>
      <c r="AD119" s="653">
        <v>1</v>
      </c>
      <c r="AE119" s="653">
        <v>1</v>
      </c>
      <c r="AF119" s="159">
        <v>1</v>
      </c>
      <c r="AG119" s="160" t="s">
        <v>7066</v>
      </c>
      <c r="AH119" s="122">
        <v>4</v>
      </c>
      <c r="AI119" s="485"/>
      <c r="AJ119" s="204" t="s">
        <v>7069</v>
      </c>
      <c r="AK119" s="192" t="s">
        <v>7052</v>
      </c>
      <c r="AL119" s="205">
        <v>0</v>
      </c>
      <c r="AM119" s="122">
        <f>Table668[[#This Row],[Data_Subjects_n_ptsd]]+Table668[[#This Row],[Data_Subjects_n_control]]</f>
        <v>32</v>
      </c>
      <c r="AN119" s="122">
        <v>16</v>
      </c>
      <c r="AO119" s="122">
        <v>16</v>
      </c>
      <c r="AP119" s="122" t="s">
        <v>803</v>
      </c>
      <c r="AQ119" s="122" t="s">
        <v>803</v>
      </c>
      <c r="AR119" s="122" t="s">
        <v>2654</v>
      </c>
      <c r="AS119" s="122" t="s">
        <v>24</v>
      </c>
      <c r="AT119" s="689" t="s">
        <v>2654</v>
      </c>
      <c r="AU119" s="122" t="s">
        <v>24</v>
      </c>
      <c r="AV119" s="122" t="s">
        <v>7064</v>
      </c>
      <c r="AW119" s="122">
        <v>1</v>
      </c>
      <c r="AX119" s="122">
        <v>1</v>
      </c>
      <c r="AY119" s="122" t="s">
        <v>7109</v>
      </c>
      <c r="AZ119" s="122" t="s">
        <v>2912</v>
      </c>
      <c r="BA119" s="122" t="s">
        <v>6653</v>
      </c>
      <c r="BB119" s="588"/>
      <c r="BC119" s="588"/>
      <c r="BD119" s="161">
        <v>1</v>
      </c>
      <c r="BE119" s="161">
        <v>1</v>
      </c>
      <c r="BF119" s="161"/>
      <c r="BG119" s="161"/>
      <c r="BH119" s="161"/>
      <c r="BI119" s="161"/>
      <c r="BJ119" s="161">
        <v>1</v>
      </c>
      <c r="BK119" s="161"/>
      <c r="BL119" s="161"/>
      <c r="BM119" s="161"/>
      <c r="BN119" s="161"/>
      <c r="BO119" s="161"/>
      <c r="BP119" s="161"/>
      <c r="BQ119" s="596" t="s">
        <v>7056</v>
      </c>
      <c r="BR119" s="162" t="s">
        <v>6596</v>
      </c>
      <c r="BS119" s="659">
        <v>2</v>
      </c>
      <c r="BT119" s="150" t="s">
        <v>1876</v>
      </c>
      <c r="BU119" s="150" t="s">
        <v>7065</v>
      </c>
      <c r="BV119" s="150" t="s">
        <v>7067</v>
      </c>
      <c r="BW119" s="150" t="s">
        <v>7084</v>
      </c>
      <c r="BX119" s="150" t="s">
        <v>7068</v>
      </c>
      <c r="BY119" s="400" t="s">
        <v>7122</v>
      </c>
      <c r="BZ119" s="258" t="s">
        <v>7080</v>
      </c>
      <c r="CA119" s="257" t="s">
        <v>6627</v>
      </c>
      <c r="CB119" s="151" t="s">
        <v>7030</v>
      </c>
      <c r="CC119" s="266">
        <v>21.3</v>
      </c>
      <c r="CD119" s="150" t="s">
        <v>24</v>
      </c>
      <c r="CE119" s="150">
        <v>3.6</v>
      </c>
      <c r="CF119" s="151" t="s">
        <v>7073</v>
      </c>
      <c r="CG119" s="150">
        <v>12.1</v>
      </c>
      <c r="CH119" s="150" t="s">
        <v>24</v>
      </c>
      <c r="CI119" s="150">
        <v>2.8</v>
      </c>
      <c r="CJ119" s="290" t="s">
        <v>7078</v>
      </c>
      <c r="CK119" s="291" t="s">
        <v>2555</v>
      </c>
      <c r="CL119" s="151" t="s">
        <v>7074</v>
      </c>
      <c r="CM119" s="266">
        <v>27.3</v>
      </c>
      <c r="CN119" s="150" t="s">
        <v>24</v>
      </c>
      <c r="CO119" s="150">
        <v>4.9000000000000004</v>
      </c>
      <c r="CP119" s="151" t="s">
        <v>7075</v>
      </c>
      <c r="CQ119" s="150">
        <v>11.8</v>
      </c>
      <c r="CR119" s="150" t="s">
        <v>24</v>
      </c>
      <c r="CS119" s="150">
        <v>1.8</v>
      </c>
      <c r="CT119" s="290" t="s">
        <v>7079</v>
      </c>
      <c r="CU119" s="291" t="s">
        <v>2555</v>
      </c>
      <c r="CV119" s="278" t="s">
        <v>24</v>
      </c>
      <c r="CW119" s="285" t="s">
        <v>24</v>
      </c>
      <c r="CX119" s="151"/>
      <c r="CY119" s="150"/>
      <c r="CZ119" s="150"/>
      <c r="DA119" s="150"/>
      <c r="DB119" s="150"/>
      <c r="DC119" s="150"/>
      <c r="DD119" s="150"/>
      <c r="DE119" s="150"/>
      <c r="DF119" s="302"/>
      <c r="DG119" s="303"/>
      <c r="DH119" s="150"/>
      <c r="DI119" s="150"/>
      <c r="DJ119" s="150"/>
      <c r="DK119" s="150"/>
      <c r="DL119" s="150"/>
      <c r="DM119" s="150"/>
      <c r="DN119" s="150"/>
      <c r="DO119" s="150"/>
      <c r="DP119" s="302"/>
      <c r="DQ119" s="303"/>
      <c r="DR119" s="278"/>
      <c r="DS119" s="279"/>
      <c r="DT119" s="266"/>
      <c r="DU119" s="266"/>
      <c r="DV119" s="266"/>
      <c r="DW119" s="266"/>
      <c r="DX119" s="468"/>
      <c r="DY119" s="266"/>
      <c r="DZ119" s="266"/>
      <c r="EA119" s="266"/>
      <c r="EB119" s="665"/>
      <c r="EC119" s="665"/>
      <c r="ED119" s="151"/>
      <c r="EE119" s="150"/>
      <c r="EF119" s="150"/>
      <c r="EG119" s="150"/>
      <c r="EH119" s="151"/>
      <c r="EI119" s="150"/>
      <c r="EJ119" s="150"/>
      <c r="EK119" s="150"/>
      <c r="EL119" s="303"/>
      <c r="EM119" s="303"/>
      <c r="EN119" s="279"/>
      <c r="EO119" s="150"/>
      <c r="EP119" s="150"/>
      <c r="EQ119" s="150"/>
      <c r="ER119" s="150"/>
      <c r="ES119" s="150"/>
      <c r="ET119" s="150"/>
      <c r="EU119" s="150"/>
      <c r="EV119" s="150"/>
      <c r="EW119" s="303"/>
      <c r="EX119" s="303"/>
      <c r="EY119" s="150"/>
      <c r="EZ119" s="150"/>
      <c r="FA119" s="150"/>
      <c r="FB119" s="150"/>
      <c r="FC119" s="150"/>
      <c r="FD119" s="150"/>
      <c r="FE119" s="150"/>
      <c r="FF119" s="150"/>
      <c r="FG119" s="152"/>
      <c r="FH119" s="152"/>
      <c r="FI119" s="150"/>
      <c r="FJ119" s="150"/>
      <c r="FK119" s="150"/>
      <c r="FL119" s="150"/>
      <c r="FM119" s="150"/>
      <c r="FN119" s="150"/>
      <c r="FO119" s="150"/>
      <c r="FP119" s="150"/>
      <c r="FQ119" s="152"/>
      <c r="FR119" s="152"/>
      <c r="FS119" s="150"/>
      <c r="FT119" s="150"/>
      <c r="FU119" s="150"/>
      <c r="FV119" s="150"/>
      <c r="FW119" s="150"/>
      <c r="FX119" s="150"/>
      <c r="FY119" s="150"/>
      <c r="FZ119" s="150"/>
      <c r="GA119" s="152"/>
      <c r="GB119" s="152"/>
      <c r="GC119" s="150"/>
      <c r="GD119" s="150"/>
      <c r="GE119" s="150"/>
      <c r="GF119" s="150"/>
      <c r="GG119" s="150"/>
      <c r="GH119" s="150"/>
      <c r="GI119" s="150"/>
      <c r="GJ119" s="150"/>
      <c r="GK119" s="152"/>
      <c r="GL119" s="152"/>
      <c r="GM119" s="150"/>
      <c r="GN119" s="150"/>
      <c r="GO119" s="150"/>
      <c r="GP119" s="150"/>
      <c r="GQ119" s="150"/>
      <c r="GR119" s="150"/>
      <c r="GS119" s="150"/>
      <c r="GT119" s="150"/>
      <c r="GU119" s="152"/>
      <c r="GV119" s="152"/>
      <c r="GW119" s="150"/>
      <c r="GX119" s="150"/>
      <c r="GY119" s="150"/>
      <c r="GZ119" s="150"/>
      <c r="HA119" s="150"/>
      <c r="HB119" s="150"/>
      <c r="HC119" s="150"/>
      <c r="HD119" s="150"/>
      <c r="HE119" s="152"/>
      <c r="HF119" s="152"/>
      <c r="HG119" s="150"/>
      <c r="HH119" s="150"/>
      <c r="HI119" s="150"/>
      <c r="HJ119" s="150"/>
      <c r="HK119" s="150"/>
      <c r="HL119" s="150"/>
      <c r="HM119" s="150"/>
      <c r="HN119" s="150"/>
      <c r="HO119" s="152"/>
      <c r="HP119" s="152"/>
      <c r="HQ119" s="150"/>
      <c r="HR119" s="150"/>
      <c r="HS119" s="150"/>
      <c r="HT119" s="150"/>
      <c r="HU119" s="150"/>
      <c r="HV119" s="150"/>
      <c r="HW119" s="150"/>
      <c r="HX119" s="150"/>
      <c r="HY119" s="152"/>
      <c r="HZ119" s="152"/>
      <c r="IA119" s="150"/>
      <c r="IB119" s="150"/>
      <c r="IC119" s="150"/>
      <c r="ID119" s="150"/>
      <c r="IE119" s="150"/>
      <c r="IF119" s="150"/>
      <c r="IG119" s="150"/>
      <c r="IH119" s="150"/>
      <c r="II119" s="152"/>
      <c r="IJ119" s="152"/>
      <c r="IK119" s="150"/>
      <c r="IL119" s="150"/>
      <c r="IM119" s="150"/>
      <c r="IN119" s="150"/>
      <c r="IO119" s="150"/>
      <c r="IP119" s="150"/>
      <c r="IQ119" s="150"/>
      <c r="IR119" s="150"/>
      <c r="IS119" s="152"/>
      <c r="IT119" s="152"/>
      <c r="IU119" s="150"/>
      <c r="IV119" s="150"/>
      <c r="IW119" s="150"/>
      <c r="IX119" s="150"/>
      <c r="IY119" s="150"/>
      <c r="IZ119" s="150"/>
      <c r="JA119" s="150"/>
      <c r="JB119" s="150"/>
      <c r="JC119" s="152"/>
      <c r="JD119" s="152"/>
    </row>
    <row r="120" spans="1:264" s="119" customFormat="1" ht="15" customHeight="1">
      <c r="A120" s="79" t="s">
        <v>964</v>
      </c>
      <c r="B120" s="362">
        <v>235</v>
      </c>
      <c r="C120" s="362"/>
      <c r="D120" s="362">
        <v>96</v>
      </c>
      <c r="E120" s="604" t="s">
        <v>2121</v>
      </c>
      <c r="F120" s="124" t="s">
        <v>2382</v>
      </c>
      <c r="G120" s="125">
        <v>2016</v>
      </c>
      <c r="H120" s="79">
        <v>26538448</v>
      </c>
      <c r="I120" s="79">
        <v>1</v>
      </c>
      <c r="J120" s="126" t="s">
        <v>1788</v>
      </c>
      <c r="K120" s="127" t="s">
        <v>23</v>
      </c>
      <c r="L120" s="79">
        <v>1</v>
      </c>
      <c r="M120" s="79"/>
      <c r="N120" s="79">
        <v>1</v>
      </c>
      <c r="O120" s="128">
        <v>2</v>
      </c>
      <c r="P120" s="79" t="s">
        <v>1601</v>
      </c>
      <c r="Q120" s="79"/>
      <c r="R120" s="79" t="s">
        <v>1600</v>
      </c>
      <c r="S120" s="79"/>
      <c r="T120" s="79" t="s">
        <v>1495</v>
      </c>
      <c r="U120" s="79" t="s">
        <v>1539</v>
      </c>
      <c r="V120" s="79"/>
      <c r="W120" s="79" t="s">
        <v>1720</v>
      </c>
      <c r="X120" s="79"/>
      <c r="Y120" s="79"/>
      <c r="Z120" s="79"/>
      <c r="AA120" s="79"/>
      <c r="AB120" s="79"/>
      <c r="AC120" s="506" t="s">
        <v>6301</v>
      </c>
      <c r="AD120" s="573">
        <v>1</v>
      </c>
      <c r="AE120" s="573">
        <v>1</v>
      </c>
      <c r="AF120" s="233" t="s">
        <v>3003</v>
      </c>
      <c r="AG120" s="234" t="s">
        <v>7081</v>
      </c>
      <c r="AH120" s="135">
        <v>5</v>
      </c>
      <c r="AI120" s="135"/>
      <c r="AJ120" s="235"/>
      <c r="AK120" s="236"/>
      <c r="AL120" s="237"/>
      <c r="AM120" s="135"/>
      <c r="AN120" s="135"/>
      <c r="AO120" s="135"/>
      <c r="AP120" s="135"/>
      <c r="AQ120" s="135"/>
      <c r="AR120" s="135"/>
      <c r="AS120" s="135"/>
      <c r="AT120" s="690"/>
      <c r="AU120" s="135"/>
      <c r="AV120" s="135"/>
      <c r="AW120" s="135"/>
      <c r="AX120" s="135"/>
      <c r="AY120" s="135"/>
      <c r="AZ120" s="135"/>
      <c r="BA120" s="135"/>
      <c r="BB120" s="691">
        <v>1</v>
      </c>
      <c r="BC120" s="594"/>
      <c r="BD120" s="156" t="s">
        <v>6302</v>
      </c>
      <c r="BE120" s="156" t="s">
        <v>6205</v>
      </c>
      <c r="BF120" s="156"/>
      <c r="BG120" s="156"/>
      <c r="BH120" s="156"/>
      <c r="BI120" s="156"/>
      <c r="BJ120" s="156"/>
      <c r="BK120" s="156"/>
      <c r="BL120" s="156"/>
      <c r="BM120" s="156"/>
      <c r="BN120" s="156"/>
      <c r="BO120" s="156"/>
      <c r="BP120" s="156"/>
      <c r="BQ120" s="595"/>
      <c r="BR120" s="157"/>
      <c r="BS120" s="660"/>
      <c r="BT120" s="134"/>
      <c r="BU120" s="134"/>
      <c r="BV120" s="339"/>
      <c r="BW120" s="134"/>
      <c r="BX120" s="134"/>
      <c r="BY120" s="134"/>
      <c r="BZ120" s="259"/>
      <c r="CA120" s="454"/>
      <c r="CB120" s="138"/>
      <c r="CC120" s="134"/>
      <c r="CD120" s="134"/>
      <c r="CE120" s="134"/>
      <c r="CF120" s="138"/>
      <c r="CG120" s="190"/>
      <c r="CH120" s="134"/>
      <c r="CI120" s="190"/>
      <c r="CJ120" s="288"/>
      <c r="CK120" s="289"/>
      <c r="CL120" s="430"/>
      <c r="CM120" s="426"/>
      <c r="CN120" s="426"/>
      <c r="CO120" s="426"/>
      <c r="CP120" s="430"/>
      <c r="CQ120" s="426"/>
      <c r="CR120" s="426"/>
      <c r="CS120" s="426"/>
      <c r="CT120" s="288"/>
      <c r="CU120" s="289"/>
      <c r="CV120" s="276"/>
      <c r="CW120" s="308"/>
      <c r="CX120" s="138"/>
      <c r="CY120" s="134"/>
      <c r="CZ120" s="134"/>
      <c r="DA120" s="134"/>
      <c r="DB120" s="134"/>
      <c r="DC120" s="134"/>
      <c r="DD120" s="134"/>
      <c r="DE120" s="134"/>
      <c r="DF120" s="300"/>
      <c r="DG120" s="301"/>
      <c r="DH120" s="134"/>
      <c r="DI120" s="134"/>
      <c r="DJ120" s="134"/>
      <c r="DK120" s="134"/>
      <c r="DL120" s="134"/>
      <c r="DM120" s="134"/>
      <c r="DN120" s="134"/>
      <c r="DO120" s="134"/>
      <c r="DP120" s="300"/>
      <c r="DQ120" s="301"/>
      <c r="DR120" s="276"/>
      <c r="DS120" s="277"/>
      <c r="DT120" s="134"/>
      <c r="DU120" s="134"/>
      <c r="DV120" s="134"/>
      <c r="DW120" s="134"/>
      <c r="DX120" s="138"/>
      <c r="DY120" s="134"/>
      <c r="DZ120" s="134"/>
      <c r="EA120" s="134"/>
      <c r="EB120" s="301"/>
      <c r="EC120" s="301"/>
      <c r="ED120" s="138"/>
      <c r="EE120" s="134"/>
      <c r="EF120" s="134"/>
      <c r="EG120" s="134"/>
      <c r="EH120" s="138"/>
      <c r="EI120" s="134"/>
      <c r="EJ120" s="134"/>
      <c r="EK120" s="134"/>
      <c r="EL120" s="301"/>
      <c r="EM120" s="301"/>
      <c r="EN120" s="277"/>
      <c r="EO120" s="134"/>
      <c r="EP120" s="134"/>
      <c r="EQ120" s="134"/>
      <c r="ER120" s="134"/>
      <c r="ES120" s="134"/>
      <c r="ET120" s="134"/>
      <c r="EU120" s="134"/>
      <c r="EV120" s="134"/>
      <c r="EW120" s="301"/>
      <c r="EX120" s="301"/>
      <c r="EY120" s="134"/>
      <c r="EZ120" s="134"/>
      <c r="FA120" s="134"/>
      <c r="FB120" s="134"/>
      <c r="FC120" s="134"/>
      <c r="FD120" s="134"/>
      <c r="FE120" s="134"/>
      <c r="FF120" s="134"/>
      <c r="FG120" s="135"/>
      <c r="FH120" s="135"/>
      <c r="FI120" s="134"/>
      <c r="FJ120" s="134"/>
      <c r="FK120" s="134"/>
      <c r="FL120" s="134"/>
      <c r="FM120" s="134"/>
      <c r="FN120" s="134"/>
      <c r="FO120" s="134"/>
      <c r="FP120" s="134"/>
      <c r="FQ120" s="135"/>
      <c r="FR120" s="135"/>
      <c r="FS120" s="134"/>
      <c r="FT120" s="134"/>
      <c r="FU120" s="134"/>
      <c r="FV120" s="134"/>
      <c r="FW120" s="134"/>
      <c r="FX120" s="134"/>
      <c r="FY120" s="134"/>
      <c r="FZ120" s="134"/>
      <c r="GA120" s="135"/>
      <c r="GB120" s="135"/>
      <c r="GC120" s="134"/>
      <c r="GD120" s="134"/>
      <c r="GE120" s="134"/>
      <c r="GF120" s="134"/>
      <c r="GG120" s="134"/>
      <c r="GH120" s="134"/>
      <c r="GI120" s="134"/>
      <c r="GJ120" s="134"/>
      <c r="GK120" s="135"/>
      <c r="GL120" s="135"/>
      <c r="GM120" s="134"/>
      <c r="GN120" s="134"/>
      <c r="GO120" s="134"/>
      <c r="GP120" s="134"/>
      <c r="GQ120" s="134"/>
      <c r="GR120" s="134"/>
      <c r="GS120" s="134"/>
      <c r="GT120" s="134"/>
      <c r="GU120" s="135"/>
      <c r="GV120" s="135"/>
      <c r="GW120" s="134"/>
      <c r="GX120" s="134"/>
      <c r="GY120" s="134"/>
      <c r="GZ120" s="134"/>
      <c r="HA120" s="134"/>
      <c r="HB120" s="134"/>
      <c r="HC120" s="134"/>
      <c r="HD120" s="134"/>
      <c r="HE120" s="135"/>
      <c r="HF120" s="135"/>
      <c r="HG120" s="134"/>
      <c r="HH120" s="134"/>
      <c r="HI120" s="134"/>
      <c r="HJ120" s="134"/>
      <c r="HK120" s="134"/>
      <c r="HL120" s="134"/>
      <c r="HM120" s="134"/>
      <c r="HN120" s="134"/>
      <c r="HO120" s="135"/>
      <c r="HP120" s="135"/>
      <c r="HQ120" s="134"/>
      <c r="HR120" s="134"/>
      <c r="HS120" s="134"/>
      <c r="HT120" s="134"/>
      <c r="HU120" s="134"/>
      <c r="HV120" s="134"/>
      <c r="HW120" s="134"/>
      <c r="HX120" s="134"/>
      <c r="HY120" s="135"/>
      <c r="HZ120" s="135"/>
      <c r="IA120" s="134"/>
      <c r="IB120" s="134"/>
      <c r="IC120" s="134"/>
      <c r="ID120" s="134"/>
      <c r="IE120" s="134"/>
      <c r="IF120" s="134"/>
      <c r="IG120" s="134"/>
      <c r="IH120" s="134"/>
      <c r="II120" s="135"/>
      <c r="IJ120" s="135"/>
      <c r="IK120" s="134"/>
      <c r="IL120" s="134"/>
      <c r="IM120" s="134"/>
      <c r="IN120" s="134"/>
      <c r="IO120" s="134"/>
      <c r="IP120" s="134"/>
      <c r="IQ120" s="134"/>
      <c r="IR120" s="134"/>
      <c r="IS120" s="135"/>
      <c r="IT120" s="135"/>
      <c r="IU120" s="134"/>
      <c r="IV120" s="134"/>
      <c r="IW120" s="134"/>
      <c r="IX120" s="134"/>
      <c r="IY120" s="134"/>
      <c r="IZ120" s="134"/>
      <c r="JA120" s="134"/>
      <c r="JB120" s="134"/>
      <c r="JC120" s="135"/>
      <c r="JD120" s="135"/>
    </row>
    <row r="121" spans="1:264" s="119" customFormat="1" ht="15" customHeight="1">
      <c r="A121" s="79" t="s">
        <v>961</v>
      </c>
      <c r="B121" s="362">
        <v>244</v>
      </c>
      <c r="C121" s="362"/>
      <c r="D121" s="362">
        <v>100</v>
      </c>
      <c r="E121" s="604" t="s">
        <v>2124</v>
      </c>
      <c r="F121" s="124" t="s">
        <v>2385</v>
      </c>
      <c r="G121" s="125">
        <v>2012</v>
      </c>
      <c r="H121" s="79">
        <v>22776621</v>
      </c>
      <c r="I121" s="79">
        <v>1</v>
      </c>
      <c r="J121" s="126">
        <v>1</v>
      </c>
      <c r="K121" s="127"/>
      <c r="L121" s="79">
        <v>1</v>
      </c>
      <c r="M121" s="79"/>
      <c r="N121" s="79">
        <v>1</v>
      </c>
      <c r="O121" s="128">
        <v>2</v>
      </c>
      <c r="P121" s="79" t="s">
        <v>1607</v>
      </c>
      <c r="Q121" s="79" t="s">
        <v>1216</v>
      </c>
      <c r="R121" s="79" t="s">
        <v>1130</v>
      </c>
      <c r="S121" s="79"/>
      <c r="T121" s="79" t="s">
        <v>1541</v>
      </c>
      <c r="U121" s="79" t="s">
        <v>1539</v>
      </c>
      <c r="V121" s="79"/>
      <c r="W121" s="79" t="s">
        <v>1689</v>
      </c>
      <c r="X121" s="79"/>
      <c r="Y121" s="79" t="s">
        <v>1606</v>
      </c>
      <c r="Z121" s="79"/>
      <c r="AA121" s="79"/>
      <c r="AB121" s="79"/>
      <c r="AC121" s="506" t="s">
        <v>6308</v>
      </c>
      <c r="AD121" s="573">
        <v>1</v>
      </c>
      <c r="AE121" s="573">
        <v>1</v>
      </c>
      <c r="AF121" s="154">
        <v>1</v>
      </c>
      <c r="AG121" s="155" t="s">
        <v>7102</v>
      </c>
      <c r="AH121" s="121">
        <v>4</v>
      </c>
      <c r="AI121" s="484"/>
      <c r="AJ121" s="202" t="s">
        <v>7096</v>
      </c>
      <c r="AK121" s="192" t="s">
        <v>7090</v>
      </c>
      <c r="AL121" s="203">
        <v>0</v>
      </c>
      <c r="AM121" s="121">
        <v>36</v>
      </c>
      <c r="AN121" s="121">
        <f>2*Table668[[#This Row],[Data_Subjects_n_control]]</f>
        <v>24</v>
      </c>
      <c r="AO121" s="121">
        <f>Table668[[#This Row],[Data_Subjects_n]]/3</f>
        <v>12</v>
      </c>
      <c r="AP121" s="121" t="s">
        <v>803</v>
      </c>
      <c r="AQ121" s="121" t="s">
        <v>803</v>
      </c>
      <c r="AR121" s="121" t="s">
        <v>7082</v>
      </c>
      <c r="AS121" s="121" t="s">
        <v>24</v>
      </c>
      <c r="AT121" s="121" t="s">
        <v>7082</v>
      </c>
      <c r="AU121" s="121" t="s">
        <v>24</v>
      </c>
      <c r="AV121" s="121" t="s">
        <v>7086</v>
      </c>
      <c r="AW121" s="121">
        <v>1</v>
      </c>
      <c r="AX121" s="121" t="s">
        <v>7085</v>
      </c>
      <c r="AY121" s="121" t="s">
        <v>7087</v>
      </c>
      <c r="AZ121" s="121" t="s">
        <v>1130</v>
      </c>
      <c r="BA121" s="121" t="s">
        <v>6653</v>
      </c>
      <c r="BB121" s="594">
        <v>1</v>
      </c>
      <c r="BC121" s="594"/>
      <c r="BD121" s="156">
        <v>1</v>
      </c>
      <c r="BE121" s="156">
        <v>1</v>
      </c>
      <c r="BF121" s="156"/>
      <c r="BG121" s="156"/>
      <c r="BH121" s="156"/>
      <c r="BI121" s="156"/>
      <c r="BJ121" s="156">
        <v>1</v>
      </c>
      <c r="BK121" s="156"/>
      <c r="BL121" s="156"/>
      <c r="BM121" s="156"/>
      <c r="BN121" s="156"/>
      <c r="BO121" s="156"/>
      <c r="BP121" s="156"/>
      <c r="BQ121" s="595" t="s">
        <v>7088</v>
      </c>
      <c r="BR121" s="157" t="s">
        <v>6837</v>
      </c>
      <c r="BS121" s="660">
        <v>1</v>
      </c>
      <c r="BT121" s="134" t="s">
        <v>1876</v>
      </c>
      <c r="BU121" s="134" t="s">
        <v>7089</v>
      </c>
      <c r="BV121" s="134" t="s">
        <v>7101</v>
      </c>
      <c r="BW121" s="134" t="s">
        <v>7083</v>
      </c>
      <c r="BX121" s="134" t="s">
        <v>7093</v>
      </c>
      <c r="BY121" s="134" t="s">
        <v>6882</v>
      </c>
      <c r="BZ121" s="259" t="s">
        <v>7103</v>
      </c>
      <c r="CA121" s="454" t="s">
        <v>6627</v>
      </c>
      <c r="CB121" s="632" t="s">
        <v>7094</v>
      </c>
      <c r="CC121" s="134">
        <v>116.589</v>
      </c>
      <c r="CD121" s="168" t="s">
        <v>24</v>
      </c>
      <c r="CE121" s="134">
        <f>156.998-Table668[[#This Row],[Data_Outcome1_M]]</f>
        <v>40.408999999999992</v>
      </c>
      <c r="CF121" s="632" t="s">
        <v>7092</v>
      </c>
      <c r="CG121" s="134">
        <v>46.035699999999999</v>
      </c>
      <c r="CH121" s="134" t="s">
        <v>24</v>
      </c>
      <c r="CI121" s="134">
        <f>77.0558-Table668[[#This Row],[Data_Outcome2_M]]</f>
        <v>31.020100000000006</v>
      </c>
      <c r="CJ121" s="288" t="s">
        <v>24</v>
      </c>
      <c r="CK121" s="289" t="s">
        <v>24</v>
      </c>
      <c r="CL121" s="632" t="s">
        <v>7095</v>
      </c>
      <c r="CM121" s="426">
        <v>251.80799999999999</v>
      </c>
      <c r="CN121" s="426" t="s">
        <v>24</v>
      </c>
      <c r="CO121" s="426">
        <f>279.563-Table668[[#This Row],[Data_Outcome3_M]]</f>
        <v>27.754999999999995</v>
      </c>
      <c r="CP121" s="426" t="s">
        <v>24</v>
      </c>
      <c r="CQ121" s="426" t="s">
        <v>24</v>
      </c>
      <c r="CR121" s="426" t="s">
        <v>24</v>
      </c>
      <c r="CS121" s="426" t="s">
        <v>24</v>
      </c>
      <c r="CT121" s="288" t="s">
        <v>24</v>
      </c>
      <c r="CU121" s="289" t="s">
        <v>24</v>
      </c>
      <c r="CV121" s="276" t="s">
        <v>7100</v>
      </c>
      <c r="CW121" s="308" t="s">
        <v>7098</v>
      </c>
      <c r="CX121" s="137"/>
      <c r="CY121" s="134"/>
      <c r="CZ121" s="168"/>
      <c r="DA121" s="134"/>
      <c r="DB121" s="168"/>
      <c r="DC121" s="134"/>
      <c r="DD121" s="134"/>
      <c r="DE121" s="134"/>
      <c r="DF121" s="300"/>
      <c r="DG121" s="301"/>
      <c r="DH121" s="168"/>
      <c r="DI121" s="134"/>
      <c r="DJ121" s="168"/>
      <c r="DK121" s="134"/>
      <c r="DL121" s="168"/>
      <c r="DM121" s="134"/>
      <c r="DN121" s="134"/>
      <c r="DO121" s="134"/>
      <c r="DP121" s="300"/>
      <c r="DQ121" s="301"/>
      <c r="DR121" s="276"/>
      <c r="DS121" s="277"/>
      <c r="DT121" s="134"/>
      <c r="DU121" s="134"/>
      <c r="DV121" s="134"/>
      <c r="DW121" s="480"/>
      <c r="DX121" s="134"/>
      <c r="DY121" s="134"/>
      <c r="DZ121" s="134"/>
      <c r="EA121" s="134"/>
      <c r="EB121" s="301"/>
      <c r="EC121" s="301"/>
      <c r="ED121" s="138"/>
      <c r="EE121" s="134"/>
      <c r="EF121" s="134"/>
      <c r="EG121" s="134"/>
      <c r="EH121" s="138"/>
      <c r="EI121" s="134"/>
      <c r="EJ121" s="134"/>
      <c r="EK121" s="134"/>
      <c r="EL121" s="301"/>
      <c r="EM121" s="301"/>
      <c r="EN121" s="277"/>
      <c r="EO121" s="134"/>
      <c r="EP121" s="134"/>
      <c r="EQ121" s="134"/>
      <c r="ER121" s="134"/>
      <c r="ES121" s="134"/>
      <c r="ET121" s="134"/>
      <c r="EU121" s="134"/>
      <c r="EV121" s="134"/>
      <c r="EW121" s="301"/>
      <c r="EX121" s="301"/>
      <c r="EY121" s="134"/>
      <c r="EZ121" s="134"/>
      <c r="FA121" s="134"/>
      <c r="FB121" s="134"/>
      <c r="FC121" s="134"/>
      <c r="FD121" s="134"/>
      <c r="FE121" s="134"/>
      <c r="FF121" s="134"/>
      <c r="FG121" s="135"/>
      <c r="FH121" s="135"/>
      <c r="FI121" s="134"/>
      <c r="FJ121" s="134"/>
      <c r="FK121" s="134"/>
      <c r="FL121" s="134"/>
      <c r="FM121" s="134"/>
      <c r="FN121" s="134"/>
      <c r="FO121" s="134"/>
      <c r="FP121" s="134"/>
      <c r="FQ121" s="135"/>
      <c r="FR121" s="135"/>
      <c r="FS121" s="134"/>
      <c r="FT121" s="134"/>
      <c r="FU121" s="134"/>
      <c r="FV121" s="134"/>
      <c r="FW121" s="134"/>
      <c r="FX121" s="134"/>
      <c r="FY121" s="134"/>
      <c r="FZ121" s="134"/>
      <c r="GA121" s="135"/>
      <c r="GB121" s="135"/>
      <c r="GC121" s="134"/>
      <c r="GD121" s="134"/>
      <c r="GE121" s="134"/>
      <c r="GF121" s="134"/>
      <c r="GG121" s="134"/>
      <c r="GH121" s="134"/>
      <c r="GI121" s="134"/>
      <c r="GJ121" s="134"/>
      <c r="GK121" s="135"/>
      <c r="GL121" s="135"/>
      <c r="GM121" s="134"/>
      <c r="GN121" s="134"/>
      <c r="GO121" s="134"/>
      <c r="GP121" s="134"/>
      <c r="GQ121" s="134"/>
      <c r="GR121" s="134"/>
      <c r="GS121" s="134"/>
      <c r="GT121" s="134"/>
      <c r="GU121" s="135"/>
      <c r="GV121" s="135"/>
      <c r="GW121" s="134"/>
      <c r="GX121" s="134"/>
      <c r="GY121" s="134"/>
      <c r="GZ121" s="134"/>
      <c r="HA121" s="134"/>
      <c r="HB121" s="134"/>
      <c r="HC121" s="134"/>
      <c r="HD121" s="134"/>
      <c r="HE121" s="135"/>
      <c r="HF121" s="135"/>
      <c r="HG121" s="134"/>
      <c r="HH121" s="134"/>
      <c r="HI121" s="134"/>
      <c r="HJ121" s="134"/>
      <c r="HK121" s="134"/>
      <c r="HL121" s="134"/>
      <c r="HM121" s="134"/>
      <c r="HN121" s="134"/>
      <c r="HO121" s="135"/>
      <c r="HP121" s="135"/>
      <c r="HQ121" s="134"/>
      <c r="HR121" s="134"/>
      <c r="HS121" s="134"/>
      <c r="HT121" s="134"/>
      <c r="HU121" s="134"/>
      <c r="HV121" s="134"/>
      <c r="HW121" s="134"/>
      <c r="HX121" s="134"/>
      <c r="HY121" s="135"/>
      <c r="HZ121" s="135"/>
      <c r="IA121" s="134"/>
      <c r="IB121" s="134"/>
      <c r="IC121" s="134"/>
      <c r="ID121" s="134"/>
      <c r="IE121" s="134"/>
      <c r="IF121" s="134"/>
      <c r="IG121" s="134"/>
      <c r="IH121" s="134"/>
      <c r="II121" s="135"/>
      <c r="IJ121" s="135"/>
      <c r="IK121" s="134"/>
      <c r="IL121" s="134"/>
      <c r="IM121" s="134"/>
      <c r="IN121" s="134"/>
      <c r="IO121" s="134"/>
      <c r="IP121" s="134"/>
      <c r="IQ121" s="134"/>
      <c r="IR121" s="134"/>
      <c r="IS121" s="135"/>
      <c r="IT121" s="135"/>
      <c r="IU121" s="134"/>
      <c r="IV121" s="134"/>
      <c r="IW121" s="134"/>
      <c r="IX121" s="134"/>
      <c r="IY121" s="134"/>
      <c r="IZ121" s="134"/>
      <c r="JA121" s="134"/>
      <c r="JB121" s="134"/>
      <c r="JC121" s="135"/>
      <c r="JD121" s="135"/>
    </row>
    <row r="122" spans="1:264" s="119" customFormat="1" ht="15" customHeight="1">
      <c r="A122" s="118" t="s">
        <v>961</v>
      </c>
      <c r="B122" s="616">
        <v>244</v>
      </c>
      <c r="C122" s="616"/>
      <c r="D122" s="616">
        <v>100</v>
      </c>
      <c r="E122" s="605" t="s">
        <v>2124</v>
      </c>
      <c r="F122" s="140" t="s">
        <v>2385</v>
      </c>
      <c r="G122" s="141">
        <v>2012</v>
      </c>
      <c r="H122" s="118">
        <v>22776621</v>
      </c>
      <c r="I122" s="118">
        <v>1</v>
      </c>
      <c r="J122" s="118">
        <v>1</v>
      </c>
      <c r="K122" s="118"/>
      <c r="L122" s="118">
        <v>1</v>
      </c>
      <c r="M122" s="118"/>
      <c r="N122" s="118">
        <v>1</v>
      </c>
      <c r="O122" s="142">
        <v>2</v>
      </c>
      <c r="P122" s="118" t="s">
        <v>1607</v>
      </c>
      <c r="Q122" s="118" t="s">
        <v>1216</v>
      </c>
      <c r="R122" s="118" t="s">
        <v>1130</v>
      </c>
      <c r="S122" s="118"/>
      <c r="T122" s="118" t="s">
        <v>1541</v>
      </c>
      <c r="U122" s="118" t="s">
        <v>1539</v>
      </c>
      <c r="V122" s="118"/>
      <c r="W122" s="118" t="s">
        <v>1689</v>
      </c>
      <c r="X122" s="118"/>
      <c r="Y122" s="118" t="s">
        <v>1606</v>
      </c>
      <c r="Z122" s="118"/>
      <c r="AA122" s="118"/>
      <c r="AB122" s="118"/>
      <c r="AC122" s="145" t="s">
        <v>6308</v>
      </c>
      <c r="AD122" s="653">
        <v>1</v>
      </c>
      <c r="AE122" s="653">
        <v>1</v>
      </c>
      <c r="AF122" s="159">
        <v>1</v>
      </c>
      <c r="AG122" s="160" t="s">
        <v>7102</v>
      </c>
      <c r="AH122" s="122">
        <v>4</v>
      </c>
      <c r="AI122" s="485"/>
      <c r="AJ122" s="204" t="s">
        <v>7097</v>
      </c>
      <c r="AK122" s="192" t="s">
        <v>7091</v>
      </c>
      <c r="AL122" s="205">
        <v>0</v>
      </c>
      <c r="AM122" s="122">
        <v>36</v>
      </c>
      <c r="AN122" s="122">
        <f>2*Table668[[#This Row],[Data_Subjects_n_control]]</f>
        <v>24</v>
      </c>
      <c r="AO122" s="122">
        <f>Table668[[#This Row],[Data_Subjects_n]]/3</f>
        <v>12</v>
      </c>
      <c r="AP122" s="122" t="s">
        <v>1878</v>
      </c>
      <c r="AQ122" s="122" t="s">
        <v>1878</v>
      </c>
      <c r="AR122" s="122" t="s">
        <v>7082</v>
      </c>
      <c r="AS122" s="122" t="s">
        <v>24</v>
      </c>
      <c r="AT122" s="122" t="s">
        <v>7082</v>
      </c>
      <c r="AU122" s="122" t="s">
        <v>24</v>
      </c>
      <c r="AV122" s="122" t="s">
        <v>7086</v>
      </c>
      <c r="AW122" s="122">
        <v>1</v>
      </c>
      <c r="AX122" s="122" t="s">
        <v>7085</v>
      </c>
      <c r="AY122" s="122" t="s">
        <v>7087</v>
      </c>
      <c r="AZ122" s="122" t="s">
        <v>1130</v>
      </c>
      <c r="BA122" s="122" t="s">
        <v>6653</v>
      </c>
      <c r="BB122" s="588">
        <v>1</v>
      </c>
      <c r="BC122" s="588"/>
      <c r="BD122" s="161">
        <v>1</v>
      </c>
      <c r="BE122" s="161">
        <v>1</v>
      </c>
      <c r="BF122" s="161"/>
      <c r="BG122" s="161"/>
      <c r="BH122" s="161"/>
      <c r="BI122" s="161"/>
      <c r="BJ122" s="161">
        <v>1</v>
      </c>
      <c r="BK122" s="161"/>
      <c r="BL122" s="161"/>
      <c r="BM122" s="161"/>
      <c r="BN122" s="161"/>
      <c r="BO122" s="161"/>
      <c r="BP122" s="161"/>
      <c r="BQ122" s="596" t="s">
        <v>7088</v>
      </c>
      <c r="BR122" s="162" t="s">
        <v>6837</v>
      </c>
      <c r="BS122" s="659">
        <v>1</v>
      </c>
      <c r="BT122" s="150" t="s">
        <v>1876</v>
      </c>
      <c r="BU122" s="150" t="s">
        <v>7089</v>
      </c>
      <c r="BV122" s="150" t="s">
        <v>7101</v>
      </c>
      <c r="BW122" s="150" t="s">
        <v>7083</v>
      </c>
      <c r="BX122" s="150" t="s">
        <v>7093</v>
      </c>
      <c r="BY122" s="150" t="s">
        <v>6882</v>
      </c>
      <c r="BZ122" s="258" t="s">
        <v>7103</v>
      </c>
      <c r="CA122" s="257" t="s">
        <v>6627</v>
      </c>
      <c r="CB122" s="692" t="s">
        <v>7094</v>
      </c>
      <c r="CC122" s="150">
        <v>11.051299999999999</v>
      </c>
      <c r="CD122" s="228" t="s">
        <v>24</v>
      </c>
      <c r="CE122" s="150">
        <f>17.9901-Table668[[#This Row],[Data_Outcome1_M]]</f>
        <v>6.9388000000000023</v>
      </c>
      <c r="CF122" s="692" t="s">
        <v>7092</v>
      </c>
      <c r="CG122" s="150">
        <v>5.8028300000000002</v>
      </c>
      <c r="CH122" s="150" t="s">
        <v>24</v>
      </c>
      <c r="CI122" s="150">
        <f>11.1093-Table668[[#This Row],[Data_Outcome2_M]]</f>
        <v>5.3064699999999991</v>
      </c>
      <c r="CJ122" s="290" t="s">
        <v>24</v>
      </c>
      <c r="CK122" s="291" t="s">
        <v>24</v>
      </c>
      <c r="CL122" s="692" t="s">
        <v>7095</v>
      </c>
      <c r="CM122" s="425">
        <v>247.08600000000001</v>
      </c>
      <c r="CN122" s="425" t="s">
        <v>24</v>
      </c>
      <c r="CO122" s="425">
        <f>260.555-Table668[[#This Row],[Data_Outcome3_M]]</f>
        <v>13.468999999999994</v>
      </c>
      <c r="CP122" s="425" t="s">
        <v>24</v>
      </c>
      <c r="CQ122" s="425" t="s">
        <v>24</v>
      </c>
      <c r="CR122" s="425" t="s">
        <v>24</v>
      </c>
      <c r="CS122" s="425" t="s">
        <v>24</v>
      </c>
      <c r="CT122" s="290" t="s">
        <v>24</v>
      </c>
      <c r="CU122" s="291" t="s">
        <v>24</v>
      </c>
      <c r="CV122" s="278" t="s">
        <v>7100</v>
      </c>
      <c r="CW122" s="285" t="s">
        <v>7099</v>
      </c>
      <c r="CX122" s="167"/>
      <c r="CY122" s="150"/>
      <c r="CZ122" s="228"/>
      <c r="DA122" s="150"/>
      <c r="DB122" s="228"/>
      <c r="DC122" s="150"/>
      <c r="DD122" s="150"/>
      <c r="DE122" s="150"/>
      <c r="DF122" s="302"/>
      <c r="DG122" s="303"/>
      <c r="DH122" s="228"/>
      <c r="DI122" s="150"/>
      <c r="DJ122" s="228"/>
      <c r="DK122" s="150"/>
      <c r="DL122" s="228"/>
      <c r="DM122" s="150"/>
      <c r="DN122" s="150"/>
      <c r="DO122" s="150"/>
      <c r="DP122" s="302"/>
      <c r="DQ122" s="303"/>
      <c r="DR122" s="278"/>
      <c r="DS122" s="279"/>
      <c r="DT122" s="150"/>
      <c r="DU122" s="150"/>
      <c r="DV122" s="150"/>
      <c r="DW122" s="555"/>
      <c r="DX122" s="150"/>
      <c r="DY122" s="150"/>
      <c r="DZ122" s="150"/>
      <c r="EA122" s="150"/>
      <c r="EB122" s="303"/>
      <c r="EC122" s="303"/>
      <c r="ED122" s="151"/>
      <c r="EE122" s="150"/>
      <c r="EF122" s="150"/>
      <c r="EG122" s="150"/>
      <c r="EH122" s="151"/>
      <c r="EI122" s="150"/>
      <c r="EJ122" s="150"/>
      <c r="EK122" s="150"/>
      <c r="EL122" s="303"/>
      <c r="EM122" s="303"/>
      <c r="EN122" s="279"/>
      <c r="EO122" s="150"/>
      <c r="EP122" s="150"/>
      <c r="EQ122" s="150"/>
      <c r="ER122" s="150"/>
      <c r="ES122" s="150"/>
      <c r="ET122" s="150"/>
      <c r="EU122" s="150"/>
      <c r="EV122" s="150"/>
      <c r="EW122" s="303"/>
      <c r="EX122" s="303"/>
      <c r="EY122" s="150"/>
      <c r="EZ122" s="150"/>
      <c r="FA122" s="150"/>
      <c r="FB122" s="150"/>
      <c r="FC122" s="150"/>
      <c r="FD122" s="150"/>
      <c r="FE122" s="150"/>
      <c r="FF122" s="150"/>
      <c r="FG122" s="152"/>
      <c r="FH122" s="152"/>
      <c r="FI122" s="150"/>
      <c r="FJ122" s="150"/>
      <c r="FK122" s="150"/>
      <c r="FL122" s="150"/>
      <c r="FM122" s="150"/>
      <c r="FN122" s="150"/>
      <c r="FO122" s="150"/>
      <c r="FP122" s="150"/>
      <c r="FQ122" s="152"/>
      <c r="FR122" s="152"/>
      <c r="FS122" s="150"/>
      <c r="FT122" s="150"/>
      <c r="FU122" s="150"/>
      <c r="FV122" s="150"/>
      <c r="FW122" s="150"/>
      <c r="FX122" s="150"/>
      <c r="FY122" s="150"/>
      <c r="FZ122" s="150"/>
      <c r="GA122" s="152"/>
      <c r="GB122" s="152"/>
      <c r="GC122" s="150"/>
      <c r="GD122" s="150"/>
      <c r="GE122" s="150"/>
      <c r="GF122" s="150"/>
      <c r="GG122" s="150"/>
      <c r="GH122" s="150"/>
      <c r="GI122" s="150"/>
      <c r="GJ122" s="150"/>
      <c r="GK122" s="152"/>
      <c r="GL122" s="152"/>
      <c r="GM122" s="150"/>
      <c r="GN122" s="150"/>
      <c r="GO122" s="150"/>
      <c r="GP122" s="150"/>
      <c r="GQ122" s="150"/>
      <c r="GR122" s="150"/>
      <c r="GS122" s="150"/>
      <c r="GT122" s="150"/>
      <c r="GU122" s="152"/>
      <c r="GV122" s="152"/>
      <c r="GW122" s="150"/>
      <c r="GX122" s="150"/>
      <c r="GY122" s="150"/>
      <c r="GZ122" s="150"/>
      <c r="HA122" s="150"/>
      <c r="HB122" s="150"/>
      <c r="HC122" s="150"/>
      <c r="HD122" s="150"/>
      <c r="HE122" s="152"/>
      <c r="HF122" s="152"/>
      <c r="HG122" s="150"/>
      <c r="HH122" s="150"/>
      <c r="HI122" s="150"/>
      <c r="HJ122" s="150"/>
      <c r="HK122" s="150"/>
      <c r="HL122" s="150"/>
      <c r="HM122" s="150"/>
      <c r="HN122" s="150"/>
      <c r="HO122" s="152"/>
      <c r="HP122" s="152"/>
      <c r="HQ122" s="150"/>
      <c r="HR122" s="150"/>
      <c r="HS122" s="150"/>
      <c r="HT122" s="150"/>
      <c r="HU122" s="150"/>
      <c r="HV122" s="150"/>
      <c r="HW122" s="150"/>
      <c r="HX122" s="150"/>
      <c r="HY122" s="152"/>
      <c r="HZ122" s="152"/>
      <c r="IA122" s="150"/>
      <c r="IB122" s="150"/>
      <c r="IC122" s="150"/>
      <c r="ID122" s="150"/>
      <c r="IE122" s="150"/>
      <c r="IF122" s="150"/>
      <c r="IG122" s="150"/>
      <c r="IH122" s="150"/>
      <c r="II122" s="152"/>
      <c r="IJ122" s="152"/>
      <c r="IK122" s="150"/>
      <c r="IL122" s="150"/>
      <c r="IM122" s="150"/>
      <c r="IN122" s="150"/>
      <c r="IO122" s="150"/>
      <c r="IP122" s="150"/>
      <c r="IQ122" s="150"/>
      <c r="IR122" s="150"/>
      <c r="IS122" s="152"/>
      <c r="IT122" s="152"/>
      <c r="IU122" s="150"/>
      <c r="IV122" s="150"/>
      <c r="IW122" s="150"/>
      <c r="IX122" s="150"/>
      <c r="IY122" s="150"/>
      <c r="IZ122" s="150"/>
      <c r="JA122" s="150"/>
      <c r="JB122" s="150"/>
      <c r="JC122" s="152"/>
      <c r="JD122" s="152"/>
    </row>
    <row r="123" spans="1:264" s="119" customFormat="1" ht="15" customHeight="1">
      <c r="A123" s="79" t="s">
        <v>960</v>
      </c>
      <c r="B123" s="362">
        <v>245</v>
      </c>
      <c r="C123" s="362"/>
      <c r="D123" s="362">
        <v>101</v>
      </c>
      <c r="E123" s="604" t="s">
        <v>2125</v>
      </c>
      <c r="F123" s="124" t="s">
        <v>2386</v>
      </c>
      <c r="G123" s="125">
        <v>2007</v>
      </c>
      <c r="H123" s="79">
        <v>17254618</v>
      </c>
      <c r="I123" s="79">
        <v>1</v>
      </c>
      <c r="J123" s="126">
        <v>1</v>
      </c>
      <c r="K123" s="127"/>
      <c r="L123" s="79">
        <v>1</v>
      </c>
      <c r="M123" s="79"/>
      <c r="N123" s="79">
        <v>1</v>
      </c>
      <c r="O123" s="128">
        <v>2</v>
      </c>
      <c r="P123" s="79" t="s">
        <v>1609</v>
      </c>
      <c r="Q123" s="79" t="s">
        <v>1216</v>
      </c>
      <c r="R123" s="79" t="s">
        <v>1608</v>
      </c>
      <c r="S123" s="79"/>
      <c r="T123" s="79" t="s">
        <v>1498</v>
      </c>
      <c r="U123" s="79" t="s">
        <v>803</v>
      </c>
      <c r="V123" s="79"/>
      <c r="W123" s="79" t="s">
        <v>1682</v>
      </c>
      <c r="X123" s="79"/>
      <c r="Y123" s="79"/>
      <c r="Z123" s="79"/>
      <c r="AA123" s="79"/>
      <c r="AB123" s="79"/>
      <c r="AC123" s="506" t="s">
        <v>6309</v>
      </c>
      <c r="AD123" s="573">
        <v>1</v>
      </c>
      <c r="AE123" s="573">
        <v>1</v>
      </c>
      <c r="AF123" s="154">
        <v>1</v>
      </c>
      <c r="AG123" s="155" t="s">
        <v>7066</v>
      </c>
      <c r="AH123" s="121">
        <v>4</v>
      </c>
      <c r="AI123" s="484"/>
      <c r="AJ123" s="202" t="s">
        <v>7107</v>
      </c>
      <c r="AK123" s="192" t="s">
        <v>7111</v>
      </c>
      <c r="AL123" s="203">
        <v>0</v>
      </c>
      <c r="AM123" s="121">
        <f>Table668[[#This Row],[Data_Subjects_n_ptsd]]+Table668[[#This Row],[Data_Subjects_n_control]]</f>
        <v>41</v>
      </c>
      <c r="AN123" s="121">
        <v>21</v>
      </c>
      <c r="AO123" s="121">
        <v>20</v>
      </c>
      <c r="AP123" s="121" t="s">
        <v>803</v>
      </c>
      <c r="AQ123" s="121" t="s">
        <v>803</v>
      </c>
      <c r="AR123" s="121" t="s">
        <v>7104</v>
      </c>
      <c r="AS123" s="121" t="s">
        <v>24</v>
      </c>
      <c r="AT123" s="121" t="s">
        <v>7104</v>
      </c>
      <c r="AU123" s="121" t="s">
        <v>24</v>
      </c>
      <c r="AV123" s="121" t="s">
        <v>7108</v>
      </c>
      <c r="AW123" s="121">
        <v>1</v>
      </c>
      <c r="AX123" s="121">
        <v>1</v>
      </c>
      <c r="AY123" s="121" t="s">
        <v>7109</v>
      </c>
      <c r="AZ123" s="121" t="s">
        <v>2912</v>
      </c>
      <c r="BA123" s="121" t="s">
        <v>6653</v>
      </c>
      <c r="BB123" s="594"/>
      <c r="BC123" s="594"/>
      <c r="BD123" s="156">
        <v>1</v>
      </c>
      <c r="BE123" s="156">
        <v>1</v>
      </c>
      <c r="BF123" s="156"/>
      <c r="BG123" s="156"/>
      <c r="BH123" s="156"/>
      <c r="BI123" s="156"/>
      <c r="BJ123" s="156">
        <v>1</v>
      </c>
      <c r="BK123" s="156"/>
      <c r="BL123" s="156"/>
      <c r="BM123" s="156"/>
      <c r="BN123" s="156"/>
      <c r="BO123" s="156"/>
      <c r="BP123" s="156"/>
      <c r="BQ123" s="595" t="s">
        <v>7051</v>
      </c>
      <c r="BR123" s="157" t="s">
        <v>6837</v>
      </c>
      <c r="BS123" s="660">
        <v>1</v>
      </c>
      <c r="BT123" s="134" t="s">
        <v>1876</v>
      </c>
      <c r="BU123" s="134" t="s">
        <v>7106</v>
      </c>
      <c r="BV123" s="664" t="s">
        <v>7110</v>
      </c>
      <c r="BW123" s="134" t="s">
        <v>7105</v>
      </c>
      <c r="BX123" s="664" t="s">
        <v>7118</v>
      </c>
      <c r="BY123" s="134" t="s">
        <v>7119</v>
      </c>
      <c r="BZ123" s="259" t="s">
        <v>7129</v>
      </c>
      <c r="CA123" s="454" t="s">
        <v>6627</v>
      </c>
      <c r="CB123" s="138" t="s">
        <v>7040</v>
      </c>
      <c r="CC123" s="190">
        <v>8.8738700000000001</v>
      </c>
      <c r="CD123" s="168" t="s">
        <v>24</v>
      </c>
      <c r="CE123" s="134">
        <f>10.1351-Table668[[#This Row],[Data_Outcome1_M]]</f>
        <v>1.2612299999999994</v>
      </c>
      <c r="CF123" s="168" t="s">
        <v>7041</v>
      </c>
      <c r="CG123" s="134">
        <v>21.486499999999999</v>
      </c>
      <c r="CH123" s="134" t="s">
        <v>24</v>
      </c>
      <c r="CI123" s="134">
        <f>22.8378-Table668[[#This Row],[Data_Outcome2_M]]</f>
        <v>1.3513000000000019</v>
      </c>
      <c r="CJ123" s="288" t="s">
        <v>7043</v>
      </c>
      <c r="CK123" s="693" t="s">
        <v>7125</v>
      </c>
      <c r="CL123" s="138" t="s">
        <v>24</v>
      </c>
      <c r="CM123" s="138" t="s">
        <v>24</v>
      </c>
      <c r="CN123" s="134" t="s">
        <v>24</v>
      </c>
      <c r="CO123" s="134" t="s">
        <v>24</v>
      </c>
      <c r="CP123" s="168" t="s">
        <v>24</v>
      </c>
      <c r="CQ123" s="134" t="s">
        <v>24</v>
      </c>
      <c r="CR123" s="134" t="s">
        <v>24</v>
      </c>
      <c r="CS123" s="134" t="s">
        <v>24</v>
      </c>
      <c r="CT123" s="288"/>
      <c r="CU123" s="289"/>
      <c r="CV123" s="276"/>
      <c r="CW123" s="308"/>
      <c r="CX123" s="138" t="s">
        <v>24</v>
      </c>
      <c r="CY123" s="138" t="s">
        <v>24</v>
      </c>
      <c r="CZ123" s="134" t="s">
        <v>24</v>
      </c>
      <c r="DA123" s="134" t="s">
        <v>24</v>
      </c>
      <c r="DB123" s="168" t="s">
        <v>24</v>
      </c>
      <c r="DC123" s="134" t="s">
        <v>24</v>
      </c>
      <c r="DD123" s="134" t="s">
        <v>24</v>
      </c>
      <c r="DE123" s="134" t="s">
        <v>24</v>
      </c>
      <c r="DF123" s="300"/>
      <c r="DG123" s="301"/>
      <c r="DH123" s="138" t="s">
        <v>24</v>
      </c>
      <c r="DI123" s="138" t="s">
        <v>24</v>
      </c>
      <c r="DJ123" s="134" t="s">
        <v>24</v>
      </c>
      <c r="DK123" s="134" t="s">
        <v>24</v>
      </c>
      <c r="DL123" s="168" t="s">
        <v>24</v>
      </c>
      <c r="DM123" s="134" t="s">
        <v>24</v>
      </c>
      <c r="DN123" s="134" t="s">
        <v>24</v>
      </c>
      <c r="DO123" s="134" t="s">
        <v>24</v>
      </c>
      <c r="DP123" s="300"/>
      <c r="DQ123" s="301"/>
      <c r="DR123" s="276"/>
      <c r="DS123" s="277"/>
      <c r="DT123" s="134"/>
      <c r="DU123" s="134"/>
      <c r="DV123" s="134"/>
      <c r="DW123" s="134"/>
      <c r="DX123" s="138"/>
      <c r="DY123" s="134"/>
      <c r="DZ123" s="134"/>
      <c r="EA123" s="134"/>
      <c r="EB123" s="301"/>
      <c r="EC123" s="301"/>
      <c r="ED123" s="138"/>
      <c r="EE123" s="134"/>
      <c r="EF123" s="134"/>
      <c r="EG123" s="134"/>
      <c r="EH123" s="138"/>
      <c r="EI123" s="134"/>
      <c r="EJ123" s="134"/>
      <c r="EK123" s="134"/>
      <c r="EL123" s="301"/>
      <c r="EM123" s="301"/>
      <c r="EN123" s="277"/>
      <c r="EO123" s="134"/>
      <c r="EP123" s="134"/>
      <c r="EQ123" s="134"/>
      <c r="ER123" s="134"/>
      <c r="ES123" s="134"/>
      <c r="ET123" s="134"/>
      <c r="EU123" s="134"/>
      <c r="EV123" s="134"/>
      <c r="EW123" s="301"/>
      <c r="EX123" s="301"/>
      <c r="EY123" s="134"/>
      <c r="EZ123" s="134"/>
      <c r="FA123" s="134"/>
      <c r="FB123" s="134"/>
      <c r="FC123" s="134"/>
      <c r="FD123" s="134"/>
      <c r="FE123" s="134"/>
      <c r="FF123" s="134"/>
      <c r="FG123" s="135"/>
      <c r="FH123" s="135"/>
      <c r="FI123" s="134"/>
      <c r="FJ123" s="134"/>
      <c r="FK123" s="134"/>
      <c r="FL123" s="134"/>
      <c r="FM123" s="134"/>
      <c r="FN123" s="134"/>
      <c r="FO123" s="134"/>
      <c r="FP123" s="134"/>
      <c r="FQ123" s="135"/>
      <c r="FR123" s="135"/>
      <c r="FS123" s="134"/>
      <c r="FT123" s="134"/>
      <c r="FU123" s="134"/>
      <c r="FV123" s="134"/>
      <c r="FW123" s="134"/>
      <c r="FX123" s="134"/>
      <c r="FY123" s="134"/>
      <c r="FZ123" s="134"/>
      <c r="GA123" s="135"/>
      <c r="GB123" s="135"/>
      <c r="GC123" s="134"/>
      <c r="GD123" s="134"/>
      <c r="GE123" s="134"/>
      <c r="GF123" s="134"/>
      <c r="GG123" s="134"/>
      <c r="GH123" s="134"/>
      <c r="GI123" s="134"/>
      <c r="GJ123" s="134"/>
      <c r="GK123" s="135"/>
      <c r="GL123" s="135"/>
      <c r="GM123" s="134"/>
      <c r="GN123" s="134"/>
      <c r="GO123" s="134"/>
      <c r="GP123" s="134"/>
      <c r="GQ123" s="134"/>
      <c r="GR123" s="134"/>
      <c r="GS123" s="134"/>
      <c r="GT123" s="134"/>
      <c r="GU123" s="135"/>
      <c r="GV123" s="135"/>
      <c r="GW123" s="134"/>
      <c r="GX123" s="134"/>
      <c r="GY123" s="134"/>
      <c r="GZ123" s="134"/>
      <c r="HA123" s="134"/>
      <c r="HB123" s="134"/>
      <c r="HC123" s="134"/>
      <c r="HD123" s="134"/>
      <c r="HE123" s="135"/>
      <c r="HF123" s="135"/>
      <c r="HG123" s="134"/>
      <c r="HH123" s="134"/>
      <c r="HI123" s="134"/>
      <c r="HJ123" s="134"/>
      <c r="HK123" s="134"/>
      <c r="HL123" s="134"/>
      <c r="HM123" s="134"/>
      <c r="HN123" s="134"/>
      <c r="HO123" s="135"/>
      <c r="HP123" s="135"/>
      <c r="HQ123" s="134"/>
      <c r="HR123" s="134"/>
      <c r="HS123" s="134"/>
      <c r="HT123" s="134"/>
      <c r="HU123" s="134"/>
      <c r="HV123" s="134"/>
      <c r="HW123" s="134"/>
      <c r="HX123" s="134"/>
      <c r="HY123" s="135"/>
      <c r="HZ123" s="135"/>
      <c r="IA123" s="134"/>
      <c r="IB123" s="134"/>
      <c r="IC123" s="134"/>
      <c r="ID123" s="134"/>
      <c r="IE123" s="134"/>
      <c r="IF123" s="134"/>
      <c r="IG123" s="134"/>
      <c r="IH123" s="134"/>
      <c r="II123" s="135"/>
      <c r="IJ123" s="135"/>
      <c r="IK123" s="134"/>
      <c r="IL123" s="134"/>
      <c r="IM123" s="134"/>
      <c r="IN123" s="134"/>
      <c r="IO123" s="134"/>
      <c r="IP123" s="134"/>
      <c r="IQ123" s="134"/>
      <c r="IR123" s="134"/>
      <c r="IS123" s="135"/>
      <c r="IT123" s="135"/>
      <c r="IU123" s="134"/>
      <c r="IV123" s="134"/>
      <c r="IW123" s="134"/>
      <c r="IX123" s="134"/>
      <c r="IY123" s="134"/>
      <c r="IZ123" s="134"/>
      <c r="JA123" s="134"/>
      <c r="JB123" s="134"/>
      <c r="JC123" s="135"/>
      <c r="JD123" s="135"/>
    </row>
    <row r="124" spans="1:264" s="119" customFormat="1" ht="15" customHeight="1">
      <c r="A124" s="118" t="s">
        <v>960</v>
      </c>
      <c r="B124" s="616">
        <v>245</v>
      </c>
      <c r="C124" s="616"/>
      <c r="D124" s="616">
        <v>101</v>
      </c>
      <c r="E124" s="605" t="s">
        <v>2125</v>
      </c>
      <c r="F124" s="140" t="s">
        <v>2386</v>
      </c>
      <c r="G124" s="141">
        <v>2007</v>
      </c>
      <c r="H124" s="118">
        <v>17254618</v>
      </c>
      <c r="I124" s="118">
        <v>1</v>
      </c>
      <c r="J124" s="118">
        <v>1</v>
      </c>
      <c r="K124" s="118"/>
      <c r="L124" s="118">
        <v>1</v>
      </c>
      <c r="M124" s="118"/>
      <c r="N124" s="118">
        <v>1</v>
      </c>
      <c r="O124" s="142">
        <v>2</v>
      </c>
      <c r="P124" s="118" t="s">
        <v>1609</v>
      </c>
      <c r="Q124" s="118" t="s">
        <v>1216</v>
      </c>
      <c r="R124" s="118" t="s">
        <v>1608</v>
      </c>
      <c r="S124" s="118"/>
      <c r="T124" s="118" t="s">
        <v>1498</v>
      </c>
      <c r="U124" s="118" t="s">
        <v>803</v>
      </c>
      <c r="V124" s="118"/>
      <c r="W124" s="118" t="s">
        <v>1682</v>
      </c>
      <c r="X124" s="118"/>
      <c r="Y124" s="118"/>
      <c r="Z124" s="118"/>
      <c r="AA124" s="118"/>
      <c r="AB124" s="118"/>
      <c r="AC124" s="145" t="s">
        <v>6309</v>
      </c>
      <c r="AD124" s="653">
        <v>1</v>
      </c>
      <c r="AE124" s="653">
        <v>1</v>
      </c>
      <c r="AF124" s="159">
        <v>1</v>
      </c>
      <c r="AG124" s="160" t="s">
        <v>7066</v>
      </c>
      <c r="AH124" s="122">
        <v>4</v>
      </c>
      <c r="AI124" s="485"/>
      <c r="AJ124" s="204" t="s">
        <v>7107</v>
      </c>
      <c r="AK124" s="192" t="s">
        <v>7112</v>
      </c>
      <c r="AL124" s="205">
        <v>0</v>
      </c>
      <c r="AM124" s="122">
        <f>Table668[[#This Row],[Data_Subjects_n_ptsd]]+Table668[[#This Row],[Data_Subjects_n_control]]</f>
        <v>41</v>
      </c>
      <c r="AN124" s="122">
        <v>21</v>
      </c>
      <c r="AO124" s="122">
        <v>20</v>
      </c>
      <c r="AP124" s="122" t="s">
        <v>803</v>
      </c>
      <c r="AQ124" s="122" t="s">
        <v>803</v>
      </c>
      <c r="AR124" s="122" t="s">
        <v>7104</v>
      </c>
      <c r="AS124" s="122" t="s">
        <v>24</v>
      </c>
      <c r="AT124" s="122" t="s">
        <v>7104</v>
      </c>
      <c r="AU124" s="122" t="s">
        <v>24</v>
      </c>
      <c r="AV124" s="122" t="s">
        <v>7108</v>
      </c>
      <c r="AW124" s="122">
        <v>1</v>
      </c>
      <c r="AX124" s="122">
        <v>1</v>
      </c>
      <c r="AY124" s="122" t="s">
        <v>7109</v>
      </c>
      <c r="AZ124" s="122" t="s">
        <v>2912</v>
      </c>
      <c r="BA124" s="122" t="s">
        <v>6653</v>
      </c>
      <c r="BB124" s="588"/>
      <c r="BC124" s="588"/>
      <c r="BD124" s="161">
        <v>1</v>
      </c>
      <c r="BE124" s="161">
        <v>1</v>
      </c>
      <c r="BF124" s="161"/>
      <c r="BG124" s="161"/>
      <c r="BH124" s="161"/>
      <c r="BI124" s="161"/>
      <c r="BJ124" s="161">
        <v>1</v>
      </c>
      <c r="BK124" s="161"/>
      <c r="BL124" s="161"/>
      <c r="BM124" s="161"/>
      <c r="BN124" s="161"/>
      <c r="BO124" s="161"/>
      <c r="BP124" s="161"/>
      <c r="BQ124" s="596" t="s">
        <v>7056</v>
      </c>
      <c r="BR124" s="162" t="s">
        <v>6596</v>
      </c>
      <c r="BS124" s="659">
        <v>2</v>
      </c>
      <c r="BT124" s="150" t="s">
        <v>1876</v>
      </c>
      <c r="BU124" s="150" t="s">
        <v>7106</v>
      </c>
      <c r="BV124" s="477" t="s">
        <v>7110</v>
      </c>
      <c r="BW124" s="150" t="s">
        <v>7105</v>
      </c>
      <c r="BX124" s="477" t="s">
        <v>7120</v>
      </c>
      <c r="BY124" s="150" t="s">
        <v>7121</v>
      </c>
      <c r="BZ124" s="258" t="s">
        <v>7134</v>
      </c>
      <c r="CA124" s="257" t="s">
        <v>6627</v>
      </c>
      <c r="CB124" s="151" t="s">
        <v>7030</v>
      </c>
      <c r="CC124" s="266">
        <v>21.747800000000002</v>
      </c>
      <c r="CD124" s="228" t="s">
        <v>24</v>
      </c>
      <c r="CE124" s="150">
        <f>24.4582-Table668[[#This Row],[Data_Outcome1_M]]</f>
        <v>2.7103999999999999</v>
      </c>
      <c r="CF124" s="151" t="s">
        <v>7031</v>
      </c>
      <c r="CG124" s="150">
        <v>6.7069599999999996</v>
      </c>
      <c r="CH124" s="150" t="s">
        <v>24</v>
      </c>
      <c r="CI124" s="150">
        <f>9.09131-Table668[[#This Row],[Data_Outcome2_M]]</f>
        <v>2.3843500000000004</v>
      </c>
      <c r="CJ124" s="290" t="s">
        <v>7128</v>
      </c>
      <c r="CK124" s="694" t="s">
        <v>7125</v>
      </c>
      <c r="CL124" s="151" t="s">
        <v>7033</v>
      </c>
      <c r="CM124" s="266">
        <v>57.043199999999999</v>
      </c>
      <c r="CN124" s="150" t="s">
        <v>24</v>
      </c>
      <c r="CO124" s="150">
        <f>59.6235-Table668[[#This Row],[Data_Outcome3_M]]</f>
        <v>2.5803000000000011</v>
      </c>
      <c r="CP124" s="228" t="s">
        <v>7032</v>
      </c>
      <c r="CQ124" s="150">
        <v>71.415499999999994</v>
      </c>
      <c r="CR124" s="150" t="s">
        <v>24</v>
      </c>
      <c r="CS124" s="150">
        <f>74.4263-Table668[[#This Row],[Data_Outcome4_M]]</f>
        <v>3.0108000000000033</v>
      </c>
      <c r="CT124" s="290" t="s">
        <v>7132</v>
      </c>
      <c r="CU124" s="291" t="s">
        <v>3790</v>
      </c>
      <c r="CV124" s="278"/>
      <c r="CW124" s="285"/>
      <c r="CX124" s="151" t="s">
        <v>7034</v>
      </c>
      <c r="CY124" s="266">
        <v>0.67213199999999995</v>
      </c>
      <c r="CZ124" s="228" t="s">
        <v>24</v>
      </c>
      <c r="DA124" s="150">
        <f>0.953023-Table668[[#This Row],[Data_Outcome5_M]]</f>
        <v>0.280891</v>
      </c>
      <c r="DB124" s="228" t="s">
        <v>7035</v>
      </c>
      <c r="DC124" s="150">
        <v>0.10218000000000001</v>
      </c>
      <c r="DD124" s="150" t="s">
        <v>24</v>
      </c>
      <c r="DE124" s="150">
        <f>0.177976-Table668[[#This Row],[Data_Outcome6_M]]</f>
        <v>7.5795999999999988E-2</v>
      </c>
      <c r="DF124" s="302" t="s">
        <v>7126</v>
      </c>
      <c r="DG124" s="303" t="s">
        <v>7125</v>
      </c>
      <c r="DH124" s="151" t="s">
        <v>7036</v>
      </c>
      <c r="DI124" s="266">
        <v>22.214300000000001</v>
      </c>
      <c r="DJ124" s="150" t="s">
        <v>24</v>
      </c>
      <c r="DK124" s="150">
        <f>25.9677-Table668[[#This Row],[Data_Outcome7_M]]</f>
        <v>3.7533999999999992</v>
      </c>
      <c r="DL124" s="228" t="s">
        <v>7045</v>
      </c>
      <c r="DM124" s="150">
        <v>12.9178</v>
      </c>
      <c r="DN124" s="150" t="s">
        <v>24</v>
      </c>
      <c r="DO124" s="150">
        <f>14.4427-Table668[[#This Row],[Data_Outcome8_M]]</f>
        <v>1.5249000000000006</v>
      </c>
      <c r="DP124" s="302" t="s">
        <v>7124</v>
      </c>
      <c r="DQ124" s="303" t="s">
        <v>7125</v>
      </c>
      <c r="DR124" s="278"/>
      <c r="DS124" s="279"/>
      <c r="DT124" s="150"/>
      <c r="DU124" s="150"/>
      <c r="DV124" s="150"/>
      <c r="DW124" s="150"/>
      <c r="DX124" s="151"/>
      <c r="DY124" s="150"/>
      <c r="DZ124" s="150"/>
      <c r="EA124" s="150"/>
      <c r="EB124" s="303"/>
      <c r="EC124" s="303"/>
      <c r="ED124" s="151"/>
      <c r="EE124" s="150"/>
      <c r="EF124" s="150"/>
      <c r="EG124" s="150"/>
      <c r="EH124" s="151"/>
      <c r="EI124" s="150"/>
      <c r="EJ124" s="150"/>
      <c r="EK124" s="150"/>
      <c r="EL124" s="303"/>
      <c r="EM124" s="303"/>
      <c r="EN124" s="279"/>
      <c r="EO124" s="150"/>
      <c r="EP124" s="150"/>
      <c r="EQ124" s="150"/>
      <c r="ER124" s="150"/>
      <c r="ES124" s="150"/>
      <c r="ET124" s="150"/>
      <c r="EU124" s="150"/>
      <c r="EV124" s="150"/>
      <c r="EW124" s="303"/>
      <c r="EX124" s="303"/>
      <c r="EY124" s="150"/>
      <c r="EZ124" s="150"/>
      <c r="FA124" s="150"/>
      <c r="FB124" s="150"/>
      <c r="FC124" s="150"/>
      <c r="FD124" s="150"/>
      <c r="FE124" s="150"/>
      <c r="FF124" s="150"/>
      <c r="FG124" s="152"/>
      <c r="FH124" s="152"/>
      <c r="FI124" s="150"/>
      <c r="FJ124" s="150"/>
      <c r="FK124" s="150"/>
      <c r="FL124" s="150"/>
      <c r="FM124" s="150"/>
      <c r="FN124" s="150"/>
      <c r="FO124" s="150"/>
      <c r="FP124" s="150"/>
      <c r="FQ124" s="152"/>
      <c r="FR124" s="152"/>
      <c r="FS124" s="150"/>
      <c r="FT124" s="150"/>
      <c r="FU124" s="150"/>
      <c r="FV124" s="150"/>
      <c r="FW124" s="150"/>
      <c r="FX124" s="150"/>
      <c r="FY124" s="150"/>
      <c r="FZ124" s="150"/>
      <c r="GA124" s="152"/>
      <c r="GB124" s="152"/>
      <c r="GC124" s="150"/>
      <c r="GD124" s="150"/>
      <c r="GE124" s="150"/>
      <c r="GF124" s="150"/>
      <c r="GG124" s="150"/>
      <c r="GH124" s="150"/>
      <c r="GI124" s="150"/>
      <c r="GJ124" s="150"/>
      <c r="GK124" s="152"/>
      <c r="GL124" s="152"/>
      <c r="GM124" s="150"/>
      <c r="GN124" s="150"/>
      <c r="GO124" s="150"/>
      <c r="GP124" s="150"/>
      <c r="GQ124" s="150"/>
      <c r="GR124" s="150"/>
      <c r="GS124" s="150"/>
      <c r="GT124" s="150"/>
      <c r="GU124" s="152"/>
      <c r="GV124" s="152"/>
      <c r="GW124" s="150"/>
      <c r="GX124" s="150"/>
      <c r="GY124" s="150"/>
      <c r="GZ124" s="150"/>
      <c r="HA124" s="150"/>
      <c r="HB124" s="150"/>
      <c r="HC124" s="150"/>
      <c r="HD124" s="150"/>
      <c r="HE124" s="152"/>
      <c r="HF124" s="152"/>
      <c r="HG124" s="150"/>
      <c r="HH124" s="150"/>
      <c r="HI124" s="150"/>
      <c r="HJ124" s="150"/>
      <c r="HK124" s="150"/>
      <c r="HL124" s="150"/>
      <c r="HM124" s="150"/>
      <c r="HN124" s="150"/>
      <c r="HO124" s="152"/>
      <c r="HP124" s="152"/>
      <c r="HQ124" s="150"/>
      <c r="HR124" s="150"/>
      <c r="HS124" s="150"/>
      <c r="HT124" s="150"/>
      <c r="HU124" s="150"/>
      <c r="HV124" s="150"/>
      <c r="HW124" s="150"/>
      <c r="HX124" s="150"/>
      <c r="HY124" s="152"/>
      <c r="HZ124" s="152"/>
      <c r="IA124" s="150"/>
      <c r="IB124" s="150"/>
      <c r="IC124" s="150"/>
      <c r="ID124" s="150"/>
      <c r="IE124" s="150"/>
      <c r="IF124" s="150"/>
      <c r="IG124" s="150"/>
      <c r="IH124" s="150"/>
      <c r="II124" s="152"/>
      <c r="IJ124" s="152"/>
      <c r="IK124" s="150"/>
      <c r="IL124" s="150"/>
      <c r="IM124" s="150"/>
      <c r="IN124" s="150"/>
      <c r="IO124" s="150"/>
      <c r="IP124" s="150"/>
      <c r="IQ124" s="150"/>
      <c r="IR124" s="150"/>
      <c r="IS124" s="152"/>
      <c r="IT124" s="152"/>
      <c r="IU124" s="150"/>
      <c r="IV124" s="150"/>
      <c r="IW124" s="150"/>
      <c r="IX124" s="150"/>
      <c r="IY124" s="150"/>
      <c r="IZ124" s="150"/>
      <c r="JA124" s="150"/>
      <c r="JB124" s="150"/>
      <c r="JC124" s="152"/>
      <c r="JD124" s="152"/>
    </row>
    <row r="125" spans="1:264" s="119" customFormat="1" ht="15" customHeight="1">
      <c r="A125" s="118" t="s">
        <v>960</v>
      </c>
      <c r="B125" s="616">
        <v>245</v>
      </c>
      <c r="C125" s="616"/>
      <c r="D125" s="616">
        <v>101</v>
      </c>
      <c r="E125" s="605" t="s">
        <v>2125</v>
      </c>
      <c r="F125" s="140" t="s">
        <v>2386</v>
      </c>
      <c r="G125" s="141">
        <v>2007</v>
      </c>
      <c r="H125" s="118">
        <v>17254618</v>
      </c>
      <c r="I125" s="118">
        <v>1</v>
      </c>
      <c r="J125" s="118">
        <v>1</v>
      </c>
      <c r="K125" s="118"/>
      <c r="L125" s="118">
        <v>1</v>
      </c>
      <c r="M125" s="118"/>
      <c r="N125" s="118">
        <v>1</v>
      </c>
      <c r="O125" s="142">
        <v>2</v>
      </c>
      <c r="P125" s="118" t="s">
        <v>1609</v>
      </c>
      <c r="Q125" s="118" t="s">
        <v>1216</v>
      </c>
      <c r="R125" s="118" t="s">
        <v>1608</v>
      </c>
      <c r="S125" s="118"/>
      <c r="T125" s="118" t="s">
        <v>1498</v>
      </c>
      <c r="U125" s="118" t="s">
        <v>803</v>
      </c>
      <c r="V125" s="118"/>
      <c r="W125" s="118" t="s">
        <v>1682</v>
      </c>
      <c r="X125" s="118"/>
      <c r="Y125" s="118"/>
      <c r="Z125" s="118"/>
      <c r="AA125" s="118"/>
      <c r="AB125" s="118"/>
      <c r="AC125" s="145" t="s">
        <v>6309</v>
      </c>
      <c r="AD125" s="653">
        <v>1</v>
      </c>
      <c r="AE125" s="653">
        <v>1</v>
      </c>
      <c r="AF125" s="159">
        <v>1</v>
      </c>
      <c r="AG125" s="160" t="s">
        <v>7066</v>
      </c>
      <c r="AH125" s="122">
        <v>4</v>
      </c>
      <c r="AI125" s="485"/>
      <c r="AJ125" s="204" t="s">
        <v>7107</v>
      </c>
      <c r="AK125" s="192" t="s">
        <v>7113</v>
      </c>
      <c r="AL125" s="205">
        <v>0</v>
      </c>
      <c r="AM125" s="122">
        <f>Table668[[#This Row],[Data_Subjects_n_ptsd]]+Table668[[#This Row],[Data_Subjects_n_control]]</f>
        <v>31</v>
      </c>
      <c r="AN125" s="122">
        <v>15</v>
      </c>
      <c r="AO125" s="122">
        <v>16</v>
      </c>
      <c r="AP125" s="122" t="s">
        <v>803</v>
      </c>
      <c r="AQ125" s="122" t="s">
        <v>803</v>
      </c>
      <c r="AR125" s="122" t="s">
        <v>7104</v>
      </c>
      <c r="AS125" s="122" t="s">
        <v>24</v>
      </c>
      <c r="AT125" s="122" t="s">
        <v>7104</v>
      </c>
      <c r="AU125" s="122" t="s">
        <v>24</v>
      </c>
      <c r="AV125" s="122" t="s">
        <v>7108</v>
      </c>
      <c r="AW125" s="122">
        <v>1</v>
      </c>
      <c r="AX125" s="122">
        <v>1</v>
      </c>
      <c r="AY125" s="122" t="s">
        <v>7109</v>
      </c>
      <c r="AZ125" s="122" t="s">
        <v>7117</v>
      </c>
      <c r="BA125" s="122" t="s">
        <v>6653</v>
      </c>
      <c r="BB125" s="588"/>
      <c r="BC125" s="588"/>
      <c r="BD125" s="161">
        <v>1</v>
      </c>
      <c r="BE125" s="161">
        <v>1</v>
      </c>
      <c r="BF125" s="161"/>
      <c r="BG125" s="161"/>
      <c r="BH125" s="161"/>
      <c r="BI125" s="161"/>
      <c r="BJ125" s="161">
        <v>1</v>
      </c>
      <c r="BK125" s="161"/>
      <c r="BL125" s="161"/>
      <c r="BM125" s="161"/>
      <c r="BN125" s="161"/>
      <c r="BO125" s="161"/>
      <c r="BP125" s="161"/>
      <c r="BQ125" s="596" t="s">
        <v>7051</v>
      </c>
      <c r="BR125" s="162" t="s">
        <v>6837</v>
      </c>
      <c r="BS125" s="659">
        <v>1</v>
      </c>
      <c r="BT125" s="150" t="s">
        <v>1876</v>
      </c>
      <c r="BU125" s="150" t="s">
        <v>7106</v>
      </c>
      <c r="BV125" s="477" t="s">
        <v>7110</v>
      </c>
      <c r="BW125" s="150" t="s">
        <v>7105</v>
      </c>
      <c r="BX125" s="477" t="s">
        <v>7118</v>
      </c>
      <c r="BY125" s="150" t="s">
        <v>7119</v>
      </c>
      <c r="BZ125" s="258" t="s">
        <v>7130</v>
      </c>
      <c r="CA125" s="257" t="s">
        <v>6627</v>
      </c>
      <c r="CB125" s="151" t="s">
        <v>7040</v>
      </c>
      <c r="CC125" s="266">
        <v>2.0270299999999999</v>
      </c>
      <c r="CD125" s="228" t="s">
        <v>24</v>
      </c>
      <c r="CE125" s="150">
        <f>3.01802-Table668[[#This Row],[Data_Outcome1_M]]</f>
        <v>0.99099000000000004</v>
      </c>
      <c r="CF125" s="228" t="s">
        <v>7041</v>
      </c>
      <c r="CG125" s="150">
        <v>12.973000000000001</v>
      </c>
      <c r="CH125" s="150" t="s">
        <v>24</v>
      </c>
      <c r="CI125" s="150">
        <f>13.6937-Table668[[#This Row],[Data_Outcome2_M]]</f>
        <v>0.72069999999999901</v>
      </c>
      <c r="CJ125" s="290" t="s">
        <v>7043</v>
      </c>
      <c r="CK125" s="694" t="s">
        <v>7125</v>
      </c>
      <c r="CL125" s="151" t="s">
        <v>24</v>
      </c>
      <c r="CM125" s="151" t="s">
        <v>24</v>
      </c>
      <c r="CN125" s="150" t="s">
        <v>24</v>
      </c>
      <c r="CO125" s="150" t="s">
        <v>24</v>
      </c>
      <c r="CP125" s="228" t="s">
        <v>24</v>
      </c>
      <c r="CQ125" s="150" t="s">
        <v>24</v>
      </c>
      <c r="CR125" s="150" t="s">
        <v>24</v>
      </c>
      <c r="CS125" s="150" t="s">
        <v>24</v>
      </c>
      <c r="CT125" s="290"/>
      <c r="CU125" s="291"/>
      <c r="CV125" s="278"/>
      <c r="CW125" s="285"/>
      <c r="CX125" s="151" t="s">
        <v>24</v>
      </c>
      <c r="CY125" s="151" t="s">
        <v>24</v>
      </c>
      <c r="CZ125" s="150" t="s">
        <v>24</v>
      </c>
      <c r="DA125" s="150" t="s">
        <v>24</v>
      </c>
      <c r="DB125" s="228" t="s">
        <v>24</v>
      </c>
      <c r="DC125" s="150" t="s">
        <v>24</v>
      </c>
      <c r="DD125" s="150" t="s">
        <v>24</v>
      </c>
      <c r="DE125" s="150" t="s">
        <v>24</v>
      </c>
      <c r="DF125" s="302"/>
      <c r="DG125" s="303"/>
      <c r="DH125" s="151" t="s">
        <v>24</v>
      </c>
      <c r="DI125" s="151" t="s">
        <v>24</v>
      </c>
      <c r="DJ125" s="150" t="s">
        <v>24</v>
      </c>
      <c r="DK125" s="150" t="s">
        <v>24</v>
      </c>
      <c r="DL125" s="228" t="s">
        <v>24</v>
      </c>
      <c r="DM125" s="150" t="s">
        <v>24</v>
      </c>
      <c r="DN125" s="150" t="s">
        <v>24</v>
      </c>
      <c r="DO125" s="150" t="s">
        <v>24</v>
      </c>
      <c r="DP125" s="302"/>
      <c r="DQ125" s="303"/>
      <c r="DR125" s="278"/>
      <c r="DS125" s="279"/>
      <c r="DT125" s="150"/>
      <c r="DU125" s="150"/>
      <c r="DV125" s="150"/>
      <c r="DW125" s="150"/>
      <c r="DX125" s="151"/>
      <c r="DY125" s="150"/>
      <c r="DZ125" s="150"/>
      <c r="EA125" s="150"/>
      <c r="EB125" s="303"/>
      <c r="EC125" s="303"/>
      <c r="ED125" s="151"/>
      <c r="EE125" s="150"/>
      <c r="EF125" s="150"/>
      <c r="EG125" s="150"/>
      <c r="EH125" s="151"/>
      <c r="EI125" s="150"/>
      <c r="EJ125" s="150"/>
      <c r="EK125" s="150"/>
      <c r="EL125" s="303"/>
      <c r="EM125" s="303"/>
      <c r="EN125" s="279"/>
      <c r="EO125" s="150"/>
      <c r="EP125" s="150"/>
      <c r="EQ125" s="150"/>
      <c r="ER125" s="150"/>
      <c r="ES125" s="150"/>
      <c r="ET125" s="150"/>
      <c r="EU125" s="150"/>
      <c r="EV125" s="150"/>
      <c r="EW125" s="303"/>
      <c r="EX125" s="303"/>
      <c r="EY125" s="150"/>
      <c r="EZ125" s="150"/>
      <c r="FA125" s="150"/>
      <c r="FB125" s="150"/>
      <c r="FC125" s="150"/>
      <c r="FD125" s="150"/>
      <c r="FE125" s="150"/>
      <c r="FF125" s="150"/>
      <c r="FG125" s="152"/>
      <c r="FH125" s="152"/>
      <c r="FI125" s="150"/>
      <c r="FJ125" s="150"/>
      <c r="FK125" s="150"/>
      <c r="FL125" s="150"/>
      <c r="FM125" s="150"/>
      <c r="FN125" s="150"/>
      <c r="FO125" s="150"/>
      <c r="FP125" s="150"/>
      <c r="FQ125" s="152"/>
      <c r="FR125" s="152"/>
      <c r="FS125" s="150"/>
      <c r="FT125" s="150"/>
      <c r="FU125" s="150"/>
      <c r="FV125" s="150"/>
      <c r="FW125" s="150"/>
      <c r="FX125" s="150"/>
      <c r="FY125" s="150"/>
      <c r="FZ125" s="150"/>
      <c r="GA125" s="152"/>
      <c r="GB125" s="152"/>
      <c r="GC125" s="150"/>
      <c r="GD125" s="150"/>
      <c r="GE125" s="150"/>
      <c r="GF125" s="150"/>
      <c r="GG125" s="150"/>
      <c r="GH125" s="150"/>
      <c r="GI125" s="150"/>
      <c r="GJ125" s="150"/>
      <c r="GK125" s="152"/>
      <c r="GL125" s="152"/>
      <c r="GM125" s="150"/>
      <c r="GN125" s="150"/>
      <c r="GO125" s="150"/>
      <c r="GP125" s="150"/>
      <c r="GQ125" s="150"/>
      <c r="GR125" s="150"/>
      <c r="GS125" s="150"/>
      <c r="GT125" s="150"/>
      <c r="GU125" s="152"/>
      <c r="GV125" s="152"/>
      <c r="GW125" s="150"/>
      <c r="GX125" s="150"/>
      <c r="GY125" s="150"/>
      <c r="GZ125" s="150"/>
      <c r="HA125" s="150"/>
      <c r="HB125" s="150"/>
      <c r="HC125" s="150"/>
      <c r="HD125" s="150"/>
      <c r="HE125" s="152"/>
      <c r="HF125" s="152"/>
      <c r="HG125" s="150"/>
      <c r="HH125" s="150"/>
      <c r="HI125" s="150"/>
      <c r="HJ125" s="150"/>
      <c r="HK125" s="150"/>
      <c r="HL125" s="150"/>
      <c r="HM125" s="150"/>
      <c r="HN125" s="150"/>
      <c r="HO125" s="152"/>
      <c r="HP125" s="152"/>
      <c r="HQ125" s="150"/>
      <c r="HR125" s="150"/>
      <c r="HS125" s="150"/>
      <c r="HT125" s="150"/>
      <c r="HU125" s="150"/>
      <c r="HV125" s="150"/>
      <c r="HW125" s="150"/>
      <c r="HX125" s="150"/>
      <c r="HY125" s="152"/>
      <c r="HZ125" s="152"/>
      <c r="IA125" s="150"/>
      <c r="IB125" s="150"/>
      <c r="IC125" s="150"/>
      <c r="ID125" s="150"/>
      <c r="IE125" s="150"/>
      <c r="IF125" s="150"/>
      <c r="IG125" s="150"/>
      <c r="IH125" s="150"/>
      <c r="II125" s="152"/>
      <c r="IJ125" s="152"/>
      <c r="IK125" s="150"/>
      <c r="IL125" s="150"/>
      <c r="IM125" s="150"/>
      <c r="IN125" s="150"/>
      <c r="IO125" s="150"/>
      <c r="IP125" s="150"/>
      <c r="IQ125" s="150"/>
      <c r="IR125" s="150"/>
      <c r="IS125" s="152"/>
      <c r="IT125" s="152"/>
      <c r="IU125" s="150"/>
      <c r="IV125" s="150"/>
      <c r="IW125" s="150"/>
      <c r="IX125" s="150"/>
      <c r="IY125" s="150"/>
      <c r="IZ125" s="150"/>
      <c r="JA125" s="150"/>
      <c r="JB125" s="150"/>
      <c r="JC125" s="152"/>
      <c r="JD125" s="152"/>
    </row>
    <row r="126" spans="1:264" s="119" customFormat="1" ht="15" customHeight="1">
      <c r="A126" s="118" t="s">
        <v>960</v>
      </c>
      <c r="B126" s="616">
        <v>245</v>
      </c>
      <c r="C126" s="616"/>
      <c r="D126" s="616">
        <v>101</v>
      </c>
      <c r="E126" s="605" t="s">
        <v>2125</v>
      </c>
      <c r="F126" s="140" t="s">
        <v>2386</v>
      </c>
      <c r="G126" s="141">
        <v>2007</v>
      </c>
      <c r="H126" s="118">
        <v>17254618</v>
      </c>
      <c r="I126" s="118">
        <v>1</v>
      </c>
      <c r="J126" s="118">
        <v>1</v>
      </c>
      <c r="K126" s="118"/>
      <c r="L126" s="118">
        <v>1</v>
      </c>
      <c r="M126" s="118"/>
      <c r="N126" s="118">
        <v>1</v>
      </c>
      <c r="O126" s="142">
        <v>2</v>
      </c>
      <c r="P126" s="118" t="s">
        <v>1609</v>
      </c>
      <c r="Q126" s="118" t="s">
        <v>1216</v>
      </c>
      <c r="R126" s="118" t="s">
        <v>1608</v>
      </c>
      <c r="S126" s="118"/>
      <c r="T126" s="118" t="s">
        <v>1498</v>
      </c>
      <c r="U126" s="118" t="s">
        <v>803</v>
      </c>
      <c r="V126" s="118"/>
      <c r="W126" s="118" t="s">
        <v>1682</v>
      </c>
      <c r="X126" s="118"/>
      <c r="Y126" s="118"/>
      <c r="Z126" s="118"/>
      <c r="AA126" s="118"/>
      <c r="AB126" s="118"/>
      <c r="AC126" s="145" t="s">
        <v>6309</v>
      </c>
      <c r="AD126" s="653">
        <v>1</v>
      </c>
      <c r="AE126" s="653">
        <v>1</v>
      </c>
      <c r="AF126" s="159">
        <v>1</v>
      </c>
      <c r="AG126" s="160" t="s">
        <v>7066</v>
      </c>
      <c r="AH126" s="122">
        <v>4</v>
      </c>
      <c r="AI126" s="485"/>
      <c r="AJ126" s="204" t="s">
        <v>7107</v>
      </c>
      <c r="AK126" s="192" t="s">
        <v>7114</v>
      </c>
      <c r="AL126" s="205">
        <v>0</v>
      </c>
      <c r="AM126" s="122">
        <f>Table668[[#This Row],[Data_Subjects_n_ptsd]]+Table668[[#This Row],[Data_Subjects_n_control]]</f>
        <v>31</v>
      </c>
      <c r="AN126" s="122">
        <v>15</v>
      </c>
      <c r="AO126" s="122">
        <v>16</v>
      </c>
      <c r="AP126" s="122" t="s">
        <v>803</v>
      </c>
      <c r="AQ126" s="122" t="s">
        <v>803</v>
      </c>
      <c r="AR126" s="122" t="s">
        <v>7104</v>
      </c>
      <c r="AS126" s="122" t="s">
        <v>24</v>
      </c>
      <c r="AT126" s="122" t="s">
        <v>7104</v>
      </c>
      <c r="AU126" s="122" t="s">
        <v>24</v>
      </c>
      <c r="AV126" s="122" t="s">
        <v>7108</v>
      </c>
      <c r="AW126" s="122">
        <v>1</v>
      </c>
      <c r="AX126" s="122">
        <v>1</v>
      </c>
      <c r="AY126" s="122" t="s">
        <v>7109</v>
      </c>
      <c r="AZ126" s="122" t="s">
        <v>7117</v>
      </c>
      <c r="BA126" s="122" t="s">
        <v>6653</v>
      </c>
      <c r="BB126" s="588"/>
      <c r="BC126" s="588"/>
      <c r="BD126" s="161">
        <v>1</v>
      </c>
      <c r="BE126" s="161">
        <v>1</v>
      </c>
      <c r="BF126" s="161"/>
      <c r="BG126" s="161"/>
      <c r="BH126" s="161"/>
      <c r="BI126" s="161"/>
      <c r="BJ126" s="161">
        <v>1</v>
      </c>
      <c r="BK126" s="161"/>
      <c r="BL126" s="161"/>
      <c r="BM126" s="161"/>
      <c r="BN126" s="161"/>
      <c r="BO126" s="161"/>
      <c r="BP126" s="161"/>
      <c r="BQ126" s="596" t="s">
        <v>7056</v>
      </c>
      <c r="BR126" s="162" t="s">
        <v>6596</v>
      </c>
      <c r="BS126" s="659">
        <v>2</v>
      </c>
      <c r="BT126" s="150" t="s">
        <v>1876</v>
      </c>
      <c r="BU126" s="150" t="s">
        <v>7106</v>
      </c>
      <c r="BV126" s="477" t="s">
        <v>7110</v>
      </c>
      <c r="BW126" s="150" t="s">
        <v>7105</v>
      </c>
      <c r="BX126" s="477" t="s">
        <v>7120</v>
      </c>
      <c r="BY126" s="150" t="s">
        <v>7121</v>
      </c>
      <c r="BZ126" s="258" t="s">
        <v>7133</v>
      </c>
      <c r="CA126" s="257" t="s">
        <v>6627</v>
      </c>
      <c r="CB126" s="151" t="s">
        <v>7030</v>
      </c>
      <c r="CC126" s="266">
        <v>50.637</v>
      </c>
      <c r="CD126" s="228" t="s">
        <v>24</v>
      </c>
      <c r="CE126" s="150">
        <f>52.8046-Table668[[#This Row],[Data_Outcome1_M]]</f>
        <v>2.1676000000000002</v>
      </c>
      <c r="CF126" s="151" t="s">
        <v>7031</v>
      </c>
      <c r="CG126" s="150">
        <v>38.956600000000002</v>
      </c>
      <c r="CH126" s="150" t="s">
        <v>24</v>
      </c>
      <c r="CI126" s="150">
        <f>40.5821-Table668[[#This Row],[Data_Outcome2_M]]</f>
        <v>1.6254999999999953</v>
      </c>
      <c r="CJ126" s="290" t="s">
        <v>7128</v>
      </c>
      <c r="CK126" s="694" t="s">
        <v>7125</v>
      </c>
      <c r="CL126" s="151" t="s">
        <v>7033</v>
      </c>
      <c r="CM126" s="266">
        <v>28.727900000000002</v>
      </c>
      <c r="CN126" s="150" t="s">
        <v>24</v>
      </c>
      <c r="CO126" s="150">
        <f>31.7387-Table668[[#This Row],[Data_Outcome3_M]]</f>
        <v>3.0107999999999997</v>
      </c>
      <c r="CP126" s="228" t="s">
        <v>7032</v>
      </c>
      <c r="CQ126" s="150">
        <v>40.734999999999999</v>
      </c>
      <c r="CR126" s="150" t="s">
        <v>24</v>
      </c>
      <c r="CS126" s="150">
        <f>42.6705-Table668[[#This Row],[Data_Outcome4_M]]</f>
        <v>1.9354999999999976</v>
      </c>
      <c r="CT126" s="290" t="s">
        <v>7127</v>
      </c>
      <c r="CU126" s="694" t="s">
        <v>7125</v>
      </c>
      <c r="CV126" s="278"/>
      <c r="CW126" s="285"/>
      <c r="CX126" s="151" t="s">
        <v>7034</v>
      </c>
      <c r="CY126" s="150">
        <v>0.80439700000000003</v>
      </c>
      <c r="CZ126" s="150" t="s">
        <v>24</v>
      </c>
      <c r="DA126" s="150">
        <f>1.36617-Table668[[#This Row],[Data_Outcome5_M]]</f>
        <v>0.56177300000000008</v>
      </c>
      <c r="DB126" s="228" t="s">
        <v>7035</v>
      </c>
      <c r="DC126" s="266" t="s">
        <v>7123</v>
      </c>
      <c r="DD126" s="228" t="s">
        <v>24</v>
      </c>
      <c r="DE126" s="266" t="s">
        <v>7123</v>
      </c>
      <c r="DF126" s="302" t="s">
        <v>7126</v>
      </c>
      <c r="DG126" s="303" t="s">
        <v>7125</v>
      </c>
      <c r="DH126" s="151" t="s">
        <v>7036</v>
      </c>
      <c r="DI126" s="266">
        <v>53.1235</v>
      </c>
      <c r="DJ126" s="150" t="s">
        <v>24</v>
      </c>
      <c r="DK126" s="150">
        <f>59.1055-Table668[[#This Row],[Data_Outcome7_M]]</f>
        <v>5.9819999999999993</v>
      </c>
      <c r="DL126" s="228" t="s">
        <v>7045</v>
      </c>
      <c r="DM126" s="150">
        <v>29.985299999999999</v>
      </c>
      <c r="DN126" s="150" t="s">
        <v>24</v>
      </c>
      <c r="DO126" s="150">
        <f>35.2641-Table668[[#This Row],[Data_Outcome8_M]]</f>
        <v>5.2788000000000004</v>
      </c>
      <c r="DP126" s="302" t="s">
        <v>7124</v>
      </c>
      <c r="DQ126" s="303" t="s">
        <v>7125</v>
      </c>
      <c r="DR126" s="278"/>
      <c r="DS126" s="279"/>
      <c r="DT126" s="150"/>
      <c r="DU126" s="150"/>
      <c r="DV126" s="150"/>
      <c r="DW126" s="150"/>
      <c r="DX126" s="151"/>
      <c r="DY126" s="150"/>
      <c r="DZ126" s="150"/>
      <c r="EA126" s="150"/>
      <c r="EB126" s="303"/>
      <c r="EC126" s="303"/>
      <c r="ED126" s="151"/>
      <c r="EE126" s="150"/>
      <c r="EF126" s="150"/>
      <c r="EG126" s="150"/>
      <c r="EH126" s="151"/>
      <c r="EI126" s="150"/>
      <c r="EJ126" s="150"/>
      <c r="EK126" s="150"/>
      <c r="EL126" s="303"/>
      <c r="EM126" s="303"/>
      <c r="EN126" s="279"/>
      <c r="EO126" s="150"/>
      <c r="EP126" s="150"/>
      <c r="EQ126" s="150"/>
      <c r="ER126" s="150"/>
      <c r="ES126" s="150"/>
      <c r="ET126" s="150"/>
      <c r="EU126" s="150"/>
      <c r="EV126" s="150"/>
      <c r="EW126" s="303"/>
      <c r="EX126" s="303"/>
      <c r="EY126" s="150"/>
      <c r="EZ126" s="150"/>
      <c r="FA126" s="150"/>
      <c r="FB126" s="150"/>
      <c r="FC126" s="150"/>
      <c r="FD126" s="150"/>
      <c r="FE126" s="150"/>
      <c r="FF126" s="150"/>
      <c r="FG126" s="152"/>
      <c r="FH126" s="152"/>
      <c r="FI126" s="150"/>
      <c r="FJ126" s="150"/>
      <c r="FK126" s="150"/>
      <c r="FL126" s="150"/>
      <c r="FM126" s="150"/>
      <c r="FN126" s="150"/>
      <c r="FO126" s="150"/>
      <c r="FP126" s="150"/>
      <c r="FQ126" s="152"/>
      <c r="FR126" s="152"/>
      <c r="FS126" s="150"/>
      <c r="FT126" s="150"/>
      <c r="FU126" s="150"/>
      <c r="FV126" s="150"/>
      <c r="FW126" s="150"/>
      <c r="FX126" s="150"/>
      <c r="FY126" s="150"/>
      <c r="FZ126" s="150"/>
      <c r="GA126" s="152"/>
      <c r="GB126" s="152"/>
      <c r="GC126" s="150"/>
      <c r="GD126" s="150"/>
      <c r="GE126" s="150"/>
      <c r="GF126" s="150"/>
      <c r="GG126" s="150"/>
      <c r="GH126" s="150"/>
      <c r="GI126" s="150"/>
      <c r="GJ126" s="150"/>
      <c r="GK126" s="152"/>
      <c r="GL126" s="152"/>
      <c r="GM126" s="150"/>
      <c r="GN126" s="150"/>
      <c r="GO126" s="150"/>
      <c r="GP126" s="150"/>
      <c r="GQ126" s="150"/>
      <c r="GR126" s="150"/>
      <c r="GS126" s="150"/>
      <c r="GT126" s="150"/>
      <c r="GU126" s="152"/>
      <c r="GV126" s="152"/>
      <c r="GW126" s="150"/>
      <c r="GX126" s="150"/>
      <c r="GY126" s="150"/>
      <c r="GZ126" s="150"/>
      <c r="HA126" s="150"/>
      <c r="HB126" s="150"/>
      <c r="HC126" s="150"/>
      <c r="HD126" s="150"/>
      <c r="HE126" s="152"/>
      <c r="HF126" s="152"/>
      <c r="HG126" s="150"/>
      <c r="HH126" s="150"/>
      <c r="HI126" s="150"/>
      <c r="HJ126" s="150"/>
      <c r="HK126" s="150"/>
      <c r="HL126" s="150"/>
      <c r="HM126" s="150"/>
      <c r="HN126" s="150"/>
      <c r="HO126" s="152"/>
      <c r="HP126" s="152"/>
      <c r="HQ126" s="150"/>
      <c r="HR126" s="150"/>
      <c r="HS126" s="150"/>
      <c r="HT126" s="150"/>
      <c r="HU126" s="150"/>
      <c r="HV126" s="150"/>
      <c r="HW126" s="150"/>
      <c r="HX126" s="150"/>
      <c r="HY126" s="152"/>
      <c r="HZ126" s="152"/>
      <c r="IA126" s="150"/>
      <c r="IB126" s="150"/>
      <c r="IC126" s="150"/>
      <c r="ID126" s="150"/>
      <c r="IE126" s="150"/>
      <c r="IF126" s="150"/>
      <c r="IG126" s="150"/>
      <c r="IH126" s="150"/>
      <c r="II126" s="152"/>
      <c r="IJ126" s="152"/>
      <c r="IK126" s="150"/>
      <c r="IL126" s="150"/>
      <c r="IM126" s="150"/>
      <c r="IN126" s="150"/>
      <c r="IO126" s="150"/>
      <c r="IP126" s="150"/>
      <c r="IQ126" s="150"/>
      <c r="IR126" s="150"/>
      <c r="IS126" s="152"/>
      <c r="IT126" s="152"/>
      <c r="IU126" s="150"/>
      <c r="IV126" s="150"/>
      <c r="IW126" s="150"/>
      <c r="IX126" s="150"/>
      <c r="IY126" s="150"/>
      <c r="IZ126" s="150"/>
      <c r="JA126" s="150"/>
      <c r="JB126" s="150"/>
      <c r="JC126" s="152"/>
      <c r="JD126" s="152"/>
    </row>
    <row r="127" spans="1:264" s="119" customFormat="1" ht="15" customHeight="1">
      <c r="A127" s="118" t="s">
        <v>960</v>
      </c>
      <c r="B127" s="616">
        <v>245</v>
      </c>
      <c r="C127" s="616"/>
      <c r="D127" s="616">
        <v>101</v>
      </c>
      <c r="E127" s="605" t="s">
        <v>2125</v>
      </c>
      <c r="F127" s="140" t="s">
        <v>2386</v>
      </c>
      <c r="G127" s="141">
        <v>2007</v>
      </c>
      <c r="H127" s="118">
        <v>17254618</v>
      </c>
      <c r="I127" s="118">
        <v>1</v>
      </c>
      <c r="J127" s="118">
        <v>1</v>
      </c>
      <c r="K127" s="118"/>
      <c r="L127" s="118">
        <v>1</v>
      </c>
      <c r="M127" s="118"/>
      <c r="N127" s="118">
        <v>1</v>
      </c>
      <c r="O127" s="142">
        <v>2</v>
      </c>
      <c r="P127" s="118" t="s">
        <v>1609</v>
      </c>
      <c r="Q127" s="118" t="s">
        <v>1216</v>
      </c>
      <c r="R127" s="118" t="s">
        <v>1608</v>
      </c>
      <c r="S127" s="118"/>
      <c r="T127" s="118" t="s">
        <v>1498</v>
      </c>
      <c r="U127" s="118" t="s">
        <v>803</v>
      </c>
      <c r="V127" s="118"/>
      <c r="W127" s="118" t="s">
        <v>1682</v>
      </c>
      <c r="X127" s="118"/>
      <c r="Y127" s="118"/>
      <c r="Z127" s="118"/>
      <c r="AA127" s="118"/>
      <c r="AB127" s="118"/>
      <c r="AC127" s="145" t="s">
        <v>6309</v>
      </c>
      <c r="AD127" s="653">
        <v>1</v>
      </c>
      <c r="AE127" s="653">
        <v>1</v>
      </c>
      <c r="AF127" s="159">
        <v>1</v>
      </c>
      <c r="AG127" s="160" t="s">
        <v>7066</v>
      </c>
      <c r="AH127" s="122">
        <v>4</v>
      </c>
      <c r="AI127" s="485"/>
      <c r="AJ127" s="204" t="s">
        <v>7107</v>
      </c>
      <c r="AK127" s="192" t="s">
        <v>7115</v>
      </c>
      <c r="AL127" s="205">
        <v>0</v>
      </c>
      <c r="AM127" s="122">
        <f>Table668[[#This Row],[Data_Subjects_n_ptsd]]+Table668[[#This Row],[Data_Subjects_n_control]]</f>
        <v>32</v>
      </c>
      <c r="AN127" s="122">
        <v>16</v>
      </c>
      <c r="AO127" s="122">
        <v>16</v>
      </c>
      <c r="AP127" s="122" t="s">
        <v>803</v>
      </c>
      <c r="AQ127" s="122" t="s">
        <v>803</v>
      </c>
      <c r="AR127" s="122" t="s">
        <v>7104</v>
      </c>
      <c r="AS127" s="122" t="s">
        <v>24</v>
      </c>
      <c r="AT127" s="122" t="s">
        <v>7104</v>
      </c>
      <c r="AU127" s="122" t="s">
        <v>24</v>
      </c>
      <c r="AV127" s="122" t="s">
        <v>7108</v>
      </c>
      <c r="AW127" s="122">
        <v>1</v>
      </c>
      <c r="AX127" s="122">
        <v>1</v>
      </c>
      <c r="AY127" s="122" t="s">
        <v>7109</v>
      </c>
      <c r="AZ127" s="122" t="s">
        <v>1321</v>
      </c>
      <c r="BA127" s="122" t="s">
        <v>6653</v>
      </c>
      <c r="BB127" s="588"/>
      <c r="BC127" s="588"/>
      <c r="BD127" s="161">
        <v>1</v>
      </c>
      <c r="BE127" s="161">
        <v>1</v>
      </c>
      <c r="BF127" s="161"/>
      <c r="BG127" s="161"/>
      <c r="BH127" s="161"/>
      <c r="BI127" s="161"/>
      <c r="BJ127" s="161">
        <v>1</v>
      </c>
      <c r="BK127" s="161"/>
      <c r="BL127" s="161"/>
      <c r="BM127" s="161"/>
      <c r="BN127" s="161"/>
      <c r="BO127" s="161"/>
      <c r="BP127" s="161"/>
      <c r="BQ127" s="596" t="s">
        <v>7051</v>
      </c>
      <c r="BR127" s="162" t="s">
        <v>6837</v>
      </c>
      <c r="BS127" s="659">
        <v>1</v>
      </c>
      <c r="BT127" s="150" t="s">
        <v>1876</v>
      </c>
      <c r="BU127" s="150" t="s">
        <v>7106</v>
      </c>
      <c r="BV127" s="477" t="s">
        <v>7110</v>
      </c>
      <c r="BW127" s="150" t="s">
        <v>7105</v>
      </c>
      <c r="BX127" s="477" t="s">
        <v>7118</v>
      </c>
      <c r="BY127" s="150" t="s">
        <v>7119</v>
      </c>
      <c r="BZ127" s="262" t="s">
        <v>7131</v>
      </c>
      <c r="CA127" s="695" t="s">
        <v>6627</v>
      </c>
      <c r="CB127" s="151" t="s">
        <v>7040</v>
      </c>
      <c r="CC127" s="266">
        <v>4.72973</v>
      </c>
      <c r="CD127" s="228" t="s">
        <v>24</v>
      </c>
      <c r="CE127" s="150">
        <f>5.67568-Table668[[#This Row],[Data_Outcome1_M]]</f>
        <v>0.94594999999999985</v>
      </c>
      <c r="CF127" s="228" t="s">
        <v>7041</v>
      </c>
      <c r="CG127" s="150">
        <v>13.333299999999999</v>
      </c>
      <c r="CH127" s="150" t="s">
        <v>24</v>
      </c>
      <c r="CI127" s="150">
        <f>14.5495-Table668[[#This Row],[Data_Outcome2_M]]</f>
        <v>1.2162000000000006</v>
      </c>
      <c r="CJ127" s="290" t="s">
        <v>7043</v>
      </c>
      <c r="CK127" s="694" t="s">
        <v>7125</v>
      </c>
      <c r="CL127" s="151" t="s">
        <v>24</v>
      </c>
      <c r="CM127" s="151" t="s">
        <v>24</v>
      </c>
      <c r="CN127" s="150" t="s">
        <v>24</v>
      </c>
      <c r="CO127" s="150" t="s">
        <v>24</v>
      </c>
      <c r="CP127" s="228" t="s">
        <v>24</v>
      </c>
      <c r="CQ127" s="150" t="s">
        <v>24</v>
      </c>
      <c r="CR127" s="150" t="s">
        <v>24</v>
      </c>
      <c r="CS127" s="150" t="s">
        <v>24</v>
      </c>
      <c r="CT127" s="696"/>
      <c r="CU127" s="388"/>
      <c r="CV127" s="278"/>
      <c r="CW127" s="285"/>
      <c r="CX127" s="151" t="s">
        <v>24</v>
      </c>
      <c r="CY127" s="151" t="s">
        <v>24</v>
      </c>
      <c r="CZ127" s="150" t="s">
        <v>24</v>
      </c>
      <c r="DA127" s="150" t="s">
        <v>24</v>
      </c>
      <c r="DB127" s="228" t="s">
        <v>24</v>
      </c>
      <c r="DC127" s="150" t="s">
        <v>24</v>
      </c>
      <c r="DD127" s="150" t="s">
        <v>24</v>
      </c>
      <c r="DE127" s="150" t="s">
        <v>24</v>
      </c>
      <c r="DF127" s="302"/>
      <c r="DG127" s="303"/>
      <c r="DH127" s="151" t="s">
        <v>24</v>
      </c>
      <c r="DI127" s="151" t="s">
        <v>24</v>
      </c>
      <c r="DJ127" s="150" t="s">
        <v>24</v>
      </c>
      <c r="DK127" s="150" t="s">
        <v>24</v>
      </c>
      <c r="DL127" s="228" t="s">
        <v>24</v>
      </c>
      <c r="DM127" s="150" t="s">
        <v>24</v>
      </c>
      <c r="DN127" s="150" t="s">
        <v>24</v>
      </c>
      <c r="DO127" s="150" t="s">
        <v>24</v>
      </c>
      <c r="DP127" s="302"/>
      <c r="DQ127" s="303"/>
      <c r="DR127" s="278"/>
      <c r="DS127" s="279"/>
      <c r="DT127" s="150"/>
      <c r="DU127" s="150"/>
      <c r="DV127" s="150"/>
      <c r="DW127" s="150"/>
      <c r="DX127" s="151"/>
      <c r="DY127" s="150"/>
      <c r="DZ127" s="150"/>
      <c r="EA127" s="150"/>
      <c r="EB127" s="303"/>
      <c r="EC127" s="303"/>
      <c r="ED127" s="151"/>
      <c r="EE127" s="150"/>
      <c r="EF127" s="150"/>
      <c r="EG127" s="150"/>
      <c r="EH127" s="151"/>
      <c r="EI127" s="150"/>
      <c r="EJ127" s="150"/>
      <c r="EK127" s="150"/>
      <c r="EL127" s="303"/>
      <c r="EM127" s="303"/>
      <c r="EN127" s="279"/>
      <c r="EO127" s="150"/>
      <c r="EP127" s="150"/>
      <c r="EQ127" s="150"/>
      <c r="ER127" s="150"/>
      <c r="ES127" s="150"/>
      <c r="ET127" s="150"/>
      <c r="EU127" s="150"/>
      <c r="EV127" s="150"/>
      <c r="EW127" s="303"/>
      <c r="EX127" s="303"/>
      <c r="EY127" s="150"/>
      <c r="EZ127" s="150"/>
      <c r="FA127" s="150"/>
      <c r="FB127" s="150"/>
      <c r="FC127" s="150"/>
      <c r="FD127" s="150"/>
      <c r="FE127" s="150"/>
      <c r="FF127" s="150"/>
      <c r="FG127" s="152"/>
      <c r="FH127" s="152"/>
      <c r="FI127" s="150"/>
      <c r="FJ127" s="150"/>
      <c r="FK127" s="150"/>
      <c r="FL127" s="150"/>
      <c r="FM127" s="150"/>
      <c r="FN127" s="150"/>
      <c r="FO127" s="150"/>
      <c r="FP127" s="150"/>
      <c r="FQ127" s="152"/>
      <c r="FR127" s="152"/>
      <c r="FS127" s="150"/>
      <c r="FT127" s="150"/>
      <c r="FU127" s="150"/>
      <c r="FV127" s="150"/>
      <c r="FW127" s="150"/>
      <c r="FX127" s="150"/>
      <c r="FY127" s="150"/>
      <c r="FZ127" s="150"/>
      <c r="GA127" s="152"/>
      <c r="GB127" s="152"/>
      <c r="GC127" s="150"/>
      <c r="GD127" s="150"/>
      <c r="GE127" s="150"/>
      <c r="GF127" s="150"/>
      <c r="GG127" s="150"/>
      <c r="GH127" s="150"/>
      <c r="GI127" s="150"/>
      <c r="GJ127" s="150"/>
      <c r="GK127" s="152"/>
      <c r="GL127" s="152"/>
      <c r="GM127" s="150"/>
      <c r="GN127" s="150"/>
      <c r="GO127" s="150"/>
      <c r="GP127" s="150"/>
      <c r="GQ127" s="150"/>
      <c r="GR127" s="150"/>
      <c r="GS127" s="150"/>
      <c r="GT127" s="150"/>
      <c r="GU127" s="152"/>
      <c r="GV127" s="152"/>
      <c r="GW127" s="150"/>
      <c r="GX127" s="150"/>
      <c r="GY127" s="150"/>
      <c r="GZ127" s="150"/>
      <c r="HA127" s="150"/>
      <c r="HB127" s="150"/>
      <c r="HC127" s="150"/>
      <c r="HD127" s="150"/>
      <c r="HE127" s="152"/>
      <c r="HF127" s="152"/>
      <c r="HG127" s="150"/>
      <c r="HH127" s="150"/>
      <c r="HI127" s="150"/>
      <c r="HJ127" s="150"/>
      <c r="HK127" s="150"/>
      <c r="HL127" s="150"/>
      <c r="HM127" s="150"/>
      <c r="HN127" s="150"/>
      <c r="HO127" s="152"/>
      <c r="HP127" s="152"/>
      <c r="HQ127" s="150"/>
      <c r="HR127" s="150"/>
      <c r="HS127" s="150"/>
      <c r="HT127" s="150"/>
      <c r="HU127" s="150"/>
      <c r="HV127" s="150"/>
      <c r="HW127" s="150"/>
      <c r="HX127" s="150"/>
      <c r="HY127" s="152"/>
      <c r="HZ127" s="152"/>
      <c r="IA127" s="150"/>
      <c r="IB127" s="150"/>
      <c r="IC127" s="150"/>
      <c r="ID127" s="150"/>
      <c r="IE127" s="150"/>
      <c r="IF127" s="150"/>
      <c r="IG127" s="150"/>
      <c r="IH127" s="150"/>
      <c r="II127" s="152"/>
      <c r="IJ127" s="152"/>
      <c r="IK127" s="150"/>
      <c r="IL127" s="150"/>
      <c r="IM127" s="150"/>
      <c r="IN127" s="150"/>
      <c r="IO127" s="150"/>
      <c r="IP127" s="150"/>
      <c r="IQ127" s="150"/>
      <c r="IR127" s="150"/>
      <c r="IS127" s="152"/>
      <c r="IT127" s="152"/>
      <c r="IU127" s="150"/>
      <c r="IV127" s="150"/>
      <c r="IW127" s="150"/>
      <c r="IX127" s="150"/>
      <c r="IY127" s="150"/>
      <c r="IZ127" s="150"/>
      <c r="JA127" s="150"/>
      <c r="JB127" s="150"/>
      <c r="JC127" s="152"/>
      <c r="JD127" s="152"/>
    </row>
    <row r="128" spans="1:264" s="119" customFormat="1" ht="15" customHeight="1">
      <c r="A128" s="118" t="s">
        <v>960</v>
      </c>
      <c r="B128" s="616">
        <v>245</v>
      </c>
      <c r="C128" s="616"/>
      <c r="D128" s="616">
        <v>101</v>
      </c>
      <c r="E128" s="605" t="s">
        <v>2125</v>
      </c>
      <c r="F128" s="140" t="s">
        <v>2386</v>
      </c>
      <c r="G128" s="141">
        <v>2007</v>
      </c>
      <c r="H128" s="118">
        <v>17254618</v>
      </c>
      <c r="I128" s="118">
        <v>1</v>
      </c>
      <c r="J128" s="118">
        <v>1</v>
      </c>
      <c r="K128" s="118"/>
      <c r="L128" s="118">
        <v>1</v>
      </c>
      <c r="M128" s="118"/>
      <c r="N128" s="118">
        <v>1</v>
      </c>
      <c r="O128" s="142">
        <v>2</v>
      </c>
      <c r="P128" s="118" t="s">
        <v>1609</v>
      </c>
      <c r="Q128" s="118" t="s">
        <v>1216</v>
      </c>
      <c r="R128" s="118" t="s">
        <v>1608</v>
      </c>
      <c r="S128" s="118"/>
      <c r="T128" s="118" t="s">
        <v>1498</v>
      </c>
      <c r="U128" s="118" t="s">
        <v>803</v>
      </c>
      <c r="V128" s="118"/>
      <c r="W128" s="118" t="s">
        <v>1682</v>
      </c>
      <c r="X128" s="118"/>
      <c r="Y128" s="118"/>
      <c r="Z128" s="118"/>
      <c r="AA128" s="118"/>
      <c r="AB128" s="118"/>
      <c r="AC128" s="145" t="s">
        <v>6309</v>
      </c>
      <c r="AD128" s="653">
        <v>1</v>
      </c>
      <c r="AE128" s="653">
        <v>1</v>
      </c>
      <c r="AF128" s="159">
        <v>1</v>
      </c>
      <c r="AG128" s="160" t="s">
        <v>7066</v>
      </c>
      <c r="AH128" s="122">
        <v>4</v>
      </c>
      <c r="AI128" s="485"/>
      <c r="AJ128" s="204" t="s">
        <v>7107</v>
      </c>
      <c r="AK128" s="192" t="s">
        <v>7116</v>
      </c>
      <c r="AL128" s="205">
        <v>0</v>
      </c>
      <c r="AM128" s="122">
        <f>Table668[[#This Row],[Data_Subjects_n_ptsd]]+Table668[[#This Row],[Data_Subjects_n_control]]</f>
        <v>32</v>
      </c>
      <c r="AN128" s="122">
        <v>16</v>
      </c>
      <c r="AO128" s="122">
        <v>16</v>
      </c>
      <c r="AP128" s="122" t="s">
        <v>803</v>
      </c>
      <c r="AQ128" s="122" t="s">
        <v>803</v>
      </c>
      <c r="AR128" s="122" t="s">
        <v>7104</v>
      </c>
      <c r="AS128" s="122" t="s">
        <v>24</v>
      </c>
      <c r="AT128" s="122" t="s">
        <v>7104</v>
      </c>
      <c r="AU128" s="122" t="s">
        <v>24</v>
      </c>
      <c r="AV128" s="122" t="s">
        <v>7108</v>
      </c>
      <c r="AW128" s="122">
        <v>1</v>
      </c>
      <c r="AX128" s="122">
        <v>1</v>
      </c>
      <c r="AY128" s="122" t="s">
        <v>7109</v>
      </c>
      <c r="AZ128" s="122" t="s">
        <v>1321</v>
      </c>
      <c r="BA128" s="122" t="s">
        <v>6653</v>
      </c>
      <c r="BB128" s="588"/>
      <c r="BC128" s="588"/>
      <c r="BD128" s="161">
        <v>1</v>
      </c>
      <c r="BE128" s="161">
        <v>1</v>
      </c>
      <c r="BF128" s="161"/>
      <c r="BG128" s="161"/>
      <c r="BH128" s="161"/>
      <c r="BI128" s="161"/>
      <c r="BJ128" s="161">
        <v>1</v>
      </c>
      <c r="BK128" s="161"/>
      <c r="BL128" s="161"/>
      <c r="BM128" s="161"/>
      <c r="BN128" s="161"/>
      <c r="BO128" s="161"/>
      <c r="BP128" s="161"/>
      <c r="BQ128" s="596" t="s">
        <v>7056</v>
      </c>
      <c r="BR128" s="162" t="s">
        <v>6596</v>
      </c>
      <c r="BS128" s="659">
        <v>2</v>
      </c>
      <c r="BT128" s="150" t="s">
        <v>1876</v>
      </c>
      <c r="BU128" s="150" t="s">
        <v>7106</v>
      </c>
      <c r="BV128" s="477" t="s">
        <v>7110</v>
      </c>
      <c r="BW128" s="150" t="s">
        <v>7105</v>
      </c>
      <c r="BX128" s="477" t="s">
        <v>7120</v>
      </c>
      <c r="BY128" s="150" t="s">
        <v>7121</v>
      </c>
      <c r="BZ128" s="258" t="s">
        <v>7133</v>
      </c>
      <c r="CA128" s="257" t="s">
        <v>6627</v>
      </c>
      <c r="CB128" s="151" t="s">
        <v>7030</v>
      </c>
      <c r="CC128" s="266">
        <v>26.518699999999999</v>
      </c>
      <c r="CD128" s="228" t="s">
        <v>24</v>
      </c>
      <c r="CE128" s="150">
        <f>29.9875-Table668[[#This Row],[Data_Outcome1_M]]</f>
        <v>3.4688000000000017</v>
      </c>
      <c r="CF128" s="151" t="s">
        <v>7031</v>
      </c>
      <c r="CG128" s="150">
        <v>5.6234099999999998</v>
      </c>
      <c r="CH128" s="150" t="s">
        <v>24</v>
      </c>
      <c r="CI128" s="150">
        <f>6.92421-Table668[[#This Row],[Data_Outcome2_M]]</f>
        <v>1.3008000000000006</v>
      </c>
      <c r="CJ128" s="290" t="s">
        <v>7128</v>
      </c>
      <c r="CK128" s="694" t="s">
        <v>7125</v>
      </c>
      <c r="CL128" s="151" t="s">
        <v>7033</v>
      </c>
      <c r="CM128" s="266">
        <v>53.1006</v>
      </c>
      <c r="CN128" s="150" t="s">
        <v>24</v>
      </c>
      <c r="CO128" s="150">
        <f>56.5415-Table668[[#This Row],[Data_Outcome3_M]]</f>
        <v>3.4408999999999992</v>
      </c>
      <c r="CP128" s="228" t="s">
        <v>7032</v>
      </c>
      <c r="CQ128" s="150">
        <v>73.924899999999994</v>
      </c>
      <c r="CR128" s="150" t="s">
        <v>24</v>
      </c>
      <c r="CS128" s="150">
        <f>75.0004-Table668[[#This Row],[Data_Outcome4_M]]</f>
        <v>1.0755000000000052</v>
      </c>
      <c r="CT128" s="290" t="s">
        <v>7127</v>
      </c>
      <c r="CU128" s="694" t="s">
        <v>7125</v>
      </c>
      <c r="CV128" s="278"/>
      <c r="CW128" s="285"/>
      <c r="CX128" s="151" t="s">
        <v>7034</v>
      </c>
      <c r="CY128" s="266">
        <v>0.37934600000000002</v>
      </c>
      <c r="CZ128" s="228" t="s">
        <v>24</v>
      </c>
      <c r="DA128" s="150">
        <f>0.579988-Table668[[#This Row],[Data_Outcome5_M]]</f>
        <v>0.20064199999999993</v>
      </c>
      <c r="DB128" s="228" t="s">
        <v>7035</v>
      </c>
      <c r="DC128" s="150">
        <v>0.322131</v>
      </c>
      <c r="DD128" s="150" t="s">
        <v>24</v>
      </c>
      <c r="DE128" s="150">
        <f>0.491545-Table668[[#This Row],[Data_Outcome6_M]]</f>
        <v>0.16941400000000001</v>
      </c>
      <c r="DF128" s="302" t="s">
        <v>7126</v>
      </c>
      <c r="DG128" s="303" t="s">
        <v>7125</v>
      </c>
      <c r="DH128" s="151" t="s">
        <v>7036</v>
      </c>
      <c r="DI128" s="266">
        <v>45.322600000000001</v>
      </c>
      <c r="DJ128" s="150" t="s">
        <v>24</v>
      </c>
      <c r="DK128" s="150">
        <f>51.305-Table668[[#This Row],[Data_Outcome7_M]]</f>
        <v>5.9823999999999984</v>
      </c>
      <c r="DL128" s="228" t="s">
        <v>7045</v>
      </c>
      <c r="DM128" s="150">
        <v>11.275600000000001</v>
      </c>
      <c r="DN128" s="150" t="s">
        <v>24</v>
      </c>
      <c r="DO128" s="150">
        <f>12.214-Table668[[#This Row],[Data_Outcome8_M]]</f>
        <v>0.93839999999999968</v>
      </c>
      <c r="DP128" s="302" t="s">
        <v>7124</v>
      </c>
      <c r="DQ128" s="303" t="s">
        <v>7125</v>
      </c>
      <c r="DR128" s="278"/>
      <c r="DS128" s="279"/>
      <c r="DT128" s="150"/>
      <c r="DU128" s="150"/>
      <c r="DV128" s="150"/>
      <c r="DW128" s="150"/>
      <c r="DX128" s="151"/>
      <c r="DY128" s="150"/>
      <c r="DZ128" s="150"/>
      <c r="EA128" s="150"/>
      <c r="EB128" s="303"/>
      <c r="EC128" s="303"/>
      <c r="ED128" s="151"/>
      <c r="EE128" s="150"/>
      <c r="EF128" s="150"/>
      <c r="EG128" s="150"/>
      <c r="EH128" s="151"/>
      <c r="EI128" s="150"/>
      <c r="EJ128" s="150"/>
      <c r="EK128" s="150"/>
      <c r="EL128" s="303"/>
      <c r="EM128" s="303"/>
      <c r="EN128" s="279"/>
      <c r="EO128" s="150"/>
      <c r="EP128" s="150"/>
      <c r="EQ128" s="150"/>
      <c r="ER128" s="150"/>
      <c r="ES128" s="150"/>
      <c r="ET128" s="150"/>
      <c r="EU128" s="150"/>
      <c r="EV128" s="150"/>
      <c r="EW128" s="303"/>
      <c r="EX128" s="303"/>
      <c r="EY128" s="150"/>
      <c r="EZ128" s="150"/>
      <c r="FA128" s="150"/>
      <c r="FB128" s="150"/>
      <c r="FC128" s="150"/>
      <c r="FD128" s="150"/>
      <c r="FE128" s="150"/>
      <c r="FF128" s="150"/>
      <c r="FG128" s="152"/>
      <c r="FH128" s="152"/>
      <c r="FI128" s="150"/>
      <c r="FJ128" s="150"/>
      <c r="FK128" s="150"/>
      <c r="FL128" s="150"/>
      <c r="FM128" s="150"/>
      <c r="FN128" s="150"/>
      <c r="FO128" s="150"/>
      <c r="FP128" s="150"/>
      <c r="FQ128" s="152"/>
      <c r="FR128" s="152"/>
      <c r="FS128" s="150"/>
      <c r="FT128" s="150"/>
      <c r="FU128" s="150"/>
      <c r="FV128" s="150"/>
      <c r="FW128" s="150"/>
      <c r="FX128" s="150"/>
      <c r="FY128" s="150"/>
      <c r="FZ128" s="150"/>
      <c r="GA128" s="152"/>
      <c r="GB128" s="152"/>
      <c r="GC128" s="150"/>
      <c r="GD128" s="150"/>
      <c r="GE128" s="150"/>
      <c r="GF128" s="150"/>
      <c r="GG128" s="150"/>
      <c r="GH128" s="150"/>
      <c r="GI128" s="150"/>
      <c r="GJ128" s="150"/>
      <c r="GK128" s="152"/>
      <c r="GL128" s="152"/>
      <c r="GM128" s="150"/>
      <c r="GN128" s="150"/>
      <c r="GO128" s="150"/>
      <c r="GP128" s="150"/>
      <c r="GQ128" s="150"/>
      <c r="GR128" s="150"/>
      <c r="GS128" s="150"/>
      <c r="GT128" s="150"/>
      <c r="GU128" s="152"/>
      <c r="GV128" s="152"/>
      <c r="GW128" s="150"/>
      <c r="GX128" s="150"/>
      <c r="GY128" s="150"/>
      <c r="GZ128" s="150"/>
      <c r="HA128" s="150"/>
      <c r="HB128" s="150"/>
      <c r="HC128" s="150"/>
      <c r="HD128" s="150"/>
      <c r="HE128" s="152"/>
      <c r="HF128" s="152"/>
      <c r="HG128" s="150"/>
      <c r="HH128" s="150"/>
      <c r="HI128" s="150"/>
      <c r="HJ128" s="150"/>
      <c r="HK128" s="150"/>
      <c r="HL128" s="150"/>
      <c r="HM128" s="150"/>
      <c r="HN128" s="150"/>
      <c r="HO128" s="152"/>
      <c r="HP128" s="152"/>
      <c r="HQ128" s="150"/>
      <c r="HR128" s="150"/>
      <c r="HS128" s="150"/>
      <c r="HT128" s="150"/>
      <c r="HU128" s="150"/>
      <c r="HV128" s="150"/>
      <c r="HW128" s="150"/>
      <c r="HX128" s="150"/>
      <c r="HY128" s="152"/>
      <c r="HZ128" s="152"/>
      <c r="IA128" s="150"/>
      <c r="IB128" s="150"/>
      <c r="IC128" s="150"/>
      <c r="ID128" s="150"/>
      <c r="IE128" s="150"/>
      <c r="IF128" s="150"/>
      <c r="IG128" s="150"/>
      <c r="IH128" s="150"/>
      <c r="II128" s="152"/>
      <c r="IJ128" s="152"/>
      <c r="IK128" s="150"/>
      <c r="IL128" s="150"/>
      <c r="IM128" s="150"/>
      <c r="IN128" s="150"/>
      <c r="IO128" s="150"/>
      <c r="IP128" s="150"/>
      <c r="IQ128" s="150"/>
      <c r="IR128" s="150"/>
      <c r="IS128" s="152"/>
      <c r="IT128" s="152"/>
      <c r="IU128" s="150"/>
      <c r="IV128" s="150"/>
      <c r="IW128" s="150"/>
      <c r="IX128" s="150"/>
      <c r="IY128" s="150"/>
      <c r="IZ128" s="150"/>
      <c r="JA128" s="150"/>
      <c r="JB128" s="150"/>
      <c r="JC128" s="152"/>
      <c r="JD128" s="152"/>
    </row>
    <row r="129" spans="1:264" customFormat="1" ht="15" customHeight="1">
      <c r="A129" s="79" t="s">
        <v>351</v>
      </c>
      <c r="B129" s="362">
        <v>251</v>
      </c>
      <c r="C129" s="362"/>
      <c r="D129" s="362">
        <v>106</v>
      </c>
      <c r="E129" s="604" t="s">
        <v>2040</v>
      </c>
      <c r="F129" s="124" t="s">
        <v>2279</v>
      </c>
      <c r="G129" s="125">
        <v>2014</v>
      </c>
      <c r="H129" s="79">
        <v>24354897</v>
      </c>
      <c r="I129" s="79">
        <v>1</v>
      </c>
      <c r="J129" s="126"/>
      <c r="K129" s="127"/>
      <c r="L129" s="79">
        <v>1</v>
      </c>
      <c r="M129" s="79"/>
      <c r="N129" s="79">
        <v>1</v>
      </c>
      <c r="O129" s="128">
        <v>1</v>
      </c>
      <c r="P129" s="79" t="s">
        <v>609</v>
      </c>
      <c r="Q129" s="79" t="s">
        <v>1158</v>
      </c>
      <c r="R129" s="79" t="s">
        <v>910</v>
      </c>
      <c r="S129" s="79">
        <v>1</v>
      </c>
      <c r="T129" s="79"/>
      <c r="U129" s="79"/>
      <c r="V129" s="79"/>
      <c r="W129" s="79" t="s">
        <v>610</v>
      </c>
      <c r="X129" s="79"/>
      <c r="Y129" s="79"/>
      <c r="Z129" s="79" t="s">
        <v>911</v>
      </c>
      <c r="AA129" s="79"/>
      <c r="AB129" s="79"/>
      <c r="AC129" s="506" t="s">
        <v>6958</v>
      </c>
      <c r="AD129" s="573">
        <v>1</v>
      </c>
      <c r="AE129" s="573">
        <v>1</v>
      </c>
      <c r="AF129" s="233" t="s">
        <v>1917</v>
      </c>
      <c r="AG129" s="234" t="s">
        <v>7154</v>
      </c>
      <c r="AH129" s="121">
        <v>2</v>
      </c>
      <c r="AI129" s="484"/>
      <c r="AJ129" s="202" t="s">
        <v>7136</v>
      </c>
      <c r="AK129" s="192">
        <v>0</v>
      </c>
      <c r="AL129" s="203" t="s">
        <v>24</v>
      </c>
      <c r="AM129" s="121">
        <f>Table668[[#This Row],[Data_Subjects_n_ptsd]]+Table668[[#This Row],[Data_Subjects_n_control]]</f>
        <v>134</v>
      </c>
      <c r="AN129" s="121">
        <f>30+68</f>
        <v>98</v>
      </c>
      <c r="AO129" s="121">
        <v>36</v>
      </c>
      <c r="AP129" s="121" t="s">
        <v>7138</v>
      </c>
      <c r="AQ129" s="121" t="s">
        <v>7139</v>
      </c>
      <c r="AR129" s="121">
        <f>AVERAGE(31.1, 33.2)</f>
        <v>32.150000000000006</v>
      </c>
      <c r="AS129" s="121">
        <f>AVERAGE(6.4, 7.7)</f>
        <v>7.0500000000000007</v>
      </c>
      <c r="AT129" s="121">
        <v>30.6</v>
      </c>
      <c r="AU129" s="121">
        <v>7.6</v>
      </c>
      <c r="AV129" s="121" t="s">
        <v>7140</v>
      </c>
      <c r="AW129" s="121" t="s">
        <v>24</v>
      </c>
      <c r="AX129" s="121" t="s">
        <v>24</v>
      </c>
      <c r="AY129" s="121" t="s">
        <v>2423</v>
      </c>
      <c r="AZ129" s="121" t="s">
        <v>7141</v>
      </c>
      <c r="BA129" s="121" t="s">
        <v>7142</v>
      </c>
      <c r="BB129" s="594"/>
      <c r="BC129" s="594"/>
      <c r="BD129" s="156"/>
      <c r="BE129" s="156"/>
      <c r="BF129" s="156" t="s">
        <v>5207</v>
      </c>
      <c r="BG129" s="156" t="s">
        <v>5207</v>
      </c>
      <c r="BH129" s="156"/>
      <c r="BI129" s="156" t="s">
        <v>5207</v>
      </c>
      <c r="BJ129" s="156">
        <v>1</v>
      </c>
      <c r="BK129" s="156"/>
      <c r="BL129" s="156" t="s">
        <v>5207</v>
      </c>
      <c r="BM129" s="156"/>
      <c r="BN129" s="156" t="s">
        <v>5207</v>
      </c>
      <c r="BO129" s="156" t="s">
        <v>5207</v>
      </c>
      <c r="BP129" s="156"/>
      <c r="BQ129" s="595" t="s">
        <v>4208</v>
      </c>
      <c r="BR129" s="157" t="s">
        <v>6611</v>
      </c>
      <c r="BS129" s="660">
        <v>2</v>
      </c>
      <c r="BT129" s="134" t="s">
        <v>1876</v>
      </c>
      <c r="BU129" s="134" t="s">
        <v>7143</v>
      </c>
      <c r="BV129" s="134" t="s">
        <v>7135</v>
      </c>
      <c r="BW129" s="134" t="s">
        <v>24</v>
      </c>
      <c r="BX129" s="134" t="s">
        <v>7144</v>
      </c>
      <c r="BY129" s="134"/>
      <c r="BZ129" s="259" t="s">
        <v>7152</v>
      </c>
      <c r="CA129" s="454" t="s">
        <v>7153</v>
      </c>
      <c r="CB129" s="697" t="s">
        <v>7146</v>
      </c>
      <c r="CC129" s="134">
        <f>AVERAGE(53.8,44.5)</f>
        <v>49.15</v>
      </c>
      <c r="CD129" s="134">
        <f>AVERAGE(8, 12.5)</f>
        <v>10.25</v>
      </c>
      <c r="CE129" s="134" t="s">
        <v>24</v>
      </c>
      <c r="CF129" s="138" t="s">
        <v>7145</v>
      </c>
      <c r="CG129" s="134">
        <v>54.3</v>
      </c>
      <c r="CH129" s="134">
        <v>9.5</v>
      </c>
      <c r="CI129" s="134" t="s">
        <v>24</v>
      </c>
      <c r="CJ129" s="288" t="s">
        <v>7151</v>
      </c>
      <c r="CK129" s="289"/>
      <c r="CL129" s="697" t="s">
        <v>7147</v>
      </c>
      <c r="CM129" s="190">
        <f>AVERAGE(12.9,8.2)</f>
        <v>10.55</v>
      </c>
      <c r="CN129" s="134">
        <f>AVERAGE(2.9,4)</f>
        <v>3.45</v>
      </c>
      <c r="CO129" s="134" t="s">
        <v>24</v>
      </c>
      <c r="CP129" s="138" t="s">
        <v>7148</v>
      </c>
      <c r="CQ129" s="134">
        <v>12.4</v>
      </c>
      <c r="CR129" s="134">
        <v>2.9</v>
      </c>
      <c r="CS129" s="134" t="s">
        <v>24</v>
      </c>
      <c r="CT129" s="288" t="s">
        <v>7151</v>
      </c>
      <c r="CU129" s="289"/>
      <c r="CV129" s="276"/>
      <c r="CW129" s="308"/>
      <c r="CX129" s="697" t="s">
        <v>7149</v>
      </c>
      <c r="CY129" s="190">
        <f>AVERAGE(15.2,12)</f>
        <v>13.6</v>
      </c>
      <c r="CZ129" s="134">
        <f>AVERAGE(1.1,3.2)</f>
        <v>2.1500000000000004</v>
      </c>
      <c r="DA129" s="134" t="s">
        <v>24</v>
      </c>
      <c r="DB129" s="138" t="s">
        <v>7150</v>
      </c>
      <c r="DC129" s="134">
        <v>15.1</v>
      </c>
      <c r="DD129" s="134">
        <v>1.2</v>
      </c>
      <c r="DE129" s="134" t="s">
        <v>24</v>
      </c>
      <c r="DF129" s="288" t="s">
        <v>7151</v>
      </c>
      <c r="DG129" s="301"/>
      <c r="DH129" s="426"/>
      <c r="DI129" s="426"/>
      <c r="DJ129" s="426"/>
      <c r="DK129" s="426"/>
      <c r="DL129" s="426"/>
      <c r="DM129" s="134"/>
      <c r="DN129" s="134"/>
      <c r="DO129" s="134"/>
      <c r="DP129" s="300"/>
      <c r="DQ129" s="301"/>
      <c r="DR129" s="276"/>
      <c r="DS129" s="277"/>
      <c r="DT129" s="134"/>
      <c r="DU129" s="134"/>
      <c r="DV129" s="134"/>
      <c r="DW129" s="134"/>
      <c r="DX129" s="138"/>
      <c r="DY129" s="134"/>
      <c r="DZ129" s="134"/>
      <c r="EA129" s="134"/>
      <c r="EB129" s="301"/>
      <c r="EC129" s="301"/>
      <c r="ED129" s="138"/>
      <c r="EE129" s="134"/>
      <c r="EF129" s="134"/>
      <c r="EG129" s="134"/>
      <c r="EH129" s="138"/>
      <c r="EI129" s="134"/>
      <c r="EJ129" s="134"/>
      <c r="EK129" s="134"/>
      <c r="EL129" s="301"/>
      <c r="EM129" s="301"/>
      <c r="EN129" s="277"/>
      <c r="EO129" s="134"/>
      <c r="EP129" s="134"/>
      <c r="EQ129" s="134"/>
      <c r="ER129" s="134"/>
      <c r="ES129" s="134"/>
      <c r="ET129" s="134"/>
      <c r="EU129" s="134"/>
      <c r="EV129" s="134"/>
      <c r="EW129" s="301"/>
      <c r="EX129" s="301"/>
      <c r="EY129" s="134"/>
      <c r="EZ129" s="134"/>
      <c r="FA129" s="134"/>
      <c r="FB129" s="134"/>
      <c r="FC129" s="134"/>
      <c r="FD129" s="134"/>
      <c r="FE129" s="134"/>
      <c r="FF129" s="134"/>
      <c r="FG129" s="135"/>
      <c r="FH129" s="135"/>
      <c r="FI129" s="134"/>
      <c r="FJ129" s="134"/>
      <c r="FK129" s="134"/>
      <c r="FL129" s="134"/>
      <c r="FM129" s="134"/>
      <c r="FN129" s="134"/>
      <c r="FO129" s="134"/>
      <c r="FP129" s="134"/>
      <c r="FQ129" s="135"/>
      <c r="FR129" s="135"/>
      <c r="FS129" s="134"/>
      <c r="FT129" s="134"/>
      <c r="FU129" s="134"/>
      <c r="FV129" s="134"/>
      <c r="FW129" s="134"/>
      <c r="FX129" s="134"/>
      <c r="FY129" s="134"/>
      <c r="FZ129" s="134"/>
      <c r="GA129" s="135"/>
      <c r="GB129" s="135"/>
      <c r="GC129" s="134"/>
      <c r="GD129" s="134"/>
      <c r="GE129" s="134"/>
      <c r="GF129" s="134"/>
      <c r="GG129" s="134"/>
      <c r="GH129" s="134"/>
      <c r="GI129" s="134"/>
      <c r="GJ129" s="134"/>
      <c r="GK129" s="135"/>
      <c r="GL129" s="135"/>
      <c r="GM129" s="134"/>
      <c r="GN129" s="134"/>
      <c r="GO129" s="134"/>
      <c r="GP129" s="134"/>
      <c r="GQ129" s="134"/>
      <c r="GR129" s="134"/>
      <c r="GS129" s="134"/>
      <c r="GT129" s="134"/>
      <c r="GU129" s="135"/>
      <c r="GV129" s="135"/>
      <c r="GW129" s="134"/>
      <c r="GX129" s="134"/>
      <c r="GY129" s="134"/>
      <c r="GZ129" s="134"/>
      <c r="HA129" s="134"/>
      <c r="HB129" s="134"/>
      <c r="HC129" s="134"/>
      <c r="HD129" s="134"/>
      <c r="HE129" s="135"/>
      <c r="HF129" s="135"/>
      <c r="HG129" s="134"/>
      <c r="HH129" s="134"/>
      <c r="HI129" s="134"/>
      <c r="HJ129" s="134"/>
      <c r="HK129" s="134"/>
      <c r="HL129" s="134"/>
      <c r="HM129" s="134"/>
      <c r="HN129" s="134"/>
      <c r="HO129" s="135"/>
      <c r="HP129" s="135"/>
      <c r="HQ129" s="134"/>
      <c r="HR129" s="134"/>
      <c r="HS129" s="134"/>
      <c r="HT129" s="134"/>
      <c r="HU129" s="134"/>
      <c r="HV129" s="134"/>
      <c r="HW129" s="134"/>
      <c r="HX129" s="134"/>
      <c r="HY129" s="135"/>
      <c r="HZ129" s="135"/>
      <c r="IA129" s="134"/>
      <c r="IB129" s="134"/>
      <c r="IC129" s="134"/>
      <c r="ID129" s="134"/>
      <c r="IE129" s="134"/>
      <c r="IF129" s="134"/>
      <c r="IG129" s="134"/>
      <c r="IH129" s="134"/>
      <c r="II129" s="135"/>
      <c r="IJ129" s="135"/>
      <c r="IK129" s="134"/>
      <c r="IL129" s="134"/>
      <c r="IM129" s="134"/>
      <c r="IN129" s="134"/>
      <c r="IO129" s="134"/>
      <c r="IP129" s="134"/>
      <c r="IQ129" s="134"/>
      <c r="IR129" s="134"/>
      <c r="IS129" s="135"/>
      <c r="IT129" s="135"/>
      <c r="IU129" s="134"/>
      <c r="IV129" s="134"/>
      <c r="IW129" s="134"/>
      <c r="IX129" s="134"/>
      <c r="IY129" s="134"/>
      <c r="IZ129" s="134"/>
      <c r="JA129" s="134"/>
      <c r="JB129" s="134"/>
      <c r="JC129" s="135"/>
      <c r="JD129" s="135"/>
    </row>
    <row r="130" spans="1:264" s="119" customFormat="1" ht="15" customHeight="1">
      <c r="A130" s="79" t="s">
        <v>357</v>
      </c>
      <c r="B130" s="362">
        <v>257</v>
      </c>
      <c r="C130" s="362"/>
      <c r="D130" s="362">
        <v>111</v>
      </c>
      <c r="E130" s="604" t="s">
        <v>2045</v>
      </c>
      <c r="F130" s="124" t="s">
        <v>2285</v>
      </c>
      <c r="G130" s="125">
        <v>2010</v>
      </c>
      <c r="H130" s="79">
        <v>21174249</v>
      </c>
      <c r="I130" s="79">
        <v>1</v>
      </c>
      <c r="J130" s="126"/>
      <c r="K130" s="127"/>
      <c r="L130" s="164">
        <v>1</v>
      </c>
      <c r="M130" s="79"/>
      <c r="N130" s="79">
        <v>1</v>
      </c>
      <c r="O130" s="128">
        <v>1</v>
      </c>
      <c r="P130" s="79" t="s">
        <v>28</v>
      </c>
      <c r="Q130" s="79" t="s">
        <v>28</v>
      </c>
      <c r="R130" s="79" t="s">
        <v>878</v>
      </c>
      <c r="S130" s="79">
        <v>1</v>
      </c>
      <c r="T130" s="79"/>
      <c r="U130" s="79"/>
      <c r="V130" s="79"/>
      <c r="W130" s="79" t="s">
        <v>922</v>
      </c>
      <c r="X130" s="79"/>
      <c r="Y130" s="79"/>
      <c r="Z130" s="79"/>
      <c r="AA130" s="79"/>
      <c r="AB130" s="79"/>
      <c r="AC130" s="506" t="s">
        <v>6330</v>
      </c>
      <c r="AD130" s="573">
        <v>1</v>
      </c>
      <c r="AE130" s="573">
        <v>1</v>
      </c>
      <c r="AF130" s="165">
        <v>0</v>
      </c>
      <c r="AG130" s="166" t="s">
        <v>7155</v>
      </c>
      <c r="AH130" s="120">
        <v>2</v>
      </c>
      <c r="AI130" s="120"/>
      <c r="AJ130" s="206"/>
      <c r="AK130" s="372"/>
      <c r="AL130" s="207"/>
      <c r="AM130" s="120"/>
      <c r="AN130" s="120"/>
      <c r="AO130" s="120"/>
      <c r="AP130" s="120"/>
      <c r="AQ130" s="120"/>
      <c r="AR130" s="120"/>
      <c r="AS130" s="120"/>
      <c r="AT130" s="120"/>
      <c r="AU130" s="120"/>
      <c r="AV130" s="120"/>
      <c r="AW130" s="120"/>
      <c r="AX130" s="120"/>
      <c r="AY130" s="120"/>
      <c r="AZ130" s="120"/>
      <c r="BA130" s="120"/>
      <c r="BB130" s="377"/>
      <c r="BC130" s="377"/>
      <c r="BD130" s="373"/>
      <c r="BE130" s="373"/>
      <c r="BF130" s="373"/>
      <c r="BG130" s="373"/>
      <c r="BH130" s="373"/>
      <c r="BI130" s="373" t="s">
        <v>5207</v>
      </c>
      <c r="BJ130" s="156" t="s">
        <v>6174</v>
      </c>
      <c r="BK130" s="156"/>
      <c r="BL130" s="156"/>
      <c r="BM130" s="156"/>
      <c r="BN130" s="156"/>
      <c r="BO130" s="156"/>
      <c r="BP130" s="156"/>
      <c r="BQ130" s="595"/>
      <c r="BR130" s="157"/>
      <c r="BS130" s="660"/>
      <c r="BT130" s="134"/>
      <c r="BU130" s="134"/>
      <c r="BV130" s="134"/>
      <c r="BW130" s="134"/>
      <c r="BX130" s="134"/>
      <c r="BY130" s="134"/>
      <c r="BZ130" s="259"/>
      <c r="CA130" s="454"/>
      <c r="CB130" s="138"/>
      <c r="CC130" s="134"/>
      <c r="CD130" s="134"/>
      <c r="CE130" s="134"/>
      <c r="CF130" s="138"/>
      <c r="CG130" s="134"/>
      <c r="CH130" s="134"/>
      <c r="CI130" s="134"/>
      <c r="CJ130" s="288"/>
      <c r="CK130" s="289"/>
      <c r="CL130" s="138"/>
      <c r="CM130" s="134"/>
      <c r="CN130" s="134"/>
      <c r="CO130" s="134"/>
      <c r="CP130" s="138"/>
      <c r="CQ130" s="134"/>
      <c r="CR130" s="134"/>
      <c r="CS130" s="134"/>
      <c r="CT130" s="288"/>
      <c r="CU130" s="289"/>
      <c r="CV130" s="276"/>
      <c r="CW130" s="308"/>
      <c r="CX130" s="138"/>
      <c r="CY130" s="134"/>
      <c r="CZ130" s="134"/>
      <c r="DA130" s="134"/>
      <c r="DB130" s="134"/>
      <c r="DC130" s="134"/>
      <c r="DD130" s="134"/>
      <c r="DE130" s="134"/>
      <c r="DF130" s="300"/>
      <c r="DG130" s="301"/>
      <c r="DH130" s="134"/>
      <c r="DI130" s="134"/>
      <c r="DJ130" s="134"/>
      <c r="DK130" s="134"/>
      <c r="DL130" s="134"/>
      <c r="DM130" s="134"/>
      <c r="DN130" s="134"/>
      <c r="DO130" s="134"/>
      <c r="DP130" s="300"/>
      <c r="DQ130" s="301"/>
      <c r="DR130" s="276"/>
      <c r="DS130" s="277"/>
      <c r="DT130" s="134"/>
      <c r="DU130" s="134"/>
      <c r="DV130" s="134"/>
      <c r="DW130" s="134"/>
      <c r="DX130" s="138"/>
      <c r="DY130" s="134"/>
      <c r="DZ130" s="134"/>
      <c r="EA130" s="134"/>
      <c r="EB130" s="301"/>
      <c r="EC130" s="301"/>
      <c r="ED130" s="138"/>
      <c r="EE130" s="134"/>
      <c r="EF130" s="134"/>
      <c r="EG130" s="134"/>
      <c r="EH130" s="138"/>
      <c r="EI130" s="134"/>
      <c r="EJ130" s="134"/>
      <c r="EK130" s="134"/>
      <c r="EL130" s="301"/>
      <c r="EM130" s="301"/>
      <c r="EN130" s="277"/>
      <c r="EO130" s="134"/>
      <c r="EP130" s="134"/>
      <c r="EQ130" s="134"/>
      <c r="ER130" s="134"/>
      <c r="ES130" s="134"/>
      <c r="ET130" s="134"/>
      <c r="EU130" s="134"/>
      <c r="EV130" s="134"/>
      <c r="EW130" s="301"/>
      <c r="EX130" s="301"/>
      <c r="EY130" s="134"/>
      <c r="EZ130" s="134"/>
      <c r="FA130" s="134"/>
      <c r="FB130" s="134"/>
      <c r="FC130" s="134"/>
      <c r="FD130" s="134"/>
      <c r="FE130" s="134"/>
      <c r="FF130" s="134"/>
      <c r="FG130" s="135"/>
      <c r="FH130" s="135"/>
      <c r="FI130" s="134"/>
      <c r="FJ130" s="134"/>
      <c r="FK130" s="134"/>
      <c r="FL130" s="134"/>
      <c r="FM130" s="134"/>
      <c r="FN130" s="134"/>
      <c r="FO130" s="134"/>
      <c r="FP130" s="134"/>
      <c r="FQ130" s="135"/>
      <c r="FR130" s="135"/>
      <c r="FS130" s="134"/>
      <c r="FT130" s="134"/>
      <c r="FU130" s="134"/>
      <c r="FV130" s="134"/>
      <c r="FW130" s="134"/>
      <c r="FX130" s="134"/>
      <c r="FY130" s="134"/>
      <c r="FZ130" s="134"/>
      <c r="GA130" s="135"/>
      <c r="GB130" s="135"/>
      <c r="GC130" s="134"/>
      <c r="GD130" s="134"/>
      <c r="GE130" s="134"/>
      <c r="GF130" s="134"/>
      <c r="GG130" s="134"/>
      <c r="GH130" s="134"/>
      <c r="GI130" s="134"/>
      <c r="GJ130" s="134"/>
      <c r="GK130" s="135"/>
      <c r="GL130" s="135"/>
      <c r="GM130" s="134"/>
      <c r="GN130" s="134"/>
      <c r="GO130" s="134"/>
      <c r="GP130" s="134"/>
      <c r="GQ130" s="134"/>
      <c r="GR130" s="134"/>
      <c r="GS130" s="134"/>
      <c r="GT130" s="134"/>
      <c r="GU130" s="135"/>
      <c r="GV130" s="135"/>
      <c r="GW130" s="134"/>
      <c r="GX130" s="134"/>
      <c r="GY130" s="134"/>
      <c r="GZ130" s="134"/>
      <c r="HA130" s="134"/>
      <c r="HB130" s="134"/>
      <c r="HC130" s="134"/>
      <c r="HD130" s="134"/>
      <c r="HE130" s="135"/>
      <c r="HF130" s="135"/>
      <c r="HG130" s="134"/>
      <c r="HH130" s="134"/>
      <c r="HI130" s="134"/>
      <c r="HJ130" s="134"/>
      <c r="HK130" s="134"/>
      <c r="HL130" s="134"/>
      <c r="HM130" s="134"/>
      <c r="HN130" s="134"/>
      <c r="HO130" s="135"/>
      <c r="HP130" s="135"/>
      <c r="HQ130" s="134"/>
      <c r="HR130" s="134"/>
      <c r="HS130" s="134"/>
      <c r="HT130" s="134"/>
      <c r="HU130" s="134"/>
      <c r="HV130" s="134"/>
      <c r="HW130" s="134"/>
      <c r="HX130" s="134"/>
      <c r="HY130" s="135"/>
      <c r="HZ130" s="135"/>
      <c r="IA130" s="134"/>
      <c r="IB130" s="134"/>
      <c r="IC130" s="134"/>
      <c r="ID130" s="134"/>
      <c r="IE130" s="134"/>
      <c r="IF130" s="134"/>
      <c r="IG130" s="134"/>
      <c r="IH130" s="134"/>
      <c r="II130" s="135"/>
      <c r="IJ130" s="135"/>
      <c r="IK130" s="134"/>
      <c r="IL130" s="134"/>
      <c r="IM130" s="134"/>
      <c r="IN130" s="134"/>
      <c r="IO130" s="134"/>
      <c r="IP130" s="134"/>
      <c r="IQ130" s="134"/>
      <c r="IR130" s="134"/>
      <c r="IS130" s="135"/>
      <c r="IT130" s="135"/>
      <c r="IU130" s="134"/>
      <c r="IV130" s="134"/>
      <c r="IW130" s="134"/>
      <c r="IX130" s="134"/>
      <c r="IY130" s="134"/>
      <c r="IZ130" s="134"/>
      <c r="JA130" s="134"/>
      <c r="JB130" s="134"/>
      <c r="JC130" s="135"/>
      <c r="JD130" s="135"/>
    </row>
    <row r="131" spans="1:264" customFormat="1" ht="15" customHeight="1">
      <c r="A131" s="79" t="s">
        <v>358</v>
      </c>
      <c r="B131" s="362">
        <v>258</v>
      </c>
      <c r="C131" s="362"/>
      <c r="D131" s="362">
        <v>112</v>
      </c>
      <c r="E131" s="604" t="s">
        <v>2046</v>
      </c>
      <c r="F131" s="124" t="s">
        <v>2286</v>
      </c>
      <c r="G131" s="125">
        <v>2016</v>
      </c>
      <c r="H131" s="79">
        <v>26892753</v>
      </c>
      <c r="I131" s="79">
        <v>1</v>
      </c>
      <c r="J131" s="126"/>
      <c r="K131" s="127"/>
      <c r="L131" s="79">
        <v>1</v>
      </c>
      <c r="M131" s="79"/>
      <c r="N131" s="79">
        <v>1</v>
      </c>
      <c r="O131" s="128">
        <v>1</v>
      </c>
      <c r="P131" s="79" t="s">
        <v>924</v>
      </c>
      <c r="Q131" s="79" t="s">
        <v>1196</v>
      </c>
      <c r="R131" s="79" t="s">
        <v>819</v>
      </c>
      <c r="S131" s="79">
        <v>1</v>
      </c>
      <c r="T131" s="79"/>
      <c r="U131" s="79"/>
      <c r="V131" s="79"/>
      <c r="W131" s="79" t="s">
        <v>923</v>
      </c>
      <c r="X131" s="79" t="s">
        <v>24</v>
      </c>
      <c r="Y131" s="79" t="s">
        <v>24</v>
      </c>
      <c r="Z131" s="79" t="s">
        <v>925</v>
      </c>
      <c r="AA131" s="79"/>
      <c r="AB131" s="79"/>
      <c r="AC131" s="506" t="s">
        <v>6331</v>
      </c>
      <c r="AD131" s="573">
        <v>1</v>
      </c>
      <c r="AE131" s="573">
        <v>1</v>
      </c>
      <c r="AF131" s="154">
        <v>1</v>
      </c>
      <c r="AG131" s="155"/>
      <c r="AH131" s="121">
        <v>2</v>
      </c>
      <c r="AI131" s="484"/>
      <c r="AJ131" s="202"/>
      <c r="AK131" s="192">
        <v>1</v>
      </c>
      <c r="AL131" s="203" t="s">
        <v>24</v>
      </c>
      <c r="AM131" s="121">
        <f>Table668[[#This Row],[Data_Subjects_n_ptsd]]+Table668[[#This Row],[Data_Subjects_n_control]]</f>
        <v>80</v>
      </c>
      <c r="AN131" s="121">
        <v>40</v>
      </c>
      <c r="AO131" s="121">
        <v>40</v>
      </c>
      <c r="AP131" s="121" t="s">
        <v>7156</v>
      </c>
      <c r="AQ131" s="121" t="s">
        <v>7157</v>
      </c>
      <c r="AR131" s="121">
        <v>35.200000000000003</v>
      </c>
      <c r="AS131" s="121">
        <v>9.8000000000000007</v>
      </c>
      <c r="AT131" s="121">
        <v>32.9</v>
      </c>
      <c r="AU131" s="121">
        <v>8.6999999999999993</v>
      </c>
      <c r="AV131" s="121" t="s">
        <v>1874</v>
      </c>
      <c r="AW131" s="121" t="s">
        <v>24</v>
      </c>
      <c r="AX131" s="121" t="s">
        <v>24</v>
      </c>
      <c r="AY131" s="121" t="s">
        <v>2423</v>
      </c>
      <c r="AZ131" s="121" t="s">
        <v>3835</v>
      </c>
      <c r="BA131" s="121" t="s">
        <v>1875</v>
      </c>
      <c r="BB131" s="594"/>
      <c r="BC131" s="594" t="s">
        <v>6332</v>
      </c>
      <c r="BD131" s="156"/>
      <c r="BE131" s="156"/>
      <c r="BF131" s="156" t="s">
        <v>5207</v>
      </c>
      <c r="BG131" s="156"/>
      <c r="BH131" s="156"/>
      <c r="BI131" s="156" t="s">
        <v>5207</v>
      </c>
      <c r="BJ131" s="156" t="s">
        <v>6174</v>
      </c>
      <c r="BK131" s="156"/>
      <c r="BL131" s="156" t="s">
        <v>5207</v>
      </c>
      <c r="BM131" s="156"/>
      <c r="BN131" s="156" t="s">
        <v>4727</v>
      </c>
      <c r="BO131" s="156" t="s">
        <v>5207</v>
      </c>
      <c r="BP131" s="156" t="s">
        <v>6293</v>
      </c>
      <c r="BQ131" s="595" t="s">
        <v>7173</v>
      </c>
      <c r="BR131" s="157" t="s">
        <v>6609</v>
      </c>
      <c r="BS131" s="660">
        <v>2</v>
      </c>
      <c r="BT131" s="134" t="s">
        <v>1876</v>
      </c>
      <c r="BU131" s="134">
        <v>2</v>
      </c>
      <c r="BV131" s="134" t="s">
        <v>7158</v>
      </c>
      <c r="BW131" s="134" t="s">
        <v>24</v>
      </c>
      <c r="BX131" s="134" t="s">
        <v>7159</v>
      </c>
      <c r="BY131" s="134"/>
      <c r="BZ131" s="259" t="s">
        <v>7172</v>
      </c>
      <c r="CA131" s="454">
        <v>0</v>
      </c>
      <c r="CB131" s="138" t="s">
        <v>7162</v>
      </c>
      <c r="CC131" s="134">
        <v>49.3</v>
      </c>
      <c r="CD131" s="134">
        <v>9.9</v>
      </c>
      <c r="CE131" s="134" t="s">
        <v>24</v>
      </c>
      <c r="CF131" s="138" t="s">
        <v>7163</v>
      </c>
      <c r="CG131" s="134">
        <v>50.2</v>
      </c>
      <c r="CH131" s="134">
        <v>8</v>
      </c>
      <c r="CI131" s="134" t="s">
        <v>24</v>
      </c>
      <c r="CJ131" s="403" t="s">
        <v>7168</v>
      </c>
      <c r="CK131" s="404" t="s">
        <v>3790</v>
      </c>
      <c r="CL131" s="138" t="s">
        <v>7164</v>
      </c>
      <c r="CM131" s="134">
        <v>11</v>
      </c>
      <c r="CN131" s="134">
        <v>3</v>
      </c>
      <c r="CO131" s="134" t="s">
        <v>24</v>
      </c>
      <c r="CP131" s="138" t="s">
        <v>7165</v>
      </c>
      <c r="CQ131" s="134">
        <v>11.1</v>
      </c>
      <c r="CR131" s="134">
        <v>2.9</v>
      </c>
      <c r="CS131" s="134" t="s">
        <v>24</v>
      </c>
      <c r="CT131" s="403" t="s">
        <v>7168</v>
      </c>
      <c r="CU131" s="404" t="s">
        <v>3790</v>
      </c>
      <c r="CV131" s="276" t="s">
        <v>7170</v>
      </c>
      <c r="CW131" s="308" t="s">
        <v>7169</v>
      </c>
      <c r="CX131" s="138"/>
      <c r="CY131" s="134"/>
      <c r="CZ131" s="134"/>
      <c r="DA131" s="134"/>
      <c r="DB131" s="134"/>
      <c r="DC131" s="134"/>
      <c r="DD131" s="134"/>
      <c r="DE131" s="134"/>
      <c r="DF131" s="300"/>
      <c r="DG131" s="301"/>
      <c r="DH131" s="134"/>
      <c r="DI131" s="134"/>
      <c r="DJ131" s="134"/>
      <c r="DK131" s="134"/>
      <c r="DL131" s="134"/>
      <c r="DM131" s="134"/>
      <c r="DN131" s="134"/>
      <c r="DO131" s="134"/>
      <c r="DP131" s="300"/>
      <c r="DQ131" s="301"/>
      <c r="DR131" s="276"/>
      <c r="DS131" s="277"/>
      <c r="DT131" s="134"/>
      <c r="DU131" s="134"/>
      <c r="DV131" s="134"/>
      <c r="DW131" s="134"/>
      <c r="DX131" s="138"/>
      <c r="DY131" s="134"/>
      <c r="DZ131" s="134"/>
      <c r="EA131" s="134"/>
      <c r="EB131" s="301"/>
      <c r="EC131" s="301"/>
      <c r="ED131" s="138"/>
      <c r="EE131" s="134"/>
      <c r="EF131" s="134"/>
      <c r="EG131" s="134"/>
      <c r="EH131" s="138"/>
      <c r="EI131" s="134"/>
      <c r="EJ131" s="134"/>
      <c r="EK131" s="134"/>
      <c r="EL131" s="301"/>
      <c r="EM131" s="301"/>
      <c r="EN131" s="277"/>
      <c r="EO131" s="134"/>
      <c r="EP131" s="134"/>
      <c r="EQ131" s="134"/>
      <c r="ER131" s="134"/>
      <c r="ES131" s="134"/>
      <c r="ET131" s="134"/>
      <c r="EU131" s="134"/>
      <c r="EV131" s="134"/>
      <c r="EW131" s="301"/>
      <c r="EX131" s="301"/>
      <c r="EY131" s="134"/>
      <c r="EZ131" s="134"/>
      <c r="FA131" s="134"/>
      <c r="FB131" s="134"/>
      <c r="FC131" s="134"/>
      <c r="FD131" s="134"/>
      <c r="FE131" s="134"/>
      <c r="FF131" s="134"/>
      <c r="FG131" s="135"/>
      <c r="FH131" s="135"/>
      <c r="FI131" s="134"/>
      <c r="FJ131" s="134"/>
      <c r="FK131" s="134"/>
      <c r="FL131" s="134"/>
      <c r="FM131" s="134"/>
      <c r="FN131" s="134"/>
      <c r="FO131" s="134"/>
      <c r="FP131" s="134"/>
      <c r="FQ131" s="135"/>
      <c r="FR131" s="135"/>
      <c r="FS131" s="134"/>
      <c r="FT131" s="134"/>
      <c r="FU131" s="134"/>
      <c r="FV131" s="134"/>
      <c r="FW131" s="134"/>
      <c r="FX131" s="134"/>
      <c r="FY131" s="134"/>
      <c r="FZ131" s="134"/>
      <c r="GA131" s="135"/>
      <c r="GB131" s="135"/>
      <c r="GC131" s="134"/>
      <c r="GD131" s="134"/>
      <c r="GE131" s="134"/>
      <c r="GF131" s="134"/>
      <c r="GG131" s="134"/>
      <c r="GH131" s="134"/>
      <c r="GI131" s="134"/>
      <c r="GJ131" s="134"/>
      <c r="GK131" s="135"/>
      <c r="GL131" s="135"/>
      <c r="GM131" s="134"/>
      <c r="GN131" s="134"/>
      <c r="GO131" s="134"/>
      <c r="GP131" s="134"/>
      <c r="GQ131" s="134"/>
      <c r="GR131" s="134"/>
      <c r="GS131" s="134"/>
      <c r="GT131" s="134"/>
      <c r="GU131" s="135"/>
      <c r="GV131" s="135"/>
      <c r="GW131" s="134"/>
      <c r="GX131" s="134"/>
      <c r="GY131" s="134"/>
      <c r="GZ131" s="134"/>
      <c r="HA131" s="134"/>
      <c r="HB131" s="134"/>
      <c r="HC131" s="134"/>
      <c r="HD131" s="134"/>
      <c r="HE131" s="135"/>
      <c r="HF131" s="135"/>
      <c r="HG131" s="134"/>
      <c r="HH131" s="134"/>
      <c r="HI131" s="134"/>
      <c r="HJ131" s="134"/>
      <c r="HK131" s="134"/>
      <c r="HL131" s="134"/>
      <c r="HM131" s="134"/>
      <c r="HN131" s="134"/>
      <c r="HO131" s="135"/>
      <c r="HP131" s="135"/>
      <c r="HQ131" s="134"/>
      <c r="HR131" s="134"/>
      <c r="HS131" s="134"/>
      <c r="HT131" s="134"/>
      <c r="HU131" s="134"/>
      <c r="HV131" s="134"/>
      <c r="HW131" s="134"/>
      <c r="HX131" s="134"/>
      <c r="HY131" s="135"/>
      <c r="HZ131" s="135"/>
      <c r="IA131" s="134"/>
      <c r="IB131" s="134"/>
      <c r="IC131" s="134"/>
      <c r="ID131" s="134"/>
      <c r="IE131" s="134"/>
      <c r="IF131" s="134"/>
      <c r="IG131" s="134"/>
      <c r="IH131" s="134"/>
      <c r="II131" s="135"/>
      <c r="IJ131" s="135"/>
      <c r="IK131" s="134"/>
      <c r="IL131" s="134"/>
      <c r="IM131" s="134"/>
      <c r="IN131" s="134"/>
      <c r="IO131" s="134"/>
      <c r="IP131" s="134"/>
      <c r="IQ131" s="134"/>
      <c r="IR131" s="134"/>
      <c r="IS131" s="135"/>
      <c r="IT131" s="135"/>
      <c r="IU131" s="134"/>
      <c r="IV131" s="134"/>
      <c r="IW131" s="134"/>
      <c r="IX131" s="134"/>
      <c r="IY131" s="134"/>
      <c r="IZ131" s="134"/>
      <c r="JA131" s="134"/>
      <c r="JB131" s="134"/>
      <c r="JC131" s="135"/>
      <c r="JD131" s="135"/>
    </row>
    <row r="132" spans="1:264" s="119" customFormat="1" ht="15" customHeight="1">
      <c r="A132" s="118" t="s">
        <v>358</v>
      </c>
      <c r="B132" s="616">
        <v>258</v>
      </c>
      <c r="C132" s="616"/>
      <c r="D132" s="616">
        <v>112</v>
      </c>
      <c r="E132" s="605" t="s">
        <v>2046</v>
      </c>
      <c r="F132" s="140" t="s">
        <v>2286</v>
      </c>
      <c r="G132" s="141">
        <v>2016</v>
      </c>
      <c r="H132" s="118">
        <v>26892753</v>
      </c>
      <c r="I132" s="118">
        <v>1</v>
      </c>
      <c r="J132" s="118"/>
      <c r="K132" s="118"/>
      <c r="L132" s="118">
        <v>1</v>
      </c>
      <c r="M132" s="118"/>
      <c r="N132" s="118">
        <v>1</v>
      </c>
      <c r="O132" s="142">
        <v>1</v>
      </c>
      <c r="P132" s="118" t="s">
        <v>924</v>
      </c>
      <c r="Q132" s="118" t="s">
        <v>1196</v>
      </c>
      <c r="R132" s="118" t="s">
        <v>819</v>
      </c>
      <c r="S132" s="118">
        <v>1</v>
      </c>
      <c r="T132" s="118"/>
      <c r="U132" s="118"/>
      <c r="V132" s="118"/>
      <c r="W132" s="118" t="s">
        <v>923</v>
      </c>
      <c r="X132" s="118" t="s">
        <v>24</v>
      </c>
      <c r="Y132" s="118" t="s">
        <v>24</v>
      </c>
      <c r="Z132" s="118" t="s">
        <v>925</v>
      </c>
      <c r="AA132" s="118"/>
      <c r="AB132" s="118"/>
      <c r="AC132" s="145" t="s">
        <v>6331</v>
      </c>
      <c r="AD132" s="653">
        <v>1</v>
      </c>
      <c r="AE132" s="653">
        <v>1</v>
      </c>
      <c r="AF132" s="159">
        <v>1</v>
      </c>
      <c r="AG132" s="160"/>
      <c r="AH132" s="122">
        <v>2</v>
      </c>
      <c r="AI132" s="485"/>
      <c r="AJ132" s="204"/>
      <c r="AK132" s="192">
        <v>1</v>
      </c>
      <c r="AL132" s="205" t="s">
        <v>24</v>
      </c>
      <c r="AM132" s="122">
        <f>Table668[[#This Row],[Data_Subjects_n_ptsd]]+Table668[[#This Row],[Data_Subjects_n_control]]</f>
        <v>80</v>
      </c>
      <c r="AN132" s="122">
        <v>40</v>
      </c>
      <c r="AO132" s="122">
        <v>40</v>
      </c>
      <c r="AP132" s="122" t="s">
        <v>7156</v>
      </c>
      <c r="AQ132" s="122" t="s">
        <v>7157</v>
      </c>
      <c r="AR132" s="122">
        <v>35.200000000000003</v>
      </c>
      <c r="AS132" s="122">
        <v>9.8000000000000007</v>
      </c>
      <c r="AT132" s="122">
        <v>32.9</v>
      </c>
      <c r="AU132" s="122">
        <v>8.6999999999999993</v>
      </c>
      <c r="AV132" s="122" t="s">
        <v>1874</v>
      </c>
      <c r="AW132" s="122" t="s">
        <v>24</v>
      </c>
      <c r="AX132" s="122" t="s">
        <v>24</v>
      </c>
      <c r="AY132" s="122" t="s">
        <v>2423</v>
      </c>
      <c r="AZ132" s="122" t="s">
        <v>3835</v>
      </c>
      <c r="BA132" s="122" t="s">
        <v>1875</v>
      </c>
      <c r="BB132" s="588"/>
      <c r="BC132" s="588" t="s">
        <v>6332</v>
      </c>
      <c r="BD132" s="161"/>
      <c r="BE132" s="161"/>
      <c r="BF132" s="161" t="s">
        <v>5207</v>
      </c>
      <c r="BG132" s="161"/>
      <c r="BH132" s="161"/>
      <c r="BI132" s="161" t="s">
        <v>5207</v>
      </c>
      <c r="BJ132" s="161" t="s">
        <v>6174</v>
      </c>
      <c r="BK132" s="161"/>
      <c r="BL132" s="161" t="s">
        <v>5207</v>
      </c>
      <c r="BM132" s="161"/>
      <c r="BN132" s="161" t="s">
        <v>4727</v>
      </c>
      <c r="BO132" s="161" t="s">
        <v>5207</v>
      </c>
      <c r="BP132" s="161" t="s">
        <v>6293</v>
      </c>
      <c r="BQ132" s="596" t="s">
        <v>4001</v>
      </c>
      <c r="BR132" s="162" t="s">
        <v>6612</v>
      </c>
      <c r="BS132" s="659">
        <v>2</v>
      </c>
      <c r="BT132" s="150" t="s">
        <v>1876</v>
      </c>
      <c r="BU132" s="150">
        <v>2</v>
      </c>
      <c r="BV132" s="150" t="s">
        <v>7160</v>
      </c>
      <c r="BW132" s="150" t="s">
        <v>24</v>
      </c>
      <c r="BX132" s="150" t="s">
        <v>7161</v>
      </c>
      <c r="BY132" s="150"/>
      <c r="BZ132" s="258" t="s">
        <v>7171</v>
      </c>
      <c r="CA132" s="257">
        <v>0</v>
      </c>
      <c r="CB132" s="151" t="s">
        <v>7166</v>
      </c>
      <c r="CC132" s="150">
        <v>20.2</v>
      </c>
      <c r="CD132" s="150">
        <v>5.4</v>
      </c>
      <c r="CE132" s="150" t="s">
        <v>24</v>
      </c>
      <c r="CF132" s="151" t="s">
        <v>7167</v>
      </c>
      <c r="CG132" s="150">
        <v>20.7</v>
      </c>
      <c r="CH132" s="150">
        <v>5.9</v>
      </c>
      <c r="CI132" s="150" t="s">
        <v>24</v>
      </c>
      <c r="CJ132" s="290" t="s">
        <v>7168</v>
      </c>
      <c r="CK132" s="291" t="s">
        <v>3790</v>
      </c>
      <c r="CL132" s="151" t="s">
        <v>24</v>
      </c>
      <c r="CM132" s="151" t="s">
        <v>24</v>
      </c>
      <c r="CN132" s="150" t="s">
        <v>24</v>
      </c>
      <c r="CO132" s="150" t="s">
        <v>24</v>
      </c>
      <c r="CP132" s="228" t="s">
        <v>24</v>
      </c>
      <c r="CQ132" s="150" t="s">
        <v>24</v>
      </c>
      <c r="CR132" s="150" t="s">
        <v>24</v>
      </c>
      <c r="CS132" s="150" t="s">
        <v>24</v>
      </c>
      <c r="CT132" s="290"/>
      <c r="CU132" s="291"/>
      <c r="CV132" s="278"/>
      <c r="CW132" s="285"/>
      <c r="CX132" s="151"/>
      <c r="CY132" s="150"/>
      <c r="CZ132" s="150"/>
      <c r="DA132" s="150"/>
      <c r="DB132" s="150"/>
      <c r="DC132" s="150"/>
      <c r="DD132" s="150"/>
      <c r="DE132" s="150"/>
      <c r="DF132" s="302"/>
      <c r="DG132" s="303"/>
      <c r="DH132" s="150"/>
      <c r="DI132" s="150"/>
      <c r="DJ132" s="150"/>
      <c r="DK132" s="150"/>
      <c r="DL132" s="150"/>
      <c r="DM132" s="150"/>
      <c r="DN132" s="150"/>
      <c r="DO132" s="150"/>
      <c r="DP132" s="302"/>
      <c r="DQ132" s="303"/>
      <c r="DR132" s="278"/>
      <c r="DS132" s="279"/>
      <c r="DT132" s="150"/>
      <c r="DU132" s="150"/>
      <c r="DV132" s="150"/>
      <c r="DW132" s="150"/>
      <c r="DX132" s="151"/>
      <c r="DY132" s="150"/>
      <c r="DZ132" s="150"/>
      <c r="EA132" s="150"/>
      <c r="EB132" s="303"/>
      <c r="EC132" s="303"/>
      <c r="ED132" s="151"/>
      <c r="EE132" s="150"/>
      <c r="EF132" s="150"/>
      <c r="EG132" s="150"/>
      <c r="EH132" s="151"/>
      <c r="EI132" s="150"/>
      <c r="EJ132" s="150"/>
      <c r="EK132" s="150"/>
      <c r="EL132" s="303"/>
      <c r="EM132" s="303"/>
      <c r="EN132" s="279"/>
      <c r="EO132" s="150"/>
      <c r="EP132" s="150"/>
      <c r="EQ132" s="150"/>
      <c r="ER132" s="150"/>
      <c r="ES132" s="150"/>
      <c r="ET132" s="150"/>
      <c r="EU132" s="150"/>
      <c r="EV132" s="150"/>
      <c r="EW132" s="303"/>
      <c r="EX132" s="303"/>
      <c r="EY132" s="150"/>
      <c r="EZ132" s="150"/>
      <c r="FA132" s="150"/>
      <c r="FB132" s="150"/>
      <c r="FC132" s="150"/>
      <c r="FD132" s="150"/>
      <c r="FE132" s="150"/>
      <c r="FF132" s="150"/>
      <c r="FG132" s="152"/>
      <c r="FH132" s="152"/>
      <c r="FI132" s="150"/>
      <c r="FJ132" s="150"/>
      <c r="FK132" s="150"/>
      <c r="FL132" s="150"/>
      <c r="FM132" s="150"/>
      <c r="FN132" s="150"/>
      <c r="FO132" s="150"/>
      <c r="FP132" s="150"/>
      <c r="FQ132" s="152"/>
      <c r="FR132" s="152"/>
      <c r="FS132" s="150"/>
      <c r="FT132" s="150"/>
      <c r="FU132" s="150"/>
      <c r="FV132" s="150"/>
      <c r="FW132" s="150"/>
      <c r="FX132" s="150"/>
      <c r="FY132" s="150"/>
      <c r="FZ132" s="150"/>
      <c r="GA132" s="152"/>
      <c r="GB132" s="152"/>
      <c r="GC132" s="150"/>
      <c r="GD132" s="150"/>
      <c r="GE132" s="150"/>
      <c r="GF132" s="150"/>
      <c r="GG132" s="150"/>
      <c r="GH132" s="150"/>
      <c r="GI132" s="150"/>
      <c r="GJ132" s="150"/>
      <c r="GK132" s="152"/>
      <c r="GL132" s="152"/>
      <c r="GM132" s="150"/>
      <c r="GN132" s="150"/>
      <c r="GO132" s="150"/>
      <c r="GP132" s="150"/>
      <c r="GQ132" s="150"/>
      <c r="GR132" s="150"/>
      <c r="GS132" s="150"/>
      <c r="GT132" s="150"/>
      <c r="GU132" s="152"/>
      <c r="GV132" s="152"/>
      <c r="GW132" s="150"/>
      <c r="GX132" s="150"/>
      <c r="GY132" s="150"/>
      <c r="GZ132" s="150"/>
      <c r="HA132" s="150"/>
      <c r="HB132" s="150"/>
      <c r="HC132" s="150"/>
      <c r="HD132" s="150"/>
      <c r="HE132" s="152"/>
      <c r="HF132" s="152"/>
      <c r="HG132" s="150"/>
      <c r="HH132" s="150"/>
      <c r="HI132" s="150"/>
      <c r="HJ132" s="150"/>
      <c r="HK132" s="150"/>
      <c r="HL132" s="150"/>
      <c r="HM132" s="150"/>
      <c r="HN132" s="150"/>
      <c r="HO132" s="152"/>
      <c r="HP132" s="152"/>
      <c r="HQ132" s="150"/>
      <c r="HR132" s="150"/>
      <c r="HS132" s="150"/>
      <c r="HT132" s="150"/>
      <c r="HU132" s="150"/>
      <c r="HV132" s="150"/>
      <c r="HW132" s="150"/>
      <c r="HX132" s="150"/>
      <c r="HY132" s="152"/>
      <c r="HZ132" s="152"/>
      <c r="IA132" s="150"/>
      <c r="IB132" s="150"/>
      <c r="IC132" s="150"/>
      <c r="ID132" s="150"/>
      <c r="IE132" s="150"/>
      <c r="IF132" s="150"/>
      <c r="IG132" s="150"/>
      <c r="IH132" s="150"/>
      <c r="II132" s="152"/>
      <c r="IJ132" s="152"/>
      <c r="IK132" s="150"/>
      <c r="IL132" s="150"/>
      <c r="IM132" s="150"/>
      <c r="IN132" s="150"/>
      <c r="IO132" s="150"/>
      <c r="IP132" s="150"/>
      <c r="IQ132" s="150"/>
      <c r="IR132" s="150"/>
      <c r="IS132" s="152"/>
      <c r="IT132" s="152"/>
      <c r="IU132" s="150"/>
      <c r="IV132" s="150"/>
      <c r="IW132" s="150"/>
      <c r="IX132" s="150"/>
      <c r="IY132" s="150"/>
      <c r="IZ132" s="150"/>
      <c r="JA132" s="150"/>
      <c r="JB132" s="150"/>
      <c r="JC132" s="152"/>
      <c r="JD132" s="152"/>
    </row>
    <row r="133" spans="1:264" customFormat="1" ht="15" customHeight="1">
      <c r="A133" s="79" t="s">
        <v>943</v>
      </c>
      <c r="B133" s="362">
        <v>264</v>
      </c>
      <c r="C133" s="362"/>
      <c r="D133" s="362">
        <v>113</v>
      </c>
      <c r="E133" s="604" t="s">
        <v>2132</v>
      </c>
      <c r="F133" s="124" t="s">
        <v>2396</v>
      </c>
      <c r="G133" s="125">
        <v>2008</v>
      </c>
      <c r="H133" s="79">
        <v>18534828</v>
      </c>
      <c r="I133" s="79">
        <v>1</v>
      </c>
      <c r="J133" s="126" t="s">
        <v>1803</v>
      </c>
      <c r="K133" s="127"/>
      <c r="L133" s="79">
        <v>0</v>
      </c>
      <c r="M133" s="79"/>
      <c r="N133" s="79">
        <v>0</v>
      </c>
      <c r="O133" s="128">
        <v>2</v>
      </c>
      <c r="P133" s="79" t="s">
        <v>1421</v>
      </c>
      <c r="Q133" s="79"/>
      <c r="R133" s="79" t="s">
        <v>1130</v>
      </c>
      <c r="S133" s="79"/>
      <c r="T133" s="79" t="s">
        <v>1495</v>
      </c>
      <c r="U133" s="79"/>
      <c r="V133" s="79"/>
      <c r="W133" s="79" t="s">
        <v>1646</v>
      </c>
      <c r="X133" s="79"/>
      <c r="Y133" s="79"/>
      <c r="Z133" s="79"/>
      <c r="AA133" s="79" t="s">
        <v>1645</v>
      </c>
      <c r="AB133" s="79" t="s">
        <v>1260</v>
      </c>
      <c r="AC133" s="506" t="s">
        <v>6333</v>
      </c>
      <c r="AD133" s="573">
        <v>1</v>
      </c>
      <c r="AE133" s="573">
        <v>1</v>
      </c>
      <c r="AF133" s="154">
        <v>1</v>
      </c>
      <c r="AG133" s="155" t="s">
        <v>6832</v>
      </c>
      <c r="AH133" s="121">
        <v>4</v>
      </c>
      <c r="AI133" s="484"/>
      <c r="AJ133" s="202" t="s">
        <v>7180</v>
      </c>
      <c r="AK133" s="192" t="s">
        <v>7179</v>
      </c>
      <c r="AL133" s="203">
        <v>1</v>
      </c>
      <c r="AM133" s="121">
        <f>Table668[[#This Row],[Data_Subjects_n_ptsd]]+Table668[[#This Row],[Data_Subjects_n_control]]</f>
        <v>24</v>
      </c>
      <c r="AN133" s="121">
        <v>12</v>
      </c>
      <c r="AO133" s="121">
        <v>12</v>
      </c>
      <c r="AP133" s="121" t="s">
        <v>803</v>
      </c>
      <c r="AQ133" s="121" t="s">
        <v>803</v>
      </c>
      <c r="AR133" s="121" t="s">
        <v>2687</v>
      </c>
      <c r="AS133" s="121" t="s">
        <v>24</v>
      </c>
      <c r="AT133" s="121" t="s">
        <v>2687</v>
      </c>
      <c r="AU133" s="121" t="s">
        <v>24</v>
      </c>
      <c r="AV133" s="121" t="s">
        <v>7174</v>
      </c>
      <c r="AW133" s="121">
        <v>1</v>
      </c>
      <c r="AX133" s="121">
        <v>1</v>
      </c>
      <c r="AY133" s="121" t="s">
        <v>7175</v>
      </c>
      <c r="AZ133" s="121" t="s">
        <v>1130</v>
      </c>
      <c r="BA133" s="121" t="s">
        <v>6653</v>
      </c>
      <c r="BB133" s="594">
        <v>1</v>
      </c>
      <c r="BC133" s="594"/>
      <c r="BD133" s="156">
        <v>1</v>
      </c>
      <c r="BE133" s="156"/>
      <c r="BF133" s="156"/>
      <c r="BG133" s="156"/>
      <c r="BH133" s="156"/>
      <c r="BI133" s="156"/>
      <c r="BJ133" s="156">
        <v>1</v>
      </c>
      <c r="BK133" s="156"/>
      <c r="BL133" s="156"/>
      <c r="BM133" s="156"/>
      <c r="BN133" s="156"/>
      <c r="BO133" s="156"/>
      <c r="BP133" s="156"/>
      <c r="BQ133" s="595" t="s">
        <v>7177</v>
      </c>
      <c r="BR133" s="157" t="s">
        <v>6657</v>
      </c>
      <c r="BS133" s="660">
        <v>1</v>
      </c>
      <c r="BT133" s="134" t="s">
        <v>1876</v>
      </c>
      <c r="BU133" s="134" t="s">
        <v>7178</v>
      </c>
      <c r="BV133" s="134" t="s">
        <v>3982</v>
      </c>
      <c r="BW133" s="134" t="s">
        <v>1121</v>
      </c>
      <c r="BX133" s="134" t="s">
        <v>7176</v>
      </c>
      <c r="BY133" s="134" t="s">
        <v>2659</v>
      </c>
      <c r="BZ133" s="259" t="s">
        <v>7185</v>
      </c>
      <c r="CA133" s="454" t="s">
        <v>6627</v>
      </c>
      <c r="CB133" s="138" t="s">
        <v>7187</v>
      </c>
      <c r="CC133" s="134">
        <v>62.907400000000003</v>
      </c>
      <c r="CD133" s="134" t="s">
        <v>24</v>
      </c>
      <c r="CE133" s="134">
        <f>67.7597-Table668[[#This Row],[Data_Outcome1_M]]</f>
        <v>4.8522999999999925</v>
      </c>
      <c r="CF133" s="138" t="s">
        <v>7188</v>
      </c>
      <c r="CG133" s="134">
        <v>10.3032</v>
      </c>
      <c r="CH133" s="134" t="s">
        <v>24</v>
      </c>
      <c r="CI133" s="134">
        <f>11.6049-Table668[[#This Row],[Data_Outcome2_M]]</f>
        <v>1.3017000000000003</v>
      </c>
      <c r="CJ133" s="288" t="s">
        <v>7183</v>
      </c>
      <c r="CK133" s="289" t="s">
        <v>2483</v>
      </c>
      <c r="CL133" s="151" t="s">
        <v>24</v>
      </c>
      <c r="CM133" s="151" t="s">
        <v>24</v>
      </c>
      <c r="CN133" s="150" t="s">
        <v>24</v>
      </c>
      <c r="CO133" s="150" t="s">
        <v>24</v>
      </c>
      <c r="CP133" s="228" t="s">
        <v>24</v>
      </c>
      <c r="CQ133" s="150" t="s">
        <v>24</v>
      </c>
      <c r="CR133" s="150" t="s">
        <v>24</v>
      </c>
      <c r="CS133" s="150" t="s">
        <v>24</v>
      </c>
      <c r="CT133" s="288"/>
      <c r="CU133" s="289"/>
      <c r="CV133" s="276"/>
      <c r="CW133" s="308"/>
      <c r="CX133" s="138"/>
      <c r="CY133" s="134"/>
      <c r="CZ133" s="134"/>
      <c r="DA133" s="134"/>
      <c r="DB133" s="134"/>
      <c r="DC133" s="134"/>
      <c r="DD133" s="134"/>
      <c r="DE133" s="134"/>
      <c r="DF133" s="300"/>
      <c r="DG133" s="301"/>
      <c r="DH133" s="134"/>
      <c r="DI133" s="134"/>
      <c r="DJ133" s="134"/>
      <c r="DK133" s="134"/>
      <c r="DL133" s="134"/>
      <c r="DM133" s="134"/>
      <c r="DN133" s="134"/>
      <c r="DO133" s="134"/>
      <c r="DP133" s="300"/>
      <c r="DQ133" s="301"/>
      <c r="DR133" s="276"/>
      <c r="DS133" s="277"/>
      <c r="DT133" s="134"/>
      <c r="DU133" s="134"/>
      <c r="DV133" s="134"/>
      <c r="DW133" s="134"/>
      <c r="DX133" s="138"/>
      <c r="DY133" s="134"/>
      <c r="DZ133" s="134"/>
      <c r="EA133" s="134"/>
      <c r="EB133" s="301"/>
      <c r="EC133" s="301"/>
      <c r="ED133" s="138"/>
      <c r="EE133" s="134"/>
      <c r="EF133" s="134"/>
      <c r="EG133" s="134"/>
      <c r="EH133" s="138"/>
      <c r="EI133" s="134"/>
      <c r="EJ133" s="134"/>
      <c r="EK133" s="134"/>
      <c r="EL133" s="301"/>
      <c r="EM133" s="301"/>
      <c r="EN133" s="277"/>
      <c r="EO133" s="134"/>
      <c r="EP133" s="134"/>
      <c r="EQ133" s="134"/>
      <c r="ER133" s="134"/>
      <c r="ES133" s="134"/>
      <c r="ET133" s="134"/>
      <c r="EU133" s="134"/>
      <c r="EV133" s="134"/>
      <c r="EW133" s="301"/>
      <c r="EX133" s="301"/>
      <c r="EY133" s="134"/>
      <c r="EZ133" s="134"/>
      <c r="FA133" s="134"/>
      <c r="FB133" s="134"/>
      <c r="FC133" s="134"/>
      <c r="FD133" s="134"/>
      <c r="FE133" s="134"/>
      <c r="FF133" s="134"/>
      <c r="FG133" s="135"/>
      <c r="FH133" s="135"/>
      <c r="FI133" s="134"/>
      <c r="FJ133" s="134"/>
      <c r="FK133" s="134"/>
      <c r="FL133" s="134"/>
      <c r="FM133" s="134"/>
      <c r="FN133" s="134"/>
      <c r="FO133" s="134"/>
      <c r="FP133" s="134"/>
      <c r="FQ133" s="135"/>
      <c r="FR133" s="135"/>
      <c r="FS133" s="134"/>
      <c r="FT133" s="134"/>
      <c r="FU133" s="134"/>
      <c r="FV133" s="134"/>
      <c r="FW133" s="134"/>
      <c r="FX133" s="134"/>
      <c r="FY133" s="134"/>
      <c r="FZ133" s="134"/>
      <c r="GA133" s="135"/>
      <c r="GB133" s="135"/>
      <c r="GC133" s="134"/>
      <c r="GD133" s="134"/>
      <c r="GE133" s="134"/>
      <c r="GF133" s="134"/>
      <c r="GG133" s="134"/>
      <c r="GH133" s="134"/>
      <c r="GI133" s="134"/>
      <c r="GJ133" s="134"/>
      <c r="GK133" s="135"/>
      <c r="GL133" s="135"/>
      <c r="GM133" s="134"/>
      <c r="GN133" s="134"/>
      <c r="GO133" s="134"/>
      <c r="GP133" s="134"/>
      <c r="GQ133" s="134"/>
      <c r="GR133" s="134"/>
      <c r="GS133" s="134"/>
      <c r="GT133" s="134"/>
      <c r="GU133" s="135"/>
      <c r="GV133" s="135"/>
      <c r="GW133" s="134"/>
      <c r="GX133" s="134"/>
      <c r="GY133" s="134"/>
      <c r="GZ133" s="134"/>
      <c r="HA133" s="134"/>
      <c r="HB133" s="134"/>
      <c r="HC133" s="134"/>
      <c r="HD133" s="134"/>
      <c r="HE133" s="135"/>
      <c r="HF133" s="135"/>
      <c r="HG133" s="134"/>
      <c r="HH133" s="134"/>
      <c r="HI133" s="134"/>
      <c r="HJ133" s="134"/>
      <c r="HK133" s="134"/>
      <c r="HL133" s="134"/>
      <c r="HM133" s="134"/>
      <c r="HN133" s="134"/>
      <c r="HO133" s="135"/>
      <c r="HP133" s="135"/>
      <c r="HQ133" s="134"/>
      <c r="HR133" s="134"/>
      <c r="HS133" s="134"/>
      <c r="HT133" s="134"/>
      <c r="HU133" s="134"/>
      <c r="HV133" s="134"/>
      <c r="HW133" s="134"/>
      <c r="HX133" s="134"/>
      <c r="HY133" s="135"/>
      <c r="HZ133" s="135"/>
      <c r="IA133" s="134"/>
      <c r="IB133" s="134"/>
      <c r="IC133" s="134"/>
      <c r="ID133" s="134"/>
      <c r="IE133" s="134"/>
      <c r="IF133" s="134"/>
      <c r="IG133" s="134"/>
      <c r="IH133" s="134"/>
      <c r="II133" s="135"/>
      <c r="IJ133" s="135"/>
      <c r="IK133" s="134"/>
      <c r="IL133" s="134"/>
      <c r="IM133" s="134"/>
      <c r="IN133" s="134"/>
      <c r="IO133" s="134"/>
      <c r="IP133" s="134"/>
      <c r="IQ133" s="134"/>
      <c r="IR133" s="134"/>
      <c r="IS133" s="135"/>
      <c r="IT133" s="135"/>
      <c r="IU133" s="134"/>
      <c r="IV133" s="134"/>
      <c r="IW133" s="134"/>
      <c r="IX133" s="134"/>
      <c r="IY133" s="134"/>
      <c r="IZ133" s="134"/>
      <c r="JA133" s="134"/>
      <c r="JB133" s="134"/>
      <c r="JC133" s="135"/>
      <c r="JD133" s="135"/>
    </row>
    <row r="134" spans="1:264" s="119" customFormat="1" ht="15" customHeight="1">
      <c r="A134" s="118" t="s">
        <v>943</v>
      </c>
      <c r="B134" s="616">
        <v>264</v>
      </c>
      <c r="C134" s="616"/>
      <c r="D134" s="616">
        <v>113</v>
      </c>
      <c r="E134" s="605" t="s">
        <v>2132</v>
      </c>
      <c r="F134" s="140" t="s">
        <v>2396</v>
      </c>
      <c r="G134" s="141">
        <v>2008</v>
      </c>
      <c r="H134" s="118">
        <v>18534828</v>
      </c>
      <c r="I134" s="118">
        <v>1</v>
      </c>
      <c r="J134" s="118" t="s">
        <v>1803</v>
      </c>
      <c r="K134" s="118"/>
      <c r="L134" s="118">
        <v>0</v>
      </c>
      <c r="M134" s="118"/>
      <c r="N134" s="118">
        <v>0</v>
      </c>
      <c r="O134" s="142">
        <v>2</v>
      </c>
      <c r="P134" s="118" t="s">
        <v>1421</v>
      </c>
      <c r="Q134" s="118"/>
      <c r="R134" s="118" t="s">
        <v>1130</v>
      </c>
      <c r="S134" s="118"/>
      <c r="T134" s="118" t="s">
        <v>1495</v>
      </c>
      <c r="U134" s="118"/>
      <c r="V134" s="118"/>
      <c r="W134" s="118" t="s">
        <v>1646</v>
      </c>
      <c r="X134" s="118"/>
      <c r="Y134" s="118"/>
      <c r="Z134" s="118"/>
      <c r="AA134" s="118" t="s">
        <v>1645</v>
      </c>
      <c r="AB134" s="118" t="s">
        <v>1260</v>
      </c>
      <c r="AC134" s="145" t="s">
        <v>6333</v>
      </c>
      <c r="AD134" s="653">
        <v>1</v>
      </c>
      <c r="AE134" s="653">
        <v>1</v>
      </c>
      <c r="AF134" s="159">
        <v>1</v>
      </c>
      <c r="AG134" s="160" t="s">
        <v>6832</v>
      </c>
      <c r="AH134" s="122">
        <v>4</v>
      </c>
      <c r="AI134" s="485"/>
      <c r="AJ134" s="204" t="s">
        <v>7181</v>
      </c>
      <c r="AK134" s="192" t="s">
        <v>7182</v>
      </c>
      <c r="AL134" s="205">
        <v>1</v>
      </c>
      <c r="AM134" s="122">
        <f>Table668[[#This Row],[Data_Subjects_n_ptsd]]+Table668[[#This Row],[Data_Subjects_n_control]]</f>
        <v>24</v>
      </c>
      <c r="AN134" s="122">
        <v>12</v>
      </c>
      <c r="AO134" s="122">
        <v>12</v>
      </c>
      <c r="AP134" s="122" t="s">
        <v>803</v>
      </c>
      <c r="AQ134" s="122" t="s">
        <v>803</v>
      </c>
      <c r="AR134" s="122" t="s">
        <v>2687</v>
      </c>
      <c r="AS134" s="122" t="s">
        <v>24</v>
      </c>
      <c r="AT134" s="122" t="s">
        <v>2687</v>
      </c>
      <c r="AU134" s="122" t="s">
        <v>24</v>
      </c>
      <c r="AV134" s="122" t="s">
        <v>7174</v>
      </c>
      <c r="AW134" s="122">
        <v>1</v>
      </c>
      <c r="AX134" s="122">
        <v>1</v>
      </c>
      <c r="AY134" s="122" t="s">
        <v>7175</v>
      </c>
      <c r="AZ134" s="122" t="s">
        <v>1130</v>
      </c>
      <c r="BA134" s="122" t="s">
        <v>6653</v>
      </c>
      <c r="BB134" s="588">
        <v>1</v>
      </c>
      <c r="BC134" s="588"/>
      <c r="BD134" s="161">
        <v>1</v>
      </c>
      <c r="BE134" s="161"/>
      <c r="BF134" s="161"/>
      <c r="BG134" s="161"/>
      <c r="BH134" s="161"/>
      <c r="BI134" s="161"/>
      <c r="BJ134" s="161">
        <v>1</v>
      </c>
      <c r="BK134" s="161"/>
      <c r="BL134" s="161"/>
      <c r="BM134" s="161"/>
      <c r="BN134" s="161"/>
      <c r="BO134" s="161"/>
      <c r="BP134" s="161"/>
      <c r="BQ134" s="596" t="s">
        <v>7177</v>
      </c>
      <c r="BR134" s="162" t="s">
        <v>6657</v>
      </c>
      <c r="BS134" s="659">
        <v>1</v>
      </c>
      <c r="BT134" s="150" t="s">
        <v>1876</v>
      </c>
      <c r="BU134" s="150" t="s">
        <v>7178</v>
      </c>
      <c r="BV134" s="150" t="s">
        <v>3982</v>
      </c>
      <c r="BW134" s="150" t="s">
        <v>1121</v>
      </c>
      <c r="BX134" s="150" t="s">
        <v>7176</v>
      </c>
      <c r="BY134" s="150" t="s">
        <v>2659</v>
      </c>
      <c r="BZ134" s="258" t="s">
        <v>7186</v>
      </c>
      <c r="CA134" s="257" t="s">
        <v>6627</v>
      </c>
      <c r="CB134" s="151" t="s">
        <v>7187</v>
      </c>
      <c r="CC134" s="150">
        <v>65.683599999999998</v>
      </c>
      <c r="CD134" s="150" t="s">
        <v>24</v>
      </c>
      <c r="CE134" s="150">
        <f>72.118-Table668[[#This Row],[Data_Outcome1_M]]</f>
        <v>6.4343999999999966</v>
      </c>
      <c r="CF134" s="151" t="s">
        <v>7188</v>
      </c>
      <c r="CG134" s="150">
        <v>19.571000000000002</v>
      </c>
      <c r="CH134" s="150" t="s">
        <v>24</v>
      </c>
      <c r="CI134" s="150">
        <f>23.3244-Table668[[#This Row],[Data_Outcome2_M]]</f>
        <v>3.7533999999999992</v>
      </c>
      <c r="CJ134" s="698" t="s">
        <v>7184</v>
      </c>
      <c r="CK134" s="291" t="s">
        <v>2483</v>
      </c>
      <c r="CL134" s="151" t="s">
        <v>24</v>
      </c>
      <c r="CM134" s="151" t="s">
        <v>24</v>
      </c>
      <c r="CN134" s="150" t="s">
        <v>24</v>
      </c>
      <c r="CO134" s="150" t="s">
        <v>24</v>
      </c>
      <c r="CP134" s="228" t="s">
        <v>24</v>
      </c>
      <c r="CQ134" s="150" t="s">
        <v>24</v>
      </c>
      <c r="CR134" s="150" t="s">
        <v>24</v>
      </c>
      <c r="CS134" s="150" t="s">
        <v>24</v>
      </c>
      <c r="CT134" s="290"/>
      <c r="CU134" s="291"/>
      <c r="CV134" s="278"/>
      <c r="CW134" s="285"/>
      <c r="CX134" s="151"/>
      <c r="CY134" s="150"/>
      <c r="CZ134" s="150"/>
      <c r="DA134" s="150"/>
      <c r="DB134" s="150"/>
      <c r="DC134" s="150"/>
      <c r="DD134" s="150"/>
      <c r="DE134" s="150"/>
      <c r="DF134" s="302"/>
      <c r="DG134" s="303"/>
      <c r="DH134" s="150"/>
      <c r="DI134" s="150"/>
      <c r="DJ134" s="150"/>
      <c r="DK134" s="150"/>
      <c r="DL134" s="150"/>
      <c r="DM134" s="150"/>
      <c r="DN134" s="150"/>
      <c r="DO134" s="150"/>
      <c r="DP134" s="302"/>
      <c r="DQ134" s="303"/>
      <c r="DR134" s="278"/>
      <c r="DS134" s="279"/>
      <c r="DT134" s="150"/>
      <c r="DU134" s="150"/>
      <c r="DV134" s="150"/>
      <c r="DW134" s="150"/>
      <c r="DX134" s="151"/>
      <c r="DY134" s="150"/>
      <c r="DZ134" s="150"/>
      <c r="EA134" s="150"/>
      <c r="EB134" s="303"/>
      <c r="EC134" s="303"/>
      <c r="ED134" s="151"/>
      <c r="EE134" s="150"/>
      <c r="EF134" s="150"/>
      <c r="EG134" s="150"/>
      <c r="EH134" s="151"/>
      <c r="EI134" s="150"/>
      <c r="EJ134" s="150"/>
      <c r="EK134" s="150"/>
      <c r="EL134" s="303"/>
      <c r="EM134" s="303"/>
      <c r="EN134" s="279"/>
      <c r="EO134" s="150"/>
      <c r="EP134" s="150"/>
      <c r="EQ134" s="150"/>
      <c r="ER134" s="150"/>
      <c r="ES134" s="150"/>
      <c r="ET134" s="150"/>
      <c r="EU134" s="150"/>
      <c r="EV134" s="150"/>
      <c r="EW134" s="303"/>
      <c r="EX134" s="303"/>
      <c r="EY134" s="150"/>
      <c r="EZ134" s="150"/>
      <c r="FA134" s="150"/>
      <c r="FB134" s="150"/>
      <c r="FC134" s="150"/>
      <c r="FD134" s="150"/>
      <c r="FE134" s="150"/>
      <c r="FF134" s="150"/>
      <c r="FG134" s="152"/>
      <c r="FH134" s="152"/>
      <c r="FI134" s="150"/>
      <c r="FJ134" s="150"/>
      <c r="FK134" s="150"/>
      <c r="FL134" s="150"/>
      <c r="FM134" s="150"/>
      <c r="FN134" s="150"/>
      <c r="FO134" s="150"/>
      <c r="FP134" s="150"/>
      <c r="FQ134" s="152"/>
      <c r="FR134" s="152"/>
      <c r="FS134" s="150"/>
      <c r="FT134" s="150"/>
      <c r="FU134" s="150"/>
      <c r="FV134" s="150"/>
      <c r="FW134" s="150"/>
      <c r="FX134" s="150"/>
      <c r="FY134" s="150"/>
      <c r="FZ134" s="150"/>
      <c r="GA134" s="152"/>
      <c r="GB134" s="152"/>
      <c r="GC134" s="150"/>
      <c r="GD134" s="150"/>
      <c r="GE134" s="150"/>
      <c r="GF134" s="150"/>
      <c r="GG134" s="150"/>
      <c r="GH134" s="150"/>
      <c r="GI134" s="150"/>
      <c r="GJ134" s="150"/>
      <c r="GK134" s="152"/>
      <c r="GL134" s="152"/>
      <c r="GM134" s="150"/>
      <c r="GN134" s="150"/>
      <c r="GO134" s="150"/>
      <c r="GP134" s="150"/>
      <c r="GQ134" s="150"/>
      <c r="GR134" s="150"/>
      <c r="GS134" s="150"/>
      <c r="GT134" s="150"/>
      <c r="GU134" s="152"/>
      <c r="GV134" s="152"/>
      <c r="GW134" s="150"/>
      <c r="GX134" s="150"/>
      <c r="GY134" s="150"/>
      <c r="GZ134" s="150"/>
      <c r="HA134" s="150"/>
      <c r="HB134" s="150"/>
      <c r="HC134" s="150"/>
      <c r="HD134" s="150"/>
      <c r="HE134" s="152"/>
      <c r="HF134" s="152"/>
      <c r="HG134" s="150"/>
      <c r="HH134" s="150"/>
      <c r="HI134" s="150"/>
      <c r="HJ134" s="150"/>
      <c r="HK134" s="150"/>
      <c r="HL134" s="150"/>
      <c r="HM134" s="150"/>
      <c r="HN134" s="150"/>
      <c r="HO134" s="152"/>
      <c r="HP134" s="152"/>
      <c r="HQ134" s="150"/>
      <c r="HR134" s="150"/>
      <c r="HS134" s="150"/>
      <c r="HT134" s="150"/>
      <c r="HU134" s="150"/>
      <c r="HV134" s="150"/>
      <c r="HW134" s="150"/>
      <c r="HX134" s="150"/>
      <c r="HY134" s="152"/>
      <c r="HZ134" s="152"/>
      <c r="IA134" s="150"/>
      <c r="IB134" s="150"/>
      <c r="IC134" s="150"/>
      <c r="ID134" s="150"/>
      <c r="IE134" s="150"/>
      <c r="IF134" s="150"/>
      <c r="IG134" s="150"/>
      <c r="IH134" s="150"/>
      <c r="II134" s="152"/>
      <c r="IJ134" s="152"/>
      <c r="IK134" s="150"/>
      <c r="IL134" s="150"/>
      <c r="IM134" s="150"/>
      <c r="IN134" s="150"/>
      <c r="IO134" s="150"/>
      <c r="IP134" s="150"/>
      <c r="IQ134" s="150"/>
      <c r="IR134" s="150"/>
      <c r="IS134" s="152"/>
      <c r="IT134" s="152"/>
      <c r="IU134" s="150"/>
      <c r="IV134" s="150"/>
      <c r="IW134" s="150"/>
      <c r="IX134" s="150"/>
      <c r="IY134" s="150"/>
      <c r="IZ134" s="150"/>
      <c r="JA134" s="150"/>
      <c r="JB134" s="150"/>
      <c r="JC134" s="152"/>
      <c r="JD134" s="152"/>
    </row>
    <row r="135" spans="1:264" s="188" customFormat="1" ht="15" customHeight="1">
      <c r="A135" s="118" t="s">
        <v>75</v>
      </c>
      <c r="B135" s="614">
        <v>2</v>
      </c>
      <c r="C135" s="614"/>
      <c r="D135" s="614"/>
      <c r="E135" s="605" t="s">
        <v>1919</v>
      </c>
      <c r="F135" s="140" t="s">
        <v>2136</v>
      </c>
      <c r="G135" s="141">
        <v>2015</v>
      </c>
      <c r="H135" s="118">
        <v>25444643</v>
      </c>
      <c r="I135" s="118">
        <v>1</v>
      </c>
      <c r="J135" s="118"/>
      <c r="K135" s="118"/>
      <c r="L135" s="118">
        <v>1</v>
      </c>
      <c r="M135" s="118"/>
      <c r="N135" s="118">
        <v>1</v>
      </c>
      <c r="O135" s="142">
        <v>1</v>
      </c>
      <c r="P135" s="118" t="s">
        <v>11</v>
      </c>
      <c r="Q135" s="118" t="s">
        <v>1142</v>
      </c>
      <c r="R135" s="118" t="s">
        <v>10</v>
      </c>
      <c r="S135" s="118">
        <v>1</v>
      </c>
      <c r="T135" s="118"/>
      <c r="U135" s="118"/>
      <c r="V135" s="118"/>
      <c r="W135" s="118" t="s">
        <v>11</v>
      </c>
      <c r="X135" s="118" t="s">
        <v>12</v>
      </c>
      <c r="Y135" s="118" t="s">
        <v>13</v>
      </c>
      <c r="Z135" s="118"/>
      <c r="AA135" s="118"/>
      <c r="AB135" s="118"/>
      <c r="AC135" s="145"/>
      <c r="AD135" s="573">
        <v>1</v>
      </c>
      <c r="AE135" s="573">
        <v>2</v>
      </c>
      <c r="AF135" s="143">
        <v>1</v>
      </c>
      <c r="AG135" s="144" t="s">
        <v>24</v>
      </c>
      <c r="AH135" s="145">
        <v>1</v>
      </c>
      <c r="AI135" s="488"/>
      <c r="AJ135" s="200"/>
      <c r="AK135" s="191">
        <v>1</v>
      </c>
      <c r="AL135" s="201"/>
      <c r="AM135" s="146">
        <v>1014</v>
      </c>
      <c r="AN135" s="146">
        <v>42</v>
      </c>
      <c r="AO135" s="146">
        <v>923</v>
      </c>
      <c r="AP135" s="145" t="s">
        <v>803</v>
      </c>
      <c r="AQ135" s="146" t="s">
        <v>803</v>
      </c>
      <c r="AR135" s="146">
        <v>22.63</v>
      </c>
      <c r="AS135" s="146">
        <v>4.08</v>
      </c>
      <c r="AT135" s="146">
        <v>22.23</v>
      </c>
      <c r="AU135" s="146">
        <v>2.81</v>
      </c>
      <c r="AV135" s="146" t="s">
        <v>1874</v>
      </c>
      <c r="AW135" s="146" t="s">
        <v>24</v>
      </c>
      <c r="AX135" s="146" t="s">
        <v>24</v>
      </c>
      <c r="AY135" s="146" t="s">
        <v>2423</v>
      </c>
      <c r="AZ135" s="146" t="s">
        <v>2605</v>
      </c>
      <c r="BA135" s="146" t="s">
        <v>1875</v>
      </c>
      <c r="BB135" s="592"/>
      <c r="BC135" s="592"/>
      <c r="BD135" s="147">
        <v>1</v>
      </c>
      <c r="BE135" s="147"/>
      <c r="BF135" s="147"/>
      <c r="BG135" s="147"/>
      <c r="BH135" s="147"/>
      <c r="BI135" s="147"/>
      <c r="BJ135" s="147"/>
      <c r="BK135" s="147"/>
      <c r="BL135" s="147"/>
      <c r="BM135" s="147"/>
      <c r="BN135" s="147"/>
      <c r="BO135" s="147"/>
      <c r="BP135" s="147"/>
      <c r="BQ135" s="593" t="s">
        <v>2529</v>
      </c>
      <c r="BR135" s="133" t="s">
        <v>6597</v>
      </c>
      <c r="BS135" s="661"/>
      <c r="BT135" s="253" t="s">
        <v>1876</v>
      </c>
      <c r="BU135" s="253">
        <v>4</v>
      </c>
      <c r="BV135" s="465" t="s">
        <v>1488</v>
      </c>
      <c r="BW135" s="253" t="s">
        <v>2470</v>
      </c>
      <c r="BX135" s="253" t="s">
        <v>2400</v>
      </c>
      <c r="BY135" s="253" t="s">
        <v>6638</v>
      </c>
      <c r="BZ135" s="256" t="s">
        <v>2527</v>
      </c>
      <c r="CA135" s="627" t="s">
        <v>6627</v>
      </c>
      <c r="CB135" s="431" t="s">
        <v>2434</v>
      </c>
      <c r="CC135" s="450">
        <v>52.29</v>
      </c>
      <c r="CD135" s="150">
        <v>1.66</v>
      </c>
      <c r="CE135" s="150" t="s">
        <v>24</v>
      </c>
      <c r="CF135" s="431" t="s">
        <v>2436</v>
      </c>
      <c r="CG135" s="150">
        <v>57.61</v>
      </c>
      <c r="CH135" s="150">
        <v>8.6300000000000008</v>
      </c>
      <c r="CI135" s="150" t="s">
        <v>24</v>
      </c>
      <c r="CJ135" s="290" t="s">
        <v>24</v>
      </c>
      <c r="CK135" s="291" t="s">
        <v>24</v>
      </c>
      <c r="CL135" s="431" t="s">
        <v>2438</v>
      </c>
      <c r="CM135" s="150">
        <v>30.46</v>
      </c>
      <c r="CN135" s="150">
        <v>1.47</v>
      </c>
      <c r="CO135" s="150" t="s">
        <v>24</v>
      </c>
      <c r="CP135" s="149" t="s">
        <v>2440</v>
      </c>
      <c r="CQ135" s="150">
        <v>42.75</v>
      </c>
      <c r="CR135" s="150">
        <v>7.16</v>
      </c>
      <c r="CS135" s="150" t="s">
        <v>24</v>
      </c>
      <c r="CT135" s="290" t="s">
        <v>24</v>
      </c>
      <c r="CU135" s="291" t="s">
        <v>24</v>
      </c>
      <c r="CV135" s="278" t="s">
        <v>24</v>
      </c>
      <c r="CW135" s="285" t="s">
        <v>24</v>
      </c>
      <c r="CX135" s="149" t="s">
        <v>2441</v>
      </c>
      <c r="CY135" s="150">
        <v>19.63</v>
      </c>
      <c r="CZ135" s="150">
        <v>1.47</v>
      </c>
      <c r="DA135" s="150" t="s">
        <v>24</v>
      </c>
      <c r="DB135" s="149" t="s">
        <v>2442</v>
      </c>
      <c r="DC135" s="150">
        <v>43.3</v>
      </c>
      <c r="DD135" s="150">
        <v>6.79</v>
      </c>
      <c r="DE135" s="150" t="s">
        <v>24</v>
      </c>
      <c r="DF135" s="302" t="s">
        <v>2541</v>
      </c>
      <c r="DG135" s="303" t="s">
        <v>2415</v>
      </c>
      <c r="DH135" s="149" t="s">
        <v>2443</v>
      </c>
      <c r="DI135" s="266">
        <v>13.95</v>
      </c>
      <c r="DJ135" s="150">
        <v>1.28</v>
      </c>
      <c r="DK135" s="150" t="s">
        <v>24</v>
      </c>
      <c r="DL135" s="149" t="s">
        <v>2444</v>
      </c>
      <c r="DM135" s="150">
        <v>29.36</v>
      </c>
      <c r="DN135" s="150">
        <v>6.6</v>
      </c>
      <c r="DO135" s="150" t="s">
        <v>24</v>
      </c>
      <c r="DP135" s="302" t="s">
        <v>2542</v>
      </c>
      <c r="DQ135" s="303" t="s">
        <v>2415</v>
      </c>
      <c r="DR135" s="278" t="s">
        <v>2416</v>
      </c>
      <c r="DS135" s="279" t="s">
        <v>1877</v>
      </c>
      <c r="DT135" s="650"/>
      <c r="DU135" s="266"/>
      <c r="DV135" s="150"/>
      <c r="DW135" s="150"/>
      <c r="DX135" s="651"/>
      <c r="DY135" s="150"/>
      <c r="DZ135" s="150"/>
      <c r="EA135" s="150"/>
      <c r="EB135" s="303"/>
      <c r="EC135" s="303"/>
      <c r="ED135" s="651"/>
      <c r="EE135" s="266"/>
      <c r="EF135" s="150"/>
      <c r="EG135" s="150"/>
      <c r="EH135" s="651"/>
      <c r="EI135" s="150"/>
      <c r="EJ135" s="150"/>
      <c r="EK135" s="266"/>
      <c r="EL135" s="303"/>
      <c r="EM135" s="303"/>
      <c r="EN135" s="279"/>
      <c r="EO135" s="650"/>
      <c r="EP135" s="266"/>
      <c r="EQ135" s="150"/>
      <c r="ER135" s="150"/>
      <c r="ES135" s="650"/>
      <c r="ET135" s="150"/>
      <c r="EU135" s="150"/>
      <c r="EV135" s="150"/>
      <c r="EW135" s="303"/>
      <c r="EX135" s="303"/>
      <c r="EY135" s="150"/>
      <c r="EZ135" s="150"/>
      <c r="FA135" s="150"/>
      <c r="FB135" s="150"/>
      <c r="FC135" s="134"/>
      <c r="FD135" s="134"/>
      <c r="FE135" s="134"/>
      <c r="FF135" s="134"/>
      <c r="FG135" s="135"/>
      <c r="FH135" s="135"/>
      <c r="FI135" s="134"/>
      <c r="FJ135" s="134"/>
      <c r="FK135" s="134"/>
      <c r="FL135" s="134"/>
      <c r="FM135" s="134"/>
      <c r="FN135" s="134"/>
      <c r="FO135" s="134"/>
      <c r="FP135" s="134"/>
      <c r="FQ135" s="135"/>
      <c r="FR135" s="135"/>
      <c r="FS135" s="134"/>
      <c r="FT135" s="134"/>
      <c r="FU135" s="134"/>
      <c r="FV135" s="134"/>
      <c r="FW135" s="134"/>
      <c r="FX135" s="134"/>
      <c r="FY135" s="134"/>
      <c r="FZ135" s="134"/>
      <c r="GA135" s="135"/>
      <c r="GB135" s="135"/>
      <c r="GC135" s="134"/>
      <c r="GD135" s="134"/>
      <c r="GE135" s="134"/>
      <c r="GF135" s="134"/>
      <c r="GG135" s="134"/>
      <c r="GH135" s="134"/>
      <c r="GI135" s="134"/>
      <c r="GJ135" s="134"/>
      <c r="GK135" s="135"/>
      <c r="GL135" s="135"/>
      <c r="GM135" s="134"/>
      <c r="GN135" s="134"/>
      <c r="GO135" s="134"/>
      <c r="GP135" s="134"/>
      <c r="GQ135" s="134"/>
      <c r="GR135" s="134"/>
      <c r="GS135" s="134"/>
      <c r="GT135" s="134"/>
      <c r="GU135" s="135"/>
      <c r="GV135" s="135"/>
      <c r="GW135" s="134"/>
      <c r="GX135" s="134"/>
      <c r="GY135" s="134"/>
      <c r="GZ135" s="134"/>
      <c r="HA135" s="134"/>
      <c r="HB135" s="134"/>
      <c r="HC135" s="134"/>
      <c r="HD135" s="134"/>
      <c r="HE135" s="135"/>
      <c r="HF135" s="135"/>
      <c r="HG135" s="134"/>
      <c r="HH135" s="134"/>
      <c r="HI135" s="134"/>
      <c r="HJ135" s="134"/>
      <c r="HK135" s="134"/>
      <c r="HL135" s="134"/>
      <c r="HM135" s="134"/>
      <c r="HN135" s="134"/>
      <c r="HO135" s="135"/>
      <c r="HP135" s="135"/>
      <c r="HQ135" s="134"/>
      <c r="HR135" s="134"/>
      <c r="HS135" s="134"/>
      <c r="HT135" s="134"/>
      <c r="HU135" s="134"/>
      <c r="HV135" s="134"/>
      <c r="HW135" s="134"/>
      <c r="HX135" s="134"/>
      <c r="HY135" s="135"/>
      <c r="HZ135" s="135"/>
      <c r="IA135" s="134"/>
      <c r="IB135" s="134"/>
      <c r="IC135" s="134"/>
      <c r="ID135" s="134"/>
      <c r="IE135" s="134"/>
      <c r="IF135" s="134"/>
      <c r="IG135" s="134"/>
      <c r="IH135" s="134"/>
      <c r="II135" s="135"/>
      <c r="IJ135" s="135"/>
      <c r="IK135" s="134"/>
      <c r="IL135" s="134"/>
      <c r="IM135" s="134"/>
      <c r="IN135" s="134"/>
      <c r="IO135" s="134"/>
      <c r="IP135" s="134"/>
      <c r="IQ135" s="134"/>
      <c r="IR135" s="134"/>
      <c r="IS135" s="135"/>
      <c r="IT135" s="135"/>
      <c r="IU135" s="134"/>
      <c r="IV135" s="134"/>
      <c r="IW135" s="134"/>
      <c r="IX135" s="134"/>
      <c r="IY135" s="134"/>
      <c r="IZ135" s="134"/>
      <c r="JA135" s="134"/>
      <c r="JB135" s="134"/>
      <c r="JC135" s="135"/>
      <c r="JD135" s="135"/>
    </row>
    <row r="136" spans="1:264" s="119" customFormat="1" ht="15" customHeight="1">
      <c r="A136" s="79" t="s">
        <v>75</v>
      </c>
      <c r="B136" s="614">
        <v>2</v>
      </c>
      <c r="C136" s="614"/>
      <c r="D136" s="614"/>
      <c r="E136" s="604" t="s">
        <v>1919</v>
      </c>
      <c r="F136" s="124" t="s">
        <v>2136</v>
      </c>
      <c r="G136" s="125">
        <v>2015</v>
      </c>
      <c r="H136" s="79">
        <v>25444643</v>
      </c>
      <c r="I136" s="79">
        <v>1</v>
      </c>
      <c r="J136" s="126"/>
      <c r="K136" s="127"/>
      <c r="L136" s="79">
        <v>1</v>
      </c>
      <c r="M136" s="79"/>
      <c r="N136" s="79">
        <v>1</v>
      </c>
      <c r="O136" s="128">
        <v>1</v>
      </c>
      <c r="P136" s="79" t="s">
        <v>11</v>
      </c>
      <c r="Q136" s="79" t="s">
        <v>1142</v>
      </c>
      <c r="R136" s="79" t="s">
        <v>10</v>
      </c>
      <c r="S136" s="79">
        <v>1</v>
      </c>
      <c r="T136" s="79"/>
      <c r="U136" s="79"/>
      <c r="V136" s="79"/>
      <c r="W136" s="79" t="s">
        <v>11</v>
      </c>
      <c r="X136" s="79" t="s">
        <v>12</v>
      </c>
      <c r="Y136" s="79" t="s">
        <v>13</v>
      </c>
      <c r="Z136" s="79"/>
      <c r="AA136" s="79"/>
      <c r="AB136" s="79"/>
      <c r="AC136" s="506"/>
      <c r="AD136" s="573">
        <v>1</v>
      </c>
      <c r="AE136" s="573">
        <v>2</v>
      </c>
      <c r="AF136" s="129">
        <v>1</v>
      </c>
      <c r="AG136" s="130" t="s">
        <v>24</v>
      </c>
      <c r="AH136" s="136">
        <v>1</v>
      </c>
      <c r="AI136" s="489"/>
      <c r="AJ136" s="198"/>
      <c r="AK136" s="191">
        <v>1</v>
      </c>
      <c r="AL136" s="199"/>
      <c r="AM136" s="136">
        <v>1014</v>
      </c>
      <c r="AN136" s="16">
        <v>42</v>
      </c>
      <c r="AO136" s="16">
        <v>923</v>
      </c>
      <c r="AP136" s="16" t="s">
        <v>803</v>
      </c>
      <c r="AQ136" s="16" t="s">
        <v>803</v>
      </c>
      <c r="AR136" s="16">
        <v>22.63</v>
      </c>
      <c r="AS136" s="136">
        <v>4.08</v>
      </c>
      <c r="AT136" s="16">
        <v>22.23</v>
      </c>
      <c r="AU136" s="16">
        <v>2.81</v>
      </c>
      <c r="AV136" s="16" t="s">
        <v>1874</v>
      </c>
      <c r="AW136" s="16" t="s">
        <v>24</v>
      </c>
      <c r="AX136" s="16" t="s">
        <v>24</v>
      </c>
      <c r="AY136" s="16" t="s">
        <v>2423</v>
      </c>
      <c r="AZ136" s="16" t="s">
        <v>2605</v>
      </c>
      <c r="BA136" s="16" t="s">
        <v>1875</v>
      </c>
      <c r="BB136" s="590"/>
      <c r="BC136" s="590"/>
      <c r="BD136" s="132">
        <v>1</v>
      </c>
      <c r="BE136" s="132"/>
      <c r="BF136" s="132"/>
      <c r="BG136" s="132"/>
      <c r="BH136" s="132"/>
      <c r="BI136" s="132"/>
      <c r="BJ136" s="132"/>
      <c r="BK136" s="132"/>
      <c r="BL136" s="132"/>
      <c r="BM136" s="132"/>
      <c r="BN136" s="132"/>
      <c r="BO136" s="132"/>
      <c r="BP136" s="132"/>
      <c r="BQ136" s="591" t="s">
        <v>2528</v>
      </c>
      <c r="BR136" s="133" t="s">
        <v>6596</v>
      </c>
      <c r="BS136" s="661"/>
      <c r="BT136" s="26" t="s">
        <v>1876</v>
      </c>
      <c r="BU136" s="26">
        <v>4</v>
      </c>
      <c r="BV136" s="636" t="s">
        <v>1488</v>
      </c>
      <c r="BW136" s="26" t="s">
        <v>2470</v>
      </c>
      <c r="BX136" s="26" t="s">
        <v>2400</v>
      </c>
      <c r="BY136" s="26" t="s">
        <v>6638</v>
      </c>
      <c r="BZ136" s="255" t="s">
        <v>2526</v>
      </c>
      <c r="CA136" s="626" t="s">
        <v>23</v>
      </c>
      <c r="CB136" s="519" t="s">
        <v>2418</v>
      </c>
      <c r="CC136" s="134">
        <v>217.09</v>
      </c>
      <c r="CD136" s="134">
        <v>29</v>
      </c>
      <c r="CE136" s="134" t="s">
        <v>24</v>
      </c>
      <c r="CF136" s="519" t="s">
        <v>2420</v>
      </c>
      <c r="CG136" s="134">
        <v>175.19</v>
      </c>
      <c r="CH136" s="134">
        <v>25.13</v>
      </c>
      <c r="CI136" s="134" t="s">
        <v>24</v>
      </c>
      <c r="CJ136" s="435" t="s">
        <v>2412</v>
      </c>
      <c r="CK136" s="437" t="s">
        <v>2550</v>
      </c>
      <c r="CL136" s="264" t="s">
        <v>2425</v>
      </c>
      <c r="CM136" s="134">
        <v>214.41</v>
      </c>
      <c r="CN136" s="134">
        <v>7.57</v>
      </c>
      <c r="CO136" s="134" t="s">
        <v>24</v>
      </c>
      <c r="CP136" s="264" t="s">
        <v>2424</v>
      </c>
      <c r="CQ136" s="134">
        <v>104.54</v>
      </c>
      <c r="CR136" s="134">
        <v>6.54</v>
      </c>
      <c r="CS136" s="134" t="s">
        <v>24</v>
      </c>
      <c r="CT136" s="288" t="s">
        <v>2411</v>
      </c>
      <c r="CU136" s="289" t="s">
        <v>2410</v>
      </c>
      <c r="CV136" s="276" t="s">
        <v>2413</v>
      </c>
      <c r="CW136" s="308" t="s">
        <v>2414</v>
      </c>
      <c r="CX136" s="137" t="s">
        <v>24</v>
      </c>
      <c r="CY136" s="134"/>
      <c r="CZ136" s="168"/>
      <c r="DA136" s="134"/>
      <c r="DB136" s="168"/>
      <c r="DC136" s="134"/>
      <c r="DD136" s="168"/>
      <c r="DE136" s="134"/>
      <c r="DF136" s="300"/>
      <c r="DG136" s="301"/>
      <c r="DH136" s="168"/>
      <c r="DI136" s="134"/>
      <c r="DJ136" s="134"/>
      <c r="DK136" s="134"/>
      <c r="DL136" s="168"/>
      <c r="DM136" s="134"/>
      <c r="DN136" s="168"/>
      <c r="DO136" s="134"/>
      <c r="DP136" s="300"/>
      <c r="DQ136" s="301"/>
      <c r="DR136" s="276"/>
      <c r="DS136" s="277"/>
      <c r="DT136" s="134"/>
      <c r="DU136" s="134"/>
      <c r="DV136" s="134"/>
      <c r="DW136" s="134"/>
      <c r="DX136" s="138"/>
      <c r="DY136" s="134"/>
      <c r="DZ136" s="134"/>
      <c r="EA136" s="134"/>
      <c r="EB136" s="301"/>
      <c r="EC136" s="301"/>
      <c r="ED136" s="138"/>
      <c r="EE136" s="134"/>
      <c r="EF136" s="134"/>
      <c r="EG136" s="134"/>
      <c r="EH136" s="138"/>
      <c r="EI136" s="134"/>
      <c r="EJ136" s="134"/>
      <c r="EK136" s="134"/>
      <c r="EL136" s="301"/>
      <c r="EM136" s="301"/>
      <c r="EN136" s="277"/>
      <c r="EO136" s="134"/>
      <c r="EP136" s="134"/>
      <c r="EQ136" s="134"/>
      <c r="ER136" s="134"/>
      <c r="ES136" s="134"/>
      <c r="ET136" s="134"/>
      <c r="EU136" s="134"/>
      <c r="EV136" s="134"/>
      <c r="EW136" s="301"/>
      <c r="EX136" s="301"/>
      <c r="EY136" s="134"/>
      <c r="EZ136" s="134"/>
      <c r="FA136" s="134"/>
      <c r="FB136" s="134"/>
      <c r="FC136" s="134"/>
      <c r="FD136" s="134"/>
      <c r="FE136" s="134"/>
      <c r="FF136" s="134"/>
      <c r="FG136" s="135"/>
      <c r="FH136" s="135"/>
      <c r="FI136" s="134"/>
      <c r="FJ136" s="134"/>
      <c r="FK136" s="134"/>
      <c r="FL136" s="134"/>
      <c r="FM136" s="134"/>
      <c r="FN136" s="134"/>
      <c r="FO136" s="134"/>
      <c r="FP136" s="134"/>
      <c r="FQ136" s="135"/>
      <c r="FR136" s="135"/>
      <c r="FS136" s="134"/>
      <c r="FT136" s="134"/>
      <c r="FU136" s="134"/>
      <c r="FV136" s="134"/>
      <c r="FW136" s="134"/>
      <c r="FX136" s="134"/>
      <c r="FY136" s="134"/>
      <c r="FZ136" s="134"/>
      <c r="GA136" s="135"/>
      <c r="GB136" s="135"/>
      <c r="GC136" s="134"/>
      <c r="GD136" s="134"/>
      <c r="GE136" s="134"/>
      <c r="GF136" s="134"/>
      <c r="GG136" s="134"/>
      <c r="GH136" s="134"/>
      <c r="GI136" s="134"/>
      <c r="GJ136" s="134"/>
      <c r="GK136" s="135"/>
      <c r="GL136" s="135"/>
      <c r="GM136" s="134"/>
      <c r="GN136" s="134"/>
      <c r="GO136" s="134"/>
      <c r="GP136" s="134"/>
      <c r="GQ136" s="134"/>
      <c r="GR136" s="134"/>
      <c r="GS136" s="134"/>
      <c r="GT136" s="134"/>
      <c r="GU136" s="135"/>
      <c r="GV136" s="135"/>
      <c r="GW136" s="134"/>
      <c r="GX136" s="134"/>
      <c r="GY136" s="134"/>
      <c r="GZ136" s="134"/>
      <c r="HA136" s="134"/>
      <c r="HB136" s="134"/>
      <c r="HC136" s="134"/>
      <c r="HD136" s="134"/>
      <c r="HE136" s="135"/>
      <c r="HF136" s="135"/>
      <c r="HG136" s="134"/>
      <c r="HH136" s="134"/>
      <c r="HI136" s="134"/>
      <c r="HJ136" s="134"/>
      <c r="HK136" s="134"/>
      <c r="HL136" s="134"/>
      <c r="HM136" s="134"/>
      <c r="HN136" s="134"/>
      <c r="HO136" s="135"/>
      <c r="HP136" s="135"/>
      <c r="HQ136" s="134"/>
      <c r="HR136" s="134"/>
      <c r="HS136" s="134"/>
      <c r="HT136" s="134"/>
      <c r="HU136" s="134"/>
      <c r="HV136" s="134"/>
      <c r="HW136" s="134"/>
      <c r="HX136" s="134"/>
      <c r="HY136" s="135"/>
      <c r="HZ136" s="135"/>
      <c r="IA136" s="134"/>
      <c r="IB136" s="134"/>
      <c r="IC136" s="134"/>
      <c r="ID136" s="134"/>
      <c r="IE136" s="134"/>
      <c r="IF136" s="134"/>
      <c r="IG136" s="134"/>
      <c r="IH136" s="134"/>
      <c r="II136" s="135"/>
      <c r="IJ136" s="135"/>
      <c r="IK136" s="134"/>
      <c r="IL136" s="134"/>
      <c r="IM136" s="134"/>
      <c r="IN136" s="134"/>
      <c r="IO136" s="134"/>
      <c r="IP136" s="134"/>
      <c r="IQ136" s="134"/>
      <c r="IR136" s="134"/>
      <c r="IS136" s="135"/>
      <c r="IT136" s="135"/>
      <c r="IU136" s="134"/>
      <c r="IV136" s="134"/>
      <c r="IW136" s="134"/>
      <c r="IX136" s="134"/>
      <c r="IY136" s="134"/>
      <c r="IZ136" s="134"/>
      <c r="JA136" s="134"/>
      <c r="JB136" s="134"/>
      <c r="JC136" s="135"/>
      <c r="JD136" s="135"/>
    </row>
    <row r="137" spans="1:264" customFormat="1" ht="15" customHeight="1">
      <c r="A137" s="79" t="s">
        <v>1112</v>
      </c>
      <c r="B137" s="362">
        <v>68</v>
      </c>
      <c r="C137" s="362">
        <v>5</v>
      </c>
      <c r="D137" s="362"/>
      <c r="E137" s="604" t="s">
        <v>2051</v>
      </c>
      <c r="F137" s="124" t="s">
        <v>2294</v>
      </c>
      <c r="G137" s="125">
        <v>2011</v>
      </c>
      <c r="H137" s="79">
        <v>20849863</v>
      </c>
      <c r="I137" s="79">
        <v>1</v>
      </c>
      <c r="J137" s="126">
        <v>1</v>
      </c>
      <c r="K137" s="127"/>
      <c r="L137" s="79">
        <v>0</v>
      </c>
      <c r="M137" s="79"/>
      <c r="N137" s="79">
        <v>0</v>
      </c>
      <c r="O137" s="128">
        <v>2</v>
      </c>
      <c r="P137" s="79" t="s">
        <v>1834</v>
      </c>
      <c r="Q137" s="79" t="s">
        <v>24</v>
      </c>
      <c r="R137" s="79" t="s">
        <v>1127</v>
      </c>
      <c r="S137" s="79"/>
      <c r="T137" s="79" t="s">
        <v>1541</v>
      </c>
      <c r="U137" s="79" t="s">
        <v>23</v>
      </c>
      <c r="V137" s="79" t="s">
        <v>23</v>
      </c>
      <c r="W137" s="79" t="s">
        <v>1813</v>
      </c>
      <c r="X137" s="79" t="s">
        <v>23</v>
      </c>
      <c r="Y137" s="79" t="s">
        <v>1137</v>
      </c>
      <c r="Z137" s="79"/>
      <c r="AA137" s="79"/>
      <c r="AB137" s="79" t="s">
        <v>424</v>
      </c>
      <c r="AC137" s="506"/>
      <c r="AD137" s="573">
        <v>1</v>
      </c>
      <c r="AE137" s="573">
        <v>2</v>
      </c>
      <c r="AF137" s="154">
        <v>1</v>
      </c>
      <c r="AG137" s="155"/>
      <c r="AH137" s="121">
        <v>4</v>
      </c>
      <c r="AI137" s="484"/>
      <c r="AJ137" s="640" t="s">
        <v>3831</v>
      </c>
      <c r="AK137" s="192">
        <v>0</v>
      </c>
      <c r="AL137" s="203">
        <v>0</v>
      </c>
      <c r="AM137" s="121">
        <v>20</v>
      </c>
      <c r="AN137" s="121">
        <v>10</v>
      </c>
      <c r="AO137" s="121">
        <v>10</v>
      </c>
      <c r="AP137" s="121" t="s">
        <v>803</v>
      </c>
      <c r="AQ137" s="121" t="s">
        <v>803</v>
      </c>
      <c r="AR137" s="121" t="s">
        <v>2468</v>
      </c>
      <c r="AS137" s="121" t="s">
        <v>24</v>
      </c>
      <c r="AT137" s="121" t="s">
        <v>2468</v>
      </c>
      <c r="AU137" s="121" t="s">
        <v>24</v>
      </c>
      <c r="AV137" s="121" t="s">
        <v>3819</v>
      </c>
      <c r="AW137" s="121">
        <v>1</v>
      </c>
      <c r="AX137" s="121" t="s">
        <v>3820</v>
      </c>
      <c r="AY137" s="121" t="s">
        <v>3821</v>
      </c>
      <c r="AZ137" s="121" t="s">
        <v>2912</v>
      </c>
      <c r="BA137" s="121" t="s">
        <v>3279</v>
      </c>
      <c r="BB137" s="594"/>
      <c r="BC137" s="594"/>
      <c r="BD137" s="156">
        <v>1</v>
      </c>
      <c r="BE137" s="156"/>
      <c r="BF137" s="156"/>
      <c r="BG137" s="156"/>
      <c r="BH137" s="156"/>
      <c r="BI137" s="156"/>
      <c r="BJ137" s="156"/>
      <c r="BK137" s="156"/>
      <c r="BL137" s="156"/>
      <c r="BM137" s="156"/>
      <c r="BN137" s="156"/>
      <c r="BO137" s="156"/>
      <c r="BP137" s="156"/>
      <c r="BQ137" s="595" t="s">
        <v>3680</v>
      </c>
      <c r="BR137" s="157" t="s">
        <v>6595</v>
      </c>
      <c r="BS137" s="660"/>
      <c r="BT137" s="134" t="s">
        <v>1876</v>
      </c>
      <c r="BU137" s="134">
        <v>2</v>
      </c>
      <c r="BV137" s="134" t="s">
        <v>3823</v>
      </c>
      <c r="BW137" s="134" t="s">
        <v>3822</v>
      </c>
      <c r="BX137" s="134" t="s">
        <v>3224</v>
      </c>
      <c r="BY137" s="134" t="s">
        <v>2659</v>
      </c>
      <c r="BZ137" s="539" t="s">
        <v>3830</v>
      </c>
      <c r="CA137" s="628" t="s">
        <v>6627</v>
      </c>
      <c r="CB137" s="138" t="s">
        <v>3824</v>
      </c>
      <c r="CC137" s="134">
        <v>15.779500000000001</v>
      </c>
      <c r="CD137" s="134" t="s">
        <v>24</v>
      </c>
      <c r="CE137" s="134">
        <f>21.673-Table668[[#This Row],[Data_Outcome1_M]]</f>
        <v>5.8934999999999977</v>
      </c>
      <c r="CF137" s="138" t="s">
        <v>3825</v>
      </c>
      <c r="CG137" s="134">
        <v>58.174900000000001</v>
      </c>
      <c r="CH137" s="134" t="s">
        <v>24</v>
      </c>
      <c r="CI137" s="134">
        <f>67.8707-Table668[[#This Row],[Data_Outcome2_M]]</f>
        <v>9.6957999999999984</v>
      </c>
      <c r="CJ137" s="288" t="s">
        <v>24</v>
      </c>
      <c r="CK137" s="289" t="s">
        <v>24</v>
      </c>
      <c r="CL137" s="427" t="s">
        <v>3826</v>
      </c>
      <c r="CM137" s="134">
        <v>69.581699999999998</v>
      </c>
      <c r="CN137" s="134" t="s">
        <v>24</v>
      </c>
      <c r="CO137" s="134">
        <f>76.8061-Table668[[#This Row],[Data_Outcome3_M]]</f>
        <v>7.2244000000000028</v>
      </c>
      <c r="CP137" s="427" t="s">
        <v>3827</v>
      </c>
      <c r="CQ137" s="134">
        <v>70.532300000000006</v>
      </c>
      <c r="CR137" s="134" t="s">
        <v>24</v>
      </c>
      <c r="CS137" s="134">
        <f>82.3194-Table668[[#This Row],[Data_Outcome4_M]]</f>
        <v>11.787099999999995</v>
      </c>
      <c r="CT137" s="288" t="s">
        <v>24</v>
      </c>
      <c r="CU137" s="289" t="s">
        <v>24</v>
      </c>
      <c r="CV137" s="276" t="s">
        <v>24</v>
      </c>
      <c r="CW137" s="308" t="s">
        <v>24</v>
      </c>
      <c r="CX137" s="427" t="s">
        <v>3828</v>
      </c>
      <c r="CY137" s="134">
        <v>65.779499999999999</v>
      </c>
      <c r="CZ137" s="134" t="s">
        <v>24</v>
      </c>
      <c r="DA137" s="134">
        <f>77.9468-Table668[[#This Row],[Data_Outcome5_M]]</f>
        <v>12.167299999999997</v>
      </c>
      <c r="DB137" s="134" t="s">
        <v>24</v>
      </c>
      <c r="DC137" s="134" t="s">
        <v>24</v>
      </c>
      <c r="DD137" s="134" t="s">
        <v>24</v>
      </c>
      <c r="DE137" s="134" t="s">
        <v>24</v>
      </c>
      <c r="DF137" s="300" t="s">
        <v>3829</v>
      </c>
      <c r="DG137" s="301"/>
      <c r="DH137" s="134"/>
      <c r="DI137" s="134"/>
      <c r="DJ137" s="134"/>
      <c r="DK137" s="190"/>
      <c r="DL137" s="134"/>
      <c r="DM137" s="190"/>
      <c r="DN137" s="134"/>
      <c r="DO137" s="190"/>
      <c r="DP137" s="300"/>
      <c r="DQ137" s="301"/>
      <c r="DR137" s="276"/>
      <c r="DS137" s="277"/>
      <c r="DT137" s="134"/>
      <c r="DU137" s="134"/>
      <c r="DV137" s="134"/>
      <c r="DW137" s="134"/>
      <c r="DX137" s="138"/>
      <c r="DY137" s="134"/>
      <c r="DZ137" s="134"/>
      <c r="EA137" s="134"/>
      <c r="EB137" s="301"/>
      <c r="EC137" s="301"/>
      <c r="ED137" s="138"/>
      <c r="EE137" s="134"/>
      <c r="EF137" s="134"/>
      <c r="EG137" s="134"/>
      <c r="EH137" s="138"/>
      <c r="EI137" s="134"/>
      <c r="EJ137" s="134"/>
      <c r="EK137" s="134"/>
      <c r="EL137" s="301"/>
      <c r="EM137" s="301"/>
      <c r="EN137" s="277"/>
      <c r="EO137" s="134"/>
      <c r="EP137" s="134"/>
      <c r="EQ137" s="134"/>
      <c r="ER137" s="134"/>
      <c r="ES137" s="134"/>
      <c r="ET137" s="134"/>
      <c r="EU137" s="134"/>
      <c r="EV137" s="134"/>
      <c r="EW137" s="301"/>
      <c r="EX137" s="301"/>
      <c r="EY137" s="134"/>
      <c r="EZ137" s="134"/>
      <c r="FA137" s="134"/>
      <c r="FB137" s="134"/>
      <c r="FC137" s="134"/>
      <c r="FD137" s="134"/>
      <c r="FE137" s="134"/>
      <c r="FF137" s="134"/>
      <c r="FG137" s="135"/>
      <c r="FH137" s="135"/>
      <c r="FI137" s="134"/>
      <c r="FJ137" s="134"/>
      <c r="FK137" s="134"/>
      <c r="FL137" s="134"/>
      <c r="FM137" s="134"/>
      <c r="FN137" s="134"/>
      <c r="FO137" s="134"/>
      <c r="FP137" s="134"/>
      <c r="FQ137" s="135"/>
      <c r="FR137" s="135"/>
      <c r="FS137" s="134"/>
      <c r="FT137" s="134"/>
      <c r="FU137" s="134"/>
      <c r="FV137" s="134"/>
      <c r="FW137" s="134"/>
      <c r="FX137" s="134"/>
      <c r="FY137" s="134"/>
      <c r="FZ137" s="134"/>
      <c r="GA137" s="135"/>
      <c r="GB137" s="135"/>
      <c r="GC137" s="134"/>
      <c r="GD137" s="134"/>
      <c r="GE137" s="134"/>
      <c r="GF137" s="134"/>
      <c r="GG137" s="134"/>
      <c r="GH137" s="134"/>
      <c r="GI137" s="134"/>
      <c r="GJ137" s="134"/>
      <c r="GK137" s="135"/>
      <c r="GL137" s="135"/>
      <c r="GM137" s="134"/>
      <c r="GN137" s="134"/>
      <c r="GO137" s="134"/>
      <c r="GP137" s="134"/>
      <c r="GQ137" s="134"/>
      <c r="GR137" s="134"/>
      <c r="GS137" s="134"/>
      <c r="GT137" s="134"/>
      <c r="GU137" s="135"/>
      <c r="GV137" s="135"/>
      <c r="GW137" s="134"/>
      <c r="GX137" s="134"/>
      <c r="GY137" s="134"/>
      <c r="GZ137" s="134"/>
      <c r="HA137" s="134"/>
      <c r="HB137" s="134"/>
      <c r="HC137" s="134"/>
      <c r="HD137" s="134"/>
      <c r="HE137" s="135"/>
      <c r="HF137" s="135"/>
      <c r="HG137" s="134"/>
      <c r="HH137" s="134"/>
      <c r="HI137" s="134"/>
      <c r="HJ137" s="134"/>
      <c r="HK137" s="134"/>
      <c r="HL137" s="134"/>
      <c r="HM137" s="134"/>
      <c r="HN137" s="134"/>
      <c r="HO137" s="135"/>
      <c r="HP137" s="135"/>
      <c r="HQ137" s="134"/>
      <c r="HR137" s="134"/>
      <c r="HS137" s="134"/>
      <c r="HT137" s="134"/>
      <c r="HU137" s="134"/>
      <c r="HV137" s="134"/>
      <c r="HW137" s="134"/>
      <c r="HX137" s="134"/>
      <c r="HY137" s="135"/>
      <c r="HZ137" s="135"/>
      <c r="IA137" s="134"/>
      <c r="IB137" s="134"/>
      <c r="IC137" s="134"/>
      <c r="ID137" s="134"/>
      <c r="IE137" s="134"/>
      <c r="IF137" s="134"/>
      <c r="IG137" s="134"/>
      <c r="IH137" s="134"/>
      <c r="II137" s="135"/>
      <c r="IJ137" s="135"/>
      <c r="IK137" s="134"/>
      <c r="IL137" s="134"/>
      <c r="IM137" s="134"/>
      <c r="IN137" s="134"/>
      <c r="IO137" s="134"/>
      <c r="IP137" s="134"/>
      <c r="IQ137" s="134"/>
      <c r="IR137" s="134"/>
      <c r="IS137" s="135"/>
      <c r="IT137" s="135"/>
      <c r="IU137" s="134"/>
      <c r="IV137" s="134"/>
      <c r="IW137" s="134"/>
      <c r="IX137" s="134"/>
      <c r="IY137" s="134"/>
      <c r="IZ137" s="134"/>
      <c r="JA137" s="134"/>
      <c r="JB137" s="134"/>
      <c r="JC137" s="135"/>
      <c r="JD137" s="135"/>
    </row>
    <row r="138" spans="1:264" customFormat="1" ht="15" customHeight="1">
      <c r="A138" s="142" t="s">
        <v>1111</v>
      </c>
      <c r="B138" s="614">
        <v>4</v>
      </c>
      <c r="C138" s="614"/>
      <c r="D138" s="614"/>
      <c r="E138" s="606" t="s">
        <v>2052</v>
      </c>
      <c r="F138" s="224" t="s">
        <v>2295</v>
      </c>
      <c r="G138" s="225">
        <v>2015</v>
      </c>
      <c r="H138" s="142">
        <v>25585683</v>
      </c>
      <c r="I138" s="142">
        <v>1</v>
      </c>
      <c r="J138" s="142">
        <v>1</v>
      </c>
      <c r="K138" s="142"/>
      <c r="L138" s="142">
        <v>1</v>
      </c>
      <c r="M138" s="142"/>
      <c r="N138" s="142">
        <v>1</v>
      </c>
      <c r="O138" s="142">
        <v>2</v>
      </c>
      <c r="P138" s="142" t="s">
        <v>1220</v>
      </c>
      <c r="Q138" s="142" t="s">
        <v>1232</v>
      </c>
      <c r="R138" s="142" t="s">
        <v>1138</v>
      </c>
      <c r="S138" s="142"/>
      <c r="T138" s="142" t="s">
        <v>1541</v>
      </c>
      <c r="U138" s="142" t="s">
        <v>23</v>
      </c>
      <c r="V138" s="142" t="s">
        <v>23</v>
      </c>
      <c r="W138" s="142" t="s">
        <v>1139</v>
      </c>
      <c r="X138" s="142" t="s">
        <v>24</v>
      </c>
      <c r="Y138" s="142" t="s">
        <v>1132</v>
      </c>
      <c r="Z138" s="142"/>
      <c r="AA138" s="142"/>
      <c r="AB138" s="142"/>
      <c r="AC138" s="465"/>
      <c r="AD138" s="573">
        <v>1</v>
      </c>
      <c r="AE138" s="573">
        <v>2</v>
      </c>
      <c r="AF138" s="159">
        <v>1</v>
      </c>
      <c r="AG138" s="155" t="s">
        <v>3316</v>
      </c>
      <c r="AH138" s="150">
        <v>5</v>
      </c>
      <c r="AI138" s="485"/>
      <c r="AJ138" s="226" t="s">
        <v>2484</v>
      </c>
      <c r="AK138" s="192">
        <v>1</v>
      </c>
      <c r="AL138" s="227"/>
      <c r="AM138" s="150">
        <v>14</v>
      </c>
      <c r="AN138" s="150">
        <v>7</v>
      </c>
      <c r="AO138" s="150">
        <v>7</v>
      </c>
      <c r="AP138" s="150" t="s">
        <v>803</v>
      </c>
      <c r="AQ138" s="150" t="s">
        <v>803</v>
      </c>
      <c r="AR138" s="150" t="s">
        <v>2468</v>
      </c>
      <c r="AS138" s="150" t="s">
        <v>24</v>
      </c>
      <c r="AT138" s="150" t="s">
        <v>2468</v>
      </c>
      <c r="AU138" s="150" t="s">
        <v>24</v>
      </c>
      <c r="AV138" s="150" t="s">
        <v>2474</v>
      </c>
      <c r="AW138" s="150">
        <v>1</v>
      </c>
      <c r="AX138" s="134" t="s">
        <v>3317</v>
      </c>
      <c r="AY138" s="150" t="s">
        <v>2473</v>
      </c>
      <c r="AZ138" s="150" t="s">
        <v>2603</v>
      </c>
      <c r="BA138" s="150" t="s">
        <v>2554</v>
      </c>
      <c r="BB138" s="588"/>
      <c r="BC138" s="588"/>
      <c r="BD138" s="161">
        <v>1</v>
      </c>
      <c r="BE138" s="161"/>
      <c r="BF138" s="161"/>
      <c r="BG138" s="161"/>
      <c r="BH138" s="161"/>
      <c r="BI138" s="161"/>
      <c r="BJ138" s="161"/>
      <c r="BK138" s="161"/>
      <c r="BL138" s="161"/>
      <c r="BM138" s="161"/>
      <c r="BN138" s="161"/>
      <c r="BO138" s="161"/>
      <c r="BP138" s="161"/>
      <c r="BQ138" s="596" t="s">
        <v>2545</v>
      </c>
      <c r="BR138" s="157" t="s">
        <v>6598</v>
      </c>
      <c r="BS138" s="660"/>
      <c r="BT138" s="150" t="s">
        <v>1876</v>
      </c>
      <c r="BU138" s="150">
        <v>2</v>
      </c>
      <c r="BV138" s="150" t="s">
        <v>2467</v>
      </c>
      <c r="BW138" s="150" t="s">
        <v>2471</v>
      </c>
      <c r="BX138" s="150" t="s">
        <v>2659</v>
      </c>
      <c r="BY138" s="134" t="s">
        <v>2659</v>
      </c>
      <c r="BZ138" s="258" t="s">
        <v>2491</v>
      </c>
      <c r="CA138" s="257" t="s">
        <v>6627</v>
      </c>
      <c r="CB138" s="269" t="s">
        <v>2485</v>
      </c>
      <c r="CC138" s="150">
        <v>17.4329</v>
      </c>
      <c r="CD138" s="150" t="s">
        <v>24</v>
      </c>
      <c r="CE138" s="150">
        <v>7.2742000000000004</v>
      </c>
      <c r="CF138" s="269" t="s">
        <v>2487</v>
      </c>
      <c r="CG138" s="150">
        <v>59.374499999999998</v>
      </c>
      <c r="CH138" s="150" t="s">
        <v>24</v>
      </c>
      <c r="CI138" s="150">
        <v>7.9824000000000002</v>
      </c>
      <c r="CJ138" s="290" t="s">
        <v>2547</v>
      </c>
      <c r="CK138" s="291" t="s">
        <v>2549</v>
      </c>
      <c r="CL138" s="431" t="s">
        <v>2486</v>
      </c>
      <c r="CM138" s="150">
        <v>16.3689</v>
      </c>
      <c r="CN138" s="150" t="s">
        <v>24</v>
      </c>
      <c r="CO138" s="150">
        <v>9.7568999999999999</v>
      </c>
      <c r="CP138" s="431" t="s">
        <v>2488</v>
      </c>
      <c r="CQ138" s="150">
        <v>66.825100000000006</v>
      </c>
      <c r="CR138" s="150" t="s">
        <v>24</v>
      </c>
      <c r="CS138" s="150">
        <v>6.3859000000000004</v>
      </c>
      <c r="CT138" s="290" t="s">
        <v>2552</v>
      </c>
      <c r="CU138" s="292" t="s">
        <v>2548</v>
      </c>
      <c r="CV138" s="278" t="s">
        <v>24</v>
      </c>
      <c r="CW138" s="279" t="s">
        <v>24</v>
      </c>
      <c r="CX138" s="149"/>
      <c r="CY138" s="150"/>
      <c r="CZ138" s="150"/>
      <c r="DA138" s="150"/>
      <c r="DB138" s="431"/>
      <c r="DC138" s="150"/>
      <c r="DD138" s="150"/>
      <c r="DE138" s="150"/>
      <c r="DF138" s="302"/>
      <c r="DG138" s="313"/>
      <c r="DH138" s="149"/>
      <c r="DI138" s="150"/>
      <c r="DJ138" s="150"/>
      <c r="DK138" s="150"/>
      <c r="DL138" s="149"/>
      <c r="DM138" s="150"/>
      <c r="DN138" s="150"/>
      <c r="DO138" s="150"/>
      <c r="DP138" s="302"/>
      <c r="DQ138" s="303"/>
      <c r="DR138" s="278"/>
      <c r="DS138" s="279"/>
      <c r="DT138" s="150"/>
      <c r="DU138" s="150"/>
      <c r="DV138" s="150"/>
      <c r="DW138" s="150"/>
      <c r="DX138" s="151"/>
      <c r="DY138" s="150"/>
      <c r="DZ138" s="150"/>
      <c r="EA138" s="150"/>
      <c r="EB138" s="303"/>
      <c r="EC138" s="303"/>
      <c r="ED138" s="151"/>
      <c r="EE138" s="150"/>
      <c r="EF138" s="150"/>
      <c r="EG138" s="150"/>
      <c r="EH138" s="151"/>
      <c r="EI138" s="150"/>
      <c r="EJ138" s="150"/>
      <c r="EK138" s="150"/>
      <c r="EL138" s="303"/>
      <c r="EM138" s="303"/>
      <c r="EN138" s="279"/>
      <c r="EO138" s="150"/>
      <c r="EP138" s="150"/>
      <c r="EQ138" s="150"/>
      <c r="ER138" s="150"/>
      <c r="ES138" s="150"/>
      <c r="ET138" s="150"/>
      <c r="EU138" s="150"/>
      <c r="EV138" s="150"/>
      <c r="EW138" s="303"/>
      <c r="EX138" s="303"/>
      <c r="EY138" s="150"/>
      <c r="EZ138" s="150"/>
      <c r="FA138" s="150"/>
      <c r="FB138" s="150"/>
      <c r="FC138" s="134"/>
      <c r="FD138" s="134"/>
      <c r="FE138" s="134"/>
      <c r="FF138" s="134"/>
      <c r="FG138" s="135"/>
      <c r="FH138" s="135"/>
      <c r="FI138" s="134"/>
      <c r="FJ138" s="134"/>
      <c r="FK138" s="134"/>
      <c r="FL138" s="134"/>
      <c r="FM138" s="134"/>
      <c r="FN138" s="134"/>
      <c r="FO138" s="134"/>
      <c r="FP138" s="134"/>
      <c r="FQ138" s="135"/>
      <c r="FR138" s="135"/>
      <c r="FS138" s="134"/>
      <c r="FT138" s="134"/>
      <c r="FU138" s="134"/>
      <c r="FV138" s="134"/>
      <c r="FW138" s="134"/>
      <c r="FX138" s="134"/>
      <c r="FY138" s="134"/>
      <c r="FZ138" s="134"/>
      <c r="GA138" s="135"/>
      <c r="GB138" s="135"/>
      <c r="GC138" s="134"/>
      <c r="GD138" s="134"/>
      <c r="GE138" s="134"/>
      <c r="GF138" s="134"/>
      <c r="GG138" s="134"/>
      <c r="GH138" s="134"/>
      <c r="GI138" s="134"/>
      <c r="GJ138" s="134"/>
      <c r="GK138" s="135"/>
      <c r="GL138" s="135"/>
      <c r="GM138" s="134"/>
      <c r="GN138" s="134"/>
      <c r="GO138" s="134"/>
      <c r="GP138" s="134"/>
      <c r="GQ138" s="134"/>
      <c r="GR138" s="134"/>
      <c r="GS138" s="134"/>
      <c r="GT138" s="134"/>
      <c r="GU138" s="135"/>
      <c r="GV138" s="135"/>
      <c r="GW138" s="134"/>
      <c r="GX138" s="134"/>
      <c r="GY138" s="134"/>
      <c r="GZ138" s="134"/>
      <c r="HA138" s="134"/>
      <c r="HB138" s="134"/>
      <c r="HC138" s="134"/>
      <c r="HD138" s="134"/>
      <c r="HE138" s="135"/>
      <c r="HF138" s="135"/>
      <c r="HG138" s="134"/>
      <c r="HH138" s="134"/>
      <c r="HI138" s="134"/>
      <c r="HJ138" s="134"/>
      <c r="HK138" s="134"/>
      <c r="HL138" s="134"/>
      <c r="HM138" s="134"/>
      <c r="HN138" s="134"/>
      <c r="HO138" s="135"/>
      <c r="HP138" s="135"/>
      <c r="HQ138" s="134"/>
      <c r="HR138" s="134"/>
      <c r="HS138" s="134"/>
      <c r="HT138" s="134"/>
      <c r="HU138" s="134"/>
      <c r="HV138" s="134"/>
      <c r="HW138" s="134"/>
      <c r="HX138" s="134"/>
      <c r="HY138" s="135"/>
      <c r="HZ138" s="135"/>
      <c r="IA138" s="134"/>
      <c r="IB138" s="134"/>
      <c r="IC138" s="134"/>
      <c r="ID138" s="134"/>
      <c r="IE138" s="134"/>
      <c r="IF138" s="134"/>
      <c r="IG138" s="134"/>
      <c r="IH138" s="134"/>
      <c r="II138" s="135"/>
      <c r="IJ138" s="135"/>
      <c r="IK138" s="134"/>
      <c r="IL138" s="134"/>
      <c r="IM138" s="134"/>
      <c r="IN138" s="134"/>
      <c r="IO138" s="134"/>
      <c r="IP138" s="134"/>
      <c r="IQ138" s="134"/>
      <c r="IR138" s="134"/>
      <c r="IS138" s="135"/>
      <c r="IT138" s="135"/>
      <c r="IU138" s="134"/>
      <c r="IV138" s="134"/>
      <c r="IW138" s="134"/>
      <c r="IX138" s="134"/>
      <c r="IY138" s="134"/>
      <c r="IZ138" s="134"/>
      <c r="JA138" s="134"/>
      <c r="JB138" s="134"/>
      <c r="JC138" s="135"/>
      <c r="JD138" s="135"/>
    </row>
    <row r="139" spans="1:264" customFormat="1" ht="15" customHeight="1">
      <c r="A139" s="128" t="s">
        <v>1111</v>
      </c>
      <c r="B139" s="614">
        <v>4</v>
      </c>
      <c r="C139" s="614"/>
      <c r="D139" s="614"/>
      <c r="E139" s="607" t="s">
        <v>2052</v>
      </c>
      <c r="F139" s="218" t="s">
        <v>2295</v>
      </c>
      <c r="G139" s="219">
        <v>2015</v>
      </c>
      <c r="H139" s="128">
        <v>25585683</v>
      </c>
      <c r="I139" s="128">
        <v>1</v>
      </c>
      <c r="J139" s="220">
        <v>1</v>
      </c>
      <c r="K139" s="221"/>
      <c r="L139" s="128">
        <v>1</v>
      </c>
      <c r="M139" s="128"/>
      <c r="N139" s="128">
        <v>1</v>
      </c>
      <c r="O139" s="128">
        <v>2</v>
      </c>
      <c r="P139" s="128" t="s">
        <v>1220</v>
      </c>
      <c r="Q139" s="128" t="s">
        <v>1232</v>
      </c>
      <c r="R139" s="128" t="s">
        <v>1138</v>
      </c>
      <c r="S139" s="128"/>
      <c r="T139" s="128" t="s">
        <v>1541</v>
      </c>
      <c r="U139" s="128" t="s">
        <v>23</v>
      </c>
      <c r="V139" s="128" t="s">
        <v>23</v>
      </c>
      <c r="W139" s="128" t="s">
        <v>1139</v>
      </c>
      <c r="X139" s="128" t="s">
        <v>24</v>
      </c>
      <c r="Y139" s="128" t="s">
        <v>1132</v>
      </c>
      <c r="Z139" s="128"/>
      <c r="AA139" s="128"/>
      <c r="AB139" s="128"/>
      <c r="AC139" s="466"/>
      <c r="AD139" s="573">
        <v>1</v>
      </c>
      <c r="AE139" s="573">
        <v>2</v>
      </c>
      <c r="AF139" s="154">
        <v>1</v>
      </c>
      <c r="AG139" s="155" t="s">
        <v>3316</v>
      </c>
      <c r="AH139" s="134">
        <v>5</v>
      </c>
      <c r="AI139" s="484"/>
      <c r="AJ139" s="213" t="s">
        <v>2484</v>
      </c>
      <c r="AK139" s="192">
        <v>1</v>
      </c>
      <c r="AL139" s="215"/>
      <c r="AM139" s="134">
        <v>14</v>
      </c>
      <c r="AN139" s="134">
        <v>7</v>
      </c>
      <c r="AO139" s="134">
        <v>7</v>
      </c>
      <c r="AP139" s="134" t="s">
        <v>803</v>
      </c>
      <c r="AQ139" s="134" t="s">
        <v>803</v>
      </c>
      <c r="AR139" s="134" t="s">
        <v>2468</v>
      </c>
      <c r="AS139" s="134" t="s">
        <v>24</v>
      </c>
      <c r="AT139" s="134" t="s">
        <v>2468</v>
      </c>
      <c r="AU139" s="134" t="s">
        <v>24</v>
      </c>
      <c r="AV139" s="134" t="s">
        <v>2474</v>
      </c>
      <c r="AW139" s="134">
        <v>1</v>
      </c>
      <c r="AX139" s="134" t="s">
        <v>3317</v>
      </c>
      <c r="AY139" s="134" t="s">
        <v>2473</v>
      </c>
      <c r="AZ139" s="134" t="s">
        <v>2603</v>
      </c>
      <c r="BA139" s="134" t="s">
        <v>2554</v>
      </c>
      <c r="BB139" s="594"/>
      <c r="BC139" s="594"/>
      <c r="BD139" s="156"/>
      <c r="BE139" s="156">
        <v>1</v>
      </c>
      <c r="BF139" s="156"/>
      <c r="BG139" s="156"/>
      <c r="BH139" s="156"/>
      <c r="BI139" s="156"/>
      <c r="BJ139" s="156"/>
      <c r="BK139" s="156"/>
      <c r="BL139" s="156"/>
      <c r="BM139" s="156"/>
      <c r="BN139" s="156"/>
      <c r="BO139" s="156"/>
      <c r="BP139" s="156"/>
      <c r="BQ139" s="597" t="s">
        <v>2544</v>
      </c>
      <c r="BR139" s="232"/>
      <c r="BS139" s="660"/>
      <c r="BT139" s="134" t="s">
        <v>1876</v>
      </c>
      <c r="BU139" s="134">
        <v>2</v>
      </c>
      <c r="BV139" s="134" t="s">
        <v>2467</v>
      </c>
      <c r="BW139" s="134" t="s">
        <v>2471</v>
      </c>
      <c r="BX139" s="134" t="s">
        <v>2660</v>
      </c>
      <c r="BY139" s="134"/>
      <c r="BZ139" s="259" t="s">
        <v>2492</v>
      </c>
      <c r="CA139" s="454"/>
      <c r="CB139" s="430" t="s">
        <v>2475</v>
      </c>
      <c r="CC139" s="222">
        <v>325.84589999999997</v>
      </c>
      <c r="CD139" s="222" t="s">
        <v>24</v>
      </c>
      <c r="CE139" s="134">
        <v>94.405100000000004</v>
      </c>
      <c r="CF139" s="430" t="s">
        <v>2476</v>
      </c>
      <c r="CG139" s="134">
        <v>97.234099999999998</v>
      </c>
      <c r="CH139" s="134" t="s">
        <v>24</v>
      </c>
      <c r="CI139" s="134">
        <v>26.803899999999999</v>
      </c>
      <c r="CJ139" s="288" t="s">
        <v>2479</v>
      </c>
      <c r="CK139" s="289" t="s">
        <v>2480</v>
      </c>
      <c r="CL139" s="430" t="s">
        <v>2477</v>
      </c>
      <c r="CM139" s="134">
        <v>418.31099999999998</v>
      </c>
      <c r="CN139" s="134" t="s">
        <v>24</v>
      </c>
      <c r="CO139" s="134">
        <v>65.265000000000001</v>
      </c>
      <c r="CP139" s="430" t="s">
        <v>2478</v>
      </c>
      <c r="CQ139" s="134">
        <v>54.4985</v>
      </c>
      <c r="CR139" s="134" t="s">
        <v>24</v>
      </c>
      <c r="CS139" s="134">
        <v>10.4907</v>
      </c>
      <c r="CT139" s="288" t="s">
        <v>2553</v>
      </c>
      <c r="CU139" s="289" t="s">
        <v>2481</v>
      </c>
      <c r="CV139" s="276" t="s">
        <v>2482</v>
      </c>
      <c r="CW139" s="308" t="s">
        <v>2483</v>
      </c>
      <c r="CX139" s="430"/>
      <c r="CY139" s="134"/>
      <c r="CZ139" s="134"/>
      <c r="DA139" s="134"/>
      <c r="DB139" s="426"/>
      <c r="DC139" s="134"/>
      <c r="DD139" s="168"/>
      <c r="DE139" s="134"/>
      <c r="DF139" s="304"/>
      <c r="DG139" s="312"/>
      <c r="DH139" s="134"/>
      <c r="DI139" s="134"/>
      <c r="DJ139" s="134"/>
      <c r="DK139" s="134"/>
      <c r="DL139" s="134"/>
      <c r="DM139" s="134"/>
      <c r="DN139" s="168"/>
      <c r="DO139" s="134"/>
      <c r="DP139" s="304"/>
      <c r="DQ139" s="312"/>
      <c r="DR139" s="276"/>
      <c r="DS139" s="277"/>
      <c r="DT139" s="134"/>
      <c r="DU139" s="134"/>
      <c r="DV139" s="134"/>
      <c r="DW139" s="134"/>
      <c r="DX139" s="138"/>
      <c r="DY139" s="134"/>
      <c r="DZ139" s="134"/>
      <c r="EA139" s="134"/>
      <c r="EB139" s="301"/>
      <c r="EC139" s="301"/>
      <c r="ED139" s="138"/>
      <c r="EE139" s="134"/>
      <c r="EF139" s="134"/>
      <c r="EG139" s="134"/>
      <c r="EH139" s="138"/>
      <c r="EI139" s="134"/>
      <c r="EJ139" s="134"/>
      <c r="EK139" s="134"/>
      <c r="EL139" s="301"/>
      <c r="EM139" s="301"/>
      <c r="EN139" s="277"/>
      <c r="EO139" s="134"/>
      <c r="EP139" s="134"/>
      <c r="EQ139" s="134"/>
      <c r="ER139" s="134"/>
      <c r="ES139" s="134"/>
      <c r="ET139" s="134"/>
      <c r="EU139" s="134"/>
      <c r="EV139" s="134"/>
      <c r="EW139" s="301"/>
      <c r="EX139" s="301"/>
      <c r="EY139" s="134"/>
      <c r="EZ139" s="134"/>
      <c r="FA139" s="134"/>
      <c r="FB139" s="134"/>
      <c r="FC139" s="134"/>
      <c r="FD139" s="134"/>
      <c r="FE139" s="134"/>
      <c r="FF139" s="134"/>
      <c r="FG139" s="135"/>
      <c r="FH139" s="135"/>
      <c r="FI139" s="134"/>
      <c r="FJ139" s="134"/>
      <c r="FK139" s="134"/>
      <c r="FL139" s="134"/>
      <c r="FM139" s="134"/>
      <c r="FN139" s="134"/>
      <c r="FO139" s="134"/>
      <c r="FP139" s="134"/>
      <c r="FQ139" s="135"/>
      <c r="FR139" s="135"/>
      <c r="FS139" s="134"/>
      <c r="FT139" s="134"/>
      <c r="FU139" s="134"/>
      <c r="FV139" s="134"/>
      <c r="FW139" s="134"/>
      <c r="FX139" s="134"/>
      <c r="FY139" s="134"/>
      <c r="FZ139" s="134"/>
      <c r="GA139" s="135"/>
      <c r="GB139" s="135"/>
      <c r="GC139" s="134"/>
      <c r="GD139" s="134"/>
      <c r="GE139" s="134"/>
      <c r="GF139" s="134"/>
      <c r="GG139" s="134"/>
      <c r="GH139" s="134"/>
      <c r="GI139" s="134"/>
      <c r="GJ139" s="134"/>
      <c r="GK139" s="135"/>
      <c r="GL139" s="135"/>
      <c r="GM139" s="134"/>
      <c r="GN139" s="134"/>
      <c r="GO139" s="134"/>
      <c r="GP139" s="134"/>
      <c r="GQ139" s="134"/>
      <c r="GR139" s="134"/>
      <c r="GS139" s="134"/>
      <c r="GT139" s="134"/>
      <c r="GU139" s="135"/>
      <c r="GV139" s="135"/>
      <c r="GW139" s="134"/>
      <c r="GX139" s="134"/>
      <c r="GY139" s="134"/>
      <c r="GZ139" s="134"/>
      <c r="HA139" s="134"/>
      <c r="HB139" s="134"/>
      <c r="HC139" s="134"/>
      <c r="HD139" s="134"/>
      <c r="HE139" s="135"/>
      <c r="HF139" s="135"/>
      <c r="HG139" s="134"/>
      <c r="HH139" s="134"/>
      <c r="HI139" s="134"/>
      <c r="HJ139" s="134"/>
      <c r="HK139" s="134"/>
      <c r="HL139" s="134"/>
      <c r="HM139" s="134"/>
      <c r="HN139" s="134"/>
      <c r="HO139" s="135"/>
      <c r="HP139" s="135"/>
      <c r="HQ139" s="134"/>
      <c r="HR139" s="134"/>
      <c r="HS139" s="134"/>
      <c r="HT139" s="134"/>
      <c r="HU139" s="134"/>
      <c r="HV139" s="134"/>
      <c r="HW139" s="134"/>
      <c r="HX139" s="134"/>
      <c r="HY139" s="135"/>
      <c r="HZ139" s="135"/>
      <c r="IA139" s="134"/>
      <c r="IB139" s="134"/>
      <c r="IC139" s="134"/>
      <c r="ID139" s="134"/>
      <c r="IE139" s="134"/>
      <c r="IF139" s="134"/>
      <c r="IG139" s="134"/>
      <c r="IH139" s="134"/>
      <c r="II139" s="135"/>
      <c r="IJ139" s="135"/>
      <c r="IK139" s="134"/>
      <c r="IL139" s="134"/>
      <c r="IM139" s="134"/>
      <c r="IN139" s="134"/>
      <c r="IO139" s="134"/>
      <c r="IP139" s="134"/>
      <c r="IQ139" s="134"/>
      <c r="IR139" s="134"/>
      <c r="IS139" s="135"/>
      <c r="IT139" s="135"/>
      <c r="IU139" s="134"/>
      <c r="IV139" s="134"/>
      <c r="IW139" s="134"/>
      <c r="IX139" s="134"/>
      <c r="IY139" s="134"/>
      <c r="IZ139" s="134"/>
      <c r="JA139" s="134"/>
      <c r="JB139" s="134"/>
      <c r="JC139" s="135"/>
      <c r="JD139" s="135"/>
    </row>
    <row r="140" spans="1:264" s="119" customFormat="1" ht="15" customHeight="1">
      <c r="A140" s="79" t="s">
        <v>1110</v>
      </c>
      <c r="B140" s="614">
        <v>5</v>
      </c>
      <c r="C140" s="614"/>
      <c r="D140" s="614"/>
      <c r="E140" s="604" t="s">
        <v>2053</v>
      </c>
      <c r="F140" s="124" t="s">
        <v>2296</v>
      </c>
      <c r="G140" s="125">
        <v>2014</v>
      </c>
      <c r="H140" s="79">
        <v>24808840</v>
      </c>
      <c r="I140" s="79">
        <v>1</v>
      </c>
      <c r="J140" s="126">
        <v>1</v>
      </c>
      <c r="K140" s="127"/>
      <c r="L140" s="79">
        <v>1</v>
      </c>
      <c r="M140" s="79"/>
      <c r="N140" s="153">
        <v>1</v>
      </c>
      <c r="O140" s="128">
        <v>2</v>
      </c>
      <c r="P140" s="79" t="s">
        <v>1220</v>
      </c>
      <c r="Q140" s="79" t="s">
        <v>1169</v>
      </c>
      <c r="R140" s="79" t="s">
        <v>1127</v>
      </c>
      <c r="S140" s="79"/>
      <c r="T140" s="79" t="s">
        <v>1544</v>
      </c>
      <c r="U140" s="79" t="s">
        <v>803</v>
      </c>
      <c r="V140" s="79"/>
      <c r="W140" s="79" t="s">
        <v>1140</v>
      </c>
      <c r="X140" s="79" t="s">
        <v>24</v>
      </c>
      <c r="Y140" s="79"/>
      <c r="Z140" s="79"/>
      <c r="AA140" s="79"/>
      <c r="AB140" s="79" t="s">
        <v>1141</v>
      </c>
      <c r="AC140" s="506"/>
      <c r="AD140" s="573">
        <v>1</v>
      </c>
      <c r="AE140" s="573">
        <v>2</v>
      </c>
      <c r="AF140" s="154">
        <v>1</v>
      </c>
      <c r="AG140" s="155" t="s">
        <v>24</v>
      </c>
      <c r="AH140" s="121">
        <v>4</v>
      </c>
      <c r="AI140" s="484"/>
      <c r="AJ140" s="202" t="s">
        <v>2564</v>
      </c>
      <c r="AK140" s="192">
        <v>2</v>
      </c>
      <c r="AL140" s="203"/>
      <c r="AM140" s="163">
        <f>8+7+9+9+9+8</f>
        <v>50</v>
      </c>
      <c r="AN140" s="121">
        <f>8+9+9</f>
        <v>26</v>
      </c>
      <c r="AO140" s="121">
        <f>7+9+8</f>
        <v>24</v>
      </c>
      <c r="AP140" s="121" t="s">
        <v>803</v>
      </c>
      <c r="AQ140" s="121" t="s">
        <v>803</v>
      </c>
      <c r="AR140" s="121" t="s">
        <v>2494</v>
      </c>
      <c r="AS140" s="121" t="s">
        <v>24</v>
      </c>
      <c r="AT140" s="121" t="s">
        <v>2494</v>
      </c>
      <c r="AU140" s="134" t="s">
        <v>24</v>
      </c>
      <c r="AV140" s="134" t="s">
        <v>2495</v>
      </c>
      <c r="AW140" s="134">
        <v>1</v>
      </c>
      <c r="AX140" s="134">
        <v>1</v>
      </c>
      <c r="AY140" s="134" t="s">
        <v>2496</v>
      </c>
      <c r="AZ140" s="121" t="s">
        <v>1130</v>
      </c>
      <c r="BA140" s="121" t="s">
        <v>2554</v>
      </c>
      <c r="BB140" s="594"/>
      <c r="BC140" s="594"/>
      <c r="BD140" s="156">
        <v>1</v>
      </c>
      <c r="BE140" s="156"/>
      <c r="BF140" s="156"/>
      <c r="BG140" s="156"/>
      <c r="BH140" s="156"/>
      <c r="BI140" s="156"/>
      <c r="BJ140" s="156"/>
      <c r="BK140" s="156"/>
      <c r="BL140" s="156"/>
      <c r="BM140" s="156"/>
      <c r="BN140" s="156"/>
      <c r="BO140" s="156"/>
      <c r="BP140" s="156"/>
      <c r="BQ140" s="595" t="s">
        <v>2493</v>
      </c>
      <c r="BR140" s="157" t="s">
        <v>6595</v>
      </c>
      <c r="BS140" s="660"/>
      <c r="BT140" s="134" t="s">
        <v>1876</v>
      </c>
      <c r="BU140" s="134">
        <v>2</v>
      </c>
      <c r="BV140" s="425" t="s">
        <v>2607</v>
      </c>
      <c r="BW140" s="134" t="s">
        <v>2471</v>
      </c>
      <c r="BX140" s="134" t="s">
        <v>2659</v>
      </c>
      <c r="BY140" s="134" t="s">
        <v>2659</v>
      </c>
      <c r="BZ140" s="259" t="s">
        <v>2556</v>
      </c>
      <c r="CA140" s="454" t="s">
        <v>6627</v>
      </c>
      <c r="CB140" s="138" t="s">
        <v>2498</v>
      </c>
      <c r="CC140" s="134">
        <v>19.633099999999999</v>
      </c>
      <c r="CD140" s="168" t="s">
        <v>24</v>
      </c>
      <c r="CE140" s="134">
        <f>26.7074-Table668[[#This Row],[Data_Outcome1_M]]</f>
        <v>7.0743000000000009</v>
      </c>
      <c r="CF140" s="138" t="s">
        <v>2497</v>
      </c>
      <c r="CG140" s="134">
        <v>1.22112</v>
      </c>
      <c r="CH140" s="134" t="s">
        <v>24</v>
      </c>
      <c r="CI140" s="134">
        <f>2.07855-CG140</f>
        <v>0.85742999999999991</v>
      </c>
      <c r="CJ140" s="288" t="s">
        <v>2561</v>
      </c>
      <c r="CK140" s="289" t="s">
        <v>2555</v>
      </c>
      <c r="CL140" s="138" t="s">
        <v>2502</v>
      </c>
      <c r="CM140" s="134">
        <v>5.0383600000000001E-2</v>
      </c>
      <c r="CN140" s="134" t="s">
        <v>24</v>
      </c>
      <c r="CO140" s="134">
        <f>0.371223-Table668[[#This Row],[Data_Outcome3_M]]</f>
        <v>0.3208394</v>
      </c>
      <c r="CP140" s="138" t="s">
        <v>2503</v>
      </c>
      <c r="CQ140" s="134" t="s">
        <v>2557</v>
      </c>
      <c r="CR140" s="134" t="s">
        <v>24</v>
      </c>
      <c r="CS140" s="134" t="s">
        <v>2558</v>
      </c>
      <c r="CT140" s="288" t="s">
        <v>2560</v>
      </c>
      <c r="CU140" s="289" t="s">
        <v>2480</v>
      </c>
      <c r="CV140" s="276" t="s">
        <v>24</v>
      </c>
      <c r="CW140" s="308" t="s">
        <v>24</v>
      </c>
      <c r="CX140" s="138" t="s">
        <v>2505</v>
      </c>
      <c r="CY140" s="134">
        <v>5.7611400000000001</v>
      </c>
      <c r="CZ140" s="134" t="s">
        <v>24</v>
      </c>
      <c r="DA140" s="134">
        <f>8.65499-Table668[[#This Row],[Data_Outcome5_M]]</f>
        <v>2.8938499999999996</v>
      </c>
      <c r="DB140" s="138" t="s">
        <v>2508</v>
      </c>
      <c r="DC140" s="134">
        <v>0.74659299999999995</v>
      </c>
      <c r="DD140" s="134" t="s">
        <v>24</v>
      </c>
      <c r="DE140" s="134">
        <f>1.17531-Table668[[#This Row],[Data_Outcome6_M]]</f>
        <v>0.42871700000000013</v>
      </c>
      <c r="DF140" s="300" t="s">
        <v>2559</v>
      </c>
      <c r="DG140" s="301" t="s">
        <v>2480</v>
      </c>
      <c r="DH140" s="168"/>
      <c r="DI140" s="134"/>
      <c r="DJ140" s="134"/>
      <c r="DK140" s="134"/>
      <c r="DL140" s="134"/>
      <c r="DM140" s="134"/>
      <c r="DN140" s="134"/>
      <c r="DO140" s="134"/>
      <c r="DP140" s="300"/>
      <c r="DQ140" s="301"/>
      <c r="DR140" s="276"/>
      <c r="DS140" s="277"/>
      <c r="DT140" s="134"/>
      <c r="DU140" s="134"/>
      <c r="DV140" s="134"/>
      <c r="DW140" s="134"/>
      <c r="DX140" s="138"/>
      <c r="DY140" s="134"/>
      <c r="DZ140" s="134"/>
      <c r="EA140" s="134"/>
      <c r="EB140" s="301"/>
      <c r="EC140" s="301"/>
      <c r="ED140" s="138"/>
      <c r="EE140" s="134"/>
      <c r="EF140" s="134"/>
      <c r="EG140" s="134"/>
      <c r="EH140" s="138"/>
      <c r="EI140" s="134"/>
      <c r="EJ140" s="134"/>
      <c r="EK140" s="134"/>
      <c r="EL140" s="301"/>
      <c r="EM140" s="301"/>
      <c r="EN140" s="277"/>
      <c r="EO140" s="134"/>
      <c r="EP140" s="134"/>
      <c r="EQ140" s="134"/>
      <c r="ER140" s="134"/>
      <c r="ES140" s="134"/>
      <c r="ET140" s="134"/>
      <c r="EU140" s="134"/>
      <c r="EV140" s="134"/>
      <c r="EW140" s="301"/>
      <c r="EX140" s="301"/>
      <c r="EY140" s="134"/>
      <c r="EZ140" s="134"/>
      <c r="FA140" s="134"/>
      <c r="FB140" s="134"/>
      <c r="FC140" s="134"/>
      <c r="FD140" s="134"/>
      <c r="FE140" s="134"/>
      <c r="FF140" s="134"/>
      <c r="FG140" s="135"/>
      <c r="FH140" s="135"/>
      <c r="FI140" s="134"/>
      <c r="FJ140" s="134"/>
      <c r="FK140" s="134"/>
      <c r="FL140" s="134"/>
      <c r="FM140" s="134"/>
      <c r="FN140" s="134"/>
      <c r="FO140" s="134"/>
      <c r="FP140" s="134"/>
      <c r="FQ140" s="135"/>
      <c r="FR140" s="135"/>
      <c r="FS140" s="134"/>
      <c r="FT140" s="134"/>
      <c r="FU140" s="134"/>
      <c r="FV140" s="134"/>
      <c r="FW140" s="134"/>
      <c r="FX140" s="134"/>
      <c r="FY140" s="134"/>
      <c r="FZ140" s="134"/>
      <c r="GA140" s="135"/>
      <c r="GB140" s="135"/>
      <c r="GC140" s="134"/>
      <c r="GD140" s="134"/>
      <c r="GE140" s="134"/>
      <c r="GF140" s="134"/>
      <c r="GG140" s="134"/>
      <c r="GH140" s="134"/>
      <c r="GI140" s="134"/>
      <c r="GJ140" s="134"/>
      <c r="GK140" s="135"/>
      <c r="GL140" s="135"/>
      <c r="GM140" s="134"/>
      <c r="GN140" s="134"/>
      <c r="GO140" s="134"/>
      <c r="GP140" s="134"/>
      <c r="GQ140" s="134"/>
      <c r="GR140" s="134"/>
      <c r="GS140" s="134"/>
      <c r="GT140" s="134"/>
      <c r="GU140" s="135"/>
      <c r="GV140" s="135"/>
      <c r="GW140" s="134"/>
      <c r="GX140" s="134"/>
      <c r="GY140" s="134"/>
      <c r="GZ140" s="134"/>
      <c r="HA140" s="134"/>
      <c r="HB140" s="134"/>
      <c r="HC140" s="134"/>
      <c r="HD140" s="134"/>
      <c r="HE140" s="135"/>
      <c r="HF140" s="135"/>
      <c r="HG140" s="134"/>
      <c r="HH140" s="134"/>
      <c r="HI140" s="134"/>
      <c r="HJ140" s="134"/>
      <c r="HK140" s="134"/>
      <c r="HL140" s="134"/>
      <c r="HM140" s="134"/>
      <c r="HN140" s="134"/>
      <c r="HO140" s="135"/>
      <c r="HP140" s="135"/>
      <c r="HQ140" s="134"/>
      <c r="HR140" s="134"/>
      <c r="HS140" s="134"/>
      <c r="HT140" s="134"/>
      <c r="HU140" s="134"/>
      <c r="HV140" s="134"/>
      <c r="HW140" s="134"/>
      <c r="HX140" s="134"/>
      <c r="HY140" s="135"/>
      <c r="HZ140" s="135"/>
      <c r="IA140" s="134"/>
      <c r="IB140" s="134"/>
      <c r="IC140" s="134"/>
      <c r="ID140" s="134"/>
      <c r="IE140" s="134"/>
      <c r="IF140" s="134"/>
      <c r="IG140" s="134"/>
      <c r="IH140" s="134"/>
      <c r="II140" s="135"/>
      <c r="IJ140" s="135"/>
      <c r="IK140" s="134"/>
      <c r="IL140" s="134"/>
      <c r="IM140" s="134"/>
      <c r="IN140" s="134"/>
      <c r="IO140" s="134"/>
      <c r="IP140" s="134"/>
      <c r="IQ140" s="134"/>
      <c r="IR140" s="134"/>
      <c r="IS140" s="135"/>
      <c r="IT140" s="135"/>
      <c r="IU140" s="134"/>
      <c r="IV140" s="134"/>
      <c r="IW140" s="134"/>
      <c r="IX140" s="134"/>
      <c r="IY140" s="134"/>
      <c r="IZ140" s="134"/>
      <c r="JA140" s="134"/>
      <c r="JB140" s="134"/>
      <c r="JC140" s="135"/>
      <c r="JD140" s="135"/>
    </row>
    <row r="141" spans="1:264" customFormat="1" ht="15" customHeight="1">
      <c r="A141" s="118" t="s">
        <v>1110</v>
      </c>
      <c r="B141" s="614">
        <v>5</v>
      </c>
      <c r="C141" s="614"/>
      <c r="D141" s="614"/>
      <c r="E141" s="605" t="s">
        <v>2053</v>
      </c>
      <c r="F141" s="140" t="s">
        <v>2296</v>
      </c>
      <c r="G141" s="141">
        <v>2014</v>
      </c>
      <c r="H141" s="118">
        <v>24808840</v>
      </c>
      <c r="I141" s="118">
        <v>1</v>
      </c>
      <c r="J141" s="118">
        <v>1</v>
      </c>
      <c r="K141" s="118"/>
      <c r="L141" s="118">
        <v>1</v>
      </c>
      <c r="M141" s="118"/>
      <c r="N141" s="158">
        <v>1</v>
      </c>
      <c r="O141" s="142">
        <v>2</v>
      </c>
      <c r="P141" s="118" t="s">
        <v>1220</v>
      </c>
      <c r="Q141" s="118" t="s">
        <v>1169</v>
      </c>
      <c r="R141" s="118" t="s">
        <v>1127</v>
      </c>
      <c r="S141" s="118"/>
      <c r="T141" s="118" t="s">
        <v>1544</v>
      </c>
      <c r="U141" s="118" t="s">
        <v>803</v>
      </c>
      <c r="V141" s="118"/>
      <c r="W141" s="118" t="s">
        <v>1140</v>
      </c>
      <c r="X141" s="118" t="s">
        <v>24</v>
      </c>
      <c r="Y141" s="118"/>
      <c r="Z141" s="118"/>
      <c r="AA141" s="118"/>
      <c r="AB141" s="118" t="s">
        <v>1141</v>
      </c>
      <c r="AC141" s="145"/>
      <c r="AD141" s="573">
        <v>1</v>
      </c>
      <c r="AE141" s="573">
        <v>2</v>
      </c>
      <c r="AF141" s="159">
        <v>1</v>
      </c>
      <c r="AG141" s="160" t="s">
        <v>24</v>
      </c>
      <c r="AH141" s="122">
        <v>4</v>
      </c>
      <c r="AI141" s="485"/>
      <c r="AJ141" s="204" t="s">
        <v>2564</v>
      </c>
      <c r="AK141" s="192">
        <v>2</v>
      </c>
      <c r="AL141" s="205"/>
      <c r="AM141" s="122" t="s">
        <v>2563</v>
      </c>
      <c r="AN141" s="500" t="s">
        <v>2562</v>
      </c>
      <c r="AO141" s="122" t="s">
        <v>2562</v>
      </c>
      <c r="AP141" s="122" t="s">
        <v>803</v>
      </c>
      <c r="AQ141" s="122" t="s">
        <v>803</v>
      </c>
      <c r="AR141" s="122" t="s">
        <v>2494</v>
      </c>
      <c r="AS141" s="122" t="s">
        <v>24</v>
      </c>
      <c r="AT141" s="122" t="s">
        <v>2494</v>
      </c>
      <c r="AU141" s="150" t="s">
        <v>24</v>
      </c>
      <c r="AV141" s="150" t="s">
        <v>2566</v>
      </c>
      <c r="AW141" s="150">
        <v>1</v>
      </c>
      <c r="AX141" s="150">
        <v>1</v>
      </c>
      <c r="AY141" s="150" t="s">
        <v>2496</v>
      </c>
      <c r="AZ141" s="122" t="s">
        <v>1130</v>
      </c>
      <c r="BA141" s="122" t="s">
        <v>2554</v>
      </c>
      <c r="BB141" s="588"/>
      <c r="BC141" s="588"/>
      <c r="BD141" s="161">
        <v>1</v>
      </c>
      <c r="BE141" s="161"/>
      <c r="BF141" s="161"/>
      <c r="BG141" s="161"/>
      <c r="BH141" s="161"/>
      <c r="BI141" s="161"/>
      <c r="BJ141" s="161"/>
      <c r="BK141" s="161"/>
      <c r="BL141" s="161"/>
      <c r="BM141" s="161"/>
      <c r="BN141" s="161"/>
      <c r="BO141" s="161"/>
      <c r="BP141" s="161"/>
      <c r="BQ141" s="596" t="s">
        <v>2567</v>
      </c>
      <c r="BR141" s="157" t="s">
        <v>6595</v>
      </c>
      <c r="BS141" s="660"/>
      <c r="BT141" s="150" t="s">
        <v>1876</v>
      </c>
      <c r="BU141" s="150">
        <v>2</v>
      </c>
      <c r="BV141" s="425" t="s">
        <v>2607</v>
      </c>
      <c r="BW141" s="150" t="s">
        <v>2471</v>
      </c>
      <c r="BX141" s="150" t="s">
        <v>2659</v>
      </c>
      <c r="BY141" s="134" t="s">
        <v>2659</v>
      </c>
      <c r="BZ141" s="258" t="s">
        <v>2597</v>
      </c>
      <c r="CA141" s="257" t="s">
        <v>6627</v>
      </c>
      <c r="CB141" s="428" t="s">
        <v>2568</v>
      </c>
      <c r="CC141" s="150">
        <v>65.384600000000006</v>
      </c>
      <c r="CD141" s="150" t="s">
        <v>24</v>
      </c>
      <c r="CE141" s="150">
        <f>76.0989-Table668[[#This Row],[Data_Outcome1_M]]</f>
        <v>10.714299999999994</v>
      </c>
      <c r="CF141" s="428" t="s">
        <v>2569</v>
      </c>
      <c r="CG141" s="150">
        <v>4.9450599999999998</v>
      </c>
      <c r="CH141" s="150" t="s">
        <v>24</v>
      </c>
      <c r="CI141" s="150">
        <f>7.41759-Table668[[#This Row],[Data_Outcome2_M]]</f>
        <v>2.4725299999999999</v>
      </c>
      <c r="CJ141" s="290" t="s">
        <v>2589</v>
      </c>
      <c r="CK141" s="291" t="s">
        <v>2588</v>
      </c>
      <c r="CL141" s="428" t="s">
        <v>2570</v>
      </c>
      <c r="CM141" s="150">
        <v>51.648299999999999</v>
      </c>
      <c r="CN141" s="150" t="s">
        <v>24</v>
      </c>
      <c r="CO141" s="150">
        <f>57.1429-Table668[[#This Row],[Data_Outcome3_M]]</f>
        <v>5.4945999999999984</v>
      </c>
      <c r="CP141" s="428" t="s">
        <v>2571</v>
      </c>
      <c r="CQ141" s="150">
        <v>2.7472500000000002</v>
      </c>
      <c r="CR141" s="150" t="s">
        <v>24</v>
      </c>
      <c r="CS141" s="150">
        <f>5.21978-Table668[[#This Row],[Data_Outcome4_M]]</f>
        <v>2.4725299999999999</v>
      </c>
      <c r="CT141" s="290" t="s">
        <v>2552</v>
      </c>
      <c r="CU141" s="291" t="s">
        <v>2588</v>
      </c>
      <c r="CV141" s="278" t="s">
        <v>24</v>
      </c>
      <c r="CW141" s="285" t="s">
        <v>24</v>
      </c>
      <c r="CX141" s="151" t="s">
        <v>2572</v>
      </c>
      <c r="CY141" s="150">
        <v>39.285699999999999</v>
      </c>
      <c r="CZ141" s="150" t="s">
        <v>24</v>
      </c>
      <c r="DA141" s="150">
        <f>44.7802-Table668[[#This Row],[Data_Outcome5_M]]</f>
        <v>5.4945000000000022</v>
      </c>
      <c r="DB141" s="151" t="s">
        <v>2573</v>
      </c>
      <c r="DC141" s="150">
        <v>1.9230799999999999</v>
      </c>
      <c r="DD141" s="150" t="s">
        <v>24</v>
      </c>
      <c r="DE141" s="150">
        <f>3.02198-Table668[[#This Row],[Data_Outcome6_M]]</f>
        <v>1.0989000000000002</v>
      </c>
      <c r="DF141" s="302" t="s">
        <v>2590</v>
      </c>
      <c r="DG141" s="303" t="s">
        <v>2591</v>
      </c>
      <c r="DH141" s="151" t="s">
        <v>2574</v>
      </c>
      <c r="DI141" s="150">
        <v>25</v>
      </c>
      <c r="DJ141" s="150" t="s">
        <v>24</v>
      </c>
      <c r="DK141" s="150">
        <f>27.4725-Table668[[#This Row],[Data_Outcome7_M]]</f>
        <v>2.4725000000000001</v>
      </c>
      <c r="DL141" s="151" t="s">
        <v>2575</v>
      </c>
      <c r="DM141" s="150">
        <v>6.5934100000000004</v>
      </c>
      <c r="DN141" s="150" t="s">
        <v>24</v>
      </c>
      <c r="DO141" s="150">
        <f>10.4396-Table668[[#This Row],[Data_Outcome8_M]]</f>
        <v>3.84619</v>
      </c>
      <c r="DP141" s="302" t="s">
        <v>2592</v>
      </c>
      <c r="DQ141" s="303" t="s">
        <v>2593</v>
      </c>
      <c r="DR141" s="278" t="s">
        <v>24</v>
      </c>
      <c r="DS141" s="279" t="s">
        <v>24</v>
      </c>
      <c r="DT141" s="151" t="s">
        <v>2580</v>
      </c>
      <c r="DU141" s="150">
        <v>25.549399999999999</v>
      </c>
      <c r="DV141" s="150" t="s">
        <v>24</v>
      </c>
      <c r="DW141" s="150">
        <f>30.4945-Table668[[#This Row],[Data_Outcome9_M]]</f>
        <v>4.9451000000000001</v>
      </c>
      <c r="DX141" s="151" t="s">
        <v>2585</v>
      </c>
      <c r="DY141" s="150">
        <v>3.5714299999999999</v>
      </c>
      <c r="DZ141" s="150" t="s">
        <v>24</v>
      </c>
      <c r="EA141" s="150">
        <f>4.3956-Table668[[#This Row],[Data_Outcome10_M]]</f>
        <v>0.82417000000000007</v>
      </c>
      <c r="EB141" s="303" t="s">
        <v>2594</v>
      </c>
      <c r="EC141" s="303" t="s">
        <v>2588</v>
      </c>
      <c r="ED141" s="151"/>
      <c r="EE141" s="150"/>
      <c r="EF141" s="150"/>
      <c r="EG141" s="150"/>
      <c r="EH141" s="151"/>
      <c r="EI141" s="150"/>
      <c r="EJ141" s="150"/>
      <c r="EK141" s="150"/>
      <c r="EL141" s="303"/>
      <c r="EM141" s="303"/>
      <c r="EN141" s="279"/>
      <c r="EO141" s="150"/>
      <c r="EP141" s="150"/>
      <c r="EQ141" s="150"/>
      <c r="ER141" s="150"/>
      <c r="ES141" s="150"/>
      <c r="ET141" s="150"/>
      <c r="EU141" s="150"/>
      <c r="EV141" s="150"/>
      <c r="EW141" s="303"/>
      <c r="EX141" s="303"/>
      <c r="EY141" s="150"/>
      <c r="EZ141" s="150"/>
      <c r="FA141" s="150"/>
      <c r="FB141" s="150"/>
      <c r="FC141" s="134"/>
      <c r="FD141" s="134"/>
      <c r="FE141" s="134"/>
      <c r="FF141" s="134"/>
      <c r="FG141" s="135"/>
      <c r="FH141" s="135"/>
      <c r="FI141" s="134"/>
      <c r="FJ141" s="134"/>
      <c r="FK141" s="134"/>
      <c r="FL141" s="134"/>
      <c r="FM141" s="134"/>
      <c r="FN141" s="134"/>
      <c r="FO141" s="134"/>
      <c r="FP141" s="134"/>
      <c r="FQ141" s="135"/>
      <c r="FR141" s="135"/>
      <c r="FS141" s="134"/>
      <c r="FT141" s="134"/>
      <c r="FU141" s="134"/>
      <c r="FV141" s="134"/>
      <c r="FW141" s="134"/>
      <c r="FX141" s="134"/>
      <c r="FY141" s="134"/>
      <c r="FZ141" s="134"/>
      <c r="GA141" s="135"/>
      <c r="GB141" s="135"/>
      <c r="GC141" s="134"/>
      <c r="GD141" s="134"/>
      <c r="GE141" s="134"/>
      <c r="GF141" s="134"/>
      <c r="GG141" s="134"/>
      <c r="GH141" s="134"/>
      <c r="GI141" s="134"/>
      <c r="GJ141" s="134"/>
      <c r="GK141" s="135"/>
      <c r="GL141" s="135"/>
      <c r="GM141" s="134"/>
      <c r="GN141" s="134"/>
      <c r="GO141" s="134"/>
      <c r="GP141" s="134"/>
      <c r="GQ141" s="134"/>
      <c r="GR141" s="134"/>
      <c r="GS141" s="134"/>
      <c r="GT141" s="134"/>
      <c r="GU141" s="135"/>
      <c r="GV141" s="135"/>
      <c r="GW141" s="134"/>
      <c r="GX141" s="134"/>
      <c r="GY141" s="134"/>
      <c r="GZ141" s="134"/>
      <c r="HA141" s="134"/>
      <c r="HB141" s="134"/>
      <c r="HC141" s="134"/>
      <c r="HD141" s="134"/>
      <c r="HE141" s="135"/>
      <c r="HF141" s="135"/>
      <c r="HG141" s="134"/>
      <c r="HH141" s="134"/>
      <c r="HI141" s="134"/>
      <c r="HJ141" s="134"/>
      <c r="HK141" s="134"/>
      <c r="HL141" s="134"/>
      <c r="HM141" s="134"/>
      <c r="HN141" s="134"/>
      <c r="HO141" s="135"/>
      <c r="HP141" s="135"/>
      <c r="HQ141" s="134"/>
      <c r="HR141" s="134"/>
      <c r="HS141" s="134"/>
      <c r="HT141" s="134"/>
      <c r="HU141" s="134"/>
      <c r="HV141" s="134"/>
      <c r="HW141" s="134"/>
      <c r="HX141" s="134"/>
      <c r="HY141" s="135"/>
      <c r="HZ141" s="135"/>
      <c r="IA141" s="134"/>
      <c r="IB141" s="134"/>
      <c r="IC141" s="134"/>
      <c r="ID141" s="134"/>
      <c r="IE141" s="134"/>
      <c r="IF141" s="134"/>
      <c r="IG141" s="134"/>
      <c r="IH141" s="134"/>
      <c r="II141" s="135"/>
      <c r="IJ141" s="135"/>
      <c r="IK141" s="134"/>
      <c r="IL141" s="134"/>
      <c r="IM141" s="134"/>
      <c r="IN141" s="134"/>
      <c r="IO141" s="134"/>
      <c r="IP141" s="134"/>
      <c r="IQ141" s="134"/>
      <c r="IR141" s="134"/>
      <c r="IS141" s="135"/>
      <c r="IT141" s="135"/>
      <c r="IU141" s="134"/>
      <c r="IV141" s="134"/>
      <c r="IW141" s="134"/>
      <c r="IX141" s="134"/>
      <c r="IY141" s="134"/>
      <c r="IZ141" s="134"/>
      <c r="JA141" s="134"/>
      <c r="JB141" s="134"/>
      <c r="JC141" s="135"/>
      <c r="JD141" s="135"/>
    </row>
    <row r="142" spans="1:264" customFormat="1" ht="15" customHeight="1">
      <c r="A142" s="118" t="s">
        <v>1110</v>
      </c>
      <c r="B142" s="614">
        <v>5</v>
      </c>
      <c r="C142" s="614"/>
      <c r="D142" s="614"/>
      <c r="E142" s="605" t="s">
        <v>2053</v>
      </c>
      <c r="F142" s="140" t="s">
        <v>2296</v>
      </c>
      <c r="G142" s="141">
        <v>2014</v>
      </c>
      <c r="H142" s="118">
        <v>24808840</v>
      </c>
      <c r="I142" s="118">
        <v>1</v>
      </c>
      <c r="J142" s="118">
        <v>1</v>
      </c>
      <c r="K142" s="118"/>
      <c r="L142" s="118">
        <v>1</v>
      </c>
      <c r="M142" s="118"/>
      <c r="N142" s="158">
        <v>1</v>
      </c>
      <c r="O142" s="142">
        <v>2</v>
      </c>
      <c r="P142" s="118" t="s">
        <v>1220</v>
      </c>
      <c r="Q142" s="118" t="s">
        <v>1169</v>
      </c>
      <c r="R142" s="118" t="s">
        <v>1127</v>
      </c>
      <c r="S142" s="118"/>
      <c r="T142" s="118" t="s">
        <v>1544</v>
      </c>
      <c r="U142" s="118" t="s">
        <v>803</v>
      </c>
      <c r="V142" s="118"/>
      <c r="W142" s="118" t="s">
        <v>1140</v>
      </c>
      <c r="X142" s="118" t="s">
        <v>24</v>
      </c>
      <c r="Y142" s="118"/>
      <c r="Z142" s="118"/>
      <c r="AA142" s="118"/>
      <c r="AB142" s="118" t="s">
        <v>1141</v>
      </c>
      <c r="AC142" s="145"/>
      <c r="AD142" s="573">
        <v>1</v>
      </c>
      <c r="AE142" s="573">
        <v>2</v>
      </c>
      <c r="AF142" s="159">
        <v>1</v>
      </c>
      <c r="AG142" s="160" t="s">
        <v>24</v>
      </c>
      <c r="AH142" s="122">
        <v>4</v>
      </c>
      <c r="AI142" s="485"/>
      <c r="AJ142" s="204" t="s">
        <v>2564</v>
      </c>
      <c r="AK142" s="192">
        <v>2</v>
      </c>
      <c r="AL142" s="205"/>
      <c r="AM142" s="122" t="s">
        <v>2563</v>
      </c>
      <c r="AN142" s="500" t="s">
        <v>2562</v>
      </c>
      <c r="AO142" s="122" t="s">
        <v>2562</v>
      </c>
      <c r="AP142" s="122" t="s">
        <v>803</v>
      </c>
      <c r="AQ142" s="122" t="s">
        <v>803</v>
      </c>
      <c r="AR142" s="122" t="s">
        <v>2494</v>
      </c>
      <c r="AS142" s="122" t="s">
        <v>24</v>
      </c>
      <c r="AT142" s="122" t="s">
        <v>2494</v>
      </c>
      <c r="AU142" s="150" t="s">
        <v>24</v>
      </c>
      <c r="AV142" s="150" t="s">
        <v>2565</v>
      </c>
      <c r="AW142" s="150">
        <v>1</v>
      </c>
      <c r="AX142" s="150">
        <v>1</v>
      </c>
      <c r="AY142" s="150" t="s">
        <v>2496</v>
      </c>
      <c r="AZ142" s="122" t="s">
        <v>1130</v>
      </c>
      <c r="BA142" s="122" t="s">
        <v>2554</v>
      </c>
      <c r="BB142" s="588"/>
      <c r="BC142" s="588"/>
      <c r="BD142" s="161">
        <v>1</v>
      </c>
      <c r="BE142" s="161"/>
      <c r="BF142" s="161"/>
      <c r="BG142" s="161"/>
      <c r="BH142" s="161"/>
      <c r="BI142" s="161"/>
      <c r="BJ142" s="161"/>
      <c r="BK142" s="161"/>
      <c r="BL142" s="161"/>
      <c r="BM142" s="161"/>
      <c r="BN142" s="161"/>
      <c r="BO142" s="161"/>
      <c r="BP142" s="161"/>
      <c r="BQ142" s="596" t="s">
        <v>2493</v>
      </c>
      <c r="BR142" s="157" t="s">
        <v>6595</v>
      </c>
      <c r="BS142" s="660"/>
      <c r="BT142" s="150" t="s">
        <v>1876</v>
      </c>
      <c r="BU142" s="150">
        <v>2</v>
      </c>
      <c r="BV142" s="425" t="s">
        <v>2607</v>
      </c>
      <c r="BW142" s="150" t="s">
        <v>2471</v>
      </c>
      <c r="BX142" s="150" t="s">
        <v>2659</v>
      </c>
      <c r="BY142" s="134" t="s">
        <v>2659</v>
      </c>
      <c r="BZ142" s="258" t="s">
        <v>2598</v>
      </c>
      <c r="CA142" s="257" t="s">
        <v>6627</v>
      </c>
      <c r="CB142" s="428" t="s">
        <v>2499</v>
      </c>
      <c r="CC142" s="150">
        <v>47.677100000000003</v>
      </c>
      <c r="CD142" s="150" t="s">
        <v>24</v>
      </c>
      <c r="CE142" s="150">
        <f>53.688-Table668[[#This Row],[Data_Outcome1_M]]</f>
        <v>6.0108999999999995</v>
      </c>
      <c r="CF142" s="428" t="s">
        <v>2500</v>
      </c>
      <c r="CG142" s="150">
        <v>3.9129200000000002</v>
      </c>
      <c r="CH142" s="150" t="s">
        <v>24</v>
      </c>
      <c r="CI142" s="150">
        <f>5.82549-Table668[[#This Row],[Data_Outcome2_M]]</f>
        <v>1.9125700000000001</v>
      </c>
      <c r="CJ142" s="290" t="s">
        <v>2561</v>
      </c>
      <c r="CK142" s="291" t="s">
        <v>2588</v>
      </c>
      <c r="CL142" s="428" t="s">
        <v>2501</v>
      </c>
      <c r="CM142" s="150">
        <v>27.619299999999999</v>
      </c>
      <c r="CN142" s="150" t="s">
        <v>24</v>
      </c>
      <c r="CO142" s="150">
        <f>35.5448-Table668[[#This Row],[Data_Outcome3_M]]</f>
        <v>7.9255000000000031</v>
      </c>
      <c r="CP142" s="428" t="s">
        <v>2504</v>
      </c>
      <c r="CQ142" s="150">
        <v>5.9852800000000004</v>
      </c>
      <c r="CR142" s="150" t="s">
        <v>24</v>
      </c>
      <c r="CS142" s="150">
        <f>8.44529-Table668[[#This Row],[Data_Outcome4_M]]</f>
        <v>2.4600099999999996</v>
      </c>
      <c r="CT142" s="290" t="s">
        <v>2595</v>
      </c>
      <c r="CU142" s="291" t="s">
        <v>2555</v>
      </c>
      <c r="CV142" s="278" t="s">
        <v>24</v>
      </c>
      <c r="CW142" s="285" t="s">
        <v>24</v>
      </c>
      <c r="CX142" s="151" t="s">
        <v>2506</v>
      </c>
      <c r="CY142" s="150">
        <v>54.555999999999997</v>
      </c>
      <c r="CZ142" s="150" t="s">
        <v>24</v>
      </c>
      <c r="DA142" s="150">
        <f>60.567-Table668[[#This Row],[Data_Outcome5_M]]</f>
        <v>6.0110000000000028</v>
      </c>
      <c r="DB142" s="151" t="s">
        <v>2507</v>
      </c>
      <c r="DC142" s="150">
        <v>4.7819099999999999</v>
      </c>
      <c r="DD142" s="150" t="s">
        <v>24</v>
      </c>
      <c r="DE142" s="150">
        <f>6.14803-Table668[[#This Row],[Data_Outcome6_M]]</f>
        <v>1.3661200000000004</v>
      </c>
      <c r="DF142" s="302" t="s">
        <v>2596</v>
      </c>
      <c r="DG142" s="303" t="s">
        <v>2588</v>
      </c>
      <c r="DH142" s="228" t="s">
        <v>24</v>
      </c>
      <c r="DI142" s="150" t="s">
        <v>24</v>
      </c>
      <c r="DJ142" s="150" t="s">
        <v>24</v>
      </c>
      <c r="DK142" s="150" t="s">
        <v>24</v>
      </c>
      <c r="DL142" s="150" t="s">
        <v>24</v>
      </c>
      <c r="DM142" s="150" t="s">
        <v>24</v>
      </c>
      <c r="DN142" s="150" t="s">
        <v>24</v>
      </c>
      <c r="DO142" s="150" t="s">
        <v>24</v>
      </c>
      <c r="DP142" s="302" t="s">
        <v>24</v>
      </c>
      <c r="DQ142" s="303" t="s">
        <v>24</v>
      </c>
      <c r="DR142" s="278" t="s">
        <v>24</v>
      </c>
      <c r="DS142" s="279" t="s">
        <v>24</v>
      </c>
      <c r="DT142" s="150" t="s">
        <v>24</v>
      </c>
      <c r="DU142" s="150" t="s">
        <v>24</v>
      </c>
      <c r="DV142" s="150" t="s">
        <v>24</v>
      </c>
      <c r="DW142" s="150" t="s">
        <v>24</v>
      </c>
      <c r="DX142" s="151" t="s">
        <v>24</v>
      </c>
      <c r="DY142" s="150" t="s">
        <v>24</v>
      </c>
      <c r="DZ142" s="150" t="s">
        <v>24</v>
      </c>
      <c r="EA142" s="150" t="s">
        <v>24</v>
      </c>
      <c r="EB142" s="303" t="s">
        <v>24</v>
      </c>
      <c r="EC142" s="303" t="s">
        <v>24</v>
      </c>
      <c r="ED142" s="151"/>
      <c r="EE142" s="150"/>
      <c r="EF142" s="150"/>
      <c r="EG142" s="150"/>
      <c r="EH142" s="151"/>
      <c r="EI142" s="150"/>
      <c r="EJ142" s="150"/>
      <c r="EK142" s="150"/>
      <c r="EL142" s="303"/>
      <c r="EM142" s="303"/>
      <c r="EN142" s="279"/>
      <c r="EO142" s="150"/>
      <c r="EP142" s="150"/>
      <c r="EQ142" s="150"/>
      <c r="ER142" s="150"/>
      <c r="ES142" s="150"/>
      <c r="ET142" s="150"/>
      <c r="EU142" s="150"/>
      <c r="EV142" s="150"/>
      <c r="EW142" s="303"/>
      <c r="EX142" s="303"/>
      <c r="EY142" s="150"/>
      <c r="EZ142" s="150"/>
      <c r="FA142" s="150"/>
      <c r="FB142" s="150"/>
      <c r="FC142" s="134"/>
      <c r="FD142" s="134"/>
      <c r="FE142" s="134"/>
      <c r="FF142" s="134"/>
      <c r="FG142" s="135"/>
      <c r="FH142" s="135"/>
      <c r="FI142" s="134"/>
      <c r="FJ142" s="134"/>
      <c r="FK142" s="134"/>
      <c r="FL142" s="134"/>
      <c r="FM142" s="134"/>
      <c r="FN142" s="134"/>
      <c r="FO142" s="134"/>
      <c r="FP142" s="134"/>
      <c r="FQ142" s="135"/>
      <c r="FR142" s="135"/>
      <c r="FS142" s="134"/>
      <c r="FT142" s="134"/>
      <c r="FU142" s="134"/>
      <c r="FV142" s="134"/>
      <c r="FW142" s="134"/>
      <c r="FX142" s="134"/>
      <c r="FY142" s="134"/>
      <c r="FZ142" s="134"/>
      <c r="GA142" s="135"/>
      <c r="GB142" s="135"/>
      <c r="GC142" s="134"/>
      <c r="GD142" s="134"/>
      <c r="GE142" s="134"/>
      <c r="GF142" s="134"/>
      <c r="GG142" s="134"/>
      <c r="GH142" s="134"/>
      <c r="GI142" s="134"/>
      <c r="GJ142" s="134"/>
      <c r="GK142" s="135"/>
      <c r="GL142" s="135"/>
      <c r="GM142" s="134"/>
      <c r="GN142" s="134"/>
      <c r="GO142" s="134"/>
      <c r="GP142" s="134"/>
      <c r="GQ142" s="134"/>
      <c r="GR142" s="134"/>
      <c r="GS142" s="134"/>
      <c r="GT142" s="134"/>
      <c r="GU142" s="135"/>
      <c r="GV142" s="135"/>
      <c r="GW142" s="134"/>
      <c r="GX142" s="134"/>
      <c r="GY142" s="134"/>
      <c r="GZ142" s="134"/>
      <c r="HA142" s="134"/>
      <c r="HB142" s="134"/>
      <c r="HC142" s="134"/>
      <c r="HD142" s="134"/>
      <c r="HE142" s="135"/>
      <c r="HF142" s="135"/>
      <c r="HG142" s="134"/>
      <c r="HH142" s="134"/>
      <c r="HI142" s="134"/>
      <c r="HJ142" s="134"/>
      <c r="HK142" s="134"/>
      <c r="HL142" s="134"/>
      <c r="HM142" s="134"/>
      <c r="HN142" s="134"/>
      <c r="HO142" s="135"/>
      <c r="HP142" s="135"/>
      <c r="HQ142" s="134"/>
      <c r="HR142" s="134"/>
      <c r="HS142" s="134"/>
      <c r="HT142" s="134"/>
      <c r="HU142" s="134"/>
      <c r="HV142" s="134"/>
      <c r="HW142" s="134"/>
      <c r="HX142" s="134"/>
      <c r="HY142" s="135"/>
      <c r="HZ142" s="135"/>
      <c r="IA142" s="134"/>
      <c r="IB142" s="134"/>
      <c r="IC142" s="134"/>
      <c r="ID142" s="134"/>
      <c r="IE142" s="134"/>
      <c r="IF142" s="134"/>
      <c r="IG142" s="134"/>
      <c r="IH142" s="134"/>
      <c r="II142" s="135"/>
      <c r="IJ142" s="135"/>
      <c r="IK142" s="134"/>
      <c r="IL142" s="134"/>
      <c r="IM142" s="134"/>
      <c r="IN142" s="134"/>
      <c r="IO142" s="134"/>
      <c r="IP142" s="134"/>
      <c r="IQ142" s="134"/>
      <c r="IR142" s="134"/>
      <c r="IS142" s="135"/>
      <c r="IT142" s="135"/>
      <c r="IU142" s="134"/>
      <c r="IV142" s="134"/>
      <c r="IW142" s="134"/>
      <c r="IX142" s="134"/>
      <c r="IY142" s="134"/>
      <c r="IZ142" s="134"/>
      <c r="JA142" s="134"/>
      <c r="JB142" s="134"/>
      <c r="JC142" s="135"/>
      <c r="JD142" s="135"/>
    </row>
    <row r="143" spans="1:264" customFormat="1" ht="15" customHeight="1">
      <c r="A143" s="79" t="s">
        <v>97</v>
      </c>
      <c r="B143" s="362">
        <v>72</v>
      </c>
      <c r="C143" s="362">
        <v>6</v>
      </c>
      <c r="D143" s="362"/>
      <c r="E143" s="604" t="s">
        <v>1928</v>
      </c>
      <c r="F143" s="124" t="s">
        <v>2145</v>
      </c>
      <c r="G143" s="125">
        <v>2009</v>
      </c>
      <c r="H143" s="79">
        <v>19485102</v>
      </c>
      <c r="I143" s="79">
        <v>1</v>
      </c>
      <c r="J143" s="126"/>
      <c r="K143" s="127"/>
      <c r="L143" s="79">
        <v>1</v>
      </c>
      <c r="M143" s="79"/>
      <c r="N143" s="79">
        <v>1</v>
      </c>
      <c r="O143" s="128">
        <v>1</v>
      </c>
      <c r="P143" s="79" t="s">
        <v>64</v>
      </c>
      <c r="Q143" s="79" t="s">
        <v>1173</v>
      </c>
      <c r="R143" s="79" t="s">
        <v>62</v>
      </c>
      <c r="S143" s="79">
        <v>0</v>
      </c>
      <c r="T143" s="79"/>
      <c r="U143" s="79"/>
      <c r="V143" s="79"/>
      <c r="W143" s="79" t="s">
        <v>63</v>
      </c>
      <c r="X143" s="79" t="s">
        <v>56</v>
      </c>
      <c r="Y143" s="79"/>
      <c r="Z143" s="79"/>
      <c r="AA143" s="79"/>
      <c r="AB143" s="79" t="s">
        <v>65</v>
      </c>
      <c r="AC143" s="506"/>
      <c r="AD143" s="573">
        <v>1</v>
      </c>
      <c r="AE143" s="573">
        <v>2</v>
      </c>
      <c r="AF143" s="165">
        <v>0</v>
      </c>
      <c r="AG143" s="166" t="s">
        <v>3848</v>
      </c>
      <c r="AH143" s="509">
        <v>2</v>
      </c>
      <c r="AI143" s="509"/>
      <c r="AJ143" s="512" t="s">
        <v>3837</v>
      </c>
      <c r="AK143" s="513" t="s">
        <v>3838</v>
      </c>
      <c r="AL143" s="514" t="s">
        <v>24</v>
      </c>
      <c r="AM143" s="509" t="s">
        <v>3839</v>
      </c>
      <c r="AN143" s="635">
        <v>13</v>
      </c>
      <c r="AO143" s="509" t="s">
        <v>3832</v>
      </c>
      <c r="AP143" s="509" t="s">
        <v>3833</v>
      </c>
      <c r="AQ143" s="509" t="s">
        <v>24</v>
      </c>
      <c r="AR143" s="536">
        <v>55.2</v>
      </c>
      <c r="AS143" s="509">
        <v>5.3</v>
      </c>
      <c r="AT143" s="509" t="s">
        <v>24</v>
      </c>
      <c r="AU143" s="509" t="s">
        <v>24</v>
      </c>
      <c r="AV143" s="509" t="s">
        <v>3834</v>
      </c>
      <c r="AW143" s="509" t="s">
        <v>24</v>
      </c>
      <c r="AX143" s="509" t="s">
        <v>24</v>
      </c>
      <c r="AY143" s="509" t="s">
        <v>24</v>
      </c>
      <c r="AZ143" s="509" t="s">
        <v>3835</v>
      </c>
      <c r="BA143" s="509" t="s">
        <v>3836</v>
      </c>
      <c r="BB143" s="598"/>
      <c r="BC143" s="598"/>
      <c r="BD143" s="511"/>
      <c r="BE143" s="511"/>
      <c r="BF143" s="511" t="s">
        <v>3840</v>
      </c>
      <c r="BG143" s="511"/>
      <c r="BH143" s="511"/>
      <c r="BI143" s="511"/>
      <c r="BJ143" s="511">
        <v>1</v>
      </c>
      <c r="BK143" s="511"/>
      <c r="BL143" s="511"/>
      <c r="BM143" s="511"/>
      <c r="BN143" s="511"/>
      <c r="BO143" s="511"/>
      <c r="BP143" s="511" t="s">
        <v>3840</v>
      </c>
      <c r="BQ143" s="511" t="s">
        <v>3843</v>
      </c>
      <c r="BR143" s="510"/>
      <c r="BS143" s="660"/>
      <c r="BT143" s="509" t="s">
        <v>3849</v>
      </c>
      <c r="BU143" s="509" t="s">
        <v>3841</v>
      </c>
      <c r="BV143" s="538" t="s">
        <v>3842</v>
      </c>
      <c r="BW143" s="509" t="s">
        <v>24</v>
      </c>
      <c r="BX143" s="509" t="s">
        <v>3845</v>
      </c>
      <c r="BY143" s="509"/>
      <c r="BZ143" s="515" t="s">
        <v>3847</v>
      </c>
      <c r="CA143" s="621">
        <v>0</v>
      </c>
      <c r="CB143" s="430" t="s">
        <v>3844</v>
      </c>
      <c r="CC143" s="134">
        <v>40.299999999999997</v>
      </c>
      <c r="CD143" s="134" t="s">
        <v>3846</v>
      </c>
      <c r="CE143" s="134"/>
      <c r="CF143" s="430" t="s">
        <v>24</v>
      </c>
      <c r="CG143" s="134" t="s">
        <v>24</v>
      </c>
      <c r="CH143" s="134" t="s">
        <v>24</v>
      </c>
      <c r="CI143" s="134" t="s">
        <v>24</v>
      </c>
      <c r="CJ143" s="288" t="s">
        <v>23</v>
      </c>
      <c r="CK143" s="289"/>
      <c r="CL143" s="430"/>
      <c r="CM143" s="134"/>
      <c r="CN143" s="134"/>
      <c r="CO143" s="134"/>
      <c r="CP143" s="430"/>
      <c r="CQ143" s="134"/>
      <c r="CR143" s="134"/>
      <c r="CS143" s="134"/>
      <c r="CT143" s="288"/>
      <c r="CU143" s="289"/>
      <c r="CV143" s="276"/>
      <c r="CW143" s="308"/>
      <c r="CX143" s="138"/>
      <c r="CY143" s="134"/>
      <c r="CZ143" s="134"/>
      <c r="DA143" s="134"/>
      <c r="DB143" s="134"/>
      <c r="DC143" s="134"/>
      <c r="DD143" s="134"/>
      <c r="DE143" s="134"/>
      <c r="DF143" s="300"/>
      <c r="DG143" s="301"/>
      <c r="DH143" s="134"/>
      <c r="DI143" s="134"/>
      <c r="DJ143" s="134"/>
      <c r="DK143" s="134"/>
      <c r="DL143" s="134"/>
      <c r="DM143" s="134"/>
      <c r="DN143" s="134"/>
      <c r="DO143" s="134"/>
      <c r="DP143" s="300"/>
      <c r="DQ143" s="301"/>
      <c r="DR143" s="276"/>
      <c r="DS143" s="277"/>
      <c r="DT143" s="134"/>
      <c r="DU143" s="134"/>
      <c r="DV143" s="134"/>
      <c r="DW143" s="134"/>
      <c r="DX143" s="138"/>
      <c r="DY143" s="134"/>
      <c r="DZ143" s="134"/>
      <c r="EA143" s="134"/>
      <c r="EB143" s="301"/>
      <c r="EC143" s="301"/>
      <c r="ED143" s="138"/>
      <c r="EE143" s="134"/>
      <c r="EF143" s="134"/>
      <c r="EG143" s="134"/>
      <c r="EH143" s="138"/>
      <c r="EI143" s="134"/>
      <c r="EJ143" s="134"/>
      <c r="EK143" s="134"/>
      <c r="EL143" s="301"/>
      <c r="EM143" s="301"/>
      <c r="EN143" s="277"/>
      <c r="EO143" s="134"/>
      <c r="EP143" s="134"/>
      <c r="EQ143" s="134"/>
      <c r="ER143" s="134"/>
      <c r="ES143" s="134"/>
      <c r="ET143" s="134"/>
      <c r="EU143" s="134"/>
      <c r="EV143" s="134"/>
      <c r="EW143" s="301"/>
      <c r="EX143" s="301"/>
      <c r="EY143" s="134"/>
      <c r="EZ143" s="134"/>
      <c r="FA143" s="134"/>
      <c r="FB143" s="134"/>
      <c r="FC143" s="134"/>
      <c r="FD143" s="134"/>
      <c r="FE143" s="134"/>
      <c r="FF143" s="134"/>
      <c r="FG143" s="135"/>
      <c r="FH143" s="135"/>
      <c r="FI143" s="134"/>
      <c r="FJ143" s="134"/>
      <c r="FK143" s="134"/>
      <c r="FL143" s="134"/>
      <c r="FM143" s="134"/>
      <c r="FN143" s="134"/>
      <c r="FO143" s="134"/>
      <c r="FP143" s="134"/>
      <c r="FQ143" s="135"/>
      <c r="FR143" s="135"/>
      <c r="FS143" s="134"/>
      <c r="FT143" s="134"/>
      <c r="FU143" s="134"/>
      <c r="FV143" s="134"/>
      <c r="FW143" s="134"/>
      <c r="FX143" s="134"/>
      <c r="FY143" s="134"/>
      <c r="FZ143" s="134"/>
      <c r="GA143" s="135"/>
      <c r="GB143" s="135"/>
      <c r="GC143" s="134"/>
      <c r="GD143" s="134"/>
      <c r="GE143" s="134"/>
      <c r="GF143" s="134"/>
      <c r="GG143" s="134"/>
      <c r="GH143" s="134"/>
      <c r="GI143" s="134"/>
      <c r="GJ143" s="134"/>
      <c r="GK143" s="135"/>
      <c r="GL143" s="135"/>
      <c r="GM143" s="134"/>
      <c r="GN143" s="134"/>
      <c r="GO143" s="134"/>
      <c r="GP143" s="134"/>
      <c r="GQ143" s="134"/>
      <c r="GR143" s="134"/>
      <c r="GS143" s="134"/>
      <c r="GT143" s="134"/>
      <c r="GU143" s="135"/>
      <c r="GV143" s="135"/>
      <c r="GW143" s="134"/>
      <c r="GX143" s="134"/>
      <c r="GY143" s="134"/>
      <c r="GZ143" s="134"/>
      <c r="HA143" s="134"/>
      <c r="HB143" s="134"/>
      <c r="HC143" s="134"/>
      <c r="HD143" s="134"/>
      <c r="HE143" s="135"/>
      <c r="HF143" s="135"/>
      <c r="HG143" s="134"/>
      <c r="HH143" s="134"/>
      <c r="HI143" s="134"/>
      <c r="HJ143" s="134"/>
      <c r="HK143" s="134"/>
      <c r="HL143" s="134"/>
      <c r="HM143" s="134"/>
      <c r="HN143" s="134"/>
      <c r="HO143" s="135"/>
      <c r="HP143" s="135"/>
      <c r="HQ143" s="134"/>
      <c r="HR143" s="134"/>
      <c r="HS143" s="134"/>
      <c r="HT143" s="134"/>
      <c r="HU143" s="134"/>
      <c r="HV143" s="134"/>
      <c r="HW143" s="134"/>
      <c r="HX143" s="134"/>
      <c r="HY143" s="135"/>
      <c r="HZ143" s="135"/>
      <c r="IA143" s="134"/>
      <c r="IB143" s="134"/>
      <c r="IC143" s="134"/>
      <c r="ID143" s="134"/>
      <c r="IE143" s="134"/>
      <c r="IF143" s="134"/>
      <c r="IG143" s="134"/>
      <c r="IH143" s="134"/>
      <c r="II143" s="135"/>
      <c r="IJ143" s="135"/>
      <c r="IK143" s="134"/>
      <c r="IL143" s="134"/>
      <c r="IM143" s="134"/>
      <c r="IN143" s="134"/>
      <c r="IO143" s="134"/>
      <c r="IP143" s="134"/>
      <c r="IQ143" s="134"/>
      <c r="IR143" s="134"/>
      <c r="IS143" s="135"/>
      <c r="IT143" s="135"/>
      <c r="IU143" s="134"/>
      <c r="IV143" s="134"/>
      <c r="IW143" s="134"/>
      <c r="IX143" s="134"/>
      <c r="IY143" s="134"/>
      <c r="IZ143" s="134"/>
      <c r="JA143" s="134"/>
      <c r="JB143" s="134"/>
      <c r="JC143" s="135"/>
      <c r="JD143" s="135"/>
    </row>
    <row r="144" spans="1:264" s="119" customFormat="1" ht="15" customHeight="1">
      <c r="A144" s="79" t="s">
        <v>102</v>
      </c>
      <c r="B144" s="362">
        <v>75</v>
      </c>
      <c r="C144" s="362">
        <v>7</v>
      </c>
      <c r="D144" s="362"/>
      <c r="E144" s="604" t="s">
        <v>1931</v>
      </c>
      <c r="F144" s="124" t="s">
        <v>2148</v>
      </c>
      <c r="G144" s="125">
        <v>2016</v>
      </c>
      <c r="H144" s="79">
        <v>27236589</v>
      </c>
      <c r="I144" s="79">
        <v>1</v>
      </c>
      <c r="J144" s="126"/>
      <c r="K144" s="127"/>
      <c r="L144" s="79">
        <v>1</v>
      </c>
      <c r="M144" s="79"/>
      <c r="N144" s="79">
        <v>1</v>
      </c>
      <c r="O144" s="128">
        <v>1</v>
      </c>
      <c r="P144" s="79" t="s">
        <v>72</v>
      </c>
      <c r="Q144" s="79" t="s">
        <v>1148</v>
      </c>
      <c r="R144" s="79" t="s">
        <v>25</v>
      </c>
      <c r="S144" s="79">
        <v>1</v>
      </c>
      <c r="T144" s="79"/>
      <c r="U144" s="79"/>
      <c r="V144" s="79"/>
      <c r="W144" s="79" t="s">
        <v>71</v>
      </c>
      <c r="X144" s="79"/>
      <c r="Y144" s="79"/>
      <c r="Z144" s="79"/>
      <c r="AA144" s="79"/>
      <c r="AB144" s="79"/>
      <c r="AC144" s="506"/>
      <c r="AD144" s="573">
        <v>1</v>
      </c>
      <c r="AE144" s="573">
        <v>2</v>
      </c>
      <c r="AF144" s="233" t="s">
        <v>3003</v>
      </c>
      <c r="AG144" s="234" t="s">
        <v>3866</v>
      </c>
      <c r="AH144" s="121">
        <v>2</v>
      </c>
      <c r="AI144" s="484"/>
      <c r="AJ144" s="202" t="s">
        <v>3851</v>
      </c>
      <c r="AK144" s="192">
        <v>0</v>
      </c>
      <c r="AL144" s="203" t="s">
        <v>24</v>
      </c>
      <c r="AM144" s="121">
        <v>62</v>
      </c>
      <c r="AN144" s="417" t="s">
        <v>3855</v>
      </c>
      <c r="AO144" s="121" t="s">
        <v>3854</v>
      </c>
      <c r="AP144" s="121" t="s">
        <v>3853</v>
      </c>
      <c r="AQ144" s="121" t="s">
        <v>3852</v>
      </c>
      <c r="AR144" s="121">
        <v>35.92</v>
      </c>
      <c r="AS144" s="121">
        <v>6.95</v>
      </c>
      <c r="AT144" s="121">
        <v>34.5</v>
      </c>
      <c r="AU144" s="121">
        <v>8.68</v>
      </c>
      <c r="AV144" s="121" t="s">
        <v>3834</v>
      </c>
      <c r="AW144" s="121" t="s">
        <v>24</v>
      </c>
      <c r="AX144" s="121" t="s">
        <v>24</v>
      </c>
      <c r="AY144" s="121" t="s">
        <v>2423</v>
      </c>
      <c r="AZ144" s="121" t="s">
        <v>3835</v>
      </c>
      <c r="BA144" s="121" t="s">
        <v>3850</v>
      </c>
      <c r="BB144" s="594"/>
      <c r="BC144" s="594"/>
      <c r="BD144" s="156"/>
      <c r="BE144" s="156"/>
      <c r="BF144" s="156"/>
      <c r="BG144" s="156"/>
      <c r="BH144" s="452" t="s">
        <v>3840</v>
      </c>
      <c r="BI144" s="452"/>
      <c r="BJ144" s="156"/>
      <c r="BK144" s="156">
        <v>1</v>
      </c>
      <c r="BL144" s="156"/>
      <c r="BM144" s="156"/>
      <c r="BN144" s="156"/>
      <c r="BO144" s="156"/>
      <c r="BP144" s="156"/>
      <c r="BQ144" s="595" t="s">
        <v>3863</v>
      </c>
      <c r="BR144" s="157"/>
      <c r="BS144" s="660"/>
      <c r="BT144" s="134" t="s">
        <v>1876</v>
      </c>
      <c r="BU144" s="134" t="s">
        <v>3856</v>
      </c>
      <c r="BV144" s="426" t="s">
        <v>3857</v>
      </c>
      <c r="BW144" s="134" t="s">
        <v>24</v>
      </c>
      <c r="BX144" s="134" t="s">
        <v>3858</v>
      </c>
      <c r="BY144" s="134"/>
      <c r="BZ144" s="259" t="s">
        <v>3861</v>
      </c>
      <c r="CA144" s="454"/>
      <c r="CB144" s="430" t="s">
        <v>3859</v>
      </c>
      <c r="CC144" s="134">
        <v>4.54915</v>
      </c>
      <c r="CD144" s="134" t="s">
        <v>24</v>
      </c>
      <c r="CE144" s="134">
        <f>4.73612-Table668[[#This Row],[Data_Outcome1_M]]</f>
        <v>0.18696999999999964</v>
      </c>
      <c r="CF144" s="430" t="s">
        <v>3860</v>
      </c>
      <c r="CG144" s="134">
        <v>4.9229599999999998</v>
      </c>
      <c r="CH144" s="134" t="s">
        <v>24</v>
      </c>
      <c r="CI144" s="134">
        <f>5.11843-Table668[[#This Row],[Data_Outcome2_M]]</f>
        <v>0.19547000000000025</v>
      </c>
      <c r="CJ144" s="288" t="s">
        <v>3861</v>
      </c>
      <c r="CK144" s="289" t="s">
        <v>3862</v>
      </c>
      <c r="CL144" s="430"/>
      <c r="CM144" s="134"/>
      <c r="CN144" s="134"/>
      <c r="CO144" s="134"/>
      <c r="CP144" s="430"/>
      <c r="CQ144" s="134"/>
      <c r="CR144" s="134"/>
      <c r="CS144" s="134"/>
      <c r="CT144" s="288"/>
      <c r="CU144" s="289"/>
      <c r="CV144" s="276"/>
      <c r="CW144" s="308"/>
      <c r="CX144" s="138"/>
      <c r="CY144" s="134"/>
      <c r="CZ144" s="134"/>
      <c r="DA144" s="134"/>
      <c r="DB144" s="134"/>
      <c r="DC144" s="134"/>
      <c r="DD144" s="134"/>
      <c r="DE144" s="134"/>
      <c r="DF144" s="300"/>
      <c r="DG144" s="301"/>
      <c r="DH144" s="134"/>
      <c r="DI144" s="134"/>
      <c r="DJ144" s="134"/>
      <c r="DK144" s="134"/>
      <c r="DL144" s="134"/>
      <c r="DM144" s="134"/>
      <c r="DN144" s="134"/>
      <c r="DO144" s="134"/>
      <c r="DP144" s="300"/>
      <c r="DQ144" s="301"/>
      <c r="DR144" s="276"/>
      <c r="DS144" s="277"/>
      <c r="DT144" s="134"/>
      <c r="DU144" s="134"/>
      <c r="DV144" s="134"/>
      <c r="DW144" s="134"/>
      <c r="DX144" s="138"/>
      <c r="DY144" s="134"/>
      <c r="DZ144" s="134"/>
      <c r="EA144" s="134"/>
      <c r="EB144" s="301"/>
      <c r="EC144" s="301"/>
      <c r="ED144" s="138"/>
      <c r="EE144" s="134"/>
      <c r="EF144" s="134"/>
      <c r="EG144" s="134"/>
      <c r="EH144" s="138"/>
      <c r="EI144" s="134"/>
      <c r="EJ144" s="134"/>
      <c r="EK144" s="134"/>
      <c r="EL144" s="301"/>
      <c r="EM144" s="301"/>
      <c r="EN144" s="277"/>
      <c r="EO144" s="134"/>
      <c r="EP144" s="134"/>
      <c r="EQ144" s="134"/>
      <c r="ER144" s="134"/>
      <c r="ES144" s="134"/>
      <c r="ET144" s="134"/>
      <c r="EU144" s="134"/>
      <c r="EV144" s="134"/>
      <c r="EW144" s="301"/>
      <c r="EX144" s="301"/>
      <c r="EY144" s="134"/>
      <c r="EZ144" s="134"/>
      <c r="FA144" s="134"/>
      <c r="FB144" s="134"/>
      <c r="FC144" s="134"/>
      <c r="FD144" s="134"/>
      <c r="FE144" s="134"/>
      <c r="FF144" s="134"/>
      <c r="FG144" s="135"/>
      <c r="FH144" s="135"/>
      <c r="FI144" s="134"/>
      <c r="FJ144" s="134"/>
      <c r="FK144" s="134"/>
      <c r="FL144" s="134"/>
      <c r="FM144" s="134"/>
      <c r="FN144" s="134"/>
      <c r="FO144" s="134"/>
      <c r="FP144" s="134"/>
      <c r="FQ144" s="135"/>
      <c r="FR144" s="135"/>
      <c r="FS144" s="134"/>
      <c r="FT144" s="134"/>
      <c r="FU144" s="134"/>
      <c r="FV144" s="134"/>
      <c r="FW144" s="134"/>
      <c r="FX144" s="134"/>
      <c r="FY144" s="134"/>
      <c r="FZ144" s="134"/>
      <c r="GA144" s="135"/>
      <c r="GB144" s="135"/>
      <c r="GC144" s="134"/>
      <c r="GD144" s="134"/>
      <c r="GE144" s="134"/>
      <c r="GF144" s="134"/>
      <c r="GG144" s="134"/>
      <c r="GH144" s="134"/>
      <c r="GI144" s="134"/>
      <c r="GJ144" s="134"/>
      <c r="GK144" s="135"/>
      <c r="GL144" s="135"/>
      <c r="GM144" s="134"/>
      <c r="GN144" s="134"/>
      <c r="GO144" s="134"/>
      <c r="GP144" s="134"/>
      <c r="GQ144" s="134"/>
      <c r="GR144" s="134"/>
      <c r="GS144" s="134"/>
      <c r="GT144" s="134"/>
      <c r="GU144" s="135"/>
      <c r="GV144" s="135"/>
      <c r="GW144" s="134"/>
      <c r="GX144" s="134"/>
      <c r="GY144" s="134"/>
      <c r="GZ144" s="134"/>
      <c r="HA144" s="134"/>
      <c r="HB144" s="134"/>
      <c r="HC144" s="134"/>
      <c r="HD144" s="134"/>
      <c r="HE144" s="135"/>
      <c r="HF144" s="135"/>
      <c r="HG144" s="134"/>
      <c r="HH144" s="134"/>
      <c r="HI144" s="134"/>
      <c r="HJ144" s="134"/>
      <c r="HK144" s="134"/>
      <c r="HL144" s="134"/>
      <c r="HM144" s="134"/>
      <c r="HN144" s="134"/>
      <c r="HO144" s="135"/>
      <c r="HP144" s="135"/>
      <c r="HQ144" s="134"/>
      <c r="HR144" s="134"/>
      <c r="HS144" s="134"/>
      <c r="HT144" s="134"/>
      <c r="HU144" s="134"/>
      <c r="HV144" s="134"/>
      <c r="HW144" s="134"/>
      <c r="HX144" s="134"/>
      <c r="HY144" s="135"/>
      <c r="HZ144" s="135"/>
      <c r="IA144" s="134"/>
      <c r="IB144" s="134"/>
      <c r="IC144" s="134"/>
      <c r="ID144" s="134"/>
      <c r="IE144" s="134"/>
      <c r="IF144" s="134"/>
      <c r="IG144" s="134"/>
      <c r="IH144" s="134"/>
      <c r="II144" s="135"/>
      <c r="IJ144" s="135"/>
      <c r="IK144" s="134"/>
      <c r="IL144" s="134"/>
      <c r="IM144" s="134"/>
      <c r="IN144" s="134"/>
      <c r="IO144" s="134"/>
      <c r="IP144" s="134"/>
      <c r="IQ144" s="134"/>
      <c r="IR144" s="134"/>
      <c r="IS144" s="135"/>
      <c r="IT144" s="135"/>
      <c r="IU144" s="134"/>
      <c r="IV144" s="134"/>
      <c r="IW144" s="134"/>
      <c r="IX144" s="134"/>
      <c r="IY144" s="134"/>
      <c r="IZ144" s="134"/>
      <c r="JA144" s="134"/>
      <c r="JB144" s="134"/>
      <c r="JC144" s="135"/>
      <c r="JD144" s="135"/>
    </row>
    <row r="145" spans="1:264" s="119" customFormat="1" ht="15" customHeight="1">
      <c r="A145" s="79" t="s">
        <v>103</v>
      </c>
      <c r="B145" s="362">
        <v>76</v>
      </c>
      <c r="C145" s="362">
        <v>8</v>
      </c>
      <c r="D145" s="362"/>
      <c r="E145" s="604" t="s">
        <v>1931</v>
      </c>
      <c r="F145" s="124" t="s">
        <v>2149</v>
      </c>
      <c r="G145" s="125">
        <v>2013</v>
      </c>
      <c r="H145" s="79">
        <v>22200095</v>
      </c>
      <c r="I145" s="79">
        <v>1</v>
      </c>
      <c r="J145" s="126"/>
      <c r="K145" s="127"/>
      <c r="L145" s="79">
        <v>1</v>
      </c>
      <c r="M145" s="79"/>
      <c r="N145" s="79">
        <v>1</v>
      </c>
      <c r="O145" s="128">
        <v>1</v>
      </c>
      <c r="P145" s="79" t="s">
        <v>74</v>
      </c>
      <c r="Q145" s="79" t="s">
        <v>1147</v>
      </c>
      <c r="R145" s="79" t="s">
        <v>25</v>
      </c>
      <c r="S145" s="79"/>
      <c r="T145" s="79"/>
      <c r="U145" s="79"/>
      <c r="V145" s="79"/>
      <c r="W145" s="79"/>
      <c r="X145" s="79"/>
      <c r="Y145" s="79"/>
      <c r="Z145" s="79"/>
      <c r="AA145" s="79"/>
      <c r="AB145" s="79"/>
      <c r="AC145" s="506"/>
      <c r="AD145" s="573">
        <v>1</v>
      </c>
      <c r="AE145" s="573">
        <v>2</v>
      </c>
      <c r="AF145" s="154">
        <v>1</v>
      </c>
      <c r="AG145" s="155" t="s">
        <v>3892</v>
      </c>
      <c r="AH145" s="121">
        <v>2</v>
      </c>
      <c r="AI145" s="484"/>
      <c r="AJ145" s="202"/>
      <c r="AK145" s="192">
        <v>0</v>
      </c>
      <c r="AL145" s="203" t="s">
        <v>24</v>
      </c>
      <c r="AM145" s="121">
        <v>28</v>
      </c>
      <c r="AN145" s="121">
        <v>12</v>
      </c>
      <c r="AO145" s="121">
        <v>16</v>
      </c>
      <c r="AP145" s="121" t="s">
        <v>3867</v>
      </c>
      <c r="AQ145" s="121" t="s">
        <v>3867</v>
      </c>
      <c r="AR145" s="121">
        <v>30.25</v>
      </c>
      <c r="AS145" s="121">
        <v>6.03</v>
      </c>
      <c r="AT145" s="121">
        <v>31.38</v>
      </c>
      <c r="AU145" s="121">
        <v>8.69</v>
      </c>
      <c r="AV145" s="121" t="s">
        <v>1874</v>
      </c>
      <c r="AW145" s="121" t="s">
        <v>24</v>
      </c>
      <c r="AX145" s="121" t="s">
        <v>24</v>
      </c>
      <c r="AY145" s="121" t="s">
        <v>2423</v>
      </c>
      <c r="AZ145" s="121" t="s">
        <v>3835</v>
      </c>
      <c r="BA145" s="121" t="s">
        <v>1875</v>
      </c>
      <c r="BB145" s="594"/>
      <c r="BC145" s="594"/>
      <c r="BD145" s="156"/>
      <c r="BE145" s="156"/>
      <c r="BF145" s="156"/>
      <c r="BG145" s="156"/>
      <c r="BH145" s="156"/>
      <c r="BI145" s="156"/>
      <c r="BJ145" s="156">
        <v>1</v>
      </c>
      <c r="BK145" s="156"/>
      <c r="BL145" s="156"/>
      <c r="BM145" s="156"/>
      <c r="BN145" s="156"/>
      <c r="BO145" s="156"/>
      <c r="BP145" s="156"/>
      <c r="BQ145" s="595" t="s">
        <v>3891</v>
      </c>
      <c r="BR145" s="157" t="s">
        <v>6609</v>
      </c>
      <c r="BS145" s="660"/>
      <c r="BT145" s="134" t="s">
        <v>1876</v>
      </c>
      <c r="BU145" s="134">
        <v>2</v>
      </c>
      <c r="BV145" s="426" t="s">
        <v>3869</v>
      </c>
      <c r="BW145" s="134" t="s">
        <v>24</v>
      </c>
      <c r="BX145" s="134" t="s">
        <v>3868</v>
      </c>
      <c r="BY145" s="134" t="s">
        <v>6643</v>
      </c>
      <c r="BZ145" s="259" t="s">
        <v>3890</v>
      </c>
      <c r="CA145" s="454" t="s">
        <v>24</v>
      </c>
      <c r="CB145" s="430" t="s">
        <v>3870</v>
      </c>
      <c r="CC145" s="638">
        <v>5.81</v>
      </c>
      <c r="CD145" s="134">
        <v>3.17</v>
      </c>
      <c r="CE145" s="134" t="s">
        <v>24</v>
      </c>
      <c r="CF145" s="430" t="s">
        <v>3871</v>
      </c>
      <c r="CG145" s="134">
        <v>9.1300000000000008</v>
      </c>
      <c r="CH145" s="134">
        <v>0.95</v>
      </c>
      <c r="CI145" s="134" t="s">
        <v>24</v>
      </c>
      <c r="CJ145" s="288" t="s">
        <v>3878</v>
      </c>
      <c r="CK145" s="289" t="s">
        <v>3879</v>
      </c>
      <c r="CL145" s="430" t="s">
        <v>3872</v>
      </c>
      <c r="CM145" s="134">
        <v>5.26</v>
      </c>
      <c r="CN145" s="134">
        <v>3.17</v>
      </c>
      <c r="CO145" s="134" t="s">
        <v>24</v>
      </c>
      <c r="CP145" s="430" t="s">
        <v>3873</v>
      </c>
      <c r="CQ145" s="134">
        <v>8.83</v>
      </c>
      <c r="CR145" s="134">
        <v>1.0900000000000001</v>
      </c>
      <c r="CS145" s="134" t="s">
        <v>24</v>
      </c>
      <c r="CT145" s="288" t="s">
        <v>3880</v>
      </c>
      <c r="CU145" s="289" t="s">
        <v>3881</v>
      </c>
      <c r="CV145" s="276" t="s">
        <v>3883</v>
      </c>
      <c r="CW145" s="308" t="s">
        <v>3882</v>
      </c>
      <c r="CX145" s="430" t="s">
        <v>3874</v>
      </c>
      <c r="CY145" s="134">
        <v>4.34</v>
      </c>
      <c r="CZ145" s="134">
        <v>2.93</v>
      </c>
      <c r="DA145" s="134" t="s">
        <v>24</v>
      </c>
      <c r="DB145" s="430" t="s">
        <v>3875</v>
      </c>
      <c r="DC145" s="134">
        <v>9</v>
      </c>
      <c r="DD145" s="134">
        <v>1.03</v>
      </c>
      <c r="DE145" s="134" t="s">
        <v>24</v>
      </c>
      <c r="DF145" s="434" t="s">
        <v>3884</v>
      </c>
      <c r="DG145" s="436" t="s">
        <v>3885</v>
      </c>
      <c r="DH145" s="430" t="s">
        <v>3876</v>
      </c>
      <c r="DI145" s="134">
        <v>5.34</v>
      </c>
      <c r="DJ145" s="134">
        <v>2.63</v>
      </c>
      <c r="DK145" s="134" t="s">
        <v>24</v>
      </c>
      <c r="DL145" s="430" t="s">
        <v>3877</v>
      </c>
      <c r="DM145" s="134">
        <v>9.25</v>
      </c>
      <c r="DN145" s="134">
        <v>1.65</v>
      </c>
      <c r="DO145" s="134" t="s">
        <v>24</v>
      </c>
      <c r="DP145" s="434" t="s">
        <v>3886</v>
      </c>
      <c r="DQ145" s="436" t="s">
        <v>3887</v>
      </c>
      <c r="DR145" s="276" t="s">
        <v>3889</v>
      </c>
      <c r="DS145" s="277" t="s">
        <v>3888</v>
      </c>
      <c r="DT145" s="134"/>
      <c r="DU145" s="134"/>
      <c r="DV145" s="134"/>
      <c r="DW145" s="134"/>
      <c r="DX145" s="138"/>
      <c r="DY145" s="134"/>
      <c r="DZ145" s="134"/>
      <c r="EA145" s="134"/>
      <c r="EB145" s="301"/>
      <c r="EC145" s="301"/>
      <c r="ED145" s="138"/>
      <c r="EE145" s="134"/>
      <c r="EF145" s="134"/>
      <c r="EG145" s="134"/>
      <c r="EH145" s="138"/>
      <c r="EI145" s="134"/>
      <c r="EJ145" s="134"/>
      <c r="EK145" s="134"/>
      <c r="EL145" s="301"/>
      <c r="EM145" s="301"/>
      <c r="EN145" s="277"/>
      <c r="EO145" s="134"/>
      <c r="EP145" s="134"/>
      <c r="EQ145" s="134"/>
      <c r="ER145" s="134"/>
      <c r="ES145" s="134"/>
      <c r="ET145" s="134"/>
      <c r="EU145" s="134"/>
      <c r="EV145" s="134"/>
      <c r="EW145" s="301"/>
      <c r="EX145" s="301"/>
      <c r="EY145" s="134"/>
      <c r="EZ145" s="134"/>
      <c r="FA145" s="134"/>
      <c r="FB145" s="134"/>
      <c r="FC145" s="134"/>
      <c r="FD145" s="134"/>
      <c r="FE145" s="134"/>
      <c r="FF145" s="134"/>
      <c r="FG145" s="135"/>
      <c r="FH145" s="135"/>
      <c r="FI145" s="134"/>
      <c r="FJ145" s="134"/>
      <c r="FK145" s="134"/>
      <c r="FL145" s="134"/>
      <c r="FM145" s="134"/>
      <c r="FN145" s="134"/>
      <c r="FO145" s="134"/>
      <c r="FP145" s="134"/>
      <c r="FQ145" s="135"/>
      <c r="FR145" s="135"/>
      <c r="FS145" s="134"/>
      <c r="FT145" s="134"/>
      <c r="FU145" s="134"/>
      <c r="FV145" s="134"/>
      <c r="FW145" s="134"/>
      <c r="FX145" s="134"/>
      <c r="FY145" s="134"/>
      <c r="FZ145" s="134"/>
      <c r="GA145" s="135"/>
      <c r="GB145" s="135"/>
      <c r="GC145" s="134"/>
      <c r="GD145" s="134"/>
      <c r="GE145" s="134"/>
      <c r="GF145" s="134"/>
      <c r="GG145" s="134"/>
      <c r="GH145" s="134"/>
      <c r="GI145" s="134"/>
      <c r="GJ145" s="134"/>
      <c r="GK145" s="135"/>
      <c r="GL145" s="135"/>
      <c r="GM145" s="134"/>
      <c r="GN145" s="134"/>
      <c r="GO145" s="134"/>
      <c r="GP145" s="134"/>
      <c r="GQ145" s="134"/>
      <c r="GR145" s="134"/>
      <c r="GS145" s="134"/>
      <c r="GT145" s="134"/>
      <c r="GU145" s="135"/>
      <c r="GV145" s="135"/>
      <c r="GW145" s="134"/>
      <c r="GX145" s="134"/>
      <c r="GY145" s="134"/>
      <c r="GZ145" s="134"/>
      <c r="HA145" s="134"/>
      <c r="HB145" s="134"/>
      <c r="HC145" s="134"/>
      <c r="HD145" s="134"/>
      <c r="HE145" s="135"/>
      <c r="HF145" s="135"/>
      <c r="HG145" s="134"/>
      <c r="HH145" s="134"/>
      <c r="HI145" s="134"/>
      <c r="HJ145" s="134"/>
      <c r="HK145" s="134"/>
      <c r="HL145" s="134"/>
      <c r="HM145" s="134"/>
      <c r="HN145" s="134"/>
      <c r="HO145" s="135"/>
      <c r="HP145" s="135"/>
      <c r="HQ145" s="134"/>
      <c r="HR145" s="134"/>
      <c r="HS145" s="134"/>
      <c r="HT145" s="134"/>
      <c r="HU145" s="134"/>
      <c r="HV145" s="134"/>
      <c r="HW145" s="134"/>
      <c r="HX145" s="134"/>
      <c r="HY145" s="135"/>
      <c r="HZ145" s="135"/>
      <c r="IA145" s="134"/>
      <c r="IB145" s="134"/>
      <c r="IC145" s="134"/>
      <c r="ID145" s="134"/>
      <c r="IE145" s="134"/>
      <c r="IF145" s="134"/>
      <c r="IG145" s="134"/>
      <c r="IH145" s="134"/>
      <c r="II145" s="135"/>
      <c r="IJ145" s="135"/>
      <c r="IK145" s="134"/>
      <c r="IL145" s="134"/>
      <c r="IM145" s="134"/>
      <c r="IN145" s="134"/>
      <c r="IO145" s="134"/>
      <c r="IP145" s="134"/>
      <c r="IQ145" s="134"/>
      <c r="IR145" s="134"/>
      <c r="IS145" s="135"/>
      <c r="IT145" s="135"/>
      <c r="IU145" s="134"/>
      <c r="IV145" s="134"/>
      <c r="IW145" s="134"/>
      <c r="IX145" s="134"/>
      <c r="IY145" s="134"/>
      <c r="IZ145" s="134"/>
      <c r="JA145" s="134"/>
      <c r="JB145" s="134"/>
      <c r="JC145" s="135"/>
      <c r="JD145" s="135"/>
    </row>
    <row r="146" spans="1:264" s="119" customFormat="1" ht="15" customHeight="1">
      <c r="A146" s="79" t="s">
        <v>1102</v>
      </c>
      <c r="B146" s="615">
        <v>6</v>
      </c>
      <c r="C146" s="614">
        <v>1</v>
      </c>
      <c r="D146" s="614"/>
      <c r="E146" s="604" t="s">
        <v>2055</v>
      </c>
      <c r="F146" s="124" t="s">
        <v>2299</v>
      </c>
      <c r="G146" s="125">
        <v>2014</v>
      </c>
      <c r="H146" s="79">
        <v>24677338</v>
      </c>
      <c r="I146" s="79">
        <v>1</v>
      </c>
      <c r="J146" s="126" t="s">
        <v>1791</v>
      </c>
      <c r="K146" s="127" t="s">
        <v>1790</v>
      </c>
      <c r="L146" s="164">
        <v>1</v>
      </c>
      <c r="M146" s="79" t="s">
        <v>1747</v>
      </c>
      <c r="N146" s="153">
        <v>0</v>
      </c>
      <c r="O146" s="128">
        <v>2</v>
      </c>
      <c r="P146" s="79" t="s">
        <v>1215</v>
      </c>
      <c r="Q146" s="79" t="s">
        <v>1216</v>
      </c>
      <c r="R146" s="79" t="s">
        <v>1127</v>
      </c>
      <c r="S146" s="79"/>
      <c r="T146" s="79" t="s">
        <v>24</v>
      </c>
      <c r="U146" s="79" t="s">
        <v>1539</v>
      </c>
      <c r="V146" s="79" t="s">
        <v>23</v>
      </c>
      <c r="W146" s="79" t="s">
        <v>1694</v>
      </c>
      <c r="X146" s="79" t="s">
        <v>1213</v>
      </c>
      <c r="Y146" s="79" t="s">
        <v>24</v>
      </c>
      <c r="Z146" s="79"/>
      <c r="AA146" s="79"/>
      <c r="AB146" s="79" t="s">
        <v>1806</v>
      </c>
      <c r="AC146" s="506"/>
      <c r="AD146" s="573">
        <v>1</v>
      </c>
      <c r="AE146" s="573">
        <v>2</v>
      </c>
      <c r="AF146" s="165">
        <v>0</v>
      </c>
      <c r="AG146" s="166" t="s">
        <v>3318</v>
      </c>
      <c r="AH146" s="120">
        <v>4</v>
      </c>
      <c r="AI146" s="484"/>
      <c r="AJ146" s="206"/>
      <c r="AK146" s="192">
        <v>0</v>
      </c>
      <c r="AL146" s="207"/>
      <c r="AM146" s="120"/>
      <c r="AN146" s="120"/>
      <c r="AO146" s="120"/>
      <c r="AP146" s="120"/>
      <c r="AQ146" s="120"/>
      <c r="AR146" s="120"/>
      <c r="AS146" s="120"/>
      <c r="AT146" s="120"/>
      <c r="AU146" s="120"/>
      <c r="AV146" s="120" t="s">
        <v>3312</v>
      </c>
      <c r="AW146" s="120">
        <v>1</v>
      </c>
      <c r="AX146" s="120">
        <v>0</v>
      </c>
      <c r="AY146" s="120"/>
      <c r="AZ146" s="120"/>
      <c r="BA146" s="120"/>
      <c r="BB146" s="594"/>
      <c r="BC146" s="594"/>
      <c r="BD146" s="373"/>
      <c r="BE146" s="373"/>
      <c r="BF146" s="373"/>
      <c r="BG146" s="373"/>
      <c r="BH146" s="373"/>
      <c r="BI146" s="373"/>
      <c r="BJ146" s="373">
        <v>1</v>
      </c>
      <c r="BK146" s="373"/>
      <c r="BL146" s="373"/>
      <c r="BM146" s="373"/>
      <c r="BN146" s="373"/>
      <c r="BO146" s="373"/>
      <c r="BP146" s="373"/>
      <c r="BQ146" s="599"/>
      <c r="BR146" s="374"/>
      <c r="BS146" s="660"/>
      <c r="BT146" s="134"/>
      <c r="BU146" s="134"/>
      <c r="BV146" s="426"/>
      <c r="BW146" s="134"/>
      <c r="BX146" s="134"/>
      <c r="BY146" s="134"/>
      <c r="BZ146" s="259" t="s">
        <v>24</v>
      </c>
      <c r="CA146" s="454"/>
      <c r="CB146" s="430"/>
      <c r="CC146" s="134"/>
      <c r="CD146" s="134"/>
      <c r="CE146" s="134"/>
      <c r="CF146" s="430"/>
      <c r="CG146" s="134"/>
      <c r="CH146" s="134"/>
      <c r="CI146" s="134"/>
      <c r="CJ146" s="288"/>
      <c r="CK146" s="289"/>
      <c r="CL146" s="430"/>
      <c r="CM146" s="134"/>
      <c r="CN146" s="134"/>
      <c r="CO146" s="134"/>
      <c r="CP146" s="430"/>
      <c r="CQ146" s="134"/>
      <c r="CR146" s="134"/>
      <c r="CS146" s="134"/>
      <c r="CT146" s="288"/>
      <c r="CU146" s="289"/>
      <c r="CV146" s="276"/>
      <c r="CW146" s="308"/>
      <c r="CX146" s="430"/>
      <c r="CY146" s="134"/>
      <c r="CZ146" s="134"/>
      <c r="DA146" s="134"/>
      <c r="DB146" s="426"/>
      <c r="DC146" s="134"/>
      <c r="DD146" s="134"/>
      <c r="DE146" s="134"/>
      <c r="DF146" s="434"/>
      <c r="DG146" s="436"/>
      <c r="DH146" s="426"/>
      <c r="DI146" s="134"/>
      <c r="DJ146" s="134"/>
      <c r="DK146" s="134"/>
      <c r="DL146" s="426"/>
      <c r="DM146" s="134"/>
      <c r="DN146" s="134"/>
      <c r="DO146" s="134"/>
      <c r="DP146" s="434"/>
      <c r="DQ146" s="436"/>
      <c r="DR146" s="276"/>
      <c r="DS146" s="277"/>
      <c r="DT146" s="134"/>
      <c r="DU146" s="134"/>
      <c r="DV146" s="134"/>
      <c r="DW146" s="134"/>
      <c r="DX146" s="138"/>
      <c r="DY146" s="134"/>
      <c r="DZ146" s="134"/>
      <c r="EA146" s="134"/>
      <c r="EB146" s="301"/>
      <c r="EC146" s="301"/>
      <c r="ED146" s="138"/>
      <c r="EE146" s="134"/>
      <c r="EF146" s="134"/>
      <c r="EG146" s="134"/>
      <c r="EH146" s="138"/>
      <c r="EI146" s="134"/>
      <c r="EJ146" s="134"/>
      <c r="EK146" s="134"/>
      <c r="EL146" s="301"/>
      <c r="EM146" s="301"/>
      <c r="EN146" s="277"/>
      <c r="EO146" s="134"/>
      <c r="EP146" s="134"/>
      <c r="EQ146" s="134"/>
      <c r="ER146" s="134"/>
      <c r="ES146" s="134"/>
      <c r="ET146" s="134"/>
      <c r="EU146" s="134"/>
      <c r="EV146" s="134"/>
      <c r="EW146" s="301"/>
      <c r="EX146" s="301"/>
      <c r="EY146" s="134"/>
      <c r="EZ146" s="134"/>
      <c r="FA146" s="134"/>
      <c r="FB146" s="134"/>
      <c r="FC146" s="134"/>
      <c r="FD146" s="134"/>
      <c r="FE146" s="134"/>
      <c r="FF146" s="134"/>
      <c r="FG146" s="135"/>
      <c r="FH146" s="135"/>
      <c r="FI146" s="134"/>
      <c r="FJ146" s="134"/>
      <c r="FK146" s="134"/>
      <c r="FL146" s="134"/>
      <c r="FM146" s="134"/>
      <c r="FN146" s="134"/>
      <c r="FO146" s="134"/>
      <c r="FP146" s="134"/>
      <c r="FQ146" s="135"/>
      <c r="FR146" s="135"/>
      <c r="FS146" s="134"/>
      <c r="FT146" s="134"/>
      <c r="FU146" s="134"/>
      <c r="FV146" s="134"/>
      <c r="FW146" s="134"/>
      <c r="FX146" s="134"/>
      <c r="FY146" s="134"/>
      <c r="FZ146" s="134"/>
      <c r="GA146" s="135"/>
      <c r="GB146" s="135"/>
      <c r="GC146" s="134"/>
      <c r="GD146" s="134"/>
      <c r="GE146" s="134"/>
      <c r="GF146" s="134"/>
      <c r="GG146" s="134"/>
      <c r="GH146" s="134"/>
      <c r="GI146" s="134"/>
      <c r="GJ146" s="134"/>
      <c r="GK146" s="135"/>
      <c r="GL146" s="135"/>
      <c r="GM146" s="134"/>
      <c r="GN146" s="134"/>
      <c r="GO146" s="134"/>
      <c r="GP146" s="134"/>
      <c r="GQ146" s="134"/>
      <c r="GR146" s="134"/>
      <c r="GS146" s="134"/>
      <c r="GT146" s="134"/>
      <c r="GU146" s="135"/>
      <c r="GV146" s="135"/>
      <c r="GW146" s="134"/>
      <c r="GX146" s="134"/>
      <c r="GY146" s="134"/>
      <c r="GZ146" s="134"/>
      <c r="HA146" s="134"/>
      <c r="HB146" s="134"/>
      <c r="HC146" s="134"/>
      <c r="HD146" s="134"/>
      <c r="HE146" s="135"/>
      <c r="HF146" s="135"/>
      <c r="HG146" s="134"/>
      <c r="HH146" s="134"/>
      <c r="HI146" s="134"/>
      <c r="HJ146" s="134"/>
      <c r="HK146" s="134"/>
      <c r="HL146" s="134"/>
      <c r="HM146" s="134"/>
      <c r="HN146" s="134"/>
      <c r="HO146" s="135"/>
      <c r="HP146" s="135"/>
      <c r="HQ146" s="134"/>
      <c r="HR146" s="134"/>
      <c r="HS146" s="134"/>
      <c r="HT146" s="134"/>
      <c r="HU146" s="134"/>
      <c r="HV146" s="134"/>
      <c r="HW146" s="134"/>
      <c r="HX146" s="134"/>
      <c r="HY146" s="135"/>
      <c r="HZ146" s="135"/>
      <c r="IA146" s="134"/>
      <c r="IB146" s="134"/>
      <c r="IC146" s="134"/>
      <c r="ID146" s="134"/>
      <c r="IE146" s="134"/>
      <c r="IF146" s="134"/>
      <c r="IG146" s="134"/>
      <c r="IH146" s="134"/>
      <c r="II146" s="135"/>
      <c r="IJ146" s="135"/>
      <c r="IK146" s="134"/>
      <c r="IL146" s="134"/>
      <c r="IM146" s="134"/>
      <c r="IN146" s="134"/>
      <c r="IO146" s="134"/>
      <c r="IP146" s="134"/>
      <c r="IQ146" s="134"/>
      <c r="IR146" s="134"/>
      <c r="IS146" s="135"/>
      <c r="IT146" s="135"/>
      <c r="IU146" s="134"/>
      <c r="IV146" s="134"/>
      <c r="IW146" s="134"/>
      <c r="IX146" s="134"/>
      <c r="IY146" s="134"/>
      <c r="IZ146" s="134"/>
      <c r="JA146" s="134"/>
      <c r="JB146" s="134"/>
      <c r="JC146" s="135"/>
      <c r="JD146" s="135"/>
    </row>
    <row r="147" spans="1:264" customFormat="1" ht="15" customHeight="1">
      <c r="A147" s="79" t="s">
        <v>104</v>
      </c>
      <c r="B147" s="362">
        <v>77</v>
      </c>
      <c r="C147" s="362">
        <v>9</v>
      </c>
      <c r="D147" s="362"/>
      <c r="E147" s="604" t="s">
        <v>1932</v>
      </c>
      <c r="F147" s="124" t="s">
        <v>2150</v>
      </c>
      <c r="G147" s="125">
        <v>2015</v>
      </c>
      <c r="H147" s="79">
        <v>25915799</v>
      </c>
      <c r="I147" s="79">
        <v>1</v>
      </c>
      <c r="J147" s="126"/>
      <c r="K147" s="127"/>
      <c r="L147" s="79">
        <v>1</v>
      </c>
      <c r="M147" s="79"/>
      <c r="N147" s="79">
        <v>1</v>
      </c>
      <c r="O147" s="128">
        <v>1</v>
      </c>
      <c r="P147" s="79" t="s">
        <v>370</v>
      </c>
      <c r="Q147" s="79" t="s">
        <v>1147</v>
      </c>
      <c r="R147" s="79" t="s">
        <v>369</v>
      </c>
      <c r="S147" s="79"/>
      <c r="T147" s="79"/>
      <c r="U147" s="79"/>
      <c r="V147" s="79"/>
      <c r="W147" s="79"/>
      <c r="X147" s="79" t="s">
        <v>368</v>
      </c>
      <c r="Y147" s="79"/>
      <c r="Z147" s="79"/>
      <c r="AA147" s="79"/>
      <c r="AB147" s="79"/>
      <c r="AC147" s="506"/>
      <c r="AD147" s="573">
        <v>1</v>
      </c>
      <c r="AE147" s="573">
        <v>2</v>
      </c>
      <c r="AF147" s="165" t="s">
        <v>3003</v>
      </c>
      <c r="AG147" s="166" t="s">
        <v>3893</v>
      </c>
      <c r="AH147" s="120"/>
      <c r="AI147" s="484"/>
      <c r="AJ147" s="206" t="s">
        <v>3893</v>
      </c>
      <c r="AK147" s="372"/>
      <c r="AL147" s="207"/>
      <c r="AM147" s="120"/>
      <c r="AN147" s="120"/>
      <c r="AO147" s="120"/>
      <c r="AP147" s="120"/>
      <c r="AQ147" s="120"/>
      <c r="AR147" s="120"/>
      <c r="AS147" s="120"/>
      <c r="AT147" s="120"/>
      <c r="AU147" s="120"/>
      <c r="AV147" s="120"/>
      <c r="AW147" s="120"/>
      <c r="AX147" s="120"/>
      <c r="AY147" s="120"/>
      <c r="AZ147" s="120"/>
      <c r="BA147" s="120"/>
      <c r="BB147" s="594"/>
      <c r="BC147" s="594"/>
      <c r="BD147" s="373"/>
      <c r="BE147" s="373"/>
      <c r="BF147" s="373"/>
      <c r="BG147" s="373"/>
      <c r="BH147" s="373"/>
      <c r="BI147" s="373"/>
      <c r="BJ147" s="373">
        <v>1</v>
      </c>
      <c r="BK147" s="373"/>
      <c r="BL147" s="373"/>
      <c r="BM147" s="373"/>
      <c r="BN147" s="373"/>
      <c r="BO147" s="373"/>
      <c r="BP147" s="373"/>
      <c r="BQ147" s="599"/>
      <c r="BR147" s="374"/>
      <c r="BS147" s="660"/>
      <c r="BT147" s="120"/>
      <c r="BU147" s="120"/>
      <c r="BV147" s="633"/>
      <c r="BW147" s="120"/>
      <c r="BX147" s="120"/>
      <c r="BY147" s="120"/>
      <c r="BZ147" s="375" t="s">
        <v>24</v>
      </c>
      <c r="CA147" s="380"/>
      <c r="CB147" s="138"/>
      <c r="CC147" s="134"/>
      <c r="CD147" s="134"/>
      <c r="CE147" s="134"/>
      <c r="CF147" s="138"/>
      <c r="CG147" s="134"/>
      <c r="CH147" s="134"/>
      <c r="CI147" s="134"/>
      <c r="CJ147" s="288"/>
      <c r="CK147" s="289"/>
      <c r="CL147" s="138"/>
      <c r="CM147" s="134"/>
      <c r="CN147" s="134"/>
      <c r="CO147" s="134"/>
      <c r="CP147" s="138"/>
      <c r="CQ147" s="134"/>
      <c r="CR147" s="134"/>
      <c r="CS147" s="134"/>
      <c r="CT147" s="288"/>
      <c r="CU147" s="289"/>
      <c r="CV147" s="276"/>
      <c r="CW147" s="308"/>
      <c r="CX147" s="138"/>
      <c r="CY147" s="134"/>
      <c r="CZ147" s="134"/>
      <c r="DA147" s="134"/>
      <c r="DB147" s="134"/>
      <c r="DC147" s="134"/>
      <c r="DD147" s="134"/>
      <c r="DE147" s="134"/>
      <c r="DF147" s="300"/>
      <c r="DG147" s="301"/>
      <c r="DH147" s="134"/>
      <c r="DI147" s="134"/>
      <c r="DJ147" s="134"/>
      <c r="DK147" s="134"/>
      <c r="DL147" s="134"/>
      <c r="DM147" s="134"/>
      <c r="DN147" s="134"/>
      <c r="DO147" s="134"/>
      <c r="DP147" s="300"/>
      <c r="DQ147" s="301"/>
      <c r="DR147" s="276"/>
      <c r="DS147" s="277"/>
      <c r="DT147" s="134"/>
      <c r="DU147" s="134"/>
      <c r="DV147" s="134"/>
      <c r="DW147" s="134"/>
      <c r="DX147" s="138"/>
      <c r="DY147" s="134"/>
      <c r="DZ147" s="134"/>
      <c r="EA147" s="134"/>
      <c r="EB147" s="301"/>
      <c r="EC147" s="301"/>
      <c r="ED147" s="138"/>
      <c r="EE147" s="134"/>
      <c r="EF147" s="134"/>
      <c r="EG147" s="134"/>
      <c r="EH147" s="138"/>
      <c r="EI147" s="134"/>
      <c r="EJ147" s="134"/>
      <c r="EK147" s="134"/>
      <c r="EL147" s="301"/>
      <c r="EM147" s="301"/>
      <c r="EN147" s="277"/>
      <c r="EO147" s="134"/>
      <c r="EP147" s="134"/>
      <c r="EQ147" s="134"/>
      <c r="ER147" s="134"/>
      <c r="ES147" s="134"/>
      <c r="ET147" s="134"/>
      <c r="EU147" s="134"/>
      <c r="EV147" s="134"/>
      <c r="EW147" s="301"/>
      <c r="EX147" s="301"/>
      <c r="EY147" s="134"/>
      <c r="EZ147" s="134"/>
      <c r="FA147" s="134"/>
      <c r="FB147" s="134"/>
      <c r="FC147" s="134"/>
      <c r="FD147" s="134"/>
      <c r="FE147" s="134"/>
      <c r="FF147" s="134"/>
      <c r="FG147" s="135"/>
      <c r="FH147" s="135"/>
      <c r="FI147" s="134"/>
      <c r="FJ147" s="134"/>
      <c r="FK147" s="134"/>
      <c r="FL147" s="134"/>
      <c r="FM147" s="134"/>
      <c r="FN147" s="134"/>
      <c r="FO147" s="134"/>
      <c r="FP147" s="134"/>
      <c r="FQ147" s="135"/>
      <c r="FR147" s="135"/>
      <c r="FS147" s="134"/>
      <c r="FT147" s="134"/>
      <c r="FU147" s="134"/>
      <c r="FV147" s="134"/>
      <c r="FW147" s="134"/>
      <c r="FX147" s="134"/>
      <c r="FY147" s="134"/>
      <c r="FZ147" s="134"/>
      <c r="GA147" s="135"/>
      <c r="GB147" s="135"/>
      <c r="GC147" s="134"/>
      <c r="GD147" s="134"/>
      <c r="GE147" s="134"/>
      <c r="GF147" s="134"/>
      <c r="GG147" s="134"/>
      <c r="GH147" s="134"/>
      <c r="GI147" s="134"/>
      <c r="GJ147" s="134"/>
      <c r="GK147" s="135"/>
      <c r="GL147" s="135"/>
      <c r="GM147" s="134"/>
      <c r="GN147" s="134"/>
      <c r="GO147" s="134"/>
      <c r="GP147" s="134"/>
      <c r="GQ147" s="134"/>
      <c r="GR147" s="134"/>
      <c r="GS147" s="134"/>
      <c r="GT147" s="134"/>
      <c r="GU147" s="135"/>
      <c r="GV147" s="135"/>
      <c r="GW147" s="134"/>
      <c r="GX147" s="134"/>
      <c r="GY147" s="134"/>
      <c r="GZ147" s="134"/>
      <c r="HA147" s="134"/>
      <c r="HB147" s="134"/>
      <c r="HC147" s="134"/>
      <c r="HD147" s="134"/>
      <c r="HE147" s="135"/>
      <c r="HF147" s="135"/>
      <c r="HG147" s="134"/>
      <c r="HH147" s="134"/>
      <c r="HI147" s="134"/>
      <c r="HJ147" s="134"/>
      <c r="HK147" s="134"/>
      <c r="HL147" s="134"/>
      <c r="HM147" s="134"/>
      <c r="HN147" s="134"/>
      <c r="HO147" s="135"/>
      <c r="HP147" s="135"/>
      <c r="HQ147" s="134"/>
      <c r="HR147" s="134"/>
      <c r="HS147" s="134"/>
      <c r="HT147" s="134"/>
      <c r="HU147" s="134"/>
      <c r="HV147" s="134"/>
      <c r="HW147" s="134"/>
      <c r="HX147" s="134"/>
      <c r="HY147" s="135"/>
      <c r="HZ147" s="135"/>
      <c r="IA147" s="134"/>
      <c r="IB147" s="134"/>
      <c r="IC147" s="134"/>
      <c r="ID147" s="134"/>
      <c r="IE147" s="134"/>
      <c r="IF147" s="134"/>
      <c r="IG147" s="134"/>
      <c r="IH147" s="134"/>
      <c r="II147" s="135"/>
      <c r="IJ147" s="135"/>
      <c r="IK147" s="134"/>
      <c r="IL147" s="134"/>
      <c r="IM147" s="134"/>
      <c r="IN147" s="134"/>
      <c r="IO147" s="134"/>
      <c r="IP147" s="134"/>
      <c r="IQ147" s="134"/>
      <c r="IR147" s="134"/>
      <c r="IS147" s="135"/>
      <c r="IT147" s="135"/>
      <c r="IU147" s="134"/>
      <c r="IV147" s="134"/>
      <c r="IW147" s="134"/>
      <c r="IX147" s="134"/>
      <c r="IY147" s="134"/>
      <c r="IZ147" s="134"/>
      <c r="JA147" s="134"/>
      <c r="JB147" s="134"/>
      <c r="JC147" s="135"/>
      <c r="JD147" s="135"/>
    </row>
    <row r="148" spans="1:264" customFormat="1" ht="15" customHeight="1">
      <c r="A148" s="118" t="s">
        <v>1101</v>
      </c>
      <c r="B148" s="614">
        <v>7</v>
      </c>
      <c r="C148" s="614"/>
      <c r="D148" s="614"/>
      <c r="E148" s="605" t="s">
        <v>2056</v>
      </c>
      <c r="F148" s="140" t="s">
        <v>2300</v>
      </c>
      <c r="G148" s="141">
        <v>2015</v>
      </c>
      <c r="H148" s="118">
        <v>26210936</v>
      </c>
      <c r="I148" s="118">
        <v>1</v>
      </c>
      <c r="J148" s="118">
        <v>1</v>
      </c>
      <c r="K148" s="118"/>
      <c r="L148" s="118">
        <v>1</v>
      </c>
      <c r="M148" s="118"/>
      <c r="N148" s="158">
        <v>1</v>
      </c>
      <c r="O148" s="142">
        <v>2</v>
      </c>
      <c r="P148" s="118" t="s">
        <v>1220</v>
      </c>
      <c r="Q148" s="118" t="s">
        <v>1224</v>
      </c>
      <c r="R148" s="118" t="s">
        <v>1127</v>
      </c>
      <c r="S148" s="118"/>
      <c r="T148" s="118" t="s">
        <v>1217</v>
      </c>
      <c r="U148" s="118"/>
      <c r="V148" s="118"/>
      <c r="W148" s="118" t="s">
        <v>1218</v>
      </c>
      <c r="X148" s="118" t="s">
        <v>1219</v>
      </c>
      <c r="Y148" s="118"/>
      <c r="Z148" s="118"/>
      <c r="AA148" s="118" t="s">
        <v>1655</v>
      </c>
      <c r="AB148" s="118" t="s">
        <v>1654</v>
      </c>
      <c r="AC148" s="145"/>
      <c r="AD148" s="573">
        <v>1</v>
      </c>
      <c r="AE148" s="573">
        <v>2</v>
      </c>
      <c r="AF148" s="230" t="s">
        <v>1917</v>
      </c>
      <c r="AG148" s="231" t="s">
        <v>3319</v>
      </c>
      <c r="AH148" s="152">
        <v>4</v>
      </c>
      <c r="AI148" s="485"/>
      <c r="AJ148" s="242" t="s">
        <v>2602</v>
      </c>
      <c r="AK148" s="236">
        <v>1</v>
      </c>
      <c r="AL148" s="243">
        <v>1</v>
      </c>
      <c r="AM148" s="152" t="s">
        <v>2600</v>
      </c>
      <c r="AN148" s="152" t="s">
        <v>2601</v>
      </c>
      <c r="AO148" s="152" t="s">
        <v>2601</v>
      </c>
      <c r="AP148" s="152" t="s">
        <v>803</v>
      </c>
      <c r="AQ148" s="152" t="s">
        <v>803</v>
      </c>
      <c r="AR148" s="152" t="s">
        <v>2468</v>
      </c>
      <c r="AS148" s="152" t="s">
        <v>24</v>
      </c>
      <c r="AT148" s="152" t="s">
        <v>2468</v>
      </c>
      <c r="AU148" s="152" t="s">
        <v>24</v>
      </c>
      <c r="AV148" s="152" t="s">
        <v>2599</v>
      </c>
      <c r="AW148" s="152">
        <v>0</v>
      </c>
      <c r="AX148" s="135" t="s">
        <v>3343</v>
      </c>
      <c r="AY148" s="152"/>
      <c r="AZ148" s="152" t="s">
        <v>1130</v>
      </c>
      <c r="BA148" s="152" t="s">
        <v>2554</v>
      </c>
      <c r="BB148" s="588"/>
      <c r="BC148" s="588"/>
      <c r="BD148" s="244">
        <v>1</v>
      </c>
      <c r="BE148" s="161"/>
      <c r="BF148" s="161"/>
      <c r="BG148" s="161"/>
      <c r="BH148" s="161"/>
      <c r="BI148" s="161"/>
      <c r="BJ148" s="161"/>
      <c r="BK148" s="161"/>
      <c r="BL148" s="161"/>
      <c r="BM148" s="161"/>
      <c r="BN148" s="161"/>
      <c r="BO148" s="161"/>
      <c r="BP148" s="161"/>
      <c r="BQ148" s="596" t="s">
        <v>2609</v>
      </c>
      <c r="BR148" s="157" t="s">
        <v>6598</v>
      </c>
      <c r="BS148" s="660"/>
      <c r="BT148" s="150" t="s">
        <v>1876</v>
      </c>
      <c r="BU148" s="150" t="s">
        <v>2608</v>
      </c>
      <c r="BV148" s="425" t="s">
        <v>1501</v>
      </c>
      <c r="BW148" s="150" t="s">
        <v>2606</v>
      </c>
      <c r="BX148" s="150" t="s">
        <v>2659</v>
      </c>
      <c r="BY148" s="134" t="s">
        <v>2659</v>
      </c>
      <c r="BZ148" s="260" t="s">
        <v>2653</v>
      </c>
      <c r="CA148" s="629" t="s">
        <v>6627</v>
      </c>
      <c r="CB148" s="151" t="s">
        <v>2612</v>
      </c>
      <c r="CC148" s="266">
        <v>33.714100000000002</v>
      </c>
      <c r="CD148" s="150" t="s">
        <v>24</v>
      </c>
      <c r="CE148" s="266">
        <f>37.6124-Table668[[#This Row],[Data_Outcome1_M]]</f>
        <v>3.898299999999999</v>
      </c>
      <c r="CF148" s="151" t="s">
        <v>2615</v>
      </c>
      <c r="CG148" s="150">
        <v>18.7044</v>
      </c>
      <c r="CH148" s="150" t="s">
        <v>24</v>
      </c>
      <c r="CI148" s="150">
        <f>22.4081-Table668[[#This Row],[Data_Outcome2_M]]</f>
        <v>3.7037000000000013</v>
      </c>
      <c r="CJ148" s="290" t="s">
        <v>2646</v>
      </c>
      <c r="CK148" s="291" t="s">
        <v>2415</v>
      </c>
      <c r="CL148" s="151" t="s">
        <v>2617</v>
      </c>
      <c r="CM148" s="266">
        <v>9.8058499999999995</v>
      </c>
      <c r="CN148" s="150" t="s">
        <v>24</v>
      </c>
      <c r="CO148" s="150">
        <f>13.5656-Table668[[#This Row],[Data_Outcome3_M]]</f>
        <v>3.7597500000000004</v>
      </c>
      <c r="CP148" s="151" t="s">
        <v>2616</v>
      </c>
      <c r="CQ148" s="150">
        <v>3.47533</v>
      </c>
      <c r="CR148" s="150" t="s">
        <v>24</v>
      </c>
      <c r="CS148" s="150">
        <f>7.08021-Table668[[#This Row],[Data_Outcome4_M]]</f>
        <v>3.6048800000000001</v>
      </c>
      <c r="CT148" s="290" t="s">
        <v>2647</v>
      </c>
      <c r="CU148" s="291" t="s">
        <v>2415</v>
      </c>
      <c r="CV148" s="278"/>
      <c r="CW148" s="285"/>
      <c r="CX148" s="151"/>
      <c r="CY148" s="150"/>
      <c r="CZ148" s="150"/>
      <c r="DA148" s="150"/>
      <c r="DB148" s="150"/>
      <c r="DC148" s="150"/>
      <c r="DD148" s="150"/>
      <c r="DE148" s="150"/>
      <c r="DF148" s="302"/>
      <c r="DG148" s="303"/>
      <c r="DH148" s="150"/>
      <c r="DI148" s="150"/>
      <c r="DJ148" s="150"/>
      <c r="DK148" s="150"/>
      <c r="DL148" s="150"/>
      <c r="DM148" s="150"/>
      <c r="DN148" s="150"/>
      <c r="DO148" s="150"/>
      <c r="DP148" s="302"/>
      <c r="DQ148" s="303"/>
      <c r="DR148" s="278"/>
      <c r="DS148" s="279"/>
      <c r="DT148" s="150"/>
      <c r="DU148" s="150"/>
      <c r="DV148" s="150"/>
      <c r="DW148" s="150"/>
      <c r="DX148" s="151"/>
      <c r="DY148" s="150"/>
      <c r="DZ148" s="150"/>
      <c r="EA148" s="150"/>
      <c r="EB148" s="303"/>
      <c r="EC148" s="303"/>
      <c r="ED148" s="151"/>
      <c r="EE148" s="150"/>
      <c r="EF148" s="150"/>
      <c r="EG148" s="150"/>
      <c r="EH148" s="151"/>
      <c r="EI148" s="150"/>
      <c r="EJ148" s="150"/>
      <c r="EK148" s="150"/>
      <c r="EL148" s="303"/>
      <c r="EM148" s="303"/>
      <c r="EN148" s="279" t="s">
        <v>2650</v>
      </c>
      <c r="EO148" s="150"/>
      <c r="EP148" s="150"/>
      <c r="EQ148" s="150"/>
      <c r="ER148" s="150"/>
      <c r="ES148" s="150"/>
      <c r="ET148" s="150"/>
      <c r="EU148" s="150"/>
      <c r="EV148" s="150"/>
      <c r="EW148" s="303"/>
      <c r="EX148" s="303"/>
      <c r="EY148" s="150"/>
      <c r="EZ148" s="150"/>
      <c r="FA148" s="150"/>
      <c r="FB148" s="150"/>
      <c r="FC148" s="134"/>
      <c r="FD148" s="134"/>
      <c r="FE148" s="134"/>
      <c r="FF148" s="134"/>
      <c r="FG148" s="135"/>
      <c r="FH148" s="135"/>
      <c r="FI148" s="134"/>
      <c r="FJ148" s="134"/>
      <c r="FK148" s="134"/>
      <c r="FL148" s="134"/>
      <c r="FM148" s="134"/>
      <c r="FN148" s="134"/>
      <c r="FO148" s="134"/>
      <c r="FP148" s="134"/>
      <c r="FQ148" s="135"/>
      <c r="FR148" s="135"/>
      <c r="FS148" s="134"/>
      <c r="FT148" s="134"/>
      <c r="FU148" s="134"/>
      <c r="FV148" s="134"/>
      <c r="FW148" s="134"/>
      <c r="FX148" s="134"/>
      <c r="FY148" s="134"/>
      <c r="FZ148" s="134"/>
      <c r="GA148" s="135"/>
      <c r="GB148" s="135"/>
      <c r="GC148" s="134"/>
      <c r="GD148" s="134"/>
      <c r="GE148" s="134"/>
      <c r="GF148" s="134"/>
      <c r="GG148" s="134"/>
      <c r="GH148" s="134"/>
      <c r="GI148" s="134"/>
      <c r="GJ148" s="134"/>
      <c r="GK148" s="135"/>
      <c r="GL148" s="135"/>
      <c r="GM148" s="134"/>
      <c r="GN148" s="134"/>
      <c r="GO148" s="134"/>
      <c r="GP148" s="134"/>
      <c r="GQ148" s="134"/>
      <c r="GR148" s="134"/>
      <c r="GS148" s="134"/>
      <c r="GT148" s="134"/>
      <c r="GU148" s="135"/>
      <c r="GV148" s="135"/>
      <c r="GW148" s="134"/>
      <c r="GX148" s="134"/>
      <c r="GY148" s="134"/>
      <c r="GZ148" s="134"/>
      <c r="HA148" s="134"/>
      <c r="HB148" s="134"/>
      <c r="HC148" s="134"/>
      <c r="HD148" s="134"/>
      <c r="HE148" s="135"/>
      <c r="HF148" s="135"/>
      <c r="HG148" s="134"/>
      <c r="HH148" s="134"/>
      <c r="HI148" s="134"/>
      <c r="HJ148" s="134"/>
      <c r="HK148" s="134"/>
      <c r="HL148" s="134"/>
      <c r="HM148" s="134"/>
      <c r="HN148" s="134"/>
      <c r="HO148" s="135"/>
      <c r="HP148" s="135"/>
      <c r="HQ148" s="134"/>
      <c r="HR148" s="134"/>
      <c r="HS148" s="134"/>
      <c r="HT148" s="134"/>
      <c r="HU148" s="134"/>
      <c r="HV148" s="134"/>
      <c r="HW148" s="134"/>
      <c r="HX148" s="134"/>
      <c r="HY148" s="135"/>
      <c r="HZ148" s="135"/>
      <c r="IA148" s="134"/>
      <c r="IB148" s="134"/>
      <c r="IC148" s="134"/>
      <c r="ID148" s="134"/>
      <c r="IE148" s="134"/>
      <c r="IF148" s="134"/>
      <c r="IG148" s="134"/>
      <c r="IH148" s="134"/>
      <c r="II148" s="135"/>
      <c r="IJ148" s="135"/>
      <c r="IK148" s="134"/>
      <c r="IL148" s="134"/>
      <c r="IM148" s="134"/>
      <c r="IN148" s="134"/>
      <c r="IO148" s="134"/>
      <c r="IP148" s="134"/>
      <c r="IQ148" s="134"/>
      <c r="IR148" s="134"/>
      <c r="IS148" s="135"/>
      <c r="IT148" s="135"/>
      <c r="IU148" s="134"/>
      <c r="IV148" s="134"/>
      <c r="IW148" s="134"/>
      <c r="IX148" s="134"/>
      <c r="IY148" s="134"/>
      <c r="IZ148" s="134"/>
      <c r="JA148" s="134"/>
      <c r="JB148" s="134"/>
      <c r="JC148" s="135"/>
      <c r="JD148" s="135"/>
    </row>
    <row r="149" spans="1:264" customFormat="1" ht="15" customHeight="1">
      <c r="A149" s="118" t="s">
        <v>1101</v>
      </c>
      <c r="B149" s="614">
        <v>7</v>
      </c>
      <c r="C149" s="614"/>
      <c r="D149" s="614"/>
      <c r="E149" s="605" t="s">
        <v>2056</v>
      </c>
      <c r="F149" s="140" t="s">
        <v>2300</v>
      </c>
      <c r="G149" s="141">
        <v>2015</v>
      </c>
      <c r="H149" s="118">
        <v>26210936</v>
      </c>
      <c r="I149" s="118">
        <v>1</v>
      </c>
      <c r="J149" s="118">
        <v>1</v>
      </c>
      <c r="K149" s="118"/>
      <c r="L149" s="118">
        <v>1</v>
      </c>
      <c r="M149" s="118"/>
      <c r="N149" s="158">
        <v>1</v>
      </c>
      <c r="O149" s="142">
        <v>2</v>
      </c>
      <c r="P149" s="118" t="s">
        <v>1220</v>
      </c>
      <c r="Q149" s="118" t="s">
        <v>1224</v>
      </c>
      <c r="R149" s="118" t="s">
        <v>1127</v>
      </c>
      <c r="S149" s="118"/>
      <c r="T149" s="118" t="s">
        <v>1217</v>
      </c>
      <c r="U149" s="118"/>
      <c r="V149" s="118"/>
      <c r="W149" s="118" t="s">
        <v>1218</v>
      </c>
      <c r="X149" s="118" t="s">
        <v>1219</v>
      </c>
      <c r="Y149" s="118"/>
      <c r="Z149" s="118"/>
      <c r="AA149" s="118" t="s">
        <v>1655</v>
      </c>
      <c r="AB149" s="118" t="s">
        <v>1654</v>
      </c>
      <c r="AC149" s="145"/>
      <c r="AD149" s="573">
        <v>1</v>
      </c>
      <c r="AE149" s="573">
        <v>2</v>
      </c>
      <c r="AF149" s="230" t="s">
        <v>1917</v>
      </c>
      <c r="AG149" s="231" t="s">
        <v>3319</v>
      </c>
      <c r="AH149" s="152">
        <v>4</v>
      </c>
      <c r="AI149" s="485"/>
      <c r="AJ149" s="242" t="s">
        <v>2602</v>
      </c>
      <c r="AK149" s="236">
        <v>1</v>
      </c>
      <c r="AL149" s="243">
        <v>1</v>
      </c>
      <c r="AM149" s="152" t="s">
        <v>2600</v>
      </c>
      <c r="AN149" s="152" t="s">
        <v>2601</v>
      </c>
      <c r="AO149" s="152" t="s">
        <v>2601</v>
      </c>
      <c r="AP149" s="152" t="s">
        <v>803</v>
      </c>
      <c r="AQ149" s="152" t="s">
        <v>803</v>
      </c>
      <c r="AR149" s="152" t="s">
        <v>2468</v>
      </c>
      <c r="AS149" s="152" t="s">
        <v>24</v>
      </c>
      <c r="AT149" s="152" t="s">
        <v>2468</v>
      </c>
      <c r="AU149" s="152" t="s">
        <v>24</v>
      </c>
      <c r="AV149" s="152" t="s">
        <v>2599</v>
      </c>
      <c r="AW149" s="152">
        <v>0</v>
      </c>
      <c r="AX149" s="135" t="s">
        <v>3343</v>
      </c>
      <c r="AY149" s="152"/>
      <c r="AZ149" s="152" t="s">
        <v>1130</v>
      </c>
      <c r="BA149" s="152" t="s">
        <v>2554</v>
      </c>
      <c r="BB149" s="588"/>
      <c r="BC149" s="588"/>
      <c r="BD149" s="244">
        <v>1</v>
      </c>
      <c r="BE149" s="161"/>
      <c r="BF149" s="161"/>
      <c r="BG149" s="161"/>
      <c r="BH149" s="161"/>
      <c r="BI149" s="161"/>
      <c r="BJ149" s="161"/>
      <c r="BK149" s="161"/>
      <c r="BL149" s="161"/>
      <c r="BM149" s="161"/>
      <c r="BN149" s="161"/>
      <c r="BO149" s="161"/>
      <c r="BP149" s="161"/>
      <c r="BQ149" s="596" t="s">
        <v>2529</v>
      </c>
      <c r="BR149" s="162" t="s">
        <v>6597</v>
      </c>
      <c r="BS149" s="660"/>
      <c r="BT149" s="150" t="s">
        <v>1876</v>
      </c>
      <c r="BU149" s="150" t="s">
        <v>2608</v>
      </c>
      <c r="BV149" s="150" t="s">
        <v>1501</v>
      </c>
      <c r="BW149" s="150" t="s">
        <v>2606</v>
      </c>
      <c r="BX149" s="150" t="s">
        <v>2659</v>
      </c>
      <c r="BY149" s="134" t="s">
        <v>2659</v>
      </c>
      <c r="BZ149" s="258" t="s">
        <v>2652</v>
      </c>
      <c r="CA149" s="257" t="s">
        <v>24</v>
      </c>
      <c r="CB149" s="151" t="s">
        <v>2611</v>
      </c>
      <c r="CC149" s="150">
        <v>81.508300000000006</v>
      </c>
      <c r="CD149" s="150" t="s">
        <v>24</v>
      </c>
      <c r="CE149" s="150">
        <f>86.7722-Table668[[#This Row],[Data_Outcome1_M]]</f>
        <v>5.2638999999999925</v>
      </c>
      <c r="CF149" s="151" t="s">
        <v>2614</v>
      </c>
      <c r="CG149" s="150">
        <v>74.100099999999998</v>
      </c>
      <c r="CH149" s="150" t="s">
        <v>24</v>
      </c>
      <c r="CI149" s="150">
        <f>Table668[[#This Row],[Data_Outcome2_M]]-70.5917</f>
        <v>3.5083999999999946</v>
      </c>
      <c r="CJ149" s="290" t="s">
        <v>2639</v>
      </c>
      <c r="CK149" s="291" t="s">
        <v>2480</v>
      </c>
      <c r="CL149" s="151" t="s">
        <v>2618</v>
      </c>
      <c r="CM149" s="150">
        <v>75.883600000000001</v>
      </c>
      <c r="CN149" s="150" t="s">
        <v>24</v>
      </c>
      <c r="CO149" s="150">
        <f>80.1721-Table668[[#This Row],[Data_Outcome3_M]]</f>
        <v>4.2884999999999991</v>
      </c>
      <c r="CP149" s="151" t="s">
        <v>2619</v>
      </c>
      <c r="CQ149" s="150">
        <v>65.162000000000006</v>
      </c>
      <c r="CR149" s="150" t="s">
        <v>24</v>
      </c>
      <c r="CS149" s="150">
        <f>Table668[[#This Row],[Data_Outcome4_M]]-60.484</f>
        <v>4.6780000000000044</v>
      </c>
      <c r="CT149" s="290" t="s">
        <v>2638</v>
      </c>
      <c r="CU149" s="291" t="s">
        <v>2480</v>
      </c>
      <c r="CV149" s="278"/>
      <c r="CW149" s="285"/>
      <c r="CX149" s="151" t="s">
        <v>2620</v>
      </c>
      <c r="CY149" s="150">
        <v>64.021100000000004</v>
      </c>
      <c r="CZ149" s="150" t="s">
        <v>24</v>
      </c>
      <c r="DA149" s="150">
        <f>70.4531-Table668[[#This Row],[Data_Outcome5_M]]</f>
        <v>6.4320000000000022</v>
      </c>
      <c r="DB149" s="150" t="s">
        <v>2621</v>
      </c>
      <c r="DC149" s="150">
        <v>47.842199999999998</v>
      </c>
      <c r="DD149" s="150" t="s">
        <v>24</v>
      </c>
      <c r="DE149" s="150">
        <f>52.91-Table668[[#This Row],[Data_Outcome6_M]]</f>
        <v>5.0677999999999983</v>
      </c>
      <c r="DF149" s="302" t="s">
        <v>2641</v>
      </c>
      <c r="DG149" s="303" t="s">
        <v>2415</v>
      </c>
      <c r="DH149" s="151" t="s">
        <v>2622</v>
      </c>
      <c r="DI149" s="150">
        <v>35.394100000000002</v>
      </c>
      <c r="DJ149" s="150" t="s">
        <v>24</v>
      </c>
      <c r="DK149" s="150">
        <f>40.0725-Table668[[#This Row],[Data_Outcome7_M]]</f>
        <v>4.6783999999999963</v>
      </c>
      <c r="DL149" s="151" t="s">
        <v>2623</v>
      </c>
      <c r="DM149" s="150">
        <v>30.910699999999999</v>
      </c>
      <c r="DN149" s="150" t="s">
        <v>24</v>
      </c>
      <c r="DO149" s="150">
        <f>Table668[[#This Row],[Data_Outcome8_M]]-27.7918</f>
        <v>3.1189</v>
      </c>
      <c r="DP149" s="302" t="s">
        <v>2642</v>
      </c>
      <c r="DQ149" s="303" t="s">
        <v>2643</v>
      </c>
      <c r="DR149" s="278"/>
      <c r="DS149" s="279"/>
      <c r="DT149" s="151" t="s">
        <v>2624</v>
      </c>
      <c r="DU149" s="150">
        <v>28.014600000000002</v>
      </c>
      <c r="DV149" s="150" t="s">
        <v>24</v>
      </c>
      <c r="DW149" s="150">
        <f>30.5488-Table668[[#This Row],[Data_Outcome9_M]]</f>
        <v>2.5341999999999985</v>
      </c>
      <c r="DX149" s="151" t="s">
        <v>2625</v>
      </c>
      <c r="DY149" s="150">
        <v>15.149100000000001</v>
      </c>
      <c r="DZ149" s="150" t="s">
        <v>24</v>
      </c>
      <c r="EA149" s="150">
        <f>Table668[[#This Row],[Data_Outcome10_M]]-12.615</f>
        <v>2.5341000000000005</v>
      </c>
      <c r="EB149" s="303" t="s">
        <v>2644</v>
      </c>
      <c r="EC149" s="303" t="s">
        <v>2415</v>
      </c>
      <c r="ED149" s="151" t="s">
        <v>2631</v>
      </c>
      <c r="EE149" s="150">
        <v>23.949400000000001</v>
      </c>
      <c r="EF149" s="150" t="s">
        <v>24</v>
      </c>
      <c r="EG149" s="150">
        <f>26.6785-Table668[[#This Row],[Data_Outcome11_M]]</f>
        <v>2.729099999999999</v>
      </c>
      <c r="EH149" s="151" t="s">
        <v>2632</v>
      </c>
      <c r="EI149" s="150">
        <v>15.567</v>
      </c>
      <c r="EJ149" s="150" t="s">
        <v>24</v>
      </c>
      <c r="EK149" s="150">
        <f>19.4656-Table668[[#This Row],[Data_Outcome12_M]]</f>
        <v>3.8985999999999983</v>
      </c>
      <c r="EL149" s="303" t="s">
        <v>2645</v>
      </c>
      <c r="EM149" s="303" t="s">
        <v>2415</v>
      </c>
      <c r="EN149" s="279" t="s">
        <v>2651</v>
      </c>
      <c r="EO149" s="150"/>
      <c r="EP149" s="150"/>
      <c r="EQ149" s="150"/>
      <c r="ER149" s="150"/>
      <c r="ES149" s="150"/>
      <c r="ET149" s="150"/>
      <c r="EU149" s="150"/>
      <c r="EV149" s="150"/>
      <c r="EW149" s="303"/>
      <c r="EX149" s="303"/>
      <c r="EY149" s="150"/>
      <c r="EZ149" s="150"/>
      <c r="FA149" s="150"/>
      <c r="FB149" s="150"/>
      <c r="FC149" s="134"/>
      <c r="FD149" s="134"/>
      <c r="FE149" s="134"/>
      <c r="FF149" s="134"/>
      <c r="FG149" s="135"/>
      <c r="FH149" s="135"/>
      <c r="FI149" s="134"/>
      <c r="FJ149" s="134"/>
      <c r="FK149" s="134"/>
      <c r="FL149" s="134"/>
      <c r="FM149" s="134"/>
      <c r="FN149" s="134"/>
      <c r="FO149" s="134"/>
      <c r="FP149" s="134"/>
      <c r="FQ149" s="135"/>
      <c r="FR149" s="135"/>
      <c r="FS149" s="134"/>
      <c r="FT149" s="134"/>
      <c r="FU149" s="134"/>
      <c r="FV149" s="134"/>
      <c r="FW149" s="134"/>
      <c r="FX149" s="134"/>
      <c r="FY149" s="134"/>
      <c r="FZ149" s="134"/>
      <c r="GA149" s="135"/>
      <c r="GB149" s="135"/>
      <c r="GC149" s="134"/>
      <c r="GD149" s="134"/>
      <c r="GE149" s="134"/>
      <c r="GF149" s="134"/>
      <c r="GG149" s="134"/>
      <c r="GH149" s="134"/>
      <c r="GI149" s="134"/>
      <c r="GJ149" s="134"/>
      <c r="GK149" s="135"/>
      <c r="GL149" s="135"/>
      <c r="GM149" s="134"/>
      <c r="GN149" s="134"/>
      <c r="GO149" s="134"/>
      <c r="GP149" s="134"/>
      <c r="GQ149" s="134"/>
      <c r="GR149" s="134"/>
      <c r="GS149" s="134"/>
      <c r="GT149" s="134"/>
      <c r="GU149" s="135"/>
      <c r="GV149" s="135"/>
      <c r="GW149" s="134"/>
      <c r="GX149" s="134"/>
      <c r="GY149" s="134"/>
      <c r="GZ149" s="134"/>
      <c r="HA149" s="134"/>
      <c r="HB149" s="134"/>
      <c r="HC149" s="134"/>
      <c r="HD149" s="134"/>
      <c r="HE149" s="135"/>
      <c r="HF149" s="135"/>
      <c r="HG149" s="134"/>
      <c r="HH149" s="134"/>
      <c r="HI149" s="134"/>
      <c r="HJ149" s="134"/>
      <c r="HK149" s="134"/>
      <c r="HL149" s="134"/>
      <c r="HM149" s="134"/>
      <c r="HN149" s="134"/>
      <c r="HO149" s="135"/>
      <c r="HP149" s="135"/>
      <c r="HQ149" s="134"/>
      <c r="HR149" s="134"/>
      <c r="HS149" s="134"/>
      <c r="HT149" s="134"/>
      <c r="HU149" s="134"/>
      <c r="HV149" s="134"/>
      <c r="HW149" s="134"/>
      <c r="HX149" s="134"/>
      <c r="HY149" s="135"/>
      <c r="HZ149" s="135"/>
      <c r="IA149" s="134"/>
      <c r="IB149" s="134"/>
      <c r="IC149" s="134"/>
      <c r="ID149" s="134"/>
      <c r="IE149" s="134"/>
      <c r="IF149" s="134"/>
      <c r="IG149" s="134"/>
      <c r="IH149" s="134"/>
      <c r="II149" s="135"/>
      <c r="IJ149" s="135"/>
      <c r="IK149" s="134"/>
      <c r="IL149" s="134"/>
      <c r="IM149" s="134"/>
      <c r="IN149" s="134"/>
      <c r="IO149" s="134"/>
      <c r="IP149" s="134"/>
      <c r="IQ149" s="134"/>
      <c r="IR149" s="134"/>
      <c r="IS149" s="135"/>
      <c r="IT149" s="135"/>
      <c r="IU149" s="134"/>
      <c r="IV149" s="134"/>
      <c r="IW149" s="134"/>
      <c r="IX149" s="134"/>
      <c r="IY149" s="134"/>
      <c r="IZ149" s="134"/>
      <c r="JA149" s="134"/>
      <c r="JB149" s="134"/>
      <c r="JC149" s="135"/>
      <c r="JD149" s="135"/>
    </row>
    <row r="150" spans="1:264" customFormat="1" ht="15" customHeight="1">
      <c r="A150" s="79" t="s">
        <v>1101</v>
      </c>
      <c r="B150" s="614">
        <v>7</v>
      </c>
      <c r="C150" s="614"/>
      <c r="D150" s="614"/>
      <c r="E150" s="604" t="s">
        <v>2056</v>
      </c>
      <c r="F150" s="124" t="s">
        <v>2300</v>
      </c>
      <c r="G150" s="125">
        <v>2015</v>
      </c>
      <c r="H150" s="79">
        <v>26210936</v>
      </c>
      <c r="I150" s="79">
        <v>1</v>
      </c>
      <c r="J150" s="126">
        <v>1</v>
      </c>
      <c r="K150" s="127"/>
      <c r="L150" s="79">
        <v>1</v>
      </c>
      <c r="M150" s="79"/>
      <c r="N150" s="153">
        <v>1</v>
      </c>
      <c r="O150" s="128">
        <v>2</v>
      </c>
      <c r="P150" s="79" t="s">
        <v>1220</v>
      </c>
      <c r="Q150" s="79" t="s">
        <v>1224</v>
      </c>
      <c r="R150" s="79" t="s">
        <v>1127</v>
      </c>
      <c r="S150" s="79"/>
      <c r="T150" s="79" t="s">
        <v>1217</v>
      </c>
      <c r="U150" s="79"/>
      <c r="V150" s="79"/>
      <c r="W150" s="79" t="s">
        <v>1218</v>
      </c>
      <c r="X150" s="79" t="s">
        <v>1219</v>
      </c>
      <c r="Y150" s="79"/>
      <c r="Z150" s="79"/>
      <c r="AA150" s="79" t="s">
        <v>1655</v>
      </c>
      <c r="AB150" s="79" t="s">
        <v>1654</v>
      </c>
      <c r="AC150" s="506"/>
      <c r="AD150" s="573">
        <v>1</v>
      </c>
      <c r="AE150" s="573">
        <v>2</v>
      </c>
      <c r="AF150" s="230" t="s">
        <v>1917</v>
      </c>
      <c r="AG150" s="231" t="s">
        <v>3319</v>
      </c>
      <c r="AH150" s="135">
        <v>4</v>
      </c>
      <c r="AI150" s="484"/>
      <c r="AJ150" s="235" t="s">
        <v>2602</v>
      </c>
      <c r="AK150" s="236">
        <v>1</v>
      </c>
      <c r="AL150" s="237">
        <v>1</v>
      </c>
      <c r="AM150" s="135" t="s">
        <v>2600</v>
      </c>
      <c r="AN150" s="135" t="s">
        <v>2601</v>
      </c>
      <c r="AO150" s="135" t="s">
        <v>2601</v>
      </c>
      <c r="AP150" s="135" t="s">
        <v>803</v>
      </c>
      <c r="AQ150" s="135" t="s">
        <v>803</v>
      </c>
      <c r="AR150" s="135" t="s">
        <v>2468</v>
      </c>
      <c r="AS150" s="135" t="s">
        <v>24</v>
      </c>
      <c r="AT150" s="135" t="s">
        <v>2468</v>
      </c>
      <c r="AU150" s="135" t="s">
        <v>24</v>
      </c>
      <c r="AV150" s="135" t="s">
        <v>2599</v>
      </c>
      <c r="AW150" s="135">
        <v>0</v>
      </c>
      <c r="AX150" s="135" t="s">
        <v>3343</v>
      </c>
      <c r="AY150" s="135"/>
      <c r="AZ150" s="135" t="s">
        <v>1130</v>
      </c>
      <c r="BA150" s="152" t="s">
        <v>2554</v>
      </c>
      <c r="BB150" s="588"/>
      <c r="BC150" s="588"/>
      <c r="BD150" s="239">
        <v>1</v>
      </c>
      <c r="BE150" s="156"/>
      <c r="BF150" s="156"/>
      <c r="BG150" s="156"/>
      <c r="BH150" s="156"/>
      <c r="BI150" s="156"/>
      <c r="BJ150" s="156"/>
      <c r="BK150" s="156"/>
      <c r="BL150" s="156"/>
      <c r="BM150" s="156"/>
      <c r="BN150" s="156"/>
      <c r="BO150" s="156"/>
      <c r="BP150" s="156"/>
      <c r="BQ150" s="595" t="s">
        <v>2528</v>
      </c>
      <c r="BR150" s="157" t="s">
        <v>6596</v>
      </c>
      <c r="BS150" s="660"/>
      <c r="BT150" s="134" t="s">
        <v>1876</v>
      </c>
      <c r="BU150" s="134" t="s">
        <v>2608</v>
      </c>
      <c r="BV150" s="134" t="s">
        <v>1501</v>
      </c>
      <c r="BW150" s="134" t="s">
        <v>2606</v>
      </c>
      <c r="BX150" s="134" t="s">
        <v>2659</v>
      </c>
      <c r="BY150" s="134" t="s">
        <v>2659</v>
      </c>
      <c r="BZ150" s="259" t="s">
        <v>2648</v>
      </c>
      <c r="CA150" s="454">
        <v>0</v>
      </c>
      <c r="CB150" s="138" t="s">
        <v>2610</v>
      </c>
      <c r="CC150" s="134">
        <v>12.2875</v>
      </c>
      <c r="CD150" s="134" t="s">
        <v>24</v>
      </c>
      <c r="CE150" s="134">
        <f>15.6006-Table668[[#This Row],[Data_Outcome1_M]]</f>
        <v>3.3131000000000004</v>
      </c>
      <c r="CF150" s="138" t="s">
        <v>2613</v>
      </c>
      <c r="CG150" s="190">
        <v>12.233000000000001</v>
      </c>
      <c r="CH150" s="134" t="s">
        <v>24</v>
      </c>
      <c r="CI150" s="134">
        <f>14.7573-Table668[[#This Row],[Data_Outcome2_M]]</f>
        <v>2.5243000000000002</v>
      </c>
      <c r="CJ150" s="290" t="s">
        <v>2640</v>
      </c>
      <c r="CK150" s="289" t="s">
        <v>2480</v>
      </c>
      <c r="CL150" s="138" t="s">
        <v>24</v>
      </c>
      <c r="CM150" s="134" t="s">
        <v>24</v>
      </c>
      <c r="CN150" s="134"/>
      <c r="CO150" s="134"/>
      <c r="CP150" s="138"/>
      <c r="CQ150" s="134"/>
      <c r="CR150" s="134"/>
      <c r="CS150" s="134"/>
      <c r="CT150" s="288"/>
      <c r="CU150" s="289"/>
      <c r="CV150" s="276"/>
      <c r="CW150" s="308"/>
      <c r="CX150" s="138"/>
      <c r="CY150" s="134"/>
      <c r="CZ150" s="134"/>
      <c r="DA150" s="134"/>
      <c r="DB150" s="134"/>
      <c r="DC150" s="134"/>
      <c r="DD150" s="134"/>
      <c r="DE150" s="134"/>
      <c r="DF150" s="300"/>
      <c r="DG150" s="301"/>
      <c r="DH150" s="134"/>
      <c r="DI150" s="134"/>
      <c r="DJ150" s="134"/>
      <c r="DK150" s="134"/>
      <c r="DL150" s="134"/>
      <c r="DM150" s="134"/>
      <c r="DN150" s="134"/>
      <c r="DO150" s="134"/>
      <c r="DP150" s="300"/>
      <c r="DQ150" s="301"/>
      <c r="DR150" s="276"/>
      <c r="DS150" s="277"/>
      <c r="DT150" s="134"/>
      <c r="DU150" s="134"/>
      <c r="DV150" s="134"/>
      <c r="DW150" s="134"/>
      <c r="DX150" s="138"/>
      <c r="DY150" s="134"/>
      <c r="DZ150" s="134"/>
      <c r="EA150" s="134"/>
      <c r="EB150" s="301"/>
      <c r="EC150" s="301"/>
      <c r="ED150" s="138"/>
      <c r="EE150" s="134"/>
      <c r="EF150" s="134"/>
      <c r="EG150" s="134"/>
      <c r="EH150" s="138"/>
      <c r="EI150" s="134"/>
      <c r="EJ150" s="134"/>
      <c r="EK150" s="134"/>
      <c r="EL150" s="301"/>
      <c r="EM150" s="301"/>
      <c r="EN150" s="277"/>
      <c r="EO150" s="134"/>
      <c r="EP150" s="134"/>
      <c r="EQ150" s="134"/>
      <c r="ER150" s="134"/>
      <c r="ES150" s="134"/>
      <c r="ET150" s="134"/>
      <c r="EU150" s="134"/>
      <c r="EV150" s="134"/>
      <c r="EW150" s="301"/>
      <c r="EX150" s="301"/>
      <c r="EY150" s="134"/>
      <c r="EZ150" s="134"/>
      <c r="FA150" s="134"/>
      <c r="FB150" s="134"/>
      <c r="FC150" s="134"/>
      <c r="FD150" s="134"/>
      <c r="FE150" s="134"/>
      <c r="FF150" s="134"/>
      <c r="FG150" s="135"/>
      <c r="FH150" s="135"/>
      <c r="FI150" s="134"/>
      <c r="FJ150" s="134"/>
      <c r="FK150" s="134"/>
      <c r="FL150" s="134"/>
      <c r="FM150" s="134"/>
      <c r="FN150" s="134"/>
      <c r="FO150" s="134"/>
      <c r="FP150" s="134"/>
      <c r="FQ150" s="135"/>
      <c r="FR150" s="135"/>
      <c r="FS150" s="134"/>
      <c r="FT150" s="134"/>
      <c r="FU150" s="134"/>
      <c r="FV150" s="134"/>
      <c r="FW150" s="134"/>
      <c r="FX150" s="134"/>
      <c r="FY150" s="134"/>
      <c r="FZ150" s="134"/>
      <c r="GA150" s="135"/>
      <c r="GB150" s="135"/>
      <c r="GC150" s="134"/>
      <c r="GD150" s="134"/>
      <c r="GE150" s="134"/>
      <c r="GF150" s="134"/>
      <c r="GG150" s="134"/>
      <c r="GH150" s="134"/>
      <c r="GI150" s="134"/>
      <c r="GJ150" s="134"/>
      <c r="GK150" s="135"/>
      <c r="GL150" s="135"/>
      <c r="GM150" s="134"/>
      <c r="GN150" s="134"/>
      <c r="GO150" s="134"/>
      <c r="GP150" s="134"/>
      <c r="GQ150" s="134"/>
      <c r="GR150" s="134"/>
      <c r="GS150" s="134"/>
      <c r="GT150" s="134"/>
      <c r="GU150" s="135"/>
      <c r="GV150" s="135"/>
      <c r="GW150" s="134"/>
      <c r="GX150" s="134"/>
      <c r="GY150" s="134"/>
      <c r="GZ150" s="134"/>
      <c r="HA150" s="134"/>
      <c r="HB150" s="134"/>
      <c r="HC150" s="134"/>
      <c r="HD150" s="134"/>
      <c r="HE150" s="135"/>
      <c r="HF150" s="135"/>
      <c r="HG150" s="134"/>
      <c r="HH150" s="134"/>
      <c r="HI150" s="134"/>
      <c r="HJ150" s="134"/>
      <c r="HK150" s="134"/>
      <c r="HL150" s="134"/>
      <c r="HM150" s="134"/>
      <c r="HN150" s="134"/>
      <c r="HO150" s="135"/>
      <c r="HP150" s="135"/>
      <c r="HQ150" s="134"/>
      <c r="HR150" s="134"/>
      <c r="HS150" s="134"/>
      <c r="HT150" s="134"/>
      <c r="HU150" s="134"/>
      <c r="HV150" s="134"/>
      <c r="HW150" s="134"/>
      <c r="HX150" s="134"/>
      <c r="HY150" s="135"/>
      <c r="HZ150" s="135"/>
      <c r="IA150" s="134"/>
      <c r="IB150" s="134"/>
      <c r="IC150" s="134"/>
      <c r="ID150" s="134"/>
      <c r="IE150" s="134"/>
      <c r="IF150" s="134"/>
      <c r="IG150" s="134"/>
      <c r="IH150" s="134"/>
      <c r="II150" s="135"/>
      <c r="IJ150" s="135"/>
      <c r="IK150" s="134"/>
      <c r="IL150" s="134"/>
      <c r="IM150" s="134"/>
      <c r="IN150" s="134"/>
      <c r="IO150" s="134"/>
      <c r="IP150" s="134"/>
      <c r="IQ150" s="134"/>
      <c r="IR150" s="134"/>
      <c r="IS150" s="135"/>
      <c r="IT150" s="135"/>
      <c r="IU150" s="134"/>
      <c r="IV150" s="134"/>
      <c r="IW150" s="134"/>
      <c r="IX150" s="134"/>
      <c r="IY150" s="134"/>
      <c r="IZ150" s="134"/>
      <c r="JA150" s="134"/>
      <c r="JB150" s="134"/>
      <c r="JC150" s="135"/>
      <c r="JD150" s="135"/>
    </row>
    <row r="151" spans="1:264" customFormat="1" ht="15" customHeight="1">
      <c r="A151" s="79" t="s">
        <v>105</v>
      </c>
      <c r="B151" s="362">
        <v>78</v>
      </c>
      <c r="C151" s="362">
        <v>10</v>
      </c>
      <c r="D151" s="362"/>
      <c r="E151" s="604" t="s">
        <v>1933</v>
      </c>
      <c r="F151" s="124" t="s">
        <v>2151</v>
      </c>
      <c r="G151" s="125">
        <v>2008</v>
      </c>
      <c r="H151" s="79">
        <v>17352380</v>
      </c>
      <c r="I151" s="79">
        <v>1</v>
      </c>
      <c r="J151" s="126"/>
      <c r="K151" s="127"/>
      <c r="L151" s="79">
        <v>1</v>
      </c>
      <c r="M151" s="79"/>
      <c r="N151" s="79">
        <v>1</v>
      </c>
      <c r="O151" s="128">
        <v>1</v>
      </c>
      <c r="P151" s="79" t="s">
        <v>73</v>
      </c>
      <c r="Q151" s="79" t="s">
        <v>1147</v>
      </c>
      <c r="R151" s="79" t="s">
        <v>25</v>
      </c>
      <c r="S151" s="79"/>
      <c r="T151" s="79"/>
      <c r="U151" s="79"/>
      <c r="V151" s="79"/>
      <c r="W151" s="79" t="s">
        <v>371</v>
      </c>
      <c r="X151" s="79"/>
      <c r="Y151" s="79"/>
      <c r="Z151" s="79"/>
      <c r="AA151" s="79"/>
      <c r="AB151" s="79" t="s">
        <v>372</v>
      </c>
      <c r="AC151" s="506"/>
      <c r="AD151" s="573">
        <v>1</v>
      </c>
      <c r="AE151" s="573">
        <v>2</v>
      </c>
      <c r="AF151" s="154">
        <v>1</v>
      </c>
      <c r="AG151" s="155"/>
      <c r="AH151" s="121">
        <v>2</v>
      </c>
      <c r="AI151" s="484"/>
      <c r="AJ151" s="122" t="s">
        <v>3903</v>
      </c>
      <c r="AK151" s="192">
        <v>1</v>
      </c>
      <c r="AL151" s="203" t="s">
        <v>24</v>
      </c>
      <c r="AM151" s="417">
        <v>148</v>
      </c>
      <c r="AN151" s="121">
        <v>47</v>
      </c>
      <c r="AO151" s="121" t="s">
        <v>3896</v>
      </c>
      <c r="AP151" s="121" t="s">
        <v>3897</v>
      </c>
      <c r="AQ151" s="121" t="s">
        <v>3898</v>
      </c>
      <c r="AR151" s="121">
        <v>54.73</v>
      </c>
      <c r="AS151" s="121">
        <v>12.83</v>
      </c>
      <c r="AT151" s="121" t="s">
        <v>3899</v>
      </c>
      <c r="AU151" s="121" t="s">
        <v>3900</v>
      </c>
      <c r="AV151" s="121" t="s">
        <v>1874</v>
      </c>
      <c r="AW151" s="121" t="s">
        <v>24</v>
      </c>
      <c r="AX151" s="121" t="s">
        <v>24</v>
      </c>
      <c r="AY151" s="121" t="s">
        <v>3895</v>
      </c>
      <c r="AZ151" s="121" t="s">
        <v>3835</v>
      </c>
      <c r="BA151" s="121" t="s">
        <v>3894</v>
      </c>
      <c r="BB151" s="594"/>
      <c r="BC151" s="594"/>
      <c r="BD151" s="156"/>
      <c r="BE151" s="156"/>
      <c r="BF151" s="156"/>
      <c r="BG151" s="156"/>
      <c r="BH151" s="156"/>
      <c r="BI151" s="156"/>
      <c r="BJ151" s="156">
        <v>1</v>
      </c>
      <c r="BK151" s="156"/>
      <c r="BL151" s="156"/>
      <c r="BM151" s="156"/>
      <c r="BN151" s="156"/>
      <c r="BO151" s="156"/>
      <c r="BP151" s="156"/>
      <c r="BQ151" s="595" t="s">
        <v>3908</v>
      </c>
      <c r="BR151" s="157" t="s">
        <v>6610</v>
      </c>
      <c r="BS151" s="660"/>
      <c r="BT151" s="134" t="s">
        <v>1876</v>
      </c>
      <c r="BU151" s="134" t="s">
        <v>3901</v>
      </c>
      <c r="BV151" s="134" t="s">
        <v>3906</v>
      </c>
      <c r="BW151" s="134" t="s">
        <v>24</v>
      </c>
      <c r="BX151" s="134" t="s">
        <v>3907</v>
      </c>
      <c r="BY151" s="134" t="s">
        <v>6645</v>
      </c>
      <c r="BZ151" s="259" t="s">
        <v>3923</v>
      </c>
      <c r="CA151" s="454" t="s">
        <v>24</v>
      </c>
      <c r="CB151" s="138" t="s">
        <v>3909</v>
      </c>
      <c r="CC151" s="190">
        <v>6.3082399999999996</v>
      </c>
      <c r="CD151" s="134" t="s">
        <v>24</v>
      </c>
      <c r="CE151" s="190">
        <f>6.84588-Table668[[#This Row],[Data_Outcome1_M]]</f>
        <v>0.53764000000000056</v>
      </c>
      <c r="CF151" s="138" t="s">
        <v>3911</v>
      </c>
      <c r="CG151" s="190">
        <v>7.7957000000000001</v>
      </c>
      <c r="CH151" s="134" t="s">
        <v>24</v>
      </c>
      <c r="CI151" s="389">
        <f>8.35125-Table668[[#This Row],[Data_Outcome2_M]]</f>
        <v>0.55555000000000021</v>
      </c>
      <c r="CJ151" s="288" t="s">
        <v>24</v>
      </c>
      <c r="CK151" s="289" t="s">
        <v>24</v>
      </c>
      <c r="CL151" s="138" t="s">
        <v>3910</v>
      </c>
      <c r="CM151" s="134">
        <v>8.2616499999999995</v>
      </c>
      <c r="CN151" s="134" t="s">
        <v>24</v>
      </c>
      <c r="CO151" s="134">
        <f>8.65591-Table668[[#This Row],[Data_Outcome3_M]]</f>
        <v>0.39426000000000094</v>
      </c>
      <c r="CP151" s="138" t="s">
        <v>24</v>
      </c>
      <c r="CQ151" s="134" t="s">
        <v>24</v>
      </c>
      <c r="CR151" s="134" t="s">
        <v>24</v>
      </c>
      <c r="CS151" s="134" t="s">
        <v>24</v>
      </c>
      <c r="CT151" s="288" t="s">
        <v>24</v>
      </c>
      <c r="CU151" s="289" t="s">
        <v>24</v>
      </c>
      <c r="CV151" s="276" t="s">
        <v>3918</v>
      </c>
      <c r="CW151" s="277" t="s">
        <v>3919</v>
      </c>
      <c r="CX151" s="138" t="s">
        <v>3912</v>
      </c>
      <c r="CY151" s="190">
        <v>7.4635699999999998</v>
      </c>
      <c r="CZ151" s="134" t="s">
        <v>24</v>
      </c>
      <c r="DA151" s="190">
        <f>8.01813-Table668[[#This Row],[Data_Outcome5_M]]</f>
        <v>0.5545599999999995</v>
      </c>
      <c r="DB151" s="138" t="s">
        <v>3913</v>
      </c>
      <c r="DC151" s="134">
        <v>8.1663700000000006</v>
      </c>
      <c r="DD151" s="134" t="s">
        <v>24</v>
      </c>
      <c r="DE151" s="134">
        <f>8.70302-Table668[[#This Row],[Data_Outcome6_M]]</f>
        <v>0.53664999999999985</v>
      </c>
      <c r="DF151" s="300" t="s">
        <v>24</v>
      </c>
      <c r="DG151" s="301" t="s">
        <v>24</v>
      </c>
      <c r="DH151" s="138" t="s">
        <v>3914</v>
      </c>
      <c r="DI151" s="190">
        <v>9.1553699999999996</v>
      </c>
      <c r="DJ151" s="134" t="s">
        <v>24</v>
      </c>
      <c r="DK151" s="190">
        <f>9.53104-Table668[[#This Row],[Data_Outcome7_M]]</f>
        <v>0.37567000000000128</v>
      </c>
      <c r="DL151" s="134" t="s">
        <v>24</v>
      </c>
      <c r="DM151" s="134" t="s">
        <v>24</v>
      </c>
      <c r="DN151" s="134" t="s">
        <v>24</v>
      </c>
      <c r="DO151" s="134" t="s">
        <v>24</v>
      </c>
      <c r="DP151" s="300" t="s">
        <v>24</v>
      </c>
      <c r="DQ151" s="301" t="s">
        <v>24</v>
      </c>
      <c r="DR151" s="276" t="s">
        <v>3920</v>
      </c>
      <c r="DS151" s="277" t="s">
        <v>3921</v>
      </c>
      <c r="DT151" s="138" t="s">
        <v>3915</v>
      </c>
      <c r="DU151" s="190">
        <v>81.3673</v>
      </c>
      <c r="DV151" s="134" t="s">
        <v>24</v>
      </c>
      <c r="DW151" s="190">
        <f>84.1215-Table668[[#This Row],[Data_Outcome9_M]]</f>
        <v>2.7541999999999973</v>
      </c>
      <c r="DX151" s="138" t="s">
        <v>3916</v>
      </c>
      <c r="DY151" s="134">
        <v>87.630799999999994</v>
      </c>
      <c r="DZ151" s="134" t="s">
        <v>24</v>
      </c>
      <c r="EA151" s="134">
        <f>90.6465-Table668[[#This Row],[Data_Outcome10_M]]</f>
        <v>3.0157000000000096</v>
      </c>
      <c r="EB151" s="301" t="s">
        <v>24</v>
      </c>
      <c r="EC151" s="301" t="s">
        <v>24</v>
      </c>
      <c r="ED151" s="430" t="s">
        <v>3917</v>
      </c>
      <c r="EE151" s="451">
        <v>92.057500000000005</v>
      </c>
      <c r="EF151" s="426" t="s">
        <v>24</v>
      </c>
      <c r="EG151" s="451">
        <f>94.4183-Table668[[#This Row],[Data_Outcome11_M]]</f>
        <v>2.3607999999999976</v>
      </c>
      <c r="EH151" s="430" t="s">
        <v>24</v>
      </c>
      <c r="EI151" s="134" t="s">
        <v>24</v>
      </c>
      <c r="EJ151" s="134" t="s">
        <v>24</v>
      </c>
      <c r="EK151" s="134" t="s">
        <v>24</v>
      </c>
      <c r="EL151" s="301" t="s">
        <v>24</v>
      </c>
      <c r="EM151" s="301" t="s">
        <v>24</v>
      </c>
      <c r="EN151" s="277" t="s">
        <v>3922</v>
      </c>
      <c r="EO151" s="134"/>
      <c r="EP151" s="134"/>
      <c r="EQ151" s="134"/>
      <c r="ER151" s="134"/>
      <c r="ES151" s="134"/>
      <c r="ET151" s="134"/>
      <c r="EU151" s="134"/>
      <c r="EV151" s="134"/>
      <c r="EW151" s="301"/>
      <c r="EX151" s="301"/>
      <c r="EY151" s="134"/>
      <c r="EZ151" s="134"/>
      <c r="FA151" s="134"/>
      <c r="FB151" s="134"/>
      <c r="FC151" s="134"/>
      <c r="FD151" s="134"/>
      <c r="FE151" s="134"/>
      <c r="FF151" s="134"/>
      <c r="FG151" s="135"/>
      <c r="FH151" s="135"/>
      <c r="FI151" s="134"/>
      <c r="FJ151" s="134"/>
      <c r="FK151" s="134"/>
      <c r="FL151" s="134"/>
      <c r="FM151" s="134"/>
      <c r="FN151" s="134"/>
      <c r="FO151" s="134"/>
      <c r="FP151" s="134"/>
      <c r="FQ151" s="135"/>
      <c r="FR151" s="135"/>
      <c r="FS151" s="134"/>
      <c r="FT151" s="134"/>
      <c r="FU151" s="134"/>
      <c r="FV151" s="134"/>
      <c r="FW151" s="134"/>
      <c r="FX151" s="134"/>
      <c r="FY151" s="134"/>
      <c r="FZ151" s="134"/>
      <c r="GA151" s="135"/>
      <c r="GB151" s="135"/>
      <c r="GC151" s="134"/>
      <c r="GD151" s="134"/>
      <c r="GE151" s="134"/>
      <c r="GF151" s="134"/>
      <c r="GG151" s="134"/>
      <c r="GH151" s="134"/>
      <c r="GI151" s="134"/>
      <c r="GJ151" s="134"/>
      <c r="GK151" s="135"/>
      <c r="GL151" s="135"/>
      <c r="GM151" s="134"/>
      <c r="GN151" s="134"/>
      <c r="GO151" s="134"/>
      <c r="GP151" s="134"/>
      <c r="GQ151" s="134"/>
      <c r="GR151" s="134"/>
      <c r="GS151" s="134"/>
      <c r="GT151" s="134"/>
      <c r="GU151" s="135"/>
      <c r="GV151" s="135"/>
      <c r="GW151" s="134"/>
      <c r="GX151" s="134"/>
      <c r="GY151" s="134"/>
      <c r="GZ151" s="134"/>
      <c r="HA151" s="134"/>
      <c r="HB151" s="134"/>
      <c r="HC151" s="134"/>
      <c r="HD151" s="134"/>
      <c r="HE151" s="135"/>
      <c r="HF151" s="135"/>
      <c r="HG151" s="134"/>
      <c r="HH151" s="134"/>
      <c r="HI151" s="134"/>
      <c r="HJ151" s="134"/>
      <c r="HK151" s="134"/>
      <c r="HL151" s="134"/>
      <c r="HM151" s="134"/>
      <c r="HN151" s="134"/>
      <c r="HO151" s="135"/>
      <c r="HP151" s="135"/>
      <c r="HQ151" s="134"/>
      <c r="HR151" s="134"/>
      <c r="HS151" s="134"/>
      <c r="HT151" s="134"/>
      <c r="HU151" s="134"/>
      <c r="HV151" s="134"/>
      <c r="HW151" s="134"/>
      <c r="HX151" s="134"/>
      <c r="HY151" s="135"/>
      <c r="HZ151" s="135"/>
      <c r="IA151" s="134"/>
      <c r="IB151" s="134"/>
      <c r="IC151" s="134"/>
      <c r="ID151" s="134"/>
      <c r="IE151" s="134"/>
      <c r="IF151" s="134"/>
      <c r="IG151" s="134"/>
      <c r="IH151" s="134"/>
      <c r="II151" s="135"/>
      <c r="IJ151" s="135"/>
      <c r="IK151" s="134"/>
      <c r="IL151" s="134"/>
      <c r="IM151" s="134"/>
      <c r="IN151" s="134"/>
      <c r="IO151" s="134"/>
      <c r="IP151" s="134"/>
      <c r="IQ151" s="134"/>
      <c r="IR151" s="134"/>
      <c r="IS151" s="135"/>
      <c r="IT151" s="135"/>
      <c r="IU151" s="134"/>
      <c r="IV151" s="134"/>
      <c r="IW151" s="134"/>
      <c r="IX151" s="134"/>
      <c r="IY151" s="134"/>
      <c r="IZ151" s="134"/>
      <c r="JA151" s="134"/>
      <c r="JB151" s="134"/>
      <c r="JC151" s="135"/>
      <c r="JD151" s="135"/>
    </row>
    <row r="152" spans="1:264" customFormat="1" ht="15" customHeight="1">
      <c r="A152" s="118" t="s">
        <v>105</v>
      </c>
      <c r="B152" s="616">
        <v>78</v>
      </c>
      <c r="C152" s="616">
        <v>10</v>
      </c>
      <c r="D152" s="616"/>
      <c r="E152" s="605" t="s">
        <v>1933</v>
      </c>
      <c r="F152" s="140" t="s">
        <v>2151</v>
      </c>
      <c r="G152" s="141">
        <v>2008</v>
      </c>
      <c r="H152" s="118">
        <v>17352380</v>
      </c>
      <c r="I152" s="118">
        <v>1</v>
      </c>
      <c r="J152" s="118"/>
      <c r="K152" s="118"/>
      <c r="L152" s="118">
        <v>1</v>
      </c>
      <c r="M152" s="118"/>
      <c r="N152" s="118">
        <v>1</v>
      </c>
      <c r="O152" s="142">
        <v>1</v>
      </c>
      <c r="P152" s="118" t="s">
        <v>73</v>
      </c>
      <c r="Q152" s="118" t="s">
        <v>1147</v>
      </c>
      <c r="R152" s="118" t="s">
        <v>25</v>
      </c>
      <c r="S152" s="118"/>
      <c r="T152" s="118"/>
      <c r="U152" s="118"/>
      <c r="V152" s="118"/>
      <c r="W152" s="118" t="s">
        <v>371</v>
      </c>
      <c r="X152" s="118"/>
      <c r="Y152" s="118"/>
      <c r="Z152" s="118"/>
      <c r="AA152" s="118"/>
      <c r="AB152" s="118" t="s">
        <v>372</v>
      </c>
      <c r="AC152" s="145"/>
      <c r="AD152" s="573">
        <v>1</v>
      </c>
      <c r="AE152" s="573">
        <v>2</v>
      </c>
      <c r="AF152" s="159">
        <v>1</v>
      </c>
      <c r="AG152" s="160"/>
      <c r="AH152" s="122">
        <v>2</v>
      </c>
      <c r="AI152" s="485"/>
      <c r="AJ152" s="122" t="s">
        <v>3902</v>
      </c>
      <c r="AK152" s="192" t="s">
        <v>3926</v>
      </c>
      <c r="AL152" s="205" t="s">
        <v>24</v>
      </c>
      <c r="AM152" s="500">
        <f>29+25+26</f>
        <v>80</v>
      </c>
      <c r="AN152" s="122">
        <v>29</v>
      </c>
      <c r="AO152" s="122" t="s">
        <v>3904</v>
      </c>
      <c r="AP152" s="122" t="s">
        <v>3905</v>
      </c>
      <c r="AQ152" s="122" t="s">
        <v>3905</v>
      </c>
      <c r="AR152" s="122" t="s">
        <v>3905</v>
      </c>
      <c r="AS152" s="122" t="s">
        <v>3905</v>
      </c>
      <c r="AT152" s="122" t="s">
        <v>3905</v>
      </c>
      <c r="AU152" s="122" t="s">
        <v>3905</v>
      </c>
      <c r="AV152" s="122" t="s">
        <v>1874</v>
      </c>
      <c r="AW152" s="122" t="s">
        <v>24</v>
      </c>
      <c r="AX152" s="122" t="s">
        <v>24</v>
      </c>
      <c r="AY152" s="122" t="s">
        <v>3895</v>
      </c>
      <c r="AZ152" s="122" t="s">
        <v>3835</v>
      </c>
      <c r="BA152" s="122" t="s">
        <v>3894</v>
      </c>
      <c r="BB152" s="588"/>
      <c r="BC152" s="588"/>
      <c r="BD152" s="161"/>
      <c r="BE152" s="161"/>
      <c r="BF152" s="161"/>
      <c r="BG152" s="161"/>
      <c r="BH152" s="161"/>
      <c r="BI152" s="161"/>
      <c r="BJ152" s="161">
        <v>1</v>
      </c>
      <c r="BK152" s="161"/>
      <c r="BL152" s="161" t="s">
        <v>3840</v>
      </c>
      <c r="BM152" s="161"/>
      <c r="BN152" s="161"/>
      <c r="BO152" s="161"/>
      <c r="BP152" s="161"/>
      <c r="BQ152" s="596" t="s">
        <v>3925</v>
      </c>
      <c r="BR152" s="162" t="s">
        <v>6609</v>
      </c>
      <c r="BS152" s="660"/>
      <c r="BT152" s="150" t="s">
        <v>1876</v>
      </c>
      <c r="BU152" s="150" t="s">
        <v>3901</v>
      </c>
      <c r="BV152" s="150" t="s">
        <v>3924</v>
      </c>
      <c r="BW152" s="150" t="s">
        <v>24</v>
      </c>
      <c r="BX152" s="150" t="s">
        <v>3927</v>
      </c>
      <c r="BY152" s="150" t="s">
        <v>6644</v>
      </c>
      <c r="BZ152" s="258" t="s">
        <v>3933</v>
      </c>
      <c r="CA152" s="257" t="s">
        <v>24</v>
      </c>
      <c r="CB152" s="151" t="s">
        <v>3928</v>
      </c>
      <c r="CC152" s="266">
        <v>9.2552500000000002</v>
      </c>
      <c r="CD152" s="150" t="s">
        <v>24</v>
      </c>
      <c r="CE152" s="266">
        <f>9.91556-Table668[[#This Row],[Data_Outcome1_M]]</f>
        <v>0.66030999999999906</v>
      </c>
      <c r="CF152" s="151" t="s">
        <v>3929</v>
      </c>
      <c r="CG152" s="266">
        <v>12.444599999999999</v>
      </c>
      <c r="CH152" s="150" t="s">
        <v>24</v>
      </c>
      <c r="CI152" s="150">
        <f>13.4097-Table668[[#This Row],[Data_Outcome2_M]]</f>
        <v>0.9651000000000014</v>
      </c>
      <c r="CJ152" s="290" t="s">
        <v>24</v>
      </c>
      <c r="CK152" s="291" t="s">
        <v>24</v>
      </c>
      <c r="CL152" s="151" t="s">
        <v>3930</v>
      </c>
      <c r="CM152" s="266">
        <v>11.5449</v>
      </c>
      <c r="CN152" s="150" t="s">
        <v>24</v>
      </c>
      <c r="CO152" s="266">
        <f>12.5353-Table668[[#This Row],[Data_Outcome3_M]]</f>
        <v>0.99039999999999928</v>
      </c>
      <c r="CP152" s="151" t="s">
        <v>24</v>
      </c>
      <c r="CQ152" s="150" t="s">
        <v>24</v>
      </c>
      <c r="CR152" s="150" t="s">
        <v>24</v>
      </c>
      <c r="CS152" s="150" t="s">
        <v>24</v>
      </c>
      <c r="CT152" s="290" t="s">
        <v>24</v>
      </c>
      <c r="CU152" s="291" t="s">
        <v>24</v>
      </c>
      <c r="CV152" s="278" t="s">
        <v>3932</v>
      </c>
      <c r="CW152" s="285" t="s">
        <v>3931</v>
      </c>
      <c r="CX152" s="151"/>
      <c r="CY152" s="150"/>
      <c r="CZ152" s="150"/>
      <c r="DA152" s="150"/>
      <c r="DB152" s="150"/>
      <c r="DC152" s="150"/>
      <c r="DD152" s="150"/>
      <c r="DE152" s="150"/>
      <c r="DF152" s="302"/>
      <c r="DG152" s="303"/>
      <c r="DH152" s="150"/>
      <c r="DI152" s="150"/>
      <c r="DJ152" s="150"/>
      <c r="DK152" s="150"/>
      <c r="DL152" s="150"/>
      <c r="DM152" s="150"/>
      <c r="DN152" s="150"/>
      <c r="DO152" s="150"/>
      <c r="DP152" s="302"/>
      <c r="DQ152" s="303"/>
      <c r="DR152" s="278"/>
      <c r="DS152" s="279"/>
      <c r="DT152" s="150"/>
      <c r="DU152" s="150"/>
      <c r="DV152" s="150"/>
      <c r="DW152" s="150"/>
      <c r="DX152" s="151"/>
      <c r="DY152" s="150"/>
      <c r="DZ152" s="150"/>
      <c r="EA152" s="150"/>
      <c r="EB152" s="303"/>
      <c r="EC152" s="303"/>
      <c r="ED152" s="151"/>
      <c r="EE152" s="150"/>
      <c r="EF152" s="150"/>
      <c r="EG152" s="150"/>
      <c r="EH152" s="151"/>
      <c r="EI152" s="150"/>
      <c r="EJ152" s="150"/>
      <c r="EK152" s="150"/>
      <c r="EL152" s="303"/>
      <c r="EM152" s="303"/>
      <c r="EN152" s="279"/>
      <c r="EO152" s="150"/>
      <c r="EP152" s="150"/>
      <c r="EQ152" s="150"/>
      <c r="ER152" s="150"/>
      <c r="ES152" s="150"/>
      <c r="ET152" s="150"/>
      <c r="EU152" s="150"/>
      <c r="EV152" s="150"/>
      <c r="EW152" s="303"/>
      <c r="EX152" s="303"/>
      <c r="EY152" s="150"/>
      <c r="EZ152" s="150"/>
      <c r="FA152" s="150"/>
      <c r="FB152" s="150"/>
      <c r="FC152" s="134"/>
      <c r="FD152" s="134"/>
      <c r="FE152" s="134"/>
      <c r="FF152" s="134"/>
      <c r="FG152" s="135"/>
      <c r="FH152" s="135"/>
      <c r="FI152" s="134"/>
      <c r="FJ152" s="134"/>
      <c r="FK152" s="134"/>
      <c r="FL152" s="134"/>
      <c r="FM152" s="134"/>
      <c r="FN152" s="134"/>
      <c r="FO152" s="134"/>
      <c r="FP152" s="134"/>
      <c r="FQ152" s="135"/>
      <c r="FR152" s="135"/>
      <c r="FS152" s="134"/>
      <c r="FT152" s="134"/>
      <c r="FU152" s="134"/>
      <c r="FV152" s="134"/>
      <c r="FW152" s="134"/>
      <c r="FX152" s="134"/>
      <c r="FY152" s="134"/>
      <c r="FZ152" s="134"/>
      <c r="GA152" s="135"/>
      <c r="GB152" s="135"/>
      <c r="GC152" s="134"/>
      <c r="GD152" s="134"/>
      <c r="GE152" s="134"/>
      <c r="GF152" s="134"/>
      <c r="GG152" s="134"/>
      <c r="GH152" s="134"/>
      <c r="GI152" s="134"/>
      <c r="GJ152" s="134"/>
      <c r="GK152" s="135"/>
      <c r="GL152" s="135"/>
      <c r="GM152" s="134"/>
      <c r="GN152" s="134"/>
      <c r="GO152" s="134"/>
      <c r="GP152" s="134"/>
      <c r="GQ152" s="134"/>
      <c r="GR152" s="134"/>
      <c r="GS152" s="134"/>
      <c r="GT152" s="134"/>
      <c r="GU152" s="135"/>
      <c r="GV152" s="135"/>
      <c r="GW152" s="134"/>
      <c r="GX152" s="134"/>
      <c r="GY152" s="134"/>
      <c r="GZ152" s="134"/>
      <c r="HA152" s="134"/>
      <c r="HB152" s="134"/>
      <c r="HC152" s="134"/>
      <c r="HD152" s="134"/>
      <c r="HE152" s="135"/>
      <c r="HF152" s="135"/>
      <c r="HG152" s="134"/>
      <c r="HH152" s="134"/>
      <c r="HI152" s="134"/>
      <c r="HJ152" s="134"/>
      <c r="HK152" s="134"/>
      <c r="HL152" s="134"/>
      <c r="HM152" s="134"/>
      <c r="HN152" s="134"/>
      <c r="HO152" s="135"/>
      <c r="HP152" s="135"/>
      <c r="HQ152" s="134"/>
      <c r="HR152" s="134"/>
      <c r="HS152" s="134"/>
      <c r="HT152" s="134"/>
      <c r="HU152" s="134"/>
      <c r="HV152" s="134"/>
      <c r="HW152" s="134"/>
      <c r="HX152" s="134"/>
      <c r="HY152" s="135"/>
      <c r="HZ152" s="135"/>
      <c r="IA152" s="134"/>
      <c r="IB152" s="134"/>
      <c r="IC152" s="134"/>
      <c r="ID152" s="134"/>
      <c r="IE152" s="134"/>
      <c r="IF152" s="134"/>
      <c r="IG152" s="134"/>
      <c r="IH152" s="134"/>
      <c r="II152" s="135"/>
      <c r="IJ152" s="135"/>
      <c r="IK152" s="134"/>
      <c r="IL152" s="134"/>
      <c r="IM152" s="134"/>
      <c r="IN152" s="134"/>
      <c r="IO152" s="134"/>
      <c r="IP152" s="134"/>
      <c r="IQ152" s="134"/>
      <c r="IR152" s="134"/>
      <c r="IS152" s="135"/>
      <c r="IT152" s="135"/>
      <c r="IU152" s="134"/>
      <c r="IV152" s="134"/>
      <c r="IW152" s="134"/>
      <c r="IX152" s="134"/>
      <c r="IY152" s="134"/>
      <c r="IZ152" s="134"/>
      <c r="JA152" s="134"/>
      <c r="JB152" s="134"/>
      <c r="JC152" s="135"/>
      <c r="JD152" s="135"/>
    </row>
    <row r="153" spans="1:264" customFormat="1" ht="15" customHeight="1">
      <c r="A153" s="79" t="s">
        <v>1100</v>
      </c>
      <c r="B153" s="614">
        <v>8</v>
      </c>
      <c r="C153" s="614"/>
      <c r="D153" s="614"/>
      <c r="E153" s="604" t="s">
        <v>2057</v>
      </c>
      <c r="F153" s="124" t="s">
        <v>2301</v>
      </c>
      <c r="G153" s="125">
        <v>2013</v>
      </c>
      <c r="H153" s="79">
        <v>21736515</v>
      </c>
      <c r="I153" s="79">
        <v>1</v>
      </c>
      <c r="J153" s="126">
        <v>1</v>
      </c>
      <c r="K153" s="127"/>
      <c r="L153" s="79">
        <v>1</v>
      </c>
      <c r="M153" s="79"/>
      <c r="N153" s="153">
        <v>1</v>
      </c>
      <c r="O153" s="128">
        <v>2</v>
      </c>
      <c r="P153" s="79" t="s">
        <v>1223</v>
      </c>
      <c r="Q153" s="79" t="s">
        <v>1171</v>
      </c>
      <c r="R153" s="79" t="s">
        <v>1221</v>
      </c>
      <c r="S153" s="79"/>
      <c r="T153" s="79" t="s">
        <v>1488</v>
      </c>
      <c r="U153" s="79" t="s">
        <v>23</v>
      </c>
      <c r="V153" s="79" t="s">
        <v>23</v>
      </c>
      <c r="W153" s="79" t="s">
        <v>1686</v>
      </c>
      <c r="X153" s="79"/>
      <c r="Y153" s="79" t="s">
        <v>13</v>
      </c>
      <c r="Z153" s="79"/>
      <c r="AA153" s="79" t="s">
        <v>1222</v>
      </c>
      <c r="AB153" s="79"/>
      <c r="AC153" s="506"/>
      <c r="AD153" s="573">
        <v>1</v>
      </c>
      <c r="AE153" s="573">
        <v>2</v>
      </c>
      <c r="AF153" s="154">
        <v>1</v>
      </c>
      <c r="AG153" s="155" t="s">
        <v>3316</v>
      </c>
      <c r="AH153" s="134">
        <v>5</v>
      </c>
      <c r="AI153" s="484"/>
      <c r="AJ153" s="213" t="s">
        <v>2666</v>
      </c>
      <c r="AK153" s="192">
        <v>0</v>
      </c>
      <c r="AL153" s="215"/>
      <c r="AM153" s="134">
        <f>6+10</f>
        <v>16</v>
      </c>
      <c r="AN153" s="134">
        <v>6</v>
      </c>
      <c r="AO153" s="134">
        <v>10</v>
      </c>
      <c r="AP153" s="134" t="s">
        <v>803</v>
      </c>
      <c r="AQ153" s="134" t="s">
        <v>803</v>
      </c>
      <c r="AR153" s="134" t="s">
        <v>2654</v>
      </c>
      <c r="AS153" s="134" t="s">
        <v>24</v>
      </c>
      <c r="AT153" s="134" t="s">
        <v>2654</v>
      </c>
      <c r="AU153" s="134" t="s">
        <v>24</v>
      </c>
      <c r="AV153" s="134" t="s">
        <v>2657</v>
      </c>
      <c r="AW153" s="134">
        <v>1</v>
      </c>
      <c r="AX153" s="134" t="s">
        <v>3317</v>
      </c>
      <c r="AY153" s="134" t="s">
        <v>2655</v>
      </c>
      <c r="AZ153" s="134" t="s">
        <v>1221</v>
      </c>
      <c r="BA153" s="150" t="s">
        <v>2554</v>
      </c>
      <c r="BB153" s="588"/>
      <c r="BC153" s="588"/>
      <c r="BD153" s="156">
        <v>1</v>
      </c>
      <c r="BE153" s="156"/>
      <c r="BF153" s="156"/>
      <c r="BG153" s="156"/>
      <c r="BH153" s="156"/>
      <c r="BI153" s="156"/>
      <c r="BJ153" s="156"/>
      <c r="BK153" s="156"/>
      <c r="BL153" s="156"/>
      <c r="BM153" s="156"/>
      <c r="BN153" s="156"/>
      <c r="BO153" s="156"/>
      <c r="BP153" s="156"/>
      <c r="BQ153" s="595" t="s">
        <v>2493</v>
      </c>
      <c r="BR153" s="157" t="s">
        <v>6595</v>
      </c>
      <c r="BS153" s="660"/>
      <c r="BT153" s="134" t="s">
        <v>1876</v>
      </c>
      <c r="BU153" s="134" t="s">
        <v>2656</v>
      </c>
      <c r="BV153" s="134" t="s">
        <v>2658</v>
      </c>
      <c r="BW153" s="134" t="s">
        <v>1121</v>
      </c>
      <c r="BX153" s="134" t="s">
        <v>2659</v>
      </c>
      <c r="BY153" s="134" t="s">
        <v>2659</v>
      </c>
      <c r="BZ153" s="259" t="s">
        <v>2665</v>
      </c>
      <c r="CA153" s="454" t="s">
        <v>6627</v>
      </c>
      <c r="CB153" s="138" t="s">
        <v>2661</v>
      </c>
      <c r="CC153" s="134">
        <v>38.89</v>
      </c>
      <c r="CD153" s="134" t="s">
        <v>24</v>
      </c>
      <c r="CE153" s="134">
        <v>9.9700000000000006</v>
      </c>
      <c r="CF153" s="138" t="s">
        <v>2662</v>
      </c>
      <c r="CG153" s="134">
        <v>5.56</v>
      </c>
      <c r="CH153" s="134" t="s">
        <v>24</v>
      </c>
      <c r="CI153" s="134">
        <v>3.8</v>
      </c>
      <c r="CJ153" s="288" t="s">
        <v>2663</v>
      </c>
      <c r="CK153" s="289" t="s">
        <v>2664</v>
      </c>
      <c r="CL153" s="138" t="s">
        <v>24</v>
      </c>
      <c r="CM153" s="134" t="s">
        <v>24</v>
      </c>
      <c r="CN153" s="134"/>
      <c r="CO153" s="134"/>
      <c r="CP153" s="138"/>
      <c r="CQ153" s="134"/>
      <c r="CR153" s="134"/>
      <c r="CS153" s="134"/>
      <c r="CT153" s="288"/>
      <c r="CU153" s="289"/>
      <c r="CV153" s="276"/>
      <c r="CW153" s="308"/>
      <c r="CX153" s="138"/>
      <c r="CY153" s="134"/>
      <c r="CZ153" s="134"/>
      <c r="DA153" s="134"/>
      <c r="DB153" s="134"/>
      <c r="DC153" s="134"/>
      <c r="DD153" s="134"/>
      <c r="DE153" s="134"/>
      <c r="DF153" s="300"/>
      <c r="DG153" s="301"/>
      <c r="DH153" s="134"/>
      <c r="DI153" s="134"/>
      <c r="DJ153" s="134"/>
      <c r="DK153" s="134"/>
      <c r="DL153" s="134"/>
      <c r="DM153" s="134"/>
      <c r="DN153" s="134"/>
      <c r="DO153" s="134"/>
      <c r="DP153" s="300"/>
      <c r="DQ153" s="301"/>
      <c r="DR153" s="276"/>
      <c r="DS153" s="277"/>
      <c r="DT153" s="134"/>
      <c r="DU153" s="134"/>
      <c r="DV153" s="134"/>
      <c r="DW153" s="134"/>
      <c r="DX153" s="138"/>
      <c r="DY153" s="134"/>
      <c r="DZ153" s="134"/>
      <c r="EA153" s="134"/>
      <c r="EB153" s="301"/>
      <c r="EC153" s="301"/>
      <c r="ED153" s="138"/>
      <c r="EE153" s="134"/>
      <c r="EF153" s="134"/>
      <c r="EG153" s="134"/>
      <c r="EH153" s="138"/>
      <c r="EI153" s="134"/>
      <c r="EJ153" s="134"/>
      <c r="EK153" s="134"/>
      <c r="EL153" s="301"/>
      <c r="EM153" s="301"/>
      <c r="EN153" s="277"/>
      <c r="EO153" s="134"/>
      <c r="EP153" s="134"/>
      <c r="EQ153" s="134"/>
      <c r="ER153" s="134"/>
      <c r="ES153" s="134"/>
      <c r="ET153" s="134"/>
      <c r="EU153" s="134"/>
      <c r="EV153" s="134"/>
      <c r="EW153" s="301"/>
      <c r="EX153" s="301"/>
      <c r="EY153" s="134"/>
      <c r="EZ153" s="134"/>
      <c r="FA153" s="134"/>
      <c r="FB153" s="134"/>
      <c r="FC153" s="134"/>
      <c r="FD153" s="134"/>
      <c r="FE153" s="134"/>
      <c r="FF153" s="134"/>
      <c r="FG153" s="135"/>
      <c r="FH153" s="135"/>
      <c r="FI153" s="134"/>
      <c r="FJ153" s="134"/>
      <c r="FK153" s="134"/>
      <c r="FL153" s="134"/>
      <c r="FM153" s="134"/>
      <c r="FN153" s="134"/>
      <c r="FO153" s="134"/>
      <c r="FP153" s="134"/>
      <c r="FQ153" s="135"/>
      <c r="FR153" s="135"/>
      <c r="FS153" s="134"/>
      <c r="FT153" s="134"/>
      <c r="FU153" s="134"/>
      <c r="FV153" s="134"/>
      <c r="FW153" s="134"/>
      <c r="FX153" s="134"/>
      <c r="FY153" s="134"/>
      <c r="FZ153" s="134"/>
      <c r="GA153" s="135"/>
      <c r="GB153" s="135"/>
      <c r="GC153" s="134"/>
      <c r="GD153" s="134"/>
      <c r="GE153" s="134"/>
      <c r="GF153" s="134"/>
      <c r="GG153" s="134"/>
      <c r="GH153" s="134"/>
      <c r="GI153" s="134"/>
      <c r="GJ153" s="134"/>
      <c r="GK153" s="135"/>
      <c r="GL153" s="135"/>
      <c r="GM153" s="134"/>
      <c r="GN153" s="134"/>
      <c r="GO153" s="134"/>
      <c r="GP153" s="134"/>
      <c r="GQ153" s="134"/>
      <c r="GR153" s="134"/>
      <c r="GS153" s="134"/>
      <c r="GT153" s="134"/>
      <c r="GU153" s="135"/>
      <c r="GV153" s="135"/>
      <c r="GW153" s="134"/>
      <c r="GX153" s="134"/>
      <c r="GY153" s="134"/>
      <c r="GZ153" s="134"/>
      <c r="HA153" s="134"/>
      <c r="HB153" s="134"/>
      <c r="HC153" s="134"/>
      <c r="HD153" s="134"/>
      <c r="HE153" s="135"/>
      <c r="HF153" s="135"/>
      <c r="HG153" s="134"/>
      <c r="HH153" s="134"/>
      <c r="HI153" s="134"/>
      <c r="HJ153" s="134"/>
      <c r="HK153" s="134"/>
      <c r="HL153" s="134"/>
      <c r="HM153" s="134"/>
      <c r="HN153" s="134"/>
      <c r="HO153" s="135"/>
      <c r="HP153" s="135"/>
      <c r="HQ153" s="134"/>
      <c r="HR153" s="134"/>
      <c r="HS153" s="134"/>
      <c r="HT153" s="134"/>
      <c r="HU153" s="134"/>
      <c r="HV153" s="134"/>
      <c r="HW153" s="134"/>
      <c r="HX153" s="134"/>
      <c r="HY153" s="135"/>
      <c r="HZ153" s="135"/>
      <c r="IA153" s="134"/>
      <c r="IB153" s="134"/>
      <c r="IC153" s="134"/>
      <c r="ID153" s="134"/>
      <c r="IE153" s="134"/>
      <c r="IF153" s="134"/>
      <c r="IG153" s="134"/>
      <c r="IH153" s="134"/>
      <c r="II153" s="135"/>
      <c r="IJ153" s="135"/>
      <c r="IK153" s="134"/>
      <c r="IL153" s="134"/>
      <c r="IM153" s="134"/>
      <c r="IN153" s="134"/>
      <c r="IO153" s="134"/>
      <c r="IP153" s="134"/>
      <c r="IQ153" s="134"/>
      <c r="IR153" s="134"/>
      <c r="IS153" s="135"/>
      <c r="IT153" s="135"/>
      <c r="IU153" s="134"/>
      <c r="IV153" s="134"/>
      <c r="IW153" s="134"/>
      <c r="IX153" s="134"/>
      <c r="IY153" s="134"/>
      <c r="IZ153" s="134"/>
      <c r="JA153" s="134"/>
      <c r="JB153" s="134"/>
      <c r="JC153" s="135"/>
      <c r="JD153" s="135"/>
    </row>
    <row r="154" spans="1:264" customFormat="1" ht="15" customHeight="1">
      <c r="A154" s="79" t="s">
        <v>1099</v>
      </c>
      <c r="B154" s="614">
        <v>9</v>
      </c>
      <c r="C154" s="614"/>
      <c r="D154" s="614"/>
      <c r="E154" s="604" t="s">
        <v>2058</v>
      </c>
      <c r="F154" s="124" t="s">
        <v>2302</v>
      </c>
      <c r="G154" s="125">
        <v>2006</v>
      </c>
      <c r="H154" s="79">
        <v>16971540</v>
      </c>
      <c r="I154" s="79">
        <v>1</v>
      </c>
      <c r="J154" s="126">
        <v>1</v>
      </c>
      <c r="K154" s="127"/>
      <c r="L154" s="79">
        <v>1</v>
      </c>
      <c r="M154" s="79"/>
      <c r="N154" s="153">
        <v>1</v>
      </c>
      <c r="O154" s="128">
        <v>2</v>
      </c>
      <c r="P154" s="79" t="s">
        <v>1220</v>
      </c>
      <c r="Q154" s="79" t="s">
        <v>1162</v>
      </c>
      <c r="R154" s="79" t="s">
        <v>1225</v>
      </c>
      <c r="S154" s="79"/>
      <c r="T154" s="79" t="s">
        <v>1501</v>
      </c>
      <c r="U154" s="79" t="s">
        <v>23</v>
      </c>
      <c r="V154" s="79" t="s">
        <v>23</v>
      </c>
      <c r="W154" s="79" t="s">
        <v>1501</v>
      </c>
      <c r="X154" s="79" t="s">
        <v>24</v>
      </c>
      <c r="Y154" s="79" t="s">
        <v>24</v>
      </c>
      <c r="Z154" s="79"/>
      <c r="AA154" s="79" t="s">
        <v>1226</v>
      </c>
      <c r="AB154" s="79"/>
      <c r="AC154" s="506"/>
      <c r="AD154" s="573">
        <v>1</v>
      </c>
      <c r="AE154" s="573">
        <v>2</v>
      </c>
      <c r="AF154" s="233" t="s">
        <v>3003</v>
      </c>
      <c r="AG154" s="234" t="s">
        <v>3337</v>
      </c>
      <c r="AH154" s="135">
        <v>5</v>
      </c>
      <c r="AI154" s="484"/>
      <c r="AJ154" s="235" t="s">
        <v>2671</v>
      </c>
      <c r="AK154" s="236">
        <v>0</v>
      </c>
      <c r="AL154" s="237"/>
      <c r="AM154" s="135">
        <v>24</v>
      </c>
      <c r="AN154" s="135">
        <v>12</v>
      </c>
      <c r="AO154" s="135" t="s">
        <v>2672</v>
      </c>
      <c r="AP154" s="135" t="s">
        <v>803</v>
      </c>
      <c r="AQ154" s="135" t="s">
        <v>803</v>
      </c>
      <c r="AR154" s="135" t="s">
        <v>2667</v>
      </c>
      <c r="AS154" s="135" t="s">
        <v>24</v>
      </c>
      <c r="AT154" s="135" t="s">
        <v>2667</v>
      </c>
      <c r="AU154" s="135" t="s">
        <v>24</v>
      </c>
      <c r="AV154" s="135" t="s">
        <v>2673</v>
      </c>
      <c r="AW154" s="135">
        <v>1</v>
      </c>
      <c r="AX154" s="135" t="s">
        <v>3320</v>
      </c>
      <c r="AY154" s="135" t="s">
        <v>2674</v>
      </c>
      <c r="AZ154" s="135" t="s">
        <v>2668</v>
      </c>
      <c r="BA154" s="135" t="s">
        <v>2669</v>
      </c>
      <c r="BB154" s="594"/>
      <c r="BC154" s="594"/>
      <c r="BD154" s="239">
        <v>1</v>
      </c>
      <c r="BE154" s="156"/>
      <c r="BF154" s="156"/>
      <c r="BG154" s="156"/>
      <c r="BH154" s="156"/>
      <c r="BI154" s="156"/>
      <c r="BJ154" s="156"/>
      <c r="BK154" s="156"/>
      <c r="BL154" s="156"/>
      <c r="BM154" s="156"/>
      <c r="BN154" s="156"/>
      <c r="BO154" s="156"/>
      <c r="BP154" s="156"/>
      <c r="BQ154" s="595" t="s">
        <v>2493</v>
      </c>
      <c r="BR154" s="157" t="s">
        <v>6595</v>
      </c>
      <c r="BS154" s="660"/>
      <c r="BT154" s="134" t="s">
        <v>1876</v>
      </c>
      <c r="BU154" s="134" t="s">
        <v>2670</v>
      </c>
      <c r="BV154" s="134" t="s">
        <v>2675</v>
      </c>
      <c r="BW154" s="134" t="s">
        <v>23</v>
      </c>
      <c r="BX154" s="134" t="s">
        <v>2659</v>
      </c>
      <c r="BY154" s="134" t="s">
        <v>2659</v>
      </c>
      <c r="BZ154" s="259" t="s">
        <v>2680</v>
      </c>
      <c r="CA154" s="454" t="s">
        <v>23</v>
      </c>
      <c r="CB154" s="138" t="s">
        <v>2676</v>
      </c>
      <c r="CC154" s="190">
        <v>62.957799999999999</v>
      </c>
      <c r="CD154" s="134" t="s">
        <v>24</v>
      </c>
      <c r="CE154" s="190">
        <f>68.3645-Table668[[#This Row],[Data_Outcome1_M]]</f>
        <v>5.4067000000000078</v>
      </c>
      <c r="CF154" s="138" t="s">
        <v>2677</v>
      </c>
      <c r="CG154" s="134">
        <v>62.246299999999998</v>
      </c>
      <c r="CH154" s="134" t="s">
        <v>24</v>
      </c>
      <c r="CI154" s="190">
        <f>66.2302-Table668[[#This Row],[Data_Outcome2_M]]</f>
        <v>3.9838999999999984</v>
      </c>
      <c r="CJ154" s="288" t="s">
        <v>2678</v>
      </c>
      <c r="CK154" s="289" t="s">
        <v>2679</v>
      </c>
      <c r="CL154" s="138" t="s">
        <v>24</v>
      </c>
      <c r="CM154" s="134" t="s">
        <v>24</v>
      </c>
      <c r="CN154" s="134"/>
      <c r="CO154" s="134"/>
      <c r="CP154" s="138"/>
      <c r="CQ154" s="134"/>
      <c r="CR154" s="134"/>
      <c r="CS154" s="134"/>
      <c r="CT154" s="288"/>
      <c r="CU154" s="289"/>
      <c r="CV154" s="276"/>
      <c r="CW154" s="308"/>
      <c r="CX154" s="138"/>
      <c r="CY154" s="134"/>
      <c r="CZ154" s="134"/>
      <c r="DA154" s="134"/>
      <c r="DB154" s="134"/>
      <c r="DC154" s="134"/>
      <c r="DD154" s="134"/>
      <c r="DE154" s="134"/>
      <c r="DF154" s="300"/>
      <c r="DG154" s="301"/>
      <c r="DH154" s="134"/>
      <c r="DI154" s="134"/>
      <c r="DJ154" s="134"/>
      <c r="DK154" s="134"/>
      <c r="DL154" s="134"/>
      <c r="DM154" s="134"/>
      <c r="DN154" s="134"/>
      <c r="DO154" s="134"/>
      <c r="DP154" s="300"/>
      <c r="DQ154" s="301"/>
      <c r="DR154" s="276"/>
      <c r="DS154" s="277"/>
      <c r="DT154" s="134"/>
      <c r="DU154" s="134"/>
      <c r="DV154" s="134"/>
      <c r="DW154" s="134"/>
      <c r="DX154" s="138"/>
      <c r="DY154" s="134"/>
      <c r="DZ154" s="134"/>
      <c r="EA154" s="134"/>
      <c r="EB154" s="301"/>
      <c r="EC154" s="301"/>
      <c r="ED154" s="138"/>
      <c r="EE154" s="134"/>
      <c r="EF154" s="134"/>
      <c r="EG154" s="134"/>
      <c r="EH154" s="138"/>
      <c r="EI154" s="134"/>
      <c r="EJ154" s="134"/>
      <c r="EK154" s="134"/>
      <c r="EL154" s="301"/>
      <c r="EM154" s="301"/>
      <c r="EN154" s="277"/>
      <c r="EO154" s="134"/>
      <c r="EP154" s="134"/>
      <c r="EQ154" s="134"/>
      <c r="ER154" s="134"/>
      <c r="ES154" s="134"/>
      <c r="ET154" s="134"/>
      <c r="EU154" s="134"/>
      <c r="EV154" s="134"/>
      <c r="EW154" s="301"/>
      <c r="EX154" s="301"/>
      <c r="EY154" s="134"/>
      <c r="EZ154" s="134"/>
      <c r="FA154" s="134"/>
      <c r="FB154" s="134"/>
      <c r="FC154" s="134"/>
      <c r="FD154" s="134"/>
      <c r="FE154" s="134"/>
      <c r="FF154" s="134"/>
      <c r="FG154" s="135"/>
      <c r="FH154" s="135"/>
      <c r="FI154" s="134"/>
      <c r="FJ154" s="134"/>
      <c r="FK154" s="134"/>
      <c r="FL154" s="134"/>
      <c r="FM154" s="134"/>
      <c r="FN154" s="134"/>
      <c r="FO154" s="134"/>
      <c r="FP154" s="134"/>
      <c r="FQ154" s="135"/>
      <c r="FR154" s="135"/>
      <c r="FS154" s="134"/>
      <c r="FT154" s="134"/>
      <c r="FU154" s="134"/>
      <c r="FV154" s="134"/>
      <c r="FW154" s="134"/>
      <c r="FX154" s="134"/>
      <c r="FY154" s="134"/>
      <c r="FZ154" s="134"/>
      <c r="GA154" s="135"/>
      <c r="GB154" s="135"/>
      <c r="GC154" s="134"/>
      <c r="GD154" s="134"/>
      <c r="GE154" s="134"/>
      <c r="GF154" s="134"/>
      <c r="GG154" s="134"/>
      <c r="GH154" s="134"/>
      <c r="GI154" s="134"/>
      <c r="GJ154" s="134"/>
      <c r="GK154" s="135"/>
      <c r="GL154" s="135"/>
      <c r="GM154" s="134"/>
      <c r="GN154" s="134"/>
      <c r="GO154" s="134"/>
      <c r="GP154" s="134"/>
      <c r="GQ154" s="134"/>
      <c r="GR154" s="134"/>
      <c r="GS154" s="134"/>
      <c r="GT154" s="134"/>
      <c r="GU154" s="135"/>
      <c r="GV154" s="135"/>
      <c r="GW154" s="134"/>
      <c r="GX154" s="134"/>
      <c r="GY154" s="134"/>
      <c r="GZ154" s="134"/>
      <c r="HA154" s="134"/>
      <c r="HB154" s="134"/>
      <c r="HC154" s="134"/>
      <c r="HD154" s="134"/>
      <c r="HE154" s="135"/>
      <c r="HF154" s="135"/>
      <c r="HG154" s="134"/>
      <c r="HH154" s="134"/>
      <c r="HI154" s="134"/>
      <c r="HJ154" s="134"/>
      <c r="HK154" s="134"/>
      <c r="HL154" s="134"/>
      <c r="HM154" s="134"/>
      <c r="HN154" s="134"/>
      <c r="HO154" s="135"/>
      <c r="HP154" s="135"/>
      <c r="HQ154" s="134"/>
      <c r="HR154" s="134"/>
      <c r="HS154" s="134"/>
      <c r="HT154" s="134"/>
      <c r="HU154" s="134"/>
      <c r="HV154" s="134"/>
      <c r="HW154" s="134"/>
      <c r="HX154" s="134"/>
      <c r="HY154" s="135"/>
      <c r="HZ154" s="135"/>
      <c r="IA154" s="134"/>
      <c r="IB154" s="134"/>
      <c r="IC154" s="134"/>
      <c r="ID154" s="134"/>
      <c r="IE154" s="134"/>
      <c r="IF154" s="134"/>
      <c r="IG154" s="134"/>
      <c r="IH154" s="134"/>
      <c r="II154" s="135"/>
      <c r="IJ154" s="135"/>
      <c r="IK154" s="134"/>
      <c r="IL154" s="134"/>
      <c r="IM154" s="134"/>
      <c r="IN154" s="134"/>
      <c r="IO154" s="134"/>
      <c r="IP154" s="134"/>
      <c r="IQ154" s="134"/>
      <c r="IR154" s="134"/>
      <c r="IS154" s="135"/>
      <c r="IT154" s="135"/>
      <c r="IU154" s="134"/>
      <c r="IV154" s="134"/>
      <c r="IW154" s="134"/>
      <c r="IX154" s="134"/>
      <c r="IY154" s="134"/>
      <c r="IZ154" s="134"/>
      <c r="JA154" s="134"/>
      <c r="JB154" s="134"/>
      <c r="JC154" s="135"/>
      <c r="JD154" s="135"/>
    </row>
    <row r="155" spans="1:264" customFormat="1" ht="15" customHeight="1">
      <c r="A155" s="79" t="s">
        <v>112</v>
      </c>
      <c r="B155" s="614">
        <v>10</v>
      </c>
      <c r="C155" s="614"/>
      <c r="D155" s="614"/>
      <c r="E155" s="604" t="s">
        <v>1935</v>
      </c>
      <c r="F155" s="124" t="s">
        <v>2153</v>
      </c>
      <c r="G155" s="125">
        <v>2013</v>
      </c>
      <c r="H155" s="79">
        <v>23673864</v>
      </c>
      <c r="I155" s="79">
        <v>1</v>
      </c>
      <c r="J155" s="126"/>
      <c r="K155" s="127"/>
      <c r="L155" s="164">
        <v>1</v>
      </c>
      <c r="M155" s="79" t="s">
        <v>1735</v>
      </c>
      <c r="N155" s="164">
        <v>1</v>
      </c>
      <c r="O155" s="128">
        <v>1</v>
      </c>
      <c r="P155" s="79" t="s">
        <v>384</v>
      </c>
      <c r="Q155" s="79"/>
      <c r="R155" s="79" t="s">
        <v>386</v>
      </c>
      <c r="S155" s="79"/>
      <c r="T155" s="79"/>
      <c r="U155" s="79"/>
      <c r="V155" s="79"/>
      <c r="W155" s="79" t="s">
        <v>385</v>
      </c>
      <c r="X155" s="79" t="s">
        <v>44</v>
      </c>
      <c r="Y155" s="79"/>
      <c r="Z155" s="79"/>
      <c r="AA155" s="79"/>
      <c r="AB155" s="79" t="s">
        <v>387</v>
      </c>
      <c r="AC155" s="506"/>
      <c r="AD155" s="573">
        <v>1</v>
      </c>
      <c r="AE155" s="573">
        <v>2</v>
      </c>
      <c r="AF155" s="165">
        <v>0</v>
      </c>
      <c r="AG155" s="166" t="s">
        <v>2685</v>
      </c>
      <c r="AH155" s="120">
        <v>3</v>
      </c>
      <c r="AI155" s="484"/>
      <c r="AJ155" s="206" t="s">
        <v>2681</v>
      </c>
      <c r="AK155" s="192">
        <v>0</v>
      </c>
      <c r="AL155" s="207"/>
      <c r="AM155" s="120"/>
      <c r="AN155" s="120">
        <v>17</v>
      </c>
      <c r="AO155" s="120">
        <v>38</v>
      </c>
      <c r="AP155" s="120" t="s">
        <v>2683</v>
      </c>
      <c r="AQ155" s="120" t="s">
        <v>2684</v>
      </c>
      <c r="AR155" s="120"/>
      <c r="AS155" s="120"/>
      <c r="AT155" s="120"/>
      <c r="AU155" s="120"/>
      <c r="AV155" s="120"/>
      <c r="AW155" s="120"/>
      <c r="AX155" s="120"/>
      <c r="AY155" s="120"/>
      <c r="AZ155" s="120"/>
      <c r="BA155" s="120" t="s">
        <v>2682</v>
      </c>
      <c r="BB155" s="594"/>
      <c r="BC155" s="594"/>
      <c r="BD155" s="156"/>
      <c r="BE155" s="156"/>
      <c r="BF155" s="156"/>
      <c r="BG155" s="156"/>
      <c r="BH155" s="156"/>
      <c r="BI155" s="156"/>
      <c r="BJ155" s="156"/>
      <c r="BK155" s="156"/>
      <c r="BL155" s="156"/>
      <c r="BM155" s="156"/>
      <c r="BN155" s="156"/>
      <c r="BO155" s="156"/>
      <c r="BP155" s="156"/>
      <c r="BQ155" s="595"/>
      <c r="BR155" s="157"/>
      <c r="BS155" s="660"/>
      <c r="BT155" s="134"/>
      <c r="BU155" s="134"/>
      <c r="BV155" s="134"/>
      <c r="BW155" s="134"/>
      <c r="BX155" s="134"/>
      <c r="BY155" s="134"/>
      <c r="BZ155" s="259"/>
      <c r="CA155" s="454"/>
      <c r="CB155" s="138"/>
      <c r="CC155" s="134"/>
      <c r="CD155" s="134"/>
      <c r="CE155" s="134"/>
      <c r="CF155" s="138"/>
      <c r="CG155" s="134"/>
      <c r="CH155" s="134"/>
      <c r="CI155" s="134"/>
      <c r="CJ155" s="288"/>
      <c r="CK155" s="289"/>
      <c r="CL155" s="138"/>
      <c r="CM155" s="134"/>
      <c r="CN155" s="134"/>
      <c r="CO155" s="134"/>
      <c r="CP155" s="138"/>
      <c r="CQ155" s="134"/>
      <c r="CR155" s="134"/>
      <c r="CS155" s="134"/>
      <c r="CT155" s="288"/>
      <c r="CU155" s="289"/>
      <c r="CV155" s="276"/>
      <c r="CW155" s="308"/>
      <c r="CX155" s="138"/>
      <c r="CY155" s="134"/>
      <c r="CZ155" s="134"/>
      <c r="DA155" s="134"/>
      <c r="DB155" s="134"/>
      <c r="DC155" s="134"/>
      <c r="DD155" s="134"/>
      <c r="DE155" s="134"/>
      <c r="DF155" s="300"/>
      <c r="DG155" s="301"/>
      <c r="DH155" s="134"/>
      <c r="DI155" s="134"/>
      <c r="DJ155" s="134"/>
      <c r="DK155" s="134"/>
      <c r="DL155" s="134"/>
      <c r="DM155" s="134"/>
      <c r="DN155" s="134"/>
      <c r="DO155" s="134"/>
      <c r="DP155" s="300"/>
      <c r="DQ155" s="301"/>
      <c r="DR155" s="276"/>
      <c r="DS155" s="277"/>
      <c r="DT155" s="134"/>
      <c r="DU155" s="134"/>
      <c r="DV155" s="134"/>
      <c r="DW155" s="134"/>
      <c r="DX155" s="138"/>
      <c r="DY155" s="134"/>
      <c r="DZ155" s="134"/>
      <c r="EA155" s="134"/>
      <c r="EB155" s="301"/>
      <c r="EC155" s="301"/>
      <c r="ED155" s="138"/>
      <c r="EE155" s="134"/>
      <c r="EF155" s="134"/>
      <c r="EG155" s="134"/>
      <c r="EH155" s="138"/>
      <c r="EI155" s="134"/>
      <c r="EJ155" s="134"/>
      <c r="EK155" s="134"/>
      <c r="EL155" s="301"/>
      <c r="EM155" s="301"/>
      <c r="EN155" s="277"/>
      <c r="EO155" s="134"/>
      <c r="EP155" s="134"/>
      <c r="EQ155" s="134"/>
      <c r="ER155" s="134"/>
      <c r="ES155" s="134"/>
      <c r="ET155" s="134"/>
      <c r="EU155" s="134"/>
      <c r="EV155" s="134"/>
      <c r="EW155" s="301"/>
      <c r="EX155" s="301"/>
      <c r="EY155" s="134"/>
      <c r="EZ155" s="134"/>
      <c r="FA155" s="134"/>
      <c r="FB155" s="134"/>
      <c r="FC155" s="134"/>
      <c r="FD155" s="134"/>
      <c r="FE155" s="134"/>
      <c r="FF155" s="134"/>
      <c r="FG155" s="135"/>
      <c r="FH155" s="135"/>
      <c r="FI155" s="134"/>
      <c r="FJ155" s="134"/>
      <c r="FK155" s="134"/>
      <c r="FL155" s="134"/>
      <c r="FM155" s="134"/>
      <c r="FN155" s="134"/>
      <c r="FO155" s="134"/>
      <c r="FP155" s="134"/>
      <c r="FQ155" s="135"/>
      <c r="FR155" s="135"/>
      <c r="FS155" s="134"/>
      <c r="FT155" s="134"/>
      <c r="FU155" s="134"/>
      <c r="FV155" s="134"/>
      <c r="FW155" s="134"/>
      <c r="FX155" s="134"/>
      <c r="FY155" s="134"/>
      <c r="FZ155" s="134"/>
      <c r="GA155" s="135"/>
      <c r="GB155" s="135"/>
      <c r="GC155" s="134"/>
      <c r="GD155" s="134"/>
      <c r="GE155" s="134"/>
      <c r="GF155" s="134"/>
      <c r="GG155" s="134"/>
      <c r="GH155" s="134"/>
      <c r="GI155" s="134"/>
      <c r="GJ155" s="134"/>
      <c r="GK155" s="135"/>
      <c r="GL155" s="135"/>
      <c r="GM155" s="134"/>
      <c r="GN155" s="134"/>
      <c r="GO155" s="134"/>
      <c r="GP155" s="134"/>
      <c r="GQ155" s="134"/>
      <c r="GR155" s="134"/>
      <c r="GS155" s="134"/>
      <c r="GT155" s="134"/>
      <c r="GU155" s="135"/>
      <c r="GV155" s="135"/>
      <c r="GW155" s="134"/>
      <c r="GX155" s="134"/>
      <c r="GY155" s="134"/>
      <c r="GZ155" s="134"/>
      <c r="HA155" s="134"/>
      <c r="HB155" s="134"/>
      <c r="HC155" s="134"/>
      <c r="HD155" s="134"/>
      <c r="HE155" s="135"/>
      <c r="HF155" s="135"/>
      <c r="HG155" s="134"/>
      <c r="HH155" s="134"/>
      <c r="HI155" s="134"/>
      <c r="HJ155" s="134"/>
      <c r="HK155" s="134"/>
      <c r="HL155" s="134"/>
      <c r="HM155" s="134"/>
      <c r="HN155" s="134"/>
      <c r="HO155" s="135"/>
      <c r="HP155" s="135"/>
      <c r="HQ155" s="134"/>
      <c r="HR155" s="134"/>
      <c r="HS155" s="134"/>
      <c r="HT155" s="134"/>
      <c r="HU155" s="134"/>
      <c r="HV155" s="134"/>
      <c r="HW155" s="134"/>
      <c r="HX155" s="134"/>
      <c r="HY155" s="135"/>
      <c r="HZ155" s="135"/>
      <c r="IA155" s="134"/>
      <c r="IB155" s="134"/>
      <c r="IC155" s="134"/>
      <c r="ID155" s="134"/>
      <c r="IE155" s="134"/>
      <c r="IF155" s="134"/>
      <c r="IG155" s="134"/>
      <c r="IH155" s="134"/>
      <c r="II155" s="135"/>
      <c r="IJ155" s="135"/>
      <c r="IK155" s="134"/>
      <c r="IL155" s="134"/>
      <c r="IM155" s="134"/>
      <c r="IN155" s="134"/>
      <c r="IO155" s="134"/>
      <c r="IP155" s="134"/>
      <c r="IQ155" s="134"/>
      <c r="IR155" s="134"/>
      <c r="IS155" s="135"/>
      <c r="IT155" s="135"/>
      <c r="IU155" s="134"/>
      <c r="IV155" s="134"/>
      <c r="IW155" s="134"/>
      <c r="IX155" s="134"/>
      <c r="IY155" s="134"/>
      <c r="IZ155" s="134"/>
      <c r="JA155" s="134"/>
      <c r="JB155" s="134"/>
      <c r="JC155" s="135"/>
      <c r="JD155" s="135"/>
    </row>
    <row r="156" spans="1:264" customFormat="1" ht="15" customHeight="1">
      <c r="A156" s="79" t="s">
        <v>1097</v>
      </c>
      <c r="B156" s="614">
        <v>11</v>
      </c>
      <c r="C156" s="614"/>
      <c r="D156" s="614"/>
      <c r="E156" s="604" t="s">
        <v>1935</v>
      </c>
      <c r="F156" s="124" t="s">
        <v>2303</v>
      </c>
      <c r="G156" s="125">
        <v>2015</v>
      </c>
      <c r="H156" s="79">
        <v>25533726</v>
      </c>
      <c r="I156" s="79">
        <v>1</v>
      </c>
      <c r="J156" s="126">
        <v>1</v>
      </c>
      <c r="K156" s="127"/>
      <c r="L156" s="79">
        <v>1</v>
      </c>
      <c r="M156" s="79"/>
      <c r="N156" s="153">
        <v>1</v>
      </c>
      <c r="O156" s="128">
        <v>2</v>
      </c>
      <c r="P156" s="79" t="s">
        <v>1230</v>
      </c>
      <c r="Q156" s="79" t="s">
        <v>1162</v>
      </c>
      <c r="R156" s="79" t="s">
        <v>1127</v>
      </c>
      <c r="S156" s="79"/>
      <c r="T156" s="79" t="s">
        <v>1541</v>
      </c>
      <c r="U156" s="79" t="s">
        <v>23</v>
      </c>
      <c r="V156" s="79" t="s">
        <v>23</v>
      </c>
      <c r="W156" s="79" t="s">
        <v>1501</v>
      </c>
      <c r="X156" s="79" t="s">
        <v>1231</v>
      </c>
      <c r="Y156" s="79" t="s">
        <v>23</v>
      </c>
      <c r="Z156" s="79"/>
      <c r="AA156" s="79"/>
      <c r="AB156" s="79"/>
      <c r="AC156" s="506"/>
      <c r="AD156" s="573">
        <v>1</v>
      </c>
      <c r="AE156" s="573">
        <v>2</v>
      </c>
      <c r="AF156" s="233" t="s">
        <v>1917</v>
      </c>
      <c r="AG156" s="234" t="s">
        <v>3338</v>
      </c>
      <c r="AH156" s="121">
        <v>4</v>
      </c>
      <c r="AI156" s="484"/>
      <c r="AJ156" s="202" t="s">
        <v>2688</v>
      </c>
      <c r="AK156" s="192">
        <v>2</v>
      </c>
      <c r="AL156" s="203">
        <v>1</v>
      </c>
      <c r="AM156" s="121" t="s">
        <v>2691</v>
      </c>
      <c r="AN156" s="121">
        <v>10</v>
      </c>
      <c r="AO156" s="121">
        <v>10</v>
      </c>
      <c r="AP156" s="121" t="s">
        <v>803</v>
      </c>
      <c r="AQ156" s="121" t="s">
        <v>803</v>
      </c>
      <c r="AR156" s="121" t="s">
        <v>2687</v>
      </c>
      <c r="AS156" s="121" t="s">
        <v>24</v>
      </c>
      <c r="AT156" s="121" t="s">
        <v>2687</v>
      </c>
      <c r="AU156" s="121" t="s">
        <v>24</v>
      </c>
      <c r="AV156" s="121" t="s">
        <v>2695</v>
      </c>
      <c r="AW156" s="121">
        <v>1</v>
      </c>
      <c r="AX156" s="121" t="s">
        <v>3321</v>
      </c>
      <c r="AY156" s="121" t="s">
        <v>2696</v>
      </c>
      <c r="AZ156" s="121" t="s">
        <v>1130</v>
      </c>
      <c r="BA156" s="121" t="s">
        <v>2554</v>
      </c>
      <c r="BB156" s="594"/>
      <c r="BC156" s="594"/>
      <c r="BD156" s="156">
        <v>1</v>
      </c>
      <c r="BE156" s="156"/>
      <c r="BF156" s="156"/>
      <c r="BG156" s="156"/>
      <c r="BH156" s="156"/>
      <c r="BI156" s="156"/>
      <c r="BJ156" s="156"/>
      <c r="BK156" s="156"/>
      <c r="BL156" s="156"/>
      <c r="BM156" s="156"/>
      <c r="BN156" s="156"/>
      <c r="BO156" s="156"/>
      <c r="BP156" s="156"/>
      <c r="BQ156" s="595" t="s">
        <v>2694</v>
      </c>
      <c r="BR156" s="157" t="s">
        <v>6595</v>
      </c>
      <c r="BS156" s="660"/>
      <c r="BT156" s="134" t="s">
        <v>1876</v>
      </c>
      <c r="BU156" s="134" t="s">
        <v>2705</v>
      </c>
      <c r="BV156" s="426" t="s">
        <v>2693</v>
      </c>
      <c r="BW156" s="134" t="s">
        <v>23</v>
      </c>
      <c r="BX156" s="134" t="s">
        <v>2659</v>
      </c>
      <c r="BY156" s="134" t="s">
        <v>2659</v>
      </c>
      <c r="BZ156" s="259" t="s">
        <v>2709</v>
      </c>
      <c r="CA156" s="454" t="s">
        <v>6627</v>
      </c>
      <c r="CB156" s="430" t="s">
        <v>2699</v>
      </c>
      <c r="CC156" s="134">
        <v>11.190799999999999</v>
      </c>
      <c r="CD156" s="134" t="s">
        <v>24</v>
      </c>
      <c r="CE156" s="134">
        <f>14.1404-Table668[[#This Row],[Data_Outcome1_M]]</f>
        <v>2.9496000000000002</v>
      </c>
      <c r="CF156" s="430" t="s">
        <v>2700</v>
      </c>
      <c r="CG156" s="134">
        <v>10.0686</v>
      </c>
      <c r="CH156" s="134" t="s">
        <v>24</v>
      </c>
      <c r="CI156" s="134">
        <f>Table668[[#This Row],[Data_Outcome2_M]]-8.65277</f>
        <v>1.4158299999999997</v>
      </c>
      <c r="CJ156" s="288" t="s">
        <v>2707</v>
      </c>
      <c r="CK156" s="289" t="s">
        <v>2480</v>
      </c>
      <c r="CL156" s="430" t="s">
        <v>2701</v>
      </c>
      <c r="CM156" s="134">
        <v>74.327600000000004</v>
      </c>
      <c r="CN156" s="134" t="s">
        <v>24</v>
      </c>
      <c r="CO156" s="134">
        <f>79.7844-Table668[[#This Row],[Data_Outcome3_M]]</f>
        <v>5.4568000000000012</v>
      </c>
      <c r="CP156" s="430" t="s">
        <v>2702</v>
      </c>
      <c r="CQ156" s="134">
        <v>13.1188</v>
      </c>
      <c r="CR156" s="134" t="s">
        <v>24</v>
      </c>
      <c r="CS156" s="134">
        <f>16.8514-Table668[[#This Row],[Data_Outcome4_M]]</f>
        <v>3.7326000000000015</v>
      </c>
      <c r="CT156" s="288" t="s">
        <v>2708</v>
      </c>
      <c r="CU156" s="289" t="s">
        <v>2555</v>
      </c>
      <c r="CV156" s="276"/>
      <c r="CW156" s="308"/>
      <c r="CX156" s="138"/>
      <c r="CY156" s="134"/>
      <c r="CZ156" s="134"/>
      <c r="DA156" s="134"/>
      <c r="DB156" s="134"/>
      <c r="DC156" s="134"/>
      <c r="DD156" s="134"/>
      <c r="DE156" s="134"/>
      <c r="DF156" s="300"/>
      <c r="DG156" s="301"/>
      <c r="DH156" s="134"/>
      <c r="DI156" s="134"/>
      <c r="DJ156" s="134"/>
      <c r="DK156" s="134"/>
      <c r="DL156" s="134"/>
      <c r="DM156" s="134"/>
      <c r="DN156" s="134"/>
      <c r="DO156" s="134"/>
      <c r="DP156" s="300"/>
      <c r="DQ156" s="301"/>
      <c r="DR156" s="276"/>
      <c r="DS156" s="277"/>
      <c r="DT156" s="134"/>
      <c r="DU156" s="134"/>
      <c r="DV156" s="134"/>
      <c r="DW156" s="134"/>
      <c r="DX156" s="138"/>
      <c r="DY156" s="134"/>
      <c r="DZ156" s="134"/>
      <c r="EA156" s="134"/>
      <c r="EB156" s="301"/>
      <c r="EC156" s="301"/>
      <c r="ED156" s="138"/>
      <c r="EE156" s="134"/>
      <c r="EF156" s="134"/>
      <c r="EG156" s="134"/>
      <c r="EH156" s="138"/>
      <c r="EI156" s="134"/>
      <c r="EJ156" s="134"/>
      <c r="EK156" s="134"/>
      <c r="EL156" s="301"/>
      <c r="EM156" s="301"/>
      <c r="EN156" s="277"/>
      <c r="EO156" s="134"/>
      <c r="EP156" s="134"/>
      <c r="EQ156" s="134"/>
      <c r="ER156" s="134"/>
      <c r="ES156" s="134"/>
      <c r="ET156" s="134"/>
      <c r="EU156" s="134"/>
      <c r="EV156" s="134"/>
      <c r="EW156" s="301"/>
      <c r="EX156" s="301"/>
      <c r="EY156" s="134"/>
      <c r="EZ156" s="134"/>
      <c r="FA156" s="134"/>
      <c r="FB156" s="134"/>
      <c r="FC156" s="134"/>
      <c r="FD156" s="134"/>
      <c r="FE156" s="134"/>
      <c r="FF156" s="134"/>
      <c r="FG156" s="135"/>
      <c r="FH156" s="135"/>
      <c r="FI156" s="134"/>
      <c r="FJ156" s="134"/>
      <c r="FK156" s="134"/>
      <c r="FL156" s="134"/>
      <c r="FM156" s="134"/>
      <c r="FN156" s="134"/>
      <c r="FO156" s="134"/>
      <c r="FP156" s="134"/>
      <c r="FQ156" s="135"/>
      <c r="FR156" s="135"/>
      <c r="FS156" s="134"/>
      <c r="FT156" s="134"/>
      <c r="FU156" s="134"/>
      <c r="FV156" s="134"/>
      <c r="FW156" s="134"/>
      <c r="FX156" s="134"/>
      <c r="FY156" s="134"/>
      <c r="FZ156" s="134"/>
      <c r="GA156" s="135"/>
      <c r="GB156" s="135"/>
      <c r="GC156" s="134"/>
      <c r="GD156" s="134"/>
      <c r="GE156" s="134"/>
      <c r="GF156" s="134"/>
      <c r="GG156" s="134"/>
      <c r="GH156" s="134"/>
      <c r="GI156" s="134"/>
      <c r="GJ156" s="134"/>
      <c r="GK156" s="135"/>
      <c r="GL156" s="135"/>
      <c r="GM156" s="134"/>
      <c r="GN156" s="134"/>
      <c r="GO156" s="134"/>
      <c r="GP156" s="134"/>
      <c r="GQ156" s="134"/>
      <c r="GR156" s="134"/>
      <c r="GS156" s="134"/>
      <c r="GT156" s="134"/>
      <c r="GU156" s="135"/>
      <c r="GV156" s="135"/>
      <c r="GW156" s="134"/>
      <c r="GX156" s="134"/>
      <c r="GY156" s="134"/>
      <c r="GZ156" s="134"/>
      <c r="HA156" s="134"/>
      <c r="HB156" s="134"/>
      <c r="HC156" s="134"/>
      <c r="HD156" s="134"/>
      <c r="HE156" s="135"/>
      <c r="HF156" s="135"/>
      <c r="HG156" s="134"/>
      <c r="HH156" s="134"/>
      <c r="HI156" s="134"/>
      <c r="HJ156" s="134"/>
      <c r="HK156" s="134"/>
      <c r="HL156" s="134"/>
      <c r="HM156" s="134"/>
      <c r="HN156" s="134"/>
      <c r="HO156" s="135"/>
      <c r="HP156" s="135"/>
      <c r="HQ156" s="134"/>
      <c r="HR156" s="134"/>
      <c r="HS156" s="134"/>
      <c r="HT156" s="134"/>
      <c r="HU156" s="134"/>
      <c r="HV156" s="134"/>
      <c r="HW156" s="134"/>
      <c r="HX156" s="134"/>
      <c r="HY156" s="135"/>
      <c r="HZ156" s="135"/>
      <c r="IA156" s="134"/>
      <c r="IB156" s="134"/>
      <c r="IC156" s="134"/>
      <c r="ID156" s="134"/>
      <c r="IE156" s="134"/>
      <c r="IF156" s="134"/>
      <c r="IG156" s="134"/>
      <c r="IH156" s="134"/>
      <c r="II156" s="135"/>
      <c r="IJ156" s="135"/>
      <c r="IK156" s="134"/>
      <c r="IL156" s="134"/>
      <c r="IM156" s="134"/>
      <c r="IN156" s="134"/>
      <c r="IO156" s="134"/>
      <c r="IP156" s="134"/>
      <c r="IQ156" s="134"/>
      <c r="IR156" s="134"/>
      <c r="IS156" s="135"/>
      <c r="IT156" s="135"/>
      <c r="IU156" s="134"/>
      <c r="IV156" s="134"/>
      <c r="IW156" s="134"/>
      <c r="IX156" s="134"/>
      <c r="IY156" s="134"/>
      <c r="IZ156" s="134"/>
      <c r="JA156" s="134"/>
      <c r="JB156" s="134"/>
      <c r="JC156" s="135"/>
      <c r="JD156" s="135"/>
    </row>
    <row r="157" spans="1:264" customFormat="1" ht="15" customHeight="1">
      <c r="A157" s="118" t="s">
        <v>1097</v>
      </c>
      <c r="B157" s="614">
        <v>11</v>
      </c>
      <c r="C157" s="614"/>
      <c r="D157" s="614"/>
      <c r="E157" s="605" t="s">
        <v>1935</v>
      </c>
      <c r="F157" s="140" t="s">
        <v>2303</v>
      </c>
      <c r="G157" s="141">
        <v>2015</v>
      </c>
      <c r="H157" s="118">
        <v>25533726</v>
      </c>
      <c r="I157" s="118">
        <v>1</v>
      </c>
      <c r="J157" s="118">
        <v>1</v>
      </c>
      <c r="K157" s="118"/>
      <c r="L157" s="118">
        <v>1</v>
      </c>
      <c r="M157" s="118"/>
      <c r="N157" s="158">
        <v>1</v>
      </c>
      <c r="O157" s="142">
        <v>2</v>
      </c>
      <c r="P157" s="118" t="s">
        <v>1230</v>
      </c>
      <c r="Q157" s="118" t="s">
        <v>1162</v>
      </c>
      <c r="R157" s="118" t="s">
        <v>1127</v>
      </c>
      <c r="S157" s="118"/>
      <c r="T157" s="118" t="s">
        <v>1541</v>
      </c>
      <c r="U157" s="118" t="s">
        <v>23</v>
      </c>
      <c r="V157" s="118" t="s">
        <v>23</v>
      </c>
      <c r="W157" s="118" t="s">
        <v>1501</v>
      </c>
      <c r="X157" s="118" t="s">
        <v>1231</v>
      </c>
      <c r="Y157" s="118" t="s">
        <v>23</v>
      </c>
      <c r="Z157" s="118"/>
      <c r="AA157" s="118"/>
      <c r="AB157" s="118"/>
      <c r="AC157" s="145"/>
      <c r="AD157" s="573">
        <v>1</v>
      </c>
      <c r="AE157" s="573">
        <v>2</v>
      </c>
      <c r="AF157" s="233" t="s">
        <v>1917</v>
      </c>
      <c r="AG157" s="234" t="s">
        <v>3338</v>
      </c>
      <c r="AH157" s="122">
        <v>4</v>
      </c>
      <c r="AI157" s="485"/>
      <c r="AJ157" s="204" t="s">
        <v>2689</v>
      </c>
      <c r="AK157" s="192">
        <v>2</v>
      </c>
      <c r="AL157" s="205">
        <v>1</v>
      </c>
      <c r="AM157" s="122" t="s">
        <v>2691</v>
      </c>
      <c r="AN157" s="122">
        <v>10</v>
      </c>
      <c r="AO157" s="122">
        <v>10</v>
      </c>
      <c r="AP157" s="122" t="s">
        <v>803</v>
      </c>
      <c r="AQ157" s="122" t="s">
        <v>803</v>
      </c>
      <c r="AR157" s="122" t="s">
        <v>2687</v>
      </c>
      <c r="AS157" s="122" t="s">
        <v>24</v>
      </c>
      <c r="AT157" s="122" t="s">
        <v>2687</v>
      </c>
      <c r="AU157" s="122" t="s">
        <v>24</v>
      </c>
      <c r="AV157" s="122" t="s">
        <v>2695</v>
      </c>
      <c r="AW157" s="122">
        <v>1</v>
      </c>
      <c r="AX157" s="121" t="s">
        <v>3321</v>
      </c>
      <c r="AY157" s="122" t="s">
        <v>2696</v>
      </c>
      <c r="AZ157" s="122" t="s">
        <v>1130</v>
      </c>
      <c r="BA157" s="122" t="s">
        <v>2554</v>
      </c>
      <c r="BB157" s="588"/>
      <c r="BC157" s="588"/>
      <c r="BD157" s="161">
        <v>1</v>
      </c>
      <c r="BE157" s="161"/>
      <c r="BF157" s="161"/>
      <c r="BG157" s="161"/>
      <c r="BH157" s="161"/>
      <c r="BI157" s="161"/>
      <c r="BJ157" s="161"/>
      <c r="BK157" s="161"/>
      <c r="BL157" s="161"/>
      <c r="BM157" s="161"/>
      <c r="BN157" s="161"/>
      <c r="BO157" s="161"/>
      <c r="BP157" s="161"/>
      <c r="BQ157" s="596" t="s">
        <v>2694</v>
      </c>
      <c r="BR157" s="157" t="s">
        <v>6595</v>
      </c>
      <c r="BS157" s="660"/>
      <c r="BT157" s="150" t="s">
        <v>1876</v>
      </c>
      <c r="BU157" s="150" t="s">
        <v>2706</v>
      </c>
      <c r="BV157" s="425" t="s">
        <v>2693</v>
      </c>
      <c r="BW157" s="150" t="s">
        <v>23</v>
      </c>
      <c r="BX157" s="150" t="s">
        <v>2659</v>
      </c>
      <c r="BY157" s="134" t="s">
        <v>2659</v>
      </c>
      <c r="BZ157" s="258" t="s">
        <v>2709</v>
      </c>
      <c r="CA157" s="257" t="s">
        <v>6627</v>
      </c>
      <c r="CB157" s="428" t="s">
        <v>2697</v>
      </c>
      <c r="CC157" s="150">
        <v>13.9884</v>
      </c>
      <c r="CD157" s="150" t="s">
        <v>24</v>
      </c>
      <c r="CE157" s="150">
        <f>15.7639-Table668[[#This Row],[Data_Outcome1_M]]</f>
        <v>1.7754999999999992</v>
      </c>
      <c r="CF157" s="428" t="s">
        <v>2698</v>
      </c>
      <c r="CG157" s="150">
        <v>13.468</v>
      </c>
      <c r="CH157" s="150" t="s">
        <v>24</v>
      </c>
      <c r="CI157" s="150">
        <f>Table668[[#This Row],[Data_Outcome2_M]]-11.9372</f>
        <v>1.5307999999999993</v>
      </c>
      <c r="CJ157" s="290" t="s">
        <v>2707</v>
      </c>
      <c r="CK157" s="291" t="s">
        <v>2480</v>
      </c>
      <c r="CL157" s="428" t="s">
        <v>2703</v>
      </c>
      <c r="CM157" s="150">
        <v>74.607299999999995</v>
      </c>
      <c r="CN157" s="150" t="s">
        <v>24</v>
      </c>
      <c r="CO157" s="150">
        <f>80.1047-Table668[[#This Row],[Data_Outcome3_M]]</f>
        <v>5.497399999999999</v>
      </c>
      <c r="CP157" s="428" t="s">
        <v>2704</v>
      </c>
      <c r="CQ157" s="150">
        <v>14.3979</v>
      </c>
      <c r="CR157" s="150" t="s">
        <v>24</v>
      </c>
      <c r="CS157" s="150">
        <f>17.5393-Table668[[#This Row],[Data_Outcome4_M]]</f>
        <v>3.1414000000000009</v>
      </c>
      <c r="CT157" s="290" t="s">
        <v>2708</v>
      </c>
      <c r="CU157" s="291" t="s">
        <v>2555</v>
      </c>
      <c r="CV157" s="278"/>
      <c r="CW157" s="285"/>
      <c r="CX157" s="428"/>
      <c r="CY157" s="150"/>
      <c r="CZ157" s="150"/>
      <c r="DA157" s="150"/>
      <c r="DB157" s="425"/>
      <c r="DC157" s="150"/>
      <c r="DD157" s="150"/>
      <c r="DE157" s="150"/>
      <c r="DF157" s="302"/>
      <c r="DG157" s="303"/>
      <c r="DH157" s="150"/>
      <c r="DI157" s="150"/>
      <c r="DJ157" s="150"/>
      <c r="DK157" s="150"/>
      <c r="DL157" s="150"/>
      <c r="DM157" s="150"/>
      <c r="DN157" s="150"/>
      <c r="DO157" s="150"/>
      <c r="DP157" s="302"/>
      <c r="DQ157" s="303"/>
      <c r="DR157" s="278"/>
      <c r="DS157" s="279"/>
      <c r="DT157" s="150"/>
      <c r="DU157" s="150"/>
      <c r="DV157" s="150"/>
      <c r="DW157" s="150"/>
      <c r="DX157" s="151"/>
      <c r="DY157" s="150"/>
      <c r="DZ157" s="150"/>
      <c r="EA157" s="150"/>
      <c r="EB157" s="303"/>
      <c r="EC157" s="303"/>
      <c r="ED157" s="151"/>
      <c r="EE157" s="150"/>
      <c r="EF157" s="150"/>
      <c r="EG157" s="150"/>
      <c r="EH157" s="151"/>
      <c r="EI157" s="150"/>
      <c r="EJ157" s="150"/>
      <c r="EK157" s="150"/>
      <c r="EL157" s="303"/>
      <c r="EM157" s="303"/>
      <c r="EN157" s="279"/>
      <c r="EO157" s="150"/>
      <c r="EP157" s="150"/>
      <c r="EQ157" s="150"/>
      <c r="ER157" s="150"/>
      <c r="ES157" s="150"/>
      <c r="ET157" s="150"/>
      <c r="EU157" s="150"/>
      <c r="EV157" s="150"/>
      <c r="EW157" s="303"/>
      <c r="EX157" s="303"/>
      <c r="EY157" s="150"/>
      <c r="EZ157" s="150"/>
      <c r="FA157" s="150"/>
      <c r="FB157" s="150"/>
      <c r="FC157" s="134"/>
      <c r="FD157" s="134"/>
      <c r="FE157" s="134"/>
      <c r="FF157" s="134"/>
      <c r="FG157" s="135"/>
      <c r="FH157" s="135"/>
      <c r="FI157" s="134"/>
      <c r="FJ157" s="134"/>
      <c r="FK157" s="134"/>
      <c r="FL157" s="134"/>
      <c r="FM157" s="134"/>
      <c r="FN157" s="134"/>
      <c r="FO157" s="134"/>
      <c r="FP157" s="134"/>
      <c r="FQ157" s="135"/>
      <c r="FR157" s="135"/>
      <c r="FS157" s="134"/>
      <c r="FT157" s="134"/>
      <c r="FU157" s="134"/>
      <c r="FV157" s="134"/>
      <c r="FW157" s="134"/>
      <c r="FX157" s="134"/>
      <c r="FY157" s="134"/>
      <c r="FZ157" s="134"/>
      <c r="GA157" s="135"/>
      <c r="GB157" s="135"/>
      <c r="GC157" s="134"/>
      <c r="GD157" s="134"/>
      <c r="GE157" s="134"/>
      <c r="GF157" s="134"/>
      <c r="GG157" s="134"/>
      <c r="GH157" s="134"/>
      <c r="GI157" s="134"/>
      <c r="GJ157" s="134"/>
      <c r="GK157" s="135"/>
      <c r="GL157" s="135"/>
      <c r="GM157" s="134"/>
      <c r="GN157" s="134"/>
      <c r="GO157" s="134"/>
      <c r="GP157" s="134"/>
      <c r="GQ157" s="134"/>
      <c r="GR157" s="134"/>
      <c r="GS157" s="134"/>
      <c r="GT157" s="134"/>
      <c r="GU157" s="135"/>
      <c r="GV157" s="135"/>
      <c r="GW157" s="134"/>
      <c r="GX157" s="134"/>
      <c r="GY157" s="134"/>
      <c r="GZ157" s="134"/>
      <c r="HA157" s="134"/>
      <c r="HB157" s="134"/>
      <c r="HC157" s="134"/>
      <c r="HD157" s="134"/>
      <c r="HE157" s="135"/>
      <c r="HF157" s="135"/>
      <c r="HG157" s="134"/>
      <c r="HH157" s="134"/>
      <c r="HI157" s="134"/>
      <c r="HJ157" s="134"/>
      <c r="HK157" s="134"/>
      <c r="HL157" s="134"/>
      <c r="HM157" s="134"/>
      <c r="HN157" s="134"/>
      <c r="HO157" s="135"/>
      <c r="HP157" s="135"/>
      <c r="HQ157" s="134"/>
      <c r="HR157" s="134"/>
      <c r="HS157" s="134"/>
      <c r="HT157" s="134"/>
      <c r="HU157" s="134"/>
      <c r="HV157" s="134"/>
      <c r="HW157" s="134"/>
      <c r="HX157" s="134"/>
      <c r="HY157" s="135"/>
      <c r="HZ157" s="135"/>
      <c r="IA157" s="134"/>
      <c r="IB157" s="134"/>
      <c r="IC157" s="134"/>
      <c r="ID157" s="134"/>
      <c r="IE157" s="134"/>
      <c r="IF157" s="134"/>
      <c r="IG157" s="134"/>
      <c r="IH157" s="134"/>
      <c r="II157" s="135"/>
      <c r="IJ157" s="135"/>
      <c r="IK157" s="134"/>
      <c r="IL157" s="134"/>
      <c r="IM157" s="134"/>
      <c r="IN157" s="134"/>
      <c r="IO157" s="134"/>
      <c r="IP157" s="134"/>
      <c r="IQ157" s="134"/>
      <c r="IR157" s="134"/>
      <c r="IS157" s="135"/>
      <c r="IT157" s="135"/>
      <c r="IU157" s="134"/>
      <c r="IV157" s="134"/>
      <c r="IW157" s="134"/>
      <c r="IX157" s="134"/>
      <c r="IY157" s="134"/>
      <c r="IZ157" s="134"/>
      <c r="JA157" s="134"/>
      <c r="JB157" s="134"/>
      <c r="JC157" s="135"/>
      <c r="JD157" s="135"/>
    </row>
    <row r="158" spans="1:264" customFormat="1" ht="15" customHeight="1">
      <c r="A158" s="118" t="s">
        <v>1097</v>
      </c>
      <c r="B158" s="614">
        <v>11</v>
      </c>
      <c r="C158" s="614"/>
      <c r="D158" s="614"/>
      <c r="E158" s="605" t="s">
        <v>1935</v>
      </c>
      <c r="F158" s="140" t="s">
        <v>2303</v>
      </c>
      <c r="G158" s="141">
        <v>2015</v>
      </c>
      <c r="H158" s="118">
        <v>25533726</v>
      </c>
      <c r="I158" s="118">
        <v>1</v>
      </c>
      <c r="J158" s="118">
        <v>1</v>
      </c>
      <c r="K158" s="118"/>
      <c r="L158" s="118">
        <v>1</v>
      </c>
      <c r="M158" s="118"/>
      <c r="N158" s="158">
        <v>1</v>
      </c>
      <c r="O158" s="142">
        <v>2</v>
      </c>
      <c r="P158" s="118" t="s">
        <v>1230</v>
      </c>
      <c r="Q158" s="118" t="s">
        <v>1162</v>
      </c>
      <c r="R158" s="118" t="s">
        <v>1127</v>
      </c>
      <c r="S158" s="118"/>
      <c r="T158" s="118" t="s">
        <v>1541</v>
      </c>
      <c r="U158" s="118" t="s">
        <v>23</v>
      </c>
      <c r="V158" s="118" t="s">
        <v>23</v>
      </c>
      <c r="W158" s="118" t="s">
        <v>1501</v>
      </c>
      <c r="X158" s="118" t="s">
        <v>1231</v>
      </c>
      <c r="Y158" s="118" t="s">
        <v>23</v>
      </c>
      <c r="Z158" s="118"/>
      <c r="AA158" s="118"/>
      <c r="AB158" s="118"/>
      <c r="AC158" s="145"/>
      <c r="AD158" s="573">
        <v>1</v>
      </c>
      <c r="AE158" s="573">
        <v>2</v>
      </c>
      <c r="AF158" s="233" t="s">
        <v>1917</v>
      </c>
      <c r="AG158" s="234" t="s">
        <v>3338</v>
      </c>
      <c r="AH158" s="122">
        <v>4</v>
      </c>
      <c r="AI158" s="485"/>
      <c r="AJ158" s="204" t="s">
        <v>2690</v>
      </c>
      <c r="AK158" s="192">
        <v>2</v>
      </c>
      <c r="AL158" s="205">
        <v>1</v>
      </c>
      <c r="AM158" s="122" t="s">
        <v>2710</v>
      </c>
      <c r="AN158" s="122">
        <v>10</v>
      </c>
      <c r="AO158" s="122">
        <v>10</v>
      </c>
      <c r="AP158" s="122" t="s">
        <v>803</v>
      </c>
      <c r="AQ158" s="122" t="s">
        <v>803</v>
      </c>
      <c r="AR158" s="122" t="s">
        <v>2687</v>
      </c>
      <c r="AS158" s="122" t="s">
        <v>24</v>
      </c>
      <c r="AT158" s="122" t="s">
        <v>2687</v>
      </c>
      <c r="AU158" s="122" t="s">
        <v>24</v>
      </c>
      <c r="AV158" s="122" t="s">
        <v>2695</v>
      </c>
      <c r="AW158" s="122">
        <v>1</v>
      </c>
      <c r="AX158" s="121" t="s">
        <v>3321</v>
      </c>
      <c r="AY158" s="122" t="s">
        <v>2696</v>
      </c>
      <c r="AZ158" s="122" t="s">
        <v>1130</v>
      </c>
      <c r="BA158" s="122" t="s">
        <v>2554</v>
      </c>
      <c r="BB158" s="588"/>
      <c r="BC158" s="588"/>
      <c r="BD158" s="161">
        <v>1</v>
      </c>
      <c r="BE158" s="161"/>
      <c r="BF158" s="161"/>
      <c r="BG158" s="161"/>
      <c r="BH158" s="161"/>
      <c r="BI158" s="161"/>
      <c r="BJ158" s="161"/>
      <c r="BK158" s="161"/>
      <c r="BL158" s="161"/>
      <c r="BM158" s="161"/>
      <c r="BN158" s="161"/>
      <c r="BO158" s="161"/>
      <c r="BP158" s="161"/>
      <c r="BQ158" s="596" t="s">
        <v>2694</v>
      </c>
      <c r="BR158" s="157" t="s">
        <v>6595</v>
      </c>
      <c r="BS158" s="660"/>
      <c r="BT158" s="150" t="s">
        <v>1876</v>
      </c>
      <c r="BU158" s="150" t="s">
        <v>2711</v>
      </c>
      <c r="BV158" s="425" t="s">
        <v>2693</v>
      </c>
      <c r="BW158" s="150" t="s">
        <v>23</v>
      </c>
      <c r="BX158" s="150" t="s">
        <v>2659</v>
      </c>
      <c r="BY158" s="134" t="s">
        <v>2659</v>
      </c>
      <c r="BZ158" s="258" t="s">
        <v>2716</v>
      </c>
      <c r="CA158" s="257">
        <v>0</v>
      </c>
      <c r="CB158" s="428" t="s">
        <v>2699</v>
      </c>
      <c r="CC158" s="150">
        <v>14.1493</v>
      </c>
      <c r="CD158" s="150" t="s">
        <v>24</v>
      </c>
      <c r="CE158" s="150">
        <f>16.4182-Table668[[#This Row],[Data_Outcome1_M]]</f>
        <v>2.2688999999999986</v>
      </c>
      <c r="CF158" s="428" t="s">
        <v>2713</v>
      </c>
      <c r="CG158" s="266">
        <v>13.0587</v>
      </c>
      <c r="CH158" s="150" t="s">
        <v>24</v>
      </c>
      <c r="CI158" s="351">
        <f>16.3618-Table668[[#This Row],[Data_Outcome2_M]]</f>
        <v>3.3030999999999988</v>
      </c>
      <c r="CJ158" s="290" t="s">
        <v>2707</v>
      </c>
      <c r="CK158" s="291" t="s">
        <v>2480</v>
      </c>
      <c r="CL158" s="428" t="s">
        <v>2712</v>
      </c>
      <c r="CM158" s="150">
        <v>73.122900000000001</v>
      </c>
      <c r="CN158" s="150" t="s">
        <v>24</v>
      </c>
      <c r="CO158" s="150">
        <f>77.8708-Table668[[#This Row],[Data_Outcome3_M]]</f>
        <v>4.7479000000000013</v>
      </c>
      <c r="CP158" s="428" t="s">
        <v>2714</v>
      </c>
      <c r="CQ158" s="150">
        <v>14.8607</v>
      </c>
      <c r="CR158" s="150" t="s">
        <v>24</v>
      </c>
      <c r="CS158" s="150">
        <f>16.9247-Table668[[#This Row],[Data_Outcome4_M]]</f>
        <v>2.0640000000000018</v>
      </c>
      <c r="CT158" s="290" t="s">
        <v>2708</v>
      </c>
      <c r="CU158" s="291" t="s">
        <v>2555</v>
      </c>
      <c r="CV158" s="278" t="s">
        <v>2715</v>
      </c>
      <c r="CW158" s="285" t="s">
        <v>2555</v>
      </c>
      <c r="CX158" s="428" t="s">
        <v>24</v>
      </c>
      <c r="CY158" s="150"/>
      <c r="CZ158" s="150"/>
      <c r="DA158" s="150"/>
      <c r="DB158" s="425"/>
      <c r="DC158" s="150"/>
      <c r="DD158" s="150"/>
      <c r="DE158" s="150"/>
      <c r="DF158" s="302"/>
      <c r="DG158" s="303"/>
      <c r="DH158" s="150"/>
      <c r="DI158" s="150"/>
      <c r="DJ158" s="150"/>
      <c r="DK158" s="150"/>
      <c r="DL158" s="150"/>
      <c r="DM158" s="150"/>
      <c r="DN158" s="150"/>
      <c r="DO158" s="150"/>
      <c r="DP158" s="302"/>
      <c r="DQ158" s="303"/>
      <c r="DR158" s="278"/>
      <c r="DS158" s="279"/>
      <c r="DT158" s="150"/>
      <c r="DU158" s="150"/>
      <c r="DV158" s="150"/>
      <c r="DW158" s="150"/>
      <c r="DX158" s="151"/>
      <c r="DY158" s="150"/>
      <c r="DZ158" s="150"/>
      <c r="EA158" s="150"/>
      <c r="EB158" s="303"/>
      <c r="EC158" s="303"/>
      <c r="ED158" s="151"/>
      <c r="EE158" s="150"/>
      <c r="EF158" s="150"/>
      <c r="EG158" s="150"/>
      <c r="EH158" s="151"/>
      <c r="EI158" s="150"/>
      <c r="EJ158" s="150"/>
      <c r="EK158" s="150"/>
      <c r="EL158" s="303"/>
      <c r="EM158" s="303"/>
      <c r="EN158" s="279"/>
      <c r="EO158" s="150"/>
      <c r="EP158" s="150"/>
      <c r="EQ158" s="150"/>
      <c r="ER158" s="150"/>
      <c r="ES158" s="150"/>
      <c r="ET158" s="150"/>
      <c r="EU158" s="150"/>
      <c r="EV158" s="150"/>
      <c r="EW158" s="303"/>
      <c r="EX158" s="303"/>
      <c r="EY158" s="150"/>
      <c r="EZ158" s="150"/>
      <c r="FA158" s="150"/>
      <c r="FB158" s="150"/>
      <c r="FC158" s="134"/>
      <c r="FD158" s="134"/>
      <c r="FE158" s="134"/>
      <c r="FF158" s="134"/>
      <c r="FG158" s="135"/>
      <c r="FH158" s="135"/>
      <c r="FI158" s="134"/>
      <c r="FJ158" s="134"/>
      <c r="FK158" s="134"/>
      <c r="FL158" s="134"/>
      <c r="FM158" s="134"/>
      <c r="FN158" s="134"/>
      <c r="FO158" s="134"/>
      <c r="FP158" s="134"/>
      <c r="FQ158" s="135"/>
      <c r="FR158" s="135"/>
      <c r="FS158" s="134"/>
      <c r="FT158" s="134"/>
      <c r="FU158" s="134"/>
      <c r="FV158" s="134"/>
      <c r="FW158" s="134"/>
      <c r="FX158" s="134"/>
      <c r="FY158" s="134"/>
      <c r="FZ158" s="134"/>
      <c r="GA158" s="135"/>
      <c r="GB158" s="135"/>
      <c r="GC158" s="134"/>
      <c r="GD158" s="134"/>
      <c r="GE158" s="134"/>
      <c r="GF158" s="134"/>
      <c r="GG158" s="134"/>
      <c r="GH158" s="134"/>
      <c r="GI158" s="134"/>
      <c r="GJ158" s="134"/>
      <c r="GK158" s="135"/>
      <c r="GL158" s="135"/>
      <c r="GM158" s="134"/>
      <c r="GN158" s="134"/>
      <c r="GO158" s="134"/>
      <c r="GP158" s="134"/>
      <c r="GQ158" s="134"/>
      <c r="GR158" s="134"/>
      <c r="GS158" s="134"/>
      <c r="GT158" s="134"/>
      <c r="GU158" s="135"/>
      <c r="GV158" s="135"/>
      <c r="GW158" s="134"/>
      <c r="GX158" s="134"/>
      <c r="GY158" s="134"/>
      <c r="GZ158" s="134"/>
      <c r="HA158" s="134"/>
      <c r="HB158" s="134"/>
      <c r="HC158" s="134"/>
      <c r="HD158" s="134"/>
      <c r="HE158" s="135"/>
      <c r="HF158" s="135"/>
      <c r="HG158" s="134"/>
      <c r="HH158" s="134"/>
      <c r="HI158" s="134"/>
      <c r="HJ158" s="134"/>
      <c r="HK158" s="134"/>
      <c r="HL158" s="134"/>
      <c r="HM158" s="134"/>
      <c r="HN158" s="134"/>
      <c r="HO158" s="135"/>
      <c r="HP158" s="135"/>
      <c r="HQ158" s="134"/>
      <c r="HR158" s="134"/>
      <c r="HS158" s="134"/>
      <c r="HT158" s="134"/>
      <c r="HU158" s="134"/>
      <c r="HV158" s="134"/>
      <c r="HW158" s="134"/>
      <c r="HX158" s="134"/>
      <c r="HY158" s="135"/>
      <c r="HZ158" s="135"/>
      <c r="IA158" s="134"/>
      <c r="IB158" s="134"/>
      <c r="IC158" s="134"/>
      <c r="ID158" s="134"/>
      <c r="IE158" s="134"/>
      <c r="IF158" s="134"/>
      <c r="IG158" s="134"/>
      <c r="IH158" s="134"/>
      <c r="II158" s="135"/>
      <c r="IJ158" s="135"/>
      <c r="IK158" s="134"/>
      <c r="IL158" s="134"/>
      <c r="IM158" s="134"/>
      <c r="IN158" s="134"/>
      <c r="IO158" s="134"/>
      <c r="IP158" s="134"/>
      <c r="IQ158" s="134"/>
      <c r="IR158" s="134"/>
      <c r="IS158" s="135"/>
      <c r="IT158" s="135"/>
      <c r="IU158" s="134"/>
      <c r="IV158" s="134"/>
      <c r="IW158" s="134"/>
      <c r="IX158" s="134"/>
      <c r="IY158" s="134"/>
      <c r="IZ158" s="134"/>
      <c r="JA158" s="134"/>
      <c r="JB158" s="134"/>
      <c r="JC158" s="135"/>
      <c r="JD158" s="135"/>
    </row>
    <row r="159" spans="1:264" customFormat="1" ht="15" customHeight="1">
      <c r="A159" s="79" t="s">
        <v>114</v>
      </c>
      <c r="B159" s="362">
        <v>81</v>
      </c>
      <c r="C159" s="362">
        <v>11</v>
      </c>
      <c r="D159" s="362"/>
      <c r="E159" s="604" t="s">
        <v>1936</v>
      </c>
      <c r="F159" s="124" t="s">
        <v>2154</v>
      </c>
      <c r="G159" s="125">
        <v>2014</v>
      </c>
      <c r="H159" s="79">
        <v>24766521</v>
      </c>
      <c r="I159" s="79">
        <v>1</v>
      </c>
      <c r="J159" s="126"/>
      <c r="K159" s="127"/>
      <c r="L159" s="79">
        <v>1</v>
      </c>
      <c r="M159" s="79"/>
      <c r="N159" s="79">
        <v>1</v>
      </c>
      <c r="O159" s="128">
        <v>1</v>
      </c>
      <c r="P159" s="79" t="s">
        <v>394</v>
      </c>
      <c r="Q159" s="79" t="s">
        <v>1147</v>
      </c>
      <c r="R159" s="79" t="s">
        <v>25</v>
      </c>
      <c r="S159" s="79"/>
      <c r="T159" s="79"/>
      <c r="U159" s="79"/>
      <c r="V159" s="79"/>
      <c r="W159" s="79" t="s">
        <v>393</v>
      </c>
      <c r="X159" s="79"/>
      <c r="Y159" s="79"/>
      <c r="Z159" s="79"/>
      <c r="AA159" s="79"/>
      <c r="AB159" s="79"/>
      <c r="AC159" s="506"/>
      <c r="AD159" s="573">
        <v>1</v>
      </c>
      <c r="AE159" s="573">
        <v>2</v>
      </c>
      <c r="AF159" s="165" t="s">
        <v>3003</v>
      </c>
      <c r="AG159" s="166" t="s">
        <v>3936</v>
      </c>
      <c r="AH159" s="120">
        <v>2</v>
      </c>
      <c r="AI159" s="484"/>
      <c r="AJ159" s="206" t="s">
        <v>3934</v>
      </c>
      <c r="AK159" s="372"/>
      <c r="AL159" s="207"/>
      <c r="AM159" s="120">
        <v>189</v>
      </c>
      <c r="AN159" s="120"/>
      <c r="AO159" s="120"/>
      <c r="AP159" s="120"/>
      <c r="AQ159" s="120"/>
      <c r="AR159" s="120"/>
      <c r="AS159" s="120"/>
      <c r="AT159" s="120"/>
      <c r="AU159" s="120"/>
      <c r="AV159" s="120"/>
      <c r="AW159" s="120"/>
      <c r="AX159" s="120"/>
      <c r="AY159" s="120"/>
      <c r="AZ159" s="120" t="s">
        <v>3835</v>
      </c>
      <c r="BA159" s="120" t="s">
        <v>1875</v>
      </c>
      <c r="BB159" s="594"/>
      <c r="BC159" s="594"/>
      <c r="BD159" s="373"/>
      <c r="BE159" s="373"/>
      <c r="BF159" s="373"/>
      <c r="BG159" s="373"/>
      <c r="BH159" s="373"/>
      <c r="BI159" s="373"/>
      <c r="BJ159" s="373">
        <v>1</v>
      </c>
      <c r="BK159" s="373"/>
      <c r="BL159" s="373"/>
      <c r="BM159" s="373"/>
      <c r="BN159" s="373"/>
      <c r="BO159" s="373"/>
      <c r="BP159" s="373"/>
      <c r="BQ159" s="599"/>
      <c r="BR159" s="374"/>
      <c r="BS159" s="660"/>
      <c r="BT159" s="120"/>
      <c r="BU159" s="120"/>
      <c r="BV159" s="633"/>
      <c r="BW159" s="120"/>
      <c r="BX159" s="120"/>
      <c r="BY159" s="120"/>
      <c r="BZ159" s="375" t="s">
        <v>3935</v>
      </c>
      <c r="CA159" s="380" t="s">
        <v>24</v>
      </c>
      <c r="CB159" s="430"/>
      <c r="CC159" s="190"/>
      <c r="CD159" s="134"/>
      <c r="CE159" s="134"/>
      <c r="CF159" s="430"/>
      <c r="CG159" s="190"/>
      <c r="CH159" s="134"/>
      <c r="CI159" s="134"/>
      <c r="CJ159" s="288"/>
      <c r="CK159" s="289"/>
      <c r="CL159" s="430"/>
      <c r="CM159" s="134"/>
      <c r="CN159" s="134"/>
      <c r="CO159" s="134"/>
      <c r="CP159" s="430"/>
      <c r="CQ159" s="134"/>
      <c r="CR159" s="134"/>
      <c r="CS159" s="134"/>
      <c r="CT159" s="288"/>
      <c r="CU159" s="289"/>
      <c r="CV159" s="276"/>
      <c r="CW159" s="308"/>
      <c r="CX159" s="430"/>
      <c r="CY159" s="190"/>
      <c r="CZ159" s="134"/>
      <c r="DA159" s="426"/>
      <c r="DB159" s="426"/>
      <c r="DC159" s="134"/>
      <c r="DD159" s="134"/>
      <c r="DE159" s="134"/>
      <c r="DF159" s="434"/>
      <c r="DG159" s="436"/>
      <c r="DH159" s="426"/>
      <c r="DI159" s="426"/>
      <c r="DJ159" s="426"/>
      <c r="DK159" s="426"/>
      <c r="DL159" s="426"/>
      <c r="DM159" s="134"/>
      <c r="DN159" s="134"/>
      <c r="DO159" s="134"/>
      <c r="DP159" s="434"/>
      <c r="DQ159" s="436"/>
      <c r="DR159" s="276"/>
      <c r="DS159" s="277"/>
      <c r="DT159" s="426"/>
      <c r="DU159" s="426"/>
      <c r="DV159" s="426"/>
      <c r="DW159" s="426"/>
      <c r="DX159" s="430"/>
      <c r="DY159" s="134"/>
      <c r="DZ159" s="134"/>
      <c r="EA159" s="134"/>
      <c r="EB159" s="436"/>
      <c r="EC159" s="436"/>
      <c r="ED159" s="430"/>
      <c r="EE159" s="426"/>
      <c r="EF159" s="426"/>
      <c r="EG159" s="426"/>
      <c r="EH159" s="430"/>
      <c r="EI159" s="134"/>
      <c r="EJ159" s="134"/>
      <c r="EK159" s="134"/>
      <c r="EL159" s="436"/>
      <c r="EM159" s="436"/>
      <c r="EN159" s="277"/>
      <c r="EO159" s="134"/>
      <c r="EP159" s="134"/>
      <c r="EQ159" s="134"/>
      <c r="ER159" s="134"/>
      <c r="ES159" s="134"/>
      <c r="ET159" s="134"/>
      <c r="EU159" s="134"/>
      <c r="EV159" s="134"/>
      <c r="EW159" s="301"/>
      <c r="EX159" s="301"/>
      <c r="EY159" s="134"/>
      <c r="EZ159" s="134"/>
      <c r="FA159" s="134"/>
      <c r="FB159" s="134"/>
      <c r="FC159" s="134"/>
      <c r="FD159" s="134"/>
      <c r="FE159" s="134"/>
      <c r="FF159" s="134"/>
      <c r="FG159" s="135"/>
      <c r="FH159" s="135"/>
      <c r="FI159" s="134"/>
      <c r="FJ159" s="134"/>
      <c r="FK159" s="134"/>
      <c r="FL159" s="134"/>
      <c r="FM159" s="134"/>
      <c r="FN159" s="134"/>
      <c r="FO159" s="134"/>
      <c r="FP159" s="134"/>
      <c r="FQ159" s="135"/>
      <c r="FR159" s="135"/>
      <c r="FS159" s="134"/>
      <c r="FT159" s="134"/>
      <c r="FU159" s="134"/>
      <c r="FV159" s="134"/>
      <c r="FW159" s="134"/>
      <c r="FX159" s="134"/>
      <c r="FY159" s="134"/>
      <c r="FZ159" s="134"/>
      <c r="GA159" s="135"/>
      <c r="GB159" s="135"/>
      <c r="GC159" s="134"/>
      <c r="GD159" s="134"/>
      <c r="GE159" s="134"/>
      <c r="GF159" s="134"/>
      <c r="GG159" s="134"/>
      <c r="GH159" s="134"/>
      <c r="GI159" s="134"/>
      <c r="GJ159" s="134"/>
      <c r="GK159" s="135"/>
      <c r="GL159" s="135"/>
      <c r="GM159" s="134"/>
      <c r="GN159" s="134"/>
      <c r="GO159" s="134"/>
      <c r="GP159" s="134"/>
      <c r="GQ159" s="134"/>
      <c r="GR159" s="134"/>
      <c r="GS159" s="134"/>
      <c r="GT159" s="134"/>
      <c r="GU159" s="135"/>
      <c r="GV159" s="135"/>
      <c r="GW159" s="134"/>
      <c r="GX159" s="134"/>
      <c r="GY159" s="134"/>
      <c r="GZ159" s="134"/>
      <c r="HA159" s="134"/>
      <c r="HB159" s="134"/>
      <c r="HC159" s="134"/>
      <c r="HD159" s="134"/>
      <c r="HE159" s="135"/>
      <c r="HF159" s="135"/>
      <c r="HG159" s="134"/>
      <c r="HH159" s="134"/>
      <c r="HI159" s="134"/>
      <c r="HJ159" s="134"/>
      <c r="HK159" s="134"/>
      <c r="HL159" s="134"/>
      <c r="HM159" s="134"/>
      <c r="HN159" s="134"/>
      <c r="HO159" s="135"/>
      <c r="HP159" s="135"/>
      <c r="HQ159" s="134"/>
      <c r="HR159" s="134"/>
      <c r="HS159" s="134"/>
      <c r="HT159" s="134"/>
      <c r="HU159" s="134"/>
      <c r="HV159" s="134"/>
      <c r="HW159" s="134"/>
      <c r="HX159" s="134"/>
      <c r="HY159" s="135"/>
      <c r="HZ159" s="135"/>
      <c r="IA159" s="134"/>
      <c r="IB159" s="134"/>
      <c r="IC159" s="134"/>
      <c r="ID159" s="134"/>
      <c r="IE159" s="134"/>
      <c r="IF159" s="134"/>
      <c r="IG159" s="134"/>
      <c r="IH159" s="134"/>
      <c r="II159" s="135"/>
      <c r="IJ159" s="135"/>
      <c r="IK159" s="134"/>
      <c r="IL159" s="134"/>
      <c r="IM159" s="134"/>
      <c r="IN159" s="134"/>
      <c r="IO159" s="134"/>
      <c r="IP159" s="134"/>
      <c r="IQ159" s="134"/>
      <c r="IR159" s="134"/>
      <c r="IS159" s="135"/>
      <c r="IT159" s="135"/>
      <c r="IU159" s="134"/>
      <c r="IV159" s="134"/>
      <c r="IW159" s="134"/>
      <c r="IX159" s="134"/>
      <c r="IY159" s="134"/>
      <c r="IZ159" s="134"/>
      <c r="JA159" s="134"/>
      <c r="JB159" s="134"/>
      <c r="JC159" s="135"/>
      <c r="JD159" s="135"/>
    </row>
    <row r="160" spans="1:264" customFormat="1" ht="15" customHeight="1">
      <c r="A160" s="79" t="s">
        <v>115</v>
      </c>
      <c r="B160" s="362">
        <v>82</v>
      </c>
      <c r="C160" s="362">
        <v>12</v>
      </c>
      <c r="D160" s="362"/>
      <c r="E160" s="604" t="s">
        <v>1936</v>
      </c>
      <c r="F160" s="124" t="s">
        <v>2155</v>
      </c>
      <c r="G160" s="125">
        <v>2016</v>
      </c>
      <c r="H160" s="79">
        <v>27058006</v>
      </c>
      <c r="I160" s="79">
        <v>1</v>
      </c>
      <c r="J160" s="126"/>
      <c r="K160" s="127"/>
      <c r="L160" s="79">
        <v>1</v>
      </c>
      <c r="M160" s="79"/>
      <c r="N160" s="79">
        <v>1</v>
      </c>
      <c r="O160" s="128">
        <v>1</v>
      </c>
      <c r="P160" s="79" t="s">
        <v>390</v>
      </c>
      <c r="Q160" s="79" t="s">
        <v>1147</v>
      </c>
      <c r="R160" s="79" t="s">
        <v>391</v>
      </c>
      <c r="S160" s="79">
        <v>1</v>
      </c>
      <c r="T160" s="79"/>
      <c r="U160" s="79"/>
      <c r="V160" s="79"/>
      <c r="W160" s="79"/>
      <c r="X160" s="79" t="s">
        <v>389</v>
      </c>
      <c r="Y160" s="79"/>
      <c r="Z160" s="79"/>
      <c r="AA160" s="79"/>
      <c r="AB160" s="79" t="s">
        <v>392</v>
      </c>
      <c r="AC160" s="506"/>
      <c r="AD160" s="573">
        <v>1</v>
      </c>
      <c r="AE160" s="573">
        <v>2</v>
      </c>
      <c r="AF160" s="165" t="s">
        <v>3003</v>
      </c>
      <c r="AG160" s="166" t="s">
        <v>3937</v>
      </c>
      <c r="AH160" s="120">
        <v>2</v>
      </c>
      <c r="AI160" s="484"/>
      <c r="AJ160" s="206"/>
      <c r="AK160" s="372"/>
      <c r="AL160" s="207"/>
      <c r="AM160" s="120"/>
      <c r="AN160" s="120"/>
      <c r="AO160" s="120"/>
      <c r="AP160" s="120"/>
      <c r="AQ160" s="120"/>
      <c r="AR160" s="120"/>
      <c r="AS160" s="120"/>
      <c r="AT160" s="120"/>
      <c r="AU160" s="120"/>
      <c r="AV160" s="120"/>
      <c r="AW160" s="120"/>
      <c r="AX160" s="120"/>
      <c r="AY160" s="120"/>
      <c r="AZ160" s="120"/>
      <c r="BA160" s="120"/>
      <c r="BB160" s="594"/>
      <c r="BC160" s="594"/>
      <c r="BD160" s="373"/>
      <c r="BE160" s="373"/>
      <c r="BF160" s="373"/>
      <c r="BG160" s="373"/>
      <c r="BH160" s="373"/>
      <c r="BI160" s="373"/>
      <c r="BJ160" s="373">
        <v>1</v>
      </c>
      <c r="BK160" s="373"/>
      <c r="BL160" s="373"/>
      <c r="BM160" s="373"/>
      <c r="BN160" s="373"/>
      <c r="BO160" s="373"/>
      <c r="BP160" s="373"/>
      <c r="BQ160" s="599"/>
      <c r="BR160" s="374"/>
      <c r="BS160" s="660"/>
      <c r="BT160" s="120"/>
      <c r="BU160" s="120"/>
      <c r="BV160" s="120"/>
      <c r="BW160" s="120"/>
      <c r="BX160" s="120"/>
      <c r="BY160" s="120"/>
      <c r="BZ160" s="375" t="s">
        <v>24</v>
      </c>
      <c r="CA160" s="380"/>
      <c r="CB160" s="430"/>
      <c r="CC160" s="426"/>
      <c r="CD160" s="426"/>
      <c r="CE160" s="134"/>
      <c r="CF160" s="430"/>
      <c r="CG160" s="134"/>
      <c r="CH160" s="134"/>
      <c r="CI160" s="134"/>
      <c r="CJ160" s="288"/>
      <c r="CK160" s="289"/>
      <c r="CL160" s="430"/>
      <c r="CM160" s="134"/>
      <c r="CN160" s="134"/>
      <c r="CO160" s="134"/>
      <c r="CP160" s="430"/>
      <c r="CQ160" s="134"/>
      <c r="CR160" s="134"/>
      <c r="CS160" s="134"/>
      <c r="CT160" s="288"/>
      <c r="CU160" s="289"/>
      <c r="CV160" s="276"/>
      <c r="CW160" s="308"/>
      <c r="CX160" s="138"/>
      <c r="CY160" s="134"/>
      <c r="CZ160" s="134"/>
      <c r="DA160" s="134"/>
      <c r="DB160" s="134"/>
      <c r="DC160" s="134"/>
      <c r="DD160" s="134"/>
      <c r="DE160" s="134"/>
      <c r="DF160" s="300"/>
      <c r="DG160" s="301"/>
      <c r="DH160" s="134"/>
      <c r="DI160" s="134"/>
      <c r="DJ160" s="134"/>
      <c r="DK160" s="134"/>
      <c r="DL160" s="134"/>
      <c r="DM160" s="134"/>
      <c r="DN160" s="134"/>
      <c r="DO160" s="134"/>
      <c r="DP160" s="300"/>
      <c r="DQ160" s="301"/>
      <c r="DR160" s="276"/>
      <c r="DS160" s="277"/>
      <c r="DT160" s="134"/>
      <c r="DU160" s="134"/>
      <c r="DV160" s="134"/>
      <c r="DW160" s="134"/>
      <c r="DX160" s="138"/>
      <c r="DY160" s="134"/>
      <c r="DZ160" s="134"/>
      <c r="EA160" s="134"/>
      <c r="EB160" s="301"/>
      <c r="EC160" s="301"/>
      <c r="ED160" s="138"/>
      <c r="EE160" s="134"/>
      <c r="EF160" s="134"/>
      <c r="EG160" s="134"/>
      <c r="EH160" s="138"/>
      <c r="EI160" s="134"/>
      <c r="EJ160" s="134"/>
      <c r="EK160" s="134"/>
      <c r="EL160" s="301"/>
      <c r="EM160" s="301"/>
      <c r="EN160" s="277"/>
      <c r="EO160" s="134"/>
      <c r="EP160" s="134"/>
      <c r="EQ160" s="134"/>
      <c r="ER160" s="134"/>
      <c r="ES160" s="134"/>
      <c r="ET160" s="134"/>
      <c r="EU160" s="134"/>
      <c r="EV160" s="134"/>
      <c r="EW160" s="301"/>
      <c r="EX160" s="301"/>
      <c r="EY160" s="134"/>
      <c r="EZ160" s="134"/>
      <c r="FA160" s="134"/>
      <c r="FB160" s="134"/>
      <c r="FC160" s="134"/>
      <c r="FD160" s="134"/>
      <c r="FE160" s="134"/>
      <c r="FF160" s="134"/>
      <c r="FG160" s="135"/>
      <c r="FH160" s="135"/>
      <c r="FI160" s="134"/>
      <c r="FJ160" s="134"/>
      <c r="FK160" s="134"/>
      <c r="FL160" s="134"/>
      <c r="FM160" s="134"/>
      <c r="FN160" s="134"/>
      <c r="FO160" s="134"/>
      <c r="FP160" s="134"/>
      <c r="FQ160" s="135"/>
      <c r="FR160" s="135"/>
      <c r="FS160" s="134"/>
      <c r="FT160" s="134"/>
      <c r="FU160" s="134"/>
      <c r="FV160" s="134"/>
      <c r="FW160" s="134"/>
      <c r="FX160" s="134"/>
      <c r="FY160" s="134"/>
      <c r="FZ160" s="134"/>
      <c r="GA160" s="135"/>
      <c r="GB160" s="135"/>
      <c r="GC160" s="134"/>
      <c r="GD160" s="134"/>
      <c r="GE160" s="134"/>
      <c r="GF160" s="134"/>
      <c r="GG160" s="134"/>
      <c r="GH160" s="134"/>
      <c r="GI160" s="134"/>
      <c r="GJ160" s="134"/>
      <c r="GK160" s="135"/>
      <c r="GL160" s="135"/>
      <c r="GM160" s="134"/>
      <c r="GN160" s="134"/>
      <c r="GO160" s="134"/>
      <c r="GP160" s="134"/>
      <c r="GQ160" s="134"/>
      <c r="GR160" s="134"/>
      <c r="GS160" s="134"/>
      <c r="GT160" s="134"/>
      <c r="GU160" s="135"/>
      <c r="GV160" s="135"/>
      <c r="GW160" s="134"/>
      <c r="GX160" s="134"/>
      <c r="GY160" s="134"/>
      <c r="GZ160" s="134"/>
      <c r="HA160" s="134"/>
      <c r="HB160" s="134"/>
      <c r="HC160" s="134"/>
      <c r="HD160" s="134"/>
      <c r="HE160" s="135"/>
      <c r="HF160" s="135"/>
      <c r="HG160" s="134"/>
      <c r="HH160" s="134"/>
      <c r="HI160" s="134"/>
      <c r="HJ160" s="134"/>
      <c r="HK160" s="134"/>
      <c r="HL160" s="134"/>
      <c r="HM160" s="134"/>
      <c r="HN160" s="134"/>
      <c r="HO160" s="135"/>
      <c r="HP160" s="135"/>
      <c r="HQ160" s="134"/>
      <c r="HR160" s="134"/>
      <c r="HS160" s="134"/>
      <c r="HT160" s="134"/>
      <c r="HU160" s="134"/>
      <c r="HV160" s="134"/>
      <c r="HW160" s="134"/>
      <c r="HX160" s="134"/>
      <c r="HY160" s="135"/>
      <c r="HZ160" s="135"/>
      <c r="IA160" s="134"/>
      <c r="IB160" s="134"/>
      <c r="IC160" s="134"/>
      <c r="ID160" s="134"/>
      <c r="IE160" s="134"/>
      <c r="IF160" s="134"/>
      <c r="IG160" s="134"/>
      <c r="IH160" s="134"/>
      <c r="II160" s="135"/>
      <c r="IJ160" s="135"/>
      <c r="IK160" s="134"/>
      <c r="IL160" s="134"/>
      <c r="IM160" s="134"/>
      <c r="IN160" s="134"/>
      <c r="IO160" s="134"/>
      <c r="IP160" s="134"/>
      <c r="IQ160" s="134"/>
      <c r="IR160" s="134"/>
      <c r="IS160" s="135"/>
      <c r="IT160" s="135"/>
      <c r="IU160" s="134"/>
      <c r="IV160" s="134"/>
      <c r="IW160" s="134"/>
      <c r="IX160" s="134"/>
      <c r="IY160" s="134"/>
      <c r="IZ160" s="134"/>
      <c r="JA160" s="134"/>
      <c r="JB160" s="134"/>
      <c r="JC160" s="135"/>
      <c r="JD160" s="135"/>
    </row>
    <row r="161" spans="1:264" customFormat="1" ht="15" customHeight="1">
      <c r="A161" s="79" t="s">
        <v>119</v>
      </c>
      <c r="B161" s="362">
        <v>84</v>
      </c>
      <c r="C161" s="362">
        <v>13</v>
      </c>
      <c r="D161" s="362"/>
      <c r="E161" s="604" t="s">
        <v>1938</v>
      </c>
      <c r="F161" s="124" t="s">
        <v>2157</v>
      </c>
      <c r="G161" s="125">
        <v>2013</v>
      </c>
      <c r="H161" s="79">
        <v>24330891</v>
      </c>
      <c r="I161" s="172" t="s">
        <v>1796</v>
      </c>
      <c r="J161" s="126"/>
      <c r="K161" s="127"/>
      <c r="L161" s="79">
        <v>1</v>
      </c>
      <c r="M161" s="79"/>
      <c r="N161" s="79">
        <v>1</v>
      </c>
      <c r="O161" s="128">
        <v>1</v>
      </c>
      <c r="P161" s="79" t="s">
        <v>401</v>
      </c>
      <c r="Q161" s="79" t="s">
        <v>1180</v>
      </c>
      <c r="R161" s="79" t="s">
        <v>402</v>
      </c>
      <c r="S161" s="79">
        <v>1</v>
      </c>
      <c r="T161" s="79"/>
      <c r="U161" s="79"/>
      <c r="V161" s="79"/>
      <c r="W161" s="79" t="s">
        <v>400</v>
      </c>
      <c r="X161" s="79" t="s">
        <v>24</v>
      </c>
      <c r="Y161" s="79"/>
      <c r="Z161" s="79"/>
      <c r="AA161" s="79"/>
      <c r="AB161" s="79"/>
      <c r="AC161" s="506"/>
      <c r="AD161" s="573">
        <v>1</v>
      </c>
      <c r="AE161" s="573">
        <v>2</v>
      </c>
      <c r="AF161" s="154">
        <v>1</v>
      </c>
      <c r="AG161" s="155"/>
      <c r="AH161" s="121">
        <v>2</v>
      </c>
      <c r="AI161" s="484"/>
      <c r="AJ161" s="202" t="s">
        <v>3938</v>
      </c>
      <c r="AK161" s="192" t="s">
        <v>3957</v>
      </c>
      <c r="AL161" s="203" t="s">
        <v>24</v>
      </c>
      <c r="AM161" s="121">
        <v>535</v>
      </c>
      <c r="AN161" s="121">
        <v>196</v>
      </c>
      <c r="AO161" s="121">
        <v>339</v>
      </c>
      <c r="AP161" s="121" t="s">
        <v>3941</v>
      </c>
      <c r="AQ161" s="121" t="s">
        <v>3940</v>
      </c>
      <c r="AR161" s="121">
        <v>55.9</v>
      </c>
      <c r="AS161" s="121">
        <v>10</v>
      </c>
      <c r="AT161" s="121">
        <v>54.2</v>
      </c>
      <c r="AU161" s="121">
        <v>8.9</v>
      </c>
      <c r="AV161" s="121" t="s">
        <v>3942</v>
      </c>
      <c r="AW161" s="121" t="s">
        <v>24</v>
      </c>
      <c r="AX161" s="121" t="s">
        <v>24</v>
      </c>
      <c r="AY161" s="121" t="s">
        <v>2423</v>
      </c>
      <c r="AZ161" s="121" t="s">
        <v>3939</v>
      </c>
      <c r="BA161" s="121" t="s">
        <v>3943</v>
      </c>
      <c r="BB161" s="594"/>
      <c r="BC161" s="594"/>
      <c r="BD161" s="156"/>
      <c r="BE161" s="156"/>
      <c r="BF161" s="156"/>
      <c r="BG161" s="156" t="s">
        <v>3840</v>
      </c>
      <c r="BH161" s="156"/>
      <c r="BI161" s="156" t="s">
        <v>3840</v>
      </c>
      <c r="BJ161" s="156">
        <v>1</v>
      </c>
      <c r="BK161" s="156"/>
      <c r="BL161" s="156" t="s">
        <v>3840</v>
      </c>
      <c r="BM161" s="156"/>
      <c r="BN161" s="156"/>
      <c r="BO161" s="156"/>
      <c r="BP161" s="156"/>
      <c r="BQ161" s="595" t="s">
        <v>3956</v>
      </c>
      <c r="BR161" s="157" t="s">
        <v>6611</v>
      </c>
      <c r="BS161" s="660"/>
      <c r="BT161" s="134" t="s">
        <v>1876</v>
      </c>
      <c r="BU161" s="134">
        <v>2</v>
      </c>
      <c r="BV161" s="134" t="s">
        <v>3955</v>
      </c>
      <c r="BW161" s="134" t="s">
        <v>24</v>
      </c>
      <c r="BX161" s="134" t="s">
        <v>3945</v>
      </c>
      <c r="BY161" s="134"/>
      <c r="BZ161" s="259" t="s">
        <v>3954</v>
      </c>
      <c r="CA161" s="454" t="s">
        <v>6628</v>
      </c>
      <c r="CB161" s="430" t="s">
        <v>3946</v>
      </c>
      <c r="CC161" s="426">
        <v>7</v>
      </c>
      <c r="CD161" s="426">
        <v>1.7</v>
      </c>
      <c r="CE161" s="134" t="s">
        <v>24</v>
      </c>
      <c r="CF161" s="138" t="s">
        <v>3947</v>
      </c>
      <c r="CG161" s="134">
        <v>7.5</v>
      </c>
      <c r="CH161" s="134">
        <v>1.5</v>
      </c>
      <c r="CI161" s="134" t="s">
        <v>24</v>
      </c>
      <c r="CJ161" s="288" t="s">
        <v>3948</v>
      </c>
      <c r="CK161" s="289" t="s">
        <v>2846</v>
      </c>
      <c r="CL161" s="430" t="s">
        <v>3949</v>
      </c>
      <c r="CM161" s="134">
        <v>10.7</v>
      </c>
      <c r="CN161" s="134">
        <v>1.4</v>
      </c>
      <c r="CO161" s="134" t="s">
        <v>24</v>
      </c>
      <c r="CP161" s="430" t="s">
        <v>3950</v>
      </c>
      <c r="CQ161" s="134">
        <v>10.9</v>
      </c>
      <c r="CR161" s="134">
        <v>1.3</v>
      </c>
      <c r="CS161" s="134" t="s">
        <v>24</v>
      </c>
      <c r="CT161" s="288" t="s">
        <v>3951</v>
      </c>
      <c r="CU161" s="289" t="s">
        <v>3952</v>
      </c>
      <c r="CV161" s="276" t="s">
        <v>3953</v>
      </c>
      <c r="CW161" s="308" t="s">
        <v>24</v>
      </c>
      <c r="CX161" s="138"/>
      <c r="CY161" s="134"/>
      <c r="CZ161" s="134"/>
      <c r="DA161" s="134"/>
      <c r="DB161" s="134"/>
      <c r="DC161" s="134"/>
      <c r="DD161" s="134"/>
      <c r="DE161" s="134"/>
      <c r="DF161" s="300"/>
      <c r="DG161" s="301"/>
      <c r="DH161" s="134"/>
      <c r="DI161" s="134"/>
      <c r="DJ161" s="134"/>
      <c r="DK161" s="134"/>
      <c r="DL161" s="134"/>
      <c r="DM161" s="134"/>
      <c r="DN161" s="134"/>
      <c r="DO161" s="134"/>
      <c r="DP161" s="300"/>
      <c r="DQ161" s="301"/>
      <c r="DR161" s="276"/>
      <c r="DS161" s="277"/>
      <c r="DT161" s="134"/>
      <c r="DU161" s="134"/>
      <c r="DV161" s="134"/>
      <c r="DW161" s="134"/>
      <c r="DX161" s="138"/>
      <c r="DY161" s="134"/>
      <c r="DZ161" s="134"/>
      <c r="EA161" s="134"/>
      <c r="EB161" s="301"/>
      <c r="EC161" s="301"/>
      <c r="ED161" s="138"/>
      <c r="EE161" s="134"/>
      <c r="EF161" s="134"/>
      <c r="EG161" s="134"/>
      <c r="EH161" s="138"/>
      <c r="EI161" s="134"/>
      <c r="EJ161" s="134"/>
      <c r="EK161" s="134"/>
      <c r="EL161" s="301"/>
      <c r="EM161" s="301"/>
      <c r="EN161" s="277"/>
      <c r="EO161" s="134"/>
      <c r="EP161" s="134"/>
      <c r="EQ161" s="134"/>
      <c r="ER161" s="134"/>
      <c r="ES161" s="134"/>
      <c r="ET161" s="134"/>
      <c r="EU161" s="134"/>
      <c r="EV161" s="134"/>
      <c r="EW161" s="301"/>
      <c r="EX161" s="301"/>
      <c r="EY161" s="134"/>
      <c r="EZ161" s="134"/>
      <c r="FA161" s="134"/>
      <c r="FB161" s="134"/>
      <c r="FC161" s="134"/>
      <c r="FD161" s="134"/>
      <c r="FE161" s="134"/>
      <c r="FF161" s="134"/>
      <c r="FG161" s="135"/>
      <c r="FH161" s="135"/>
      <c r="FI161" s="134"/>
      <c r="FJ161" s="134"/>
      <c r="FK161" s="134"/>
      <c r="FL161" s="134"/>
      <c r="FM161" s="134"/>
      <c r="FN161" s="134"/>
      <c r="FO161" s="134"/>
      <c r="FP161" s="134"/>
      <c r="FQ161" s="135"/>
      <c r="FR161" s="135"/>
      <c r="FS161" s="134"/>
      <c r="FT161" s="134"/>
      <c r="FU161" s="134"/>
      <c r="FV161" s="134"/>
      <c r="FW161" s="134"/>
      <c r="FX161" s="134"/>
      <c r="FY161" s="134"/>
      <c r="FZ161" s="134"/>
      <c r="GA161" s="135"/>
      <c r="GB161" s="135"/>
      <c r="GC161" s="134"/>
      <c r="GD161" s="134"/>
      <c r="GE161" s="134"/>
      <c r="GF161" s="134"/>
      <c r="GG161" s="134"/>
      <c r="GH161" s="134"/>
      <c r="GI161" s="134"/>
      <c r="GJ161" s="134"/>
      <c r="GK161" s="135"/>
      <c r="GL161" s="135"/>
      <c r="GM161" s="134"/>
      <c r="GN161" s="134"/>
      <c r="GO161" s="134"/>
      <c r="GP161" s="134"/>
      <c r="GQ161" s="134"/>
      <c r="GR161" s="134"/>
      <c r="GS161" s="134"/>
      <c r="GT161" s="134"/>
      <c r="GU161" s="135"/>
      <c r="GV161" s="135"/>
      <c r="GW161" s="134"/>
      <c r="GX161" s="134"/>
      <c r="GY161" s="134"/>
      <c r="GZ161" s="134"/>
      <c r="HA161" s="134"/>
      <c r="HB161" s="134"/>
      <c r="HC161" s="134"/>
      <c r="HD161" s="134"/>
      <c r="HE161" s="135"/>
      <c r="HF161" s="135"/>
      <c r="HG161" s="134"/>
      <c r="HH161" s="134"/>
      <c r="HI161" s="134"/>
      <c r="HJ161" s="134"/>
      <c r="HK161" s="134"/>
      <c r="HL161" s="134"/>
      <c r="HM161" s="134"/>
      <c r="HN161" s="134"/>
      <c r="HO161" s="135"/>
      <c r="HP161" s="135"/>
      <c r="HQ161" s="134"/>
      <c r="HR161" s="134"/>
      <c r="HS161" s="134"/>
      <c r="HT161" s="134"/>
      <c r="HU161" s="134"/>
      <c r="HV161" s="134"/>
      <c r="HW161" s="134"/>
      <c r="HX161" s="134"/>
      <c r="HY161" s="135"/>
      <c r="HZ161" s="135"/>
      <c r="IA161" s="134"/>
      <c r="IB161" s="134"/>
      <c r="IC161" s="134"/>
      <c r="ID161" s="134"/>
      <c r="IE161" s="134"/>
      <c r="IF161" s="134"/>
      <c r="IG161" s="134"/>
      <c r="IH161" s="134"/>
      <c r="II161" s="135"/>
      <c r="IJ161" s="135"/>
      <c r="IK161" s="134"/>
      <c r="IL161" s="134"/>
      <c r="IM161" s="134"/>
      <c r="IN161" s="134"/>
      <c r="IO161" s="134"/>
      <c r="IP161" s="134"/>
      <c r="IQ161" s="134"/>
      <c r="IR161" s="134"/>
      <c r="IS161" s="135"/>
      <c r="IT161" s="135"/>
      <c r="IU161" s="134"/>
      <c r="IV161" s="134"/>
      <c r="IW161" s="134"/>
      <c r="IX161" s="134"/>
      <c r="IY161" s="134"/>
      <c r="IZ161" s="134"/>
      <c r="JA161" s="134"/>
      <c r="JB161" s="134"/>
      <c r="JC161" s="135"/>
      <c r="JD161" s="135"/>
    </row>
    <row r="162" spans="1:264" customFormat="1" ht="15" customHeight="1">
      <c r="A162" s="79" t="s">
        <v>1091</v>
      </c>
      <c r="B162" s="362">
        <v>85</v>
      </c>
      <c r="C162" s="362">
        <v>14</v>
      </c>
      <c r="D162" s="362"/>
      <c r="E162" s="604" t="s">
        <v>1938</v>
      </c>
      <c r="F162" s="124" t="s">
        <v>2305</v>
      </c>
      <c r="G162" s="125">
        <v>2011</v>
      </c>
      <c r="H162" s="79">
        <v>21194896</v>
      </c>
      <c r="I162" s="79">
        <v>1</v>
      </c>
      <c r="J162" s="126"/>
      <c r="K162" s="127"/>
      <c r="L162" s="79">
        <v>1</v>
      </c>
      <c r="M162" s="79"/>
      <c r="N162" s="79">
        <v>1</v>
      </c>
      <c r="O162" s="128">
        <v>2</v>
      </c>
      <c r="P162" s="79" t="s">
        <v>1253</v>
      </c>
      <c r="Q162" s="79" t="s">
        <v>1251</v>
      </c>
      <c r="R162" s="79" t="s">
        <v>1127</v>
      </c>
      <c r="S162" s="79"/>
      <c r="T162" s="79" t="s">
        <v>1507</v>
      </c>
      <c r="U162" s="79" t="s">
        <v>23</v>
      </c>
      <c r="V162" s="79" t="s">
        <v>23</v>
      </c>
      <c r="W162" s="79" t="s">
        <v>1250</v>
      </c>
      <c r="X162" s="79"/>
      <c r="Y162" s="79" t="s">
        <v>1252</v>
      </c>
      <c r="Z162" s="79"/>
      <c r="AA162" s="79" t="s">
        <v>1249</v>
      </c>
      <c r="AB162" s="79"/>
      <c r="AC162" s="506"/>
      <c r="AD162" s="573">
        <v>1</v>
      </c>
      <c r="AE162" s="573">
        <v>2</v>
      </c>
      <c r="AF162" s="154">
        <v>1</v>
      </c>
      <c r="AG162" s="155"/>
      <c r="AH162" s="121">
        <v>4</v>
      </c>
      <c r="AI162" s="484"/>
      <c r="AJ162" s="235" t="s">
        <v>3966</v>
      </c>
      <c r="AK162" s="192">
        <v>0</v>
      </c>
      <c r="AL162" s="203">
        <v>1</v>
      </c>
      <c r="AM162" s="121" t="s">
        <v>3968</v>
      </c>
      <c r="AN162" s="121" t="s">
        <v>3970</v>
      </c>
      <c r="AO162" s="121" t="s">
        <v>3969</v>
      </c>
      <c r="AP162" s="121" t="s">
        <v>803</v>
      </c>
      <c r="AQ162" s="121" t="s">
        <v>803</v>
      </c>
      <c r="AR162" s="121" t="s">
        <v>2687</v>
      </c>
      <c r="AS162" s="121" t="s">
        <v>24</v>
      </c>
      <c r="AT162" s="121" t="s">
        <v>2687</v>
      </c>
      <c r="AU162" s="121" t="s">
        <v>24</v>
      </c>
      <c r="AV162" s="121" t="s">
        <v>3958</v>
      </c>
      <c r="AW162" s="121">
        <v>1</v>
      </c>
      <c r="AX162" s="121">
        <v>1</v>
      </c>
      <c r="AY162" s="121" t="s">
        <v>3959</v>
      </c>
      <c r="AZ162" s="121" t="s">
        <v>1130</v>
      </c>
      <c r="BA162" s="121" t="s">
        <v>3971</v>
      </c>
      <c r="BB162" s="594"/>
      <c r="BC162" s="594"/>
      <c r="BD162" s="156">
        <v>1</v>
      </c>
      <c r="BE162" s="156"/>
      <c r="BF162" s="156"/>
      <c r="BG162" s="156"/>
      <c r="BH162" s="156"/>
      <c r="BI162" s="156"/>
      <c r="BJ162" s="156"/>
      <c r="BK162" s="156"/>
      <c r="BL162" s="156"/>
      <c r="BM162" s="156"/>
      <c r="BN162" s="156"/>
      <c r="BO162" s="156"/>
      <c r="BP162" s="156"/>
      <c r="BQ162" s="595" t="s">
        <v>3680</v>
      </c>
      <c r="BR162" s="157" t="s">
        <v>6595</v>
      </c>
      <c r="BS162" s="660"/>
      <c r="BT162" s="134" t="s">
        <v>1876</v>
      </c>
      <c r="BU162" s="134"/>
      <c r="BV162" s="134" t="s">
        <v>3960</v>
      </c>
      <c r="BW162" s="134" t="s">
        <v>3961</v>
      </c>
      <c r="BX162" s="134" t="s">
        <v>3224</v>
      </c>
      <c r="BY162" s="134" t="s">
        <v>2659</v>
      </c>
      <c r="BZ162" s="259" t="s">
        <v>3965</v>
      </c>
      <c r="CA162" s="454" t="s">
        <v>6627</v>
      </c>
      <c r="CB162" s="138" t="s">
        <v>3962</v>
      </c>
      <c r="CC162" s="134">
        <v>62.9041</v>
      </c>
      <c r="CD162" s="168" t="s">
        <v>24</v>
      </c>
      <c r="CE162" s="190">
        <f>67.8479-Table668[[#This Row],[Data_Outcome1_M]]</f>
        <v>4.943799999999996</v>
      </c>
      <c r="CF162" s="138" t="s">
        <v>3963</v>
      </c>
      <c r="CG162" s="134">
        <v>16.452200000000001</v>
      </c>
      <c r="CH162" s="134" t="s">
        <v>24</v>
      </c>
      <c r="CI162" s="134">
        <f>22.969-Table668[[#This Row],[Data_Outcome2_M]]</f>
        <v>6.5167999999999999</v>
      </c>
      <c r="CJ162" s="288" t="s">
        <v>3964</v>
      </c>
      <c r="CK162" s="289" t="s">
        <v>3967</v>
      </c>
      <c r="CL162" s="439"/>
      <c r="CM162" s="190"/>
      <c r="CN162" s="134"/>
      <c r="CO162" s="190"/>
      <c r="CP162" s="138"/>
      <c r="CQ162" s="134"/>
      <c r="CR162" s="134"/>
      <c r="CS162" s="134"/>
      <c r="CT162" s="288"/>
      <c r="CU162" s="289"/>
      <c r="CV162" s="276"/>
      <c r="CW162" s="308"/>
      <c r="CX162" s="138"/>
      <c r="CY162" s="134"/>
      <c r="CZ162" s="134"/>
      <c r="DA162" s="134"/>
      <c r="DB162" s="134"/>
      <c r="DC162" s="134"/>
      <c r="DD162" s="134"/>
      <c r="DE162" s="134"/>
      <c r="DF162" s="300"/>
      <c r="DG162" s="301"/>
      <c r="DH162" s="134"/>
      <c r="DI162" s="134"/>
      <c r="DJ162" s="134"/>
      <c r="DK162" s="134"/>
      <c r="DL162" s="134"/>
      <c r="DM162" s="134"/>
      <c r="DN162" s="134"/>
      <c r="DO162" s="134"/>
      <c r="DP162" s="300"/>
      <c r="DQ162" s="301"/>
      <c r="DR162" s="276"/>
      <c r="DS162" s="277"/>
      <c r="DT162" s="134"/>
      <c r="DU162" s="134"/>
      <c r="DV162" s="134"/>
      <c r="DW162" s="134"/>
      <c r="DX162" s="138"/>
      <c r="DY162" s="134"/>
      <c r="DZ162" s="134"/>
      <c r="EA162" s="134"/>
      <c r="EB162" s="301"/>
      <c r="EC162" s="301"/>
      <c r="ED162" s="138"/>
      <c r="EE162" s="134"/>
      <c r="EF162" s="134"/>
      <c r="EG162" s="134"/>
      <c r="EH162" s="138"/>
      <c r="EI162" s="134"/>
      <c r="EJ162" s="134"/>
      <c r="EK162" s="134"/>
      <c r="EL162" s="301"/>
      <c r="EM162" s="301"/>
      <c r="EN162" s="277"/>
      <c r="EO162" s="134"/>
      <c r="EP162" s="134"/>
      <c r="EQ162" s="134"/>
      <c r="ER162" s="134"/>
      <c r="ES162" s="134"/>
      <c r="ET162" s="134"/>
      <c r="EU162" s="134"/>
      <c r="EV162" s="134"/>
      <c r="EW162" s="301"/>
      <c r="EX162" s="301"/>
      <c r="EY162" s="134"/>
      <c r="EZ162" s="134"/>
      <c r="FA162" s="134"/>
      <c r="FB162" s="134"/>
      <c r="FC162" s="134"/>
      <c r="FD162" s="134"/>
      <c r="FE162" s="134"/>
      <c r="FF162" s="134"/>
      <c r="FG162" s="135"/>
      <c r="FH162" s="135"/>
      <c r="FI162" s="134"/>
      <c r="FJ162" s="134"/>
      <c r="FK162" s="134"/>
      <c r="FL162" s="134"/>
      <c r="FM162" s="134"/>
      <c r="FN162" s="134"/>
      <c r="FO162" s="134"/>
      <c r="FP162" s="134"/>
      <c r="FQ162" s="135"/>
      <c r="FR162" s="135"/>
      <c r="FS162" s="134"/>
      <c r="FT162" s="134"/>
      <c r="FU162" s="134"/>
      <c r="FV162" s="134"/>
      <c r="FW162" s="134"/>
      <c r="FX162" s="134"/>
      <c r="FY162" s="134"/>
      <c r="FZ162" s="134"/>
      <c r="GA162" s="135"/>
      <c r="GB162" s="135"/>
      <c r="GC162" s="134"/>
      <c r="GD162" s="134"/>
      <c r="GE162" s="134"/>
      <c r="GF162" s="134"/>
      <c r="GG162" s="134"/>
      <c r="GH162" s="134"/>
      <c r="GI162" s="134"/>
      <c r="GJ162" s="134"/>
      <c r="GK162" s="135"/>
      <c r="GL162" s="135"/>
      <c r="GM162" s="134"/>
      <c r="GN162" s="134"/>
      <c r="GO162" s="134"/>
      <c r="GP162" s="134"/>
      <c r="GQ162" s="134"/>
      <c r="GR162" s="134"/>
      <c r="GS162" s="134"/>
      <c r="GT162" s="134"/>
      <c r="GU162" s="135"/>
      <c r="GV162" s="135"/>
      <c r="GW162" s="134"/>
      <c r="GX162" s="134"/>
      <c r="GY162" s="134"/>
      <c r="GZ162" s="134"/>
      <c r="HA162" s="134"/>
      <c r="HB162" s="134"/>
      <c r="HC162" s="134"/>
      <c r="HD162" s="134"/>
      <c r="HE162" s="135"/>
      <c r="HF162" s="135"/>
      <c r="HG162" s="134"/>
      <c r="HH162" s="134"/>
      <c r="HI162" s="134"/>
      <c r="HJ162" s="134"/>
      <c r="HK162" s="134"/>
      <c r="HL162" s="134"/>
      <c r="HM162" s="134"/>
      <c r="HN162" s="134"/>
      <c r="HO162" s="135"/>
      <c r="HP162" s="135"/>
      <c r="HQ162" s="134"/>
      <c r="HR162" s="134"/>
      <c r="HS162" s="134"/>
      <c r="HT162" s="134"/>
      <c r="HU162" s="134"/>
      <c r="HV162" s="134"/>
      <c r="HW162" s="134"/>
      <c r="HX162" s="134"/>
      <c r="HY162" s="135"/>
      <c r="HZ162" s="135"/>
      <c r="IA162" s="134"/>
      <c r="IB162" s="134"/>
      <c r="IC162" s="134"/>
      <c r="ID162" s="134"/>
      <c r="IE162" s="134"/>
      <c r="IF162" s="134"/>
      <c r="IG162" s="134"/>
      <c r="IH162" s="134"/>
      <c r="II162" s="135"/>
      <c r="IJ162" s="135"/>
      <c r="IK162" s="134"/>
      <c r="IL162" s="134"/>
      <c r="IM162" s="134"/>
      <c r="IN162" s="134"/>
      <c r="IO162" s="134"/>
      <c r="IP162" s="134"/>
      <c r="IQ162" s="134"/>
      <c r="IR162" s="134"/>
      <c r="IS162" s="135"/>
      <c r="IT162" s="135"/>
      <c r="IU162" s="134"/>
      <c r="IV162" s="134"/>
      <c r="IW162" s="134"/>
      <c r="IX162" s="134"/>
      <c r="IY162" s="134"/>
      <c r="IZ162" s="134"/>
      <c r="JA162" s="134"/>
      <c r="JB162" s="134"/>
      <c r="JC162" s="135"/>
      <c r="JD162" s="135"/>
    </row>
    <row r="163" spans="1:264" customFormat="1" ht="15" customHeight="1">
      <c r="A163" s="79" t="s">
        <v>1089</v>
      </c>
      <c r="B163" s="617">
        <v>87</v>
      </c>
      <c r="C163" s="617">
        <v>15</v>
      </c>
      <c r="D163" s="617"/>
      <c r="E163" s="608" t="s">
        <v>1938</v>
      </c>
      <c r="F163" s="181" t="s">
        <v>2307</v>
      </c>
      <c r="G163" s="182">
        <v>2009</v>
      </c>
      <c r="H163" s="79">
        <v>18700055</v>
      </c>
      <c r="I163" s="79">
        <v>1</v>
      </c>
      <c r="J163" s="79"/>
      <c r="K163" s="79"/>
      <c r="L163" s="79">
        <v>1</v>
      </c>
      <c r="M163" s="79"/>
      <c r="N163" s="171">
        <v>1</v>
      </c>
      <c r="O163" s="128">
        <v>2</v>
      </c>
      <c r="P163" s="79" t="s">
        <v>1258</v>
      </c>
      <c r="Q163" s="79" t="s">
        <v>1251</v>
      </c>
      <c r="R163" s="79" t="s">
        <v>1127</v>
      </c>
      <c r="S163" s="79"/>
      <c r="T163" s="79" t="s">
        <v>1707</v>
      </c>
      <c r="U163" s="79" t="s">
        <v>23</v>
      </c>
      <c r="V163" s="79" t="s">
        <v>23</v>
      </c>
      <c r="W163" s="79" t="s">
        <v>1257</v>
      </c>
      <c r="X163" s="79" t="s">
        <v>24</v>
      </c>
      <c r="Y163" s="79" t="s">
        <v>1132</v>
      </c>
      <c r="Z163" s="79"/>
      <c r="AA163" s="79"/>
      <c r="AB163" s="79"/>
      <c r="AC163" s="506"/>
      <c r="AD163" s="573">
        <v>1</v>
      </c>
      <c r="AE163" s="573">
        <v>2</v>
      </c>
      <c r="AF163" s="352">
        <v>1</v>
      </c>
      <c r="AG163" s="353" t="s">
        <v>4106</v>
      </c>
      <c r="AH163" s="346">
        <v>4</v>
      </c>
      <c r="AI163" s="487"/>
      <c r="AJ163" s="459" t="s">
        <v>3972</v>
      </c>
      <c r="AK163" s="348" t="s">
        <v>4089</v>
      </c>
      <c r="AL163" s="349">
        <v>0</v>
      </c>
      <c r="AM163" s="346">
        <v>108</v>
      </c>
      <c r="AN163" s="346" t="s">
        <v>3973</v>
      </c>
      <c r="AO163" s="346">
        <v>17</v>
      </c>
      <c r="AP163" s="346" t="s">
        <v>803</v>
      </c>
      <c r="AQ163" s="346" t="s">
        <v>803</v>
      </c>
      <c r="AR163" s="460" t="s">
        <v>3403</v>
      </c>
      <c r="AS163" s="346" t="s">
        <v>24</v>
      </c>
      <c r="AT163" s="460" t="s">
        <v>3403</v>
      </c>
      <c r="AU163" s="346" t="s">
        <v>24</v>
      </c>
      <c r="AV163" s="346" t="s">
        <v>4066</v>
      </c>
      <c r="AW163" s="346">
        <v>1</v>
      </c>
      <c r="AX163" s="346">
        <v>1</v>
      </c>
      <c r="AY163" s="346" t="s">
        <v>4064</v>
      </c>
      <c r="AZ163" s="346" t="s">
        <v>1130</v>
      </c>
      <c r="BA163" s="346" t="s">
        <v>3279</v>
      </c>
      <c r="BB163" s="598"/>
      <c r="BC163" s="598"/>
      <c r="BD163" s="184">
        <v>1</v>
      </c>
      <c r="BE163" s="184"/>
      <c r="BF163" s="184"/>
      <c r="BG163" s="184"/>
      <c r="BH163" s="184"/>
      <c r="BI163" s="184"/>
      <c r="BJ163" s="184"/>
      <c r="BK163" s="184"/>
      <c r="BL163" s="184"/>
      <c r="BM163" s="184"/>
      <c r="BN163" s="184"/>
      <c r="BO163" s="184"/>
      <c r="BP163" s="184"/>
      <c r="BQ163" s="600" t="s">
        <v>4088</v>
      </c>
      <c r="BR163" s="157" t="s">
        <v>6599</v>
      </c>
      <c r="BS163" s="660"/>
      <c r="BT163" s="186" t="s">
        <v>1876</v>
      </c>
      <c r="BU163" s="186">
        <v>5</v>
      </c>
      <c r="BV163" s="186" t="s">
        <v>4067</v>
      </c>
      <c r="BW163" s="186" t="s">
        <v>1121</v>
      </c>
      <c r="BX163" s="186" t="s">
        <v>4091</v>
      </c>
      <c r="BY163" s="134" t="s">
        <v>2659</v>
      </c>
      <c r="BZ163" s="261" t="s">
        <v>4084</v>
      </c>
      <c r="CA163" s="620" t="s">
        <v>6627</v>
      </c>
      <c r="CB163" s="267" t="s">
        <v>4071</v>
      </c>
      <c r="CC163" s="186">
        <v>240</v>
      </c>
      <c r="CD163" s="186" t="s">
        <v>24</v>
      </c>
      <c r="CE163" s="186">
        <f>252.203-Table668[[#This Row],[Data_Outcome1_M]]</f>
        <v>12.203000000000003</v>
      </c>
      <c r="CF163" s="267" t="s">
        <v>4072</v>
      </c>
      <c r="CG163" s="186">
        <v>23.389800000000001</v>
      </c>
      <c r="CH163" s="186" t="s">
        <v>24</v>
      </c>
      <c r="CI163" s="186">
        <f>36.6102-Table668[[#This Row],[Data_Outcome2_M]]</f>
        <v>13.220399999999998</v>
      </c>
      <c r="CJ163" s="294" t="s">
        <v>4076</v>
      </c>
      <c r="CK163" s="295" t="s">
        <v>3062</v>
      </c>
      <c r="CL163" s="267" t="s">
        <v>4073</v>
      </c>
      <c r="CM163" s="186">
        <v>158.64400000000001</v>
      </c>
      <c r="CN163" s="186" t="s">
        <v>24</v>
      </c>
      <c r="CO163" s="186">
        <f>164.746-Table668[[#This Row],[Data_Outcome3_M]]</f>
        <v>6.1020000000000039</v>
      </c>
      <c r="CP163" s="267" t="s">
        <v>4074</v>
      </c>
      <c r="CQ163" s="186">
        <v>83.389799999999994</v>
      </c>
      <c r="CR163" s="186" t="s">
        <v>24</v>
      </c>
      <c r="CS163" s="186">
        <f>88.4746-Table668[[#This Row],[Data_Outcome4_M]]</f>
        <v>5.0848000000000013</v>
      </c>
      <c r="CT163" s="294" t="s">
        <v>4077</v>
      </c>
      <c r="CU163" s="295" t="s">
        <v>4078</v>
      </c>
      <c r="CV163" s="280" t="s">
        <v>4081</v>
      </c>
      <c r="CW163" s="310" t="s">
        <v>4082</v>
      </c>
      <c r="CX163" s="267" t="s">
        <v>4075</v>
      </c>
      <c r="CY163" s="271">
        <v>46.0169</v>
      </c>
      <c r="CZ163" s="186" t="s">
        <v>24</v>
      </c>
      <c r="DA163" s="271">
        <f>49.8305-Table668[[#This Row],[Data_Outcome5_M]]</f>
        <v>3.813600000000001</v>
      </c>
      <c r="DB163" s="186" t="s">
        <v>24</v>
      </c>
      <c r="DC163" s="186" t="s">
        <v>24</v>
      </c>
      <c r="DD163" s="186" t="s">
        <v>24</v>
      </c>
      <c r="DE163" s="186" t="s">
        <v>24</v>
      </c>
      <c r="DF163" s="305" t="s">
        <v>4079</v>
      </c>
      <c r="DG163" s="315" t="s">
        <v>4080</v>
      </c>
      <c r="DH163" s="637"/>
      <c r="DI163" s="645"/>
      <c r="DJ163" s="637"/>
      <c r="DK163" s="645"/>
      <c r="DL163" s="637"/>
      <c r="DM163" s="186"/>
      <c r="DN163" s="186"/>
      <c r="DO163" s="186"/>
      <c r="DP163" s="305"/>
      <c r="DQ163" s="315"/>
      <c r="DR163" s="280"/>
      <c r="DS163" s="281"/>
      <c r="DT163" s="637"/>
      <c r="DU163" s="645"/>
      <c r="DV163" s="637"/>
      <c r="DW163" s="645"/>
      <c r="DX163" s="634"/>
      <c r="DY163" s="186"/>
      <c r="DZ163" s="186"/>
      <c r="EA163" s="186"/>
      <c r="EB163" s="315"/>
      <c r="EC163" s="315"/>
      <c r="ED163" s="267"/>
      <c r="EE163" s="186"/>
      <c r="EF163" s="186"/>
      <c r="EG163" s="186"/>
      <c r="EH163" s="267"/>
      <c r="EI163" s="186"/>
      <c r="EJ163" s="186"/>
      <c r="EK163" s="186"/>
      <c r="EL163" s="315"/>
      <c r="EM163" s="315"/>
      <c r="EN163" s="281"/>
      <c r="EO163" s="186"/>
      <c r="EP163" s="186"/>
      <c r="EQ163" s="186"/>
      <c r="ER163" s="186"/>
      <c r="ES163" s="186"/>
      <c r="ET163" s="186"/>
      <c r="EU163" s="186"/>
      <c r="EV163" s="186"/>
      <c r="EW163" s="315"/>
      <c r="EX163" s="315"/>
      <c r="EY163" s="186"/>
      <c r="EZ163" s="186"/>
      <c r="FA163" s="186"/>
      <c r="FB163" s="186"/>
      <c r="FC163" s="134"/>
      <c r="FD163" s="134"/>
      <c r="FE163" s="134"/>
      <c r="FF163" s="134"/>
      <c r="FG163" s="135"/>
      <c r="FH163" s="135"/>
      <c r="FI163" s="134"/>
      <c r="FJ163" s="134"/>
      <c r="FK163" s="134"/>
      <c r="FL163" s="134"/>
      <c r="FM163" s="134"/>
      <c r="FN163" s="134"/>
      <c r="FO163" s="134"/>
      <c r="FP163" s="134"/>
      <c r="FQ163" s="135"/>
      <c r="FR163" s="135"/>
      <c r="FS163" s="134"/>
      <c r="FT163" s="134"/>
      <c r="FU163" s="134"/>
      <c r="FV163" s="134"/>
      <c r="FW163" s="134"/>
      <c r="FX163" s="134"/>
      <c r="FY163" s="134"/>
      <c r="FZ163" s="134"/>
      <c r="GA163" s="135"/>
      <c r="GB163" s="135"/>
      <c r="GC163" s="134"/>
      <c r="GD163" s="134"/>
      <c r="GE163" s="134"/>
      <c r="GF163" s="134"/>
      <c r="GG163" s="134"/>
      <c r="GH163" s="134"/>
      <c r="GI163" s="134"/>
      <c r="GJ163" s="134"/>
      <c r="GK163" s="135"/>
      <c r="GL163" s="135"/>
      <c r="GM163" s="134"/>
      <c r="GN163" s="134"/>
      <c r="GO163" s="134"/>
      <c r="GP163" s="134"/>
      <c r="GQ163" s="134"/>
      <c r="GR163" s="134"/>
      <c r="GS163" s="134"/>
      <c r="GT163" s="134"/>
      <c r="GU163" s="135"/>
      <c r="GV163" s="135"/>
      <c r="GW163" s="134"/>
      <c r="GX163" s="134"/>
      <c r="GY163" s="134"/>
      <c r="GZ163" s="134"/>
      <c r="HA163" s="134"/>
      <c r="HB163" s="134"/>
      <c r="HC163" s="134"/>
      <c r="HD163" s="134"/>
      <c r="HE163" s="135"/>
      <c r="HF163" s="135"/>
      <c r="HG163" s="134"/>
      <c r="HH163" s="134"/>
      <c r="HI163" s="134"/>
      <c r="HJ163" s="134"/>
      <c r="HK163" s="134"/>
      <c r="HL163" s="134"/>
      <c r="HM163" s="134"/>
      <c r="HN163" s="134"/>
      <c r="HO163" s="135"/>
      <c r="HP163" s="135"/>
      <c r="HQ163" s="134"/>
      <c r="HR163" s="134"/>
      <c r="HS163" s="134"/>
      <c r="HT163" s="134"/>
      <c r="HU163" s="134"/>
      <c r="HV163" s="134"/>
      <c r="HW163" s="134"/>
      <c r="HX163" s="134"/>
      <c r="HY163" s="135"/>
      <c r="HZ163" s="135"/>
      <c r="IA163" s="134"/>
      <c r="IB163" s="134"/>
      <c r="IC163" s="134"/>
      <c r="ID163" s="134"/>
      <c r="IE163" s="134"/>
      <c r="IF163" s="134"/>
      <c r="IG163" s="134"/>
      <c r="IH163" s="134"/>
      <c r="II163" s="135"/>
      <c r="IJ163" s="135"/>
      <c r="IK163" s="134"/>
      <c r="IL163" s="134"/>
      <c r="IM163" s="134"/>
      <c r="IN163" s="134"/>
      <c r="IO163" s="134"/>
      <c r="IP163" s="134"/>
      <c r="IQ163" s="134"/>
      <c r="IR163" s="134"/>
      <c r="IS163" s="135"/>
      <c r="IT163" s="135"/>
      <c r="IU163" s="134"/>
      <c r="IV163" s="134"/>
      <c r="IW163" s="134"/>
      <c r="IX163" s="134"/>
      <c r="IY163" s="134"/>
      <c r="IZ163" s="134"/>
      <c r="JA163" s="134"/>
      <c r="JB163" s="134"/>
      <c r="JC163" s="135"/>
      <c r="JD163" s="135"/>
    </row>
    <row r="164" spans="1:264" customFormat="1" ht="15" customHeight="1">
      <c r="A164" s="118" t="s">
        <v>1089</v>
      </c>
      <c r="B164" s="616">
        <v>87</v>
      </c>
      <c r="C164" s="616">
        <v>15</v>
      </c>
      <c r="D164" s="616"/>
      <c r="E164" s="605" t="s">
        <v>1938</v>
      </c>
      <c r="F164" s="140" t="s">
        <v>2307</v>
      </c>
      <c r="G164" s="141">
        <v>2009</v>
      </c>
      <c r="H164" s="118">
        <v>18700055</v>
      </c>
      <c r="I164" s="118">
        <v>1</v>
      </c>
      <c r="J164" s="118"/>
      <c r="K164" s="118"/>
      <c r="L164" s="118">
        <v>1</v>
      </c>
      <c r="M164" s="118"/>
      <c r="N164" s="461">
        <v>1</v>
      </c>
      <c r="O164" s="142">
        <v>2</v>
      </c>
      <c r="P164" s="118" t="s">
        <v>1258</v>
      </c>
      <c r="Q164" s="118" t="s">
        <v>1251</v>
      </c>
      <c r="R164" s="118" t="s">
        <v>1127</v>
      </c>
      <c r="S164" s="118"/>
      <c r="T164" s="118" t="s">
        <v>1707</v>
      </c>
      <c r="U164" s="118" t="s">
        <v>23</v>
      </c>
      <c r="V164" s="118" t="s">
        <v>23</v>
      </c>
      <c r="W164" s="118" t="s">
        <v>1257</v>
      </c>
      <c r="X164" s="118" t="s">
        <v>24</v>
      </c>
      <c r="Y164" s="118" t="s">
        <v>1132</v>
      </c>
      <c r="Z164" s="118"/>
      <c r="AA164" s="118"/>
      <c r="AB164" s="118"/>
      <c r="AC164" s="145"/>
      <c r="AD164" s="573">
        <v>1</v>
      </c>
      <c r="AE164" s="573">
        <v>2</v>
      </c>
      <c r="AF164" s="159">
        <v>1</v>
      </c>
      <c r="AG164" s="160" t="s">
        <v>4106</v>
      </c>
      <c r="AH164" s="122">
        <v>4</v>
      </c>
      <c r="AI164" s="485"/>
      <c r="AJ164" s="204" t="s">
        <v>3972</v>
      </c>
      <c r="AK164" s="192" t="s">
        <v>4089</v>
      </c>
      <c r="AL164" s="205">
        <v>0</v>
      </c>
      <c r="AM164" s="122">
        <v>30</v>
      </c>
      <c r="AN164" s="122" t="s">
        <v>3974</v>
      </c>
      <c r="AO164" s="122">
        <v>15</v>
      </c>
      <c r="AP164" s="122" t="s">
        <v>803</v>
      </c>
      <c r="AQ164" s="122" t="s">
        <v>803</v>
      </c>
      <c r="AR164" s="358" t="s">
        <v>3403</v>
      </c>
      <c r="AS164" s="122" t="s">
        <v>24</v>
      </c>
      <c r="AT164" s="358" t="s">
        <v>3403</v>
      </c>
      <c r="AU164" s="122" t="s">
        <v>24</v>
      </c>
      <c r="AV164" s="122" t="s">
        <v>4065</v>
      </c>
      <c r="AW164" s="122">
        <v>1</v>
      </c>
      <c r="AX164" s="122">
        <v>1</v>
      </c>
      <c r="AY164" s="122" t="s">
        <v>4064</v>
      </c>
      <c r="AZ164" s="122" t="s">
        <v>1130</v>
      </c>
      <c r="BA164" s="122" t="s">
        <v>3279</v>
      </c>
      <c r="BB164" s="588"/>
      <c r="BC164" s="588"/>
      <c r="BD164" s="161">
        <v>1</v>
      </c>
      <c r="BE164" s="161"/>
      <c r="BF164" s="161"/>
      <c r="BG164" s="161"/>
      <c r="BH164" s="161"/>
      <c r="BI164" s="161"/>
      <c r="BJ164" s="161"/>
      <c r="BK164" s="161"/>
      <c r="BL164" s="161"/>
      <c r="BM164" s="161"/>
      <c r="BN164" s="161"/>
      <c r="BO164" s="161"/>
      <c r="BP164" s="161"/>
      <c r="BQ164" s="596" t="s">
        <v>4088</v>
      </c>
      <c r="BR164" s="157" t="s">
        <v>6599</v>
      </c>
      <c r="BS164" s="660"/>
      <c r="BT164" s="150" t="s">
        <v>1876</v>
      </c>
      <c r="BU164" s="150">
        <v>2</v>
      </c>
      <c r="BV164" s="150" t="s">
        <v>4068</v>
      </c>
      <c r="BW164" s="150" t="s">
        <v>1121</v>
      </c>
      <c r="BX164" s="150" t="s">
        <v>4091</v>
      </c>
      <c r="BY164" s="134" t="s">
        <v>2659</v>
      </c>
      <c r="BZ164" s="258" t="s">
        <v>4085</v>
      </c>
      <c r="CA164" s="257">
        <v>0</v>
      </c>
      <c r="CB164" s="151" t="s">
        <v>4070</v>
      </c>
      <c r="CC164" s="150">
        <v>44.679400000000001</v>
      </c>
      <c r="CD164" s="228" t="s">
        <v>24</v>
      </c>
      <c r="CE164" s="150">
        <f>50.7715-Table668[[#This Row],[Data_Outcome1_M]]</f>
        <v>6.0921000000000021</v>
      </c>
      <c r="CF164" s="151" t="s">
        <v>4069</v>
      </c>
      <c r="CG164" s="150">
        <v>48.732199999999999</v>
      </c>
      <c r="CH164" s="150" t="s">
        <v>24</v>
      </c>
      <c r="CI164" s="150">
        <f>54.8242-Table668[[#This Row],[Data_Outcome2_M]]</f>
        <v>6.0919999999999987</v>
      </c>
      <c r="CJ164" s="290" t="s">
        <v>4083</v>
      </c>
      <c r="CK164" s="291" t="s">
        <v>2480</v>
      </c>
      <c r="CL164" s="151" t="s">
        <v>24</v>
      </c>
      <c r="CM164" s="150"/>
      <c r="CN164" s="150"/>
      <c r="CO164" s="150"/>
      <c r="CP164" s="151"/>
      <c r="CQ164" s="150"/>
      <c r="CR164" s="150"/>
      <c r="CS164" s="150"/>
      <c r="CT164" s="290"/>
      <c r="CU164" s="291"/>
      <c r="CV164" s="278"/>
      <c r="CW164" s="285"/>
      <c r="CX164" s="151"/>
      <c r="CY164" s="150"/>
      <c r="CZ164" s="150"/>
      <c r="DA164" s="150"/>
      <c r="DB164" s="150"/>
      <c r="DC164" s="150"/>
      <c r="DD164" s="150"/>
      <c r="DE164" s="150"/>
      <c r="DF164" s="302"/>
      <c r="DG164" s="303"/>
      <c r="DH164" s="150"/>
      <c r="DI164" s="150"/>
      <c r="DJ164" s="150"/>
      <c r="DK164" s="150"/>
      <c r="DL164" s="150"/>
      <c r="DM164" s="150"/>
      <c r="DN164" s="150"/>
      <c r="DO164" s="150"/>
      <c r="DP164" s="302"/>
      <c r="DQ164" s="303"/>
      <c r="DR164" s="278"/>
      <c r="DS164" s="279"/>
      <c r="DT164" s="150"/>
      <c r="DU164" s="150"/>
      <c r="DV164" s="150"/>
      <c r="DW164" s="150"/>
      <c r="DX164" s="151"/>
      <c r="DY164" s="150"/>
      <c r="DZ164" s="150"/>
      <c r="EA164" s="150"/>
      <c r="EB164" s="303"/>
      <c r="EC164" s="303"/>
      <c r="ED164" s="151"/>
      <c r="EE164" s="150"/>
      <c r="EF164" s="150"/>
      <c r="EG164" s="150"/>
      <c r="EH164" s="151"/>
      <c r="EI164" s="150"/>
      <c r="EJ164" s="150"/>
      <c r="EK164" s="150"/>
      <c r="EL164" s="303"/>
      <c r="EM164" s="303"/>
      <c r="EN164" s="279"/>
      <c r="EO164" s="150"/>
      <c r="EP164" s="150"/>
      <c r="EQ164" s="150"/>
      <c r="ER164" s="150"/>
      <c r="ES164" s="150"/>
      <c r="ET164" s="150"/>
      <c r="EU164" s="150"/>
      <c r="EV164" s="150"/>
      <c r="EW164" s="303"/>
      <c r="EX164" s="303"/>
      <c r="EY164" s="150"/>
      <c r="EZ164" s="150"/>
      <c r="FA164" s="150"/>
      <c r="FB164" s="150"/>
      <c r="FC164" s="134"/>
      <c r="FD164" s="134"/>
      <c r="FE164" s="134"/>
      <c r="FF164" s="134"/>
      <c r="FG164" s="135"/>
      <c r="FH164" s="135"/>
      <c r="FI164" s="134"/>
      <c r="FJ164" s="134"/>
      <c r="FK164" s="134"/>
      <c r="FL164" s="134"/>
      <c r="FM164" s="134"/>
      <c r="FN164" s="134"/>
      <c r="FO164" s="134"/>
      <c r="FP164" s="134"/>
      <c r="FQ164" s="135"/>
      <c r="FR164" s="135"/>
      <c r="FS164" s="134"/>
      <c r="FT164" s="134"/>
      <c r="FU164" s="134"/>
      <c r="FV164" s="134"/>
      <c r="FW164" s="134"/>
      <c r="FX164" s="134"/>
      <c r="FY164" s="134"/>
      <c r="FZ164" s="134"/>
      <c r="GA164" s="135"/>
      <c r="GB164" s="135"/>
      <c r="GC164" s="134"/>
      <c r="GD164" s="134"/>
      <c r="GE164" s="134"/>
      <c r="GF164" s="134"/>
      <c r="GG164" s="134"/>
      <c r="GH164" s="134"/>
      <c r="GI164" s="134"/>
      <c r="GJ164" s="134"/>
      <c r="GK164" s="135"/>
      <c r="GL164" s="135"/>
      <c r="GM164" s="134"/>
      <c r="GN164" s="134"/>
      <c r="GO164" s="134"/>
      <c r="GP164" s="134"/>
      <c r="GQ164" s="134"/>
      <c r="GR164" s="134"/>
      <c r="GS164" s="134"/>
      <c r="GT164" s="134"/>
      <c r="GU164" s="135"/>
      <c r="GV164" s="135"/>
      <c r="GW164" s="134"/>
      <c r="GX164" s="134"/>
      <c r="GY164" s="134"/>
      <c r="GZ164" s="134"/>
      <c r="HA164" s="134"/>
      <c r="HB164" s="134"/>
      <c r="HC164" s="134"/>
      <c r="HD164" s="134"/>
      <c r="HE164" s="135"/>
      <c r="HF164" s="135"/>
      <c r="HG164" s="134"/>
      <c r="HH164" s="134"/>
      <c r="HI164" s="134"/>
      <c r="HJ164" s="134"/>
      <c r="HK164" s="134"/>
      <c r="HL164" s="134"/>
      <c r="HM164" s="134"/>
      <c r="HN164" s="134"/>
      <c r="HO164" s="135"/>
      <c r="HP164" s="135"/>
      <c r="HQ164" s="134"/>
      <c r="HR164" s="134"/>
      <c r="HS164" s="134"/>
      <c r="HT164" s="134"/>
      <c r="HU164" s="134"/>
      <c r="HV164" s="134"/>
      <c r="HW164" s="134"/>
      <c r="HX164" s="134"/>
      <c r="HY164" s="135"/>
      <c r="HZ164" s="135"/>
      <c r="IA164" s="134"/>
      <c r="IB164" s="134"/>
      <c r="IC164" s="134"/>
      <c r="ID164" s="134"/>
      <c r="IE164" s="134"/>
      <c r="IF164" s="134"/>
      <c r="IG164" s="134"/>
      <c r="IH164" s="134"/>
      <c r="II164" s="135"/>
      <c r="IJ164" s="135"/>
      <c r="IK164" s="134"/>
      <c r="IL164" s="134"/>
      <c r="IM164" s="134"/>
      <c r="IN164" s="134"/>
      <c r="IO164" s="134"/>
      <c r="IP164" s="134"/>
      <c r="IQ164" s="134"/>
      <c r="IR164" s="134"/>
      <c r="IS164" s="135"/>
      <c r="IT164" s="135"/>
      <c r="IU164" s="134"/>
      <c r="IV164" s="134"/>
      <c r="IW164" s="134"/>
      <c r="IX164" s="134"/>
      <c r="IY164" s="134"/>
      <c r="IZ164" s="134"/>
      <c r="JA164" s="134"/>
      <c r="JB164" s="134"/>
      <c r="JC164" s="135"/>
      <c r="JD164" s="135"/>
    </row>
    <row r="165" spans="1:264" customFormat="1" ht="15" customHeight="1">
      <c r="A165" s="118" t="s">
        <v>1089</v>
      </c>
      <c r="B165" s="616">
        <v>87</v>
      </c>
      <c r="C165" s="616">
        <v>15</v>
      </c>
      <c r="D165" s="616"/>
      <c r="E165" s="605" t="s">
        <v>1938</v>
      </c>
      <c r="F165" s="140" t="s">
        <v>2307</v>
      </c>
      <c r="G165" s="141">
        <v>2009</v>
      </c>
      <c r="H165" s="118">
        <v>18700055</v>
      </c>
      <c r="I165" s="118">
        <v>1</v>
      </c>
      <c r="J165" s="118"/>
      <c r="K165" s="118"/>
      <c r="L165" s="118">
        <v>1</v>
      </c>
      <c r="M165" s="118"/>
      <c r="N165" s="461">
        <v>1</v>
      </c>
      <c r="O165" s="142">
        <v>2</v>
      </c>
      <c r="P165" s="118" t="s">
        <v>1258</v>
      </c>
      <c r="Q165" s="118" t="s">
        <v>1251</v>
      </c>
      <c r="R165" s="118" t="s">
        <v>1127</v>
      </c>
      <c r="S165" s="118"/>
      <c r="T165" s="118" t="s">
        <v>1707</v>
      </c>
      <c r="U165" s="118" t="s">
        <v>23</v>
      </c>
      <c r="V165" s="118" t="s">
        <v>23</v>
      </c>
      <c r="W165" s="118" t="s">
        <v>1257</v>
      </c>
      <c r="X165" s="118" t="s">
        <v>24</v>
      </c>
      <c r="Y165" s="118" t="s">
        <v>1132</v>
      </c>
      <c r="Z165" s="118"/>
      <c r="AA165" s="118"/>
      <c r="AB165" s="118"/>
      <c r="AC165" s="145"/>
      <c r="AD165" s="573">
        <v>1</v>
      </c>
      <c r="AE165" s="573">
        <v>2</v>
      </c>
      <c r="AF165" s="159">
        <v>1</v>
      </c>
      <c r="AG165" s="160" t="s">
        <v>4106</v>
      </c>
      <c r="AH165" s="122">
        <v>4</v>
      </c>
      <c r="AI165" s="485"/>
      <c r="AJ165" s="204" t="s">
        <v>3972</v>
      </c>
      <c r="AK165" s="192" t="s">
        <v>4089</v>
      </c>
      <c r="AL165" s="205">
        <v>0</v>
      </c>
      <c r="AM165" s="122" t="s">
        <v>4087</v>
      </c>
      <c r="AN165" s="122">
        <f>33/2</f>
        <v>16.5</v>
      </c>
      <c r="AO165" s="122">
        <f>33/2</f>
        <v>16.5</v>
      </c>
      <c r="AP165" s="122" t="s">
        <v>803</v>
      </c>
      <c r="AQ165" s="122" t="s">
        <v>803</v>
      </c>
      <c r="AR165" s="358" t="s">
        <v>3403</v>
      </c>
      <c r="AS165" s="122" t="s">
        <v>24</v>
      </c>
      <c r="AT165" s="358" t="s">
        <v>3403</v>
      </c>
      <c r="AU165" s="122" t="s">
        <v>24</v>
      </c>
      <c r="AV165" s="122" t="s">
        <v>4086</v>
      </c>
      <c r="AW165" s="122">
        <v>1</v>
      </c>
      <c r="AX165" s="122">
        <v>1</v>
      </c>
      <c r="AY165" s="122" t="s">
        <v>4064</v>
      </c>
      <c r="AZ165" s="122" t="s">
        <v>1130</v>
      </c>
      <c r="BA165" s="122" t="s">
        <v>3279</v>
      </c>
      <c r="BB165" s="588"/>
      <c r="BC165" s="588"/>
      <c r="BD165" s="161">
        <v>1</v>
      </c>
      <c r="BE165" s="161"/>
      <c r="BF165" s="161"/>
      <c r="BG165" s="161"/>
      <c r="BH165" s="161"/>
      <c r="BI165" s="161"/>
      <c r="BJ165" s="161"/>
      <c r="BK165" s="161"/>
      <c r="BL165" s="161"/>
      <c r="BM165" s="161"/>
      <c r="BN165" s="161"/>
      <c r="BO165" s="161"/>
      <c r="BP165" s="161"/>
      <c r="BQ165" s="596" t="s">
        <v>4088</v>
      </c>
      <c r="BR165" s="157" t="s">
        <v>6599</v>
      </c>
      <c r="BS165" s="660"/>
      <c r="BT165" s="150" t="s">
        <v>1876</v>
      </c>
      <c r="BU165" s="150">
        <v>4</v>
      </c>
      <c r="BV165" s="150" t="s">
        <v>4090</v>
      </c>
      <c r="BW165" s="150" t="s">
        <v>1121</v>
      </c>
      <c r="BX165" s="150" t="s">
        <v>4091</v>
      </c>
      <c r="BY165" s="134" t="s">
        <v>2659</v>
      </c>
      <c r="BZ165" s="258" t="s">
        <v>4105</v>
      </c>
      <c r="CA165" s="257" t="s">
        <v>24</v>
      </c>
      <c r="CB165" s="151" t="s">
        <v>4092</v>
      </c>
      <c r="CC165" s="150">
        <v>28.1922</v>
      </c>
      <c r="CD165" s="150" t="s">
        <v>24</v>
      </c>
      <c r="CE165" s="150">
        <f>31.8408-Table668[[#This Row],[Data_Outcome1_M]]</f>
        <v>3.6486000000000018</v>
      </c>
      <c r="CF165" s="151" t="s">
        <v>4093</v>
      </c>
      <c r="CG165" s="150">
        <v>279.77199999999999</v>
      </c>
      <c r="CH165" s="150" t="s">
        <v>24</v>
      </c>
      <c r="CI165" s="150">
        <f>295.278-Table668[[#This Row],[Data_Outcome2_M]]</f>
        <v>15.506000000000029</v>
      </c>
      <c r="CJ165" s="290" t="s">
        <v>4094</v>
      </c>
      <c r="CK165" s="291" t="s">
        <v>2483</v>
      </c>
      <c r="CL165" s="438" t="s">
        <v>4098</v>
      </c>
      <c r="CM165" s="266">
        <v>263.00599999999997</v>
      </c>
      <c r="CN165" s="150" t="s">
        <v>24</v>
      </c>
      <c r="CO165" s="266">
        <f>276.688-Table668[[#This Row],[Data_Outcome3_M]]</f>
        <v>13.682000000000016</v>
      </c>
      <c r="CP165" s="438" t="s">
        <v>4097</v>
      </c>
      <c r="CQ165" s="150">
        <v>342.18799999999999</v>
      </c>
      <c r="CR165" s="150" t="s">
        <v>24</v>
      </c>
      <c r="CS165" s="150">
        <f>359.519-Table668[[#This Row],[Data_Outcome4_M]]</f>
        <v>17.331000000000017</v>
      </c>
      <c r="CT165" s="290" t="s">
        <v>4095</v>
      </c>
      <c r="CU165" s="291" t="s">
        <v>4096</v>
      </c>
      <c r="CV165" s="278" t="s">
        <v>24</v>
      </c>
      <c r="CW165" s="285" t="s">
        <v>24</v>
      </c>
      <c r="CX165" s="151" t="s">
        <v>4100</v>
      </c>
      <c r="CY165" s="150">
        <v>19.113</v>
      </c>
      <c r="CZ165" s="150" t="s">
        <v>24</v>
      </c>
      <c r="DA165" s="150">
        <f>21.8494-Table668[[#This Row],[Data_Outcome5_M]]</f>
        <v>2.7363999999999997</v>
      </c>
      <c r="DB165" s="429" t="s">
        <v>4099</v>
      </c>
      <c r="DC165" s="150">
        <v>209.58</v>
      </c>
      <c r="DD165" s="150" t="s">
        <v>24</v>
      </c>
      <c r="DE165" s="150">
        <f>22.35-Table668[[#This Row],[Data_Outcome6_M]]</f>
        <v>-187.23000000000002</v>
      </c>
      <c r="DF165" s="302" t="s">
        <v>4101</v>
      </c>
      <c r="DG165" s="303" t="s">
        <v>4102</v>
      </c>
      <c r="DH165" s="150" t="s">
        <v>24</v>
      </c>
      <c r="DI165" s="150" t="s">
        <v>24</v>
      </c>
      <c r="DJ165" s="150" t="s">
        <v>24</v>
      </c>
      <c r="DK165" s="150" t="s">
        <v>24</v>
      </c>
      <c r="DL165" s="150" t="s">
        <v>24</v>
      </c>
      <c r="DM165" s="150" t="s">
        <v>24</v>
      </c>
      <c r="DN165" s="150" t="s">
        <v>24</v>
      </c>
      <c r="DO165" s="150" t="s">
        <v>24</v>
      </c>
      <c r="DP165" s="302" t="s">
        <v>24</v>
      </c>
      <c r="DQ165" s="303" t="s">
        <v>24</v>
      </c>
      <c r="DR165" s="278" t="s">
        <v>4103</v>
      </c>
      <c r="DS165" s="279" t="s">
        <v>4104</v>
      </c>
      <c r="DT165" s="150" t="s">
        <v>24</v>
      </c>
      <c r="DU165" s="150" t="s">
        <v>24</v>
      </c>
      <c r="DV165" s="150" t="s">
        <v>24</v>
      </c>
      <c r="DW165" s="150" t="s">
        <v>24</v>
      </c>
      <c r="DX165" s="151" t="s">
        <v>24</v>
      </c>
      <c r="DY165" s="150" t="s">
        <v>24</v>
      </c>
      <c r="DZ165" s="150" t="s">
        <v>24</v>
      </c>
      <c r="EA165" s="150" t="s">
        <v>24</v>
      </c>
      <c r="EB165" s="303"/>
      <c r="EC165" s="303"/>
      <c r="ED165" s="151"/>
      <c r="EE165" s="150"/>
      <c r="EF165" s="150"/>
      <c r="EG165" s="150"/>
      <c r="EH165" s="151"/>
      <c r="EI165" s="150"/>
      <c r="EJ165" s="150"/>
      <c r="EK165" s="150"/>
      <c r="EL165" s="303"/>
      <c r="EM165" s="303"/>
      <c r="EN165" s="279"/>
      <c r="EO165" s="150"/>
      <c r="EP165" s="150"/>
      <c r="EQ165" s="150"/>
      <c r="ER165" s="150"/>
      <c r="ES165" s="150"/>
      <c r="ET165" s="150"/>
      <c r="EU165" s="150"/>
      <c r="EV165" s="150"/>
      <c r="EW165" s="303"/>
      <c r="EX165" s="303"/>
      <c r="EY165" s="150"/>
      <c r="EZ165" s="150"/>
      <c r="FA165" s="150"/>
      <c r="FB165" s="150"/>
      <c r="FC165" s="134"/>
      <c r="FD165" s="134"/>
      <c r="FE165" s="134"/>
      <c r="FF165" s="134"/>
      <c r="FG165" s="135"/>
      <c r="FH165" s="135"/>
      <c r="FI165" s="134"/>
      <c r="FJ165" s="134"/>
      <c r="FK165" s="134"/>
      <c r="FL165" s="134"/>
      <c r="FM165" s="134"/>
      <c r="FN165" s="134"/>
      <c r="FO165" s="134"/>
      <c r="FP165" s="134"/>
      <c r="FQ165" s="135"/>
      <c r="FR165" s="135"/>
      <c r="FS165" s="134"/>
      <c r="FT165" s="134"/>
      <c r="FU165" s="134"/>
      <c r="FV165" s="134"/>
      <c r="FW165" s="134"/>
      <c r="FX165" s="134"/>
      <c r="FY165" s="134"/>
      <c r="FZ165" s="134"/>
      <c r="GA165" s="135"/>
      <c r="GB165" s="135"/>
      <c r="GC165" s="134"/>
      <c r="GD165" s="134"/>
      <c r="GE165" s="134"/>
      <c r="GF165" s="134"/>
      <c r="GG165" s="134"/>
      <c r="GH165" s="134"/>
      <c r="GI165" s="134"/>
      <c r="GJ165" s="134"/>
      <c r="GK165" s="135"/>
      <c r="GL165" s="135"/>
      <c r="GM165" s="134"/>
      <c r="GN165" s="134"/>
      <c r="GO165" s="134"/>
      <c r="GP165" s="134"/>
      <c r="GQ165" s="134"/>
      <c r="GR165" s="134"/>
      <c r="GS165" s="134"/>
      <c r="GT165" s="134"/>
      <c r="GU165" s="135"/>
      <c r="GV165" s="135"/>
      <c r="GW165" s="134"/>
      <c r="GX165" s="134"/>
      <c r="GY165" s="134"/>
      <c r="GZ165" s="134"/>
      <c r="HA165" s="134"/>
      <c r="HB165" s="134"/>
      <c r="HC165" s="134"/>
      <c r="HD165" s="134"/>
      <c r="HE165" s="135"/>
      <c r="HF165" s="135"/>
      <c r="HG165" s="134"/>
      <c r="HH165" s="134"/>
      <c r="HI165" s="134"/>
      <c r="HJ165" s="134"/>
      <c r="HK165" s="134"/>
      <c r="HL165" s="134"/>
      <c r="HM165" s="134"/>
      <c r="HN165" s="134"/>
      <c r="HO165" s="135"/>
      <c r="HP165" s="135"/>
      <c r="HQ165" s="134"/>
      <c r="HR165" s="134"/>
      <c r="HS165" s="134"/>
      <c r="HT165" s="134"/>
      <c r="HU165" s="134"/>
      <c r="HV165" s="134"/>
      <c r="HW165" s="134"/>
      <c r="HX165" s="134"/>
      <c r="HY165" s="135"/>
      <c r="HZ165" s="135"/>
      <c r="IA165" s="134"/>
      <c r="IB165" s="134"/>
      <c r="IC165" s="134"/>
      <c r="ID165" s="134"/>
      <c r="IE165" s="134"/>
      <c r="IF165" s="134"/>
      <c r="IG165" s="134"/>
      <c r="IH165" s="134"/>
      <c r="II165" s="135"/>
      <c r="IJ165" s="135"/>
      <c r="IK165" s="134"/>
      <c r="IL165" s="134"/>
      <c r="IM165" s="134"/>
      <c r="IN165" s="134"/>
      <c r="IO165" s="134"/>
      <c r="IP165" s="134"/>
      <c r="IQ165" s="134"/>
      <c r="IR165" s="134"/>
      <c r="IS165" s="135"/>
      <c r="IT165" s="135"/>
      <c r="IU165" s="134"/>
      <c r="IV165" s="134"/>
      <c r="IW165" s="134"/>
      <c r="IX165" s="134"/>
      <c r="IY165" s="134"/>
      <c r="IZ165" s="134"/>
      <c r="JA165" s="134"/>
      <c r="JB165" s="134"/>
      <c r="JC165" s="135"/>
      <c r="JD165" s="135"/>
    </row>
    <row r="166" spans="1:264" customFormat="1" ht="15" customHeight="1">
      <c r="A166" s="79" t="s">
        <v>1088</v>
      </c>
      <c r="B166" s="614">
        <v>12</v>
      </c>
      <c r="C166" s="614"/>
      <c r="D166" s="614"/>
      <c r="E166" s="604" t="s">
        <v>1938</v>
      </c>
      <c r="F166" s="124" t="s">
        <v>2308</v>
      </c>
      <c r="G166" s="125">
        <v>2012</v>
      </c>
      <c r="H166" s="79">
        <v>21976046</v>
      </c>
      <c r="I166" s="79">
        <v>1</v>
      </c>
      <c r="J166" s="126" t="s">
        <v>1827</v>
      </c>
      <c r="K166" s="127"/>
      <c r="L166" s="79">
        <v>0</v>
      </c>
      <c r="M166" s="79"/>
      <c r="N166" s="79">
        <v>0</v>
      </c>
      <c r="O166" s="128">
        <v>2</v>
      </c>
      <c r="P166" s="79" t="s">
        <v>1220</v>
      </c>
      <c r="Q166" s="79" t="s">
        <v>24</v>
      </c>
      <c r="R166" s="79" t="s">
        <v>1127</v>
      </c>
      <c r="S166" s="79"/>
      <c r="T166" s="79" t="s">
        <v>1507</v>
      </c>
      <c r="U166" s="79" t="s">
        <v>23</v>
      </c>
      <c r="V166" s="79" t="s">
        <v>23</v>
      </c>
      <c r="W166" s="79" t="s">
        <v>1833</v>
      </c>
      <c r="X166" s="79" t="s">
        <v>1259</v>
      </c>
      <c r="Y166" s="79" t="s">
        <v>1132</v>
      </c>
      <c r="Z166" s="79"/>
      <c r="AA166" s="79"/>
      <c r="AB166" s="79" t="s">
        <v>1260</v>
      </c>
      <c r="AC166" s="506"/>
      <c r="AD166" s="573">
        <v>1</v>
      </c>
      <c r="AE166" s="573">
        <v>2</v>
      </c>
      <c r="AF166" s="154">
        <v>1</v>
      </c>
      <c r="AG166" s="155" t="s">
        <v>2729</v>
      </c>
      <c r="AH166" s="121">
        <v>4</v>
      </c>
      <c r="AI166" s="484"/>
      <c r="AJ166" s="202" t="s">
        <v>2721</v>
      </c>
      <c r="AK166" s="192">
        <v>0</v>
      </c>
      <c r="AL166" s="203">
        <v>1</v>
      </c>
      <c r="AM166" s="121" t="s">
        <v>2728</v>
      </c>
      <c r="AN166" s="121">
        <v>10</v>
      </c>
      <c r="AO166" s="121">
        <v>10</v>
      </c>
      <c r="AP166" s="121" t="s">
        <v>803</v>
      </c>
      <c r="AQ166" s="121" t="s">
        <v>803</v>
      </c>
      <c r="AR166" s="121" t="s">
        <v>23</v>
      </c>
      <c r="AS166" s="121" t="s">
        <v>24</v>
      </c>
      <c r="AT166" s="121" t="s">
        <v>23</v>
      </c>
      <c r="AU166" s="121" t="s">
        <v>24</v>
      </c>
      <c r="AV166" s="121" t="s">
        <v>2717</v>
      </c>
      <c r="AW166" s="121">
        <v>1</v>
      </c>
      <c r="AX166" s="121">
        <v>1</v>
      </c>
      <c r="AY166" s="121" t="s">
        <v>2718</v>
      </c>
      <c r="AZ166" s="121" t="s">
        <v>1130</v>
      </c>
      <c r="BA166" s="122" t="s">
        <v>2720</v>
      </c>
      <c r="BB166" s="588"/>
      <c r="BC166" s="588"/>
      <c r="BD166" s="156">
        <v>1</v>
      </c>
      <c r="BE166" s="156"/>
      <c r="BF166" s="156"/>
      <c r="BG166" s="156"/>
      <c r="BH166" s="156"/>
      <c r="BI166" s="156"/>
      <c r="BJ166" s="156"/>
      <c r="BK166" s="156"/>
      <c r="BL166" s="156"/>
      <c r="BM166" s="156"/>
      <c r="BN166" s="156"/>
      <c r="BO166" s="156"/>
      <c r="BP166" s="156"/>
      <c r="BQ166" s="595" t="s">
        <v>2493</v>
      </c>
      <c r="BR166" s="157" t="s">
        <v>6595</v>
      </c>
      <c r="BS166" s="660"/>
      <c r="BT166" s="134" t="s">
        <v>1876</v>
      </c>
      <c r="BU166" s="134" t="s">
        <v>2722</v>
      </c>
      <c r="BV166" s="134" t="s">
        <v>2719</v>
      </c>
      <c r="BW166" s="134" t="s">
        <v>23</v>
      </c>
      <c r="BX166" s="134" t="s">
        <v>2659</v>
      </c>
      <c r="BY166" s="134" t="s">
        <v>2659</v>
      </c>
      <c r="BZ166" s="259" t="s">
        <v>2727</v>
      </c>
      <c r="CA166" s="454" t="s">
        <v>6627</v>
      </c>
      <c r="CB166" s="138" t="s">
        <v>2726</v>
      </c>
      <c r="CC166" s="134">
        <v>36.9405</v>
      </c>
      <c r="CD166" s="134" t="s">
        <v>24</v>
      </c>
      <c r="CE166" s="134">
        <f>42.2634-Table668[[#This Row],[Data_Outcome1_M]]</f>
        <v>5.3228999999999971</v>
      </c>
      <c r="CF166" s="138" t="s">
        <v>2725</v>
      </c>
      <c r="CG166" s="134">
        <v>16.450099999999999</v>
      </c>
      <c r="CH166" s="134" t="s">
        <v>24</v>
      </c>
      <c r="CI166" s="134">
        <f>19.3968-Table668[[#This Row],[Data_Outcome2_M]]</f>
        <v>2.9466999999999999</v>
      </c>
      <c r="CJ166" s="288" t="s">
        <v>2723</v>
      </c>
      <c r="CK166" s="289" t="s">
        <v>2724</v>
      </c>
      <c r="CL166" s="439" t="s">
        <v>24</v>
      </c>
      <c r="CM166" s="190" t="s">
        <v>24</v>
      </c>
      <c r="CN166" s="134"/>
      <c r="CO166" s="190"/>
      <c r="CP166" s="138"/>
      <c r="CQ166" s="134"/>
      <c r="CR166" s="134"/>
      <c r="CS166" s="134"/>
      <c r="CT166" s="288"/>
      <c r="CU166" s="289"/>
      <c r="CV166" s="276"/>
      <c r="CW166" s="308"/>
      <c r="CX166" s="138"/>
      <c r="CY166" s="134"/>
      <c r="CZ166" s="134"/>
      <c r="DA166" s="134"/>
      <c r="DB166" s="134"/>
      <c r="DC166" s="134"/>
      <c r="DD166" s="134"/>
      <c r="DE166" s="134"/>
      <c r="DF166" s="300"/>
      <c r="DG166" s="301"/>
      <c r="DH166" s="134"/>
      <c r="DI166" s="134"/>
      <c r="DJ166" s="134"/>
      <c r="DK166" s="134"/>
      <c r="DL166" s="134"/>
      <c r="DM166" s="134"/>
      <c r="DN166" s="134"/>
      <c r="DO166" s="134"/>
      <c r="DP166" s="300"/>
      <c r="DQ166" s="301"/>
      <c r="DR166" s="276"/>
      <c r="DS166" s="277"/>
      <c r="DT166" s="134"/>
      <c r="DU166" s="134"/>
      <c r="DV166" s="134"/>
      <c r="DW166" s="134"/>
      <c r="DX166" s="138"/>
      <c r="DY166" s="134"/>
      <c r="DZ166" s="134"/>
      <c r="EA166" s="134"/>
      <c r="EB166" s="301"/>
      <c r="EC166" s="301"/>
      <c r="ED166" s="138"/>
      <c r="EE166" s="134"/>
      <c r="EF166" s="134"/>
      <c r="EG166" s="134"/>
      <c r="EH166" s="138"/>
      <c r="EI166" s="134"/>
      <c r="EJ166" s="134"/>
      <c r="EK166" s="134"/>
      <c r="EL166" s="301"/>
      <c r="EM166" s="301"/>
      <c r="EN166" s="277"/>
      <c r="EO166" s="134"/>
      <c r="EP166" s="134"/>
      <c r="EQ166" s="134"/>
      <c r="ER166" s="134"/>
      <c r="ES166" s="134"/>
      <c r="ET166" s="134"/>
      <c r="EU166" s="134"/>
      <c r="EV166" s="134"/>
      <c r="EW166" s="301"/>
      <c r="EX166" s="301"/>
      <c r="EY166" s="134"/>
      <c r="EZ166" s="134"/>
      <c r="FA166" s="134"/>
      <c r="FB166" s="134"/>
      <c r="FC166" s="134"/>
      <c r="FD166" s="134"/>
      <c r="FE166" s="134"/>
      <c r="FF166" s="134"/>
      <c r="FG166" s="135"/>
      <c r="FH166" s="135"/>
      <c r="FI166" s="134"/>
      <c r="FJ166" s="134"/>
      <c r="FK166" s="134"/>
      <c r="FL166" s="134"/>
      <c r="FM166" s="134"/>
      <c r="FN166" s="134"/>
      <c r="FO166" s="134"/>
      <c r="FP166" s="134"/>
      <c r="FQ166" s="135"/>
      <c r="FR166" s="135"/>
      <c r="FS166" s="134"/>
      <c r="FT166" s="134"/>
      <c r="FU166" s="134"/>
      <c r="FV166" s="134"/>
      <c r="FW166" s="134"/>
      <c r="FX166" s="134"/>
      <c r="FY166" s="134"/>
      <c r="FZ166" s="134"/>
      <c r="GA166" s="135"/>
      <c r="GB166" s="135"/>
      <c r="GC166" s="134"/>
      <c r="GD166" s="134"/>
      <c r="GE166" s="134"/>
      <c r="GF166" s="134"/>
      <c r="GG166" s="134"/>
      <c r="GH166" s="134"/>
      <c r="GI166" s="134"/>
      <c r="GJ166" s="134"/>
      <c r="GK166" s="135"/>
      <c r="GL166" s="135"/>
      <c r="GM166" s="134"/>
      <c r="GN166" s="134"/>
      <c r="GO166" s="134"/>
      <c r="GP166" s="134"/>
      <c r="GQ166" s="134"/>
      <c r="GR166" s="134"/>
      <c r="GS166" s="134"/>
      <c r="GT166" s="134"/>
      <c r="GU166" s="135"/>
      <c r="GV166" s="135"/>
      <c r="GW166" s="134"/>
      <c r="GX166" s="134"/>
      <c r="GY166" s="134"/>
      <c r="GZ166" s="134"/>
      <c r="HA166" s="134"/>
      <c r="HB166" s="134"/>
      <c r="HC166" s="134"/>
      <c r="HD166" s="134"/>
      <c r="HE166" s="135"/>
      <c r="HF166" s="135"/>
      <c r="HG166" s="134"/>
      <c r="HH166" s="134"/>
      <c r="HI166" s="134"/>
      <c r="HJ166" s="134"/>
      <c r="HK166" s="134"/>
      <c r="HL166" s="134"/>
      <c r="HM166" s="134"/>
      <c r="HN166" s="134"/>
      <c r="HO166" s="135"/>
      <c r="HP166" s="135"/>
      <c r="HQ166" s="134"/>
      <c r="HR166" s="134"/>
      <c r="HS166" s="134"/>
      <c r="HT166" s="134"/>
      <c r="HU166" s="134"/>
      <c r="HV166" s="134"/>
      <c r="HW166" s="134"/>
      <c r="HX166" s="134"/>
      <c r="HY166" s="135"/>
      <c r="HZ166" s="135"/>
      <c r="IA166" s="134"/>
      <c r="IB166" s="134"/>
      <c r="IC166" s="134"/>
      <c r="ID166" s="134"/>
      <c r="IE166" s="134"/>
      <c r="IF166" s="134"/>
      <c r="IG166" s="134"/>
      <c r="IH166" s="134"/>
      <c r="II166" s="135"/>
      <c r="IJ166" s="135"/>
      <c r="IK166" s="134"/>
      <c r="IL166" s="134"/>
      <c r="IM166" s="134"/>
      <c r="IN166" s="134"/>
      <c r="IO166" s="134"/>
      <c r="IP166" s="134"/>
      <c r="IQ166" s="134"/>
      <c r="IR166" s="134"/>
      <c r="IS166" s="135"/>
      <c r="IT166" s="135"/>
      <c r="IU166" s="134"/>
      <c r="IV166" s="134"/>
      <c r="IW166" s="134"/>
      <c r="IX166" s="134"/>
      <c r="IY166" s="134"/>
      <c r="IZ166" s="134"/>
      <c r="JA166" s="134"/>
      <c r="JB166" s="134"/>
      <c r="JC166" s="135"/>
      <c r="JD166" s="135"/>
    </row>
    <row r="167" spans="1:264" customFormat="1" ht="15" customHeight="1">
      <c r="A167" s="79" t="s">
        <v>1087</v>
      </c>
      <c r="B167" s="362">
        <v>88</v>
      </c>
      <c r="C167" s="362">
        <v>16</v>
      </c>
      <c r="D167" s="362"/>
      <c r="E167" s="604" t="s">
        <v>1938</v>
      </c>
      <c r="F167" s="124" t="s">
        <v>2309</v>
      </c>
      <c r="G167" s="125">
        <v>2008</v>
      </c>
      <c r="H167" s="79">
        <v>18635156</v>
      </c>
      <c r="I167" s="79">
        <v>1</v>
      </c>
      <c r="J167" s="126"/>
      <c r="K167" s="127"/>
      <c r="L167" s="79">
        <v>1</v>
      </c>
      <c r="M167" s="79"/>
      <c r="N167" s="79">
        <v>1</v>
      </c>
      <c r="O167" s="128">
        <v>2</v>
      </c>
      <c r="P167" s="79" t="s">
        <v>1253</v>
      </c>
      <c r="Q167" s="79" t="s">
        <v>1147</v>
      </c>
      <c r="R167" s="79" t="s">
        <v>1127</v>
      </c>
      <c r="S167" s="79"/>
      <c r="T167" s="79" t="s">
        <v>1507</v>
      </c>
      <c r="U167" s="79" t="s">
        <v>23</v>
      </c>
      <c r="V167" s="79" t="s">
        <v>23</v>
      </c>
      <c r="W167" s="79" t="s">
        <v>1584</v>
      </c>
      <c r="X167" s="79" t="s">
        <v>24</v>
      </c>
      <c r="Y167" s="79" t="s">
        <v>1261</v>
      </c>
      <c r="Z167" s="79"/>
      <c r="AA167" s="79" t="s">
        <v>1262</v>
      </c>
      <c r="AB167" s="79"/>
      <c r="AC167" s="506"/>
      <c r="AD167" s="573">
        <v>1</v>
      </c>
      <c r="AE167" s="573">
        <v>2</v>
      </c>
      <c r="AF167" s="154">
        <v>1</v>
      </c>
      <c r="AG167" s="155" t="s">
        <v>3988</v>
      </c>
      <c r="AH167" s="121">
        <v>4</v>
      </c>
      <c r="AI167" s="484"/>
      <c r="AJ167" s="202" t="s">
        <v>3975</v>
      </c>
      <c r="AK167" s="192">
        <v>0</v>
      </c>
      <c r="AL167" s="203" t="s">
        <v>3977</v>
      </c>
      <c r="AM167" s="121" t="s">
        <v>3976</v>
      </c>
      <c r="AN167" s="121">
        <f>137/7</f>
        <v>19.571428571428573</v>
      </c>
      <c r="AO167" s="121">
        <f>137/7</f>
        <v>19.571428571428573</v>
      </c>
      <c r="AP167" s="121" t="s">
        <v>803</v>
      </c>
      <c r="AQ167" s="121" t="s">
        <v>803</v>
      </c>
      <c r="AR167" s="121" t="s">
        <v>2687</v>
      </c>
      <c r="AS167" s="121" t="s">
        <v>24</v>
      </c>
      <c r="AT167" s="121" t="s">
        <v>2687</v>
      </c>
      <c r="AU167" s="121" t="s">
        <v>24</v>
      </c>
      <c r="AV167" s="121" t="s">
        <v>3979</v>
      </c>
      <c r="AW167" s="121">
        <v>1</v>
      </c>
      <c r="AX167" s="121">
        <v>1</v>
      </c>
      <c r="AY167" s="121" t="s">
        <v>3978</v>
      </c>
      <c r="AZ167" s="121" t="s">
        <v>1130</v>
      </c>
      <c r="BA167" s="121" t="s">
        <v>3980</v>
      </c>
      <c r="BB167" s="594"/>
      <c r="BC167" s="594"/>
      <c r="BD167" s="156">
        <v>1</v>
      </c>
      <c r="BE167" s="156"/>
      <c r="BF167" s="156"/>
      <c r="BG167" s="156"/>
      <c r="BH167" s="156"/>
      <c r="BI167" s="156"/>
      <c r="BJ167" s="156"/>
      <c r="BK167" s="156"/>
      <c r="BL167" s="156"/>
      <c r="BM167" s="156"/>
      <c r="BN167" s="156"/>
      <c r="BO167" s="156"/>
      <c r="BP167" s="156"/>
      <c r="BQ167" s="595" t="s">
        <v>3680</v>
      </c>
      <c r="BR167" s="157" t="s">
        <v>6595</v>
      </c>
      <c r="BS167" s="660"/>
      <c r="BT167" s="134" t="s">
        <v>1876</v>
      </c>
      <c r="BU167" s="134" t="s">
        <v>3981</v>
      </c>
      <c r="BV167" s="134" t="s">
        <v>3982</v>
      </c>
      <c r="BW167" s="134" t="s">
        <v>3983</v>
      </c>
      <c r="BX167" s="134" t="s">
        <v>3224</v>
      </c>
      <c r="BY167" s="134" t="s">
        <v>2659</v>
      </c>
      <c r="BZ167" s="259" t="s">
        <v>3987</v>
      </c>
      <c r="CA167" s="454" t="s">
        <v>6627</v>
      </c>
      <c r="CB167" s="138" t="s">
        <v>3984</v>
      </c>
      <c r="CC167" s="134">
        <v>77.566000000000003</v>
      </c>
      <c r="CD167" s="134" t="s">
        <v>24</v>
      </c>
      <c r="CE167" s="134">
        <f>80.6162-Table668[[#This Row],[Data_Outcome1_M]]</f>
        <v>3.0502000000000038</v>
      </c>
      <c r="CF167" s="138" t="s">
        <v>3985</v>
      </c>
      <c r="CG167" s="134">
        <v>14.3058</v>
      </c>
      <c r="CH167" s="134" t="s">
        <v>24</v>
      </c>
      <c r="CI167" s="134">
        <f>16.9203-Table668[[#This Row],[Data_Outcome2_M]]</f>
        <v>2.6145000000000014</v>
      </c>
      <c r="CJ167" s="288" t="s">
        <v>3986</v>
      </c>
      <c r="CK167" s="289" t="s">
        <v>2483</v>
      </c>
      <c r="CL167" s="439"/>
      <c r="CM167" s="190"/>
      <c r="CN167" s="134"/>
      <c r="CO167" s="190"/>
      <c r="CP167" s="138"/>
      <c r="CQ167" s="134"/>
      <c r="CR167" s="134"/>
      <c r="CS167" s="134"/>
      <c r="CT167" s="288"/>
      <c r="CU167" s="289"/>
      <c r="CV167" s="276"/>
      <c r="CW167" s="308"/>
      <c r="CX167" s="138"/>
      <c r="CY167" s="134"/>
      <c r="CZ167" s="134"/>
      <c r="DA167" s="134"/>
      <c r="DB167" s="134"/>
      <c r="DC167" s="134"/>
      <c r="DD167" s="134"/>
      <c r="DE167" s="134"/>
      <c r="DF167" s="300"/>
      <c r="DG167" s="301"/>
      <c r="DH167" s="134"/>
      <c r="DI167" s="134"/>
      <c r="DJ167" s="134"/>
      <c r="DK167" s="134"/>
      <c r="DL167" s="134"/>
      <c r="DM167" s="134"/>
      <c r="DN167" s="134"/>
      <c r="DO167" s="134"/>
      <c r="DP167" s="300"/>
      <c r="DQ167" s="301"/>
      <c r="DR167" s="276"/>
      <c r="DS167" s="277"/>
      <c r="DT167" s="134"/>
      <c r="DU167" s="134"/>
      <c r="DV167" s="134"/>
      <c r="DW167" s="134"/>
      <c r="DX167" s="138"/>
      <c r="DY167" s="134"/>
      <c r="DZ167" s="134"/>
      <c r="EA167" s="134"/>
      <c r="EB167" s="301"/>
      <c r="EC167" s="301"/>
      <c r="ED167" s="138"/>
      <c r="EE167" s="134"/>
      <c r="EF167" s="134"/>
      <c r="EG167" s="134"/>
      <c r="EH167" s="138"/>
      <c r="EI167" s="134"/>
      <c r="EJ167" s="134"/>
      <c r="EK167" s="134"/>
      <c r="EL167" s="301"/>
      <c r="EM167" s="301"/>
      <c r="EN167" s="277"/>
      <c r="EO167" s="134"/>
      <c r="EP167" s="134"/>
      <c r="EQ167" s="134"/>
      <c r="ER167" s="134"/>
      <c r="ES167" s="134"/>
      <c r="ET167" s="134"/>
      <c r="EU167" s="134"/>
      <c r="EV167" s="134"/>
      <c r="EW167" s="301"/>
      <c r="EX167" s="301"/>
      <c r="EY167" s="134"/>
      <c r="EZ167" s="134"/>
      <c r="FA167" s="134"/>
      <c r="FB167" s="134"/>
      <c r="FC167" s="134"/>
      <c r="FD167" s="134"/>
      <c r="FE167" s="134"/>
      <c r="FF167" s="134"/>
      <c r="FG167" s="135"/>
      <c r="FH167" s="135"/>
      <c r="FI167" s="134"/>
      <c r="FJ167" s="134"/>
      <c r="FK167" s="134"/>
      <c r="FL167" s="134"/>
      <c r="FM167" s="134"/>
      <c r="FN167" s="134"/>
      <c r="FO167" s="134"/>
      <c r="FP167" s="134"/>
      <c r="FQ167" s="135"/>
      <c r="FR167" s="135"/>
      <c r="FS167" s="134"/>
      <c r="FT167" s="134"/>
      <c r="FU167" s="134"/>
      <c r="FV167" s="134"/>
      <c r="FW167" s="134"/>
      <c r="FX167" s="134"/>
      <c r="FY167" s="134"/>
      <c r="FZ167" s="134"/>
      <c r="GA167" s="135"/>
      <c r="GB167" s="135"/>
      <c r="GC167" s="134"/>
      <c r="GD167" s="134"/>
      <c r="GE167" s="134"/>
      <c r="GF167" s="134"/>
      <c r="GG167" s="134"/>
      <c r="GH167" s="134"/>
      <c r="GI167" s="134"/>
      <c r="GJ167" s="134"/>
      <c r="GK167" s="135"/>
      <c r="GL167" s="135"/>
      <c r="GM167" s="134"/>
      <c r="GN167" s="134"/>
      <c r="GO167" s="134"/>
      <c r="GP167" s="134"/>
      <c r="GQ167" s="134"/>
      <c r="GR167" s="134"/>
      <c r="GS167" s="134"/>
      <c r="GT167" s="134"/>
      <c r="GU167" s="135"/>
      <c r="GV167" s="135"/>
      <c r="GW167" s="134"/>
      <c r="GX167" s="134"/>
      <c r="GY167" s="134"/>
      <c r="GZ167" s="134"/>
      <c r="HA167" s="134"/>
      <c r="HB167" s="134"/>
      <c r="HC167" s="134"/>
      <c r="HD167" s="134"/>
      <c r="HE167" s="135"/>
      <c r="HF167" s="135"/>
      <c r="HG167" s="134"/>
      <c r="HH167" s="134"/>
      <c r="HI167" s="134"/>
      <c r="HJ167" s="134"/>
      <c r="HK167" s="134"/>
      <c r="HL167" s="134"/>
      <c r="HM167" s="134"/>
      <c r="HN167" s="134"/>
      <c r="HO167" s="135"/>
      <c r="HP167" s="135"/>
      <c r="HQ167" s="134"/>
      <c r="HR167" s="134"/>
      <c r="HS167" s="134"/>
      <c r="HT167" s="134"/>
      <c r="HU167" s="134"/>
      <c r="HV167" s="134"/>
      <c r="HW167" s="134"/>
      <c r="HX167" s="134"/>
      <c r="HY167" s="135"/>
      <c r="HZ167" s="135"/>
      <c r="IA167" s="134"/>
      <c r="IB167" s="134"/>
      <c r="IC167" s="134"/>
      <c r="ID167" s="134"/>
      <c r="IE167" s="134"/>
      <c r="IF167" s="134"/>
      <c r="IG167" s="134"/>
      <c r="IH167" s="134"/>
      <c r="II167" s="135"/>
      <c r="IJ167" s="135"/>
      <c r="IK167" s="134"/>
      <c r="IL167" s="134"/>
      <c r="IM167" s="134"/>
      <c r="IN167" s="134"/>
      <c r="IO167" s="134"/>
      <c r="IP167" s="134"/>
      <c r="IQ167" s="134"/>
      <c r="IR167" s="134"/>
      <c r="IS167" s="135"/>
      <c r="IT167" s="135"/>
      <c r="IU167" s="134"/>
      <c r="IV167" s="134"/>
      <c r="IW167" s="134"/>
      <c r="IX167" s="134"/>
      <c r="IY167" s="134"/>
      <c r="IZ167" s="134"/>
      <c r="JA167" s="134"/>
      <c r="JB167" s="134"/>
      <c r="JC167" s="135"/>
      <c r="JD167" s="135"/>
    </row>
    <row r="168" spans="1:264" customFormat="1" ht="15" customHeight="1">
      <c r="A168" s="79" t="s">
        <v>1083</v>
      </c>
      <c r="B168" s="614">
        <v>13</v>
      </c>
      <c r="C168" s="614"/>
      <c r="D168" s="614"/>
      <c r="E168" s="604" t="s">
        <v>2060</v>
      </c>
      <c r="F168" s="124" t="s">
        <v>2312</v>
      </c>
      <c r="G168" s="125">
        <v>2012</v>
      </c>
      <c r="H168" s="79">
        <v>21925525</v>
      </c>
      <c r="I168" s="79">
        <v>1</v>
      </c>
      <c r="J168" s="126" t="s">
        <v>1831</v>
      </c>
      <c r="K168" s="127"/>
      <c r="L168" s="79">
        <v>0</v>
      </c>
      <c r="M168" s="79"/>
      <c r="N168" s="153">
        <v>0</v>
      </c>
      <c r="O168" s="128">
        <v>2</v>
      </c>
      <c r="P168" s="79" t="s">
        <v>1273</v>
      </c>
      <c r="Q168" s="79" t="s">
        <v>1212</v>
      </c>
      <c r="R168" s="79" t="s">
        <v>1127</v>
      </c>
      <c r="S168" s="79"/>
      <c r="T168" s="79" t="s">
        <v>1829</v>
      </c>
      <c r="U168" s="79"/>
      <c r="V168" s="79"/>
      <c r="W168" s="79" t="s">
        <v>1830</v>
      </c>
      <c r="X168" s="79"/>
      <c r="Y168" s="79"/>
      <c r="Z168" s="79"/>
      <c r="AA168" s="79"/>
      <c r="AB168" s="79" t="s">
        <v>1488</v>
      </c>
      <c r="AC168" s="506"/>
      <c r="AD168" s="573">
        <v>1</v>
      </c>
      <c r="AE168" s="573">
        <v>2</v>
      </c>
      <c r="AF168" s="154">
        <v>1</v>
      </c>
      <c r="AG168" s="155" t="s">
        <v>2776</v>
      </c>
      <c r="AH168" s="121">
        <v>4</v>
      </c>
      <c r="AI168" s="484"/>
      <c r="AJ168" s="202" t="s">
        <v>2735</v>
      </c>
      <c r="AK168" s="192">
        <v>2</v>
      </c>
      <c r="AL168" s="203">
        <v>0</v>
      </c>
      <c r="AM168" s="121">
        <f>8+8+8</f>
        <v>24</v>
      </c>
      <c r="AN168" s="121" t="s">
        <v>2734</v>
      </c>
      <c r="AO168" s="121">
        <v>8</v>
      </c>
      <c r="AP168" s="121" t="s">
        <v>803</v>
      </c>
      <c r="AQ168" s="121" t="s">
        <v>803</v>
      </c>
      <c r="AR168" s="121" t="s">
        <v>23</v>
      </c>
      <c r="AS168" s="121" t="s">
        <v>24</v>
      </c>
      <c r="AT168" s="121" t="s">
        <v>23</v>
      </c>
      <c r="AU168" s="121" t="s">
        <v>24</v>
      </c>
      <c r="AV168" s="121" t="s">
        <v>2731</v>
      </c>
      <c r="AW168" s="121">
        <v>1</v>
      </c>
      <c r="AX168" s="121" t="s">
        <v>3322</v>
      </c>
      <c r="AY168" s="121" t="s">
        <v>2732</v>
      </c>
      <c r="AZ168" s="121" t="s">
        <v>2730</v>
      </c>
      <c r="BA168" s="121" t="s">
        <v>2733</v>
      </c>
      <c r="BB168" s="594"/>
      <c r="BC168" s="594"/>
      <c r="BD168" s="156">
        <v>1</v>
      </c>
      <c r="BE168" s="156"/>
      <c r="BF168" s="156"/>
      <c r="BG168" s="156"/>
      <c r="BH168" s="156"/>
      <c r="BI168" s="156"/>
      <c r="BJ168" s="156"/>
      <c r="BK168" s="156"/>
      <c r="BL168" s="156"/>
      <c r="BM168" s="156"/>
      <c r="BN168" s="156"/>
      <c r="BO168" s="156"/>
      <c r="BP168" s="156"/>
      <c r="BQ168" s="595" t="s">
        <v>2741</v>
      </c>
      <c r="BR168" s="157" t="s">
        <v>6598</v>
      </c>
      <c r="BS168" s="660"/>
      <c r="BT168" s="134" t="s">
        <v>1876</v>
      </c>
      <c r="BU168" s="134">
        <v>3</v>
      </c>
      <c r="BV168" s="134" t="s">
        <v>2737</v>
      </c>
      <c r="BW168" s="134" t="s">
        <v>2471</v>
      </c>
      <c r="BX168" s="134" t="s">
        <v>2659</v>
      </c>
      <c r="BY168" s="134" t="s">
        <v>2659</v>
      </c>
      <c r="BZ168" s="259" t="s">
        <v>2748</v>
      </c>
      <c r="CA168" s="454" t="s">
        <v>24</v>
      </c>
      <c r="CB168" s="138" t="s">
        <v>2736</v>
      </c>
      <c r="CC168" s="134">
        <v>62.995399999999997</v>
      </c>
      <c r="CD168" s="134" t="s">
        <v>24</v>
      </c>
      <c r="CE168" s="134">
        <f>70.638-Table668[[#This Row],[Data_Outcome1_M]]</f>
        <v>7.6426000000000087</v>
      </c>
      <c r="CF168" s="138" t="s">
        <v>2739</v>
      </c>
      <c r="CG168" s="134">
        <v>33.502899999999997</v>
      </c>
      <c r="CH168" s="134" t="s">
        <v>24</v>
      </c>
      <c r="CI168" s="134">
        <f>37.3238-Table668[[#This Row],[Data_Outcome3_M]]</f>
        <v>-13.790100000000002</v>
      </c>
      <c r="CJ168" s="288" t="s">
        <v>2740</v>
      </c>
      <c r="CK168" s="289" t="s">
        <v>2555</v>
      </c>
      <c r="CL168" s="439" t="s">
        <v>2738</v>
      </c>
      <c r="CM168" s="134">
        <v>51.113900000000001</v>
      </c>
      <c r="CN168" s="134" t="s">
        <v>24</v>
      </c>
      <c r="CO168" s="134">
        <f>61.3051-Table668[[#This Row],[Data_Outcome2_M]]</f>
        <v>27.802200000000006</v>
      </c>
      <c r="CP168" s="138"/>
      <c r="CQ168" s="134"/>
      <c r="CR168" s="134"/>
      <c r="CS168" s="134"/>
      <c r="CT168" s="288"/>
      <c r="CU168" s="441"/>
      <c r="CV168" s="276"/>
      <c r="CW168" s="308"/>
      <c r="CX168" s="138"/>
      <c r="CY168" s="134"/>
      <c r="CZ168" s="134"/>
      <c r="DA168" s="134"/>
      <c r="DB168" s="134"/>
      <c r="DC168" s="134"/>
      <c r="DD168" s="134"/>
      <c r="DE168" s="134"/>
      <c r="DF168" s="300"/>
      <c r="DG168" s="301"/>
      <c r="DH168" s="134"/>
      <c r="DI168" s="134"/>
      <c r="DJ168" s="134"/>
      <c r="DK168" s="134"/>
      <c r="DL168" s="134"/>
      <c r="DM168" s="134"/>
      <c r="DN168" s="134"/>
      <c r="DO168" s="134"/>
      <c r="DP168" s="300"/>
      <c r="DQ168" s="301"/>
      <c r="DR168" s="276"/>
      <c r="DS168" s="277"/>
      <c r="DT168" s="134"/>
      <c r="DU168" s="134"/>
      <c r="DV168" s="134"/>
      <c r="DW168" s="134"/>
      <c r="DX168" s="138"/>
      <c r="DY168" s="134"/>
      <c r="DZ168" s="134"/>
      <c r="EA168" s="134"/>
      <c r="EB168" s="301"/>
      <c r="EC168" s="301"/>
      <c r="ED168" s="138"/>
      <c r="EE168" s="134"/>
      <c r="EF168" s="134"/>
      <c r="EG168" s="134"/>
      <c r="EH168" s="138"/>
      <c r="EI168" s="134"/>
      <c r="EJ168" s="134"/>
      <c r="EK168" s="134"/>
      <c r="EL168" s="301"/>
      <c r="EM168" s="301"/>
      <c r="EN168" s="277"/>
      <c r="EO168" s="134"/>
      <c r="EP168" s="134"/>
      <c r="EQ168" s="134"/>
      <c r="ER168" s="134"/>
      <c r="ES168" s="134"/>
      <c r="ET168" s="134"/>
      <c r="EU168" s="134"/>
      <c r="EV168" s="134"/>
      <c r="EW168" s="301"/>
      <c r="EX168" s="301"/>
      <c r="EY168" s="134"/>
      <c r="EZ168" s="134"/>
      <c r="FA168" s="134"/>
      <c r="FB168" s="134"/>
      <c r="FC168" s="134"/>
      <c r="FD168" s="134"/>
      <c r="FE168" s="134"/>
      <c r="FF168" s="134"/>
      <c r="FG168" s="135"/>
      <c r="FH168" s="135"/>
      <c r="FI168" s="134"/>
      <c r="FJ168" s="134"/>
      <c r="FK168" s="134"/>
      <c r="FL168" s="134"/>
      <c r="FM168" s="134"/>
      <c r="FN168" s="134"/>
      <c r="FO168" s="134"/>
      <c r="FP168" s="134"/>
      <c r="FQ168" s="135"/>
      <c r="FR168" s="135"/>
      <c r="FS168" s="134"/>
      <c r="FT168" s="134"/>
      <c r="FU168" s="134"/>
      <c r="FV168" s="134"/>
      <c r="FW168" s="134"/>
      <c r="FX168" s="134"/>
      <c r="FY168" s="134"/>
      <c r="FZ168" s="134"/>
      <c r="GA168" s="135"/>
      <c r="GB168" s="135"/>
      <c r="GC168" s="134"/>
      <c r="GD168" s="134"/>
      <c r="GE168" s="134"/>
      <c r="GF168" s="134"/>
      <c r="GG168" s="134"/>
      <c r="GH168" s="134"/>
      <c r="GI168" s="134"/>
      <c r="GJ168" s="134"/>
      <c r="GK168" s="135"/>
      <c r="GL168" s="135"/>
      <c r="GM168" s="134"/>
      <c r="GN168" s="134"/>
      <c r="GO168" s="134"/>
      <c r="GP168" s="134"/>
      <c r="GQ168" s="134"/>
      <c r="GR168" s="134"/>
      <c r="GS168" s="134"/>
      <c r="GT168" s="134"/>
      <c r="GU168" s="135"/>
      <c r="GV168" s="135"/>
      <c r="GW168" s="134"/>
      <c r="GX168" s="134"/>
      <c r="GY168" s="134"/>
      <c r="GZ168" s="134"/>
      <c r="HA168" s="134"/>
      <c r="HB168" s="134"/>
      <c r="HC168" s="134"/>
      <c r="HD168" s="134"/>
      <c r="HE168" s="135"/>
      <c r="HF168" s="135"/>
      <c r="HG168" s="134"/>
      <c r="HH168" s="134"/>
      <c r="HI168" s="134"/>
      <c r="HJ168" s="134"/>
      <c r="HK168" s="134"/>
      <c r="HL168" s="134"/>
      <c r="HM168" s="134"/>
      <c r="HN168" s="134"/>
      <c r="HO168" s="135"/>
      <c r="HP168" s="135"/>
      <c r="HQ168" s="134"/>
      <c r="HR168" s="134"/>
      <c r="HS168" s="134"/>
      <c r="HT168" s="134"/>
      <c r="HU168" s="134"/>
      <c r="HV168" s="134"/>
      <c r="HW168" s="134"/>
      <c r="HX168" s="134"/>
      <c r="HY168" s="135"/>
      <c r="HZ168" s="135"/>
      <c r="IA168" s="134"/>
      <c r="IB168" s="134"/>
      <c r="IC168" s="134"/>
      <c r="ID168" s="134"/>
      <c r="IE168" s="134"/>
      <c r="IF168" s="134"/>
      <c r="IG168" s="134"/>
      <c r="IH168" s="134"/>
      <c r="II168" s="135"/>
      <c r="IJ168" s="135"/>
      <c r="IK168" s="134"/>
      <c r="IL168" s="134"/>
      <c r="IM168" s="134"/>
      <c r="IN168" s="134"/>
      <c r="IO168" s="134"/>
      <c r="IP168" s="134"/>
      <c r="IQ168" s="134"/>
      <c r="IR168" s="134"/>
      <c r="IS168" s="135"/>
      <c r="IT168" s="135"/>
      <c r="IU168" s="134"/>
      <c r="IV168" s="134"/>
      <c r="IW168" s="134"/>
      <c r="IX168" s="134"/>
      <c r="IY168" s="134"/>
      <c r="IZ168" s="134"/>
      <c r="JA168" s="134"/>
      <c r="JB168" s="134"/>
      <c r="JC168" s="135"/>
      <c r="JD168" s="135"/>
    </row>
    <row r="169" spans="1:264" customFormat="1" ht="15" customHeight="1">
      <c r="A169" s="118" t="s">
        <v>1083</v>
      </c>
      <c r="B169" s="614">
        <v>13</v>
      </c>
      <c r="C169" s="614"/>
      <c r="D169" s="614"/>
      <c r="E169" s="605" t="s">
        <v>2060</v>
      </c>
      <c r="F169" s="140" t="s">
        <v>2312</v>
      </c>
      <c r="G169" s="141">
        <v>2012</v>
      </c>
      <c r="H169" s="118">
        <v>21925525</v>
      </c>
      <c r="I169" s="118">
        <v>1</v>
      </c>
      <c r="J169" s="118" t="s">
        <v>1831</v>
      </c>
      <c r="K169" s="118"/>
      <c r="L169" s="118">
        <v>0</v>
      </c>
      <c r="M169" s="118"/>
      <c r="N169" s="158">
        <v>0</v>
      </c>
      <c r="O169" s="142">
        <v>2</v>
      </c>
      <c r="P169" s="118" t="s">
        <v>1273</v>
      </c>
      <c r="Q169" s="118" t="s">
        <v>1212</v>
      </c>
      <c r="R169" s="118" t="s">
        <v>1127</v>
      </c>
      <c r="S169" s="118"/>
      <c r="T169" s="118" t="s">
        <v>1829</v>
      </c>
      <c r="U169" s="118"/>
      <c r="V169" s="118"/>
      <c r="W169" s="118" t="s">
        <v>1830</v>
      </c>
      <c r="X169" s="118"/>
      <c r="Y169" s="118"/>
      <c r="Z169" s="118"/>
      <c r="AA169" s="118"/>
      <c r="AB169" s="118" t="s">
        <v>1488</v>
      </c>
      <c r="AC169" s="145"/>
      <c r="AD169" s="573">
        <v>1</v>
      </c>
      <c r="AE169" s="573">
        <v>2</v>
      </c>
      <c r="AF169" s="159">
        <v>1</v>
      </c>
      <c r="AG169" s="160" t="s">
        <v>2777</v>
      </c>
      <c r="AH169" s="122">
        <v>4</v>
      </c>
      <c r="AI169" s="485"/>
      <c r="AJ169" s="204" t="s">
        <v>2774</v>
      </c>
      <c r="AK169" s="192">
        <v>2</v>
      </c>
      <c r="AL169" s="205">
        <v>0</v>
      </c>
      <c r="AM169" s="122">
        <f>8+8+8</f>
        <v>24</v>
      </c>
      <c r="AN169" s="122" t="s">
        <v>2734</v>
      </c>
      <c r="AO169" s="122">
        <v>8</v>
      </c>
      <c r="AP169" s="122" t="s">
        <v>803</v>
      </c>
      <c r="AQ169" s="122" t="s">
        <v>803</v>
      </c>
      <c r="AR169" s="122" t="s">
        <v>23</v>
      </c>
      <c r="AS169" s="122" t="s">
        <v>24</v>
      </c>
      <c r="AT169" s="122" t="s">
        <v>23</v>
      </c>
      <c r="AU169" s="122" t="s">
        <v>24</v>
      </c>
      <c r="AV169" s="122" t="s">
        <v>2731</v>
      </c>
      <c r="AW169" s="122">
        <v>1</v>
      </c>
      <c r="AX169" s="122" t="s">
        <v>3322</v>
      </c>
      <c r="AY169" s="122" t="s">
        <v>2732</v>
      </c>
      <c r="AZ169" s="122" t="s">
        <v>2730</v>
      </c>
      <c r="BA169" s="122" t="s">
        <v>2733</v>
      </c>
      <c r="BB169" s="588"/>
      <c r="BC169" s="588"/>
      <c r="BD169" s="161">
        <v>1</v>
      </c>
      <c r="BE169" s="161"/>
      <c r="BF169" s="161"/>
      <c r="BG169" s="161"/>
      <c r="BH169" s="161"/>
      <c r="BI169" s="161"/>
      <c r="BJ169" s="161"/>
      <c r="BK169" s="161"/>
      <c r="BL169" s="161"/>
      <c r="BM169" s="161"/>
      <c r="BN169" s="161"/>
      <c r="BO169" s="161"/>
      <c r="BP169" s="161"/>
      <c r="BQ169" s="596" t="s">
        <v>2775</v>
      </c>
      <c r="BR169" s="162" t="s">
        <v>6597</v>
      </c>
      <c r="BS169" s="660"/>
      <c r="BT169" s="150" t="s">
        <v>1876</v>
      </c>
      <c r="BU169" s="150">
        <v>3</v>
      </c>
      <c r="BV169" s="150" t="s">
        <v>2742</v>
      </c>
      <c r="BW169" s="150" t="s">
        <v>2471</v>
      </c>
      <c r="BX169" s="150" t="s">
        <v>2659</v>
      </c>
      <c r="BY169" s="134" t="s">
        <v>2659</v>
      </c>
      <c r="BZ169" s="258" t="s">
        <v>2749</v>
      </c>
      <c r="CA169" s="257" t="s">
        <v>6627</v>
      </c>
      <c r="CB169" s="151" t="s">
        <v>2743</v>
      </c>
      <c r="CC169" s="150">
        <v>17.985600000000002</v>
      </c>
      <c r="CD169" s="150" t="s">
        <v>24</v>
      </c>
      <c r="CE169" s="150">
        <f>19.9041-Table668[[#This Row],[Data_Outcome1_M]]</f>
        <v>1.9184999999999981</v>
      </c>
      <c r="CF169" s="151" t="s">
        <v>2744</v>
      </c>
      <c r="CG169" s="150">
        <v>12.9496</v>
      </c>
      <c r="CH169" s="150" t="s">
        <v>24</v>
      </c>
      <c r="CI169" s="150">
        <f>15.1079-Table668[[#This Row],[Data_Outcome2_M]]</f>
        <v>2.1583000000000006</v>
      </c>
      <c r="CJ169" s="440" t="s">
        <v>24</v>
      </c>
      <c r="CK169" s="442" t="s">
        <v>24</v>
      </c>
      <c r="CL169" s="151" t="s">
        <v>2745</v>
      </c>
      <c r="CM169" s="150">
        <v>11.990399999999999</v>
      </c>
      <c r="CN169" s="150" t="s">
        <v>24</v>
      </c>
      <c r="CO169" s="150">
        <f>14.3885-Table668[[#This Row],[Data_Outcome3_M]]</f>
        <v>2.3981000000000012</v>
      </c>
      <c r="CP169" s="151" t="s">
        <v>2746</v>
      </c>
      <c r="CQ169" s="150">
        <v>4.7961600000000004</v>
      </c>
      <c r="CR169" s="150" t="s">
        <v>24</v>
      </c>
      <c r="CS169" s="150">
        <f>6.23501-Table668[[#This Row],[Data_Outcome4_M]]</f>
        <v>1.4388499999999995</v>
      </c>
      <c r="CT169" s="440" t="s">
        <v>24</v>
      </c>
      <c r="CU169" s="442" t="s">
        <v>24</v>
      </c>
      <c r="CV169" s="278" t="s">
        <v>24</v>
      </c>
      <c r="CW169" s="285" t="s">
        <v>24</v>
      </c>
      <c r="CX169" s="151" t="s">
        <v>2747</v>
      </c>
      <c r="CY169" s="150">
        <v>7.9136699999999998</v>
      </c>
      <c r="CZ169" s="150" t="s">
        <v>24</v>
      </c>
      <c r="DA169" s="150">
        <f>10.0719-Table668[[#This Row],[Data_Outcome5_M]]</f>
        <v>2.1582299999999996</v>
      </c>
      <c r="DB169" s="151" t="s">
        <v>2750</v>
      </c>
      <c r="DC169" s="150">
        <v>38.609099999999998</v>
      </c>
      <c r="DD169" s="150" t="s">
        <v>24</v>
      </c>
      <c r="DE169" s="150">
        <f>Table668[[#This Row],[Data_Outcome6_M]]-27.5779</f>
        <v>11.031199999999998</v>
      </c>
      <c r="DF169" s="302"/>
      <c r="DG169" s="303"/>
      <c r="DH169" s="151" t="s">
        <v>2751</v>
      </c>
      <c r="DI169" s="150">
        <v>27.5779</v>
      </c>
      <c r="DJ169" s="150" t="s">
        <v>24</v>
      </c>
      <c r="DK169" s="150">
        <f>33.813-Table668[[#This Row],[Data_Outcome7_M]]</f>
        <v>6.2351000000000028</v>
      </c>
      <c r="DL169" s="151" t="s">
        <v>2752</v>
      </c>
      <c r="DM169" s="150">
        <v>18.2254</v>
      </c>
      <c r="DN169" s="150" t="s">
        <v>24</v>
      </c>
      <c r="DO169" s="150">
        <f>23.741-Table668[[#This Row],[Data_Outcome8_M]]</f>
        <v>5.5155999999999992</v>
      </c>
      <c r="DP169" s="302"/>
      <c r="DQ169" s="303"/>
      <c r="DR169" s="278"/>
      <c r="DS169" s="279"/>
      <c r="DT169" s="151" t="s">
        <v>2753</v>
      </c>
      <c r="DU169" s="150">
        <v>19.424499999999998</v>
      </c>
      <c r="DV169" s="150" t="s">
        <v>24</v>
      </c>
      <c r="DW169" s="150">
        <f>21.5827-Table668[[#This Row],[Data_Outcome9_M]]</f>
        <v>2.1582000000000008</v>
      </c>
      <c r="DX169" s="151" t="s">
        <v>2754</v>
      </c>
      <c r="DY169" s="150">
        <v>16.546800000000001</v>
      </c>
      <c r="DZ169" s="150" t="s">
        <v>24</v>
      </c>
      <c r="EA169" s="150">
        <f>20.8633-Table668[[#This Row],[Data_Outcome10_M]]</f>
        <v>4.3164999999999978</v>
      </c>
      <c r="EB169" s="303"/>
      <c r="EC169" s="303"/>
      <c r="ED169" s="151" t="s">
        <v>2755</v>
      </c>
      <c r="EE169" s="150">
        <v>47.402099999999997</v>
      </c>
      <c r="EF169" s="150" t="s">
        <v>24</v>
      </c>
      <c r="EG169" s="150">
        <f>Table668[[#This Row],[Data_Outcome11_M]]-40.6875</f>
        <v>6.7145999999999972</v>
      </c>
      <c r="EH169" s="151" t="s">
        <v>2756</v>
      </c>
      <c r="EI169" s="150">
        <v>22.7818</v>
      </c>
      <c r="EJ169" s="150" t="s">
        <v>24</v>
      </c>
      <c r="EK169" s="150">
        <f>Table668[[#This Row],[Data_Outcome12_M]]-18.9448</f>
        <v>3.8369999999999997</v>
      </c>
      <c r="EL169" s="303"/>
      <c r="EM169" s="303"/>
      <c r="EN169" s="279"/>
      <c r="EO169" s="151" t="s">
        <v>2757</v>
      </c>
      <c r="EP169" s="150">
        <v>24.540400000000002</v>
      </c>
      <c r="EQ169" s="150" t="s">
        <v>24</v>
      </c>
      <c r="ER169" s="150">
        <f>28.697-Table668[[#This Row],[Data_Outcome13_M]]</f>
        <v>4.1565999999999974</v>
      </c>
      <c r="ES169" s="151" t="s">
        <v>2768</v>
      </c>
      <c r="ET169" s="150">
        <v>19.104700000000001</v>
      </c>
      <c r="EU169" s="150" t="s">
        <v>24</v>
      </c>
      <c r="EV169" s="150">
        <f>24.3805-Table668[[#This Row],[Data_Outcome14_M]]</f>
        <v>5.2758000000000003</v>
      </c>
      <c r="EW169" s="303"/>
      <c r="EX169" s="303"/>
      <c r="EY169" s="151" t="s">
        <v>2770</v>
      </c>
      <c r="EZ169" s="150">
        <v>16.546800000000001</v>
      </c>
      <c r="FA169" s="150" t="s">
        <v>24</v>
      </c>
      <c r="FB169" s="150">
        <f>21.0232-Table668[[#This Row],[Data_Outcome15_M]]</f>
        <v>4.4763999999999982</v>
      </c>
      <c r="FC169" s="134"/>
      <c r="FD169" s="134"/>
      <c r="FE169" s="134"/>
      <c r="FF169" s="134"/>
      <c r="FG169" s="135"/>
      <c r="FH169" s="135"/>
      <c r="FI169" s="134"/>
      <c r="FJ169" s="134"/>
      <c r="FK169" s="134"/>
      <c r="FL169" s="134"/>
      <c r="FM169" s="134"/>
      <c r="FN169" s="134"/>
      <c r="FO169" s="134"/>
      <c r="FP169" s="134"/>
      <c r="FQ169" s="135"/>
      <c r="FR169" s="135"/>
      <c r="FS169" s="134"/>
      <c r="FT169" s="134"/>
      <c r="FU169" s="134"/>
      <c r="FV169" s="134"/>
      <c r="FW169" s="134"/>
      <c r="FX169" s="134"/>
      <c r="FY169" s="134"/>
      <c r="FZ169" s="134"/>
      <c r="GA169" s="135"/>
      <c r="GB169" s="135"/>
      <c r="GC169" s="134"/>
      <c r="GD169" s="134"/>
      <c r="GE169" s="134"/>
      <c r="GF169" s="134"/>
      <c r="GG169" s="134"/>
      <c r="GH169" s="134"/>
      <c r="GI169" s="134"/>
      <c r="GJ169" s="134"/>
      <c r="GK169" s="135"/>
      <c r="GL169" s="135"/>
      <c r="GM169" s="134"/>
      <c r="GN169" s="134"/>
      <c r="GO169" s="134"/>
      <c r="GP169" s="134"/>
      <c r="GQ169" s="134"/>
      <c r="GR169" s="134"/>
      <c r="GS169" s="134"/>
      <c r="GT169" s="134"/>
      <c r="GU169" s="246"/>
      <c r="GV169" s="135"/>
      <c r="GW169" s="134"/>
      <c r="GX169" s="134"/>
      <c r="GY169" s="134"/>
      <c r="GZ169" s="134"/>
      <c r="HA169" s="134"/>
      <c r="HB169" s="134"/>
      <c r="HC169" s="134"/>
      <c r="HD169" s="134"/>
      <c r="HE169" s="135"/>
      <c r="HF169" s="135"/>
      <c r="HG169" s="134"/>
      <c r="HH169" s="134"/>
      <c r="HI169" s="134"/>
      <c r="HJ169" s="134"/>
      <c r="HK169" s="134"/>
      <c r="HL169" s="190"/>
      <c r="HM169" s="190"/>
      <c r="HN169" s="190"/>
      <c r="HO169" s="135"/>
      <c r="HP169" s="135"/>
      <c r="HQ169" s="134"/>
      <c r="HR169" s="190"/>
      <c r="HS169" s="190"/>
      <c r="HT169" s="190"/>
      <c r="HU169" s="134"/>
      <c r="HV169" s="190"/>
      <c r="HW169" s="190"/>
      <c r="HX169" s="190"/>
      <c r="HY169" s="246"/>
      <c r="HZ169" s="246"/>
      <c r="IA169" s="134"/>
      <c r="IB169" s="190"/>
      <c r="IC169" s="190"/>
      <c r="ID169" s="190"/>
      <c r="IE169" s="134"/>
      <c r="IF169" s="190"/>
      <c r="IG169" s="190"/>
      <c r="IH169" s="190"/>
      <c r="II169" s="135"/>
      <c r="IJ169" s="246"/>
      <c r="IK169" s="134"/>
      <c r="IL169" s="190"/>
      <c r="IM169" s="190"/>
      <c r="IN169" s="190"/>
      <c r="IO169" s="134"/>
      <c r="IP169" s="190"/>
      <c r="IQ169" s="190"/>
      <c r="IR169" s="190"/>
      <c r="IS169" s="246"/>
      <c r="IT169" s="246"/>
      <c r="IU169" s="134"/>
      <c r="IV169" s="190"/>
      <c r="IW169" s="190"/>
      <c r="IX169" s="190"/>
      <c r="IY169" s="134"/>
      <c r="IZ169" s="190"/>
      <c r="JA169" s="134"/>
      <c r="JB169" s="134"/>
      <c r="JC169" s="135"/>
      <c r="JD169" s="135"/>
    </row>
    <row r="170" spans="1:264" customFormat="1" ht="15" customHeight="1">
      <c r="A170" s="118" t="s">
        <v>121</v>
      </c>
      <c r="B170" s="616">
        <v>93</v>
      </c>
      <c r="C170" s="616">
        <v>17</v>
      </c>
      <c r="D170" s="616"/>
      <c r="E170" s="605" t="s">
        <v>1940</v>
      </c>
      <c r="F170" s="140" t="s">
        <v>2159</v>
      </c>
      <c r="G170" s="141">
        <v>2002</v>
      </c>
      <c r="H170" s="118">
        <v>12607144</v>
      </c>
      <c r="I170" s="118">
        <v>1</v>
      </c>
      <c r="J170" s="118"/>
      <c r="K170" s="118"/>
      <c r="L170" s="118">
        <v>1</v>
      </c>
      <c r="M170" s="118"/>
      <c r="N170" s="118">
        <v>1</v>
      </c>
      <c r="O170" s="142">
        <v>1</v>
      </c>
      <c r="P170" s="118" t="s">
        <v>408</v>
      </c>
      <c r="Q170" s="118"/>
      <c r="R170" s="118" t="s">
        <v>25</v>
      </c>
      <c r="S170" s="118">
        <v>1</v>
      </c>
      <c r="T170" s="118"/>
      <c r="U170" s="118"/>
      <c r="V170" s="118"/>
      <c r="W170" s="118"/>
      <c r="X170" s="118"/>
      <c r="Y170" s="118"/>
      <c r="Z170" s="118"/>
      <c r="AA170" s="118"/>
      <c r="AB170" s="118"/>
      <c r="AC170" s="145"/>
      <c r="AD170" s="573">
        <v>1</v>
      </c>
      <c r="AE170" s="573">
        <v>2</v>
      </c>
      <c r="AF170" s="159">
        <v>1</v>
      </c>
      <c r="AG170" s="160"/>
      <c r="AH170" s="122">
        <v>2</v>
      </c>
      <c r="AI170" s="485"/>
      <c r="AJ170" s="204" t="s">
        <v>3991</v>
      </c>
      <c r="AK170" s="192">
        <v>1</v>
      </c>
      <c r="AL170" s="205" t="s">
        <v>24</v>
      </c>
      <c r="AM170" s="122" t="s">
        <v>3990</v>
      </c>
      <c r="AN170" s="122" t="s">
        <v>3989</v>
      </c>
      <c r="AO170" s="122">
        <v>80</v>
      </c>
      <c r="AP170" s="122" t="s">
        <v>803</v>
      </c>
      <c r="AQ170" s="122" t="s">
        <v>803</v>
      </c>
      <c r="AR170" s="122" t="s">
        <v>3992</v>
      </c>
      <c r="AS170" s="122" t="s">
        <v>3993</v>
      </c>
      <c r="AT170" s="122">
        <v>37.950000000000003</v>
      </c>
      <c r="AU170" s="122">
        <v>2.56</v>
      </c>
      <c r="AV170" s="122" t="s">
        <v>3994</v>
      </c>
      <c r="AW170" s="122" t="s">
        <v>24</v>
      </c>
      <c r="AX170" s="122" t="s">
        <v>24</v>
      </c>
      <c r="AY170" s="122" t="s">
        <v>2423</v>
      </c>
      <c r="AZ170" s="122" t="s">
        <v>3835</v>
      </c>
      <c r="BA170" s="122" t="s">
        <v>3995</v>
      </c>
      <c r="BB170" s="588"/>
      <c r="BC170" s="588"/>
      <c r="BD170" s="161"/>
      <c r="BE170" s="161"/>
      <c r="BF170" s="161"/>
      <c r="BG170" s="161"/>
      <c r="BH170" s="161"/>
      <c r="BI170" s="161"/>
      <c r="BJ170" s="161">
        <v>1</v>
      </c>
      <c r="BK170" s="161"/>
      <c r="BL170" s="161"/>
      <c r="BM170" s="161"/>
      <c r="BN170" s="161"/>
      <c r="BO170" s="161"/>
      <c r="BP170" s="161"/>
      <c r="BQ170" s="596" t="s">
        <v>4000</v>
      </c>
      <c r="BR170" s="162" t="s">
        <v>6609</v>
      </c>
      <c r="BS170" s="660"/>
      <c r="BT170" s="150" t="s">
        <v>1876</v>
      </c>
      <c r="BU170" s="150" t="s">
        <v>4003</v>
      </c>
      <c r="BV170" s="150" t="s">
        <v>4007</v>
      </c>
      <c r="BW170" s="150" t="s">
        <v>24</v>
      </c>
      <c r="BX170" s="150" t="s">
        <v>4010</v>
      </c>
      <c r="BY170" s="150"/>
      <c r="BZ170" s="258" t="s">
        <v>4062</v>
      </c>
      <c r="CA170" s="257">
        <v>0</v>
      </c>
      <c r="CB170" s="151" t="s">
        <v>4038</v>
      </c>
      <c r="CC170" s="150">
        <v>44.18</v>
      </c>
      <c r="CD170" s="639">
        <v>9.2799999999999994</v>
      </c>
      <c r="CE170" s="150" t="s">
        <v>24</v>
      </c>
      <c r="CF170" s="151" t="s">
        <v>4043</v>
      </c>
      <c r="CG170" s="150">
        <v>47.84</v>
      </c>
      <c r="CH170" s="150">
        <v>7.93</v>
      </c>
      <c r="CI170" s="150" t="s">
        <v>24</v>
      </c>
      <c r="CJ170" s="290" t="s">
        <v>24</v>
      </c>
      <c r="CK170" s="291" t="s">
        <v>24</v>
      </c>
      <c r="CL170" s="151" t="s">
        <v>4052</v>
      </c>
      <c r="CM170" s="150">
        <v>45.18</v>
      </c>
      <c r="CN170" s="150">
        <v>8.92</v>
      </c>
      <c r="CO170" s="150" t="s">
        <v>24</v>
      </c>
      <c r="CP170" s="151" t="s">
        <v>4039</v>
      </c>
      <c r="CQ170" s="150">
        <v>5.01</v>
      </c>
      <c r="CR170" s="150">
        <v>1.82</v>
      </c>
      <c r="CS170" s="150" t="s">
        <v>24</v>
      </c>
      <c r="CT170" s="290" t="s">
        <v>24</v>
      </c>
      <c r="CU170" s="291" t="s">
        <v>24</v>
      </c>
      <c r="CV170" s="278" t="s">
        <v>24</v>
      </c>
      <c r="CW170" s="285" t="s">
        <v>24</v>
      </c>
      <c r="CX170" s="151" t="s">
        <v>4044</v>
      </c>
      <c r="CY170" s="266">
        <v>5.21</v>
      </c>
      <c r="CZ170" s="150">
        <v>1.61</v>
      </c>
      <c r="DA170" s="150" t="s">
        <v>24</v>
      </c>
      <c r="DB170" s="151" t="s">
        <v>4048</v>
      </c>
      <c r="DC170" s="150">
        <v>5.42</v>
      </c>
      <c r="DD170" s="150">
        <v>1.63</v>
      </c>
      <c r="DE170" s="150" t="s">
        <v>24</v>
      </c>
      <c r="DF170" s="302" t="s">
        <v>24</v>
      </c>
      <c r="DG170" s="303" t="s">
        <v>24</v>
      </c>
      <c r="DH170" s="150" t="s">
        <v>4040</v>
      </c>
      <c r="DI170" s="150">
        <v>9.44</v>
      </c>
      <c r="DJ170" s="150">
        <v>2.78</v>
      </c>
      <c r="DK170" s="150" t="s">
        <v>24</v>
      </c>
      <c r="DL170" s="150" t="s">
        <v>4045</v>
      </c>
      <c r="DM170" s="150">
        <v>10.11</v>
      </c>
      <c r="DN170" s="150">
        <v>2.65</v>
      </c>
      <c r="DO170" s="150" t="s">
        <v>24</v>
      </c>
      <c r="DP170" s="302" t="s">
        <v>24</v>
      </c>
      <c r="DQ170" s="303" t="s">
        <v>24</v>
      </c>
      <c r="DR170" s="278" t="s">
        <v>24</v>
      </c>
      <c r="DS170" s="279" t="s">
        <v>24</v>
      </c>
      <c r="DT170" s="150" t="s">
        <v>4049</v>
      </c>
      <c r="DU170" s="150">
        <v>9.8800000000000008</v>
      </c>
      <c r="DV170" s="150">
        <v>2.69</v>
      </c>
      <c r="DW170" s="150" t="s">
        <v>24</v>
      </c>
      <c r="DX170" s="150" t="s">
        <v>4041</v>
      </c>
      <c r="DY170" s="150">
        <v>9.9600000000000009</v>
      </c>
      <c r="DZ170" s="150">
        <v>2.82</v>
      </c>
      <c r="EA170" s="150" t="s">
        <v>24</v>
      </c>
      <c r="EB170" s="303" t="s">
        <v>24</v>
      </c>
      <c r="EC170" s="303" t="s">
        <v>24</v>
      </c>
      <c r="ED170" s="151" t="s">
        <v>4046</v>
      </c>
      <c r="EE170" s="150">
        <v>10.44</v>
      </c>
      <c r="EF170" s="150">
        <v>2.57</v>
      </c>
      <c r="EG170" s="150" t="s">
        <v>24</v>
      </c>
      <c r="EH170" s="151" t="s">
        <v>4050</v>
      </c>
      <c r="EI170" s="150">
        <v>10.73</v>
      </c>
      <c r="EJ170" s="150">
        <v>2.27</v>
      </c>
      <c r="EK170" s="150" t="s">
        <v>24</v>
      </c>
      <c r="EL170" s="303" t="s">
        <v>24</v>
      </c>
      <c r="EM170" s="303" t="s">
        <v>24</v>
      </c>
      <c r="EN170" s="279" t="s">
        <v>24</v>
      </c>
      <c r="EO170" s="150" t="s">
        <v>4042</v>
      </c>
      <c r="EP170" s="150">
        <v>13.81</v>
      </c>
      <c r="EQ170" s="150">
        <v>2.0299999999999998</v>
      </c>
      <c r="ER170" s="150" t="s">
        <v>24</v>
      </c>
      <c r="ES170" s="150" t="s">
        <v>4047</v>
      </c>
      <c r="ET170" s="150">
        <v>13.83</v>
      </c>
      <c r="EU170" s="150">
        <v>2.0099999999999998</v>
      </c>
      <c r="EV170" s="150" t="s">
        <v>24</v>
      </c>
      <c r="EW170" s="303" t="s">
        <v>24</v>
      </c>
      <c r="EX170" s="303" t="s">
        <v>24</v>
      </c>
      <c r="EY170" s="150" t="s">
        <v>4051</v>
      </c>
      <c r="EZ170" s="150">
        <v>13.78</v>
      </c>
      <c r="FA170" s="150">
        <v>1.77</v>
      </c>
      <c r="FB170" s="150" t="s">
        <v>24</v>
      </c>
      <c r="FC170" s="134"/>
      <c r="FD170" s="134"/>
      <c r="FE170" s="134"/>
      <c r="FF170" s="134"/>
      <c r="FG170" s="135"/>
      <c r="FH170" s="135"/>
      <c r="FI170" s="134"/>
      <c r="FJ170" s="134"/>
      <c r="FK170" s="134"/>
      <c r="FL170" s="134"/>
      <c r="FM170" s="134"/>
      <c r="FN170" s="134"/>
      <c r="FO170" s="134"/>
      <c r="FP170" s="134"/>
      <c r="FQ170" s="135"/>
      <c r="FR170" s="135"/>
      <c r="FS170" s="134"/>
      <c r="FT170" s="134"/>
      <c r="FU170" s="134"/>
      <c r="FV170" s="134"/>
      <c r="FW170" s="134"/>
      <c r="FX170" s="134"/>
      <c r="FY170" s="134"/>
      <c r="FZ170" s="134"/>
      <c r="GA170" s="135"/>
      <c r="GB170" s="135"/>
      <c r="GC170" s="134"/>
      <c r="GD170" s="134"/>
      <c r="GE170" s="134"/>
      <c r="GF170" s="134"/>
      <c r="GG170" s="134"/>
      <c r="GH170" s="134"/>
      <c r="GI170" s="134"/>
      <c r="GJ170" s="134"/>
      <c r="GK170" s="135"/>
      <c r="GL170" s="135"/>
      <c r="GM170" s="134"/>
      <c r="GN170" s="134"/>
      <c r="GO170" s="134"/>
      <c r="GP170" s="134"/>
      <c r="GQ170" s="134"/>
      <c r="GR170" s="134"/>
      <c r="GS170" s="134"/>
      <c r="GT170" s="134"/>
      <c r="GU170" s="135"/>
      <c r="GV170" s="135"/>
      <c r="GW170" s="190"/>
      <c r="GX170" s="134"/>
      <c r="GY170" s="134"/>
      <c r="GZ170" s="134"/>
      <c r="HA170" s="134"/>
      <c r="HB170" s="134"/>
      <c r="HC170" s="134"/>
      <c r="HD170" s="134"/>
      <c r="HE170" s="135"/>
      <c r="HF170" s="135"/>
      <c r="HG170" s="134"/>
      <c r="HH170" s="134"/>
      <c r="HI170" s="134"/>
      <c r="HJ170" s="134"/>
      <c r="HK170" s="190"/>
      <c r="HL170" s="134"/>
      <c r="HM170" s="134"/>
      <c r="HN170" s="134"/>
      <c r="HO170" s="135"/>
      <c r="HP170" s="135"/>
      <c r="HQ170" s="190"/>
      <c r="HR170" s="134"/>
      <c r="HS170" s="134"/>
      <c r="HT170" s="134"/>
      <c r="HU170" s="190"/>
      <c r="HV170" s="134"/>
      <c r="HW170" s="134"/>
      <c r="HX170" s="134"/>
      <c r="HY170" s="135"/>
      <c r="HZ170" s="135"/>
      <c r="IA170" s="190"/>
      <c r="IB170" s="134"/>
      <c r="IC170" s="134"/>
      <c r="ID170" s="134"/>
      <c r="IE170" s="190"/>
      <c r="IF170" s="134"/>
      <c r="IG170" s="134"/>
      <c r="IH170" s="134"/>
      <c r="II170" s="135"/>
      <c r="IJ170" s="135"/>
      <c r="IK170" s="190"/>
      <c r="IL170" s="134"/>
      <c r="IM170" s="134"/>
      <c r="IN170" s="134"/>
      <c r="IO170" s="134"/>
      <c r="IP170" s="134"/>
      <c r="IQ170" s="134"/>
      <c r="IR170" s="134"/>
      <c r="IS170" s="135"/>
      <c r="IT170" s="135"/>
      <c r="IU170" s="134"/>
      <c r="IV170" s="134"/>
      <c r="IW170" s="134"/>
      <c r="IX170" s="134"/>
      <c r="IY170" s="134"/>
      <c r="IZ170" s="134"/>
      <c r="JA170" s="134"/>
      <c r="JB170" s="134"/>
      <c r="JC170" s="135"/>
      <c r="JD170" s="135"/>
    </row>
    <row r="171" spans="1:264" customFormat="1" ht="15" customHeight="1">
      <c r="A171" s="118" t="s">
        <v>121</v>
      </c>
      <c r="B171" s="616">
        <v>93</v>
      </c>
      <c r="C171" s="616">
        <v>17</v>
      </c>
      <c r="D171" s="616"/>
      <c r="E171" s="605" t="s">
        <v>1940</v>
      </c>
      <c r="F171" s="140" t="s">
        <v>2159</v>
      </c>
      <c r="G171" s="141">
        <v>2002</v>
      </c>
      <c r="H171" s="118">
        <v>12607144</v>
      </c>
      <c r="I171" s="118">
        <v>1</v>
      </c>
      <c r="J171" s="118"/>
      <c r="K171" s="118"/>
      <c r="L171" s="118">
        <v>1</v>
      </c>
      <c r="M171" s="118"/>
      <c r="N171" s="118">
        <v>1</v>
      </c>
      <c r="O171" s="142">
        <v>1</v>
      </c>
      <c r="P171" s="118" t="s">
        <v>408</v>
      </c>
      <c r="Q171" s="118"/>
      <c r="R171" s="118" t="s">
        <v>25</v>
      </c>
      <c r="S171" s="118">
        <v>1</v>
      </c>
      <c r="T171" s="118"/>
      <c r="U171" s="118"/>
      <c r="V171" s="118"/>
      <c r="W171" s="118"/>
      <c r="X171" s="118"/>
      <c r="Y171" s="118"/>
      <c r="Z171" s="118"/>
      <c r="AA171" s="118"/>
      <c r="AB171" s="118"/>
      <c r="AC171" s="145"/>
      <c r="AD171" s="573">
        <v>1</v>
      </c>
      <c r="AE171" s="573">
        <v>2</v>
      </c>
      <c r="AF171" s="159">
        <v>1</v>
      </c>
      <c r="AG171" s="160"/>
      <c r="AH171" s="122">
        <v>2</v>
      </c>
      <c r="AI171" s="485"/>
      <c r="AJ171" s="204" t="s">
        <v>3991</v>
      </c>
      <c r="AK171" s="192">
        <v>1</v>
      </c>
      <c r="AL171" s="205" t="s">
        <v>24</v>
      </c>
      <c r="AM171" s="122" t="s">
        <v>3990</v>
      </c>
      <c r="AN171" s="122" t="s">
        <v>3989</v>
      </c>
      <c r="AO171" s="122">
        <v>80</v>
      </c>
      <c r="AP171" s="122" t="s">
        <v>803</v>
      </c>
      <c r="AQ171" s="122" t="s">
        <v>803</v>
      </c>
      <c r="AR171" s="122" t="s">
        <v>3992</v>
      </c>
      <c r="AS171" s="122" t="s">
        <v>3993</v>
      </c>
      <c r="AT171" s="122">
        <v>37.950000000000003</v>
      </c>
      <c r="AU171" s="122">
        <v>2.56</v>
      </c>
      <c r="AV171" s="122" t="s">
        <v>3994</v>
      </c>
      <c r="AW171" s="122" t="s">
        <v>24</v>
      </c>
      <c r="AX171" s="122" t="s">
        <v>24</v>
      </c>
      <c r="AY171" s="122" t="s">
        <v>2423</v>
      </c>
      <c r="AZ171" s="122" t="s">
        <v>3835</v>
      </c>
      <c r="BA171" s="122" t="s">
        <v>3995</v>
      </c>
      <c r="BB171" s="588"/>
      <c r="BC171" s="588"/>
      <c r="BD171" s="161"/>
      <c r="BE171" s="161"/>
      <c r="BF171" s="161"/>
      <c r="BG171" s="161"/>
      <c r="BH171" s="161"/>
      <c r="BI171" s="161"/>
      <c r="BJ171" s="161">
        <v>1</v>
      </c>
      <c r="BK171" s="161"/>
      <c r="BL171" s="161"/>
      <c r="BM171" s="161"/>
      <c r="BN171" s="161"/>
      <c r="BO171" s="161"/>
      <c r="BP171" s="161"/>
      <c r="BQ171" s="596" t="s">
        <v>4001</v>
      </c>
      <c r="BR171" s="162" t="s">
        <v>6612</v>
      </c>
      <c r="BS171" s="660"/>
      <c r="BT171" s="150" t="s">
        <v>1876</v>
      </c>
      <c r="BU171" s="150" t="s">
        <v>4003</v>
      </c>
      <c r="BV171" s="150" t="s">
        <v>4005</v>
      </c>
      <c r="BW171" s="150" t="s">
        <v>24</v>
      </c>
      <c r="BX171" s="150"/>
      <c r="BY171" s="150"/>
      <c r="BZ171" s="258" t="s">
        <v>4062</v>
      </c>
      <c r="CA171" s="257">
        <v>0</v>
      </c>
      <c r="CB171" s="151" t="s">
        <v>4029</v>
      </c>
      <c r="CC171" s="150">
        <v>19.600000000000001</v>
      </c>
      <c r="CD171" s="150">
        <v>6.3</v>
      </c>
      <c r="CE171" s="150" t="s">
        <v>24</v>
      </c>
      <c r="CF171" s="151" t="s">
        <v>4031</v>
      </c>
      <c r="CG171" s="150">
        <v>20.56</v>
      </c>
      <c r="CH171" s="150">
        <v>6.06</v>
      </c>
      <c r="CI171" s="150" t="s">
        <v>24</v>
      </c>
      <c r="CJ171" s="290" t="s">
        <v>24</v>
      </c>
      <c r="CK171" s="291" t="s">
        <v>24</v>
      </c>
      <c r="CL171" s="151" t="s">
        <v>4033</v>
      </c>
      <c r="CM171" s="150">
        <v>19.16</v>
      </c>
      <c r="CN171" s="150">
        <v>6.56</v>
      </c>
      <c r="CO171" s="150" t="s">
        <v>24</v>
      </c>
      <c r="CP171" s="151" t="s">
        <v>24</v>
      </c>
      <c r="CQ171" s="150" t="s">
        <v>24</v>
      </c>
      <c r="CR171" s="150" t="s">
        <v>24</v>
      </c>
      <c r="CS171" s="150" t="s">
        <v>24</v>
      </c>
      <c r="CT171" s="290" t="s">
        <v>24</v>
      </c>
      <c r="CU171" s="291" t="s">
        <v>24</v>
      </c>
      <c r="CV171" s="278" t="s">
        <v>24</v>
      </c>
      <c r="CW171" s="285" t="s">
        <v>24</v>
      </c>
      <c r="CX171" s="145" t="s">
        <v>24</v>
      </c>
      <c r="CY171" s="145" t="s">
        <v>24</v>
      </c>
      <c r="CZ171" s="145" t="s">
        <v>24</v>
      </c>
      <c r="DA171" s="145" t="s">
        <v>24</v>
      </c>
      <c r="DB171" s="145" t="s">
        <v>24</v>
      </c>
      <c r="DC171" s="145" t="s">
        <v>24</v>
      </c>
      <c r="DD171" s="145" t="s">
        <v>24</v>
      </c>
      <c r="DE171" s="145" t="s">
        <v>24</v>
      </c>
      <c r="DF171" s="302" t="s">
        <v>24</v>
      </c>
      <c r="DG171" s="303" t="s">
        <v>24</v>
      </c>
      <c r="DH171" s="145" t="s">
        <v>24</v>
      </c>
      <c r="DI171" s="145" t="s">
        <v>24</v>
      </c>
      <c r="DJ171" s="145" t="s">
        <v>24</v>
      </c>
      <c r="DK171" s="145" t="s">
        <v>24</v>
      </c>
      <c r="DL171" s="145" t="s">
        <v>24</v>
      </c>
      <c r="DM171" s="145" t="s">
        <v>24</v>
      </c>
      <c r="DN171" s="145" t="s">
        <v>24</v>
      </c>
      <c r="DO171" s="145" t="s">
        <v>24</v>
      </c>
      <c r="DP171" s="302" t="s">
        <v>24</v>
      </c>
      <c r="DQ171" s="303" t="s">
        <v>24</v>
      </c>
      <c r="DR171" s="278" t="s">
        <v>24</v>
      </c>
      <c r="DS171" s="279" t="s">
        <v>24</v>
      </c>
      <c r="DT171" s="150"/>
      <c r="DU171" s="150"/>
      <c r="DV171" s="150"/>
      <c r="DW171" s="150"/>
      <c r="DX171" s="151"/>
      <c r="DY171" s="150"/>
      <c r="DZ171" s="150"/>
      <c r="EA171" s="150"/>
      <c r="EB171" s="303"/>
      <c r="EC171" s="303"/>
      <c r="ED171" s="151"/>
      <c r="EE171" s="150"/>
      <c r="EF171" s="150"/>
      <c r="EG171" s="150"/>
      <c r="EH171" s="151"/>
      <c r="EI171" s="150"/>
      <c r="EJ171" s="150"/>
      <c r="EK171" s="150"/>
      <c r="EL171" s="303"/>
      <c r="EM171" s="303"/>
      <c r="EN171" s="279"/>
      <c r="EO171" s="150"/>
      <c r="EP171" s="150"/>
      <c r="EQ171" s="150"/>
      <c r="ER171" s="150"/>
      <c r="ES171" s="150"/>
      <c r="ET171" s="150"/>
      <c r="EU171" s="150"/>
      <c r="EV171" s="150"/>
      <c r="EW171" s="303"/>
      <c r="EX171" s="303"/>
      <c r="EY171" s="150"/>
      <c r="EZ171" s="150"/>
      <c r="FA171" s="150"/>
      <c r="FB171" s="150"/>
      <c r="FC171" s="134"/>
      <c r="FD171" s="134"/>
      <c r="FE171" s="134"/>
      <c r="FF171" s="134"/>
      <c r="FG171" s="135"/>
      <c r="FH171" s="135"/>
      <c r="FI171" s="134"/>
      <c r="FJ171" s="134"/>
      <c r="FK171" s="134"/>
      <c r="FL171" s="134"/>
      <c r="FM171" s="134"/>
      <c r="FN171" s="134"/>
      <c r="FO171" s="134"/>
      <c r="FP171" s="134"/>
      <c r="FQ171" s="135"/>
      <c r="FR171" s="135"/>
      <c r="FS171" s="134"/>
      <c r="FT171" s="134"/>
      <c r="FU171" s="134"/>
      <c r="FV171" s="134"/>
      <c r="FW171" s="134"/>
      <c r="FX171" s="134"/>
      <c r="FY171" s="134"/>
      <c r="FZ171" s="134"/>
      <c r="GA171" s="135"/>
      <c r="GB171" s="135"/>
      <c r="GC171" s="134"/>
      <c r="GD171" s="134"/>
      <c r="GE171" s="134"/>
      <c r="GF171" s="134"/>
      <c r="GG171" s="134"/>
      <c r="GH171" s="134"/>
      <c r="GI171" s="134"/>
      <c r="GJ171" s="134"/>
      <c r="GK171" s="135"/>
      <c r="GL171" s="135"/>
      <c r="GM171" s="134"/>
      <c r="GN171" s="134"/>
      <c r="GO171" s="134"/>
      <c r="GP171" s="134"/>
      <c r="GQ171" s="134"/>
      <c r="GR171" s="134"/>
      <c r="GS171" s="134"/>
      <c r="GT171" s="134"/>
      <c r="GU171" s="135"/>
      <c r="GV171" s="135"/>
      <c r="GW171" s="134"/>
      <c r="GX171" s="134"/>
      <c r="GY171" s="134"/>
      <c r="GZ171" s="134"/>
      <c r="HA171" s="134"/>
      <c r="HB171" s="134"/>
      <c r="HC171" s="134"/>
      <c r="HD171" s="134"/>
      <c r="HE171" s="135"/>
      <c r="HF171" s="135"/>
      <c r="HG171" s="134"/>
      <c r="HH171" s="134"/>
      <c r="HI171" s="134"/>
      <c r="HJ171" s="134"/>
      <c r="HK171" s="134"/>
      <c r="HL171" s="134"/>
      <c r="HM171" s="134"/>
      <c r="HN171" s="134"/>
      <c r="HO171" s="135"/>
      <c r="HP171" s="135"/>
      <c r="HQ171" s="134"/>
      <c r="HR171" s="134"/>
      <c r="HS171" s="134"/>
      <c r="HT171" s="134"/>
      <c r="HU171" s="134"/>
      <c r="HV171" s="134"/>
      <c r="HW171" s="134"/>
      <c r="HX171" s="134"/>
      <c r="HY171" s="135"/>
      <c r="HZ171" s="135"/>
      <c r="IA171" s="134"/>
      <c r="IB171" s="134"/>
      <c r="IC171" s="134"/>
      <c r="ID171" s="134"/>
      <c r="IE171" s="134"/>
      <c r="IF171" s="134"/>
      <c r="IG171" s="134"/>
      <c r="IH171" s="134"/>
      <c r="II171" s="135"/>
      <c r="IJ171" s="135"/>
      <c r="IK171" s="134"/>
      <c r="IL171" s="134"/>
      <c r="IM171" s="134"/>
      <c r="IN171" s="134"/>
      <c r="IO171" s="134"/>
      <c r="IP171" s="134"/>
      <c r="IQ171" s="134"/>
      <c r="IR171" s="134"/>
      <c r="IS171" s="135"/>
      <c r="IT171" s="135"/>
      <c r="IU171" s="134"/>
      <c r="IV171" s="134"/>
      <c r="IW171" s="134"/>
      <c r="IX171" s="134"/>
      <c r="IY171" s="134"/>
      <c r="IZ171" s="134"/>
      <c r="JA171" s="134"/>
      <c r="JB171" s="134"/>
      <c r="JC171" s="135"/>
      <c r="JD171" s="135"/>
    </row>
    <row r="172" spans="1:264" customFormat="1" ht="15" customHeight="1">
      <c r="A172" s="79" t="s">
        <v>121</v>
      </c>
      <c r="B172" s="362">
        <v>93</v>
      </c>
      <c r="C172" s="362">
        <v>17</v>
      </c>
      <c r="D172" s="362"/>
      <c r="E172" s="604" t="s">
        <v>1940</v>
      </c>
      <c r="F172" s="124" t="s">
        <v>2159</v>
      </c>
      <c r="G172" s="125">
        <v>2002</v>
      </c>
      <c r="H172" s="79">
        <v>12607144</v>
      </c>
      <c r="I172" s="79">
        <v>1</v>
      </c>
      <c r="J172" s="126"/>
      <c r="K172" s="127"/>
      <c r="L172" s="79">
        <v>1</v>
      </c>
      <c r="M172" s="79"/>
      <c r="N172" s="79">
        <v>1</v>
      </c>
      <c r="O172" s="128">
        <v>1</v>
      </c>
      <c r="P172" s="79" t="s">
        <v>408</v>
      </c>
      <c r="Q172" s="79"/>
      <c r="R172" s="79" t="s">
        <v>25</v>
      </c>
      <c r="S172" s="79">
        <v>1</v>
      </c>
      <c r="T172" s="79"/>
      <c r="U172" s="79"/>
      <c r="V172" s="79"/>
      <c r="W172" s="79"/>
      <c r="X172" s="79"/>
      <c r="Y172" s="79"/>
      <c r="Z172" s="79"/>
      <c r="AA172" s="79"/>
      <c r="AB172" s="79"/>
      <c r="AC172" s="506"/>
      <c r="AD172" s="573">
        <v>1</v>
      </c>
      <c r="AE172" s="573">
        <v>2</v>
      </c>
      <c r="AF172" s="154">
        <v>1</v>
      </c>
      <c r="AG172" s="449"/>
      <c r="AH172" s="121">
        <v>2</v>
      </c>
      <c r="AI172" s="484"/>
      <c r="AJ172" s="535" t="s">
        <v>3991</v>
      </c>
      <c r="AK172" s="192">
        <v>1</v>
      </c>
      <c r="AL172" s="203" t="s">
        <v>24</v>
      </c>
      <c r="AM172" s="121" t="s">
        <v>3990</v>
      </c>
      <c r="AN172" s="121" t="s">
        <v>3989</v>
      </c>
      <c r="AO172" s="121">
        <v>80</v>
      </c>
      <c r="AP172" s="121" t="s">
        <v>803</v>
      </c>
      <c r="AQ172" s="121" t="s">
        <v>803</v>
      </c>
      <c r="AR172" s="121" t="s">
        <v>3992</v>
      </c>
      <c r="AS172" s="121" t="s">
        <v>3993</v>
      </c>
      <c r="AT172" s="121">
        <v>37.950000000000003</v>
      </c>
      <c r="AU172" s="121">
        <v>2.56</v>
      </c>
      <c r="AV172" s="121" t="s">
        <v>3994</v>
      </c>
      <c r="AW172" s="121" t="s">
        <v>24</v>
      </c>
      <c r="AX172" s="121" t="s">
        <v>24</v>
      </c>
      <c r="AY172" s="121" t="s">
        <v>2423</v>
      </c>
      <c r="AZ172" s="121" t="s">
        <v>3835</v>
      </c>
      <c r="BA172" s="121" t="s">
        <v>3995</v>
      </c>
      <c r="BB172" s="594"/>
      <c r="BC172" s="594"/>
      <c r="BD172" s="156"/>
      <c r="BE172" s="156"/>
      <c r="BF172" s="156"/>
      <c r="BG172" s="156"/>
      <c r="BH172" s="156"/>
      <c r="BI172" s="156"/>
      <c r="BJ172" s="156"/>
      <c r="BK172" s="156"/>
      <c r="BL172" s="156"/>
      <c r="BM172" s="156"/>
      <c r="BN172" s="156">
        <v>1</v>
      </c>
      <c r="BO172" s="156"/>
      <c r="BP172" s="156"/>
      <c r="BQ172" s="595" t="s">
        <v>3996</v>
      </c>
      <c r="BR172" s="157"/>
      <c r="BS172" s="660"/>
      <c r="BT172" s="134" t="s">
        <v>1876</v>
      </c>
      <c r="BU172" s="134" t="s">
        <v>4003</v>
      </c>
      <c r="BV172" s="134" t="s">
        <v>4053</v>
      </c>
      <c r="BW172" s="134" t="s">
        <v>24</v>
      </c>
      <c r="BX172" s="134" t="s">
        <v>4018</v>
      </c>
      <c r="BY172" s="134"/>
      <c r="BZ172" s="259" t="s">
        <v>4063</v>
      </c>
      <c r="CA172" s="454"/>
      <c r="CB172" s="138" t="s">
        <v>4012</v>
      </c>
      <c r="CC172" s="190">
        <v>9.41</v>
      </c>
      <c r="CD172" s="134">
        <v>2.73</v>
      </c>
      <c r="CE172" s="190" t="s">
        <v>24</v>
      </c>
      <c r="CF172" s="138" t="s">
        <v>4014</v>
      </c>
      <c r="CG172" s="134">
        <v>9.68</v>
      </c>
      <c r="CH172" s="134">
        <v>2.67</v>
      </c>
      <c r="CI172" s="134" t="s">
        <v>24</v>
      </c>
      <c r="CJ172" s="288" t="s">
        <v>24</v>
      </c>
      <c r="CK172" s="289" t="s">
        <v>24</v>
      </c>
      <c r="CL172" s="138" t="s">
        <v>4015</v>
      </c>
      <c r="CM172" s="134">
        <v>9.64</v>
      </c>
      <c r="CN172" s="134">
        <v>2.42</v>
      </c>
      <c r="CO172" s="134" t="s">
        <v>24</v>
      </c>
      <c r="CP172" s="456" t="s">
        <v>4013</v>
      </c>
      <c r="CQ172" s="134">
        <v>10.32</v>
      </c>
      <c r="CR172" s="134">
        <v>2.56</v>
      </c>
      <c r="CS172" s="134" t="s">
        <v>24</v>
      </c>
      <c r="CT172" s="288" t="s">
        <v>24</v>
      </c>
      <c r="CU172" s="289" t="s">
        <v>24</v>
      </c>
      <c r="CV172" s="276" t="s">
        <v>24</v>
      </c>
      <c r="CW172" s="308" t="s">
        <v>24</v>
      </c>
      <c r="CX172" s="456" t="s">
        <v>4017</v>
      </c>
      <c r="CY172" s="134">
        <v>10.3</v>
      </c>
      <c r="CZ172" s="134">
        <v>3.02</v>
      </c>
      <c r="DA172" s="134" t="s">
        <v>24</v>
      </c>
      <c r="DB172" s="456" t="s">
        <v>4016</v>
      </c>
      <c r="DC172" s="134">
        <v>10.050000000000001</v>
      </c>
      <c r="DD172" s="134">
        <v>2.2000000000000002</v>
      </c>
      <c r="DE172" s="134" t="s">
        <v>24</v>
      </c>
      <c r="DF172" s="300" t="s">
        <v>24</v>
      </c>
      <c r="DG172" s="301" t="s">
        <v>24</v>
      </c>
      <c r="DH172" s="456" t="s">
        <v>4059</v>
      </c>
      <c r="DI172" s="190">
        <v>104.42</v>
      </c>
      <c r="DJ172" s="134">
        <v>21.61</v>
      </c>
      <c r="DK172" s="134" t="s">
        <v>24</v>
      </c>
      <c r="DL172" s="456" t="s">
        <v>4058</v>
      </c>
      <c r="DM172" s="134">
        <v>105.92</v>
      </c>
      <c r="DN172" s="134">
        <v>25.86</v>
      </c>
      <c r="DO172" s="134" t="s">
        <v>24</v>
      </c>
      <c r="DP172" s="300" t="s">
        <v>24</v>
      </c>
      <c r="DQ172" s="301" t="s">
        <v>24</v>
      </c>
      <c r="DR172" s="276" t="s">
        <v>24</v>
      </c>
      <c r="DS172" s="277" t="s">
        <v>24</v>
      </c>
      <c r="DT172" s="456" t="s">
        <v>4057</v>
      </c>
      <c r="DU172" s="190">
        <v>107.34</v>
      </c>
      <c r="DV172" s="134">
        <v>19.75</v>
      </c>
      <c r="DW172" s="134" t="s">
        <v>24</v>
      </c>
      <c r="DX172" s="138" t="s">
        <v>24</v>
      </c>
      <c r="DY172" s="134" t="s">
        <v>24</v>
      </c>
      <c r="DZ172" s="134" t="s">
        <v>24</v>
      </c>
      <c r="EA172" s="134" t="s">
        <v>24</v>
      </c>
      <c r="EB172" s="301" t="s">
        <v>24</v>
      </c>
      <c r="EC172" s="301" t="s">
        <v>24</v>
      </c>
      <c r="ED172" s="138" t="s">
        <v>4054</v>
      </c>
      <c r="EE172" s="190">
        <v>100.74</v>
      </c>
      <c r="EF172" s="134">
        <v>19.38</v>
      </c>
      <c r="EG172" s="134" t="s">
        <v>24</v>
      </c>
      <c r="EH172" s="138" t="s">
        <v>4055</v>
      </c>
      <c r="EI172" s="134">
        <v>103.69</v>
      </c>
      <c r="EJ172" s="134">
        <v>21.8</v>
      </c>
      <c r="EK172" s="134" t="s">
        <v>24</v>
      </c>
      <c r="EL172" s="301" t="s">
        <v>24</v>
      </c>
      <c r="EM172" s="301" t="s">
        <v>24</v>
      </c>
      <c r="EN172" s="277" t="s">
        <v>24</v>
      </c>
      <c r="EO172" s="134" t="s">
        <v>4056</v>
      </c>
      <c r="EP172" s="134">
        <v>99.96</v>
      </c>
      <c r="EQ172" s="134">
        <v>17.16</v>
      </c>
      <c r="ER172" s="134" t="s">
        <v>24</v>
      </c>
      <c r="ES172" s="134" t="s">
        <v>24</v>
      </c>
      <c r="ET172" s="134" t="s">
        <v>24</v>
      </c>
      <c r="EU172" s="134" t="s">
        <v>24</v>
      </c>
      <c r="EV172" s="134" t="s">
        <v>24</v>
      </c>
      <c r="EW172" s="301" t="s">
        <v>4060</v>
      </c>
      <c r="EX172" s="301" t="s">
        <v>4061</v>
      </c>
      <c r="EY172" s="134"/>
      <c r="EZ172" s="134"/>
      <c r="FA172" s="134"/>
      <c r="FB172" s="134"/>
      <c r="FC172" s="134"/>
      <c r="FD172" s="134"/>
      <c r="FE172" s="134"/>
      <c r="FF172" s="134"/>
      <c r="FG172" s="135"/>
      <c r="FH172" s="135"/>
      <c r="FI172" s="134"/>
      <c r="FJ172" s="134"/>
      <c r="FK172" s="134"/>
      <c r="FL172" s="134"/>
      <c r="FM172" s="134"/>
      <c r="FN172" s="134"/>
      <c r="FO172" s="134"/>
      <c r="FP172" s="134"/>
      <c r="FQ172" s="135"/>
      <c r="FR172" s="135"/>
      <c r="FS172" s="134"/>
      <c r="FT172" s="134"/>
      <c r="FU172" s="134"/>
      <c r="FV172" s="134"/>
      <c r="FW172" s="134"/>
      <c r="FX172" s="134"/>
      <c r="FY172" s="134"/>
      <c r="FZ172" s="134"/>
      <c r="GA172" s="135"/>
      <c r="GB172" s="135"/>
      <c r="GC172" s="134"/>
      <c r="GD172" s="134"/>
      <c r="GE172" s="134"/>
      <c r="GF172" s="134"/>
      <c r="GG172" s="134"/>
      <c r="GH172" s="134"/>
      <c r="GI172" s="134"/>
      <c r="GJ172" s="134"/>
      <c r="GK172" s="135"/>
      <c r="GL172" s="135"/>
      <c r="GM172" s="134"/>
      <c r="GN172" s="134"/>
      <c r="GO172" s="134"/>
      <c r="GP172" s="134"/>
      <c r="GQ172" s="134"/>
      <c r="GR172" s="134"/>
      <c r="GS172" s="134"/>
      <c r="GT172" s="134"/>
      <c r="GU172" s="135"/>
      <c r="GV172" s="135"/>
      <c r="GW172" s="134"/>
      <c r="GX172" s="134"/>
      <c r="GY172" s="134"/>
      <c r="GZ172" s="134"/>
      <c r="HA172" s="134"/>
      <c r="HB172" s="134"/>
      <c r="HC172" s="134"/>
      <c r="HD172" s="134"/>
      <c r="HE172" s="135"/>
      <c r="HF172" s="135"/>
      <c r="HG172" s="134"/>
      <c r="HH172" s="134"/>
      <c r="HI172" s="134"/>
      <c r="HJ172" s="134"/>
      <c r="HK172" s="134"/>
      <c r="HL172" s="134"/>
      <c r="HM172" s="134"/>
      <c r="HN172" s="134"/>
      <c r="HO172" s="135"/>
      <c r="HP172" s="135"/>
      <c r="HQ172" s="134"/>
      <c r="HR172" s="134"/>
      <c r="HS172" s="134"/>
      <c r="HT172" s="134"/>
      <c r="HU172" s="134"/>
      <c r="HV172" s="134"/>
      <c r="HW172" s="134"/>
      <c r="HX172" s="134"/>
      <c r="HY172" s="135"/>
      <c r="HZ172" s="135"/>
      <c r="IA172" s="134"/>
      <c r="IB172" s="134"/>
      <c r="IC172" s="134"/>
      <c r="ID172" s="134"/>
      <c r="IE172" s="134"/>
      <c r="IF172" s="134"/>
      <c r="IG172" s="134"/>
      <c r="IH172" s="134"/>
      <c r="II172" s="135"/>
      <c r="IJ172" s="135"/>
      <c r="IK172" s="134"/>
      <c r="IL172" s="134"/>
      <c r="IM172" s="134"/>
      <c r="IN172" s="134"/>
      <c r="IO172" s="134"/>
      <c r="IP172" s="134"/>
      <c r="IQ172" s="134"/>
      <c r="IR172" s="134"/>
      <c r="IS172" s="135"/>
      <c r="IT172" s="135"/>
      <c r="IU172" s="134"/>
      <c r="IV172" s="134"/>
      <c r="IW172" s="134"/>
      <c r="IX172" s="134"/>
      <c r="IY172" s="134"/>
      <c r="IZ172" s="134"/>
      <c r="JA172" s="134"/>
      <c r="JB172" s="134"/>
      <c r="JC172" s="135"/>
      <c r="JD172" s="135"/>
    </row>
    <row r="173" spans="1:264" customFormat="1" ht="15" customHeight="1">
      <c r="A173" s="118" t="s">
        <v>121</v>
      </c>
      <c r="B173" s="616">
        <v>93</v>
      </c>
      <c r="C173" s="616">
        <v>17</v>
      </c>
      <c r="D173" s="616"/>
      <c r="E173" s="605" t="s">
        <v>1940</v>
      </c>
      <c r="F173" s="140" t="s">
        <v>2159</v>
      </c>
      <c r="G173" s="141">
        <v>2002</v>
      </c>
      <c r="H173" s="118">
        <v>12607144</v>
      </c>
      <c r="I173" s="118">
        <v>1</v>
      </c>
      <c r="J173" s="118"/>
      <c r="K173" s="118"/>
      <c r="L173" s="118">
        <v>1</v>
      </c>
      <c r="M173" s="118"/>
      <c r="N173" s="118">
        <v>1</v>
      </c>
      <c r="O173" s="142">
        <v>1</v>
      </c>
      <c r="P173" s="118" t="s">
        <v>408</v>
      </c>
      <c r="Q173" s="118"/>
      <c r="R173" s="118" t="s">
        <v>25</v>
      </c>
      <c r="S173" s="118">
        <v>1</v>
      </c>
      <c r="T173" s="118"/>
      <c r="U173" s="118"/>
      <c r="V173" s="118"/>
      <c r="W173" s="118"/>
      <c r="X173" s="118"/>
      <c r="Y173" s="118"/>
      <c r="Z173" s="118"/>
      <c r="AA173" s="118"/>
      <c r="AB173" s="118"/>
      <c r="AC173" s="145"/>
      <c r="AD173" s="573">
        <v>1</v>
      </c>
      <c r="AE173" s="573">
        <v>2</v>
      </c>
      <c r="AF173" s="159">
        <v>1</v>
      </c>
      <c r="AG173" s="160"/>
      <c r="AH173" s="122">
        <v>2</v>
      </c>
      <c r="AI173" s="485"/>
      <c r="AJ173" s="204" t="s">
        <v>3991</v>
      </c>
      <c r="AK173" s="192">
        <v>1</v>
      </c>
      <c r="AL173" s="205" t="s">
        <v>24</v>
      </c>
      <c r="AM173" s="122" t="s">
        <v>3990</v>
      </c>
      <c r="AN173" s="122" t="s">
        <v>3989</v>
      </c>
      <c r="AO173" s="122">
        <v>80</v>
      </c>
      <c r="AP173" s="122" t="s">
        <v>803</v>
      </c>
      <c r="AQ173" s="122" t="s">
        <v>803</v>
      </c>
      <c r="AR173" s="122" t="s">
        <v>3992</v>
      </c>
      <c r="AS173" s="122" t="s">
        <v>3993</v>
      </c>
      <c r="AT173" s="122">
        <v>37.950000000000003</v>
      </c>
      <c r="AU173" s="122">
        <v>2.56</v>
      </c>
      <c r="AV173" s="122" t="s">
        <v>3994</v>
      </c>
      <c r="AW173" s="122" t="s">
        <v>24</v>
      </c>
      <c r="AX173" s="122" t="s">
        <v>24</v>
      </c>
      <c r="AY173" s="122" t="s">
        <v>2423</v>
      </c>
      <c r="AZ173" s="122" t="s">
        <v>3835</v>
      </c>
      <c r="BA173" s="122" t="s">
        <v>3995</v>
      </c>
      <c r="BB173" s="588"/>
      <c r="BC173" s="588"/>
      <c r="BD173" s="161"/>
      <c r="BE173" s="161"/>
      <c r="BF173" s="161"/>
      <c r="BG173" s="161"/>
      <c r="BH173" s="161"/>
      <c r="BI173" s="161"/>
      <c r="BJ173" s="161"/>
      <c r="BK173" s="161"/>
      <c r="BL173" s="161"/>
      <c r="BM173" s="161"/>
      <c r="BN173" s="161"/>
      <c r="BO173" s="161">
        <v>1</v>
      </c>
      <c r="BP173" s="161"/>
      <c r="BQ173" s="596" t="s">
        <v>3998</v>
      </c>
      <c r="BR173" s="162"/>
      <c r="BS173" s="660"/>
      <c r="BT173" s="150" t="s">
        <v>1876</v>
      </c>
      <c r="BU173" s="150" t="s">
        <v>4003</v>
      </c>
      <c r="BV173" s="150" t="s">
        <v>4004</v>
      </c>
      <c r="BW173" s="150" t="s">
        <v>24</v>
      </c>
      <c r="BX173" s="150" t="s">
        <v>4019</v>
      </c>
      <c r="BY173" s="150"/>
      <c r="BZ173" s="258" t="s">
        <v>4062</v>
      </c>
      <c r="CA173" s="257"/>
      <c r="CB173" s="167" t="s">
        <v>4020</v>
      </c>
      <c r="CC173" s="150">
        <v>34.25</v>
      </c>
      <c r="CD173" s="150">
        <v>10.78</v>
      </c>
      <c r="CE173" s="150" t="s">
        <v>24</v>
      </c>
      <c r="CF173" s="167" t="s">
        <v>4021</v>
      </c>
      <c r="CG173" s="150">
        <v>33.56</v>
      </c>
      <c r="CH173" s="150">
        <v>10.7</v>
      </c>
      <c r="CI173" s="150" t="s">
        <v>24</v>
      </c>
      <c r="CJ173" s="290" t="s">
        <v>24</v>
      </c>
      <c r="CK173" s="291" t="s">
        <v>24</v>
      </c>
      <c r="CL173" s="167" t="s">
        <v>4022</v>
      </c>
      <c r="CM173" s="150">
        <v>34.03</v>
      </c>
      <c r="CN173" s="150">
        <v>10.36</v>
      </c>
      <c r="CO173" s="150" t="s">
        <v>24</v>
      </c>
      <c r="CP173" s="167" t="s">
        <v>4023</v>
      </c>
      <c r="CQ173" s="150">
        <v>21.04</v>
      </c>
      <c r="CR173" s="150">
        <v>5.78</v>
      </c>
      <c r="CS173" s="150" t="s">
        <v>24</v>
      </c>
      <c r="CT173" s="290" t="s">
        <v>24</v>
      </c>
      <c r="CU173" s="291" t="s">
        <v>24</v>
      </c>
      <c r="CV173" s="278" t="s">
        <v>24</v>
      </c>
      <c r="CW173" s="285" t="s">
        <v>24</v>
      </c>
      <c r="CX173" s="150" t="s">
        <v>4024</v>
      </c>
      <c r="CY173" s="150">
        <v>20.74</v>
      </c>
      <c r="CZ173" s="150">
        <v>5.05</v>
      </c>
      <c r="DA173" s="150" t="s">
        <v>24</v>
      </c>
      <c r="DB173" s="145" t="s">
        <v>4025</v>
      </c>
      <c r="DC173" s="150">
        <v>21.16</v>
      </c>
      <c r="DD173" s="150">
        <v>5.5</v>
      </c>
      <c r="DE173" s="150" t="s">
        <v>24</v>
      </c>
      <c r="DF173" s="302" t="s">
        <v>24</v>
      </c>
      <c r="DG173" s="303" t="s">
        <v>24</v>
      </c>
      <c r="DH173" s="150" t="s">
        <v>24</v>
      </c>
      <c r="DI173" s="150" t="s">
        <v>24</v>
      </c>
      <c r="DJ173" s="150" t="s">
        <v>24</v>
      </c>
      <c r="DK173" s="150" t="s">
        <v>24</v>
      </c>
      <c r="DL173" s="150" t="s">
        <v>24</v>
      </c>
      <c r="DM173" s="150" t="s">
        <v>24</v>
      </c>
      <c r="DN173" s="150" t="s">
        <v>24</v>
      </c>
      <c r="DO173" s="150" t="s">
        <v>24</v>
      </c>
      <c r="DP173" s="302" t="s">
        <v>24</v>
      </c>
      <c r="DQ173" s="303" t="s">
        <v>24</v>
      </c>
      <c r="DR173" s="278" t="s">
        <v>24</v>
      </c>
      <c r="DS173" s="279" t="s">
        <v>24</v>
      </c>
      <c r="DT173" s="150"/>
      <c r="DU173" s="150"/>
      <c r="DV173" s="150"/>
      <c r="DW173" s="150"/>
      <c r="DX173" s="151"/>
      <c r="DY173" s="150"/>
      <c r="DZ173" s="150"/>
      <c r="EA173" s="150"/>
      <c r="EB173" s="303"/>
      <c r="EC173" s="303"/>
      <c r="ED173" s="151"/>
      <c r="EE173" s="150"/>
      <c r="EF173" s="150"/>
      <c r="EG173" s="150"/>
      <c r="EH173" s="151"/>
      <c r="EI173" s="150"/>
      <c r="EJ173" s="150"/>
      <c r="EK173" s="150"/>
      <c r="EL173" s="303"/>
      <c r="EM173" s="303"/>
      <c r="EN173" s="279"/>
      <c r="EO173" s="150"/>
      <c r="EP173" s="150"/>
      <c r="EQ173" s="150"/>
      <c r="ER173" s="150"/>
      <c r="ES173" s="150"/>
      <c r="ET173" s="150"/>
      <c r="EU173" s="150"/>
      <c r="EV173" s="150"/>
      <c r="EW173" s="303"/>
      <c r="EX173" s="303"/>
      <c r="EY173" s="150"/>
      <c r="EZ173" s="150"/>
      <c r="FA173" s="150"/>
      <c r="FB173" s="150"/>
      <c r="FC173" s="134"/>
      <c r="FD173" s="134"/>
      <c r="FE173" s="134"/>
      <c r="FF173" s="134"/>
      <c r="FG173" s="135"/>
      <c r="FH173" s="135"/>
      <c r="FI173" s="134"/>
      <c r="FJ173" s="134"/>
      <c r="FK173" s="134"/>
      <c r="FL173" s="134"/>
      <c r="FM173" s="134"/>
      <c r="FN173" s="134"/>
      <c r="FO173" s="134"/>
      <c r="FP173" s="134"/>
      <c r="FQ173" s="135"/>
      <c r="FR173" s="135"/>
      <c r="FS173" s="134"/>
      <c r="FT173" s="134"/>
      <c r="FU173" s="134"/>
      <c r="FV173" s="134"/>
      <c r="FW173" s="134"/>
      <c r="FX173" s="134"/>
      <c r="FY173" s="134"/>
      <c r="FZ173" s="134"/>
      <c r="GA173" s="135"/>
      <c r="GB173" s="135"/>
      <c r="GC173" s="134"/>
      <c r="GD173" s="134"/>
      <c r="GE173" s="134"/>
      <c r="GF173" s="134"/>
      <c r="GG173" s="134"/>
      <c r="GH173" s="134"/>
      <c r="GI173" s="134"/>
      <c r="GJ173" s="134"/>
      <c r="GK173" s="135"/>
      <c r="GL173" s="135"/>
      <c r="GM173" s="134"/>
      <c r="GN173" s="134"/>
      <c r="GO173" s="134"/>
      <c r="GP173" s="134"/>
      <c r="GQ173" s="134"/>
      <c r="GR173" s="134"/>
      <c r="GS173" s="134"/>
      <c r="GT173" s="134"/>
      <c r="GU173" s="135"/>
      <c r="GV173" s="135"/>
      <c r="GW173" s="134"/>
      <c r="GX173" s="134"/>
      <c r="GY173" s="134"/>
      <c r="GZ173" s="134"/>
      <c r="HA173" s="134"/>
      <c r="HB173" s="134"/>
      <c r="HC173" s="134"/>
      <c r="HD173" s="134"/>
      <c r="HE173" s="135"/>
      <c r="HF173" s="135"/>
      <c r="HG173" s="134"/>
      <c r="HH173" s="134"/>
      <c r="HI173" s="134"/>
      <c r="HJ173" s="134"/>
      <c r="HK173" s="134"/>
      <c r="HL173" s="134"/>
      <c r="HM173" s="134"/>
      <c r="HN173" s="134"/>
      <c r="HO173" s="135"/>
      <c r="HP173" s="135"/>
      <c r="HQ173" s="134"/>
      <c r="HR173" s="134"/>
      <c r="HS173" s="134"/>
      <c r="HT173" s="134"/>
      <c r="HU173" s="134"/>
      <c r="HV173" s="134"/>
      <c r="HW173" s="134"/>
      <c r="HX173" s="134"/>
      <c r="HY173" s="135"/>
      <c r="HZ173" s="135"/>
      <c r="IA173" s="134"/>
      <c r="IB173" s="134"/>
      <c r="IC173" s="134"/>
      <c r="ID173" s="134"/>
      <c r="IE173" s="134"/>
      <c r="IF173" s="134"/>
      <c r="IG173" s="134"/>
      <c r="IH173" s="134"/>
      <c r="II173" s="135"/>
      <c r="IJ173" s="135"/>
      <c r="IK173" s="134"/>
      <c r="IL173" s="134"/>
      <c r="IM173" s="134"/>
      <c r="IN173" s="134"/>
      <c r="IO173" s="134"/>
      <c r="IP173" s="134"/>
      <c r="IQ173" s="134"/>
      <c r="IR173" s="134"/>
      <c r="IS173" s="135"/>
      <c r="IT173" s="135"/>
      <c r="IU173" s="134"/>
      <c r="IV173" s="134"/>
      <c r="IW173" s="134"/>
      <c r="IX173" s="134"/>
      <c r="IY173" s="134"/>
      <c r="IZ173" s="134"/>
      <c r="JA173" s="134"/>
      <c r="JB173" s="134"/>
      <c r="JC173" s="135"/>
      <c r="JD173" s="135"/>
    </row>
    <row r="174" spans="1:264" customFormat="1" ht="15" customHeight="1">
      <c r="A174" s="118" t="s">
        <v>121</v>
      </c>
      <c r="B174" s="616">
        <v>93</v>
      </c>
      <c r="C174" s="616">
        <v>17</v>
      </c>
      <c r="D174" s="616"/>
      <c r="E174" s="605" t="s">
        <v>1940</v>
      </c>
      <c r="F174" s="140" t="s">
        <v>2159</v>
      </c>
      <c r="G174" s="141">
        <v>2002</v>
      </c>
      <c r="H174" s="118">
        <v>12607144</v>
      </c>
      <c r="I174" s="118">
        <v>1</v>
      </c>
      <c r="J174" s="118"/>
      <c r="K174" s="118"/>
      <c r="L174" s="118">
        <v>1</v>
      </c>
      <c r="M174" s="118"/>
      <c r="N174" s="118">
        <v>1</v>
      </c>
      <c r="O174" s="142">
        <v>1</v>
      </c>
      <c r="P174" s="118" t="s">
        <v>408</v>
      </c>
      <c r="Q174" s="118"/>
      <c r="R174" s="118" t="s">
        <v>25</v>
      </c>
      <c r="S174" s="118">
        <v>1</v>
      </c>
      <c r="T174" s="118"/>
      <c r="U174" s="118"/>
      <c r="V174" s="118"/>
      <c r="W174" s="118"/>
      <c r="X174" s="118"/>
      <c r="Y174" s="118"/>
      <c r="Z174" s="118"/>
      <c r="AA174" s="118"/>
      <c r="AB174" s="118"/>
      <c r="AC174" s="145"/>
      <c r="AD174" s="573">
        <v>1</v>
      </c>
      <c r="AE174" s="573">
        <v>2</v>
      </c>
      <c r="AF174" s="159">
        <v>1</v>
      </c>
      <c r="AG174" s="160"/>
      <c r="AH174" s="122">
        <v>2</v>
      </c>
      <c r="AI174" s="485"/>
      <c r="AJ174" s="204" t="s">
        <v>3991</v>
      </c>
      <c r="AK174" s="192">
        <v>1</v>
      </c>
      <c r="AL174" s="205" t="s">
        <v>24</v>
      </c>
      <c r="AM174" s="122" t="s">
        <v>3990</v>
      </c>
      <c r="AN174" s="122" t="s">
        <v>3989</v>
      </c>
      <c r="AO174" s="122">
        <v>80</v>
      </c>
      <c r="AP174" s="122" t="s">
        <v>803</v>
      </c>
      <c r="AQ174" s="122" t="s">
        <v>803</v>
      </c>
      <c r="AR174" s="122" t="s">
        <v>3992</v>
      </c>
      <c r="AS174" s="122" t="s">
        <v>3993</v>
      </c>
      <c r="AT174" s="122">
        <v>37.950000000000003</v>
      </c>
      <c r="AU174" s="122">
        <v>2.56</v>
      </c>
      <c r="AV174" s="122" t="s">
        <v>3994</v>
      </c>
      <c r="AW174" s="122" t="s">
        <v>24</v>
      </c>
      <c r="AX174" s="122" t="s">
        <v>24</v>
      </c>
      <c r="AY174" s="122" t="s">
        <v>2423</v>
      </c>
      <c r="AZ174" s="122" t="s">
        <v>3835</v>
      </c>
      <c r="BA174" s="122" t="s">
        <v>3995</v>
      </c>
      <c r="BB174" s="588"/>
      <c r="BC174" s="588"/>
      <c r="BD174" s="161"/>
      <c r="BE174" s="161"/>
      <c r="BF174" s="161">
        <v>1</v>
      </c>
      <c r="BG174" s="161"/>
      <c r="BH174" s="161"/>
      <c r="BI174" s="161"/>
      <c r="BJ174" s="161"/>
      <c r="BK174" s="161"/>
      <c r="BL174" s="161"/>
      <c r="BM174" s="161"/>
      <c r="BN174" s="161"/>
      <c r="BO174" s="161"/>
      <c r="BP174" s="161"/>
      <c r="BQ174" s="596" t="s">
        <v>1889</v>
      </c>
      <c r="BR174" s="162"/>
      <c r="BS174" s="660"/>
      <c r="BT174" s="150" t="s">
        <v>1876</v>
      </c>
      <c r="BU174" s="150" t="s">
        <v>4003</v>
      </c>
      <c r="BV174" s="150" t="s">
        <v>4011</v>
      </c>
      <c r="BW174" s="150" t="s">
        <v>24</v>
      </c>
      <c r="BX174" s="150" t="s">
        <v>4006</v>
      </c>
      <c r="BY174" s="150"/>
      <c r="BZ174" s="541" t="s">
        <v>4062</v>
      </c>
      <c r="CA174" s="257"/>
      <c r="CB174" s="151" t="s">
        <v>4026</v>
      </c>
      <c r="CC174" s="150">
        <v>37.770000000000003</v>
      </c>
      <c r="CD174" s="150">
        <v>10.37</v>
      </c>
      <c r="CE174" s="150" t="s">
        <v>24</v>
      </c>
      <c r="CF174" s="151" t="s">
        <v>4027</v>
      </c>
      <c r="CG174" s="150">
        <v>38.51</v>
      </c>
      <c r="CH174" s="150">
        <v>10.06</v>
      </c>
      <c r="CI174" s="150" t="s">
        <v>24</v>
      </c>
      <c r="CJ174" s="290" t="s">
        <v>24</v>
      </c>
      <c r="CK174" s="291" t="s">
        <v>24</v>
      </c>
      <c r="CL174" s="151" t="s">
        <v>4028</v>
      </c>
      <c r="CM174" s="150">
        <v>37.880000000000003</v>
      </c>
      <c r="CN174" s="150">
        <v>12.06</v>
      </c>
      <c r="CO174" s="150" t="s">
        <v>24</v>
      </c>
      <c r="CP174" s="167" t="s">
        <v>24</v>
      </c>
      <c r="CQ174" s="150" t="s">
        <v>24</v>
      </c>
      <c r="CR174" s="150" t="s">
        <v>24</v>
      </c>
      <c r="CS174" s="150" t="s">
        <v>24</v>
      </c>
      <c r="CT174" s="290" t="s">
        <v>24</v>
      </c>
      <c r="CU174" s="291" t="s">
        <v>24</v>
      </c>
      <c r="CV174" s="278" t="s">
        <v>24</v>
      </c>
      <c r="CW174" s="285" t="s">
        <v>24</v>
      </c>
      <c r="CX174" s="151" t="s">
        <v>24</v>
      </c>
      <c r="CY174" s="150" t="s">
        <v>24</v>
      </c>
      <c r="CZ174" s="150" t="s">
        <v>24</v>
      </c>
      <c r="DA174" s="150" t="s">
        <v>24</v>
      </c>
      <c r="DB174" s="150" t="s">
        <v>24</v>
      </c>
      <c r="DC174" s="150" t="s">
        <v>24</v>
      </c>
      <c r="DD174" s="150" t="s">
        <v>24</v>
      </c>
      <c r="DE174" s="150" t="s">
        <v>24</v>
      </c>
      <c r="DF174" s="302" t="s">
        <v>24</v>
      </c>
      <c r="DG174" s="303" t="s">
        <v>24</v>
      </c>
      <c r="DH174" s="150" t="s">
        <v>24</v>
      </c>
      <c r="DI174" s="150" t="s">
        <v>24</v>
      </c>
      <c r="DJ174" s="150" t="s">
        <v>24</v>
      </c>
      <c r="DK174" s="150" t="s">
        <v>24</v>
      </c>
      <c r="DL174" s="150" t="s">
        <v>24</v>
      </c>
      <c r="DM174" s="150" t="s">
        <v>24</v>
      </c>
      <c r="DN174" s="150" t="s">
        <v>24</v>
      </c>
      <c r="DO174" s="150" t="s">
        <v>24</v>
      </c>
      <c r="DP174" s="302" t="s">
        <v>24</v>
      </c>
      <c r="DQ174" s="303" t="s">
        <v>24</v>
      </c>
      <c r="DR174" s="278" t="s">
        <v>24</v>
      </c>
      <c r="DS174" s="279" t="s">
        <v>24</v>
      </c>
      <c r="DT174" s="150"/>
      <c r="DU174" s="150"/>
      <c r="DV174" s="150"/>
      <c r="DW174" s="150"/>
      <c r="DX174" s="151"/>
      <c r="DY174" s="150"/>
      <c r="DZ174" s="150"/>
      <c r="EA174" s="150"/>
      <c r="EB174" s="303"/>
      <c r="EC174" s="303"/>
      <c r="ED174" s="151"/>
      <c r="EE174" s="150"/>
      <c r="EF174" s="150"/>
      <c r="EG174" s="150"/>
      <c r="EH174" s="151"/>
      <c r="EI174" s="150"/>
      <c r="EJ174" s="150"/>
      <c r="EK174" s="150"/>
      <c r="EL174" s="303"/>
      <c r="EM174" s="303"/>
      <c r="EN174" s="279"/>
      <c r="EO174" s="150"/>
      <c r="EP174" s="150"/>
      <c r="EQ174" s="150"/>
      <c r="ER174" s="150"/>
      <c r="ES174" s="150"/>
      <c r="ET174" s="150"/>
      <c r="EU174" s="150"/>
      <c r="EV174" s="150"/>
      <c r="EW174" s="303"/>
      <c r="EX174" s="303"/>
      <c r="EY174" s="150"/>
      <c r="EZ174" s="150"/>
      <c r="FA174" s="150"/>
      <c r="FB174" s="150"/>
      <c r="FC174" s="134"/>
      <c r="FD174" s="134"/>
      <c r="FE174" s="134"/>
      <c r="FF174" s="134"/>
      <c r="FG174" s="135"/>
      <c r="FH174" s="135"/>
      <c r="FI174" s="134"/>
      <c r="FJ174" s="134"/>
      <c r="FK174" s="134"/>
      <c r="FL174" s="134"/>
      <c r="FM174" s="134"/>
      <c r="FN174" s="134"/>
      <c r="FO174" s="134"/>
      <c r="FP174" s="134"/>
      <c r="FQ174" s="135"/>
      <c r="FR174" s="135"/>
      <c r="FS174" s="134"/>
      <c r="FT174" s="134"/>
      <c r="FU174" s="134"/>
      <c r="FV174" s="134"/>
      <c r="FW174" s="134"/>
      <c r="FX174" s="134"/>
      <c r="FY174" s="134"/>
      <c r="FZ174" s="134"/>
      <c r="GA174" s="135"/>
      <c r="GB174" s="135"/>
      <c r="GC174" s="134"/>
      <c r="GD174" s="134"/>
      <c r="GE174" s="134"/>
      <c r="GF174" s="134"/>
      <c r="GG174" s="134"/>
      <c r="GH174" s="134"/>
      <c r="GI174" s="134"/>
      <c r="GJ174" s="134"/>
      <c r="GK174" s="135"/>
      <c r="GL174" s="135"/>
      <c r="GM174" s="134"/>
      <c r="GN174" s="134"/>
      <c r="GO174" s="134"/>
      <c r="GP174" s="134"/>
      <c r="GQ174" s="134"/>
      <c r="GR174" s="134"/>
      <c r="GS174" s="134"/>
      <c r="GT174" s="134"/>
      <c r="GU174" s="135"/>
      <c r="GV174" s="135"/>
      <c r="GW174" s="134"/>
      <c r="GX174" s="134"/>
      <c r="GY174" s="134"/>
      <c r="GZ174" s="134"/>
      <c r="HA174" s="134"/>
      <c r="HB174" s="134"/>
      <c r="HC174" s="134"/>
      <c r="HD174" s="134"/>
      <c r="HE174" s="135"/>
      <c r="HF174" s="135"/>
      <c r="HG174" s="134"/>
      <c r="HH174" s="134"/>
      <c r="HI174" s="134"/>
      <c r="HJ174" s="134"/>
      <c r="HK174" s="134"/>
      <c r="HL174" s="134"/>
      <c r="HM174" s="134"/>
      <c r="HN174" s="134"/>
      <c r="HO174" s="135"/>
      <c r="HP174" s="135"/>
      <c r="HQ174" s="134"/>
      <c r="HR174" s="134"/>
      <c r="HS174" s="134"/>
      <c r="HT174" s="134"/>
      <c r="HU174" s="134"/>
      <c r="HV174" s="134"/>
      <c r="HW174" s="134"/>
      <c r="HX174" s="134"/>
      <c r="HY174" s="135"/>
      <c r="HZ174" s="135"/>
      <c r="IA174" s="134"/>
      <c r="IB174" s="134"/>
      <c r="IC174" s="134"/>
      <c r="ID174" s="134"/>
      <c r="IE174" s="134"/>
      <c r="IF174" s="134"/>
      <c r="IG174" s="134"/>
      <c r="IH174" s="134"/>
      <c r="II174" s="135"/>
      <c r="IJ174" s="135"/>
      <c r="IK174" s="134"/>
      <c r="IL174" s="134"/>
      <c r="IM174" s="134"/>
      <c r="IN174" s="134"/>
      <c r="IO174" s="134"/>
      <c r="IP174" s="134"/>
      <c r="IQ174" s="134"/>
      <c r="IR174" s="134"/>
      <c r="IS174" s="135"/>
      <c r="IT174" s="135"/>
      <c r="IU174" s="134"/>
      <c r="IV174" s="134"/>
      <c r="IW174" s="134"/>
      <c r="IX174" s="134"/>
      <c r="IY174" s="134"/>
      <c r="IZ174" s="134"/>
      <c r="JA174" s="134"/>
      <c r="JB174" s="134"/>
      <c r="JC174" s="135"/>
      <c r="JD174" s="135"/>
    </row>
    <row r="175" spans="1:264" customFormat="1" ht="15" customHeight="1">
      <c r="A175" s="118" t="s">
        <v>121</v>
      </c>
      <c r="B175" s="616">
        <v>93</v>
      </c>
      <c r="C175" s="616">
        <v>17</v>
      </c>
      <c r="D175" s="616"/>
      <c r="E175" s="605" t="s">
        <v>1940</v>
      </c>
      <c r="F175" s="140" t="s">
        <v>2159</v>
      </c>
      <c r="G175" s="141">
        <v>2002</v>
      </c>
      <c r="H175" s="118">
        <v>12607144</v>
      </c>
      <c r="I175" s="118">
        <v>1</v>
      </c>
      <c r="J175" s="118"/>
      <c r="K175" s="118"/>
      <c r="L175" s="118">
        <v>1</v>
      </c>
      <c r="M175" s="118"/>
      <c r="N175" s="118">
        <v>1</v>
      </c>
      <c r="O175" s="142">
        <v>1</v>
      </c>
      <c r="P175" s="118" t="s">
        <v>408</v>
      </c>
      <c r="Q175" s="118"/>
      <c r="R175" s="118" t="s">
        <v>25</v>
      </c>
      <c r="S175" s="118">
        <v>1</v>
      </c>
      <c r="T175" s="118"/>
      <c r="U175" s="118"/>
      <c r="V175" s="118"/>
      <c r="W175" s="118"/>
      <c r="X175" s="118"/>
      <c r="Y175" s="118"/>
      <c r="Z175" s="118"/>
      <c r="AA175" s="118"/>
      <c r="AB175" s="118"/>
      <c r="AC175" s="145"/>
      <c r="AD175" s="573">
        <v>1</v>
      </c>
      <c r="AE175" s="573">
        <v>2</v>
      </c>
      <c r="AF175" s="159">
        <v>1</v>
      </c>
      <c r="AG175" s="160"/>
      <c r="AH175" s="122">
        <v>2</v>
      </c>
      <c r="AI175" s="485"/>
      <c r="AJ175" s="204" t="s">
        <v>3991</v>
      </c>
      <c r="AK175" s="192">
        <v>1</v>
      </c>
      <c r="AL175" s="205" t="s">
        <v>24</v>
      </c>
      <c r="AM175" s="122" t="s">
        <v>3990</v>
      </c>
      <c r="AN175" s="122" t="s">
        <v>3989</v>
      </c>
      <c r="AO175" s="122">
        <v>80</v>
      </c>
      <c r="AP175" s="122" t="s">
        <v>803</v>
      </c>
      <c r="AQ175" s="122" t="s">
        <v>803</v>
      </c>
      <c r="AR175" s="122" t="s">
        <v>3992</v>
      </c>
      <c r="AS175" s="122" t="s">
        <v>3993</v>
      </c>
      <c r="AT175" s="122">
        <v>37.950000000000003</v>
      </c>
      <c r="AU175" s="122">
        <v>2.56</v>
      </c>
      <c r="AV175" s="122" t="s">
        <v>3994</v>
      </c>
      <c r="AW175" s="122" t="s">
        <v>24</v>
      </c>
      <c r="AX175" s="122" t="s">
        <v>24</v>
      </c>
      <c r="AY175" s="122" t="s">
        <v>2423</v>
      </c>
      <c r="AZ175" s="122" t="s">
        <v>3835</v>
      </c>
      <c r="BA175" s="122" t="s">
        <v>3995</v>
      </c>
      <c r="BB175" s="588"/>
      <c r="BC175" s="588"/>
      <c r="BD175" s="161"/>
      <c r="BE175" s="161"/>
      <c r="BF175" s="161"/>
      <c r="BG175" s="161"/>
      <c r="BH175" s="161"/>
      <c r="BI175" s="161">
        <v>1</v>
      </c>
      <c r="BJ175" s="161"/>
      <c r="BK175" s="161"/>
      <c r="BL175" s="161"/>
      <c r="BM175" s="161"/>
      <c r="BN175" s="161"/>
      <c r="BO175" s="161"/>
      <c r="BP175" s="161"/>
      <c r="BQ175" s="596" t="s">
        <v>4002</v>
      </c>
      <c r="BR175" s="162"/>
      <c r="BS175" s="660"/>
      <c r="BT175" s="150" t="s">
        <v>1876</v>
      </c>
      <c r="BU175" s="150" t="s">
        <v>4003</v>
      </c>
      <c r="BV175" s="150" t="s">
        <v>4008</v>
      </c>
      <c r="BW175" s="150" t="s">
        <v>24</v>
      </c>
      <c r="BX175" s="150" t="s">
        <v>4009</v>
      </c>
      <c r="BY175" s="150"/>
      <c r="BZ175" s="258" t="s">
        <v>4062</v>
      </c>
      <c r="CA175" s="257"/>
      <c r="CB175" s="151" t="s">
        <v>4030</v>
      </c>
      <c r="CC175" s="266">
        <v>5.14</v>
      </c>
      <c r="CD175" s="150">
        <v>1.6</v>
      </c>
      <c r="CE175" s="266" t="s">
        <v>24</v>
      </c>
      <c r="CF175" s="151" t="s">
        <v>4032</v>
      </c>
      <c r="CG175" s="150">
        <v>5.49</v>
      </c>
      <c r="CH175" s="150">
        <v>1.23</v>
      </c>
      <c r="CI175" s="150" t="s">
        <v>24</v>
      </c>
      <c r="CJ175" s="290" t="s">
        <v>24</v>
      </c>
      <c r="CK175" s="291" t="s">
        <v>24</v>
      </c>
      <c r="CL175" s="151" t="s">
        <v>4034</v>
      </c>
      <c r="CM175" s="150">
        <v>5.21</v>
      </c>
      <c r="CN175" s="150">
        <v>1.47</v>
      </c>
      <c r="CO175" s="150" t="s">
        <v>24</v>
      </c>
      <c r="CP175" s="429" t="s">
        <v>4035</v>
      </c>
      <c r="CQ175" s="150">
        <v>14.03</v>
      </c>
      <c r="CR175" s="150">
        <v>14.02</v>
      </c>
      <c r="CS175" s="150" t="s">
        <v>24</v>
      </c>
      <c r="CT175" s="290" t="s">
        <v>24</v>
      </c>
      <c r="CU175" s="291" t="s">
        <v>24</v>
      </c>
      <c r="CV175" s="278" t="s">
        <v>24</v>
      </c>
      <c r="CW175" s="285" t="s">
        <v>24</v>
      </c>
      <c r="CX175" s="429" t="s">
        <v>4036</v>
      </c>
      <c r="CY175" s="150">
        <v>14.45</v>
      </c>
      <c r="CZ175" s="150">
        <v>16.600000000000001</v>
      </c>
      <c r="DA175" s="150" t="s">
        <v>24</v>
      </c>
      <c r="DB175" s="429" t="s">
        <v>4037</v>
      </c>
      <c r="DC175" s="150">
        <v>16.46</v>
      </c>
      <c r="DD175" s="150">
        <v>14.42</v>
      </c>
      <c r="DE175" s="150" t="s">
        <v>24</v>
      </c>
      <c r="DF175" s="302" t="s">
        <v>24</v>
      </c>
      <c r="DG175" s="303" t="s">
        <v>24</v>
      </c>
      <c r="DH175" s="150" t="s">
        <v>24</v>
      </c>
      <c r="DI175" s="150" t="s">
        <v>24</v>
      </c>
      <c r="DJ175" s="150" t="s">
        <v>24</v>
      </c>
      <c r="DK175" s="150" t="s">
        <v>24</v>
      </c>
      <c r="DL175" s="150" t="s">
        <v>24</v>
      </c>
      <c r="DM175" s="150" t="s">
        <v>24</v>
      </c>
      <c r="DN175" s="150" t="s">
        <v>24</v>
      </c>
      <c r="DO175" s="150" t="s">
        <v>24</v>
      </c>
      <c r="DP175" s="302" t="s">
        <v>24</v>
      </c>
      <c r="DQ175" s="303" t="s">
        <v>24</v>
      </c>
      <c r="DR175" s="278" t="s">
        <v>24</v>
      </c>
      <c r="DS175" s="279" t="s">
        <v>24</v>
      </c>
      <c r="DT175" s="150"/>
      <c r="DU175" s="150"/>
      <c r="DV175" s="150"/>
      <c r="DW175" s="150"/>
      <c r="DX175" s="150"/>
      <c r="DY175" s="150"/>
      <c r="DZ175" s="150"/>
      <c r="EA175" s="150"/>
      <c r="EB175" s="303"/>
      <c r="EC175" s="303"/>
      <c r="ED175" s="151"/>
      <c r="EE175" s="150"/>
      <c r="EF175" s="150"/>
      <c r="EG175" s="150"/>
      <c r="EH175" s="151"/>
      <c r="EI175" s="150"/>
      <c r="EJ175" s="150"/>
      <c r="EK175" s="150"/>
      <c r="EL175" s="303"/>
      <c r="EM175" s="303"/>
      <c r="EN175" s="279"/>
      <c r="EO175" s="150"/>
      <c r="EP175" s="150"/>
      <c r="EQ175" s="150"/>
      <c r="ER175" s="150"/>
      <c r="ES175" s="150"/>
      <c r="ET175" s="150"/>
      <c r="EU175" s="150"/>
      <c r="EV175" s="150"/>
      <c r="EW175" s="303"/>
      <c r="EX175" s="303"/>
      <c r="EY175" s="150"/>
      <c r="EZ175" s="150"/>
      <c r="FA175" s="150"/>
      <c r="FB175" s="150"/>
      <c r="FC175" s="134"/>
      <c r="FD175" s="134"/>
      <c r="FE175" s="134"/>
      <c r="FF175" s="134"/>
      <c r="FG175" s="135"/>
      <c r="FH175" s="135"/>
      <c r="FI175" s="134"/>
      <c r="FJ175" s="134"/>
      <c r="FK175" s="134"/>
      <c r="FL175" s="134"/>
      <c r="FM175" s="134"/>
      <c r="FN175" s="134"/>
      <c r="FO175" s="134"/>
      <c r="FP175" s="134"/>
      <c r="FQ175" s="135"/>
      <c r="FR175" s="135"/>
      <c r="FS175" s="134"/>
      <c r="FT175" s="134"/>
      <c r="FU175" s="134"/>
      <c r="FV175" s="134"/>
      <c r="FW175" s="134"/>
      <c r="FX175" s="134"/>
      <c r="FY175" s="134"/>
      <c r="FZ175" s="134"/>
      <c r="GA175" s="135"/>
      <c r="GB175" s="135"/>
      <c r="GC175" s="134"/>
      <c r="GD175" s="134"/>
      <c r="GE175" s="134"/>
      <c r="GF175" s="134"/>
      <c r="GG175" s="134"/>
      <c r="GH175" s="134"/>
      <c r="GI175" s="134"/>
      <c r="GJ175" s="134"/>
      <c r="GK175" s="135"/>
      <c r="GL175" s="135"/>
      <c r="GM175" s="134"/>
      <c r="GN175" s="134"/>
      <c r="GO175" s="134"/>
      <c r="GP175" s="134"/>
      <c r="GQ175" s="134"/>
      <c r="GR175" s="134"/>
      <c r="GS175" s="134"/>
      <c r="GT175" s="134"/>
      <c r="GU175" s="135"/>
      <c r="GV175" s="135"/>
      <c r="GW175" s="134"/>
      <c r="GX175" s="134"/>
      <c r="GY175" s="134"/>
      <c r="GZ175" s="134"/>
      <c r="HA175" s="134"/>
      <c r="HB175" s="134"/>
      <c r="HC175" s="134"/>
      <c r="HD175" s="134"/>
      <c r="HE175" s="135"/>
      <c r="HF175" s="135"/>
      <c r="HG175" s="134"/>
      <c r="HH175" s="134"/>
      <c r="HI175" s="134"/>
      <c r="HJ175" s="134"/>
      <c r="HK175" s="134"/>
      <c r="HL175" s="134"/>
      <c r="HM175" s="134"/>
      <c r="HN175" s="134"/>
      <c r="HO175" s="135"/>
      <c r="HP175" s="135"/>
      <c r="HQ175" s="134"/>
      <c r="HR175" s="134"/>
      <c r="HS175" s="134"/>
      <c r="HT175" s="134"/>
      <c r="HU175" s="134"/>
      <c r="HV175" s="134"/>
      <c r="HW175" s="134"/>
      <c r="HX175" s="134"/>
      <c r="HY175" s="135"/>
      <c r="HZ175" s="135"/>
      <c r="IA175" s="134"/>
      <c r="IB175" s="134"/>
      <c r="IC175" s="134"/>
      <c r="ID175" s="134"/>
      <c r="IE175" s="134"/>
      <c r="IF175" s="134"/>
      <c r="IG175" s="134"/>
      <c r="IH175" s="134"/>
      <c r="II175" s="135"/>
      <c r="IJ175" s="135"/>
      <c r="IK175" s="134"/>
      <c r="IL175" s="134"/>
      <c r="IM175" s="134"/>
      <c r="IN175" s="134"/>
      <c r="IO175" s="134"/>
      <c r="IP175" s="134"/>
      <c r="IQ175" s="134"/>
      <c r="IR175" s="134"/>
      <c r="IS175" s="135"/>
      <c r="IT175" s="135"/>
      <c r="IU175" s="134"/>
      <c r="IV175" s="134"/>
      <c r="IW175" s="134"/>
      <c r="IX175" s="134"/>
      <c r="IY175" s="134"/>
      <c r="IZ175" s="134"/>
      <c r="JA175" s="134"/>
      <c r="JB175" s="134"/>
      <c r="JC175" s="135"/>
      <c r="JD175" s="135"/>
    </row>
    <row r="176" spans="1:264" customFormat="1" ht="15" customHeight="1">
      <c r="A176" s="79" t="s">
        <v>1078</v>
      </c>
      <c r="B176" s="362">
        <v>95</v>
      </c>
      <c r="C176" s="362">
        <v>18</v>
      </c>
      <c r="D176" s="362"/>
      <c r="E176" s="604" t="s">
        <v>2062</v>
      </c>
      <c r="F176" s="124" t="s">
        <v>2314</v>
      </c>
      <c r="G176" s="125">
        <v>2012</v>
      </c>
      <c r="H176" s="79">
        <v>22108759</v>
      </c>
      <c r="I176" s="79">
        <v>1</v>
      </c>
      <c r="J176" s="126"/>
      <c r="K176" s="127"/>
      <c r="L176" s="79">
        <v>1</v>
      </c>
      <c r="M176" s="79"/>
      <c r="N176" s="79">
        <v>1</v>
      </c>
      <c r="O176" s="128">
        <v>2</v>
      </c>
      <c r="P176" s="79" t="s">
        <v>73</v>
      </c>
      <c r="Q176" s="79" t="s">
        <v>1147</v>
      </c>
      <c r="R176" s="79" t="s">
        <v>1282</v>
      </c>
      <c r="S176" s="79"/>
      <c r="T176" s="79" t="s">
        <v>1500</v>
      </c>
      <c r="U176" s="79" t="s">
        <v>1539</v>
      </c>
      <c r="V176" s="79" t="s">
        <v>23</v>
      </c>
      <c r="W176" s="79" t="s">
        <v>1512</v>
      </c>
      <c r="X176" s="79" t="s">
        <v>1284</v>
      </c>
      <c r="Y176" s="79" t="s">
        <v>24</v>
      </c>
      <c r="Z176" s="79"/>
      <c r="AA176" s="79"/>
      <c r="AB176" s="79" t="s">
        <v>1283</v>
      </c>
      <c r="AC176" s="506"/>
      <c r="AD176" s="573">
        <v>1</v>
      </c>
      <c r="AE176" s="573">
        <v>2</v>
      </c>
      <c r="AF176" s="154">
        <v>1</v>
      </c>
      <c r="AG176" s="155" t="s">
        <v>4124</v>
      </c>
      <c r="AH176" s="121">
        <v>4</v>
      </c>
      <c r="AI176" s="484"/>
      <c r="AJ176" s="202" t="s">
        <v>4122</v>
      </c>
      <c r="AK176" s="192">
        <v>0</v>
      </c>
      <c r="AL176" s="203" t="s">
        <v>24</v>
      </c>
      <c r="AM176" s="121" t="s">
        <v>4121</v>
      </c>
      <c r="AN176" s="121" t="s">
        <v>4123</v>
      </c>
      <c r="AO176" s="121" t="s">
        <v>4123</v>
      </c>
      <c r="AP176" s="121" t="s">
        <v>803</v>
      </c>
      <c r="AQ176" s="121" t="s">
        <v>803</v>
      </c>
      <c r="AR176" s="121" t="s">
        <v>4125</v>
      </c>
      <c r="AS176" s="121" t="s">
        <v>24</v>
      </c>
      <c r="AT176" s="121" t="s">
        <v>4125</v>
      </c>
      <c r="AU176" s="121" t="s">
        <v>24</v>
      </c>
      <c r="AV176" s="121" t="s">
        <v>4112</v>
      </c>
      <c r="AW176" s="121">
        <v>1</v>
      </c>
      <c r="AX176" s="121" t="s">
        <v>4111</v>
      </c>
      <c r="AY176" s="121" t="s">
        <v>3515</v>
      </c>
      <c r="AZ176" s="121" t="s">
        <v>2912</v>
      </c>
      <c r="BA176" s="121" t="s">
        <v>3279</v>
      </c>
      <c r="BB176" s="594"/>
      <c r="BC176" s="594"/>
      <c r="BD176" s="156"/>
      <c r="BE176" s="156"/>
      <c r="BF176" s="156"/>
      <c r="BG176" s="156"/>
      <c r="BH176" s="156"/>
      <c r="BI176" s="156"/>
      <c r="BJ176" s="156">
        <v>1</v>
      </c>
      <c r="BK176" s="156"/>
      <c r="BL176" s="156"/>
      <c r="BM176" s="156"/>
      <c r="BN176" s="156"/>
      <c r="BO176" s="156"/>
      <c r="BP176" s="156"/>
      <c r="BQ176" s="595" t="s">
        <v>3563</v>
      </c>
      <c r="BR176" s="157" t="s">
        <v>6613</v>
      </c>
      <c r="BS176" s="660"/>
      <c r="BT176" s="134" t="s">
        <v>1876</v>
      </c>
      <c r="BU176" s="134" t="s">
        <v>4108</v>
      </c>
      <c r="BV176" s="134" t="s">
        <v>4110</v>
      </c>
      <c r="BW176" s="134" t="s">
        <v>4107</v>
      </c>
      <c r="BX176" s="134" t="s">
        <v>4109</v>
      </c>
      <c r="BY176" s="134"/>
      <c r="BZ176" s="259" t="s">
        <v>4134</v>
      </c>
      <c r="CA176" s="454" t="s">
        <v>24</v>
      </c>
      <c r="CB176" s="138" t="s">
        <v>4113</v>
      </c>
      <c r="CC176" s="134">
        <v>13.8826</v>
      </c>
      <c r="CD176" s="134" t="s">
        <v>24</v>
      </c>
      <c r="CE176" s="134">
        <f>14.873-Table668[[#This Row],[Data_Outcome1_M]]</f>
        <v>0.99039999999999928</v>
      </c>
      <c r="CF176" s="138" t="s">
        <v>4114</v>
      </c>
      <c r="CG176" s="134">
        <v>20.409300000000002</v>
      </c>
      <c r="CH176" s="134" t="s">
        <v>24</v>
      </c>
      <c r="CI176" s="134">
        <f>22.5487-Table668[[#This Row],[Data_Outcome2_M]]</f>
        <v>2.1393999999999984</v>
      </c>
      <c r="CJ176" s="288" t="s">
        <v>4130</v>
      </c>
      <c r="CK176" s="289" t="s">
        <v>4131</v>
      </c>
      <c r="CL176" s="138" t="s">
        <v>4115</v>
      </c>
      <c r="CM176" s="134">
        <v>19.392499999999998</v>
      </c>
      <c r="CN176" s="134" t="s">
        <v>24</v>
      </c>
      <c r="CO176" s="134">
        <f>21.9626-Table668[[#This Row],[Data_Outcome3_M]]</f>
        <v>2.5701000000000001</v>
      </c>
      <c r="CP176" s="138" t="s">
        <v>4116</v>
      </c>
      <c r="CQ176" s="134">
        <v>13.831799999999999</v>
      </c>
      <c r="CR176" s="134" t="s">
        <v>24</v>
      </c>
      <c r="CS176" s="134">
        <f>15.1402-Table668[[#This Row],[Data_Outcome4_M]]</f>
        <v>1.3084000000000007</v>
      </c>
      <c r="CT176" s="288" t="s">
        <v>4126</v>
      </c>
      <c r="CU176" s="289" t="s">
        <v>4127</v>
      </c>
      <c r="CV176" s="276" t="s">
        <v>24</v>
      </c>
      <c r="CW176" s="308" t="s">
        <v>24</v>
      </c>
      <c r="CX176" s="134" t="s">
        <v>4117</v>
      </c>
      <c r="CY176" s="134">
        <v>14.9337</v>
      </c>
      <c r="CZ176" s="134" t="s">
        <v>24</v>
      </c>
      <c r="DA176" s="134">
        <f>17.39-Table668[[#This Row],[Data_Outcome5_M]]</f>
        <v>2.4563000000000006</v>
      </c>
      <c r="DB176" s="134" t="s">
        <v>4118</v>
      </c>
      <c r="DC176" s="134">
        <v>18.687000000000001</v>
      </c>
      <c r="DD176" s="134" t="s">
        <v>24</v>
      </c>
      <c r="DE176" s="134">
        <f>20.1133-Table668[[#This Row],[Data_Outcome6_M]]</f>
        <v>1.4262999999999977</v>
      </c>
      <c r="DF176" s="300" t="s">
        <v>4132</v>
      </c>
      <c r="DG176" s="301" t="s">
        <v>4133</v>
      </c>
      <c r="DH176" s="168" t="s">
        <v>4119</v>
      </c>
      <c r="DI176" s="134">
        <v>24.953299999999999</v>
      </c>
      <c r="DJ176" s="134" t="s">
        <v>24</v>
      </c>
      <c r="DK176" s="134">
        <f>25.9346-Table668[[#This Row],[Data_Outcome7_M]]</f>
        <v>0.98130000000000095</v>
      </c>
      <c r="DL176" s="168" t="s">
        <v>4120</v>
      </c>
      <c r="DM176" s="134">
        <v>11.6355</v>
      </c>
      <c r="DN176" s="134" t="s">
        <v>24</v>
      </c>
      <c r="DO176" s="134">
        <f>12.8505-Table668[[#This Row],[Data_Outcome8_M]]</f>
        <v>1.2149999999999999</v>
      </c>
      <c r="DP176" s="300" t="s">
        <v>4128</v>
      </c>
      <c r="DQ176" s="301" t="s">
        <v>4129</v>
      </c>
      <c r="DR176" s="276" t="s">
        <v>24</v>
      </c>
      <c r="DS176" s="277" t="s">
        <v>24</v>
      </c>
      <c r="DT176" s="134"/>
      <c r="DU176" s="134"/>
      <c r="DV176" s="134"/>
      <c r="DW176" s="134"/>
      <c r="DX176" s="138"/>
      <c r="DY176" s="134"/>
      <c r="DZ176" s="134"/>
      <c r="EA176" s="134"/>
      <c r="EB176" s="301"/>
      <c r="EC176" s="301"/>
      <c r="ED176" s="138"/>
      <c r="EE176" s="134"/>
      <c r="EF176" s="134"/>
      <c r="EG176" s="134"/>
      <c r="EH176" s="138"/>
      <c r="EI176" s="134"/>
      <c r="EJ176" s="134"/>
      <c r="EK176" s="134"/>
      <c r="EL176" s="301"/>
      <c r="EM176" s="301"/>
      <c r="EN176" s="277"/>
      <c r="EO176" s="134"/>
      <c r="EP176" s="134"/>
      <c r="EQ176" s="134"/>
      <c r="ER176" s="134"/>
      <c r="ES176" s="134"/>
      <c r="ET176" s="134"/>
      <c r="EU176" s="134"/>
      <c r="EV176" s="134"/>
      <c r="EW176" s="301"/>
      <c r="EX176" s="301"/>
      <c r="EY176" s="134"/>
      <c r="EZ176" s="134"/>
      <c r="FA176" s="134"/>
      <c r="FB176" s="134"/>
      <c r="FC176" s="134"/>
      <c r="FD176" s="134"/>
      <c r="FE176" s="134"/>
      <c r="FF176" s="134"/>
      <c r="FG176" s="135"/>
      <c r="FH176" s="135"/>
      <c r="FI176" s="134"/>
      <c r="FJ176" s="134"/>
      <c r="FK176" s="134"/>
      <c r="FL176" s="134"/>
      <c r="FM176" s="134"/>
      <c r="FN176" s="134"/>
      <c r="FO176" s="134"/>
      <c r="FP176" s="134"/>
      <c r="FQ176" s="135"/>
      <c r="FR176" s="135"/>
      <c r="FS176" s="134"/>
      <c r="FT176" s="134"/>
      <c r="FU176" s="134"/>
      <c r="FV176" s="134"/>
      <c r="FW176" s="134"/>
      <c r="FX176" s="134"/>
      <c r="FY176" s="134"/>
      <c r="FZ176" s="134"/>
      <c r="GA176" s="135"/>
      <c r="GB176" s="135"/>
      <c r="GC176" s="134"/>
      <c r="GD176" s="134"/>
      <c r="GE176" s="134"/>
      <c r="GF176" s="134"/>
      <c r="GG176" s="134"/>
      <c r="GH176" s="134"/>
      <c r="GI176" s="134"/>
      <c r="GJ176" s="134"/>
      <c r="GK176" s="135"/>
      <c r="GL176" s="135"/>
      <c r="GM176" s="134"/>
      <c r="GN176" s="134"/>
      <c r="GO176" s="134"/>
      <c r="GP176" s="134"/>
      <c r="GQ176" s="134"/>
      <c r="GR176" s="134"/>
      <c r="GS176" s="134"/>
      <c r="GT176" s="134"/>
      <c r="GU176" s="135"/>
      <c r="GV176" s="135"/>
      <c r="GW176" s="134"/>
      <c r="GX176" s="134"/>
      <c r="GY176" s="134"/>
      <c r="GZ176" s="134"/>
      <c r="HA176" s="134"/>
      <c r="HB176" s="134"/>
      <c r="HC176" s="134"/>
      <c r="HD176" s="134"/>
      <c r="HE176" s="135"/>
      <c r="HF176" s="135"/>
      <c r="HG176" s="134"/>
      <c r="HH176" s="134"/>
      <c r="HI176" s="134"/>
      <c r="HJ176" s="134"/>
      <c r="HK176" s="134"/>
      <c r="HL176" s="134"/>
      <c r="HM176" s="134"/>
      <c r="HN176" s="134"/>
      <c r="HO176" s="135"/>
      <c r="HP176" s="135"/>
      <c r="HQ176" s="134"/>
      <c r="HR176" s="134"/>
      <c r="HS176" s="134"/>
      <c r="HT176" s="134"/>
      <c r="HU176" s="134"/>
      <c r="HV176" s="134"/>
      <c r="HW176" s="134"/>
      <c r="HX176" s="134"/>
      <c r="HY176" s="135"/>
      <c r="HZ176" s="135"/>
      <c r="IA176" s="134"/>
      <c r="IB176" s="134"/>
      <c r="IC176" s="134"/>
      <c r="ID176" s="134"/>
      <c r="IE176" s="134"/>
      <c r="IF176" s="134"/>
      <c r="IG176" s="134"/>
      <c r="IH176" s="134"/>
      <c r="II176" s="135"/>
      <c r="IJ176" s="135"/>
      <c r="IK176" s="134"/>
      <c r="IL176" s="134"/>
      <c r="IM176" s="134"/>
      <c r="IN176" s="134"/>
      <c r="IO176" s="134"/>
      <c r="IP176" s="134"/>
      <c r="IQ176" s="134"/>
      <c r="IR176" s="134"/>
      <c r="IS176" s="135"/>
      <c r="IT176" s="135"/>
      <c r="IU176" s="134"/>
      <c r="IV176" s="134"/>
      <c r="IW176" s="134"/>
      <c r="IX176" s="134"/>
      <c r="IY176" s="134"/>
      <c r="IZ176" s="134"/>
      <c r="JA176" s="134"/>
      <c r="JB176" s="134"/>
      <c r="JC176" s="135"/>
      <c r="JD176" s="135"/>
    </row>
    <row r="177" spans="1:264" customFormat="1" ht="15" customHeight="1">
      <c r="A177" s="79" t="s">
        <v>1077</v>
      </c>
      <c r="B177" s="614">
        <v>14</v>
      </c>
      <c r="C177" s="614"/>
      <c r="D177" s="614"/>
      <c r="E177" s="604" t="s">
        <v>2063</v>
      </c>
      <c r="F177" s="124" t="s">
        <v>2315</v>
      </c>
      <c r="G177" s="125">
        <v>2013</v>
      </c>
      <c r="H177" s="79">
        <v>23382811</v>
      </c>
      <c r="I177" s="79">
        <v>1</v>
      </c>
      <c r="J177" s="126">
        <v>1</v>
      </c>
      <c r="K177" s="127"/>
      <c r="L177" s="79">
        <v>0</v>
      </c>
      <c r="M177" s="79"/>
      <c r="N177" s="153">
        <v>0</v>
      </c>
      <c r="O177" s="128">
        <v>2</v>
      </c>
      <c r="P177" s="79" t="s">
        <v>1286</v>
      </c>
      <c r="Q177" s="79" t="s">
        <v>1142</v>
      </c>
      <c r="R177" s="79" t="s">
        <v>1285</v>
      </c>
      <c r="S177" s="79"/>
      <c r="T177" s="79" t="s">
        <v>1488</v>
      </c>
      <c r="U177" s="79" t="s">
        <v>23</v>
      </c>
      <c r="V177" s="79"/>
      <c r="W177" s="79" t="s">
        <v>1800</v>
      </c>
      <c r="X177" s="79" t="s">
        <v>1287</v>
      </c>
      <c r="Y177" s="79"/>
      <c r="Z177" s="79"/>
      <c r="AA177" s="79"/>
      <c r="AB177" s="79"/>
      <c r="AC177" s="506"/>
      <c r="AD177" s="573">
        <v>1</v>
      </c>
      <c r="AE177" s="573">
        <v>2</v>
      </c>
      <c r="AF177" s="165">
        <v>0</v>
      </c>
      <c r="AG177" s="166" t="s">
        <v>3339</v>
      </c>
      <c r="AH177" s="120">
        <v>5</v>
      </c>
      <c r="AI177" s="484"/>
      <c r="AJ177" s="206" t="s">
        <v>2792</v>
      </c>
      <c r="AK177" s="192">
        <v>0</v>
      </c>
      <c r="AL177" s="207">
        <v>0</v>
      </c>
      <c r="AM177" s="120">
        <v>8</v>
      </c>
      <c r="AN177" s="120">
        <v>8</v>
      </c>
      <c r="AO177" s="120" t="s">
        <v>24</v>
      </c>
      <c r="AP177" s="120" t="s">
        <v>803</v>
      </c>
      <c r="AQ177" s="120" t="s">
        <v>24</v>
      </c>
      <c r="AR177" s="120" t="s">
        <v>2793</v>
      </c>
      <c r="AS177" s="120" t="s">
        <v>24</v>
      </c>
      <c r="AT177" s="120" t="s">
        <v>24</v>
      </c>
      <c r="AU177" s="120" t="s">
        <v>24</v>
      </c>
      <c r="AV177" s="120" t="s">
        <v>2791</v>
      </c>
      <c r="AW177" s="120">
        <v>1</v>
      </c>
      <c r="AX177" s="120" t="s">
        <v>3323</v>
      </c>
      <c r="AY177" s="120" t="s">
        <v>24</v>
      </c>
      <c r="AZ177" s="120" t="s">
        <v>2790</v>
      </c>
      <c r="BA177" s="120" t="s">
        <v>24</v>
      </c>
      <c r="BB177" s="594"/>
      <c r="BC177" s="594"/>
      <c r="BD177" s="156">
        <v>1</v>
      </c>
      <c r="BE177" s="156"/>
      <c r="BF177" s="156"/>
      <c r="BG177" s="156"/>
      <c r="BH177" s="156"/>
      <c r="BI177" s="156"/>
      <c r="BJ177" s="156"/>
      <c r="BK177" s="156"/>
      <c r="BL177" s="156"/>
      <c r="BM177" s="156"/>
      <c r="BN177" s="156"/>
      <c r="BO177" s="156"/>
      <c r="BP177" s="156"/>
      <c r="BQ177" s="595" t="s">
        <v>2794</v>
      </c>
      <c r="BR177" s="157" t="s">
        <v>6600</v>
      </c>
      <c r="BS177" s="660"/>
      <c r="BT177" s="134" t="s">
        <v>2789</v>
      </c>
      <c r="BU177" s="134">
        <v>1</v>
      </c>
      <c r="BV177" s="134" t="s">
        <v>2788</v>
      </c>
      <c r="BW177" s="134" t="s">
        <v>2787</v>
      </c>
      <c r="BX177" s="134" t="s">
        <v>2659</v>
      </c>
      <c r="BY177" s="134" t="s">
        <v>2659</v>
      </c>
      <c r="BZ177" s="259" t="s">
        <v>2786</v>
      </c>
      <c r="CA177" s="454" t="s">
        <v>6627</v>
      </c>
      <c r="CB177" s="138" t="s">
        <v>2778</v>
      </c>
      <c r="CC177" s="134">
        <v>11.557399999999999</v>
      </c>
      <c r="CD177" s="134" t="s">
        <v>24</v>
      </c>
      <c r="CE177" s="134">
        <f>14.5082-Table668[[#This Row],[Data_Outcome1_M]]</f>
        <v>2.950800000000001</v>
      </c>
      <c r="CF177" s="138" t="s">
        <v>2779</v>
      </c>
      <c r="CG177" s="134">
        <v>30.491800000000001</v>
      </c>
      <c r="CH177" s="134" t="s">
        <v>24</v>
      </c>
      <c r="CI177" s="134">
        <f>36.1475-Table668[[#This Row],[Data_Outcome2_M]]</f>
        <v>5.6556999999999995</v>
      </c>
      <c r="CJ177" s="288" t="s">
        <v>2782</v>
      </c>
      <c r="CK177" s="289" t="s">
        <v>2783</v>
      </c>
      <c r="CL177" s="138" t="s">
        <v>2780</v>
      </c>
      <c r="CM177" s="134">
        <v>65.409800000000004</v>
      </c>
      <c r="CN177" s="134" t="s">
        <v>24</v>
      </c>
      <c r="CO177" s="134">
        <f>74.0164-Table668[[#This Row],[Data_Outcome3_M]]</f>
        <v>8.6066000000000003</v>
      </c>
      <c r="CP177" s="138" t="s">
        <v>2781</v>
      </c>
      <c r="CQ177" s="134">
        <v>70.573800000000006</v>
      </c>
      <c r="CR177" s="134" t="s">
        <v>24</v>
      </c>
      <c r="CS177" s="134">
        <f>77.9508-Table668[[#This Row],[Data_Outcome4_M]]</f>
        <v>7.3769999999999953</v>
      </c>
      <c r="CT177" s="288"/>
      <c r="CU177" s="289"/>
      <c r="CV177" s="276" t="s">
        <v>2784</v>
      </c>
      <c r="CW177" s="308" t="s">
        <v>2785</v>
      </c>
      <c r="CX177" s="138"/>
      <c r="CY177" s="134"/>
      <c r="CZ177" s="134"/>
      <c r="DA177" s="134"/>
      <c r="DB177" s="134"/>
      <c r="DC177" s="134"/>
      <c r="DD177" s="134"/>
      <c r="DE177" s="134"/>
      <c r="DF177" s="300"/>
      <c r="DG177" s="301"/>
      <c r="DH177" s="134"/>
      <c r="DI177" s="134"/>
      <c r="DJ177" s="134"/>
      <c r="DK177" s="134"/>
      <c r="DL177" s="134"/>
      <c r="DM177" s="134"/>
      <c r="DN177" s="134"/>
      <c r="DO177" s="134"/>
      <c r="DP177" s="300"/>
      <c r="DQ177" s="301"/>
      <c r="DR177" s="276"/>
      <c r="DS177" s="277"/>
      <c r="DT177" s="134"/>
      <c r="DU177" s="134"/>
      <c r="DV177" s="134"/>
      <c r="DW177" s="134"/>
      <c r="DX177" s="138"/>
      <c r="DY177" s="134"/>
      <c r="DZ177" s="134"/>
      <c r="EA177" s="134"/>
      <c r="EB177" s="301"/>
      <c r="EC177" s="301"/>
      <c r="ED177" s="138"/>
      <c r="EE177" s="134"/>
      <c r="EF177" s="134"/>
      <c r="EG177" s="134"/>
      <c r="EH177" s="138"/>
      <c r="EI177" s="134"/>
      <c r="EJ177" s="134"/>
      <c r="EK177" s="134"/>
      <c r="EL177" s="301"/>
      <c r="EM177" s="301"/>
      <c r="EN177" s="277"/>
      <c r="EO177" s="134"/>
      <c r="EP177" s="134"/>
      <c r="EQ177" s="134"/>
      <c r="ER177" s="134"/>
      <c r="ES177" s="134"/>
      <c r="ET177" s="134"/>
      <c r="EU177" s="134"/>
      <c r="EV177" s="134"/>
      <c r="EW177" s="301"/>
      <c r="EX177" s="301"/>
      <c r="EY177" s="134"/>
      <c r="EZ177" s="134"/>
      <c r="FA177" s="134"/>
      <c r="FB177" s="134"/>
      <c r="FC177" s="134"/>
      <c r="FD177" s="134"/>
      <c r="FE177" s="134"/>
      <c r="FF177" s="134"/>
      <c r="FG177" s="135"/>
      <c r="FH177" s="135"/>
      <c r="FI177" s="134"/>
      <c r="FJ177" s="134"/>
      <c r="FK177" s="134"/>
      <c r="FL177" s="134"/>
      <c r="FM177" s="134"/>
      <c r="FN177" s="134"/>
      <c r="FO177" s="134"/>
      <c r="FP177" s="134"/>
      <c r="FQ177" s="135"/>
      <c r="FR177" s="135"/>
      <c r="FS177" s="134"/>
      <c r="FT177" s="134"/>
      <c r="FU177" s="134"/>
      <c r="FV177" s="134"/>
      <c r="FW177" s="134"/>
      <c r="FX177" s="134"/>
      <c r="FY177" s="134"/>
      <c r="FZ177" s="134"/>
      <c r="GA177" s="135"/>
      <c r="GB177" s="135"/>
      <c r="GC177" s="134"/>
      <c r="GD177" s="134"/>
      <c r="GE177" s="134"/>
      <c r="GF177" s="134"/>
      <c r="GG177" s="134"/>
      <c r="GH177" s="134"/>
      <c r="GI177" s="134"/>
      <c r="GJ177" s="134"/>
      <c r="GK177" s="135"/>
      <c r="GL177" s="135"/>
      <c r="GM177" s="134"/>
      <c r="GN177" s="134"/>
      <c r="GO177" s="134"/>
      <c r="GP177" s="134"/>
      <c r="GQ177" s="134"/>
      <c r="GR177" s="134"/>
      <c r="GS177" s="134"/>
      <c r="GT177" s="134"/>
      <c r="GU177" s="135"/>
      <c r="GV177" s="135"/>
      <c r="GW177" s="134"/>
      <c r="GX177" s="134"/>
      <c r="GY177" s="134"/>
      <c r="GZ177" s="134"/>
      <c r="HA177" s="134"/>
      <c r="HB177" s="134"/>
      <c r="HC177" s="134"/>
      <c r="HD177" s="134"/>
      <c r="HE177" s="135"/>
      <c r="HF177" s="135"/>
      <c r="HG177" s="134"/>
      <c r="HH177" s="134"/>
      <c r="HI177" s="134"/>
      <c r="HJ177" s="134"/>
      <c r="HK177" s="134"/>
      <c r="HL177" s="134"/>
      <c r="HM177" s="134"/>
      <c r="HN177" s="134"/>
      <c r="HO177" s="135"/>
      <c r="HP177" s="135"/>
      <c r="HQ177" s="134"/>
      <c r="HR177" s="134"/>
      <c r="HS177" s="134"/>
      <c r="HT177" s="134"/>
      <c r="HU177" s="134"/>
      <c r="HV177" s="134"/>
      <c r="HW177" s="134"/>
      <c r="HX177" s="134"/>
      <c r="HY177" s="135"/>
      <c r="HZ177" s="135"/>
      <c r="IA177" s="134"/>
      <c r="IB177" s="134"/>
      <c r="IC177" s="134"/>
      <c r="ID177" s="134"/>
      <c r="IE177" s="134"/>
      <c r="IF177" s="134"/>
      <c r="IG177" s="134"/>
      <c r="IH177" s="134"/>
      <c r="II177" s="135"/>
      <c r="IJ177" s="135"/>
      <c r="IK177" s="134"/>
      <c r="IL177" s="134"/>
      <c r="IM177" s="134"/>
      <c r="IN177" s="134"/>
      <c r="IO177" s="134"/>
      <c r="IP177" s="134"/>
      <c r="IQ177" s="134"/>
      <c r="IR177" s="134"/>
      <c r="IS177" s="135"/>
      <c r="IT177" s="135"/>
      <c r="IU177" s="134"/>
      <c r="IV177" s="134"/>
      <c r="IW177" s="134"/>
      <c r="IX177" s="134"/>
      <c r="IY177" s="134"/>
      <c r="IZ177" s="134"/>
      <c r="JA177" s="134"/>
      <c r="JB177" s="134"/>
      <c r="JC177" s="135"/>
      <c r="JD177" s="135"/>
    </row>
    <row r="178" spans="1:264" customFormat="1" ht="15" customHeight="1">
      <c r="A178" s="79" t="s">
        <v>126</v>
      </c>
      <c r="B178" s="614">
        <v>1</v>
      </c>
      <c r="C178" s="614"/>
      <c r="D178" s="614"/>
      <c r="E178" s="604" t="s">
        <v>1943</v>
      </c>
      <c r="F178" s="124" t="s">
        <v>2162</v>
      </c>
      <c r="G178" s="125">
        <v>2014</v>
      </c>
      <c r="H178" s="79">
        <v>24950747</v>
      </c>
      <c r="I178" s="79">
        <v>1</v>
      </c>
      <c r="J178" s="126"/>
      <c r="K178" s="127"/>
      <c r="L178" s="79">
        <v>1</v>
      </c>
      <c r="M178" s="79"/>
      <c r="N178" s="79">
        <v>1</v>
      </c>
      <c r="O178" s="128">
        <v>1</v>
      </c>
      <c r="P178" s="79" t="s">
        <v>11</v>
      </c>
      <c r="Q178" s="79" t="s">
        <v>1142</v>
      </c>
      <c r="R178" s="79" t="s">
        <v>416</v>
      </c>
      <c r="S178" s="79">
        <v>0</v>
      </c>
      <c r="T178" s="79"/>
      <c r="U178" s="79"/>
      <c r="V178" s="79"/>
      <c r="W178" s="79" t="s">
        <v>11</v>
      </c>
      <c r="X178" s="79"/>
      <c r="Y178" s="79"/>
      <c r="Z178" s="79"/>
      <c r="AA178" s="79"/>
      <c r="AB178" s="79" t="s">
        <v>1193</v>
      </c>
      <c r="AC178" s="506"/>
      <c r="AD178" s="573">
        <v>1</v>
      </c>
      <c r="AE178" s="573">
        <v>2</v>
      </c>
      <c r="AF178" s="533">
        <v>0</v>
      </c>
      <c r="AG178" s="534" t="s">
        <v>1881</v>
      </c>
      <c r="AH178" s="131">
        <v>3</v>
      </c>
      <c r="AI178" s="489"/>
      <c r="AJ178" s="196"/>
      <c r="AK178" s="191">
        <v>0</v>
      </c>
      <c r="AL178" s="197"/>
      <c r="AM178" s="70"/>
      <c r="AN178" s="70"/>
      <c r="AO178" s="70"/>
      <c r="AP178" s="70" t="s">
        <v>1878</v>
      </c>
      <c r="AQ178" s="70" t="s">
        <v>1878</v>
      </c>
      <c r="AR178" s="70"/>
      <c r="AS178" s="70"/>
      <c r="AT178" s="70"/>
      <c r="AU178" s="70"/>
      <c r="AV178" s="70"/>
      <c r="AW178" s="70"/>
      <c r="AX178" s="70"/>
      <c r="AY178" s="70"/>
      <c r="AZ178" s="70"/>
      <c r="BA178" s="70" t="s">
        <v>1875</v>
      </c>
      <c r="BB178" s="590"/>
      <c r="BC178" s="590"/>
      <c r="BD178" s="132">
        <v>1</v>
      </c>
      <c r="BE178" s="132"/>
      <c r="BF178" s="132"/>
      <c r="BG178" s="132"/>
      <c r="BH178" s="132"/>
      <c r="BI178" s="132"/>
      <c r="BJ178" s="132"/>
      <c r="BK178" s="132"/>
      <c r="BL178" s="132"/>
      <c r="BM178" s="132"/>
      <c r="BN178" s="132"/>
      <c r="BO178" s="132"/>
      <c r="BP178" s="132"/>
      <c r="BQ178" s="591"/>
      <c r="BR178" s="133"/>
      <c r="BS178" s="661"/>
      <c r="BT178" s="26"/>
      <c r="BU178" s="26"/>
      <c r="BV178" s="26"/>
      <c r="BW178" s="26"/>
      <c r="BX178" s="26"/>
      <c r="BY178" s="26"/>
      <c r="BZ178" s="255" t="s">
        <v>24</v>
      </c>
      <c r="CA178" s="626"/>
      <c r="CB178" s="264"/>
      <c r="CC178" s="134"/>
      <c r="CD178" s="134"/>
      <c r="CE178" s="134"/>
      <c r="CF178" s="430"/>
      <c r="CG178" s="134"/>
      <c r="CH178" s="134"/>
      <c r="CI178" s="134"/>
      <c r="CJ178" s="288"/>
      <c r="CK178" s="289"/>
      <c r="CL178" s="138"/>
      <c r="CM178" s="134"/>
      <c r="CN178" s="134"/>
      <c r="CO178" s="134"/>
      <c r="CP178" s="138"/>
      <c r="CQ178" s="134"/>
      <c r="CR178" s="134"/>
      <c r="CS178" s="134"/>
      <c r="CT178" s="288"/>
      <c r="CU178" s="289"/>
      <c r="CV178" s="276"/>
      <c r="CW178" s="277"/>
      <c r="CX178" s="134"/>
      <c r="CY178" s="134"/>
      <c r="CZ178" s="134"/>
      <c r="DA178" s="134"/>
      <c r="DB178" s="134"/>
      <c r="DC178" s="134"/>
      <c r="DD178" s="134"/>
      <c r="DE178" s="134"/>
      <c r="DF178" s="300"/>
      <c r="DG178" s="301"/>
      <c r="DH178" s="134"/>
      <c r="DI178" s="134"/>
      <c r="DJ178" s="134"/>
      <c r="DK178" s="134"/>
      <c r="DL178" s="134"/>
      <c r="DM178" s="134"/>
      <c r="DN178" s="134"/>
      <c r="DO178" s="134"/>
      <c r="DP178" s="300"/>
      <c r="DQ178" s="301"/>
      <c r="DR178" s="276"/>
      <c r="DS178" s="277"/>
      <c r="DT178" s="134"/>
      <c r="DU178" s="134"/>
      <c r="DV178" s="134"/>
      <c r="DW178" s="134"/>
      <c r="DX178" s="138"/>
      <c r="DY178" s="134"/>
      <c r="DZ178" s="134"/>
      <c r="EA178" s="134"/>
      <c r="EB178" s="301"/>
      <c r="EC178" s="301"/>
      <c r="ED178" s="138"/>
      <c r="EE178" s="134"/>
      <c r="EF178" s="134"/>
      <c r="EG178" s="134"/>
      <c r="EH178" s="138"/>
      <c r="EI178" s="134"/>
      <c r="EJ178" s="134"/>
      <c r="EK178" s="134"/>
      <c r="EL178" s="301"/>
      <c r="EM178" s="301"/>
      <c r="EN178" s="277"/>
      <c r="EO178" s="134"/>
      <c r="EP178" s="134"/>
      <c r="EQ178" s="134"/>
      <c r="ER178" s="134"/>
      <c r="ES178" s="134"/>
      <c r="ET178" s="134"/>
      <c r="EU178" s="134"/>
      <c r="EV178" s="134"/>
      <c r="EW178" s="301"/>
      <c r="EX178" s="301"/>
      <c r="EY178" s="134"/>
      <c r="EZ178" s="134"/>
      <c r="FA178" s="134"/>
      <c r="FB178" s="134"/>
      <c r="FC178" s="134"/>
      <c r="FD178" s="134"/>
      <c r="FE178" s="134"/>
      <c r="FF178" s="134"/>
      <c r="FG178" s="135"/>
      <c r="FH178" s="135"/>
      <c r="FI178" s="134"/>
      <c r="FJ178" s="134"/>
      <c r="FK178" s="134"/>
      <c r="FL178" s="134"/>
      <c r="FM178" s="134"/>
      <c r="FN178" s="134"/>
      <c r="FO178" s="134"/>
      <c r="FP178" s="134"/>
      <c r="FQ178" s="135"/>
      <c r="FR178" s="135"/>
      <c r="FS178" s="134"/>
      <c r="FT178" s="134"/>
      <c r="FU178" s="134"/>
      <c r="FV178" s="134"/>
      <c r="FW178" s="134"/>
      <c r="FX178" s="134"/>
      <c r="FY178" s="134"/>
      <c r="FZ178" s="134"/>
      <c r="GA178" s="135"/>
      <c r="GB178" s="135"/>
      <c r="GC178" s="134"/>
      <c r="GD178" s="134"/>
      <c r="GE178" s="134"/>
      <c r="GF178" s="134"/>
      <c r="GG178" s="134"/>
      <c r="GH178" s="134"/>
      <c r="GI178" s="134"/>
      <c r="GJ178" s="134"/>
      <c r="GK178" s="135"/>
      <c r="GL178" s="135"/>
      <c r="GM178" s="134"/>
      <c r="GN178" s="134"/>
      <c r="GO178" s="134"/>
      <c r="GP178" s="134"/>
      <c r="GQ178" s="134"/>
      <c r="GR178" s="134"/>
      <c r="GS178" s="134"/>
      <c r="GT178" s="134"/>
      <c r="GU178" s="135"/>
      <c r="GV178" s="135"/>
      <c r="GW178" s="134"/>
      <c r="GX178" s="134"/>
      <c r="GY178" s="134"/>
      <c r="GZ178" s="134"/>
      <c r="HA178" s="134"/>
      <c r="HB178" s="134"/>
      <c r="HC178" s="134"/>
      <c r="HD178" s="134"/>
      <c r="HE178" s="135"/>
      <c r="HF178" s="135"/>
      <c r="HG178" s="134"/>
      <c r="HH178" s="134"/>
      <c r="HI178" s="134"/>
      <c r="HJ178" s="134"/>
      <c r="HK178" s="134"/>
      <c r="HL178" s="134"/>
      <c r="HM178" s="134"/>
      <c r="HN178" s="134"/>
      <c r="HO178" s="135"/>
      <c r="HP178" s="135"/>
      <c r="HQ178" s="134"/>
      <c r="HR178" s="134"/>
      <c r="HS178" s="134"/>
      <c r="HT178" s="134"/>
      <c r="HU178" s="134"/>
      <c r="HV178" s="134"/>
      <c r="HW178" s="134"/>
      <c r="HX178" s="134"/>
      <c r="HY178" s="135"/>
      <c r="HZ178" s="135"/>
      <c r="IA178" s="134"/>
      <c r="IB178" s="134"/>
      <c r="IC178" s="134"/>
      <c r="ID178" s="134"/>
      <c r="IE178" s="134"/>
      <c r="IF178" s="134"/>
      <c r="IG178" s="134"/>
      <c r="IH178" s="134"/>
      <c r="II178" s="135"/>
      <c r="IJ178" s="135"/>
      <c r="IK178" s="134"/>
      <c r="IL178" s="134"/>
      <c r="IM178" s="134"/>
      <c r="IN178" s="134"/>
      <c r="IO178" s="134"/>
      <c r="IP178" s="134"/>
      <c r="IQ178" s="134"/>
      <c r="IR178" s="134"/>
      <c r="IS178" s="135"/>
      <c r="IT178" s="135"/>
      <c r="IU178" s="134"/>
      <c r="IV178" s="134"/>
      <c r="IW178" s="134"/>
      <c r="IX178" s="134"/>
      <c r="IY178" s="134"/>
      <c r="IZ178" s="134"/>
      <c r="JA178" s="134"/>
      <c r="JB178" s="134"/>
      <c r="JC178" s="135"/>
      <c r="JD178" s="135"/>
    </row>
    <row r="179" spans="1:264" customFormat="1" ht="15" customHeight="1">
      <c r="A179" s="79" t="s">
        <v>130</v>
      </c>
      <c r="B179" s="362">
        <v>99</v>
      </c>
      <c r="C179" s="362">
        <v>19</v>
      </c>
      <c r="D179" s="362"/>
      <c r="E179" s="604" t="s">
        <v>1946</v>
      </c>
      <c r="F179" s="124" t="s">
        <v>2165</v>
      </c>
      <c r="G179" s="125">
        <v>2008</v>
      </c>
      <c r="H179" s="79">
        <v>18423611</v>
      </c>
      <c r="I179" s="79">
        <v>1</v>
      </c>
      <c r="J179" s="126"/>
      <c r="K179" s="127"/>
      <c r="L179" s="79">
        <v>1</v>
      </c>
      <c r="M179" s="79"/>
      <c r="N179" s="164">
        <v>1</v>
      </c>
      <c r="O179" s="128">
        <v>1</v>
      </c>
      <c r="P179" s="79" t="s">
        <v>421</v>
      </c>
      <c r="Q179" s="79" t="s">
        <v>1151</v>
      </c>
      <c r="R179" s="79" t="s">
        <v>420</v>
      </c>
      <c r="S179" s="79">
        <v>0</v>
      </c>
      <c r="T179" s="79"/>
      <c r="U179" s="79"/>
      <c r="V179" s="79"/>
      <c r="W179" s="79" t="s">
        <v>23</v>
      </c>
      <c r="X179" s="79"/>
      <c r="Y179" s="79"/>
      <c r="Z179" s="79"/>
      <c r="AA179" s="79"/>
      <c r="AB179" s="79" t="s">
        <v>422</v>
      </c>
      <c r="AC179" s="506"/>
      <c r="AD179" s="573">
        <v>1</v>
      </c>
      <c r="AE179" s="573">
        <v>2</v>
      </c>
      <c r="AF179" s="233" t="s">
        <v>3003</v>
      </c>
      <c r="AG179" s="234" t="s">
        <v>4141</v>
      </c>
      <c r="AH179" s="135">
        <v>3</v>
      </c>
      <c r="AI179" s="484"/>
      <c r="AJ179" s="235" t="s">
        <v>4142</v>
      </c>
      <c r="AK179" s="236" t="s">
        <v>24</v>
      </c>
      <c r="AL179" s="237" t="s">
        <v>24</v>
      </c>
      <c r="AM179" s="135">
        <v>87</v>
      </c>
      <c r="AN179" s="135">
        <v>17</v>
      </c>
      <c r="AO179" s="135">
        <v>72</v>
      </c>
      <c r="AP179" s="135" t="s">
        <v>4135</v>
      </c>
      <c r="AQ179" s="135" t="s">
        <v>4136</v>
      </c>
      <c r="AR179" s="135">
        <v>43.9</v>
      </c>
      <c r="AS179" s="135">
        <v>9.6</v>
      </c>
      <c r="AT179" s="135">
        <v>43.7</v>
      </c>
      <c r="AU179" s="135">
        <v>8.8000000000000007</v>
      </c>
      <c r="AV179" s="135" t="s">
        <v>4137</v>
      </c>
      <c r="AW179" s="135" t="s">
        <v>24</v>
      </c>
      <c r="AX179" s="135" t="s">
        <v>24</v>
      </c>
      <c r="AY179" s="135" t="s">
        <v>4139</v>
      </c>
      <c r="AZ179" s="135" t="s">
        <v>4138</v>
      </c>
      <c r="BA179" s="135" t="s">
        <v>4140</v>
      </c>
      <c r="BB179" s="594"/>
      <c r="BC179" s="594"/>
      <c r="BD179" s="156"/>
      <c r="BE179" s="156"/>
      <c r="BF179" s="156">
        <v>1</v>
      </c>
      <c r="BG179" s="156"/>
      <c r="BH179" s="156"/>
      <c r="BI179" s="156"/>
      <c r="BJ179" s="156">
        <v>1</v>
      </c>
      <c r="BK179" s="156"/>
      <c r="BL179" s="156">
        <v>1</v>
      </c>
      <c r="BM179" s="156"/>
      <c r="BN179" s="156"/>
      <c r="BO179" s="156"/>
      <c r="BP179" s="156"/>
      <c r="BQ179" s="595"/>
      <c r="BR179" s="157"/>
      <c r="BS179" s="660"/>
      <c r="BT179" s="134"/>
      <c r="BU179" s="134"/>
      <c r="BV179" s="134"/>
      <c r="BW179" s="134"/>
      <c r="BX179" s="134"/>
      <c r="BY179" s="134"/>
      <c r="BZ179" s="259" t="s">
        <v>24</v>
      </c>
      <c r="CA179" s="454"/>
      <c r="CB179" s="137"/>
      <c r="CC179" s="134"/>
      <c r="CD179" s="168"/>
      <c r="CE179" s="134"/>
      <c r="CF179" s="138"/>
      <c r="CG179" s="134"/>
      <c r="CH179" s="134"/>
      <c r="CI179" s="134"/>
      <c r="CJ179" s="288"/>
      <c r="CK179" s="289"/>
      <c r="CL179" s="138"/>
      <c r="CM179" s="134"/>
      <c r="CN179" s="134"/>
      <c r="CO179" s="134"/>
      <c r="CP179" s="138"/>
      <c r="CQ179" s="134"/>
      <c r="CR179" s="134"/>
      <c r="CS179" s="134"/>
      <c r="CT179" s="288"/>
      <c r="CU179" s="289"/>
      <c r="CV179" s="276"/>
      <c r="CW179" s="308"/>
      <c r="CX179" s="138"/>
      <c r="CY179" s="134"/>
      <c r="CZ179" s="134"/>
      <c r="DA179" s="134"/>
      <c r="DB179" s="134"/>
      <c r="DC179" s="134"/>
      <c r="DD179" s="134"/>
      <c r="DE179" s="134"/>
      <c r="DF179" s="300"/>
      <c r="DG179" s="301"/>
      <c r="DH179" s="134"/>
      <c r="DI179" s="134"/>
      <c r="DJ179" s="134"/>
      <c r="DK179" s="134"/>
      <c r="DL179" s="134"/>
      <c r="DM179" s="134"/>
      <c r="DN179" s="134"/>
      <c r="DO179" s="134"/>
      <c r="DP179" s="300"/>
      <c r="DQ179" s="301"/>
      <c r="DR179" s="276"/>
      <c r="DS179" s="277"/>
      <c r="DT179" s="134"/>
      <c r="DU179" s="134"/>
      <c r="DV179" s="134"/>
      <c r="DW179" s="134"/>
      <c r="DX179" s="138"/>
      <c r="DY179" s="134"/>
      <c r="DZ179" s="134"/>
      <c r="EA179" s="134"/>
      <c r="EB179" s="301"/>
      <c r="EC179" s="301"/>
      <c r="ED179" s="138"/>
      <c r="EE179" s="134"/>
      <c r="EF179" s="134"/>
      <c r="EG179" s="134"/>
      <c r="EH179" s="138"/>
      <c r="EI179" s="134"/>
      <c r="EJ179" s="134"/>
      <c r="EK179" s="134"/>
      <c r="EL179" s="301"/>
      <c r="EM179" s="301"/>
      <c r="EN179" s="277"/>
      <c r="EO179" s="134"/>
      <c r="EP179" s="134"/>
      <c r="EQ179" s="134"/>
      <c r="ER179" s="134"/>
      <c r="ES179" s="134"/>
      <c r="ET179" s="134"/>
      <c r="EU179" s="134"/>
      <c r="EV179" s="134"/>
      <c r="EW179" s="301"/>
      <c r="EX179" s="301"/>
      <c r="EY179" s="134"/>
      <c r="EZ179" s="134"/>
      <c r="FA179" s="134"/>
      <c r="FB179" s="134"/>
      <c r="FC179" s="134"/>
      <c r="FD179" s="134"/>
      <c r="FE179" s="134"/>
      <c r="FF179" s="134"/>
      <c r="FG179" s="135"/>
      <c r="FH179" s="135"/>
      <c r="FI179" s="134"/>
      <c r="FJ179" s="134"/>
      <c r="FK179" s="134"/>
      <c r="FL179" s="134"/>
      <c r="FM179" s="134"/>
      <c r="FN179" s="134"/>
      <c r="FO179" s="134"/>
      <c r="FP179" s="134"/>
      <c r="FQ179" s="135"/>
      <c r="FR179" s="135"/>
      <c r="FS179" s="134"/>
      <c r="FT179" s="134"/>
      <c r="FU179" s="134"/>
      <c r="FV179" s="134"/>
      <c r="FW179" s="134"/>
      <c r="FX179" s="134"/>
      <c r="FY179" s="134"/>
      <c r="FZ179" s="134"/>
      <c r="GA179" s="135"/>
      <c r="GB179" s="135"/>
      <c r="GC179" s="134"/>
      <c r="GD179" s="134"/>
      <c r="GE179" s="134"/>
      <c r="GF179" s="134"/>
      <c r="GG179" s="134"/>
      <c r="GH179" s="134"/>
      <c r="GI179" s="134"/>
      <c r="GJ179" s="134"/>
      <c r="GK179" s="135"/>
      <c r="GL179" s="135"/>
      <c r="GM179" s="134"/>
      <c r="GN179" s="134"/>
      <c r="GO179" s="134"/>
      <c r="GP179" s="134"/>
      <c r="GQ179" s="134"/>
      <c r="GR179" s="134"/>
      <c r="GS179" s="134"/>
      <c r="GT179" s="134"/>
      <c r="GU179" s="135"/>
      <c r="GV179" s="135"/>
      <c r="GW179" s="134"/>
      <c r="GX179" s="134"/>
      <c r="GY179" s="134"/>
      <c r="GZ179" s="134"/>
      <c r="HA179" s="134"/>
      <c r="HB179" s="134"/>
      <c r="HC179" s="134"/>
      <c r="HD179" s="134"/>
      <c r="HE179" s="135"/>
      <c r="HF179" s="135"/>
      <c r="HG179" s="134"/>
      <c r="HH179" s="134"/>
      <c r="HI179" s="134"/>
      <c r="HJ179" s="134"/>
      <c r="HK179" s="134"/>
      <c r="HL179" s="134"/>
      <c r="HM179" s="134"/>
      <c r="HN179" s="134"/>
      <c r="HO179" s="135"/>
      <c r="HP179" s="135"/>
      <c r="HQ179" s="134"/>
      <c r="HR179" s="134"/>
      <c r="HS179" s="134"/>
      <c r="HT179" s="134"/>
      <c r="HU179" s="134"/>
      <c r="HV179" s="134"/>
      <c r="HW179" s="134"/>
      <c r="HX179" s="134"/>
      <c r="HY179" s="135"/>
      <c r="HZ179" s="135"/>
      <c r="IA179" s="134"/>
      <c r="IB179" s="134"/>
      <c r="IC179" s="134"/>
      <c r="ID179" s="134"/>
      <c r="IE179" s="134"/>
      <c r="IF179" s="134"/>
      <c r="IG179" s="134"/>
      <c r="IH179" s="134"/>
      <c r="II179" s="135"/>
      <c r="IJ179" s="135"/>
      <c r="IK179" s="134"/>
      <c r="IL179" s="134"/>
      <c r="IM179" s="134"/>
      <c r="IN179" s="134"/>
      <c r="IO179" s="134"/>
      <c r="IP179" s="134"/>
      <c r="IQ179" s="134"/>
      <c r="IR179" s="134"/>
      <c r="IS179" s="135"/>
      <c r="IT179" s="135"/>
      <c r="IU179" s="134"/>
      <c r="IV179" s="134"/>
      <c r="IW179" s="134"/>
      <c r="IX179" s="134"/>
      <c r="IY179" s="134"/>
      <c r="IZ179" s="134"/>
      <c r="JA179" s="134"/>
      <c r="JB179" s="134"/>
      <c r="JC179" s="135"/>
      <c r="JD179" s="135"/>
    </row>
    <row r="180" spans="1:264" customFormat="1" ht="15" customHeight="1">
      <c r="A180" s="79" t="s">
        <v>135</v>
      </c>
      <c r="B180" s="362">
        <v>101</v>
      </c>
      <c r="C180" s="362">
        <v>20</v>
      </c>
      <c r="D180" s="362"/>
      <c r="E180" s="604" t="s">
        <v>1947</v>
      </c>
      <c r="F180" s="124" t="s">
        <v>2166</v>
      </c>
      <c r="G180" s="125">
        <v>2015</v>
      </c>
      <c r="H180" s="79">
        <v>24695267</v>
      </c>
      <c r="I180" s="79">
        <v>1</v>
      </c>
      <c r="J180" s="126"/>
      <c r="K180" s="127"/>
      <c r="L180" s="79">
        <v>1</v>
      </c>
      <c r="M180" s="79"/>
      <c r="N180" s="79">
        <v>1</v>
      </c>
      <c r="O180" s="128">
        <v>1</v>
      </c>
      <c r="P180" s="79" t="s">
        <v>429</v>
      </c>
      <c r="Q180" s="79" t="s">
        <v>1173</v>
      </c>
      <c r="R180" s="79" t="s">
        <v>412</v>
      </c>
      <c r="S180" s="79">
        <v>1</v>
      </c>
      <c r="T180" s="79"/>
      <c r="U180" s="79"/>
      <c r="V180" s="79"/>
      <c r="W180" s="79" t="s">
        <v>428</v>
      </c>
      <c r="X180" s="79"/>
      <c r="Y180" s="79"/>
      <c r="Z180" s="79"/>
      <c r="AA180" s="79"/>
      <c r="AB180" s="79"/>
      <c r="AC180" s="506"/>
      <c r="AD180" s="573">
        <v>1</v>
      </c>
      <c r="AE180" s="573">
        <v>2</v>
      </c>
      <c r="AF180" s="165" t="s">
        <v>3003</v>
      </c>
      <c r="AG180" s="166" t="s">
        <v>4144</v>
      </c>
      <c r="AH180" s="120">
        <v>0</v>
      </c>
      <c r="AI180" s="484"/>
      <c r="AJ180" s="206" t="s">
        <v>4143</v>
      </c>
      <c r="AK180" s="372"/>
      <c r="AL180" s="207" t="s">
        <v>24</v>
      </c>
      <c r="AM180" s="120">
        <v>181</v>
      </c>
      <c r="AN180" s="120">
        <v>75</v>
      </c>
      <c r="AO180" s="120">
        <v>105</v>
      </c>
      <c r="AP180" s="120"/>
      <c r="AQ180" s="120"/>
      <c r="AR180" s="120"/>
      <c r="AS180" s="120"/>
      <c r="AT180" s="120"/>
      <c r="AU180" s="120"/>
      <c r="AV180" s="120"/>
      <c r="AW180" s="120"/>
      <c r="AX180" s="120"/>
      <c r="AY180" s="120"/>
      <c r="AZ180" s="120"/>
      <c r="BA180" s="120"/>
      <c r="BB180" s="594"/>
      <c r="BC180" s="594"/>
      <c r="BD180" s="373"/>
      <c r="BE180" s="373"/>
      <c r="BF180" s="373">
        <v>1</v>
      </c>
      <c r="BG180" s="373"/>
      <c r="BH180" s="373"/>
      <c r="BI180" s="373"/>
      <c r="BJ180" s="373">
        <v>1</v>
      </c>
      <c r="BK180" s="373"/>
      <c r="BL180" s="373"/>
      <c r="BM180" s="373"/>
      <c r="BN180" s="373"/>
      <c r="BO180" s="373"/>
      <c r="BP180" s="373"/>
      <c r="BQ180" s="599"/>
      <c r="BR180" s="374"/>
      <c r="BS180" s="660"/>
      <c r="BT180" s="134"/>
      <c r="BU180" s="134"/>
      <c r="BV180" s="134"/>
      <c r="BW180" s="134"/>
      <c r="BX180" s="134"/>
      <c r="BY180" s="134"/>
      <c r="BZ180" s="259" t="s">
        <v>24</v>
      </c>
      <c r="CA180" s="454"/>
      <c r="CB180" s="137"/>
      <c r="CC180" s="134"/>
      <c r="CD180" s="168"/>
      <c r="CE180" s="134"/>
      <c r="CF180" s="138"/>
      <c r="CG180" s="134"/>
      <c r="CH180" s="134"/>
      <c r="CI180" s="134"/>
      <c r="CJ180" s="288"/>
      <c r="CK180" s="289"/>
      <c r="CL180" s="439"/>
      <c r="CM180" s="190"/>
      <c r="CN180" s="134"/>
      <c r="CO180" s="190"/>
      <c r="CP180" s="138"/>
      <c r="CQ180" s="190"/>
      <c r="CR180" s="134"/>
      <c r="CS180" s="389"/>
      <c r="CT180" s="288"/>
      <c r="CU180" s="441"/>
      <c r="CV180" s="276"/>
      <c r="CW180" s="308"/>
      <c r="CX180" s="138"/>
      <c r="CY180" s="134"/>
      <c r="CZ180" s="134"/>
      <c r="DA180" s="134"/>
      <c r="DB180" s="134"/>
      <c r="DC180" s="134"/>
      <c r="DD180" s="134"/>
      <c r="DE180" s="134"/>
      <c r="DF180" s="300"/>
      <c r="DG180" s="301"/>
      <c r="DH180" s="134"/>
      <c r="DI180" s="134"/>
      <c r="DJ180" s="134"/>
      <c r="DK180" s="134"/>
      <c r="DL180" s="134"/>
      <c r="DM180" s="134"/>
      <c r="DN180" s="134"/>
      <c r="DO180" s="134"/>
      <c r="DP180" s="300"/>
      <c r="DQ180" s="301"/>
      <c r="DR180" s="276"/>
      <c r="DS180" s="277"/>
      <c r="DT180" s="134"/>
      <c r="DU180" s="134"/>
      <c r="DV180" s="134"/>
      <c r="DW180" s="134"/>
      <c r="DX180" s="138"/>
      <c r="DY180" s="134"/>
      <c r="DZ180" s="134"/>
      <c r="EA180" s="134"/>
      <c r="EB180" s="301"/>
      <c r="EC180" s="301"/>
      <c r="ED180" s="138"/>
      <c r="EE180" s="134"/>
      <c r="EF180" s="134"/>
      <c r="EG180" s="134"/>
      <c r="EH180" s="138"/>
      <c r="EI180" s="134"/>
      <c r="EJ180" s="134"/>
      <c r="EK180" s="134"/>
      <c r="EL180" s="301"/>
      <c r="EM180" s="301"/>
      <c r="EN180" s="277"/>
      <c r="EO180" s="134"/>
      <c r="EP180" s="134"/>
      <c r="EQ180" s="134"/>
      <c r="ER180" s="134"/>
      <c r="ES180" s="134"/>
      <c r="ET180" s="134"/>
      <c r="EU180" s="134"/>
      <c r="EV180" s="134"/>
      <c r="EW180" s="301"/>
      <c r="EX180" s="301"/>
      <c r="EY180" s="134"/>
      <c r="EZ180" s="134"/>
      <c r="FA180" s="134"/>
      <c r="FB180" s="134"/>
      <c r="FC180" s="134"/>
      <c r="FD180" s="134"/>
      <c r="FE180" s="134"/>
      <c r="FF180" s="134"/>
      <c r="FG180" s="135"/>
      <c r="FH180" s="135"/>
      <c r="FI180" s="134"/>
      <c r="FJ180" s="134"/>
      <c r="FK180" s="134"/>
      <c r="FL180" s="134"/>
      <c r="FM180" s="134"/>
      <c r="FN180" s="134"/>
      <c r="FO180" s="134"/>
      <c r="FP180" s="134"/>
      <c r="FQ180" s="135"/>
      <c r="FR180" s="135"/>
      <c r="FS180" s="134"/>
      <c r="FT180" s="134"/>
      <c r="FU180" s="134"/>
      <c r="FV180" s="134"/>
      <c r="FW180" s="134"/>
      <c r="FX180" s="134"/>
      <c r="FY180" s="134"/>
      <c r="FZ180" s="134"/>
      <c r="GA180" s="135"/>
      <c r="GB180" s="135"/>
      <c r="GC180" s="134"/>
      <c r="GD180" s="134"/>
      <c r="GE180" s="134"/>
      <c r="GF180" s="134"/>
      <c r="GG180" s="134"/>
      <c r="GH180" s="134"/>
      <c r="GI180" s="134"/>
      <c r="GJ180" s="134"/>
      <c r="GK180" s="135"/>
      <c r="GL180" s="135"/>
      <c r="GM180" s="134"/>
      <c r="GN180" s="134"/>
      <c r="GO180" s="134"/>
      <c r="GP180" s="134"/>
      <c r="GQ180" s="134"/>
      <c r="GR180" s="134"/>
      <c r="GS180" s="134"/>
      <c r="GT180" s="134"/>
      <c r="GU180" s="135"/>
      <c r="GV180" s="135"/>
      <c r="GW180" s="134"/>
      <c r="GX180" s="134"/>
      <c r="GY180" s="134"/>
      <c r="GZ180" s="134"/>
      <c r="HA180" s="134"/>
      <c r="HB180" s="134"/>
      <c r="HC180" s="134"/>
      <c r="HD180" s="134"/>
      <c r="HE180" s="135"/>
      <c r="HF180" s="135"/>
      <c r="HG180" s="134"/>
      <c r="HH180" s="134"/>
      <c r="HI180" s="134"/>
      <c r="HJ180" s="134"/>
      <c r="HK180" s="134"/>
      <c r="HL180" s="134"/>
      <c r="HM180" s="134"/>
      <c r="HN180" s="134"/>
      <c r="HO180" s="135"/>
      <c r="HP180" s="135"/>
      <c r="HQ180" s="134"/>
      <c r="HR180" s="134"/>
      <c r="HS180" s="134"/>
      <c r="HT180" s="134"/>
      <c r="HU180" s="134"/>
      <c r="HV180" s="134"/>
      <c r="HW180" s="134"/>
      <c r="HX180" s="134"/>
      <c r="HY180" s="135"/>
      <c r="HZ180" s="135"/>
      <c r="IA180" s="134"/>
      <c r="IB180" s="134"/>
      <c r="IC180" s="134"/>
      <c r="ID180" s="134"/>
      <c r="IE180" s="134"/>
      <c r="IF180" s="134"/>
      <c r="IG180" s="134"/>
      <c r="IH180" s="134"/>
      <c r="II180" s="135"/>
      <c r="IJ180" s="135"/>
      <c r="IK180" s="134"/>
      <c r="IL180" s="134"/>
      <c r="IM180" s="134"/>
      <c r="IN180" s="134"/>
      <c r="IO180" s="134"/>
      <c r="IP180" s="134"/>
      <c r="IQ180" s="134"/>
      <c r="IR180" s="134"/>
      <c r="IS180" s="135"/>
      <c r="IT180" s="135"/>
      <c r="IU180" s="134"/>
      <c r="IV180" s="134"/>
      <c r="IW180" s="134"/>
      <c r="IX180" s="134"/>
      <c r="IY180" s="134"/>
      <c r="IZ180" s="134"/>
      <c r="JA180" s="134"/>
      <c r="JB180" s="134"/>
      <c r="JC180" s="135"/>
      <c r="JD180" s="135"/>
    </row>
    <row r="181" spans="1:264" customFormat="1" ht="15" customHeight="1">
      <c r="A181" s="79" t="s">
        <v>1072</v>
      </c>
      <c r="B181" s="614">
        <v>15</v>
      </c>
      <c r="C181" s="614"/>
      <c r="D181" s="614"/>
      <c r="E181" s="604" t="s">
        <v>2066</v>
      </c>
      <c r="F181" s="124" t="s">
        <v>2318</v>
      </c>
      <c r="G181" s="125">
        <v>2014</v>
      </c>
      <c r="H181" s="79">
        <v>25309354</v>
      </c>
      <c r="I181" s="79">
        <v>1</v>
      </c>
      <c r="J181" s="126" t="s">
        <v>1838</v>
      </c>
      <c r="K181" s="127"/>
      <c r="L181" s="79">
        <v>0</v>
      </c>
      <c r="M181" s="79"/>
      <c r="N181" s="79">
        <v>0</v>
      </c>
      <c r="O181" s="128">
        <v>2</v>
      </c>
      <c r="P181" s="79" t="s">
        <v>1708</v>
      </c>
      <c r="Q181" s="79" t="s">
        <v>1212</v>
      </c>
      <c r="R181" s="79" t="s">
        <v>1127</v>
      </c>
      <c r="S181" s="79"/>
      <c r="T181" s="79" t="s">
        <v>1488</v>
      </c>
      <c r="U181" s="79"/>
      <c r="V181" s="79"/>
      <c r="W181" s="79" t="s">
        <v>1301</v>
      </c>
      <c r="X181" s="79"/>
      <c r="Y181" s="79"/>
      <c r="Z181" s="79"/>
      <c r="AA181" s="79"/>
      <c r="AB181" s="79" t="s">
        <v>1302</v>
      </c>
      <c r="AC181" s="506"/>
      <c r="AD181" s="573">
        <v>1</v>
      </c>
      <c r="AE181" s="573">
        <v>2</v>
      </c>
      <c r="AF181" s="165">
        <v>0</v>
      </c>
      <c r="AG181" s="166" t="s">
        <v>3324</v>
      </c>
      <c r="AH181" s="120">
        <v>4</v>
      </c>
      <c r="AI181" s="484"/>
      <c r="AJ181" s="206" t="s">
        <v>2795</v>
      </c>
      <c r="AK181" s="192">
        <v>0</v>
      </c>
      <c r="AL181" s="207">
        <v>0</v>
      </c>
      <c r="AM181" s="120"/>
      <c r="AN181" s="120"/>
      <c r="AO181" s="120"/>
      <c r="AP181" s="120"/>
      <c r="AQ181" s="120"/>
      <c r="AR181" s="120" t="s">
        <v>23</v>
      </c>
      <c r="AS181" s="120" t="s">
        <v>24</v>
      </c>
      <c r="AT181" s="120" t="s">
        <v>23</v>
      </c>
      <c r="AU181" s="120" t="s">
        <v>24</v>
      </c>
      <c r="AV181" s="120"/>
      <c r="AW181" s="120"/>
      <c r="AX181" s="120"/>
      <c r="AY181" s="120"/>
      <c r="AZ181" s="120"/>
      <c r="BA181" s="120"/>
      <c r="BB181" s="594"/>
      <c r="BC181" s="594"/>
      <c r="BD181" s="156"/>
      <c r="BE181" s="156">
        <v>1</v>
      </c>
      <c r="BF181" s="156"/>
      <c r="BG181" s="156"/>
      <c r="BH181" s="156"/>
      <c r="BI181" s="156"/>
      <c r="BJ181" s="156"/>
      <c r="BK181" s="156"/>
      <c r="BL181" s="156"/>
      <c r="BM181" s="156"/>
      <c r="BN181" s="156"/>
      <c r="BO181" s="156"/>
      <c r="BP181" s="156"/>
      <c r="BQ181" s="595"/>
      <c r="BR181" s="157"/>
      <c r="BS181" s="660"/>
      <c r="BT181" s="134"/>
      <c r="BU181" s="134"/>
      <c r="BV181" s="134"/>
      <c r="BW181" s="134"/>
      <c r="BX181" s="134"/>
      <c r="BY181" s="134"/>
      <c r="BZ181" s="259"/>
      <c r="CA181" s="454"/>
      <c r="CB181" s="138"/>
      <c r="CC181" s="134"/>
      <c r="CD181" s="134"/>
      <c r="CE181" s="134"/>
      <c r="CF181" s="138"/>
      <c r="CG181" s="134"/>
      <c r="CH181" s="134"/>
      <c r="CI181" s="134"/>
      <c r="CJ181" s="288"/>
      <c r="CK181" s="289"/>
      <c r="CL181" s="138"/>
      <c r="CM181" s="134"/>
      <c r="CN181" s="134"/>
      <c r="CO181" s="134"/>
      <c r="CP181" s="138"/>
      <c r="CQ181" s="134"/>
      <c r="CR181" s="134"/>
      <c r="CS181" s="134"/>
      <c r="CT181" s="288"/>
      <c r="CU181" s="289"/>
      <c r="CV181" s="276"/>
      <c r="CW181" s="308"/>
      <c r="CX181" s="138"/>
      <c r="CY181" s="134"/>
      <c r="CZ181" s="134"/>
      <c r="DA181" s="134"/>
      <c r="DB181" s="134"/>
      <c r="DC181" s="134"/>
      <c r="DD181" s="134"/>
      <c r="DE181" s="134"/>
      <c r="DF181" s="300"/>
      <c r="DG181" s="301"/>
      <c r="DH181" s="134"/>
      <c r="DI181" s="134"/>
      <c r="DJ181" s="134"/>
      <c r="DK181" s="134"/>
      <c r="DL181" s="134"/>
      <c r="DM181" s="134"/>
      <c r="DN181" s="134"/>
      <c r="DO181" s="134"/>
      <c r="DP181" s="300"/>
      <c r="DQ181" s="301"/>
      <c r="DR181" s="276"/>
      <c r="DS181" s="277"/>
      <c r="DT181" s="134"/>
      <c r="DU181" s="134"/>
      <c r="DV181" s="134"/>
      <c r="DW181" s="134"/>
      <c r="DX181" s="138"/>
      <c r="DY181" s="134"/>
      <c r="DZ181" s="134"/>
      <c r="EA181" s="134"/>
      <c r="EB181" s="301"/>
      <c r="EC181" s="301"/>
      <c r="ED181" s="138"/>
      <c r="EE181" s="134"/>
      <c r="EF181" s="134"/>
      <c r="EG181" s="134"/>
      <c r="EH181" s="138"/>
      <c r="EI181" s="134"/>
      <c r="EJ181" s="134"/>
      <c r="EK181" s="134"/>
      <c r="EL181" s="301"/>
      <c r="EM181" s="301"/>
      <c r="EN181" s="277"/>
      <c r="EO181" s="134"/>
      <c r="EP181" s="134"/>
      <c r="EQ181" s="134"/>
      <c r="ER181" s="134"/>
      <c r="ES181" s="134"/>
      <c r="ET181" s="134"/>
      <c r="EU181" s="134"/>
      <c r="EV181" s="134"/>
      <c r="EW181" s="301"/>
      <c r="EX181" s="301"/>
      <c r="EY181" s="134"/>
      <c r="EZ181" s="134"/>
      <c r="FA181" s="134"/>
      <c r="FB181" s="134"/>
      <c r="FC181" s="134"/>
      <c r="FD181" s="134"/>
      <c r="FE181" s="134"/>
      <c r="FF181" s="134"/>
      <c r="FG181" s="135"/>
      <c r="FH181" s="135"/>
      <c r="FI181" s="134"/>
      <c r="FJ181" s="134"/>
      <c r="FK181" s="134"/>
      <c r="FL181" s="134"/>
      <c r="FM181" s="134"/>
      <c r="FN181" s="134"/>
      <c r="FO181" s="134"/>
      <c r="FP181" s="134"/>
      <c r="FQ181" s="135"/>
      <c r="FR181" s="135"/>
      <c r="FS181" s="134"/>
      <c r="FT181" s="134"/>
      <c r="FU181" s="134"/>
      <c r="FV181" s="134"/>
      <c r="FW181" s="134"/>
      <c r="FX181" s="134"/>
      <c r="FY181" s="134"/>
      <c r="FZ181" s="134"/>
      <c r="GA181" s="135"/>
      <c r="GB181" s="135"/>
      <c r="GC181" s="134"/>
      <c r="GD181" s="134"/>
      <c r="GE181" s="134"/>
      <c r="GF181" s="134"/>
      <c r="GG181" s="134"/>
      <c r="GH181" s="134"/>
      <c r="GI181" s="134"/>
      <c r="GJ181" s="134"/>
      <c r="GK181" s="135"/>
      <c r="GL181" s="135"/>
      <c r="GM181" s="134"/>
      <c r="GN181" s="134"/>
      <c r="GO181" s="134"/>
      <c r="GP181" s="134"/>
      <c r="GQ181" s="134"/>
      <c r="GR181" s="134"/>
      <c r="GS181" s="134"/>
      <c r="GT181" s="134"/>
      <c r="GU181" s="135"/>
      <c r="GV181" s="135"/>
      <c r="GW181" s="134"/>
      <c r="GX181" s="134"/>
      <c r="GY181" s="134"/>
      <c r="GZ181" s="134"/>
      <c r="HA181" s="134"/>
      <c r="HB181" s="134"/>
      <c r="HC181" s="134"/>
      <c r="HD181" s="134"/>
      <c r="HE181" s="135"/>
      <c r="HF181" s="135"/>
      <c r="HG181" s="134"/>
      <c r="HH181" s="134"/>
      <c r="HI181" s="134"/>
      <c r="HJ181" s="134"/>
      <c r="HK181" s="134"/>
      <c r="HL181" s="134"/>
      <c r="HM181" s="134"/>
      <c r="HN181" s="134"/>
      <c r="HO181" s="135"/>
      <c r="HP181" s="135"/>
      <c r="HQ181" s="134"/>
      <c r="HR181" s="134"/>
      <c r="HS181" s="134"/>
      <c r="HT181" s="134"/>
      <c r="HU181" s="134"/>
      <c r="HV181" s="134"/>
      <c r="HW181" s="134"/>
      <c r="HX181" s="134"/>
      <c r="HY181" s="135"/>
      <c r="HZ181" s="135"/>
      <c r="IA181" s="134"/>
      <c r="IB181" s="134"/>
      <c r="IC181" s="134"/>
      <c r="ID181" s="134"/>
      <c r="IE181" s="134"/>
      <c r="IF181" s="134"/>
      <c r="IG181" s="134"/>
      <c r="IH181" s="134"/>
      <c r="II181" s="135"/>
      <c r="IJ181" s="135"/>
      <c r="IK181" s="134"/>
      <c r="IL181" s="134"/>
      <c r="IM181" s="134"/>
      <c r="IN181" s="134"/>
      <c r="IO181" s="134"/>
      <c r="IP181" s="134"/>
      <c r="IQ181" s="134"/>
      <c r="IR181" s="134"/>
      <c r="IS181" s="135"/>
      <c r="IT181" s="135"/>
      <c r="IU181" s="134"/>
      <c r="IV181" s="134"/>
      <c r="IW181" s="134"/>
      <c r="IX181" s="134"/>
      <c r="IY181" s="134"/>
      <c r="IZ181" s="134"/>
      <c r="JA181" s="134"/>
      <c r="JB181" s="134"/>
      <c r="JC181" s="135"/>
      <c r="JD181" s="135"/>
    </row>
    <row r="182" spans="1:264" customFormat="1" ht="15" customHeight="1">
      <c r="A182" s="118" t="s">
        <v>1071</v>
      </c>
      <c r="B182" s="614">
        <v>16</v>
      </c>
      <c r="C182" s="614"/>
      <c r="D182" s="614"/>
      <c r="E182" s="605" t="s">
        <v>2067</v>
      </c>
      <c r="F182" s="140" t="s">
        <v>2319</v>
      </c>
      <c r="G182" s="141">
        <v>2012</v>
      </c>
      <c r="H182" s="118">
        <v>21918506</v>
      </c>
      <c r="I182" s="118">
        <v>1</v>
      </c>
      <c r="J182" s="118">
        <v>1</v>
      </c>
      <c r="K182" s="118"/>
      <c r="L182" s="118">
        <v>1</v>
      </c>
      <c r="M182" s="118"/>
      <c r="N182" s="118">
        <v>1</v>
      </c>
      <c r="O182" s="142">
        <v>2</v>
      </c>
      <c r="P182" s="118" t="s">
        <v>1306</v>
      </c>
      <c r="Q182" s="118" t="s">
        <v>1232</v>
      </c>
      <c r="R182" s="118" t="s">
        <v>1127</v>
      </c>
      <c r="S182" s="118"/>
      <c r="T182" s="118" t="s">
        <v>1487</v>
      </c>
      <c r="U182" s="118" t="s">
        <v>803</v>
      </c>
      <c r="V182" s="118" t="s">
        <v>23</v>
      </c>
      <c r="W182" s="118" t="s">
        <v>1305</v>
      </c>
      <c r="X182" s="118"/>
      <c r="Y182" s="118" t="s">
        <v>1304</v>
      </c>
      <c r="Z182" s="118"/>
      <c r="AA182" s="118"/>
      <c r="AB182" s="118"/>
      <c r="AC182" s="145"/>
      <c r="AD182" s="573">
        <v>1</v>
      </c>
      <c r="AE182" s="573">
        <v>2</v>
      </c>
      <c r="AF182" s="159">
        <v>1</v>
      </c>
      <c r="AG182" s="160" t="s">
        <v>2871</v>
      </c>
      <c r="AH182" s="122">
        <v>4</v>
      </c>
      <c r="AI182" s="485"/>
      <c r="AJ182" s="204" t="s">
        <v>2870</v>
      </c>
      <c r="AK182" s="192">
        <v>2</v>
      </c>
      <c r="AL182" s="205">
        <v>1</v>
      </c>
      <c r="AM182" s="122">
        <f>Table668[[#This Row],[Data_Subjects_n_ptsd]]+Table668[[#This Row],[Data_Subjects_n_control]]</f>
        <v>23</v>
      </c>
      <c r="AN182" s="122">
        <v>13</v>
      </c>
      <c r="AO182" s="122">
        <v>10</v>
      </c>
      <c r="AP182" s="122" t="s">
        <v>803</v>
      </c>
      <c r="AQ182" s="122" t="s">
        <v>803</v>
      </c>
      <c r="AR182" s="122" t="s">
        <v>2796</v>
      </c>
      <c r="AS182" s="122" t="s">
        <v>24</v>
      </c>
      <c r="AT182" s="122" t="s">
        <v>2796</v>
      </c>
      <c r="AU182" s="122" t="s">
        <v>24</v>
      </c>
      <c r="AV182" s="122" t="s">
        <v>2799</v>
      </c>
      <c r="AW182" s="122">
        <v>1</v>
      </c>
      <c r="AX182" s="122">
        <v>1</v>
      </c>
      <c r="AY182" s="122" t="s">
        <v>2797</v>
      </c>
      <c r="AZ182" s="122" t="s">
        <v>1130</v>
      </c>
      <c r="BA182" s="122" t="s">
        <v>2798</v>
      </c>
      <c r="BB182" s="588"/>
      <c r="BC182" s="588"/>
      <c r="BD182" s="161">
        <v>1</v>
      </c>
      <c r="BE182" s="161">
        <v>1</v>
      </c>
      <c r="BF182" s="161"/>
      <c r="BG182" s="161"/>
      <c r="BH182" s="161"/>
      <c r="BI182" s="161"/>
      <c r="BJ182" s="161"/>
      <c r="BK182" s="161"/>
      <c r="BL182" s="161"/>
      <c r="BM182" s="161"/>
      <c r="BN182" s="161"/>
      <c r="BO182" s="161"/>
      <c r="BP182" s="161"/>
      <c r="BQ182" s="596" t="s">
        <v>2801</v>
      </c>
      <c r="BR182" s="157" t="s">
        <v>6608</v>
      </c>
      <c r="BS182" s="660"/>
      <c r="BT182" s="150" t="s">
        <v>1876</v>
      </c>
      <c r="BU182" s="150" t="s">
        <v>2822</v>
      </c>
      <c r="BV182" s="150" t="s">
        <v>2805</v>
      </c>
      <c r="BW182" s="150" t="s">
        <v>2471</v>
      </c>
      <c r="BX182" s="425" t="s">
        <v>2803</v>
      </c>
      <c r="BY182" s="134" t="s">
        <v>6639</v>
      </c>
      <c r="BZ182" s="258" t="s">
        <v>2867</v>
      </c>
      <c r="CA182" s="257" t="s">
        <v>6627</v>
      </c>
      <c r="CB182" s="151" t="s">
        <v>2816</v>
      </c>
      <c r="CC182" s="150">
        <v>35.414499999999997</v>
      </c>
      <c r="CD182" s="150" t="s">
        <v>24</v>
      </c>
      <c r="CE182" s="150">
        <f>52.6224-Table668[[#This Row],[Data_Outcome1_M]]</f>
        <v>17.207900000000002</v>
      </c>
      <c r="CF182" s="151" t="s">
        <v>2819</v>
      </c>
      <c r="CG182" s="150">
        <v>100.119</v>
      </c>
      <c r="CH182" s="150" t="s">
        <v>24</v>
      </c>
      <c r="CI182" s="150">
        <f>121.048-Table668[[#This Row],[Data_Outcome2_M]]</f>
        <v>20.929000000000002</v>
      </c>
      <c r="CJ182" s="290" t="s">
        <v>2856</v>
      </c>
      <c r="CK182" s="291" t="s">
        <v>2847</v>
      </c>
      <c r="CL182" s="151" t="s">
        <v>2817</v>
      </c>
      <c r="CM182" s="150">
        <v>12.856999999999999</v>
      </c>
      <c r="CN182" s="150" t="s">
        <v>24</v>
      </c>
      <c r="CO182" s="150">
        <f>18.9022-Table668[[#This Row],[Data_Outcome3_M]]</f>
        <v>6.0452000000000012</v>
      </c>
      <c r="CP182" s="151" t="s">
        <v>2818</v>
      </c>
      <c r="CQ182" s="150">
        <v>26.860800000000001</v>
      </c>
      <c r="CR182" s="150" t="s">
        <v>24</v>
      </c>
      <c r="CS182" s="150">
        <f>39.8841-Table668[[#This Row],[Data_Outcome4_M]]</f>
        <v>13.023299999999995</v>
      </c>
      <c r="CT182" s="290" t="s">
        <v>2848</v>
      </c>
      <c r="CU182" s="291" t="s">
        <v>2480</v>
      </c>
      <c r="CV182" s="278"/>
      <c r="CW182" s="285"/>
      <c r="CX182" s="167"/>
      <c r="CY182" s="150"/>
      <c r="CZ182" s="228"/>
      <c r="DA182" s="150"/>
      <c r="DB182" s="228"/>
      <c r="DC182" s="150"/>
      <c r="DD182" s="228"/>
      <c r="DE182" s="150"/>
      <c r="DF182" s="302"/>
      <c r="DG182" s="303"/>
      <c r="DH182" s="150"/>
      <c r="DI182" s="150"/>
      <c r="DJ182" s="150"/>
      <c r="DK182" s="150"/>
      <c r="DL182" s="150"/>
      <c r="DM182" s="150"/>
      <c r="DN182" s="150"/>
      <c r="DO182" s="150"/>
      <c r="DP182" s="302"/>
      <c r="DQ182" s="303"/>
      <c r="DR182" s="278"/>
      <c r="DS182" s="279"/>
      <c r="DT182" s="150"/>
      <c r="DU182" s="150"/>
      <c r="DV182" s="150"/>
      <c r="DW182" s="150"/>
      <c r="DX182" s="151"/>
      <c r="DY182" s="150"/>
      <c r="DZ182" s="150"/>
      <c r="EA182" s="150"/>
      <c r="EB182" s="303"/>
      <c r="EC182" s="303"/>
      <c r="ED182" s="151"/>
      <c r="EE182" s="150"/>
      <c r="EF182" s="150"/>
      <c r="EG182" s="150"/>
      <c r="EH182" s="151"/>
      <c r="EI182" s="150"/>
      <c r="EJ182" s="150"/>
      <c r="EK182" s="150"/>
      <c r="EL182" s="303"/>
      <c r="EM182" s="303"/>
      <c r="EN182" s="279"/>
      <c r="EO182" s="150"/>
      <c r="EP182" s="150"/>
      <c r="EQ182" s="150"/>
      <c r="ER182" s="150"/>
      <c r="ES182" s="150"/>
      <c r="ET182" s="150"/>
      <c r="EU182" s="150"/>
      <c r="EV182" s="150"/>
      <c r="EW182" s="303"/>
      <c r="EX182" s="303"/>
      <c r="EY182" s="150"/>
      <c r="EZ182" s="150"/>
      <c r="FA182" s="150"/>
      <c r="FB182" s="150"/>
      <c r="FC182" s="134"/>
      <c r="FD182" s="134"/>
      <c r="FE182" s="134"/>
      <c r="FF182" s="134"/>
      <c r="FG182" s="135"/>
      <c r="FH182" s="135"/>
      <c r="FI182" s="134"/>
      <c r="FJ182" s="134"/>
      <c r="FK182" s="134"/>
      <c r="FL182" s="134"/>
      <c r="FM182" s="134"/>
      <c r="FN182" s="134"/>
      <c r="FO182" s="134"/>
      <c r="FP182" s="134"/>
      <c r="FQ182" s="135"/>
      <c r="FR182" s="135"/>
      <c r="FS182" s="134"/>
      <c r="FT182" s="134"/>
      <c r="FU182" s="134"/>
      <c r="FV182" s="134"/>
      <c r="FW182" s="134"/>
      <c r="FX182" s="134"/>
      <c r="FY182" s="134"/>
      <c r="FZ182" s="134"/>
      <c r="GA182" s="135"/>
      <c r="GB182" s="135"/>
      <c r="GC182" s="134"/>
      <c r="GD182" s="134"/>
      <c r="GE182" s="134"/>
      <c r="GF182" s="134"/>
      <c r="GG182" s="134"/>
      <c r="GH182" s="134"/>
      <c r="GI182" s="134"/>
      <c r="GJ182" s="134"/>
      <c r="GK182" s="135"/>
      <c r="GL182" s="135"/>
      <c r="GM182" s="134"/>
      <c r="GN182" s="134"/>
      <c r="GO182" s="134"/>
      <c r="GP182" s="134"/>
      <c r="GQ182" s="134"/>
      <c r="GR182" s="134"/>
      <c r="GS182" s="134"/>
      <c r="GT182" s="134"/>
      <c r="GU182" s="135"/>
      <c r="GV182" s="135"/>
      <c r="GW182" s="134"/>
      <c r="GX182" s="134"/>
      <c r="GY182" s="134"/>
      <c r="GZ182" s="134"/>
      <c r="HA182" s="134"/>
      <c r="HB182" s="134"/>
      <c r="HC182" s="134"/>
      <c r="HD182" s="134"/>
      <c r="HE182" s="135"/>
      <c r="HF182" s="135"/>
      <c r="HG182" s="134"/>
      <c r="HH182" s="134"/>
      <c r="HI182" s="134"/>
      <c r="HJ182" s="134"/>
      <c r="HK182" s="134"/>
      <c r="HL182" s="134"/>
      <c r="HM182" s="134"/>
      <c r="HN182" s="134"/>
      <c r="HO182" s="135"/>
      <c r="HP182" s="135"/>
      <c r="HQ182" s="134"/>
      <c r="HR182" s="134"/>
      <c r="HS182" s="134"/>
      <c r="HT182" s="134"/>
      <c r="HU182" s="134"/>
      <c r="HV182" s="134"/>
      <c r="HW182" s="134"/>
      <c r="HX182" s="134"/>
      <c r="HY182" s="135"/>
      <c r="HZ182" s="135"/>
      <c r="IA182" s="134"/>
      <c r="IB182" s="134"/>
      <c r="IC182" s="134"/>
      <c r="ID182" s="134"/>
      <c r="IE182" s="134"/>
      <c r="IF182" s="134"/>
      <c r="IG182" s="134"/>
      <c r="IH182" s="134"/>
      <c r="II182" s="135"/>
      <c r="IJ182" s="135"/>
      <c r="IK182" s="134"/>
      <c r="IL182" s="134"/>
      <c r="IM182" s="134"/>
      <c r="IN182" s="134"/>
      <c r="IO182" s="134"/>
      <c r="IP182" s="134"/>
      <c r="IQ182" s="134"/>
      <c r="IR182" s="134"/>
      <c r="IS182" s="135"/>
      <c r="IT182" s="135"/>
      <c r="IU182" s="134"/>
      <c r="IV182" s="134"/>
      <c r="IW182" s="134"/>
      <c r="IX182" s="134"/>
      <c r="IY182" s="134"/>
      <c r="IZ182" s="134"/>
      <c r="JA182" s="134"/>
      <c r="JB182" s="134"/>
      <c r="JC182" s="135"/>
      <c r="JD182" s="135"/>
    </row>
    <row r="183" spans="1:264" customFormat="1" ht="15" customHeight="1">
      <c r="A183" s="118" t="s">
        <v>1071</v>
      </c>
      <c r="B183" s="614">
        <v>16</v>
      </c>
      <c r="C183" s="614"/>
      <c r="D183" s="614"/>
      <c r="E183" s="605" t="s">
        <v>2067</v>
      </c>
      <c r="F183" s="140" t="s">
        <v>2319</v>
      </c>
      <c r="G183" s="141">
        <v>2012</v>
      </c>
      <c r="H183" s="118">
        <v>21918506</v>
      </c>
      <c r="I183" s="118">
        <v>1</v>
      </c>
      <c r="J183" s="118">
        <v>1</v>
      </c>
      <c r="K183" s="118"/>
      <c r="L183" s="118">
        <v>1</v>
      </c>
      <c r="M183" s="118"/>
      <c r="N183" s="118">
        <v>1</v>
      </c>
      <c r="O183" s="142">
        <v>2</v>
      </c>
      <c r="P183" s="118" t="s">
        <v>1306</v>
      </c>
      <c r="Q183" s="118" t="s">
        <v>1232</v>
      </c>
      <c r="R183" s="118" t="s">
        <v>1127</v>
      </c>
      <c r="S183" s="118"/>
      <c r="T183" s="118" t="s">
        <v>1487</v>
      </c>
      <c r="U183" s="118" t="s">
        <v>803</v>
      </c>
      <c r="V183" s="118" t="s">
        <v>23</v>
      </c>
      <c r="W183" s="118" t="s">
        <v>1305</v>
      </c>
      <c r="X183" s="118"/>
      <c r="Y183" s="118" t="s">
        <v>1304</v>
      </c>
      <c r="Z183" s="118"/>
      <c r="AA183" s="118"/>
      <c r="AB183" s="118"/>
      <c r="AC183" s="145"/>
      <c r="AD183" s="573">
        <v>1</v>
      </c>
      <c r="AE183" s="573">
        <v>2</v>
      </c>
      <c r="AF183" s="159">
        <v>1</v>
      </c>
      <c r="AG183" s="160" t="s">
        <v>2872</v>
      </c>
      <c r="AH183" s="122">
        <v>4</v>
      </c>
      <c r="AI183" s="485"/>
      <c r="AJ183" s="204" t="s">
        <v>2870</v>
      </c>
      <c r="AK183" s="192">
        <v>2</v>
      </c>
      <c r="AL183" s="205">
        <v>1</v>
      </c>
      <c r="AM183" s="122">
        <f>Table668[[#This Row],[Data_Subjects_n_ptsd]]+Table668[[#This Row],[Data_Subjects_n_control]]</f>
        <v>23</v>
      </c>
      <c r="AN183" s="122">
        <v>12</v>
      </c>
      <c r="AO183" s="122">
        <v>11</v>
      </c>
      <c r="AP183" s="122" t="s">
        <v>803</v>
      </c>
      <c r="AQ183" s="122" t="s">
        <v>803</v>
      </c>
      <c r="AR183" s="122" t="s">
        <v>2796</v>
      </c>
      <c r="AS183" s="122" t="s">
        <v>24</v>
      </c>
      <c r="AT183" s="122" t="s">
        <v>2796</v>
      </c>
      <c r="AU183" s="122" t="s">
        <v>24</v>
      </c>
      <c r="AV183" s="122" t="s">
        <v>2799</v>
      </c>
      <c r="AW183" s="122">
        <v>1</v>
      </c>
      <c r="AX183" s="122">
        <v>1</v>
      </c>
      <c r="AY183" s="122" t="s">
        <v>2797</v>
      </c>
      <c r="AZ183" s="122" t="s">
        <v>1130</v>
      </c>
      <c r="BA183" s="122" t="s">
        <v>2798</v>
      </c>
      <c r="BB183" s="588"/>
      <c r="BC183" s="588"/>
      <c r="BD183" s="161">
        <v>1</v>
      </c>
      <c r="BE183" s="161">
        <v>1</v>
      </c>
      <c r="BF183" s="161"/>
      <c r="BG183" s="161"/>
      <c r="BH183" s="161"/>
      <c r="BI183" s="161"/>
      <c r="BJ183" s="161"/>
      <c r="BK183" s="161"/>
      <c r="BL183" s="161"/>
      <c r="BM183" s="161"/>
      <c r="BN183" s="161"/>
      <c r="BO183" s="161"/>
      <c r="BP183" s="161"/>
      <c r="BQ183" s="596" t="s">
        <v>2801</v>
      </c>
      <c r="BR183" s="157" t="s">
        <v>6608</v>
      </c>
      <c r="BS183" s="660"/>
      <c r="BT183" s="150" t="s">
        <v>1876</v>
      </c>
      <c r="BU183" s="150" t="s">
        <v>2821</v>
      </c>
      <c r="BV183" s="150" t="s">
        <v>2805</v>
      </c>
      <c r="BW183" s="150" t="s">
        <v>2471</v>
      </c>
      <c r="BX183" s="425" t="s">
        <v>2803</v>
      </c>
      <c r="BY183" s="134" t="s">
        <v>6639</v>
      </c>
      <c r="BZ183" s="258" t="s">
        <v>2867</v>
      </c>
      <c r="CA183" s="257" t="s">
        <v>6627</v>
      </c>
      <c r="CB183" s="151" t="s">
        <v>2827</v>
      </c>
      <c r="CC183" s="150">
        <v>53.333300000000001</v>
      </c>
      <c r="CD183" s="150" t="s">
        <v>24</v>
      </c>
      <c r="CE183" s="150">
        <f>68.9655-Table668[[#This Row],[Data_Outcome1_M]]</f>
        <v>15.632200000000005</v>
      </c>
      <c r="CF183" s="151" t="s">
        <v>2828</v>
      </c>
      <c r="CG183" s="266">
        <v>115.86199999999999</v>
      </c>
      <c r="CH183" s="150" t="s">
        <v>24</v>
      </c>
      <c r="CI183" s="351">
        <f>136.552-Table668[[#This Row],[Data_Outcome2_M]]</f>
        <v>20.689999999999998</v>
      </c>
      <c r="CJ183" s="290" t="s">
        <v>2866</v>
      </c>
      <c r="CK183" s="291" t="s">
        <v>2855</v>
      </c>
      <c r="CL183" s="151" t="s">
        <v>2829</v>
      </c>
      <c r="CM183" s="150">
        <v>21.1494</v>
      </c>
      <c r="CN183" s="150" t="s">
        <v>24</v>
      </c>
      <c r="CO183" s="150">
        <f>23.908-Table668[[#This Row],[Data_Outcome3_M]]</f>
        <v>2.7586000000000013</v>
      </c>
      <c r="CP183" s="151" t="s">
        <v>2830</v>
      </c>
      <c r="CQ183" s="150">
        <v>54.712600000000002</v>
      </c>
      <c r="CR183" s="150" t="s">
        <v>24</v>
      </c>
      <c r="CS183" s="150">
        <f>76.7816-Table668[[#This Row],[Data_Outcome4_M]]</f>
        <v>22.068999999999996</v>
      </c>
      <c r="CT183" s="290" t="s">
        <v>2857</v>
      </c>
      <c r="CU183" s="291" t="s">
        <v>2480</v>
      </c>
      <c r="CV183" s="278"/>
      <c r="CW183" s="285"/>
      <c r="CX183" s="151"/>
      <c r="CY183" s="150"/>
      <c r="CZ183" s="228"/>
      <c r="DA183" s="150"/>
      <c r="DB183" s="150"/>
      <c r="DC183" s="150"/>
      <c r="DD183" s="228"/>
      <c r="DE183" s="150"/>
      <c r="DF183" s="311"/>
      <c r="DG183" s="313"/>
      <c r="DH183" s="150"/>
      <c r="DI183" s="150"/>
      <c r="DJ183" s="150"/>
      <c r="DK183" s="150"/>
      <c r="DL183" s="150"/>
      <c r="DM183" s="150"/>
      <c r="DN183" s="150"/>
      <c r="DO183" s="150"/>
      <c r="DP183" s="302"/>
      <c r="DQ183" s="303"/>
      <c r="DR183" s="278"/>
      <c r="DS183" s="279"/>
      <c r="DT183" s="150"/>
      <c r="DU183" s="150"/>
      <c r="DV183" s="150"/>
      <c r="DW183" s="150"/>
      <c r="DX183" s="151"/>
      <c r="DY183" s="150"/>
      <c r="DZ183" s="150"/>
      <c r="EA183" s="150"/>
      <c r="EB183" s="303"/>
      <c r="EC183" s="303"/>
      <c r="ED183" s="151"/>
      <c r="EE183" s="150"/>
      <c r="EF183" s="150"/>
      <c r="EG183" s="150"/>
      <c r="EH183" s="151"/>
      <c r="EI183" s="150"/>
      <c r="EJ183" s="150"/>
      <c r="EK183" s="150"/>
      <c r="EL183" s="303"/>
      <c r="EM183" s="303"/>
      <c r="EN183" s="279"/>
      <c r="EO183" s="150"/>
      <c r="EP183" s="150"/>
      <c r="EQ183" s="150"/>
      <c r="ER183" s="150"/>
      <c r="ES183" s="150"/>
      <c r="ET183" s="150"/>
      <c r="EU183" s="150"/>
      <c r="EV183" s="150"/>
      <c r="EW183" s="303"/>
      <c r="EX183" s="303"/>
      <c r="EY183" s="150"/>
      <c r="EZ183" s="150"/>
      <c r="FA183" s="150"/>
      <c r="FB183" s="150"/>
      <c r="FC183" s="134"/>
      <c r="FD183" s="134"/>
      <c r="FE183" s="134"/>
      <c r="FF183" s="134"/>
      <c r="FG183" s="135"/>
      <c r="FH183" s="135"/>
      <c r="FI183" s="134"/>
      <c r="FJ183" s="134"/>
      <c r="FK183" s="134"/>
      <c r="FL183" s="134"/>
      <c r="FM183" s="134"/>
      <c r="FN183" s="134"/>
      <c r="FO183" s="134"/>
      <c r="FP183" s="134"/>
      <c r="FQ183" s="135"/>
      <c r="FR183" s="135"/>
      <c r="FS183" s="134"/>
      <c r="FT183" s="134"/>
      <c r="FU183" s="134"/>
      <c r="FV183" s="134"/>
      <c r="FW183" s="134"/>
      <c r="FX183" s="134"/>
      <c r="FY183" s="134"/>
      <c r="FZ183" s="134"/>
      <c r="GA183" s="135"/>
      <c r="GB183" s="135"/>
      <c r="GC183" s="134"/>
      <c r="GD183" s="134"/>
      <c r="GE183" s="134"/>
      <c r="GF183" s="134"/>
      <c r="GG183" s="134"/>
      <c r="GH183" s="134"/>
      <c r="GI183" s="134"/>
      <c r="GJ183" s="134"/>
      <c r="GK183" s="135"/>
      <c r="GL183" s="135"/>
      <c r="GM183" s="134"/>
      <c r="GN183" s="134"/>
      <c r="GO183" s="134"/>
      <c r="GP183" s="134"/>
      <c r="GQ183" s="134"/>
      <c r="GR183" s="134"/>
      <c r="GS183" s="134"/>
      <c r="GT183" s="134"/>
      <c r="GU183" s="135"/>
      <c r="GV183" s="135"/>
      <c r="GW183" s="134"/>
      <c r="GX183" s="134"/>
      <c r="GY183" s="134"/>
      <c r="GZ183" s="134"/>
      <c r="HA183" s="134"/>
      <c r="HB183" s="134"/>
      <c r="HC183" s="134"/>
      <c r="HD183" s="134"/>
      <c r="HE183" s="135"/>
      <c r="HF183" s="135"/>
      <c r="HG183" s="134"/>
      <c r="HH183" s="134"/>
      <c r="HI183" s="134"/>
      <c r="HJ183" s="134"/>
      <c r="HK183" s="134"/>
      <c r="HL183" s="134"/>
      <c r="HM183" s="134"/>
      <c r="HN183" s="134"/>
      <c r="HO183" s="135"/>
      <c r="HP183" s="135"/>
      <c r="HQ183" s="134"/>
      <c r="HR183" s="134"/>
      <c r="HS183" s="134"/>
      <c r="HT183" s="134"/>
      <c r="HU183" s="134"/>
      <c r="HV183" s="134"/>
      <c r="HW183" s="134"/>
      <c r="HX183" s="134"/>
      <c r="HY183" s="135"/>
      <c r="HZ183" s="135"/>
      <c r="IA183" s="134"/>
      <c r="IB183" s="134"/>
      <c r="IC183" s="134"/>
      <c r="ID183" s="134"/>
      <c r="IE183" s="134"/>
      <c r="IF183" s="134"/>
      <c r="IG183" s="134"/>
      <c r="IH183" s="134"/>
      <c r="II183" s="135"/>
      <c r="IJ183" s="135"/>
      <c r="IK183" s="134"/>
      <c r="IL183" s="134"/>
      <c r="IM183" s="134"/>
      <c r="IN183" s="134"/>
      <c r="IO183" s="134"/>
      <c r="IP183" s="134"/>
      <c r="IQ183" s="134"/>
      <c r="IR183" s="134"/>
      <c r="IS183" s="135"/>
      <c r="IT183" s="135"/>
      <c r="IU183" s="134"/>
      <c r="IV183" s="134"/>
      <c r="IW183" s="134"/>
      <c r="IX183" s="134"/>
      <c r="IY183" s="134"/>
      <c r="IZ183" s="134"/>
      <c r="JA183" s="134"/>
      <c r="JB183" s="134"/>
      <c r="JC183" s="135"/>
      <c r="JD183" s="135"/>
    </row>
    <row r="184" spans="1:264" customFormat="1" ht="15" customHeight="1">
      <c r="A184" s="118" t="s">
        <v>1071</v>
      </c>
      <c r="B184" s="614">
        <v>16</v>
      </c>
      <c r="C184" s="614"/>
      <c r="D184" s="614"/>
      <c r="E184" s="605" t="s">
        <v>2067</v>
      </c>
      <c r="F184" s="140" t="s">
        <v>2319</v>
      </c>
      <c r="G184" s="141">
        <v>2012</v>
      </c>
      <c r="H184" s="118">
        <v>21918506</v>
      </c>
      <c r="I184" s="118">
        <v>1</v>
      </c>
      <c r="J184" s="118">
        <v>1</v>
      </c>
      <c r="K184" s="118"/>
      <c r="L184" s="118">
        <v>1</v>
      </c>
      <c r="M184" s="118"/>
      <c r="N184" s="118">
        <v>1</v>
      </c>
      <c r="O184" s="142">
        <v>2</v>
      </c>
      <c r="P184" s="118" t="s">
        <v>1306</v>
      </c>
      <c r="Q184" s="118" t="s">
        <v>1232</v>
      </c>
      <c r="R184" s="118" t="s">
        <v>1127</v>
      </c>
      <c r="S184" s="118"/>
      <c r="T184" s="118" t="s">
        <v>1487</v>
      </c>
      <c r="U184" s="118" t="s">
        <v>803</v>
      </c>
      <c r="V184" s="118" t="s">
        <v>23</v>
      </c>
      <c r="W184" s="118" t="s">
        <v>1305</v>
      </c>
      <c r="X184" s="118"/>
      <c r="Y184" s="118" t="s">
        <v>1304</v>
      </c>
      <c r="Z184" s="118"/>
      <c r="AA184" s="118"/>
      <c r="AB184" s="118"/>
      <c r="AC184" s="145"/>
      <c r="AD184" s="573">
        <v>1</v>
      </c>
      <c r="AE184" s="573">
        <v>2</v>
      </c>
      <c r="AF184" s="159">
        <v>1</v>
      </c>
      <c r="AG184" s="160"/>
      <c r="AH184" s="122">
        <v>4</v>
      </c>
      <c r="AI184" s="485"/>
      <c r="AJ184" s="204" t="s">
        <v>2870</v>
      </c>
      <c r="AK184" s="192">
        <v>2</v>
      </c>
      <c r="AL184" s="205">
        <v>1</v>
      </c>
      <c r="AM184" s="122">
        <f>Table668[[#This Row],[Data_Subjects_n_ptsd]]+Table668[[#This Row],[Data_Subjects_n_control]]</f>
        <v>24</v>
      </c>
      <c r="AN184" s="122">
        <v>12</v>
      </c>
      <c r="AO184" s="122">
        <v>12</v>
      </c>
      <c r="AP184" s="122" t="s">
        <v>803</v>
      </c>
      <c r="AQ184" s="122" t="s">
        <v>803</v>
      </c>
      <c r="AR184" s="122" t="s">
        <v>2796</v>
      </c>
      <c r="AS184" s="122" t="s">
        <v>24</v>
      </c>
      <c r="AT184" s="122" t="s">
        <v>2796</v>
      </c>
      <c r="AU184" s="122" t="s">
        <v>24</v>
      </c>
      <c r="AV184" s="122" t="s">
        <v>2799</v>
      </c>
      <c r="AW184" s="122">
        <v>1</v>
      </c>
      <c r="AX184" s="122">
        <v>1</v>
      </c>
      <c r="AY184" s="122" t="s">
        <v>2797</v>
      </c>
      <c r="AZ184" s="122" t="s">
        <v>1130</v>
      </c>
      <c r="BA184" s="122" t="s">
        <v>2798</v>
      </c>
      <c r="BB184" s="588"/>
      <c r="BC184" s="588"/>
      <c r="BD184" s="161">
        <v>1</v>
      </c>
      <c r="BE184" s="161">
        <v>1</v>
      </c>
      <c r="BF184" s="161"/>
      <c r="BG184" s="161"/>
      <c r="BH184" s="161"/>
      <c r="BI184" s="161"/>
      <c r="BJ184" s="161"/>
      <c r="BK184" s="161"/>
      <c r="BL184" s="161"/>
      <c r="BM184" s="161"/>
      <c r="BN184" s="161"/>
      <c r="BO184" s="161"/>
      <c r="BP184" s="161"/>
      <c r="BQ184" s="596" t="s">
        <v>2801</v>
      </c>
      <c r="BR184" s="157" t="s">
        <v>6608</v>
      </c>
      <c r="BS184" s="660"/>
      <c r="BT184" s="150" t="s">
        <v>1876</v>
      </c>
      <c r="BU184" s="150" t="s">
        <v>2823</v>
      </c>
      <c r="BV184" s="150" t="s">
        <v>2805</v>
      </c>
      <c r="BW184" s="150" t="s">
        <v>2471</v>
      </c>
      <c r="BX184" s="150" t="s">
        <v>2803</v>
      </c>
      <c r="BY184" s="134" t="s">
        <v>6639</v>
      </c>
      <c r="BZ184" s="258" t="s">
        <v>2867</v>
      </c>
      <c r="CA184" s="257" t="s">
        <v>6627</v>
      </c>
      <c r="CB184" s="151" t="s">
        <v>2833</v>
      </c>
      <c r="CC184" s="150">
        <v>40.2913</v>
      </c>
      <c r="CD184" s="150" t="s">
        <v>24</v>
      </c>
      <c r="CE184" s="150">
        <f>54.8544-Table668[[#This Row],[Data_Outcome1_M]]</f>
        <v>14.563099999999999</v>
      </c>
      <c r="CF184" s="151" t="s">
        <v>2834</v>
      </c>
      <c r="CG184" s="150">
        <v>118.447</v>
      </c>
      <c r="CH184" s="150" t="s">
        <v>24</v>
      </c>
      <c r="CI184" s="150">
        <f>139.806-Table668[[#This Row],[Data_Outcome2_M]]</f>
        <v>21.359000000000009</v>
      </c>
      <c r="CJ184" s="290" t="s">
        <v>2865</v>
      </c>
      <c r="CK184" s="291" t="s">
        <v>2846</v>
      </c>
      <c r="CL184" s="151" t="s">
        <v>2835</v>
      </c>
      <c r="CM184" s="150">
        <v>15.534000000000001</v>
      </c>
      <c r="CN184" s="150" t="s">
        <v>24</v>
      </c>
      <c r="CO184" s="150">
        <f>21.8447-Table668[[#This Row],[Data_Outcome3_M]]</f>
        <v>6.3106999999999989</v>
      </c>
      <c r="CP184" s="151" t="s">
        <v>2836</v>
      </c>
      <c r="CQ184" s="150">
        <v>30.5825</v>
      </c>
      <c r="CR184" s="150" t="s">
        <v>24</v>
      </c>
      <c r="CS184" s="150">
        <f>44.6602-Table668[[#This Row],[Data_Outcome4_M]]</f>
        <v>14.077700000000004</v>
      </c>
      <c r="CT184" s="290" t="s">
        <v>2857</v>
      </c>
      <c r="CU184" s="291" t="s">
        <v>2480</v>
      </c>
      <c r="CV184" s="278"/>
      <c r="CW184" s="285"/>
      <c r="CX184" s="151"/>
      <c r="CY184" s="150"/>
      <c r="CZ184" s="150"/>
      <c r="DA184" s="150"/>
      <c r="DB184" s="150"/>
      <c r="DC184" s="150"/>
      <c r="DD184" s="228"/>
      <c r="DE184" s="150"/>
      <c r="DF184" s="311"/>
      <c r="DG184" s="313"/>
      <c r="DH184" s="150"/>
      <c r="DI184" s="150"/>
      <c r="DJ184" s="150"/>
      <c r="DK184" s="150"/>
      <c r="DL184" s="150"/>
      <c r="DM184" s="150"/>
      <c r="DN184" s="150"/>
      <c r="DO184" s="150"/>
      <c r="DP184" s="302"/>
      <c r="DQ184" s="303"/>
      <c r="DR184" s="278"/>
      <c r="DS184" s="279"/>
      <c r="DT184" s="150"/>
      <c r="DU184" s="150"/>
      <c r="DV184" s="150"/>
      <c r="DW184" s="150"/>
      <c r="DX184" s="151"/>
      <c r="DY184" s="150"/>
      <c r="DZ184" s="150"/>
      <c r="EA184" s="150"/>
      <c r="EB184" s="303"/>
      <c r="EC184" s="303"/>
      <c r="ED184" s="151"/>
      <c r="EE184" s="150"/>
      <c r="EF184" s="150"/>
      <c r="EG184" s="150"/>
      <c r="EH184" s="151"/>
      <c r="EI184" s="150"/>
      <c r="EJ184" s="150"/>
      <c r="EK184" s="150"/>
      <c r="EL184" s="303"/>
      <c r="EM184" s="303"/>
      <c r="EN184" s="279"/>
      <c r="EO184" s="150"/>
      <c r="EP184" s="150"/>
      <c r="EQ184" s="150"/>
      <c r="ER184" s="150"/>
      <c r="ES184" s="150"/>
      <c r="ET184" s="150"/>
      <c r="EU184" s="150"/>
      <c r="EV184" s="150"/>
      <c r="EW184" s="303"/>
      <c r="EX184" s="303"/>
      <c r="EY184" s="150"/>
      <c r="EZ184" s="150"/>
      <c r="FA184" s="150"/>
      <c r="FB184" s="150"/>
      <c r="FC184" s="134"/>
      <c r="FD184" s="134"/>
      <c r="FE184" s="134"/>
      <c r="FF184" s="134"/>
      <c r="FG184" s="135"/>
      <c r="FH184" s="135"/>
      <c r="FI184" s="134"/>
      <c r="FJ184" s="134"/>
      <c r="FK184" s="134"/>
      <c r="FL184" s="134"/>
      <c r="FM184" s="134"/>
      <c r="FN184" s="134"/>
      <c r="FO184" s="134"/>
      <c r="FP184" s="134"/>
      <c r="FQ184" s="135"/>
      <c r="FR184" s="135"/>
      <c r="FS184" s="134"/>
      <c r="FT184" s="134"/>
      <c r="FU184" s="134"/>
      <c r="FV184" s="134"/>
      <c r="FW184" s="134"/>
      <c r="FX184" s="134"/>
      <c r="FY184" s="134"/>
      <c r="FZ184" s="134"/>
      <c r="GA184" s="135"/>
      <c r="GB184" s="135"/>
      <c r="GC184" s="134"/>
      <c r="GD184" s="134"/>
      <c r="GE184" s="134"/>
      <c r="GF184" s="134"/>
      <c r="GG184" s="134"/>
      <c r="GH184" s="134"/>
      <c r="GI184" s="134"/>
      <c r="GJ184" s="134"/>
      <c r="GK184" s="135"/>
      <c r="GL184" s="135"/>
      <c r="GM184" s="134"/>
      <c r="GN184" s="134"/>
      <c r="GO184" s="134"/>
      <c r="GP184" s="134"/>
      <c r="GQ184" s="134"/>
      <c r="GR184" s="134"/>
      <c r="GS184" s="134"/>
      <c r="GT184" s="134"/>
      <c r="GU184" s="135"/>
      <c r="GV184" s="135"/>
      <c r="GW184" s="134"/>
      <c r="GX184" s="134"/>
      <c r="GY184" s="134"/>
      <c r="GZ184" s="134"/>
      <c r="HA184" s="134"/>
      <c r="HB184" s="134"/>
      <c r="HC184" s="134"/>
      <c r="HD184" s="134"/>
      <c r="HE184" s="135"/>
      <c r="HF184" s="135"/>
      <c r="HG184" s="134"/>
      <c r="HH184" s="134"/>
      <c r="HI184" s="134"/>
      <c r="HJ184" s="134"/>
      <c r="HK184" s="134"/>
      <c r="HL184" s="134"/>
      <c r="HM184" s="134"/>
      <c r="HN184" s="134"/>
      <c r="HO184" s="135"/>
      <c r="HP184" s="135"/>
      <c r="HQ184" s="134"/>
      <c r="HR184" s="134"/>
      <c r="HS184" s="134"/>
      <c r="HT184" s="134"/>
      <c r="HU184" s="134"/>
      <c r="HV184" s="134"/>
      <c r="HW184" s="134"/>
      <c r="HX184" s="134"/>
      <c r="HY184" s="135"/>
      <c r="HZ184" s="135"/>
      <c r="IA184" s="134"/>
      <c r="IB184" s="134"/>
      <c r="IC184" s="134"/>
      <c r="ID184" s="134"/>
      <c r="IE184" s="134"/>
      <c r="IF184" s="134"/>
      <c r="IG184" s="134"/>
      <c r="IH184" s="134"/>
      <c r="II184" s="135"/>
      <c r="IJ184" s="135"/>
      <c r="IK184" s="134"/>
      <c r="IL184" s="134"/>
      <c r="IM184" s="134"/>
      <c r="IN184" s="134"/>
      <c r="IO184" s="134"/>
      <c r="IP184" s="134"/>
      <c r="IQ184" s="134"/>
      <c r="IR184" s="134"/>
      <c r="IS184" s="135"/>
      <c r="IT184" s="135"/>
      <c r="IU184" s="134"/>
      <c r="IV184" s="134"/>
      <c r="IW184" s="134"/>
      <c r="IX184" s="134"/>
      <c r="IY184" s="134"/>
      <c r="IZ184" s="134"/>
      <c r="JA184" s="134"/>
      <c r="JB184" s="134"/>
      <c r="JC184" s="135"/>
      <c r="JD184" s="135"/>
    </row>
    <row r="185" spans="1:264" customFormat="1" ht="15" customHeight="1">
      <c r="A185" s="118" t="s">
        <v>1071</v>
      </c>
      <c r="B185" s="614">
        <v>16</v>
      </c>
      <c r="C185" s="614"/>
      <c r="D185" s="614"/>
      <c r="E185" s="605" t="s">
        <v>2067</v>
      </c>
      <c r="F185" s="140" t="s">
        <v>2319</v>
      </c>
      <c r="G185" s="141">
        <v>2012</v>
      </c>
      <c r="H185" s="118">
        <v>21918506</v>
      </c>
      <c r="I185" s="118">
        <v>1</v>
      </c>
      <c r="J185" s="118">
        <v>1</v>
      </c>
      <c r="K185" s="118"/>
      <c r="L185" s="118">
        <v>1</v>
      </c>
      <c r="M185" s="118"/>
      <c r="N185" s="118">
        <v>1</v>
      </c>
      <c r="O185" s="142">
        <v>2</v>
      </c>
      <c r="P185" s="118" t="s">
        <v>1306</v>
      </c>
      <c r="Q185" s="118" t="s">
        <v>1232</v>
      </c>
      <c r="R185" s="118" t="s">
        <v>1127</v>
      </c>
      <c r="S185" s="118"/>
      <c r="T185" s="118" t="s">
        <v>1487</v>
      </c>
      <c r="U185" s="118" t="s">
        <v>803</v>
      </c>
      <c r="V185" s="118" t="s">
        <v>23</v>
      </c>
      <c r="W185" s="118" t="s">
        <v>1305</v>
      </c>
      <c r="X185" s="118"/>
      <c r="Y185" s="118" t="s">
        <v>1304</v>
      </c>
      <c r="Z185" s="118"/>
      <c r="AA185" s="118"/>
      <c r="AB185" s="118"/>
      <c r="AC185" s="145"/>
      <c r="AD185" s="573">
        <v>1</v>
      </c>
      <c r="AE185" s="573">
        <v>2</v>
      </c>
      <c r="AF185" s="159">
        <v>1</v>
      </c>
      <c r="AG185" s="160"/>
      <c r="AH185" s="122">
        <v>4</v>
      </c>
      <c r="AI185" s="485"/>
      <c r="AJ185" s="204" t="s">
        <v>2870</v>
      </c>
      <c r="AK185" s="192">
        <v>2</v>
      </c>
      <c r="AL185" s="205">
        <v>1</v>
      </c>
      <c r="AM185" s="122">
        <f>Table668[[#This Row],[Data_Subjects_n_ptsd]]+Table668[[#This Row],[Data_Subjects_n_control]]</f>
        <v>25</v>
      </c>
      <c r="AN185" s="122">
        <v>12</v>
      </c>
      <c r="AO185" s="122">
        <v>13</v>
      </c>
      <c r="AP185" s="122" t="s">
        <v>803</v>
      </c>
      <c r="AQ185" s="122" t="s">
        <v>803</v>
      </c>
      <c r="AR185" s="122" t="s">
        <v>2796</v>
      </c>
      <c r="AS185" s="122" t="s">
        <v>24</v>
      </c>
      <c r="AT185" s="122" t="s">
        <v>2796</v>
      </c>
      <c r="AU185" s="122" t="s">
        <v>24</v>
      </c>
      <c r="AV185" s="122" t="s">
        <v>2799</v>
      </c>
      <c r="AW185" s="122">
        <v>1</v>
      </c>
      <c r="AX185" s="122">
        <v>1</v>
      </c>
      <c r="AY185" s="122" t="s">
        <v>2797</v>
      </c>
      <c r="AZ185" s="122" t="s">
        <v>1130</v>
      </c>
      <c r="BA185" s="122" t="s">
        <v>2798</v>
      </c>
      <c r="BB185" s="588"/>
      <c r="BC185" s="588"/>
      <c r="BD185" s="161">
        <v>1</v>
      </c>
      <c r="BE185" s="161">
        <v>1</v>
      </c>
      <c r="BF185" s="161"/>
      <c r="BG185" s="161"/>
      <c r="BH185" s="161"/>
      <c r="BI185" s="161"/>
      <c r="BJ185" s="161"/>
      <c r="BK185" s="161"/>
      <c r="BL185" s="161"/>
      <c r="BM185" s="161"/>
      <c r="BN185" s="161"/>
      <c r="BO185" s="161"/>
      <c r="BP185" s="161"/>
      <c r="BQ185" s="596" t="s">
        <v>2801</v>
      </c>
      <c r="BR185" s="157" t="s">
        <v>6608</v>
      </c>
      <c r="BS185" s="660"/>
      <c r="BT185" s="150" t="s">
        <v>1876</v>
      </c>
      <c r="BU185" s="150" t="s">
        <v>2824</v>
      </c>
      <c r="BV185" s="150" t="s">
        <v>2805</v>
      </c>
      <c r="BW185" s="150" t="s">
        <v>2471</v>
      </c>
      <c r="BX185" s="150" t="s">
        <v>2803</v>
      </c>
      <c r="BY185" s="134" t="s">
        <v>6639</v>
      </c>
      <c r="BZ185" s="258" t="s">
        <v>2867</v>
      </c>
      <c r="CA185" s="257" t="s">
        <v>6627</v>
      </c>
      <c r="CB185" s="428" t="s">
        <v>2839</v>
      </c>
      <c r="CC185" s="150">
        <v>31.601700000000001</v>
      </c>
      <c r="CD185" s="150" t="s">
        <v>24</v>
      </c>
      <c r="CE185" s="150">
        <f>44.5887-Table668[[#This Row],[Data_Outcome1_M]]</f>
        <v>12.987000000000002</v>
      </c>
      <c r="CF185" s="151" t="s">
        <v>2840</v>
      </c>
      <c r="CG185" s="150">
        <v>101.732</v>
      </c>
      <c r="CH185" s="150" t="s">
        <v>24</v>
      </c>
      <c r="CI185" s="150">
        <f>122.078-Table668[[#This Row],[Data_Outcome2_M]]</f>
        <v>20.346000000000004</v>
      </c>
      <c r="CJ185" s="290" t="s">
        <v>2868</v>
      </c>
      <c r="CK185" s="291" t="s">
        <v>2869</v>
      </c>
      <c r="CL185" s="151" t="s">
        <v>2841</v>
      </c>
      <c r="CM185" s="150">
        <v>9.0909099999999992</v>
      </c>
      <c r="CN185" s="150" t="s">
        <v>24</v>
      </c>
      <c r="CO185" s="150">
        <f>11.2554-Table668[[#This Row],[Data_Outcome3_M]]</f>
        <v>2.1644900000000007</v>
      </c>
      <c r="CP185" s="151" t="s">
        <v>2842</v>
      </c>
      <c r="CQ185" s="150">
        <v>28.571400000000001</v>
      </c>
      <c r="CR185" s="150" t="s">
        <v>24</v>
      </c>
      <c r="CS185" s="150">
        <f>42.4242-Table668[[#This Row],[Data_Outcome4_M]]</f>
        <v>13.852799999999998</v>
      </c>
      <c r="CT185" s="290" t="s">
        <v>2857</v>
      </c>
      <c r="CU185" s="291" t="s">
        <v>2480</v>
      </c>
      <c r="CV185" s="278"/>
      <c r="CW185" s="285"/>
      <c r="CX185" s="151"/>
      <c r="CY185" s="150"/>
      <c r="CZ185" s="228"/>
      <c r="DA185" s="150"/>
      <c r="DB185" s="228"/>
      <c r="DC185" s="150"/>
      <c r="DD185" s="228"/>
      <c r="DE185" s="150"/>
      <c r="DF185" s="302"/>
      <c r="DG185" s="303"/>
      <c r="DH185" s="150"/>
      <c r="DI185" s="150"/>
      <c r="DJ185" s="150"/>
      <c r="DK185" s="150"/>
      <c r="DL185" s="150"/>
      <c r="DM185" s="150"/>
      <c r="DN185" s="150"/>
      <c r="DO185" s="150"/>
      <c r="DP185" s="302"/>
      <c r="DQ185" s="303"/>
      <c r="DR185" s="278"/>
      <c r="DS185" s="279"/>
      <c r="DT185" s="150"/>
      <c r="DU185" s="150"/>
      <c r="DV185" s="150"/>
      <c r="DW185" s="150"/>
      <c r="DX185" s="151"/>
      <c r="DY185" s="150"/>
      <c r="DZ185" s="150"/>
      <c r="EA185" s="150"/>
      <c r="EB185" s="303"/>
      <c r="EC185" s="303"/>
      <c r="ED185" s="151"/>
      <c r="EE185" s="150"/>
      <c r="EF185" s="150"/>
      <c r="EG185" s="150"/>
      <c r="EH185" s="151"/>
      <c r="EI185" s="150"/>
      <c r="EJ185" s="150"/>
      <c r="EK185" s="150"/>
      <c r="EL185" s="303"/>
      <c r="EM185" s="303"/>
      <c r="EN185" s="279"/>
      <c r="EO185" s="150"/>
      <c r="EP185" s="150"/>
      <c r="EQ185" s="150"/>
      <c r="ER185" s="150"/>
      <c r="ES185" s="150"/>
      <c r="ET185" s="150"/>
      <c r="EU185" s="150"/>
      <c r="EV185" s="150"/>
      <c r="EW185" s="303"/>
      <c r="EX185" s="303"/>
      <c r="EY185" s="150"/>
      <c r="EZ185" s="150"/>
      <c r="FA185" s="150"/>
      <c r="FB185" s="150"/>
      <c r="FC185" s="134"/>
      <c r="FD185" s="134"/>
      <c r="FE185" s="134"/>
      <c r="FF185" s="134"/>
      <c r="FG185" s="135"/>
      <c r="FH185" s="135"/>
      <c r="FI185" s="134"/>
      <c r="FJ185" s="134"/>
      <c r="FK185" s="134"/>
      <c r="FL185" s="134"/>
      <c r="FM185" s="134"/>
      <c r="FN185" s="134"/>
      <c r="FO185" s="134"/>
      <c r="FP185" s="134"/>
      <c r="FQ185" s="135"/>
      <c r="FR185" s="135"/>
      <c r="FS185" s="134"/>
      <c r="FT185" s="134"/>
      <c r="FU185" s="134"/>
      <c r="FV185" s="134"/>
      <c r="FW185" s="134"/>
      <c r="FX185" s="134"/>
      <c r="FY185" s="134"/>
      <c r="FZ185" s="134"/>
      <c r="GA185" s="135"/>
      <c r="GB185" s="135"/>
      <c r="GC185" s="134"/>
      <c r="GD185" s="134"/>
      <c r="GE185" s="134"/>
      <c r="GF185" s="134"/>
      <c r="GG185" s="134"/>
      <c r="GH185" s="134"/>
      <c r="GI185" s="134"/>
      <c r="GJ185" s="134"/>
      <c r="GK185" s="135"/>
      <c r="GL185" s="135"/>
      <c r="GM185" s="134"/>
      <c r="GN185" s="134"/>
      <c r="GO185" s="134"/>
      <c r="GP185" s="134"/>
      <c r="GQ185" s="134"/>
      <c r="GR185" s="134"/>
      <c r="GS185" s="134"/>
      <c r="GT185" s="134"/>
      <c r="GU185" s="135"/>
      <c r="GV185" s="135"/>
      <c r="GW185" s="134"/>
      <c r="GX185" s="134"/>
      <c r="GY185" s="134"/>
      <c r="GZ185" s="134"/>
      <c r="HA185" s="134"/>
      <c r="HB185" s="134"/>
      <c r="HC185" s="134"/>
      <c r="HD185" s="134"/>
      <c r="HE185" s="135"/>
      <c r="HF185" s="135"/>
      <c r="HG185" s="134"/>
      <c r="HH185" s="134"/>
      <c r="HI185" s="134"/>
      <c r="HJ185" s="134"/>
      <c r="HK185" s="134"/>
      <c r="HL185" s="134"/>
      <c r="HM185" s="134"/>
      <c r="HN185" s="134"/>
      <c r="HO185" s="135"/>
      <c r="HP185" s="135"/>
      <c r="HQ185" s="134"/>
      <c r="HR185" s="134"/>
      <c r="HS185" s="134"/>
      <c r="HT185" s="134"/>
      <c r="HU185" s="134"/>
      <c r="HV185" s="134"/>
      <c r="HW185" s="134"/>
      <c r="HX185" s="134"/>
      <c r="HY185" s="135"/>
      <c r="HZ185" s="135"/>
      <c r="IA185" s="134"/>
      <c r="IB185" s="134"/>
      <c r="IC185" s="134"/>
      <c r="ID185" s="134"/>
      <c r="IE185" s="134"/>
      <c r="IF185" s="134"/>
      <c r="IG185" s="134"/>
      <c r="IH185" s="134"/>
      <c r="II185" s="135"/>
      <c r="IJ185" s="135"/>
      <c r="IK185" s="134"/>
      <c r="IL185" s="134"/>
      <c r="IM185" s="134"/>
      <c r="IN185" s="134"/>
      <c r="IO185" s="134"/>
      <c r="IP185" s="134"/>
      <c r="IQ185" s="134"/>
      <c r="IR185" s="134"/>
      <c r="IS185" s="135"/>
      <c r="IT185" s="135"/>
      <c r="IU185" s="134"/>
      <c r="IV185" s="134"/>
      <c r="IW185" s="134"/>
      <c r="IX185" s="134"/>
      <c r="IY185" s="134"/>
      <c r="IZ185" s="134"/>
      <c r="JA185" s="134"/>
      <c r="JB185" s="134"/>
      <c r="JC185" s="135"/>
      <c r="JD185" s="135"/>
    </row>
    <row r="186" spans="1:264" customFormat="1" ht="15" customHeight="1">
      <c r="A186" s="79" t="s">
        <v>1071</v>
      </c>
      <c r="B186" s="614">
        <v>16</v>
      </c>
      <c r="C186" s="614"/>
      <c r="D186" s="614"/>
      <c r="E186" s="604" t="s">
        <v>2067</v>
      </c>
      <c r="F186" s="124" t="s">
        <v>2319</v>
      </c>
      <c r="G186" s="125">
        <v>2012</v>
      </c>
      <c r="H186" s="79">
        <v>21918506</v>
      </c>
      <c r="I186" s="79">
        <v>1</v>
      </c>
      <c r="J186" s="126">
        <v>1</v>
      </c>
      <c r="K186" s="127"/>
      <c r="L186" s="79">
        <v>1</v>
      </c>
      <c r="M186" s="79"/>
      <c r="N186" s="79">
        <v>1</v>
      </c>
      <c r="O186" s="128">
        <v>2</v>
      </c>
      <c r="P186" s="79" t="s">
        <v>1306</v>
      </c>
      <c r="Q186" s="79" t="s">
        <v>1232</v>
      </c>
      <c r="R186" s="79" t="s">
        <v>1127</v>
      </c>
      <c r="S186" s="79"/>
      <c r="T186" s="79" t="s">
        <v>1487</v>
      </c>
      <c r="U186" s="79" t="s">
        <v>803</v>
      </c>
      <c r="V186" s="79" t="s">
        <v>23</v>
      </c>
      <c r="W186" s="79" t="s">
        <v>1305</v>
      </c>
      <c r="X186" s="79"/>
      <c r="Y186" s="79" t="s">
        <v>1304</v>
      </c>
      <c r="Z186" s="79"/>
      <c r="AA186" s="79"/>
      <c r="AB186" s="79"/>
      <c r="AC186" s="506"/>
      <c r="AD186" s="573">
        <v>1</v>
      </c>
      <c r="AE186" s="573">
        <v>2</v>
      </c>
      <c r="AF186" s="154">
        <v>1</v>
      </c>
      <c r="AG186" s="155"/>
      <c r="AH186" s="121">
        <v>4</v>
      </c>
      <c r="AI186" s="484"/>
      <c r="AJ186" s="202" t="s">
        <v>2870</v>
      </c>
      <c r="AK186" s="192">
        <v>2</v>
      </c>
      <c r="AL186" s="203">
        <v>1</v>
      </c>
      <c r="AM186" s="121" t="s">
        <v>2843</v>
      </c>
      <c r="AN186" s="121">
        <f>13+12+12+12</f>
        <v>49</v>
      </c>
      <c r="AO186" s="121">
        <f>10+11+12+13</f>
        <v>46</v>
      </c>
      <c r="AP186" s="121" t="s">
        <v>803</v>
      </c>
      <c r="AQ186" s="121" t="s">
        <v>803</v>
      </c>
      <c r="AR186" s="121" t="s">
        <v>2796</v>
      </c>
      <c r="AS186" s="121" t="s">
        <v>24</v>
      </c>
      <c r="AT186" s="121" t="s">
        <v>2796</v>
      </c>
      <c r="AU186" s="121" t="s">
        <v>24</v>
      </c>
      <c r="AV186" s="121" t="s">
        <v>2799</v>
      </c>
      <c r="AW186" s="121">
        <v>1</v>
      </c>
      <c r="AX186" s="121">
        <v>1</v>
      </c>
      <c r="AY186" s="121" t="s">
        <v>2797</v>
      </c>
      <c r="AZ186" s="121" t="s">
        <v>1130</v>
      </c>
      <c r="BA186" s="121" t="s">
        <v>2798</v>
      </c>
      <c r="BB186" s="594"/>
      <c r="BC186" s="594"/>
      <c r="BD186" s="156">
        <v>1</v>
      </c>
      <c r="BE186" s="156">
        <v>1</v>
      </c>
      <c r="BF186" s="156"/>
      <c r="BG186" s="156"/>
      <c r="BH186" s="156"/>
      <c r="BI186" s="156"/>
      <c r="BJ186" s="156"/>
      <c r="BK186" s="156"/>
      <c r="BL186" s="156"/>
      <c r="BM186" s="156"/>
      <c r="BN186" s="156"/>
      <c r="BO186" s="156"/>
      <c r="BP186" s="156"/>
      <c r="BQ186" s="595" t="s">
        <v>2800</v>
      </c>
      <c r="BR186" s="157" t="s">
        <v>6606</v>
      </c>
      <c r="BS186" s="660"/>
      <c r="BT186" s="134" t="s">
        <v>1876</v>
      </c>
      <c r="BU186" s="134" t="s">
        <v>2814</v>
      </c>
      <c r="BV186" s="426" t="s">
        <v>2804</v>
      </c>
      <c r="BW186" s="134" t="s">
        <v>2471</v>
      </c>
      <c r="BX186" s="134" t="s">
        <v>2802</v>
      </c>
      <c r="BY186" s="134" t="s">
        <v>6639</v>
      </c>
      <c r="BZ186" s="259" t="s">
        <v>2853</v>
      </c>
      <c r="CA186" s="454" t="s">
        <v>6627</v>
      </c>
      <c r="CB186" s="138" t="s">
        <v>2806</v>
      </c>
      <c r="CC186" s="134">
        <v>11.6936</v>
      </c>
      <c r="CD186" s="134" t="s">
        <v>24</v>
      </c>
      <c r="CE186" s="134">
        <f>14.4843-Table668[[#This Row],[Data_Outcome1_M]]</f>
        <v>2.7906999999999993</v>
      </c>
      <c r="CF186" s="138" t="s">
        <v>2807</v>
      </c>
      <c r="CG186" s="134">
        <v>33.139200000000002</v>
      </c>
      <c r="CH186" s="134" t="s">
        <v>24</v>
      </c>
      <c r="CI186" s="134">
        <f>38.2555-Table668[[#This Row],[Data_Outcome2_M]]</f>
        <v>5.1162999999999954</v>
      </c>
      <c r="CJ186" s="288" t="s">
        <v>2844</v>
      </c>
      <c r="CK186" s="289" t="s">
        <v>2846</v>
      </c>
      <c r="CL186" s="138" t="s">
        <v>2808</v>
      </c>
      <c r="CM186" s="134">
        <v>8.7356300000000005</v>
      </c>
      <c r="CN186" s="134" t="s">
        <v>24</v>
      </c>
      <c r="CO186" s="134">
        <f>11.0345-Table668[[#This Row],[Data_Outcome3_M]]</f>
        <v>2.2988699999999991</v>
      </c>
      <c r="CP186" s="138" t="s">
        <v>2809</v>
      </c>
      <c r="CQ186" s="134">
        <v>36.781599999999997</v>
      </c>
      <c r="CR186" s="134" t="s">
        <v>24</v>
      </c>
      <c r="CS186" s="134">
        <f>42.2989-Table668[[#This Row],[Data_Outcome4_M]]</f>
        <v>5.5173000000000059</v>
      </c>
      <c r="CT186" s="288" t="s">
        <v>2849</v>
      </c>
      <c r="CU186" s="289" t="s">
        <v>2850</v>
      </c>
      <c r="CV186" s="276"/>
      <c r="CW186" s="308"/>
      <c r="CX186" s="138" t="s">
        <v>2810</v>
      </c>
      <c r="CY186" s="134">
        <v>11.650499999999999</v>
      </c>
      <c r="CZ186" s="134" t="s">
        <v>24</v>
      </c>
      <c r="DA186" s="134">
        <f>14.5631-Table668[[#This Row],[Data_Outcome5_M]]</f>
        <v>2.9126000000000012</v>
      </c>
      <c r="DB186" s="138" t="s">
        <v>2811</v>
      </c>
      <c r="DC186" s="134">
        <v>35.436900000000001</v>
      </c>
      <c r="DD186" s="134" t="s">
        <v>24</v>
      </c>
      <c r="DE186" s="134">
        <f>40.7767-Table668[[#This Row],[Data_Outcome6_M]]</f>
        <v>5.3397999999999968</v>
      </c>
      <c r="DF186" s="300" t="s">
        <v>2851</v>
      </c>
      <c r="DG186" s="301" t="s">
        <v>2850</v>
      </c>
      <c r="DH186" s="138" t="s">
        <v>2812</v>
      </c>
      <c r="DI186" s="134">
        <v>9.0909099999999992</v>
      </c>
      <c r="DJ186" s="134" t="s">
        <v>24</v>
      </c>
      <c r="DK186" s="134">
        <f>11.2554-Table668[[#This Row],[Data_Outcome7_M]]</f>
        <v>2.1644900000000007</v>
      </c>
      <c r="DL186" s="138" t="s">
        <v>2813</v>
      </c>
      <c r="DM186" s="134">
        <v>36.363599999999998</v>
      </c>
      <c r="DN186" s="134" t="s">
        <v>24</v>
      </c>
      <c r="DO186" s="134">
        <f>41.9913-Table668[[#This Row],[Data_Outcome8_M]]</f>
        <v>5.6277000000000044</v>
      </c>
      <c r="DP186" s="300" t="s">
        <v>2852</v>
      </c>
      <c r="DQ186" s="301" t="s">
        <v>2850</v>
      </c>
      <c r="DR186" s="276"/>
      <c r="DS186" s="277"/>
      <c r="DT186" s="134"/>
      <c r="DU186" s="134"/>
      <c r="DV186" s="134"/>
      <c r="DW186" s="134"/>
      <c r="DX186" s="138"/>
      <c r="DY186" s="134"/>
      <c r="DZ186" s="134"/>
      <c r="EA186" s="134"/>
      <c r="EB186" s="301"/>
      <c r="EC186" s="301"/>
      <c r="ED186" s="138"/>
      <c r="EE186" s="134"/>
      <c r="EF186" s="134"/>
      <c r="EG186" s="134"/>
      <c r="EH186" s="138"/>
      <c r="EI186" s="134"/>
      <c r="EJ186" s="134"/>
      <c r="EK186" s="134"/>
      <c r="EL186" s="301"/>
      <c r="EM186" s="301"/>
      <c r="EN186" s="277"/>
      <c r="EO186" s="134"/>
      <c r="EP186" s="134"/>
      <c r="EQ186" s="134"/>
      <c r="ER186" s="134"/>
      <c r="ES186" s="134"/>
      <c r="ET186" s="134"/>
      <c r="EU186" s="134"/>
      <c r="EV186" s="134"/>
      <c r="EW186" s="301"/>
      <c r="EX186" s="301"/>
      <c r="EY186" s="134"/>
      <c r="EZ186" s="134"/>
      <c r="FA186" s="134"/>
      <c r="FB186" s="134"/>
      <c r="FC186" s="134"/>
      <c r="FD186" s="134"/>
      <c r="FE186" s="134"/>
      <c r="FF186" s="134"/>
      <c r="FG186" s="135"/>
      <c r="FH186" s="135"/>
      <c r="FI186" s="134"/>
      <c r="FJ186" s="134"/>
      <c r="FK186" s="134"/>
      <c r="FL186" s="134"/>
      <c r="FM186" s="134"/>
      <c r="FN186" s="134"/>
      <c r="FO186" s="134"/>
      <c r="FP186" s="134"/>
      <c r="FQ186" s="135"/>
      <c r="FR186" s="135"/>
      <c r="FS186" s="134"/>
      <c r="FT186" s="134"/>
      <c r="FU186" s="134"/>
      <c r="FV186" s="134"/>
      <c r="FW186" s="134"/>
      <c r="FX186" s="134"/>
      <c r="FY186" s="134"/>
      <c r="FZ186" s="134"/>
      <c r="GA186" s="135"/>
      <c r="GB186" s="135"/>
      <c r="GC186" s="134"/>
      <c r="GD186" s="134"/>
      <c r="GE186" s="134"/>
      <c r="GF186" s="134"/>
      <c r="GG186" s="134"/>
      <c r="GH186" s="134"/>
      <c r="GI186" s="134"/>
      <c r="GJ186" s="134"/>
      <c r="GK186" s="135"/>
      <c r="GL186" s="135"/>
      <c r="GM186" s="134"/>
      <c r="GN186" s="134"/>
      <c r="GO186" s="134"/>
      <c r="GP186" s="134"/>
      <c r="GQ186" s="134"/>
      <c r="GR186" s="134"/>
      <c r="GS186" s="134"/>
      <c r="GT186" s="134"/>
      <c r="GU186" s="135"/>
      <c r="GV186" s="135"/>
      <c r="GW186" s="134"/>
      <c r="GX186" s="134"/>
      <c r="GY186" s="134"/>
      <c r="GZ186" s="134"/>
      <c r="HA186" s="134"/>
      <c r="HB186" s="134"/>
      <c r="HC186" s="134"/>
      <c r="HD186" s="134"/>
      <c r="HE186" s="135"/>
      <c r="HF186" s="135"/>
      <c r="HG186" s="134"/>
      <c r="HH186" s="134"/>
      <c r="HI186" s="134"/>
      <c r="HJ186" s="134"/>
      <c r="HK186" s="134"/>
      <c r="HL186" s="134"/>
      <c r="HM186" s="134"/>
      <c r="HN186" s="134"/>
      <c r="HO186" s="135"/>
      <c r="HP186" s="135"/>
      <c r="HQ186" s="134"/>
      <c r="HR186" s="134"/>
      <c r="HS186" s="134"/>
      <c r="HT186" s="134"/>
      <c r="HU186" s="134"/>
      <c r="HV186" s="134"/>
      <c r="HW186" s="134"/>
      <c r="HX186" s="134"/>
      <c r="HY186" s="135"/>
      <c r="HZ186" s="135"/>
      <c r="IA186" s="134"/>
      <c r="IB186" s="134"/>
      <c r="IC186" s="134"/>
      <c r="ID186" s="134"/>
      <c r="IE186" s="134"/>
      <c r="IF186" s="134"/>
      <c r="IG186" s="134"/>
      <c r="IH186" s="134"/>
      <c r="II186" s="135"/>
      <c r="IJ186" s="135"/>
      <c r="IK186" s="134"/>
      <c r="IL186" s="134"/>
      <c r="IM186" s="134"/>
      <c r="IN186" s="134"/>
      <c r="IO186" s="134"/>
      <c r="IP186" s="134"/>
      <c r="IQ186" s="134"/>
      <c r="IR186" s="134"/>
      <c r="IS186" s="135"/>
      <c r="IT186" s="135"/>
      <c r="IU186" s="134"/>
      <c r="IV186" s="134"/>
      <c r="IW186" s="134"/>
      <c r="IX186" s="134"/>
      <c r="IY186" s="134"/>
      <c r="IZ186" s="134"/>
      <c r="JA186" s="134"/>
      <c r="JB186" s="134"/>
      <c r="JC186" s="135"/>
      <c r="JD186" s="135"/>
    </row>
    <row r="187" spans="1:264" customFormat="1" ht="15" customHeight="1">
      <c r="A187" s="118" t="s">
        <v>1071</v>
      </c>
      <c r="B187" s="614">
        <v>16</v>
      </c>
      <c r="C187" s="614"/>
      <c r="D187" s="614"/>
      <c r="E187" s="605" t="s">
        <v>2067</v>
      </c>
      <c r="F187" s="140" t="s">
        <v>2319</v>
      </c>
      <c r="G187" s="141">
        <v>2012</v>
      </c>
      <c r="H187" s="118">
        <v>21918506</v>
      </c>
      <c r="I187" s="118">
        <v>1</v>
      </c>
      <c r="J187" s="118">
        <v>1</v>
      </c>
      <c r="K187" s="118"/>
      <c r="L187" s="118">
        <v>1</v>
      </c>
      <c r="M187" s="118"/>
      <c r="N187" s="118">
        <v>1</v>
      </c>
      <c r="O187" s="142">
        <v>2</v>
      </c>
      <c r="P187" s="118" t="s">
        <v>1306</v>
      </c>
      <c r="Q187" s="118" t="s">
        <v>1232</v>
      </c>
      <c r="R187" s="118" t="s">
        <v>1127</v>
      </c>
      <c r="S187" s="118"/>
      <c r="T187" s="118" t="s">
        <v>1487</v>
      </c>
      <c r="U187" s="118" t="s">
        <v>803</v>
      </c>
      <c r="V187" s="118" t="s">
        <v>23</v>
      </c>
      <c r="W187" s="118" t="s">
        <v>1305</v>
      </c>
      <c r="X187" s="118"/>
      <c r="Y187" s="118" t="s">
        <v>1304</v>
      </c>
      <c r="Z187" s="118"/>
      <c r="AA187" s="118"/>
      <c r="AB187" s="118"/>
      <c r="AC187" s="145"/>
      <c r="AD187" s="573">
        <v>1</v>
      </c>
      <c r="AE187" s="573">
        <v>2</v>
      </c>
      <c r="AF187" s="159">
        <v>1</v>
      </c>
      <c r="AG187" s="160"/>
      <c r="AH187" s="122">
        <v>4</v>
      </c>
      <c r="AI187" s="485"/>
      <c r="AJ187" s="204" t="s">
        <v>2870</v>
      </c>
      <c r="AK187" s="192">
        <v>2</v>
      </c>
      <c r="AL187" s="205">
        <v>1</v>
      </c>
      <c r="AM187" s="122" t="s">
        <v>2843</v>
      </c>
      <c r="AN187" s="122">
        <f>13+12+12+12</f>
        <v>49</v>
      </c>
      <c r="AO187" s="122">
        <f>10+11+12+13</f>
        <v>46</v>
      </c>
      <c r="AP187" s="122" t="s">
        <v>803</v>
      </c>
      <c r="AQ187" s="122" t="s">
        <v>803</v>
      </c>
      <c r="AR187" s="122" t="s">
        <v>2796</v>
      </c>
      <c r="AS187" s="122" t="s">
        <v>24</v>
      </c>
      <c r="AT187" s="122" t="s">
        <v>2796</v>
      </c>
      <c r="AU187" s="122" t="s">
        <v>24</v>
      </c>
      <c r="AV187" s="122" t="s">
        <v>2799</v>
      </c>
      <c r="AW187" s="122">
        <v>1</v>
      </c>
      <c r="AX187" s="122">
        <v>1</v>
      </c>
      <c r="AY187" s="122" t="s">
        <v>2797</v>
      </c>
      <c r="AZ187" s="122" t="s">
        <v>1130</v>
      </c>
      <c r="BA187" s="122" t="s">
        <v>2798</v>
      </c>
      <c r="BB187" s="588"/>
      <c r="BC187" s="588"/>
      <c r="BD187" s="161">
        <v>1</v>
      </c>
      <c r="BE187" s="161">
        <v>1</v>
      </c>
      <c r="BF187" s="161"/>
      <c r="BG187" s="161"/>
      <c r="BH187" s="161"/>
      <c r="BI187" s="161"/>
      <c r="BJ187" s="161"/>
      <c r="BK187" s="161"/>
      <c r="BL187" s="161"/>
      <c r="BM187" s="161"/>
      <c r="BN187" s="161"/>
      <c r="BO187" s="161"/>
      <c r="BP187" s="161"/>
      <c r="BQ187" s="596" t="s">
        <v>2858</v>
      </c>
      <c r="BR187" s="157" t="s">
        <v>6607</v>
      </c>
      <c r="BS187" s="660"/>
      <c r="BT187" s="150" t="s">
        <v>1876</v>
      </c>
      <c r="BU187" s="150" t="s">
        <v>2814</v>
      </c>
      <c r="BV187" s="150" t="s">
        <v>2805</v>
      </c>
      <c r="BW187" s="150" t="s">
        <v>2471</v>
      </c>
      <c r="BX187" s="150" t="s">
        <v>2803</v>
      </c>
      <c r="BY187" s="134" t="s">
        <v>6639</v>
      </c>
      <c r="BZ187" s="258" t="s">
        <v>2864</v>
      </c>
      <c r="CA187" s="257" t="s">
        <v>6627</v>
      </c>
      <c r="CB187" s="151" t="s">
        <v>2815</v>
      </c>
      <c r="CC187" s="150">
        <v>128.66999999999999</v>
      </c>
      <c r="CD187" s="150" t="s">
        <v>24</v>
      </c>
      <c r="CE187" s="150">
        <f>150.53-Table668[[#This Row],[Data_Outcome1_M]]</f>
        <v>21.860000000000014</v>
      </c>
      <c r="CF187" s="151" t="s">
        <v>2820</v>
      </c>
      <c r="CG187" s="150">
        <v>174.30099999999999</v>
      </c>
      <c r="CH187" s="150" t="s">
        <v>24</v>
      </c>
      <c r="CI187" s="150">
        <f>180.348-Table668[[#This Row],[Data_Outcome2_M]]</f>
        <v>6.0470000000000255</v>
      </c>
      <c r="CJ187" s="290" t="s">
        <v>2859</v>
      </c>
      <c r="CK187" s="291" t="s">
        <v>2845</v>
      </c>
      <c r="CL187" s="428" t="s">
        <v>2825</v>
      </c>
      <c r="CM187" s="150">
        <v>119.54</v>
      </c>
      <c r="CN187" s="150" t="s">
        <v>24</v>
      </c>
      <c r="CO187" s="150">
        <f>140.23-Table668[[#This Row],[Data_Outcome3_M]]</f>
        <v>20.689999999999984</v>
      </c>
      <c r="CP187" s="151" t="s">
        <v>2826</v>
      </c>
      <c r="CQ187" s="150">
        <v>180.23</v>
      </c>
      <c r="CR187" s="150" t="s">
        <v>24</v>
      </c>
      <c r="CS187" s="150">
        <f>181.149-Table668[[#This Row],[Data_Outcome4_M]]</f>
        <v>0.91900000000001114</v>
      </c>
      <c r="CT187" s="290" t="s">
        <v>2860</v>
      </c>
      <c r="CU187" s="291" t="s">
        <v>2854</v>
      </c>
      <c r="CV187" s="278"/>
      <c r="CW187" s="285"/>
      <c r="CX187" s="151" t="s">
        <v>2831</v>
      </c>
      <c r="CY187" s="150">
        <v>122.33</v>
      </c>
      <c r="CZ187" s="150" t="s">
        <v>24</v>
      </c>
      <c r="DA187" s="150">
        <f>141.748-Table668[[#This Row],[Data_Outcome5_M]]</f>
        <v>19.417999999999992</v>
      </c>
      <c r="DB187" s="151" t="s">
        <v>2832</v>
      </c>
      <c r="DC187" s="150">
        <v>180.09700000000001</v>
      </c>
      <c r="DD187" s="150" t="s">
        <v>24</v>
      </c>
      <c r="DE187" s="150">
        <f>181.068-Table668[[#This Row],[Data_Outcome6_M]]</f>
        <v>0.97100000000000364</v>
      </c>
      <c r="DF187" s="302" t="s">
        <v>2861</v>
      </c>
      <c r="DG187" s="303" t="s">
        <v>2862</v>
      </c>
      <c r="DH187" s="151" t="s">
        <v>2837</v>
      </c>
      <c r="DI187" s="150">
        <v>98.701300000000003</v>
      </c>
      <c r="DJ187" s="150" t="s">
        <v>24</v>
      </c>
      <c r="DK187" s="150">
        <f>117.316-Table668[[#This Row],[Data_Outcome7_M]]</f>
        <v>18.614699999999999</v>
      </c>
      <c r="DL187" s="151" t="s">
        <v>2838</v>
      </c>
      <c r="DM187" s="150">
        <v>177.05600000000001</v>
      </c>
      <c r="DN187" s="150" t="s">
        <v>24</v>
      </c>
      <c r="DO187" s="150">
        <f>179.221-Table668[[#This Row],[Data_Outcome2_M]]</f>
        <v>4.9200000000000159</v>
      </c>
      <c r="DP187" s="302" t="s">
        <v>2863</v>
      </c>
      <c r="DQ187" s="303" t="s">
        <v>2850</v>
      </c>
      <c r="DR187" s="278"/>
      <c r="DS187" s="279"/>
      <c r="DT187" s="150"/>
      <c r="DU187" s="150"/>
      <c r="DV187" s="150"/>
      <c r="DW187" s="150"/>
      <c r="DX187" s="151"/>
      <c r="DY187" s="150"/>
      <c r="DZ187" s="150"/>
      <c r="EA187" s="150"/>
      <c r="EB187" s="303"/>
      <c r="EC187" s="303"/>
      <c r="ED187" s="151"/>
      <c r="EE187" s="150"/>
      <c r="EF187" s="150"/>
      <c r="EG187" s="150"/>
      <c r="EH187" s="151"/>
      <c r="EI187" s="150"/>
      <c r="EJ187" s="150"/>
      <c r="EK187" s="150"/>
      <c r="EL187" s="303"/>
      <c r="EM187" s="303"/>
      <c r="EN187" s="279"/>
      <c r="EO187" s="150"/>
      <c r="EP187" s="150"/>
      <c r="EQ187" s="150"/>
      <c r="ER187" s="150"/>
      <c r="ES187" s="150"/>
      <c r="ET187" s="150"/>
      <c r="EU187" s="150"/>
      <c r="EV187" s="150"/>
      <c r="EW187" s="303"/>
      <c r="EX187" s="303"/>
      <c r="EY187" s="150"/>
      <c r="EZ187" s="150"/>
      <c r="FA187" s="150"/>
      <c r="FB187" s="150"/>
      <c r="FC187" s="134"/>
      <c r="FD187" s="134"/>
      <c r="FE187" s="134"/>
      <c r="FF187" s="134"/>
      <c r="FG187" s="135"/>
      <c r="FH187" s="135"/>
      <c r="FI187" s="134"/>
      <c r="FJ187" s="134"/>
      <c r="FK187" s="134"/>
      <c r="FL187" s="134"/>
      <c r="FM187" s="134"/>
      <c r="FN187" s="134"/>
      <c r="FO187" s="134"/>
      <c r="FP187" s="134"/>
      <c r="FQ187" s="135"/>
      <c r="FR187" s="135"/>
      <c r="FS187" s="134"/>
      <c r="FT187" s="134"/>
      <c r="FU187" s="134"/>
      <c r="FV187" s="134"/>
      <c r="FW187" s="134"/>
      <c r="FX187" s="134"/>
      <c r="FY187" s="134"/>
      <c r="FZ187" s="134"/>
      <c r="GA187" s="135"/>
      <c r="GB187" s="135"/>
      <c r="GC187" s="134"/>
      <c r="GD187" s="134"/>
      <c r="GE187" s="134"/>
      <c r="GF187" s="134"/>
      <c r="GG187" s="134"/>
      <c r="GH187" s="134"/>
      <c r="GI187" s="134"/>
      <c r="GJ187" s="134"/>
      <c r="GK187" s="135"/>
      <c r="GL187" s="135"/>
      <c r="GM187" s="134"/>
      <c r="GN187" s="134"/>
      <c r="GO187" s="134"/>
      <c r="GP187" s="134"/>
      <c r="GQ187" s="134"/>
      <c r="GR187" s="134"/>
      <c r="GS187" s="134"/>
      <c r="GT187" s="134"/>
      <c r="GU187" s="135"/>
      <c r="GV187" s="135"/>
      <c r="GW187" s="134"/>
      <c r="GX187" s="134"/>
      <c r="GY187" s="134"/>
      <c r="GZ187" s="134"/>
      <c r="HA187" s="134"/>
      <c r="HB187" s="134"/>
      <c r="HC187" s="134"/>
      <c r="HD187" s="134"/>
      <c r="HE187" s="135"/>
      <c r="HF187" s="135"/>
      <c r="HG187" s="134"/>
      <c r="HH187" s="134"/>
      <c r="HI187" s="134"/>
      <c r="HJ187" s="134"/>
      <c r="HK187" s="134"/>
      <c r="HL187" s="134"/>
      <c r="HM187" s="134"/>
      <c r="HN187" s="134"/>
      <c r="HO187" s="135"/>
      <c r="HP187" s="135"/>
      <c r="HQ187" s="134"/>
      <c r="HR187" s="134"/>
      <c r="HS187" s="134"/>
      <c r="HT187" s="134"/>
      <c r="HU187" s="134"/>
      <c r="HV187" s="134"/>
      <c r="HW187" s="134"/>
      <c r="HX187" s="134"/>
      <c r="HY187" s="135"/>
      <c r="HZ187" s="135"/>
      <c r="IA187" s="134"/>
      <c r="IB187" s="134"/>
      <c r="IC187" s="134"/>
      <c r="ID187" s="134"/>
      <c r="IE187" s="134"/>
      <c r="IF187" s="134"/>
      <c r="IG187" s="134"/>
      <c r="IH187" s="134"/>
      <c r="II187" s="135"/>
      <c r="IJ187" s="135"/>
      <c r="IK187" s="134"/>
      <c r="IL187" s="134"/>
      <c r="IM187" s="134"/>
      <c r="IN187" s="134"/>
      <c r="IO187" s="134"/>
      <c r="IP187" s="134"/>
      <c r="IQ187" s="134"/>
      <c r="IR187" s="134"/>
      <c r="IS187" s="135"/>
      <c r="IT187" s="135"/>
      <c r="IU187" s="134"/>
      <c r="IV187" s="134"/>
      <c r="IW187" s="134"/>
      <c r="IX187" s="134"/>
      <c r="IY187" s="134"/>
      <c r="IZ187" s="134"/>
      <c r="JA187" s="134"/>
      <c r="JB187" s="134"/>
      <c r="JC187" s="135"/>
      <c r="JD187" s="135"/>
    </row>
    <row r="188" spans="1:264" customFormat="1" ht="15" customHeight="1">
      <c r="A188" s="79" t="s">
        <v>1069</v>
      </c>
      <c r="B188" s="362">
        <v>106</v>
      </c>
      <c r="C188" s="362">
        <v>21</v>
      </c>
      <c r="D188" s="362"/>
      <c r="E188" s="604" t="s">
        <v>2069</v>
      </c>
      <c r="F188" s="124" t="s">
        <v>2321</v>
      </c>
      <c r="G188" s="125">
        <v>2015</v>
      </c>
      <c r="H188" s="79">
        <v>25750029</v>
      </c>
      <c r="I188" s="79">
        <v>1</v>
      </c>
      <c r="J188" s="126"/>
      <c r="K188" s="127"/>
      <c r="L188" s="79">
        <v>1</v>
      </c>
      <c r="M188" s="79"/>
      <c r="N188" s="79">
        <v>1</v>
      </c>
      <c r="O188" s="128">
        <v>2</v>
      </c>
      <c r="P188" s="79" t="s">
        <v>1585</v>
      </c>
      <c r="Q188" s="79" t="s">
        <v>1216</v>
      </c>
      <c r="R188" s="79" t="s">
        <v>1127</v>
      </c>
      <c r="S188" s="79"/>
      <c r="T188" s="79" t="s">
        <v>1310</v>
      </c>
      <c r="U188" s="79" t="s">
        <v>803</v>
      </c>
      <c r="V188" s="79"/>
      <c r="W188" s="79" t="s">
        <v>1311</v>
      </c>
      <c r="X188" s="79"/>
      <c r="Y188" s="79"/>
      <c r="Z188" s="79"/>
      <c r="AA188" s="79"/>
      <c r="AB188" s="79"/>
      <c r="AC188" s="506"/>
      <c r="AD188" s="573">
        <v>1</v>
      </c>
      <c r="AE188" s="573">
        <v>2</v>
      </c>
      <c r="AF188" s="154">
        <v>1</v>
      </c>
      <c r="AG188" s="155"/>
      <c r="AH188" s="121">
        <v>4</v>
      </c>
      <c r="AI188" s="484"/>
      <c r="AJ188" s="202"/>
      <c r="AK188" s="192">
        <v>0</v>
      </c>
      <c r="AL188" s="203">
        <v>0</v>
      </c>
      <c r="AM188" s="121" t="s">
        <v>4147</v>
      </c>
      <c r="AN188" s="121">
        <v>5</v>
      </c>
      <c r="AO188" s="121">
        <v>5</v>
      </c>
      <c r="AP188" s="121" t="s">
        <v>803</v>
      </c>
      <c r="AQ188" s="121" t="s">
        <v>803</v>
      </c>
      <c r="AR188" s="121" t="s">
        <v>2687</v>
      </c>
      <c r="AS188" s="121" t="s">
        <v>24</v>
      </c>
      <c r="AT188" s="121" t="s">
        <v>2687</v>
      </c>
      <c r="AU188" s="121" t="s">
        <v>24</v>
      </c>
      <c r="AV188" s="121" t="s">
        <v>4146</v>
      </c>
      <c r="AW188" s="121">
        <v>1</v>
      </c>
      <c r="AX188" s="121">
        <v>1</v>
      </c>
      <c r="AY188" s="121" t="s">
        <v>4064</v>
      </c>
      <c r="AZ188" s="121" t="s">
        <v>4145</v>
      </c>
      <c r="BA188" s="121" t="s">
        <v>3279</v>
      </c>
      <c r="BB188" s="594"/>
      <c r="BC188" s="594"/>
      <c r="BD188" s="156"/>
      <c r="BE188" s="156"/>
      <c r="BF188" s="156"/>
      <c r="BG188" s="156"/>
      <c r="BH188" s="156"/>
      <c r="BI188" s="156"/>
      <c r="BJ188" s="156">
        <v>1</v>
      </c>
      <c r="BK188" s="156"/>
      <c r="BL188" s="156"/>
      <c r="BM188" s="156"/>
      <c r="BN188" s="156"/>
      <c r="BO188" s="156"/>
      <c r="BP188" s="156"/>
      <c r="BQ188" s="595" t="s">
        <v>3563</v>
      </c>
      <c r="BR188" s="157" t="s">
        <v>6613</v>
      </c>
      <c r="BS188" s="660"/>
      <c r="BT188" s="134" t="s">
        <v>1876</v>
      </c>
      <c r="BU188" s="134" t="s">
        <v>4148</v>
      </c>
      <c r="BV188" s="134" t="s">
        <v>4149</v>
      </c>
      <c r="BW188" s="134" t="s">
        <v>4150</v>
      </c>
      <c r="BX188" s="134" t="s">
        <v>4151</v>
      </c>
      <c r="BY188" s="134"/>
      <c r="BZ188" s="259" t="s">
        <v>4159</v>
      </c>
      <c r="CA188" s="454" t="s">
        <v>24</v>
      </c>
      <c r="CB188" s="138" t="s">
        <v>4152</v>
      </c>
      <c r="CC188" s="134">
        <v>22.410699999999999</v>
      </c>
      <c r="CD188" s="134" t="s">
        <v>24</v>
      </c>
      <c r="CE188" s="134">
        <f>23.2143-Table668[[#This Row],[Data_Outcome1_M]]</f>
        <v>0.80360000000000298</v>
      </c>
      <c r="CF188" s="138" t="s">
        <v>4154</v>
      </c>
      <c r="CG188" s="134">
        <v>45.982100000000003</v>
      </c>
      <c r="CH188" s="134" t="s">
        <v>24</v>
      </c>
      <c r="CI188" s="134">
        <f>47.1429-Table668[[#This Row],[Data_Outcome2_M]]</f>
        <v>1.1607999999999947</v>
      </c>
      <c r="CJ188" s="288" t="s">
        <v>4156</v>
      </c>
      <c r="CK188" s="289" t="s">
        <v>2555</v>
      </c>
      <c r="CL188" s="138" t="s">
        <v>4153</v>
      </c>
      <c r="CM188" s="134">
        <v>46.428600000000003</v>
      </c>
      <c r="CN188" s="134" t="s">
        <v>24</v>
      </c>
      <c r="CO188" s="134">
        <f>49.6429-Table668[[#This Row],[Data_Outcome3_M]]</f>
        <v>3.2142999999999944</v>
      </c>
      <c r="CP188" s="138" t="s">
        <v>4155</v>
      </c>
      <c r="CQ188" s="134">
        <v>30.367899999999999</v>
      </c>
      <c r="CR188" s="134" t="s">
        <v>24</v>
      </c>
      <c r="CS188" s="134">
        <f>32.4107-Table668[[#This Row],[Data_Outcome4_M]]</f>
        <v>2.0427999999999997</v>
      </c>
      <c r="CT188" s="288" t="s">
        <v>4157</v>
      </c>
      <c r="CU188" s="289" t="s">
        <v>2555</v>
      </c>
      <c r="CV188" s="276" t="s">
        <v>4158</v>
      </c>
      <c r="CW188" s="308" t="s">
        <v>3026</v>
      </c>
      <c r="CX188" s="430"/>
      <c r="CY188" s="426"/>
      <c r="CZ188" s="426"/>
      <c r="DA188" s="426"/>
      <c r="DB188" s="426"/>
      <c r="DC188" s="134"/>
      <c r="DD188" s="134"/>
      <c r="DE188" s="134"/>
      <c r="DF188" s="300"/>
      <c r="DG188" s="301"/>
      <c r="DH188" s="426"/>
      <c r="DI188" s="426"/>
      <c r="DJ188" s="426"/>
      <c r="DK188" s="426"/>
      <c r="DL188" s="426"/>
      <c r="DM188" s="134"/>
      <c r="DN188" s="134"/>
      <c r="DO188" s="134"/>
      <c r="DP188" s="300"/>
      <c r="DQ188" s="301"/>
      <c r="DR188" s="276"/>
      <c r="DS188" s="277"/>
      <c r="DT188" s="426"/>
      <c r="DU188" s="426"/>
      <c r="DV188" s="426"/>
      <c r="DW188" s="426"/>
      <c r="DX188" s="430"/>
      <c r="DY188" s="134"/>
      <c r="DZ188" s="134"/>
      <c r="EA188" s="134"/>
      <c r="EB188" s="301"/>
      <c r="EC188" s="301"/>
      <c r="ED188" s="138"/>
      <c r="EE188" s="134"/>
      <c r="EF188" s="134"/>
      <c r="EG188" s="134"/>
      <c r="EH188" s="138"/>
      <c r="EI188" s="134"/>
      <c r="EJ188" s="134"/>
      <c r="EK188" s="134"/>
      <c r="EL188" s="301"/>
      <c r="EM188" s="301"/>
      <c r="EN188" s="277"/>
      <c r="EO188" s="134"/>
      <c r="EP188" s="134"/>
      <c r="EQ188" s="134"/>
      <c r="ER188" s="134"/>
      <c r="ES188" s="134"/>
      <c r="ET188" s="134"/>
      <c r="EU188" s="134"/>
      <c r="EV188" s="134"/>
      <c r="EW188" s="301"/>
      <c r="EX188" s="301"/>
      <c r="EY188" s="134"/>
      <c r="EZ188" s="134"/>
      <c r="FA188" s="134"/>
      <c r="FB188" s="134"/>
      <c r="FC188" s="134"/>
      <c r="FD188" s="134"/>
      <c r="FE188" s="134"/>
      <c r="FF188" s="134"/>
      <c r="FG188" s="135"/>
      <c r="FH188" s="135"/>
      <c r="FI188" s="134"/>
      <c r="FJ188" s="134"/>
      <c r="FK188" s="134"/>
      <c r="FL188" s="134"/>
      <c r="FM188" s="134"/>
      <c r="FN188" s="134"/>
      <c r="FO188" s="134"/>
      <c r="FP188" s="134"/>
      <c r="FQ188" s="135"/>
      <c r="FR188" s="135"/>
      <c r="FS188" s="134"/>
      <c r="FT188" s="134"/>
      <c r="FU188" s="134"/>
      <c r="FV188" s="134"/>
      <c r="FW188" s="134"/>
      <c r="FX188" s="134"/>
      <c r="FY188" s="134"/>
      <c r="FZ188" s="134"/>
      <c r="GA188" s="135"/>
      <c r="GB188" s="135"/>
      <c r="GC188" s="134"/>
      <c r="GD188" s="134"/>
      <c r="GE188" s="134"/>
      <c r="GF188" s="134"/>
      <c r="GG188" s="134"/>
      <c r="GH188" s="134"/>
      <c r="GI188" s="134"/>
      <c r="GJ188" s="134"/>
      <c r="GK188" s="135"/>
      <c r="GL188" s="135"/>
      <c r="GM188" s="134"/>
      <c r="GN188" s="134"/>
      <c r="GO188" s="134"/>
      <c r="GP188" s="134"/>
      <c r="GQ188" s="134"/>
      <c r="GR188" s="134"/>
      <c r="GS188" s="134"/>
      <c r="GT188" s="134"/>
      <c r="GU188" s="135"/>
      <c r="GV188" s="135"/>
      <c r="GW188" s="134"/>
      <c r="GX188" s="134"/>
      <c r="GY188" s="134"/>
      <c r="GZ188" s="134"/>
      <c r="HA188" s="134"/>
      <c r="HB188" s="134"/>
      <c r="HC188" s="134"/>
      <c r="HD188" s="134"/>
      <c r="HE188" s="135"/>
      <c r="HF188" s="135"/>
      <c r="HG188" s="134"/>
      <c r="HH188" s="134"/>
      <c r="HI188" s="134"/>
      <c r="HJ188" s="134"/>
      <c r="HK188" s="134"/>
      <c r="HL188" s="134"/>
      <c r="HM188" s="134"/>
      <c r="HN188" s="134"/>
      <c r="HO188" s="135"/>
      <c r="HP188" s="135"/>
      <c r="HQ188" s="134"/>
      <c r="HR188" s="134"/>
      <c r="HS188" s="134"/>
      <c r="HT188" s="134"/>
      <c r="HU188" s="134"/>
      <c r="HV188" s="134"/>
      <c r="HW188" s="134"/>
      <c r="HX188" s="134"/>
      <c r="HY188" s="135"/>
      <c r="HZ188" s="135"/>
      <c r="IA188" s="134"/>
      <c r="IB188" s="134"/>
      <c r="IC188" s="134"/>
      <c r="ID188" s="134"/>
      <c r="IE188" s="134"/>
      <c r="IF188" s="134"/>
      <c r="IG188" s="134"/>
      <c r="IH188" s="134"/>
      <c r="II188" s="135"/>
      <c r="IJ188" s="135"/>
      <c r="IK188" s="134"/>
      <c r="IL188" s="134"/>
      <c r="IM188" s="134"/>
      <c r="IN188" s="134"/>
      <c r="IO188" s="134"/>
      <c r="IP188" s="134"/>
      <c r="IQ188" s="134"/>
      <c r="IR188" s="134"/>
      <c r="IS188" s="135"/>
      <c r="IT188" s="135"/>
      <c r="IU188" s="134"/>
      <c r="IV188" s="134"/>
      <c r="IW188" s="134"/>
      <c r="IX188" s="134"/>
      <c r="IY188" s="134"/>
      <c r="IZ188" s="134"/>
      <c r="JA188" s="134"/>
      <c r="JB188" s="134"/>
      <c r="JC188" s="135"/>
      <c r="JD188" s="135"/>
    </row>
    <row r="189" spans="1:264" customFormat="1" ht="15" customHeight="1">
      <c r="A189" s="79" t="s">
        <v>141</v>
      </c>
      <c r="B189" s="362">
        <v>108</v>
      </c>
      <c r="C189" s="362">
        <v>97</v>
      </c>
      <c r="D189" s="362"/>
      <c r="E189" s="604" t="s">
        <v>1950</v>
      </c>
      <c r="F189" s="124" t="s">
        <v>2169</v>
      </c>
      <c r="G189" s="125">
        <v>2013</v>
      </c>
      <c r="H189" s="79">
        <v>23540599</v>
      </c>
      <c r="I189" s="79">
        <v>1</v>
      </c>
      <c r="J189" s="126" t="s">
        <v>1776</v>
      </c>
      <c r="K189" s="127" t="s">
        <v>1759</v>
      </c>
      <c r="L189" s="164">
        <v>1</v>
      </c>
      <c r="M189" s="79" t="s">
        <v>1737</v>
      </c>
      <c r="N189" s="164">
        <v>1</v>
      </c>
      <c r="O189" s="128">
        <v>1</v>
      </c>
      <c r="P189" s="79" t="s">
        <v>442</v>
      </c>
      <c r="Q189" s="79" t="s">
        <v>1142</v>
      </c>
      <c r="R189" s="79" t="s">
        <v>443</v>
      </c>
      <c r="S189" s="79">
        <v>1</v>
      </c>
      <c r="T189" s="79"/>
      <c r="U189" s="79"/>
      <c r="V189" s="79"/>
      <c r="W189" s="79" t="s">
        <v>444</v>
      </c>
      <c r="X189" s="79" t="s">
        <v>445</v>
      </c>
      <c r="Y189" s="79" t="s">
        <v>446</v>
      </c>
      <c r="Z189" s="79"/>
      <c r="AA189" s="79"/>
      <c r="AB189" s="79" t="s">
        <v>447</v>
      </c>
      <c r="AC189" s="506"/>
      <c r="AD189" s="573">
        <v>1</v>
      </c>
      <c r="AE189" s="573">
        <v>2</v>
      </c>
      <c r="AF189" s="165">
        <v>0</v>
      </c>
      <c r="AG189" s="166" t="s">
        <v>6154</v>
      </c>
      <c r="AH189" s="120">
        <v>2</v>
      </c>
      <c r="AI189" s="120"/>
      <c r="AJ189" s="206"/>
      <c r="AK189" s="372"/>
      <c r="AL189" s="207"/>
      <c r="AM189" s="120"/>
      <c r="AN189" s="120">
        <v>10</v>
      </c>
      <c r="AO189" s="120" t="s">
        <v>24</v>
      </c>
      <c r="AP189" s="120"/>
      <c r="AQ189" s="120"/>
      <c r="AR189" s="120"/>
      <c r="AS189" s="120"/>
      <c r="AT189" s="120"/>
      <c r="AU189" s="120"/>
      <c r="AV189" s="120"/>
      <c r="AW189" s="120"/>
      <c r="AX189" s="120"/>
      <c r="AY189" s="120"/>
      <c r="AZ189" s="120"/>
      <c r="BA189" s="120"/>
      <c r="BB189" s="594"/>
      <c r="BC189" s="594"/>
      <c r="BD189" s="373"/>
      <c r="BE189" s="373"/>
      <c r="BF189" s="373"/>
      <c r="BG189" s="373"/>
      <c r="BH189" s="373"/>
      <c r="BI189" s="373"/>
      <c r="BJ189" s="373" t="s">
        <v>1917</v>
      </c>
      <c r="BK189" s="373"/>
      <c r="BL189" s="373"/>
      <c r="BM189" s="373"/>
      <c r="BN189" s="373"/>
      <c r="BO189" s="373"/>
      <c r="BP189" s="373"/>
      <c r="BQ189" s="599"/>
      <c r="BR189" s="374"/>
      <c r="BS189" s="660"/>
      <c r="BT189" s="134"/>
      <c r="BU189" s="134"/>
      <c r="BV189" s="134"/>
      <c r="BW189" s="134"/>
      <c r="BX189" s="134"/>
      <c r="BY189" s="134"/>
      <c r="BZ189" s="259"/>
      <c r="CA189" s="454"/>
      <c r="CB189" s="138"/>
      <c r="CC189" s="134"/>
      <c r="CD189" s="134"/>
      <c r="CE189" s="134"/>
      <c r="CF189" s="138"/>
      <c r="CG189" s="134"/>
      <c r="CH189" s="134"/>
      <c r="CI189" s="134"/>
      <c r="CJ189" s="288"/>
      <c r="CK189" s="289"/>
      <c r="CL189" s="138"/>
      <c r="CM189" s="190"/>
      <c r="CN189" s="134"/>
      <c r="CO189" s="190"/>
      <c r="CP189" s="138"/>
      <c r="CQ189" s="190"/>
      <c r="CR189" s="134"/>
      <c r="CS189" s="389"/>
      <c r="CT189" s="288"/>
      <c r="CU189" s="289"/>
      <c r="CV189" s="276"/>
      <c r="CW189" s="308"/>
      <c r="CX189" s="430"/>
      <c r="CY189" s="426"/>
      <c r="CZ189" s="134"/>
      <c r="DA189" s="134"/>
      <c r="DB189" s="134"/>
      <c r="DC189" s="134"/>
      <c r="DD189" s="134"/>
      <c r="DE189" s="134"/>
      <c r="DF189" s="434"/>
      <c r="DG189" s="445"/>
      <c r="DH189" s="134"/>
      <c r="DI189" s="134"/>
      <c r="DJ189" s="134"/>
      <c r="DK189" s="134"/>
      <c r="DL189" s="134"/>
      <c r="DM189" s="134"/>
      <c r="DN189" s="134"/>
      <c r="DO189" s="134"/>
      <c r="DP189" s="300"/>
      <c r="DQ189" s="301"/>
      <c r="DR189" s="276"/>
      <c r="DS189" s="277"/>
      <c r="DT189" s="134"/>
      <c r="DU189" s="134"/>
      <c r="DV189" s="134"/>
      <c r="DW189" s="134"/>
      <c r="DX189" s="138"/>
      <c r="DY189" s="134"/>
      <c r="DZ189" s="134"/>
      <c r="EA189" s="134"/>
      <c r="EB189" s="301"/>
      <c r="EC189" s="301"/>
      <c r="ED189" s="138"/>
      <c r="EE189" s="134"/>
      <c r="EF189" s="134"/>
      <c r="EG189" s="134"/>
      <c r="EH189" s="138"/>
      <c r="EI189" s="134"/>
      <c r="EJ189" s="134"/>
      <c r="EK189" s="134"/>
      <c r="EL189" s="301"/>
      <c r="EM189" s="301"/>
      <c r="EN189" s="277"/>
      <c r="EO189" s="134"/>
      <c r="EP189" s="134"/>
      <c r="EQ189" s="134"/>
      <c r="ER189" s="134"/>
      <c r="ES189" s="134"/>
      <c r="ET189" s="134"/>
      <c r="EU189" s="134"/>
      <c r="EV189" s="134"/>
      <c r="EW189" s="301"/>
      <c r="EX189" s="301"/>
      <c r="EY189" s="134"/>
      <c r="EZ189" s="134"/>
      <c r="FA189" s="134"/>
      <c r="FB189" s="134"/>
      <c r="FC189" s="134"/>
      <c r="FD189" s="134"/>
      <c r="FE189" s="134"/>
      <c r="FF189" s="134"/>
      <c r="FG189" s="135"/>
      <c r="FH189" s="135"/>
      <c r="FI189" s="134"/>
      <c r="FJ189" s="134"/>
      <c r="FK189" s="134"/>
      <c r="FL189" s="134"/>
      <c r="FM189" s="134"/>
      <c r="FN189" s="134"/>
      <c r="FO189" s="134"/>
      <c r="FP189" s="134"/>
      <c r="FQ189" s="135"/>
      <c r="FR189" s="135"/>
      <c r="FS189" s="134"/>
      <c r="FT189" s="134"/>
      <c r="FU189" s="134"/>
      <c r="FV189" s="134"/>
      <c r="FW189" s="134"/>
      <c r="FX189" s="134"/>
      <c r="FY189" s="134"/>
      <c r="FZ189" s="134"/>
      <c r="GA189" s="135"/>
      <c r="GB189" s="135"/>
      <c r="GC189" s="134"/>
      <c r="GD189" s="134"/>
      <c r="GE189" s="134"/>
      <c r="GF189" s="134"/>
      <c r="GG189" s="134"/>
      <c r="GH189" s="134"/>
      <c r="GI189" s="134"/>
      <c r="GJ189" s="134"/>
      <c r="GK189" s="135"/>
      <c r="GL189" s="135"/>
      <c r="GM189" s="134"/>
      <c r="GN189" s="134"/>
      <c r="GO189" s="134"/>
      <c r="GP189" s="134"/>
      <c r="GQ189" s="134"/>
      <c r="GR189" s="134"/>
      <c r="GS189" s="134"/>
      <c r="GT189" s="134"/>
      <c r="GU189" s="135"/>
      <c r="GV189" s="135"/>
      <c r="GW189" s="134"/>
      <c r="GX189" s="134"/>
      <c r="GY189" s="134"/>
      <c r="GZ189" s="134"/>
      <c r="HA189" s="134"/>
      <c r="HB189" s="134"/>
      <c r="HC189" s="134"/>
      <c r="HD189" s="134"/>
      <c r="HE189" s="135"/>
      <c r="HF189" s="135"/>
      <c r="HG189" s="134"/>
      <c r="HH189" s="134"/>
      <c r="HI189" s="134"/>
      <c r="HJ189" s="134"/>
      <c r="HK189" s="134"/>
      <c r="HL189" s="134"/>
      <c r="HM189" s="134"/>
      <c r="HN189" s="134"/>
      <c r="HO189" s="135"/>
      <c r="HP189" s="135"/>
      <c r="HQ189" s="134"/>
      <c r="HR189" s="134"/>
      <c r="HS189" s="134"/>
      <c r="HT189" s="134"/>
      <c r="HU189" s="134"/>
      <c r="HV189" s="134"/>
      <c r="HW189" s="134"/>
      <c r="HX189" s="134"/>
      <c r="HY189" s="135"/>
      <c r="HZ189" s="135"/>
      <c r="IA189" s="134"/>
      <c r="IB189" s="134"/>
      <c r="IC189" s="134"/>
      <c r="ID189" s="134"/>
      <c r="IE189" s="134"/>
      <c r="IF189" s="134"/>
      <c r="IG189" s="134"/>
      <c r="IH189" s="134"/>
      <c r="II189" s="135"/>
      <c r="IJ189" s="135"/>
      <c r="IK189" s="134"/>
      <c r="IL189" s="134"/>
      <c r="IM189" s="134"/>
      <c r="IN189" s="134"/>
      <c r="IO189" s="134"/>
      <c r="IP189" s="134"/>
      <c r="IQ189" s="134"/>
      <c r="IR189" s="134"/>
      <c r="IS189" s="135"/>
      <c r="IT189" s="135"/>
      <c r="IU189" s="134"/>
      <c r="IV189" s="134"/>
      <c r="IW189" s="134"/>
      <c r="IX189" s="134"/>
      <c r="IY189" s="134"/>
      <c r="IZ189" s="134"/>
      <c r="JA189" s="134"/>
      <c r="JB189" s="134"/>
      <c r="JC189" s="135"/>
      <c r="JD189" s="135"/>
    </row>
    <row r="190" spans="1:264" customFormat="1" ht="15" customHeight="1">
      <c r="A190" s="79" t="s">
        <v>143</v>
      </c>
      <c r="B190" s="617">
        <v>109</v>
      </c>
      <c r="C190" s="617">
        <v>22</v>
      </c>
      <c r="D190" s="617"/>
      <c r="E190" s="608" t="s">
        <v>1951</v>
      </c>
      <c r="F190" s="181" t="s">
        <v>2170</v>
      </c>
      <c r="G190" s="182">
        <v>2009</v>
      </c>
      <c r="H190" s="79">
        <v>18800372</v>
      </c>
      <c r="I190" s="79">
        <v>1</v>
      </c>
      <c r="J190" s="79"/>
      <c r="K190" s="79"/>
      <c r="L190" s="79">
        <v>1</v>
      </c>
      <c r="M190" s="79"/>
      <c r="N190" s="79">
        <v>1</v>
      </c>
      <c r="O190" s="128">
        <v>1</v>
      </c>
      <c r="P190" s="79" t="s">
        <v>450</v>
      </c>
      <c r="Q190" s="79" t="s">
        <v>1147</v>
      </c>
      <c r="R190" s="79" t="s">
        <v>25</v>
      </c>
      <c r="S190" s="79">
        <v>1</v>
      </c>
      <c r="T190" s="79"/>
      <c r="U190" s="79"/>
      <c r="V190" s="79"/>
      <c r="W190" s="79" t="s">
        <v>449</v>
      </c>
      <c r="X190" s="79"/>
      <c r="Y190" s="79"/>
      <c r="Z190" s="79"/>
      <c r="AA190" s="79"/>
      <c r="AB190" s="79"/>
      <c r="AC190" s="506"/>
      <c r="AD190" s="573">
        <v>1</v>
      </c>
      <c r="AE190" s="573">
        <v>2</v>
      </c>
      <c r="AF190" s="352">
        <v>1</v>
      </c>
      <c r="AG190" s="353"/>
      <c r="AH190" s="346">
        <v>2</v>
      </c>
      <c r="AI190" s="487"/>
      <c r="AJ190" s="459" t="s">
        <v>4207</v>
      </c>
      <c r="AK190" s="348">
        <v>1</v>
      </c>
      <c r="AL190" s="349" t="s">
        <v>24</v>
      </c>
      <c r="AM190" s="346">
        <f>Table668[[#This Row],[Data_Subjects_n_ptsd]]+Table668[[#This Row],[Data_Subjects_n_control]]</f>
        <v>50</v>
      </c>
      <c r="AN190" s="346">
        <v>25</v>
      </c>
      <c r="AO190" s="346">
        <v>25</v>
      </c>
      <c r="AP190" s="346" t="s">
        <v>803</v>
      </c>
      <c r="AQ190" s="346" t="s">
        <v>803</v>
      </c>
      <c r="AR190" s="346">
        <v>33.32</v>
      </c>
      <c r="AS190" s="346">
        <v>4.76</v>
      </c>
      <c r="AT190" s="346">
        <v>34.799999999999997</v>
      </c>
      <c r="AU190" s="346">
        <v>4.5999999999999996</v>
      </c>
      <c r="AV190" s="346" t="s">
        <v>4160</v>
      </c>
      <c r="AW190" s="346" t="s">
        <v>24</v>
      </c>
      <c r="AX190" s="346" t="s">
        <v>24</v>
      </c>
      <c r="AY190" s="346" t="s">
        <v>4161</v>
      </c>
      <c r="AZ190" s="346" t="s">
        <v>3835</v>
      </c>
      <c r="BA190" s="346" t="s">
        <v>4162</v>
      </c>
      <c r="BB190" s="598"/>
      <c r="BC190" s="598"/>
      <c r="BD190" s="184"/>
      <c r="BE190" s="184"/>
      <c r="BF190" s="184"/>
      <c r="BG190" s="184"/>
      <c r="BH190" s="184"/>
      <c r="BI190" s="184"/>
      <c r="BJ190" s="184">
        <v>1</v>
      </c>
      <c r="BK190" s="184"/>
      <c r="BL190" s="184"/>
      <c r="BM190" s="184"/>
      <c r="BN190" s="184"/>
      <c r="BO190" s="184"/>
      <c r="BP190" s="184"/>
      <c r="BQ190" s="600" t="s">
        <v>4208</v>
      </c>
      <c r="BR190" s="185" t="s">
        <v>6611</v>
      </c>
      <c r="BS190" s="660"/>
      <c r="BT190" s="186" t="s">
        <v>1876</v>
      </c>
      <c r="BU190" s="186">
        <v>2</v>
      </c>
      <c r="BV190" s="186" t="s">
        <v>4178</v>
      </c>
      <c r="BW190" s="186" t="s">
        <v>24</v>
      </c>
      <c r="BX190" s="466" t="s">
        <v>4193</v>
      </c>
      <c r="BY190" s="466"/>
      <c r="BZ190" s="261" t="s">
        <v>4230</v>
      </c>
      <c r="CA190" s="620" t="s">
        <v>24</v>
      </c>
      <c r="CB190" s="267" t="s">
        <v>4231</v>
      </c>
      <c r="CC190" s="464">
        <v>42</v>
      </c>
      <c r="CD190" s="186">
        <v>6.93</v>
      </c>
      <c r="CE190" s="186" t="s">
        <v>24</v>
      </c>
      <c r="CF190" s="267" t="s">
        <v>4232</v>
      </c>
      <c r="CG190" s="186">
        <v>50.68</v>
      </c>
      <c r="CH190" s="186">
        <v>6.81</v>
      </c>
      <c r="CI190" s="186" t="s">
        <v>24</v>
      </c>
      <c r="CJ190" s="294" t="s">
        <v>4210</v>
      </c>
      <c r="CK190" s="547" t="s">
        <v>4209</v>
      </c>
      <c r="CL190" s="267" t="s">
        <v>4172</v>
      </c>
      <c r="CM190" s="186">
        <v>8.68</v>
      </c>
      <c r="CN190" s="186">
        <v>3.11</v>
      </c>
      <c r="CO190" s="186" t="s">
        <v>24</v>
      </c>
      <c r="CP190" s="267" t="s">
        <v>4173</v>
      </c>
      <c r="CQ190" s="186">
        <v>10.88</v>
      </c>
      <c r="CR190" s="186">
        <v>2.62</v>
      </c>
      <c r="CS190" s="186" t="s">
        <v>24</v>
      </c>
      <c r="CT190" s="294" t="s">
        <v>4215</v>
      </c>
      <c r="CU190" s="295" t="s">
        <v>4216</v>
      </c>
      <c r="CV190" s="280" t="s">
        <v>24</v>
      </c>
      <c r="CW190" s="310" t="s">
        <v>24</v>
      </c>
      <c r="CX190" s="634" t="s">
        <v>4174</v>
      </c>
      <c r="CY190" s="637">
        <v>13.76</v>
      </c>
      <c r="CZ190" s="637">
        <v>1.96</v>
      </c>
      <c r="DA190" s="637" t="s">
        <v>24</v>
      </c>
      <c r="DB190" s="634" t="s">
        <v>4175</v>
      </c>
      <c r="DC190" s="186">
        <v>14.68</v>
      </c>
      <c r="DD190" s="186">
        <v>0.63</v>
      </c>
      <c r="DE190" s="186" t="s">
        <v>24</v>
      </c>
      <c r="DF190" s="642" t="s">
        <v>4222</v>
      </c>
      <c r="DG190" s="643" t="s">
        <v>4221</v>
      </c>
      <c r="DH190" s="637" t="s">
        <v>4176</v>
      </c>
      <c r="DI190" s="637">
        <v>1.04</v>
      </c>
      <c r="DJ190" s="637">
        <v>1.97</v>
      </c>
      <c r="DK190" s="637" t="s">
        <v>24</v>
      </c>
      <c r="DL190" s="637" t="s">
        <v>4177</v>
      </c>
      <c r="DM190" s="186">
        <v>0.24</v>
      </c>
      <c r="DN190" s="186">
        <v>0.83</v>
      </c>
      <c r="DO190" s="186" t="s">
        <v>24</v>
      </c>
      <c r="DP190" s="642" t="s">
        <v>3229</v>
      </c>
      <c r="DQ190" s="643" t="s">
        <v>4225</v>
      </c>
      <c r="DR190" s="280" t="s">
        <v>24</v>
      </c>
      <c r="DS190" s="281" t="s">
        <v>24</v>
      </c>
      <c r="DT190" s="186"/>
      <c r="DU190" s="186"/>
      <c r="DV190" s="186"/>
      <c r="DW190" s="186"/>
      <c r="DX190" s="267"/>
      <c r="DY190" s="186"/>
      <c r="DZ190" s="186"/>
      <c r="EA190" s="186"/>
      <c r="EB190" s="315"/>
      <c r="EC190" s="315"/>
      <c r="ED190" s="267"/>
      <c r="EE190" s="186"/>
      <c r="EF190" s="186"/>
      <c r="EG190" s="186"/>
      <c r="EH190" s="267"/>
      <c r="EI190" s="186"/>
      <c r="EJ190" s="186"/>
      <c r="EK190" s="186"/>
      <c r="EL190" s="315"/>
      <c r="EM190" s="315"/>
      <c r="EN190" s="281"/>
      <c r="EO190" s="186"/>
      <c r="EP190" s="186"/>
      <c r="EQ190" s="186"/>
      <c r="ER190" s="186"/>
      <c r="ES190" s="186"/>
      <c r="ET190" s="186"/>
      <c r="EU190" s="186"/>
      <c r="EV190" s="186"/>
      <c r="EW190" s="315"/>
      <c r="EX190" s="315"/>
      <c r="EY190" s="186"/>
      <c r="EZ190" s="186"/>
      <c r="FA190" s="186"/>
      <c r="FB190" s="186"/>
      <c r="FC190" s="134"/>
      <c r="FD190" s="134"/>
      <c r="FE190" s="134"/>
      <c r="FF190" s="134"/>
      <c r="FG190" s="135"/>
      <c r="FH190" s="135"/>
      <c r="FI190" s="134"/>
      <c r="FJ190" s="134"/>
      <c r="FK190" s="134"/>
      <c r="FL190" s="134"/>
      <c r="FM190" s="134"/>
      <c r="FN190" s="134"/>
      <c r="FO190" s="134"/>
      <c r="FP190" s="134"/>
      <c r="FQ190" s="135"/>
      <c r="FR190" s="135"/>
      <c r="FS190" s="134"/>
      <c r="FT190" s="134"/>
      <c r="FU190" s="134"/>
      <c r="FV190" s="134"/>
      <c r="FW190" s="134"/>
      <c r="FX190" s="134"/>
      <c r="FY190" s="134"/>
      <c r="FZ190" s="134"/>
      <c r="GA190" s="135"/>
      <c r="GB190" s="135"/>
      <c r="GC190" s="134"/>
      <c r="GD190" s="134"/>
      <c r="GE190" s="134"/>
      <c r="GF190" s="134"/>
      <c r="GG190" s="134"/>
      <c r="GH190" s="134"/>
      <c r="GI190" s="134"/>
      <c r="GJ190" s="134"/>
      <c r="GK190" s="135"/>
      <c r="GL190" s="135"/>
      <c r="GM190" s="134"/>
      <c r="GN190" s="134"/>
      <c r="GO190" s="134"/>
      <c r="GP190" s="134"/>
      <c r="GQ190" s="134"/>
      <c r="GR190" s="134"/>
      <c r="GS190" s="134"/>
      <c r="GT190" s="134"/>
      <c r="GU190" s="135"/>
      <c r="GV190" s="135"/>
      <c r="GW190" s="134"/>
      <c r="GX190" s="134"/>
      <c r="GY190" s="134"/>
      <c r="GZ190" s="134"/>
      <c r="HA190" s="134"/>
      <c r="HB190" s="134"/>
      <c r="HC190" s="134"/>
      <c r="HD190" s="134"/>
      <c r="HE190" s="135"/>
      <c r="HF190" s="135"/>
      <c r="HG190" s="134"/>
      <c r="HH190" s="134"/>
      <c r="HI190" s="134"/>
      <c r="HJ190" s="134"/>
      <c r="HK190" s="134"/>
      <c r="HL190" s="134"/>
      <c r="HM190" s="134"/>
      <c r="HN190" s="134"/>
      <c r="HO190" s="135"/>
      <c r="HP190" s="135"/>
      <c r="HQ190" s="134"/>
      <c r="HR190" s="134"/>
      <c r="HS190" s="134"/>
      <c r="HT190" s="134"/>
      <c r="HU190" s="134"/>
      <c r="HV190" s="134"/>
      <c r="HW190" s="134"/>
      <c r="HX190" s="134"/>
      <c r="HY190" s="135"/>
      <c r="HZ190" s="135"/>
      <c r="IA190" s="134"/>
      <c r="IB190" s="134"/>
      <c r="IC190" s="134"/>
      <c r="ID190" s="134"/>
      <c r="IE190" s="134"/>
      <c r="IF190" s="134"/>
      <c r="IG190" s="134"/>
      <c r="IH190" s="134"/>
      <c r="II190" s="135"/>
      <c r="IJ190" s="135"/>
      <c r="IK190" s="134"/>
      <c r="IL190" s="134"/>
      <c r="IM190" s="134"/>
      <c r="IN190" s="134"/>
      <c r="IO190" s="134"/>
      <c r="IP190" s="134"/>
      <c r="IQ190" s="134"/>
      <c r="IR190" s="134"/>
      <c r="IS190" s="135"/>
      <c r="IT190" s="135"/>
      <c r="IU190" s="134"/>
      <c r="IV190" s="134"/>
      <c r="IW190" s="134"/>
      <c r="IX190" s="134"/>
      <c r="IY190" s="134"/>
      <c r="IZ190" s="134"/>
      <c r="JA190" s="134"/>
      <c r="JB190" s="134"/>
      <c r="JC190" s="135"/>
      <c r="JD190" s="135"/>
    </row>
    <row r="191" spans="1:264" customFormat="1" ht="15" customHeight="1">
      <c r="A191" s="118" t="s">
        <v>143</v>
      </c>
      <c r="B191" s="616">
        <v>109</v>
      </c>
      <c r="C191" s="616">
        <v>22</v>
      </c>
      <c r="D191" s="616"/>
      <c r="E191" s="605" t="s">
        <v>1951</v>
      </c>
      <c r="F191" s="140" t="s">
        <v>2170</v>
      </c>
      <c r="G191" s="141">
        <v>2009</v>
      </c>
      <c r="H191" s="118">
        <v>18800372</v>
      </c>
      <c r="I191" s="118">
        <v>1</v>
      </c>
      <c r="J191" s="118"/>
      <c r="K191" s="118"/>
      <c r="L191" s="118">
        <v>1</v>
      </c>
      <c r="M191" s="118"/>
      <c r="N191" s="118">
        <v>1</v>
      </c>
      <c r="O191" s="142">
        <v>1</v>
      </c>
      <c r="P191" s="118" t="s">
        <v>450</v>
      </c>
      <c r="Q191" s="118" t="s">
        <v>1147</v>
      </c>
      <c r="R191" s="118" t="s">
        <v>25</v>
      </c>
      <c r="S191" s="118">
        <v>1</v>
      </c>
      <c r="T191" s="118"/>
      <c r="U191" s="118"/>
      <c r="V191" s="118"/>
      <c r="W191" s="118" t="s">
        <v>449</v>
      </c>
      <c r="X191" s="118"/>
      <c r="Y191" s="118"/>
      <c r="Z191" s="118"/>
      <c r="AA191" s="118"/>
      <c r="AB191" s="118"/>
      <c r="AC191" s="145"/>
      <c r="AD191" s="573">
        <v>1</v>
      </c>
      <c r="AE191" s="573">
        <v>2</v>
      </c>
      <c r="AF191" s="159">
        <v>1</v>
      </c>
      <c r="AG191" s="160"/>
      <c r="AH191" s="122">
        <v>2</v>
      </c>
      <c r="AI191" s="485"/>
      <c r="AJ191" s="204" t="s">
        <v>4207</v>
      </c>
      <c r="AK191" s="192">
        <v>1</v>
      </c>
      <c r="AL191" s="205" t="s">
        <v>24</v>
      </c>
      <c r="AM191" s="122">
        <f>Table668[[#This Row],[Data_Subjects_n_ptsd]]+Table668[[#This Row],[Data_Subjects_n_control]]</f>
        <v>47</v>
      </c>
      <c r="AN191" s="122">
        <v>22</v>
      </c>
      <c r="AO191" s="122">
        <v>25</v>
      </c>
      <c r="AP191" s="122" t="s">
        <v>803</v>
      </c>
      <c r="AQ191" s="122" t="s">
        <v>803</v>
      </c>
      <c r="AR191" s="122">
        <v>33.32</v>
      </c>
      <c r="AS191" s="122">
        <v>4.76</v>
      </c>
      <c r="AT191" s="122">
        <v>34.799999999999997</v>
      </c>
      <c r="AU191" s="122">
        <v>4.5999999999999996</v>
      </c>
      <c r="AV191" s="122" t="s">
        <v>4160</v>
      </c>
      <c r="AW191" s="122" t="s">
        <v>24</v>
      </c>
      <c r="AX191" s="122" t="s">
        <v>24</v>
      </c>
      <c r="AY191" s="122" t="s">
        <v>4161</v>
      </c>
      <c r="AZ191" s="122" t="s">
        <v>3835</v>
      </c>
      <c r="BA191" s="122" t="s">
        <v>4162</v>
      </c>
      <c r="BB191" s="588"/>
      <c r="BC191" s="588"/>
      <c r="BD191" s="161"/>
      <c r="BE191" s="161"/>
      <c r="BF191" s="161"/>
      <c r="BG191" s="161"/>
      <c r="BH191" s="161"/>
      <c r="BI191" s="161"/>
      <c r="BJ191" s="161">
        <v>1</v>
      </c>
      <c r="BK191" s="161"/>
      <c r="BL191" s="161"/>
      <c r="BM191" s="161"/>
      <c r="BN191" s="161"/>
      <c r="BO191" s="161"/>
      <c r="BP191" s="161"/>
      <c r="BQ191" s="596" t="s">
        <v>4208</v>
      </c>
      <c r="BR191" s="162" t="s">
        <v>6611</v>
      </c>
      <c r="BS191" s="660"/>
      <c r="BT191" s="150" t="s">
        <v>1876</v>
      </c>
      <c r="BU191" s="150">
        <v>2</v>
      </c>
      <c r="BV191" s="150" t="s">
        <v>4179</v>
      </c>
      <c r="BW191" s="150" t="s">
        <v>24</v>
      </c>
      <c r="BX191" s="465" t="s">
        <v>4194</v>
      </c>
      <c r="BY191" s="465"/>
      <c r="BZ191" s="258" t="s">
        <v>4229</v>
      </c>
      <c r="CA191" s="257">
        <v>0</v>
      </c>
      <c r="CB191" s="151" t="s">
        <v>4181</v>
      </c>
      <c r="CC191" s="150">
        <v>53.14</v>
      </c>
      <c r="CD191" s="150">
        <v>11.35</v>
      </c>
      <c r="CE191" s="150" t="s">
        <v>24</v>
      </c>
      <c r="CF191" s="151" t="s">
        <v>4182</v>
      </c>
      <c r="CG191" s="150">
        <v>57.52</v>
      </c>
      <c r="CH191" s="150">
        <v>8</v>
      </c>
      <c r="CI191" s="150" t="s">
        <v>24</v>
      </c>
      <c r="CJ191" s="290" t="s">
        <v>4213</v>
      </c>
      <c r="CK191" s="548" t="s">
        <v>4233</v>
      </c>
      <c r="CL191" s="151" t="s">
        <v>4183</v>
      </c>
      <c r="CM191" s="150">
        <v>11.86</v>
      </c>
      <c r="CN191" s="150">
        <v>3.37</v>
      </c>
      <c r="CO191" s="150" t="s">
        <v>24</v>
      </c>
      <c r="CP191" s="151" t="s">
        <v>4184</v>
      </c>
      <c r="CQ191" s="150">
        <v>12.12</v>
      </c>
      <c r="CR191" s="150">
        <v>2.42</v>
      </c>
      <c r="CS191" s="150" t="s">
        <v>24</v>
      </c>
      <c r="CT191" s="290" t="s">
        <v>3229</v>
      </c>
      <c r="CU191" s="291" t="s">
        <v>4217</v>
      </c>
      <c r="CV191" s="278" t="s">
        <v>24</v>
      </c>
      <c r="CW191" s="285" t="s">
        <v>24</v>
      </c>
      <c r="CX191" s="151" t="s">
        <v>4185</v>
      </c>
      <c r="CY191" s="150">
        <v>11.86</v>
      </c>
      <c r="CZ191" s="150">
        <v>2.59</v>
      </c>
      <c r="DA191" s="150" t="s">
        <v>24</v>
      </c>
      <c r="DB191" s="151" t="s">
        <v>4186</v>
      </c>
      <c r="DC191" s="150">
        <v>12.56</v>
      </c>
      <c r="DD191" s="150">
        <v>2.48</v>
      </c>
      <c r="DE191" s="150" t="s">
        <v>24</v>
      </c>
      <c r="DF191" s="302" t="s">
        <v>4222</v>
      </c>
      <c r="DG191" s="303" t="s">
        <v>4223</v>
      </c>
      <c r="DH191" s="150" t="s">
        <v>4187</v>
      </c>
      <c r="DI191" s="150">
        <v>11.77</v>
      </c>
      <c r="DJ191" s="150">
        <v>3.35</v>
      </c>
      <c r="DK191" s="150" t="s">
        <v>24</v>
      </c>
      <c r="DL191" s="150" t="s">
        <v>4188</v>
      </c>
      <c r="DM191" s="150">
        <v>12.4</v>
      </c>
      <c r="DN191" s="150">
        <v>2.4700000000000002</v>
      </c>
      <c r="DO191" s="150" t="s">
        <v>24</v>
      </c>
      <c r="DP191" s="302" t="s">
        <v>3229</v>
      </c>
      <c r="DQ191" s="303" t="s">
        <v>4226</v>
      </c>
      <c r="DR191" s="278" t="s">
        <v>24</v>
      </c>
      <c r="DS191" s="279" t="s">
        <v>24</v>
      </c>
      <c r="DT191" s="150" t="s">
        <v>4189</v>
      </c>
      <c r="DU191" s="150">
        <v>12.45</v>
      </c>
      <c r="DV191" s="150">
        <v>2.72</v>
      </c>
      <c r="DW191" s="150" t="s">
        <v>24</v>
      </c>
      <c r="DX191" s="150" t="s">
        <v>4190</v>
      </c>
      <c r="DY191" s="150">
        <v>12.76</v>
      </c>
      <c r="DZ191" s="150">
        <v>2.2799999999999998</v>
      </c>
      <c r="EA191" s="150" t="s">
        <v>24</v>
      </c>
      <c r="EB191" s="303" t="s">
        <v>3229</v>
      </c>
      <c r="EC191" s="303" t="s">
        <v>4227</v>
      </c>
      <c r="ED191" s="151" t="s">
        <v>4191</v>
      </c>
      <c r="EE191" s="150">
        <v>15.05</v>
      </c>
      <c r="EF191" s="150">
        <v>1.1299999999999999</v>
      </c>
      <c r="EG191" s="150" t="s">
        <v>24</v>
      </c>
      <c r="EH191" s="151" t="s">
        <v>4192</v>
      </c>
      <c r="EI191" s="150">
        <v>15.24</v>
      </c>
      <c r="EJ191" s="150">
        <v>1.01</v>
      </c>
      <c r="EK191" s="150" t="s">
        <v>24</v>
      </c>
      <c r="EL191" s="303" t="s">
        <v>3229</v>
      </c>
      <c r="EM191" s="303" t="s">
        <v>4228</v>
      </c>
      <c r="EN191" s="279" t="s">
        <v>24</v>
      </c>
      <c r="EO191" s="150"/>
      <c r="EP191" s="150"/>
      <c r="EQ191" s="150"/>
      <c r="ER191" s="150"/>
      <c r="ES191" s="150"/>
      <c r="ET191" s="150"/>
      <c r="EU191" s="150"/>
      <c r="EV191" s="150"/>
      <c r="EW191" s="303"/>
      <c r="EX191" s="303"/>
      <c r="EY191" s="150"/>
      <c r="EZ191" s="150"/>
      <c r="FA191" s="150"/>
      <c r="FB191" s="150"/>
      <c r="FC191" s="134"/>
      <c r="FD191" s="134"/>
      <c r="FE191" s="134"/>
      <c r="FF191" s="134"/>
      <c r="FG191" s="135"/>
      <c r="FH191" s="135"/>
      <c r="FI191" s="134"/>
      <c r="FJ191" s="134"/>
      <c r="FK191" s="134"/>
      <c r="FL191" s="134"/>
      <c r="FM191" s="134"/>
      <c r="FN191" s="134"/>
      <c r="FO191" s="134"/>
      <c r="FP191" s="134"/>
      <c r="FQ191" s="135"/>
      <c r="FR191" s="135"/>
      <c r="FS191" s="134"/>
      <c r="FT191" s="134"/>
      <c r="FU191" s="134"/>
      <c r="FV191" s="134"/>
      <c r="FW191" s="134"/>
      <c r="FX191" s="134"/>
      <c r="FY191" s="134"/>
      <c r="FZ191" s="134"/>
      <c r="GA191" s="135"/>
      <c r="GB191" s="135"/>
      <c r="GC191" s="134"/>
      <c r="GD191" s="134"/>
      <c r="GE191" s="134"/>
      <c r="GF191" s="134"/>
      <c r="GG191" s="134"/>
      <c r="GH191" s="134"/>
      <c r="GI191" s="134"/>
      <c r="GJ191" s="134"/>
      <c r="GK191" s="135"/>
      <c r="GL191" s="135"/>
      <c r="GM191" s="134"/>
      <c r="GN191" s="134"/>
      <c r="GO191" s="134"/>
      <c r="GP191" s="134"/>
      <c r="GQ191" s="134"/>
      <c r="GR191" s="134"/>
      <c r="GS191" s="134"/>
      <c r="GT191" s="134"/>
      <c r="GU191" s="135"/>
      <c r="GV191" s="135"/>
      <c r="GW191" s="134"/>
      <c r="GX191" s="134"/>
      <c r="GY191" s="134"/>
      <c r="GZ191" s="134"/>
      <c r="HA191" s="134"/>
      <c r="HB191" s="134"/>
      <c r="HC191" s="134"/>
      <c r="HD191" s="134"/>
      <c r="HE191" s="135"/>
      <c r="HF191" s="135"/>
      <c r="HG191" s="134"/>
      <c r="HH191" s="134"/>
      <c r="HI191" s="134"/>
      <c r="HJ191" s="134"/>
      <c r="HK191" s="134"/>
      <c r="HL191" s="134"/>
      <c r="HM191" s="134"/>
      <c r="HN191" s="134"/>
      <c r="HO191" s="135"/>
      <c r="HP191" s="135"/>
      <c r="HQ191" s="134"/>
      <c r="HR191" s="134"/>
      <c r="HS191" s="134"/>
      <c r="HT191" s="134"/>
      <c r="HU191" s="134"/>
      <c r="HV191" s="134"/>
      <c r="HW191" s="134"/>
      <c r="HX191" s="134"/>
      <c r="HY191" s="135"/>
      <c r="HZ191" s="135"/>
      <c r="IA191" s="134"/>
      <c r="IB191" s="134"/>
      <c r="IC191" s="134"/>
      <c r="ID191" s="134"/>
      <c r="IE191" s="134"/>
      <c r="IF191" s="134"/>
      <c r="IG191" s="134"/>
      <c r="IH191" s="134"/>
      <c r="II191" s="135"/>
      <c r="IJ191" s="135"/>
      <c r="IK191" s="134"/>
      <c r="IL191" s="134"/>
      <c r="IM191" s="134"/>
      <c r="IN191" s="134"/>
      <c r="IO191" s="134"/>
      <c r="IP191" s="134"/>
      <c r="IQ191" s="134"/>
      <c r="IR191" s="134"/>
      <c r="IS191" s="135"/>
      <c r="IT191" s="135"/>
      <c r="IU191" s="134"/>
      <c r="IV191" s="134"/>
      <c r="IW191" s="134"/>
      <c r="IX191" s="134"/>
      <c r="IY191" s="134"/>
      <c r="IZ191" s="134"/>
      <c r="JA191" s="134"/>
      <c r="JB191" s="134"/>
      <c r="JC191" s="135"/>
      <c r="JD191" s="135"/>
    </row>
    <row r="192" spans="1:264" customFormat="1" ht="15" customHeight="1">
      <c r="A192" s="118" t="s">
        <v>143</v>
      </c>
      <c r="B192" s="616">
        <v>109</v>
      </c>
      <c r="C192" s="616">
        <v>22</v>
      </c>
      <c r="D192" s="616"/>
      <c r="E192" s="605" t="s">
        <v>1951</v>
      </c>
      <c r="F192" s="140" t="s">
        <v>2170</v>
      </c>
      <c r="G192" s="141">
        <v>2009</v>
      </c>
      <c r="H192" s="118">
        <v>18800372</v>
      </c>
      <c r="I192" s="118">
        <v>1</v>
      </c>
      <c r="J192" s="118"/>
      <c r="K192" s="118"/>
      <c r="L192" s="118">
        <v>1</v>
      </c>
      <c r="M192" s="118"/>
      <c r="N192" s="118">
        <v>1</v>
      </c>
      <c r="O192" s="142">
        <v>1</v>
      </c>
      <c r="P192" s="118" t="s">
        <v>450</v>
      </c>
      <c r="Q192" s="118" t="s">
        <v>1147</v>
      </c>
      <c r="R192" s="118" t="s">
        <v>25</v>
      </c>
      <c r="S192" s="118">
        <v>1</v>
      </c>
      <c r="T192" s="118"/>
      <c r="U192" s="118"/>
      <c r="V192" s="118"/>
      <c r="W192" s="118" t="s">
        <v>449</v>
      </c>
      <c r="X192" s="118"/>
      <c r="Y192" s="118"/>
      <c r="Z192" s="118"/>
      <c r="AA192" s="118"/>
      <c r="AB192" s="118"/>
      <c r="AC192" s="145"/>
      <c r="AD192" s="573">
        <v>1</v>
      </c>
      <c r="AE192" s="573">
        <v>2</v>
      </c>
      <c r="AF192" s="159">
        <v>1</v>
      </c>
      <c r="AG192" s="160"/>
      <c r="AH192" s="122">
        <v>2</v>
      </c>
      <c r="AI192" s="485"/>
      <c r="AJ192" s="204" t="s">
        <v>4207</v>
      </c>
      <c r="AK192" s="420">
        <v>1</v>
      </c>
      <c r="AL192" s="205" t="s">
        <v>24</v>
      </c>
      <c r="AM192" s="122">
        <f>Table668[[#This Row],[Data_Subjects_n_ptsd]]+Table668[[#This Row],[Data_Subjects_n_control]]</f>
        <v>50</v>
      </c>
      <c r="AN192" s="122">
        <v>25</v>
      </c>
      <c r="AO192" s="122">
        <v>25</v>
      </c>
      <c r="AP192" s="122" t="s">
        <v>803</v>
      </c>
      <c r="AQ192" s="122" t="s">
        <v>803</v>
      </c>
      <c r="AR192" s="122">
        <v>33.32</v>
      </c>
      <c r="AS192" s="122">
        <v>4.76</v>
      </c>
      <c r="AT192" s="122">
        <v>34.799999999999997</v>
      </c>
      <c r="AU192" s="122">
        <v>4.5999999999999996</v>
      </c>
      <c r="AV192" s="122" t="s">
        <v>4160</v>
      </c>
      <c r="AW192" s="122" t="s">
        <v>24</v>
      </c>
      <c r="AX192" s="122" t="s">
        <v>24</v>
      </c>
      <c r="AY192" s="122" t="s">
        <v>4161</v>
      </c>
      <c r="AZ192" s="122" t="s">
        <v>3835</v>
      </c>
      <c r="BA192" s="122" t="s">
        <v>4162</v>
      </c>
      <c r="BB192" s="588"/>
      <c r="BC192" s="588"/>
      <c r="BD192" s="161"/>
      <c r="BE192" s="161"/>
      <c r="BF192" s="161"/>
      <c r="BG192" s="161"/>
      <c r="BH192" s="161"/>
      <c r="BI192" s="161"/>
      <c r="BJ192" s="161">
        <v>1</v>
      </c>
      <c r="BK192" s="161"/>
      <c r="BL192" s="161"/>
      <c r="BM192" s="161"/>
      <c r="BN192" s="161"/>
      <c r="BO192" s="161"/>
      <c r="BP192" s="161"/>
      <c r="BQ192" s="596" t="s">
        <v>4208</v>
      </c>
      <c r="BR192" s="162" t="s">
        <v>6611</v>
      </c>
      <c r="BS192" s="660"/>
      <c r="BT192" s="150" t="s">
        <v>1876</v>
      </c>
      <c r="BU192" s="150">
        <v>2</v>
      </c>
      <c r="BV192" s="150" t="s">
        <v>4180</v>
      </c>
      <c r="BW192" s="150" t="s">
        <v>24</v>
      </c>
      <c r="BX192" s="119" t="s">
        <v>4195</v>
      </c>
      <c r="BY192" s="119"/>
      <c r="BZ192" s="476" t="s">
        <v>4234</v>
      </c>
      <c r="CA192" s="622" t="s">
        <v>24</v>
      </c>
      <c r="CB192" s="151" t="s">
        <v>4197</v>
      </c>
      <c r="CC192" s="150">
        <v>25.48</v>
      </c>
      <c r="CD192" s="150">
        <v>7.08</v>
      </c>
      <c r="CE192" s="150" t="s">
        <v>24</v>
      </c>
      <c r="CF192" s="151" t="s">
        <v>4198</v>
      </c>
      <c r="CG192" s="150">
        <v>30.76</v>
      </c>
      <c r="CH192" s="150">
        <v>6.35</v>
      </c>
      <c r="CI192" s="150" t="s">
        <v>24</v>
      </c>
      <c r="CJ192" s="290" t="s">
        <v>4212</v>
      </c>
      <c r="CK192" s="291" t="s">
        <v>4211</v>
      </c>
      <c r="CL192" s="150" t="s">
        <v>4199</v>
      </c>
      <c r="CM192" s="150">
        <v>23.04</v>
      </c>
      <c r="CN192" s="150">
        <v>8.84</v>
      </c>
      <c r="CO192" s="150"/>
      <c r="CP192" s="150" t="s">
        <v>4200</v>
      </c>
      <c r="CQ192" s="150">
        <v>27.64</v>
      </c>
      <c r="CR192" s="150">
        <v>7.08</v>
      </c>
      <c r="CS192" s="150" t="s">
        <v>24</v>
      </c>
      <c r="CT192" s="290" t="s">
        <v>4219</v>
      </c>
      <c r="CU192" s="291" t="s">
        <v>4218</v>
      </c>
      <c r="CV192" s="278" t="s">
        <v>24</v>
      </c>
      <c r="CW192" s="285" t="s">
        <v>24</v>
      </c>
      <c r="CX192" s="151" t="s">
        <v>24</v>
      </c>
      <c r="CY192" s="150" t="s">
        <v>24</v>
      </c>
      <c r="CZ192" s="150" t="s">
        <v>24</v>
      </c>
      <c r="DA192" s="150" t="s">
        <v>24</v>
      </c>
      <c r="DB192" s="150" t="s">
        <v>24</v>
      </c>
      <c r="DC192" s="150" t="s">
        <v>24</v>
      </c>
      <c r="DD192" s="150" t="s">
        <v>24</v>
      </c>
      <c r="DE192" s="150" t="s">
        <v>24</v>
      </c>
      <c r="DF192" s="302" t="s">
        <v>24</v>
      </c>
      <c r="DG192" s="303" t="s">
        <v>24</v>
      </c>
      <c r="DH192" s="150" t="s">
        <v>24</v>
      </c>
      <c r="DI192" s="150" t="s">
        <v>24</v>
      </c>
      <c r="DJ192" s="150" t="s">
        <v>24</v>
      </c>
      <c r="DK192" s="150" t="s">
        <v>24</v>
      </c>
      <c r="DL192" s="150" t="s">
        <v>24</v>
      </c>
      <c r="DM192" s="150" t="s">
        <v>24</v>
      </c>
      <c r="DN192" s="150" t="s">
        <v>24</v>
      </c>
      <c r="DO192" s="150" t="s">
        <v>24</v>
      </c>
      <c r="DP192" s="302"/>
      <c r="DQ192" s="303"/>
      <c r="DR192" s="446"/>
      <c r="DS192" s="279"/>
      <c r="DT192" s="150"/>
      <c r="DU192" s="150"/>
      <c r="DV192" s="150"/>
      <c r="DW192" s="555"/>
      <c r="DX192" s="150"/>
      <c r="DY192" s="150"/>
      <c r="DZ192" s="150"/>
      <c r="EA192" s="555"/>
      <c r="EB192" s="303"/>
      <c r="EC192" s="303"/>
      <c r="ED192" s="151"/>
      <c r="EE192" s="150"/>
      <c r="EF192" s="150"/>
      <c r="EG192" s="555"/>
      <c r="EH192" s="151"/>
      <c r="EI192" s="150"/>
      <c r="EJ192" s="150"/>
      <c r="EK192" s="555"/>
      <c r="EL192" s="303"/>
      <c r="EM192" s="303"/>
      <c r="EN192" s="279"/>
      <c r="EO192" s="150"/>
      <c r="EP192" s="150"/>
      <c r="EQ192" s="150"/>
      <c r="ER192" s="555"/>
      <c r="ES192" s="150"/>
      <c r="ET192" s="150"/>
      <c r="EU192" s="150"/>
      <c r="EV192" s="555"/>
      <c r="EW192" s="303"/>
      <c r="EX192" s="303"/>
      <c r="EY192" s="150"/>
      <c r="EZ192" s="150"/>
      <c r="FA192" s="150"/>
      <c r="FB192" s="555"/>
      <c r="FC192" s="480"/>
      <c r="FD192" s="480"/>
      <c r="FE192" s="480"/>
      <c r="FF192" s="480"/>
      <c r="FG192" s="482"/>
      <c r="FH192" s="482"/>
      <c r="FI192" s="480"/>
      <c r="FJ192" s="480"/>
      <c r="FK192" s="480"/>
      <c r="FL192" s="480"/>
      <c r="FM192" s="480"/>
      <c r="FN192" s="480"/>
      <c r="FO192" s="480"/>
      <c r="FP192" s="480"/>
      <c r="FQ192" s="482"/>
      <c r="FR192" s="482"/>
      <c r="FS192" s="480"/>
      <c r="FT192" s="480"/>
      <c r="FU192" s="480"/>
      <c r="FV192" s="480"/>
      <c r="FW192" s="480"/>
      <c r="FX192" s="480"/>
      <c r="FY192" s="480"/>
      <c r="FZ192" s="480"/>
      <c r="GA192" s="482"/>
      <c r="GB192" s="482"/>
      <c r="GC192" s="480"/>
      <c r="GD192" s="480"/>
      <c r="GE192" s="480"/>
      <c r="GF192" s="480"/>
      <c r="GG192" s="480"/>
      <c r="GH192" s="480"/>
      <c r="GI192" s="480"/>
      <c r="GJ192" s="480"/>
      <c r="GK192" s="482"/>
      <c r="GL192" s="482"/>
      <c r="GM192" s="480"/>
      <c r="GN192" s="480"/>
      <c r="GO192" s="480"/>
      <c r="GP192" s="480"/>
      <c r="GQ192" s="480"/>
      <c r="GR192" s="480"/>
      <c r="GS192" s="480"/>
      <c r="GT192" s="480"/>
      <c r="GU192" s="482"/>
      <c r="GV192" s="482"/>
      <c r="GW192" s="480"/>
      <c r="GX192" s="480"/>
      <c r="GY192" s="480"/>
      <c r="GZ192" s="480"/>
      <c r="HA192" s="480"/>
      <c r="HB192" s="480"/>
      <c r="HC192" s="480"/>
      <c r="HD192" s="480"/>
      <c r="HE192" s="482"/>
      <c r="HF192" s="482"/>
      <c r="HG192" s="480"/>
      <c r="HH192" s="480"/>
      <c r="HI192" s="480"/>
      <c r="HJ192" s="480"/>
      <c r="HK192" s="480"/>
      <c r="HL192" s="480"/>
      <c r="HM192" s="480"/>
      <c r="HN192" s="480"/>
      <c r="HO192" s="482"/>
      <c r="HP192" s="482"/>
      <c r="HQ192" s="480"/>
      <c r="HR192" s="480"/>
      <c r="HS192" s="134"/>
      <c r="HT192" s="134"/>
      <c r="HU192" s="134"/>
      <c r="HV192" s="134"/>
      <c r="HW192" s="134"/>
      <c r="HX192" s="134"/>
      <c r="HY192" s="135"/>
      <c r="HZ192" s="135"/>
      <c r="IA192" s="134"/>
      <c r="IB192" s="134"/>
      <c r="IC192" s="134"/>
      <c r="ID192" s="134"/>
      <c r="IE192" s="134"/>
      <c r="IF192" s="134"/>
      <c r="IG192" s="134"/>
      <c r="IH192" s="134"/>
      <c r="II192" s="135"/>
      <c r="IJ192" s="135"/>
      <c r="IK192" s="134"/>
      <c r="IL192" s="134"/>
      <c r="IM192" s="134"/>
      <c r="IN192" s="134"/>
      <c r="IO192" s="134"/>
      <c r="IP192" s="134"/>
      <c r="IQ192" s="134"/>
      <c r="IR192" s="134"/>
      <c r="IS192" s="135"/>
      <c r="IT192" s="135"/>
      <c r="IU192" s="134"/>
      <c r="IV192" s="134"/>
      <c r="IW192" s="134"/>
      <c r="IX192" s="134"/>
      <c r="IY192" s="134"/>
      <c r="IZ192" s="134"/>
      <c r="JA192" s="134"/>
      <c r="JB192" s="134"/>
      <c r="JC192" s="135"/>
      <c r="JD192" s="135"/>
    </row>
    <row r="193" spans="1:264" customFormat="1" ht="15" customHeight="1">
      <c r="A193" s="118" t="s">
        <v>143</v>
      </c>
      <c r="B193" s="616">
        <v>109</v>
      </c>
      <c r="C193" s="616">
        <v>22</v>
      </c>
      <c r="D193" s="616"/>
      <c r="E193" s="605" t="s">
        <v>1951</v>
      </c>
      <c r="F193" s="140" t="s">
        <v>2170</v>
      </c>
      <c r="G193" s="141">
        <v>2009</v>
      </c>
      <c r="H193" s="118">
        <v>18800372</v>
      </c>
      <c r="I193" s="118">
        <v>1</v>
      </c>
      <c r="J193" s="118"/>
      <c r="K193" s="118"/>
      <c r="L193" s="118">
        <v>1</v>
      </c>
      <c r="M193" s="118"/>
      <c r="N193" s="118">
        <v>1</v>
      </c>
      <c r="O193" s="142">
        <v>1</v>
      </c>
      <c r="P193" s="118" t="s">
        <v>450</v>
      </c>
      <c r="Q193" s="118" t="s">
        <v>1147</v>
      </c>
      <c r="R193" s="118" t="s">
        <v>25</v>
      </c>
      <c r="S193" s="118">
        <v>1</v>
      </c>
      <c r="T193" s="118"/>
      <c r="U193" s="118"/>
      <c r="V193" s="118"/>
      <c r="W193" s="118" t="s">
        <v>449</v>
      </c>
      <c r="X193" s="118"/>
      <c r="Y193" s="118"/>
      <c r="Z193" s="118"/>
      <c r="AA193" s="118"/>
      <c r="AB193" s="118"/>
      <c r="AC193" s="145"/>
      <c r="AD193" s="573">
        <v>1</v>
      </c>
      <c r="AE193" s="573">
        <v>2</v>
      </c>
      <c r="AF193" s="159">
        <v>1</v>
      </c>
      <c r="AG193" s="160"/>
      <c r="AH193" s="122">
        <v>2</v>
      </c>
      <c r="AI193" s="485"/>
      <c r="AJ193" s="204" t="s">
        <v>4207</v>
      </c>
      <c r="AK193" s="420">
        <v>1</v>
      </c>
      <c r="AL193" s="205" t="s">
        <v>24</v>
      </c>
      <c r="AM193" s="122">
        <f>Table668[[#This Row],[Data_Subjects_n_ptsd]]+Table668[[#This Row],[Data_Subjects_n_control]]</f>
        <v>49</v>
      </c>
      <c r="AN193" s="122">
        <v>24</v>
      </c>
      <c r="AO193" s="122">
        <v>25</v>
      </c>
      <c r="AP193" s="122" t="s">
        <v>803</v>
      </c>
      <c r="AQ193" s="122" t="s">
        <v>803</v>
      </c>
      <c r="AR193" s="122">
        <v>33.32</v>
      </c>
      <c r="AS193" s="122">
        <v>4.76</v>
      </c>
      <c r="AT193" s="122">
        <v>34.799999999999997</v>
      </c>
      <c r="AU193" s="122">
        <v>4.5999999999999996</v>
      </c>
      <c r="AV193" s="122" t="s">
        <v>4160</v>
      </c>
      <c r="AW193" s="122" t="s">
        <v>24</v>
      </c>
      <c r="AX193" s="122" t="s">
        <v>24</v>
      </c>
      <c r="AY193" s="122" t="s">
        <v>4161</v>
      </c>
      <c r="AZ193" s="122" t="s">
        <v>3835</v>
      </c>
      <c r="BA193" s="122" t="s">
        <v>4162</v>
      </c>
      <c r="BB193" s="588"/>
      <c r="BC193" s="588"/>
      <c r="BD193" s="161"/>
      <c r="BE193" s="161"/>
      <c r="BF193" s="161"/>
      <c r="BG193" s="161"/>
      <c r="BH193" s="161"/>
      <c r="BI193" s="161"/>
      <c r="BJ193" s="161">
        <v>1</v>
      </c>
      <c r="BK193" s="161"/>
      <c r="BL193" s="161"/>
      <c r="BM193" s="161"/>
      <c r="BN193" s="161"/>
      <c r="BO193" s="161"/>
      <c r="BP193" s="161"/>
      <c r="BQ193" s="596" t="s">
        <v>4001</v>
      </c>
      <c r="BR193" s="162" t="s">
        <v>6609</v>
      </c>
      <c r="BS193" s="660"/>
      <c r="BT193" s="150" t="s">
        <v>1876</v>
      </c>
      <c r="BU193" s="150">
        <v>2</v>
      </c>
      <c r="BV193" s="150" t="s">
        <v>4171</v>
      </c>
      <c r="BW193" s="150" t="s">
        <v>24</v>
      </c>
      <c r="BX193" s="119" t="s">
        <v>4196</v>
      </c>
      <c r="BY193" s="119"/>
      <c r="BZ193" s="258" t="s">
        <v>4235</v>
      </c>
      <c r="CA193" s="257" t="s">
        <v>24</v>
      </c>
      <c r="CB193" s="151" t="s">
        <v>4201</v>
      </c>
      <c r="CC193" s="150">
        <v>36.21</v>
      </c>
      <c r="CD193" s="150">
        <v>3.15</v>
      </c>
      <c r="CE193" s="150" t="s">
        <v>24</v>
      </c>
      <c r="CF193" s="151" t="s">
        <v>4202</v>
      </c>
      <c r="CG193" s="150">
        <v>37.159999999999997</v>
      </c>
      <c r="CH193" s="150">
        <v>2.48</v>
      </c>
      <c r="CI193" s="150" t="s">
        <v>24</v>
      </c>
      <c r="CJ193" s="290" t="s">
        <v>3229</v>
      </c>
      <c r="CK193" s="291" t="s">
        <v>4214</v>
      </c>
      <c r="CL193" s="151" t="s">
        <v>4203</v>
      </c>
      <c r="CM193" s="150">
        <v>31.75</v>
      </c>
      <c r="CN193" s="150">
        <v>7.4</v>
      </c>
      <c r="CO193" s="150" t="s">
        <v>24</v>
      </c>
      <c r="CP193" s="151" t="s">
        <v>4204</v>
      </c>
      <c r="CQ193" s="150">
        <v>36.200000000000003</v>
      </c>
      <c r="CR193" s="150">
        <v>3.34</v>
      </c>
      <c r="CS193" s="150" t="s">
        <v>24</v>
      </c>
      <c r="CT193" s="290" t="s">
        <v>4215</v>
      </c>
      <c r="CU193" s="291" t="s">
        <v>4220</v>
      </c>
      <c r="CV193" s="278" t="s">
        <v>24</v>
      </c>
      <c r="CW193" s="285" t="s">
        <v>24</v>
      </c>
      <c r="CX193" s="151" t="s">
        <v>4205</v>
      </c>
      <c r="CY193" s="150">
        <v>3.54</v>
      </c>
      <c r="CZ193" s="150">
        <v>0.66</v>
      </c>
      <c r="DA193" s="150" t="s">
        <v>24</v>
      </c>
      <c r="DB193" s="151" t="s">
        <v>4206</v>
      </c>
      <c r="DC193" s="150">
        <v>3.96</v>
      </c>
      <c r="DD193" s="150">
        <v>0.2</v>
      </c>
      <c r="DE193" s="150" t="s">
        <v>24</v>
      </c>
      <c r="DF193" s="302" t="s">
        <v>4219</v>
      </c>
      <c r="DG193" s="303" t="s">
        <v>4224</v>
      </c>
      <c r="DH193" s="150" t="s">
        <v>24</v>
      </c>
      <c r="DI193" s="150" t="s">
        <v>24</v>
      </c>
      <c r="DJ193" s="150" t="s">
        <v>24</v>
      </c>
      <c r="DK193" s="150" t="s">
        <v>24</v>
      </c>
      <c r="DL193" s="150" t="s">
        <v>24</v>
      </c>
      <c r="DM193" s="150" t="s">
        <v>24</v>
      </c>
      <c r="DN193" s="150" t="s">
        <v>24</v>
      </c>
      <c r="DO193" s="150" t="s">
        <v>24</v>
      </c>
      <c r="DP193" s="302"/>
      <c r="DQ193" s="303"/>
      <c r="DR193" s="446"/>
      <c r="DS193" s="279"/>
      <c r="DT193" s="150"/>
      <c r="DU193" s="150"/>
      <c r="DV193" s="150"/>
      <c r="DW193" s="150"/>
      <c r="DX193" s="151"/>
      <c r="DY193" s="150"/>
      <c r="DZ193" s="150"/>
      <c r="EA193" s="150"/>
      <c r="EB193" s="303"/>
      <c r="EC193" s="303"/>
      <c r="ED193" s="151"/>
      <c r="EE193" s="150"/>
      <c r="EF193" s="150"/>
      <c r="EG193" s="150"/>
      <c r="EH193" s="151"/>
      <c r="EI193" s="150"/>
      <c r="EJ193" s="150"/>
      <c r="EK193" s="150"/>
      <c r="EL193" s="303"/>
      <c r="EM193" s="303"/>
      <c r="EN193" s="279"/>
      <c r="EO193" s="150"/>
      <c r="EP193" s="150"/>
      <c r="EQ193" s="150"/>
      <c r="ER193" s="150"/>
      <c r="ES193" s="150"/>
      <c r="ET193" s="150"/>
      <c r="EU193" s="150"/>
      <c r="EV193" s="150"/>
      <c r="EW193" s="303"/>
      <c r="EX193" s="303"/>
      <c r="EY193" s="150"/>
      <c r="EZ193" s="150"/>
      <c r="FA193" s="150"/>
      <c r="FB193" s="150"/>
      <c r="FC193" s="134"/>
      <c r="FD193" s="134"/>
      <c r="FE193" s="134"/>
      <c r="FF193" s="134"/>
      <c r="FG193" s="135"/>
      <c r="FH193" s="135"/>
      <c r="FI193" s="134"/>
      <c r="FJ193" s="134"/>
      <c r="FK193" s="134"/>
      <c r="FL193" s="134"/>
      <c r="FM193" s="134"/>
      <c r="FN193" s="134"/>
      <c r="FO193" s="134"/>
      <c r="FP193" s="134"/>
      <c r="FQ193" s="135"/>
      <c r="FR193" s="135"/>
      <c r="FS193" s="134"/>
      <c r="FT193" s="134"/>
      <c r="FU193" s="134"/>
      <c r="FV193" s="134"/>
      <c r="FW193" s="134"/>
      <c r="FX193" s="134"/>
      <c r="FY193" s="134"/>
      <c r="FZ193" s="134"/>
      <c r="GA193" s="135"/>
      <c r="GB193" s="135"/>
      <c r="GC193" s="134"/>
      <c r="GD193" s="134"/>
      <c r="GE193" s="134"/>
      <c r="GF193" s="134"/>
      <c r="GG193" s="134"/>
      <c r="GH193" s="134"/>
      <c r="GI193" s="134"/>
      <c r="GJ193" s="134"/>
      <c r="GK193" s="135"/>
      <c r="GL193" s="135"/>
      <c r="GM193" s="134"/>
      <c r="GN193" s="134"/>
      <c r="GO193" s="134"/>
      <c r="GP193" s="134"/>
      <c r="GQ193" s="134"/>
      <c r="GR193" s="134"/>
      <c r="GS193" s="134"/>
      <c r="GT193" s="134"/>
      <c r="GU193" s="135"/>
      <c r="GV193" s="135"/>
      <c r="GW193" s="134"/>
      <c r="GX193" s="134"/>
      <c r="GY193" s="134"/>
      <c r="GZ193" s="134"/>
      <c r="HA193" s="134"/>
      <c r="HB193" s="134"/>
      <c r="HC193" s="134"/>
      <c r="HD193" s="134"/>
      <c r="HE193" s="135"/>
      <c r="HF193" s="135"/>
      <c r="HG193" s="134"/>
      <c r="HH193" s="134"/>
      <c r="HI193" s="134"/>
      <c r="HJ193" s="134"/>
      <c r="HK193" s="134"/>
      <c r="HL193" s="134"/>
      <c r="HM193" s="134"/>
      <c r="HN193" s="134"/>
      <c r="HO193" s="135"/>
      <c r="HP193" s="135"/>
      <c r="HQ193" s="134"/>
      <c r="HR193" s="134"/>
      <c r="HS193" s="134"/>
      <c r="HT193" s="134"/>
      <c r="HU193" s="134"/>
      <c r="HV193" s="134"/>
      <c r="HW193" s="134"/>
      <c r="HX193" s="134"/>
      <c r="HY193" s="135"/>
      <c r="HZ193" s="135"/>
      <c r="IA193" s="134"/>
      <c r="IB193" s="134"/>
      <c r="IC193" s="134"/>
      <c r="ID193" s="134"/>
      <c r="IE193" s="134"/>
      <c r="IF193" s="134"/>
      <c r="IG193" s="134"/>
      <c r="IH193" s="134"/>
      <c r="II193" s="135"/>
      <c r="IJ193" s="135"/>
      <c r="IK193" s="134"/>
      <c r="IL193" s="134"/>
      <c r="IM193" s="134"/>
      <c r="IN193" s="134"/>
      <c r="IO193" s="134"/>
      <c r="IP193" s="134"/>
      <c r="IQ193" s="134"/>
      <c r="IR193" s="134"/>
      <c r="IS193" s="135"/>
      <c r="IT193" s="135"/>
      <c r="IU193" s="134"/>
      <c r="IV193" s="134"/>
      <c r="IW193" s="134"/>
      <c r="IX193" s="134"/>
      <c r="IY193" s="134"/>
      <c r="IZ193" s="134"/>
      <c r="JA193" s="134"/>
      <c r="JB193" s="134"/>
      <c r="JC193" s="135"/>
      <c r="JD193" s="135"/>
    </row>
    <row r="194" spans="1:264" customFormat="1" ht="15" customHeight="1">
      <c r="A194" s="118" t="s">
        <v>143</v>
      </c>
      <c r="B194" s="616">
        <v>109</v>
      </c>
      <c r="C194" s="616">
        <v>22</v>
      </c>
      <c r="D194" s="616"/>
      <c r="E194" s="605" t="s">
        <v>1951</v>
      </c>
      <c r="F194" s="140" t="s">
        <v>2170</v>
      </c>
      <c r="G194" s="141">
        <v>2009</v>
      </c>
      <c r="H194" s="118">
        <v>18800372</v>
      </c>
      <c r="I194" s="118">
        <v>1</v>
      </c>
      <c r="J194" s="118"/>
      <c r="K194" s="118"/>
      <c r="L194" s="118">
        <v>1</v>
      </c>
      <c r="M194" s="118"/>
      <c r="N194" s="118">
        <v>1</v>
      </c>
      <c r="O194" s="142">
        <v>1</v>
      </c>
      <c r="P194" s="118" t="s">
        <v>450</v>
      </c>
      <c r="Q194" s="118" t="s">
        <v>1147</v>
      </c>
      <c r="R194" s="118" t="s">
        <v>25</v>
      </c>
      <c r="S194" s="118">
        <v>1</v>
      </c>
      <c r="T194" s="118"/>
      <c r="U194" s="118"/>
      <c r="V194" s="118"/>
      <c r="W194" s="118" t="s">
        <v>449</v>
      </c>
      <c r="X194" s="118"/>
      <c r="Y194" s="118"/>
      <c r="Z194" s="118"/>
      <c r="AA194" s="118"/>
      <c r="AB194" s="118"/>
      <c r="AC194" s="145"/>
      <c r="AD194" s="573">
        <v>1</v>
      </c>
      <c r="AE194" s="573">
        <v>2</v>
      </c>
      <c r="AF194" s="159">
        <v>1</v>
      </c>
      <c r="AG194" s="160"/>
      <c r="AH194" s="122">
        <v>2</v>
      </c>
      <c r="AI194" s="485"/>
      <c r="AJ194" s="204" t="s">
        <v>4207</v>
      </c>
      <c r="AK194" s="420">
        <v>1</v>
      </c>
      <c r="AL194" s="205" t="s">
        <v>24</v>
      </c>
      <c r="AM194" s="122">
        <f>Table668[[#This Row],[Data_Subjects_n_ptsd]]+Table668[[#This Row],[Data_Subjects_n_control]]</f>
        <v>50</v>
      </c>
      <c r="AN194" s="122">
        <v>25</v>
      </c>
      <c r="AO194" s="122">
        <v>25</v>
      </c>
      <c r="AP194" s="122" t="s">
        <v>803</v>
      </c>
      <c r="AQ194" s="122" t="s">
        <v>803</v>
      </c>
      <c r="AR194" s="122">
        <v>33.32</v>
      </c>
      <c r="AS194" s="122">
        <v>4.76</v>
      </c>
      <c r="AT194" s="122">
        <v>34.799999999999997</v>
      </c>
      <c r="AU194" s="122">
        <v>4.5999999999999996</v>
      </c>
      <c r="AV194" s="122" t="s">
        <v>4160</v>
      </c>
      <c r="AW194" s="122" t="s">
        <v>24</v>
      </c>
      <c r="AX194" s="122" t="s">
        <v>24</v>
      </c>
      <c r="AY194" s="122" t="s">
        <v>4161</v>
      </c>
      <c r="AZ194" s="122" t="s">
        <v>3835</v>
      </c>
      <c r="BA194" s="122" t="s">
        <v>4162</v>
      </c>
      <c r="BB194" s="588"/>
      <c r="BC194" s="588"/>
      <c r="BD194" s="161"/>
      <c r="BE194" s="161"/>
      <c r="BF194" s="161"/>
      <c r="BG194" s="161"/>
      <c r="BH194" s="161"/>
      <c r="BI194" s="161"/>
      <c r="BJ194" s="161"/>
      <c r="BK194" s="161"/>
      <c r="BL194" s="161"/>
      <c r="BM194" s="161"/>
      <c r="BN194" s="161">
        <v>1</v>
      </c>
      <c r="BO194" s="161"/>
      <c r="BP194" s="161"/>
      <c r="BQ194" s="596" t="s">
        <v>4163</v>
      </c>
      <c r="BR194" s="162"/>
      <c r="BS194" s="660"/>
      <c r="BT194" s="150" t="s">
        <v>1876</v>
      </c>
      <c r="BU194" s="150">
        <v>2</v>
      </c>
      <c r="BV194" s="150" t="s">
        <v>4164</v>
      </c>
      <c r="BW194" s="150" t="s">
        <v>24</v>
      </c>
      <c r="BX194" s="465" t="s">
        <v>4165</v>
      </c>
      <c r="BY194" s="465"/>
      <c r="BZ194" s="258" t="s">
        <v>4166</v>
      </c>
      <c r="CA194" s="257"/>
      <c r="CB194" s="151" t="s">
        <v>4167</v>
      </c>
      <c r="CC194" s="150">
        <v>97.84</v>
      </c>
      <c r="CD194" s="150">
        <v>10.68</v>
      </c>
      <c r="CE194" s="150" t="s">
        <v>24</v>
      </c>
      <c r="CF194" s="151" t="s">
        <v>4168</v>
      </c>
      <c r="CG194" s="150">
        <v>102.56</v>
      </c>
      <c r="CH194" s="150">
        <v>11.3</v>
      </c>
      <c r="CI194" s="150" t="s">
        <v>24</v>
      </c>
      <c r="CJ194" s="290" t="s">
        <v>4169</v>
      </c>
      <c r="CK194" s="291" t="s">
        <v>4170</v>
      </c>
      <c r="CL194" s="150" t="s">
        <v>24</v>
      </c>
      <c r="CM194" s="150" t="s">
        <v>24</v>
      </c>
      <c r="CN194" s="150" t="s">
        <v>24</v>
      </c>
      <c r="CO194" s="150" t="s">
        <v>24</v>
      </c>
      <c r="CP194" s="150" t="s">
        <v>24</v>
      </c>
      <c r="CQ194" s="150" t="s">
        <v>24</v>
      </c>
      <c r="CR194" s="150" t="s">
        <v>24</v>
      </c>
      <c r="CS194" s="150" t="s">
        <v>24</v>
      </c>
      <c r="CT194" s="290"/>
      <c r="CU194" s="291"/>
      <c r="CV194" s="278"/>
      <c r="CW194" s="285"/>
      <c r="CX194" s="150" t="s">
        <v>24</v>
      </c>
      <c r="CY194" s="150" t="s">
        <v>24</v>
      </c>
      <c r="CZ194" s="150" t="s">
        <v>24</v>
      </c>
      <c r="DA194" s="150" t="s">
        <v>24</v>
      </c>
      <c r="DB194" s="150" t="s">
        <v>24</v>
      </c>
      <c r="DC194" s="150" t="s">
        <v>24</v>
      </c>
      <c r="DD194" s="150" t="s">
        <v>24</v>
      </c>
      <c r="DE194" s="150" t="s">
        <v>24</v>
      </c>
      <c r="DF194" s="302"/>
      <c r="DG194" s="303"/>
      <c r="DH194" s="150"/>
      <c r="DI194" s="150"/>
      <c r="DJ194" s="150"/>
      <c r="DK194" s="150"/>
      <c r="DL194" s="150"/>
      <c r="DM194" s="150"/>
      <c r="DN194" s="150"/>
      <c r="DO194" s="150"/>
      <c r="DP194" s="302"/>
      <c r="DQ194" s="303"/>
      <c r="DR194" s="278"/>
      <c r="DS194" s="279"/>
      <c r="DT194" s="150"/>
      <c r="DU194" s="150"/>
      <c r="DV194" s="150"/>
      <c r="DW194" s="150"/>
      <c r="DX194" s="151"/>
      <c r="DY194" s="150"/>
      <c r="DZ194" s="150"/>
      <c r="EA194" s="150"/>
      <c r="EB194" s="303"/>
      <c r="EC194" s="303"/>
      <c r="ED194" s="151"/>
      <c r="EE194" s="150"/>
      <c r="EF194" s="150"/>
      <c r="EG194" s="150"/>
      <c r="EH194" s="151"/>
      <c r="EI194" s="150"/>
      <c r="EJ194" s="150"/>
      <c r="EK194" s="150"/>
      <c r="EL194" s="303"/>
      <c r="EM194" s="303"/>
      <c r="EN194" s="279"/>
      <c r="EO194" s="150"/>
      <c r="EP194" s="150"/>
      <c r="EQ194" s="150"/>
      <c r="ER194" s="150"/>
      <c r="ES194" s="150"/>
      <c r="ET194" s="150"/>
      <c r="EU194" s="150"/>
      <c r="EV194" s="150"/>
      <c r="EW194" s="303"/>
      <c r="EX194" s="303"/>
      <c r="EY194" s="150"/>
      <c r="EZ194" s="150"/>
      <c r="FA194" s="150"/>
      <c r="FB194" s="150"/>
      <c r="FC194" s="134"/>
      <c r="FD194" s="134"/>
      <c r="FE194" s="134"/>
      <c r="FF194" s="134"/>
      <c r="FG194" s="135"/>
      <c r="FH194" s="135"/>
      <c r="FI194" s="134"/>
      <c r="FJ194" s="134"/>
      <c r="FK194" s="134"/>
      <c r="FL194" s="134"/>
      <c r="FM194" s="134"/>
      <c r="FN194" s="134"/>
      <c r="FO194" s="134"/>
      <c r="FP194" s="134"/>
      <c r="FQ194" s="135"/>
      <c r="FR194" s="135"/>
      <c r="FS194" s="134"/>
      <c r="FT194" s="134"/>
      <c r="FU194" s="134"/>
      <c r="FV194" s="134"/>
      <c r="FW194" s="134"/>
      <c r="FX194" s="134"/>
      <c r="FY194" s="134"/>
      <c r="FZ194" s="134"/>
      <c r="GA194" s="135"/>
      <c r="GB194" s="135"/>
      <c r="GC194" s="134"/>
      <c r="GD194" s="134"/>
      <c r="GE194" s="134"/>
      <c r="GF194" s="134"/>
      <c r="GG194" s="134"/>
      <c r="GH194" s="134"/>
      <c r="GI194" s="134"/>
      <c r="GJ194" s="134"/>
      <c r="GK194" s="135"/>
      <c r="GL194" s="135"/>
      <c r="GM194" s="134"/>
      <c r="GN194" s="134"/>
      <c r="GO194" s="134"/>
      <c r="GP194" s="134"/>
      <c r="GQ194" s="134"/>
      <c r="GR194" s="134"/>
      <c r="GS194" s="134"/>
      <c r="GT194" s="134"/>
      <c r="GU194" s="135"/>
      <c r="GV194" s="135"/>
      <c r="GW194" s="134"/>
      <c r="GX194" s="134"/>
      <c r="GY194" s="134"/>
      <c r="GZ194" s="134"/>
      <c r="HA194" s="134"/>
      <c r="HB194" s="134"/>
      <c r="HC194" s="134"/>
      <c r="HD194" s="134"/>
      <c r="HE194" s="135"/>
      <c r="HF194" s="135"/>
      <c r="HG194" s="134"/>
      <c r="HH194" s="134"/>
      <c r="HI194" s="134"/>
      <c r="HJ194" s="134"/>
      <c r="HK194" s="134"/>
      <c r="HL194" s="134"/>
      <c r="HM194" s="134"/>
      <c r="HN194" s="134"/>
      <c r="HO194" s="135"/>
      <c r="HP194" s="135"/>
      <c r="HQ194" s="134"/>
      <c r="HR194" s="134"/>
      <c r="HS194" s="134"/>
      <c r="HT194" s="134"/>
      <c r="HU194" s="134"/>
      <c r="HV194" s="134"/>
      <c r="HW194" s="134"/>
      <c r="HX194" s="134"/>
      <c r="HY194" s="135"/>
      <c r="HZ194" s="135"/>
      <c r="IA194" s="134"/>
      <c r="IB194" s="134"/>
      <c r="IC194" s="134"/>
      <c r="ID194" s="134"/>
      <c r="IE194" s="134"/>
      <c r="IF194" s="134"/>
      <c r="IG194" s="134"/>
      <c r="IH194" s="134"/>
      <c r="II194" s="135"/>
      <c r="IJ194" s="135"/>
      <c r="IK194" s="134"/>
      <c r="IL194" s="134"/>
      <c r="IM194" s="134"/>
      <c r="IN194" s="134"/>
      <c r="IO194" s="134"/>
      <c r="IP194" s="134"/>
      <c r="IQ194" s="134"/>
      <c r="IR194" s="134"/>
      <c r="IS194" s="135"/>
      <c r="IT194" s="135"/>
      <c r="IU194" s="134"/>
      <c r="IV194" s="134"/>
      <c r="IW194" s="134"/>
      <c r="IX194" s="134"/>
      <c r="IY194" s="134"/>
      <c r="IZ194" s="134"/>
      <c r="JA194" s="134"/>
      <c r="JB194" s="134"/>
      <c r="JC194" s="135"/>
      <c r="JD194" s="135"/>
    </row>
    <row r="195" spans="1:264" customFormat="1" ht="15" customHeight="1">
      <c r="A195" s="79" t="s">
        <v>144</v>
      </c>
      <c r="B195" s="362">
        <v>110</v>
      </c>
      <c r="C195" s="362">
        <v>23</v>
      </c>
      <c r="D195" s="362"/>
      <c r="E195" s="604" t="s">
        <v>1951</v>
      </c>
      <c r="F195" s="124" t="s">
        <v>2171</v>
      </c>
      <c r="G195" s="125">
        <v>2008</v>
      </c>
      <c r="H195" s="79">
        <v>17698081</v>
      </c>
      <c r="I195" s="79">
        <v>1</v>
      </c>
      <c r="J195" s="126"/>
      <c r="K195" s="127"/>
      <c r="L195" s="79">
        <v>1</v>
      </c>
      <c r="M195" s="79"/>
      <c r="N195" s="79">
        <v>1</v>
      </c>
      <c r="O195" s="128">
        <v>1</v>
      </c>
      <c r="P195" s="79" t="s">
        <v>73</v>
      </c>
      <c r="Q195" s="79" t="s">
        <v>1147</v>
      </c>
      <c r="R195" s="79" t="s">
        <v>25</v>
      </c>
      <c r="S195" s="79">
        <v>1</v>
      </c>
      <c r="T195" s="79"/>
      <c r="U195" s="79"/>
      <c r="V195" s="79"/>
      <c r="W195" s="79" t="s">
        <v>451</v>
      </c>
      <c r="X195" s="79" t="s">
        <v>56</v>
      </c>
      <c r="Y195" s="79"/>
      <c r="Z195" s="79"/>
      <c r="AA195" s="79"/>
      <c r="AB195" s="79"/>
      <c r="AC195" s="506"/>
      <c r="AD195" s="573">
        <v>1</v>
      </c>
      <c r="AE195" s="573">
        <v>2</v>
      </c>
      <c r="AF195" s="154">
        <v>1</v>
      </c>
      <c r="AG195" s="155"/>
      <c r="AH195" s="121">
        <v>2</v>
      </c>
      <c r="AI195" s="484"/>
      <c r="AJ195" s="202"/>
      <c r="AK195" s="192">
        <v>0</v>
      </c>
      <c r="AL195" s="203" t="s">
        <v>24</v>
      </c>
      <c r="AM195" s="121">
        <v>24</v>
      </c>
      <c r="AN195" s="121">
        <v>12</v>
      </c>
      <c r="AO195" s="121">
        <v>12</v>
      </c>
      <c r="AP195" s="121" t="s">
        <v>803</v>
      </c>
      <c r="AQ195" s="121" t="s">
        <v>803</v>
      </c>
      <c r="AR195" s="121">
        <v>34.82</v>
      </c>
      <c r="AS195" s="121">
        <v>5.78</v>
      </c>
      <c r="AT195" s="121">
        <v>34.69</v>
      </c>
      <c r="AU195" s="121">
        <v>3.7</v>
      </c>
      <c r="AV195" s="121" t="s">
        <v>4236</v>
      </c>
      <c r="AW195" s="121" t="s">
        <v>24</v>
      </c>
      <c r="AX195" s="121" t="s">
        <v>24</v>
      </c>
      <c r="AY195" s="121" t="s">
        <v>4238</v>
      </c>
      <c r="AZ195" s="121" t="s">
        <v>3835</v>
      </c>
      <c r="BA195" s="122" t="s">
        <v>4237</v>
      </c>
      <c r="BB195" s="588"/>
      <c r="BC195" s="588"/>
      <c r="BD195" s="156"/>
      <c r="BE195" s="156"/>
      <c r="BF195" s="156"/>
      <c r="BG195" s="156"/>
      <c r="BH195" s="156"/>
      <c r="BI195" s="156"/>
      <c r="BJ195" s="156">
        <v>1</v>
      </c>
      <c r="BK195" s="156"/>
      <c r="BL195" s="156"/>
      <c r="BM195" s="156"/>
      <c r="BN195" s="156"/>
      <c r="BO195" s="156"/>
      <c r="BP195" s="156"/>
      <c r="BQ195" s="595" t="s">
        <v>6614</v>
      </c>
      <c r="BR195" s="157" t="s">
        <v>6611</v>
      </c>
      <c r="BS195" s="660"/>
      <c r="BT195" s="134" t="s">
        <v>1876</v>
      </c>
      <c r="BU195" s="134">
        <v>2</v>
      </c>
      <c r="BV195" s="134" t="s">
        <v>4240</v>
      </c>
      <c r="BW195" s="134" t="s">
        <v>24</v>
      </c>
      <c r="BX195" s="134" t="s">
        <v>4242</v>
      </c>
      <c r="BY195" s="134"/>
      <c r="BZ195" s="259" t="s">
        <v>4246</v>
      </c>
      <c r="CA195" s="454">
        <v>0</v>
      </c>
      <c r="CB195" s="138" t="s">
        <v>4241</v>
      </c>
      <c r="CC195" s="134">
        <v>3.7</v>
      </c>
      <c r="CD195" s="134">
        <v>1.6</v>
      </c>
      <c r="CE195" s="134" t="s">
        <v>24</v>
      </c>
      <c r="CF195" s="138" t="s">
        <v>4243</v>
      </c>
      <c r="CG195" s="134">
        <v>6.2</v>
      </c>
      <c r="CH195" s="134">
        <v>4.2</v>
      </c>
      <c r="CI195" s="134" t="s">
        <v>24</v>
      </c>
      <c r="CJ195" s="288" t="s">
        <v>4244</v>
      </c>
      <c r="CK195" s="289" t="s">
        <v>4245</v>
      </c>
      <c r="CL195" s="150" t="s">
        <v>24</v>
      </c>
      <c r="CM195" s="150" t="s">
        <v>24</v>
      </c>
      <c r="CN195" s="150" t="s">
        <v>24</v>
      </c>
      <c r="CO195" s="150" t="s">
        <v>24</v>
      </c>
      <c r="CP195" s="150" t="s">
        <v>24</v>
      </c>
      <c r="CQ195" s="150" t="s">
        <v>24</v>
      </c>
      <c r="CR195" s="150" t="s">
        <v>24</v>
      </c>
      <c r="CS195" s="150" t="s">
        <v>24</v>
      </c>
      <c r="CT195" s="288"/>
      <c r="CU195" s="289"/>
      <c r="CV195" s="276"/>
      <c r="CW195" s="308"/>
      <c r="CX195" s="150" t="s">
        <v>24</v>
      </c>
      <c r="CY195" s="150" t="s">
        <v>24</v>
      </c>
      <c r="CZ195" s="150" t="s">
        <v>24</v>
      </c>
      <c r="DA195" s="150" t="s">
        <v>24</v>
      </c>
      <c r="DB195" s="150" t="s">
        <v>24</v>
      </c>
      <c r="DC195" s="150" t="s">
        <v>24</v>
      </c>
      <c r="DD195" s="150" t="s">
        <v>24</v>
      </c>
      <c r="DE195" s="150" t="s">
        <v>24</v>
      </c>
      <c r="DF195" s="300"/>
      <c r="DG195" s="301"/>
      <c r="DH195" s="134"/>
      <c r="DI195" s="134"/>
      <c r="DJ195" s="134"/>
      <c r="DK195" s="134"/>
      <c r="DL195" s="134"/>
      <c r="DM195" s="134"/>
      <c r="DN195" s="134"/>
      <c r="DO195" s="134"/>
      <c r="DP195" s="300"/>
      <c r="DQ195" s="301"/>
      <c r="DR195" s="276"/>
      <c r="DS195" s="277"/>
      <c r="DT195" s="134"/>
      <c r="DU195" s="134"/>
      <c r="DV195" s="134"/>
      <c r="DW195" s="134"/>
      <c r="DX195" s="138"/>
      <c r="DY195" s="134"/>
      <c r="DZ195" s="134"/>
      <c r="EA195" s="134"/>
      <c r="EB195" s="301"/>
      <c r="EC195" s="301"/>
      <c r="ED195" s="138"/>
      <c r="EE195" s="134"/>
      <c r="EF195" s="134"/>
      <c r="EG195" s="134"/>
      <c r="EH195" s="138"/>
      <c r="EI195" s="134"/>
      <c r="EJ195" s="134"/>
      <c r="EK195" s="134"/>
      <c r="EL195" s="301"/>
      <c r="EM195" s="301"/>
      <c r="EN195" s="277"/>
      <c r="EO195" s="134"/>
      <c r="EP195" s="134"/>
      <c r="EQ195" s="134"/>
      <c r="ER195" s="134"/>
      <c r="ES195" s="134"/>
      <c r="ET195" s="134"/>
      <c r="EU195" s="134"/>
      <c r="EV195" s="134"/>
      <c r="EW195" s="301"/>
      <c r="EX195" s="301"/>
      <c r="EY195" s="134"/>
      <c r="EZ195" s="134"/>
      <c r="FA195" s="134"/>
      <c r="FB195" s="134"/>
      <c r="FC195" s="134"/>
      <c r="FD195" s="134"/>
      <c r="FE195" s="134"/>
      <c r="FF195" s="134"/>
      <c r="FG195" s="135"/>
      <c r="FH195" s="135"/>
      <c r="FI195" s="134"/>
      <c r="FJ195" s="134"/>
      <c r="FK195" s="134"/>
      <c r="FL195" s="134"/>
      <c r="FM195" s="134"/>
      <c r="FN195" s="134"/>
      <c r="FO195" s="134"/>
      <c r="FP195" s="134"/>
      <c r="FQ195" s="135"/>
      <c r="FR195" s="135"/>
      <c r="FS195" s="134"/>
      <c r="FT195" s="134"/>
      <c r="FU195" s="134"/>
      <c r="FV195" s="134"/>
      <c r="FW195" s="134"/>
      <c r="FX195" s="134"/>
      <c r="FY195" s="134"/>
      <c r="FZ195" s="134"/>
      <c r="GA195" s="135"/>
      <c r="GB195" s="135"/>
      <c r="GC195" s="134"/>
      <c r="GD195" s="134"/>
      <c r="GE195" s="134"/>
      <c r="GF195" s="134"/>
      <c r="GG195" s="134"/>
      <c r="GH195" s="134"/>
      <c r="GI195" s="134"/>
      <c r="GJ195" s="134"/>
      <c r="GK195" s="135"/>
      <c r="GL195" s="135"/>
      <c r="GM195" s="134"/>
      <c r="GN195" s="134"/>
      <c r="GO195" s="134"/>
      <c r="GP195" s="134"/>
      <c r="GQ195" s="134"/>
      <c r="GR195" s="134"/>
      <c r="GS195" s="134"/>
      <c r="GT195" s="134"/>
      <c r="GU195" s="135"/>
      <c r="GV195" s="135"/>
      <c r="GW195" s="134"/>
      <c r="GX195" s="134"/>
      <c r="GY195" s="134"/>
      <c r="GZ195" s="134"/>
      <c r="HA195" s="134"/>
      <c r="HB195" s="134"/>
      <c r="HC195" s="134"/>
      <c r="HD195" s="134"/>
      <c r="HE195" s="135"/>
      <c r="HF195" s="135"/>
      <c r="HG195" s="134"/>
      <c r="HH195" s="134"/>
      <c r="HI195" s="134"/>
      <c r="HJ195" s="134"/>
      <c r="HK195" s="134"/>
      <c r="HL195" s="134"/>
      <c r="HM195" s="134"/>
      <c r="HN195" s="134"/>
      <c r="HO195" s="135"/>
      <c r="HP195" s="135"/>
      <c r="HQ195" s="134"/>
      <c r="HR195" s="134"/>
      <c r="HS195" s="134"/>
      <c r="HT195" s="134"/>
      <c r="HU195" s="134"/>
      <c r="HV195" s="134"/>
      <c r="HW195" s="134"/>
      <c r="HX195" s="134"/>
      <c r="HY195" s="135"/>
      <c r="HZ195" s="135"/>
      <c r="IA195" s="134"/>
      <c r="IB195" s="134"/>
      <c r="IC195" s="134"/>
      <c r="ID195" s="134"/>
      <c r="IE195" s="134"/>
      <c r="IF195" s="134"/>
      <c r="IG195" s="134"/>
      <c r="IH195" s="134"/>
      <c r="II195" s="135"/>
      <c r="IJ195" s="135"/>
      <c r="IK195" s="134"/>
      <c r="IL195" s="134"/>
      <c r="IM195" s="134"/>
      <c r="IN195" s="134"/>
      <c r="IO195" s="134"/>
      <c r="IP195" s="134"/>
      <c r="IQ195" s="134"/>
      <c r="IR195" s="134"/>
      <c r="IS195" s="135"/>
      <c r="IT195" s="135"/>
      <c r="IU195" s="134"/>
      <c r="IV195" s="134"/>
      <c r="IW195" s="134"/>
      <c r="IX195" s="134"/>
      <c r="IY195" s="134"/>
      <c r="IZ195" s="134"/>
      <c r="JA195" s="134"/>
      <c r="JB195" s="134"/>
      <c r="JC195" s="135"/>
      <c r="JD195" s="135"/>
    </row>
    <row r="196" spans="1:264" customFormat="1" ht="15" customHeight="1">
      <c r="A196" s="118" t="s">
        <v>145</v>
      </c>
      <c r="B196" s="616">
        <v>111</v>
      </c>
      <c r="C196" s="616">
        <v>24</v>
      </c>
      <c r="D196" s="616"/>
      <c r="E196" s="605" t="s">
        <v>1952</v>
      </c>
      <c r="F196" s="140" t="s">
        <v>2172</v>
      </c>
      <c r="G196" s="141">
        <v>2001</v>
      </c>
      <c r="H196" s="118">
        <v>11469166</v>
      </c>
      <c r="I196" s="118">
        <v>1</v>
      </c>
      <c r="J196" s="118"/>
      <c r="K196" s="118"/>
      <c r="L196" s="118">
        <v>1</v>
      </c>
      <c r="M196" s="118"/>
      <c r="N196" s="118">
        <v>1</v>
      </c>
      <c r="O196" s="142">
        <v>1</v>
      </c>
      <c r="P196" s="118" t="s">
        <v>452</v>
      </c>
      <c r="Q196" s="118"/>
      <c r="R196" s="118" t="s">
        <v>25</v>
      </c>
      <c r="S196" s="118">
        <v>1</v>
      </c>
      <c r="T196" s="118"/>
      <c r="U196" s="118"/>
      <c r="V196" s="118"/>
      <c r="W196" s="118" t="s">
        <v>24</v>
      </c>
      <c r="X196" s="118"/>
      <c r="Y196" s="118"/>
      <c r="Z196" s="118"/>
      <c r="AA196" s="118"/>
      <c r="AB196" s="118"/>
      <c r="AC196" s="145"/>
      <c r="AD196" s="573">
        <v>1</v>
      </c>
      <c r="AE196" s="573">
        <v>2</v>
      </c>
      <c r="AF196" s="154">
        <v>1</v>
      </c>
      <c r="AG196" s="160"/>
      <c r="AH196" s="122">
        <v>2</v>
      </c>
      <c r="AI196" s="485"/>
      <c r="AJ196" s="204" t="s">
        <v>4250</v>
      </c>
      <c r="AK196" s="192">
        <v>1</v>
      </c>
      <c r="AL196" s="205" t="s">
        <v>24</v>
      </c>
      <c r="AM196" s="122">
        <f>Table668[[#This Row],[Data_Subjects_n_ptsd]]+Table668[[#This Row],[Data_Subjects_n_control]]</f>
        <v>32</v>
      </c>
      <c r="AN196" s="122">
        <v>19</v>
      </c>
      <c r="AO196" s="122">
        <v>13</v>
      </c>
      <c r="AP196" s="122" t="s">
        <v>803</v>
      </c>
      <c r="AQ196" s="122" t="s">
        <v>803</v>
      </c>
      <c r="AR196" s="122" t="s">
        <v>4248</v>
      </c>
      <c r="AS196" s="122">
        <v>2.81</v>
      </c>
      <c r="AT196" s="122" t="s">
        <v>4247</v>
      </c>
      <c r="AU196" s="122">
        <v>3.09</v>
      </c>
      <c r="AV196" s="122" t="s">
        <v>4249</v>
      </c>
      <c r="AW196" s="122" t="s">
        <v>24</v>
      </c>
      <c r="AX196" s="122" t="s">
        <v>24</v>
      </c>
      <c r="AY196" s="122" t="s">
        <v>4161</v>
      </c>
      <c r="AZ196" s="122" t="s">
        <v>3835</v>
      </c>
      <c r="BA196" s="122" t="s">
        <v>4251</v>
      </c>
      <c r="BB196" s="588"/>
      <c r="BC196" s="588"/>
      <c r="BD196" s="161"/>
      <c r="BE196" s="161"/>
      <c r="BF196" s="161"/>
      <c r="BG196" s="161"/>
      <c r="BH196" s="161"/>
      <c r="BI196" s="161"/>
      <c r="BJ196" s="161">
        <v>1</v>
      </c>
      <c r="BK196" s="161"/>
      <c r="BL196" s="161"/>
      <c r="BM196" s="161"/>
      <c r="BN196" s="161"/>
      <c r="BO196" s="161"/>
      <c r="BP196" s="161"/>
      <c r="BQ196" s="596" t="s">
        <v>4268</v>
      </c>
      <c r="BR196" s="162" t="s">
        <v>6609</v>
      </c>
      <c r="BS196" s="660"/>
      <c r="BT196" s="150" t="s">
        <v>1876</v>
      </c>
      <c r="BU196" s="150">
        <v>2</v>
      </c>
      <c r="BV196" s="150" t="s">
        <v>4266</v>
      </c>
      <c r="BW196" s="150" t="s">
        <v>24</v>
      </c>
      <c r="BX196" s="150" t="s">
        <v>4271</v>
      </c>
      <c r="BY196" s="150"/>
      <c r="BZ196" s="258" t="s">
        <v>4300</v>
      </c>
      <c r="CA196" s="257" t="s">
        <v>24</v>
      </c>
      <c r="CB196" s="151" t="s">
        <v>4273</v>
      </c>
      <c r="CC196" s="150">
        <v>96.58</v>
      </c>
      <c r="CD196" s="150">
        <v>9.98</v>
      </c>
      <c r="CE196" s="150" t="s">
        <v>24</v>
      </c>
      <c r="CF196" s="151" t="s">
        <v>4282</v>
      </c>
      <c r="CG196" s="150">
        <v>110.23</v>
      </c>
      <c r="CH196" s="150">
        <v>9.98</v>
      </c>
      <c r="CI196" s="150" t="s">
        <v>24</v>
      </c>
      <c r="CJ196" s="290" t="s">
        <v>4297</v>
      </c>
      <c r="CK196" s="291" t="s">
        <v>4299</v>
      </c>
      <c r="CL196" s="151" t="s">
        <v>24</v>
      </c>
      <c r="CM196" s="150" t="s">
        <v>24</v>
      </c>
      <c r="CN196" s="150" t="s">
        <v>24</v>
      </c>
      <c r="CO196" s="150" t="s">
        <v>24</v>
      </c>
      <c r="CP196" s="151" t="s">
        <v>24</v>
      </c>
      <c r="CQ196" s="150" t="s">
        <v>24</v>
      </c>
      <c r="CR196" s="150" t="s">
        <v>24</v>
      </c>
      <c r="CS196" s="150" t="s">
        <v>24</v>
      </c>
      <c r="CT196" s="290" t="s">
        <v>24</v>
      </c>
      <c r="CU196" s="291"/>
      <c r="CV196" s="278"/>
      <c r="CW196" s="285"/>
      <c r="CX196" s="151"/>
      <c r="CY196" s="150"/>
      <c r="CZ196" s="150"/>
      <c r="DA196" s="150"/>
      <c r="DB196" s="150"/>
      <c r="DC196" s="150"/>
      <c r="DD196" s="150"/>
      <c r="DE196" s="150"/>
      <c r="DF196" s="302"/>
      <c r="DG196" s="303"/>
      <c r="DH196" s="150"/>
      <c r="DI196" s="150"/>
      <c r="DJ196" s="150"/>
      <c r="DK196" s="150"/>
      <c r="DL196" s="150"/>
      <c r="DM196" s="150"/>
      <c r="DN196" s="150"/>
      <c r="DO196" s="150"/>
      <c r="DP196" s="302"/>
      <c r="DQ196" s="303"/>
      <c r="DR196" s="278"/>
      <c r="DS196" s="279"/>
      <c r="DT196" s="150"/>
      <c r="DU196" s="150"/>
      <c r="DV196" s="150"/>
      <c r="DW196" s="150"/>
      <c r="DX196" s="151"/>
      <c r="DY196" s="150"/>
      <c r="DZ196" s="150"/>
      <c r="EA196" s="150"/>
      <c r="EB196" s="303"/>
      <c r="EC196" s="303"/>
      <c r="ED196" s="151"/>
      <c r="EE196" s="150"/>
      <c r="EF196" s="150"/>
      <c r="EG196" s="150"/>
      <c r="EH196" s="151"/>
      <c r="EI196" s="150"/>
      <c r="EJ196" s="150"/>
      <c r="EK196" s="150"/>
      <c r="EL196" s="303"/>
      <c r="EM196" s="303"/>
      <c r="EN196" s="279"/>
      <c r="EO196" s="150"/>
      <c r="EP196" s="150"/>
      <c r="EQ196" s="150"/>
      <c r="ER196" s="150"/>
      <c r="ES196" s="150"/>
      <c r="ET196" s="150"/>
      <c r="EU196" s="150"/>
      <c r="EV196" s="150"/>
      <c r="EW196" s="303"/>
      <c r="EX196" s="303"/>
      <c r="EY196" s="150"/>
      <c r="EZ196" s="150"/>
      <c r="FA196" s="150"/>
      <c r="FB196" s="150"/>
      <c r="FC196" s="134"/>
      <c r="FD196" s="134"/>
      <c r="FE196" s="134"/>
      <c r="FF196" s="134"/>
      <c r="FG196" s="135"/>
      <c r="FH196" s="135"/>
      <c r="FI196" s="134"/>
      <c r="FJ196" s="134"/>
      <c r="FK196" s="134"/>
      <c r="FL196" s="134"/>
      <c r="FM196" s="134"/>
      <c r="FN196" s="134"/>
      <c r="FO196" s="134"/>
      <c r="FP196" s="134"/>
      <c r="FQ196" s="135"/>
      <c r="FR196" s="135"/>
      <c r="FS196" s="134"/>
      <c r="FT196" s="134"/>
      <c r="FU196" s="134"/>
      <c r="FV196" s="134"/>
      <c r="FW196" s="134"/>
      <c r="FX196" s="134"/>
      <c r="FY196" s="134"/>
      <c r="FZ196" s="134"/>
      <c r="GA196" s="135"/>
      <c r="GB196" s="135"/>
      <c r="GC196" s="134"/>
      <c r="GD196" s="134"/>
      <c r="GE196" s="134"/>
      <c r="GF196" s="134"/>
      <c r="GG196" s="134"/>
      <c r="GH196" s="134"/>
      <c r="GI196" s="134"/>
      <c r="GJ196" s="134"/>
      <c r="GK196" s="135"/>
      <c r="GL196" s="135"/>
      <c r="GM196" s="134"/>
      <c r="GN196" s="134"/>
      <c r="GO196" s="134"/>
      <c r="GP196" s="134"/>
      <c r="GQ196" s="134"/>
      <c r="GR196" s="134"/>
      <c r="GS196" s="134"/>
      <c r="GT196" s="134"/>
      <c r="GU196" s="135"/>
      <c r="GV196" s="135"/>
      <c r="GW196" s="134"/>
      <c r="GX196" s="134"/>
      <c r="GY196" s="134"/>
      <c r="GZ196" s="134"/>
      <c r="HA196" s="134"/>
      <c r="HB196" s="134"/>
      <c r="HC196" s="134"/>
      <c r="HD196" s="134"/>
      <c r="HE196" s="135"/>
      <c r="HF196" s="135"/>
      <c r="HG196" s="134"/>
      <c r="HH196" s="134"/>
      <c r="HI196" s="134"/>
      <c r="HJ196" s="134"/>
      <c r="HK196" s="134"/>
      <c r="HL196" s="134"/>
      <c r="HM196" s="134"/>
      <c r="HN196" s="134"/>
      <c r="HO196" s="135"/>
      <c r="HP196" s="135"/>
      <c r="HQ196" s="134"/>
      <c r="HR196" s="134"/>
      <c r="HS196" s="134"/>
      <c r="HT196" s="134"/>
      <c r="HU196" s="134"/>
      <c r="HV196" s="134"/>
      <c r="HW196" s="134"/>
      <c r="HX196" s="134"/>
      <c r="HY196" s="135"/>
      <c r="HZ196" s="135"/>
      <c r="IA196" s="134"/>
      <c r="IB196" s="134"/>
      <c r="IC196" s="134"/>
      <c r="ID196" s="134"/>
      <c r="IE196" s="134"/>
      <c r="IF196" s="134"/>
      <c r="IG196" s="134"/>
      <c r="IH196" s="134"/>
      <c r="II196" s="135"/>
      <c r="IJ196" s="135"/>
      <c r="IK196" s="134"/>
      <c r="IL196" s="134"/>
      <c r="IM196" s="134"/>
      <c r="IN196" s="134"/>
      <c r="IO196" s="134"/>
      <c r="IP196" s="134"/>
      <c r="IQ196" s="134"/>
      <c r="IR196" s="134"/>
      <c r="IS196" s="135"/>
      <c r="IT196" s="135"/>
      <c r="IU196" s="134"/>
      <c r="IV196" s="134"/>
      <c r="IW196" s="134"/>
      <c r="IX196" s="134"/>
      <c r="IY196" s="134"/>
      <c r="IZ196" s="134"/>
      <c r="JA196" s="134"/>
      <c r="JB196" s="134"/>
      <c r="JC196" s="135"/>
      <c r="JD196" s="135"/>
    </row>
    <row r="197" spans="1:264" customFormat="1" ht="15" customHeight="1">
      <c r="A197" s="118" t="s">
        <v>145</v>
      </c>
      <c r="B197" s="616">
        <v>111</v>
      </c>
      <c r="C197" s="616">
        <v>24</v>
      </c>
      <c r="D197" s="616"/>
      <c r="E197" s="605" t="s">
        <v>1952</v>
      </c>
      <c r="F197" s="140" t="s">
        <v>2172</v>
      </c>
      <c r="G197" s="141">
        <v>2001</v>
      </c>
      <c r="H197" s="118">
        <v>11469166</v>
      </c>
      <c r="I197" s="118">
        <v>1</v>
      </c>
      <c r="J197" s="118"/>
      <c r="K197" s="118"/>
      <c r="L197" s="118">
        <v>1</v>
      </c>
      <c r="M197" s="118"/>
      <c r="N197" s="118">
        <v>1</v>
      </c>
      <c r="O197" s="142">
        <v>1</v>
      </c>
      <c r="P197" s="118" t="s">
        <v>452</v>
      </c>
      <c r="Q197" s="118"/>
      <c r="R197" s="118" t="s">
        <v>25</v>
      </c>
      <c r="S197" s="118">
        <v>1</v>
      </c>
      <c r="T197" s="118"/>
      <c r="U197" s="118"/>
      <c r="V197" s="118"/>
      <c r="W197" s="118" t="s">
        <v>24</v>
      </c>
      <c r="X197" s="118"/>
      <c r="Y197" s="118"/>
      <c r="Z197" s="118"/>
      <c r="AA197" s="118"/>
      <c r="AB197" s="118"/>
      <c r="AC197" s="145"/>
      <c r="AD197" s="573">
        <v>1</v>
      </c>
      <c r="AE197" s="573">
        <v>2</v>
      </c>
      <c r="AF197" s="154">
        <v>1</v>
      </c>
      <c r="AG197" s="160"/>
      <c r="AH197" s="122">
        <v>2</v>
      </c>
      <c r="AI197" s="485"/>
      <c r="AJ197" s="204" t="s">
        <v>4250</v>
      </c>
      <c r="AK197" s="192">
        <v>1</v>
      </c>
      <c r="AL197" s="205" t="s">
        <v>24</v>
      </c>
      <c r="AM197" s="122">
        <f>Table668[[#This Row],[Data_Subjects_n_ptsd]]+Table668[[#This Row],[Data_Subjects_n_control]]</f>
        <v>32</v>
      </c>
      <c r="AN197" s="122">
        <v>19</v>
      </c>
      <c r="AO197" s="122">
        <v>13</v>
      </c>
      <c r="AP197" s="122" t="s">
        <v>803</v>
      </c>
      <c r="AQ197" s="122" t="s">
        <v>803</v>
      </c>
      <c r="AR197" s="122" t="s">
        <v>4248</v>
      </c>
      <c r="AS197" s="122">
        <v>2.81</v>
      </c>
      <c r="AT197" s="122" t="s">
        <v>4247</v>
      </c>
      <c r="AU197" s="122">
        <v>3.09</v>
      </c>
      <c r="AV197" s="122" t="s">
        <v>4249</v>
      </c>
      <c r="AW197" s="122" t="s">
        <v>24</v>
      </c>
      <c r="AX197" s="122" t="s">
        <v>24</v>
      </c>
      <c r="AY197" s="122" t="s">
        <v>4161</v>
      </c>
      <c r="AZ197" s="122" t="s">
        <v>3835</v>
      </c>
      <c r="BA197" s="122" t="s">
        <v>4251</v>
      </c>
      <c r="BB197" s="588"/>
      <c r="BC197" s="588"/>
      <c r="BD197" s="161"/>
      <c r="BE197" s="161"/>
      <c r="BF197" s="161"/>
      <c r="BG197" s="161"/>
      <c r="BH197" s="161"/>
      <c r="BI197" s="161"/>
      <c r="BJ197" s="161">
        <v>1</v>
      </c>
      <c r="BK197" s="161"/>
      <c r="BL197" s="161"/>
      <c r="BM197" s="161"/>
      <c r="BN197" s="161"/>
      <c r="BO197" s="161"/>
      <c r="BP197" s="161"/>
      <c r="BQ197" s="596" t="s">
        <v>4269</v>
      </c>
      <c r="BR197" s="162" t="s">
        <v>6612</v>
      </c>
      <c r="BS197" s="660"/>
      <c r="BT197" s="150" t="s">
        <v>1876</v>
      </c>
      <c r="BU197" s="150">
        <v>2</v>
      </c>
      <c r="BV197" s="150" t="s">
        <v>4277</v>
      </c>
      <c r="BW197" s="150" t="s">
        <v>24</v>
      </c>
      <c r="BX197" s="150" t="s">
        <v>4280</v>
      </c>
      <c r="BY197" s="150"/>
      <c r="BZ197" s="258" t="s">
        <v>4301</v>
      </c>
      <c r="CA197" s="257" t="s">
        <v>24</v>
      </c>
      <c r="CB197" s="151" t="s">
        <v>4274</v>
      </c>
      <c r="CC197" s="150">
        <v>98.48</v>
      </c>
      <c r="CD197" s="150">
        <v>16.75</v>
      </c>
      <c r="CE197" s="150" t="s">
        <v>24</v>
      </c>
      <c r="CF197" s="151" t="s">
        <v>4283</v>
      </c>
      <c r="CG197" s="150">
        <v>113.31</v>
      </c>
      <c r="CH197" s="150">
        <v>8.0399999999999991</v>
      </c>
      <c r="CI197" s="150" t="s">
        <v>24</v>
      </c>
      <c r="CJ197" s="290" t="s">
        <v>4297</v>
      </c>
      <c r="CK197" s="291" t="s">
        <v>4295</v>
      </c>
      <c r="CL197" s="151" t="s">
        <v>4289</v>
      </c>
      <c r="CM197" s="150">
        <v>19.72</v>
      </c>
      <c r="CN197" s="150">
        <v>7.24</v>
      </c>
      <c r="CO197" s="150" t="s">
        <v>24</v>
      </c>
      <c r="CP197" s="151" t="s">
        <v>4291</v>
      </c>
      <c r="CQ197" s="150">
        <v>18.920000000000002</v>
      </c>
      <c r="CR197" s="150">
        <v>8.06</v>
      </c>
      <c r="CS197" s="150" t="s">
        <v>24</v>
      </c>
      <c r="CT197" s="290" t="s">
        <v>3229</v>
      </c>
      <c r="CU197" s="291" t="s">
        <v>4293</v>
      </c>
      <c r="CV197" s="278"/>
      <c r="CW197" s="285"/>
      <c r="CX197" s="151"/>
      <c r="CY197" s="150"/>
      <c r="CZ197" s="150"/>
      <c r="DA197" s="150"/>
      <c r="DB197" s="150"/>
      <c r="DC197" s="150"/>
      <c r="DD197" s="150"/>
      <c r="DE197" s="150"/>
      <c r="DF197" s="302"/>
      <c r="DG197" s="303"/>
      <c r="DH197" s="150"/>
      <c r="DI197" s="150"/>
      <c r="DJ197" s="150"/>
      <c r="DK197" s="150"/>
      <c r="DL197" s="150"/>
      <c r="DM197" s="150"/>
      <c r="DN197" s="150"/>
      <c r="DO197" s="150"/>
      <c r="DP197" s="302"/>
      <c r="DQ197" s="303"/>
      <c r="DR197" s="278"/>
      <c r="DS197" s="279"/>
      <c r="DT197" s="150"/>
      <c r="DU197" s="150"/>
      <c r="DV197" s="150"/>
      <c r="DW197" s="150"/>
      <c r="DX197" s="151"/>
      <c r="DY197" s="150"/>
      <c r="DZ197" s="150"/>
      <c r="EA197" s="150"/>
      <c r="EB197" s="303"/>
      <c r="EC197" s="303"/>
      <c r="ED197" s="151"/>
      <c r="EE197" s="150"/>
      <c r="EF197" s="150"/>
      <c r="EG197" s="150"/>
      <c r="EH197" s="151"/>
      <c r="EI197" s="150"/>
      <c r="EJ197" s="150"/>
      <c r="EK197" s="150"/>
      <c r="EL197" s="303"/>
      <c r="EM197" s="303"/>
      <c r="EN197" s="279"/>
      <c r="EO197" s="150"/>
      <c r="EP197" s="150"/>
      <c r="EQ197" s="150"/>
      <c r="ER197" s="150"/>
      <c r="ES197" s="150"/>
      <c r="ET197" s="150"/>
      <c r="EU197" s="150"/>
      <c r="EV197" s="150"/>
      <c r="EW197" s="303"/>
      <c r="EX197" s="303"/>
      <c r="EY197" s="150"/>
      <c r="EZ197" s="150"/>
      <c r="FA197" s="150"/>
      <c r="FB197" s="150"/>
      <c r="FC197" s="134"/>
      <c r="FD197" s="134"/>
      <c r="FE197" s="134"/>
      <c r="FF197" s="134"/>
      <c r="FG197" s="135"/>
      <c r="FH197" s="135"/>
      <c r="FI197" s="134"/>
      <c r="FJ197" s="134"/>
      <c r="FK197" s="134"/>
      <c r="FL197" s="134"/>
      <c r="FM197" s="134"/>
      <c r="FN197" s="134"/>
      <c r="FO197" s="134"/>
      <c r="FP197" s="134"/>
      <c r="FQ197" s="135"/>
      <c r="FR197" s="135"/>
      <c r="FS197" s="134"/>
      <c r="FT197" s="134"/>
      <c r="FU197" s="134"/>
      <c r="FV197" s="134"/>
      <c r="FW197" s="134"/>
      <c r="FX197" s="134"/>
      <c r="FY197" s="134"/>
      <c r="FZ197" s="134"/>
      <c r="GA197" s="135"/>
      <c r="GB197" s="135"/>
      <c r="GC197" s="134"/>
      <c r="GD197" s="134"/>
      <c r="GE197" s="134"/>
      <c r="GF197" s="134"/>
      <c r="GG197" s="134"/>
      <c r="GH197" s="134"/>
      <c r="GI197" s="134"/>
      <c r="GJ197" s="134"/>
      <c r="GK197" s="135"/>
      <c r="GL197" s="135"/>
      <c r="GM197" s="134"/>
      <c r="GN197" s="134"/>
      <c r="GO197" s="134"/>
      <c r="GP197" s="134"/>
      <c r="GQ197" s="134"/>
      <c r="GR197" s="134"/>
      <c r="GS197" s="134"/>
      <c r="GT197" s="134"/>
      <c r="GU197" s="135"/>
      <c r="GV197" s="135"/>
      <c r="GW197" s="134"/>
      <c r="GX197" s="134"/>
      <c r="GY197" s="134"/>
      <c r="GZ197" s="134"/>
      <c r="HA197" s="134"/>
      <c r="HB197" s="134"/>
      <c r="HC197" s="134"/>
      <c r="HD197" s="134"/>
      <c r="HE197" s="135"/>
      <c r="HF197" s="135"/>
      <c r="HG197" s="134"/>
      <c r="HH197" s="134"/>
      <c r="HI197" s="134"/>
      <c r="HJ197" s="134"/>
      <c r="HK197" s="134"/>
      <c r="HL197" s="134"/>
      <c r="HM197" s="134"/>
      <c r="HN197" s="134"/>
      <c r="HO197" s="135"/>
      <c r="HP197" s="135"/>
      <c r="HQ197" s="134"/>
      <c r="HR197" s="134"/>
      <c r="HS197" s="134"/>
      <c r="HT197" s="134"/>
      <c r="HU197" s="134"/>
      <c r="HV197" s="134"/>
      <c r="HW197" s="134"/>
      <c r="HX197" s="134"/>
      <c r="HY197" s="135"/>
      <c r="HZ197" s="135"/>
      <c r="IA197" s="134"/>
      <c r="IB197" s="134"/>
      <c r="IC197" s="134"/>
      <c r="ID197" s="134"/>
      <c r="IE197" s="134"/>
      <c r="IF197" s="134"/>
      <c r="IG197" s="134"/>
      <c r="IH197" s="134"/>
      <c r="II197" s="135"/>
      <c r="IJ197" s="135"/>
      <c r="IK197" s="134"/>
      <c r="IL197" s="134"/>
      <c r="IM197" s="134"/>
      <c r="IN197" s="134"/>
      <c r="IO197" s="134"/>
      <c r="IP197" s="134"/>
      <c r="IQ197" s="134"/>
      <c r="IR197" s="134"/>
      <c r="IS197" s="135"/>
      <c r="IT197" s="135"/>
      <c r="IU197" s="134"/>
      <c r="IV197" s="134"/>
      <c r="IW197" s="134"/>
      <c r="IX197" s="134"/>
      <c r="IY197" s="134"/>
      <c r="IZ197" s="134"/>
      <c r="JA197" s="134"/>
      <c r="JB197" s="134"/>
      <c r="JC197" s="135"/>
      <c r="JD197" s="135"/>
    </row>
    <row r="198" spans="1:264" customFormat="1" ht="15" customHeight="1">
      <c r="A198" s="118" t="s">
        <v>145</v>
      </c>
      <c r="B198" s="616">
        <v>111</v>
      </c>
      <c r="C198" s="616">
        <v>24</v>
      </c>
      <c r="D198" s="616"/>
      <c r="E198" s="605" t="s">
        <v>1952</v>
      </c>
      <c r="F198" s="140" t="s">
        <v>2172</v>
      </c>
      <c r="G198" s="141">
        <v>2001</v>
      </c>
      <c r="H198" s="118">
        <v>11469166</v>
      </c>
      <c r="I198" s="118">
        <v>1</v>
      </c>
      <c r="J198" s="118"/>
      <c r="K198" s="118"/>
      <c r="L198" s="118">
        <v>1</v>
      </c>
      <c r="M198" s="118"/>
      <c r="N198" s="118">
        <v>1</v>
      </c>
      <c r="O198" s="142">
        <v>1</v>
      </c>
      <c r="P198" s="118" t="s">
        <v>452</v>
      </c>
      <c r="Q198" s="118"/>
      <c r="R198" s="118" t="s">
        <v>25</v>
      </c>
      <c r="S198" s="118">
        <v>1</v>
      </c>
      <c r="T198" s="118"/>
      <c r="U198" s="118"/>
      <c r="V198" s="118"/>
      <c r="W198" s="118" t="s">
        <v>24</v>
      </c>
      <c r="X198" s="118"/>
      <c r="Y198" s="118"/>
      <c r="Z198" s="118"/>
      <c r="AA198" s="118"/>
      <c r="AB198" s="118"/>
      <c r="AC198" s="145"/>
      <c r="AD198" s="573">
        <v>1</v>
      </c>
      <c r="AE198" s="573">
        <v>2</v>
      </c>
      <c r="AF198" s="154">
        <v>1</v>
      </c>
      <c r="AG198" s="160"/>
      <c r="AH198" s="122">
        <v>2</v>
      </c>
      <c r="AI198" s="485"/>
      <c r="AJ198" s="204" t="s">
        <v>4250</v>
      </c>
      <c r="AK198" s="192">
        <v>1</v>
      </c>
      <c r="AL198" s="205" t="s">
        <v>24</v>
      </c>
      <c r="AM198" s="122">
        <f>Table668[[#This Row],[Data_Subjects_n_ptsd]]+Table668[[#This Row],[Data_Subjects_n_control]]</f>
        <v>32</v>
      </c>
      <c r="AN198" s="122">
        <v>19</v>
      </c>
      <c r="AO198" s="122">
        <v>13</v>
      </c>
      <c r="AP198" s="122" t="s">
        <v>803</v>
      </c>
      <c r="AQ198" s="122" t="s">
        <v>803</v>
      </c>
      <c r="AR198" s="122" t="s">
        <v>4248</v>
      </c>
      <c r="AS198" s="122">
        <v>2.81</v>
      </c>
      <c r="AT198" s="122" t="s">
        <v>4247</v>
      </c>
      <c r="AU198" s="122">
        <v>3.09</v>
      </c>
      <c r="AV198" s="122" t="s">
        <v>4249</v>
      </c>
      <c r="AW198" s="122" t="s">
        <v>24</v>
      </c>
      <c r="AX198" s="122" t="s">
        <v>24</v>
      </c>
      <c r="AY198" s="122" t="s">
        <v>4161</v>
      </c>
      <c r="AZ198" s="122" t="s">
        <v>3835</v>
      </c>
      <c r="BA198" s="122" t="s">
        <v>4251</v>
      </c>
      <c r="BB198" s="588"/>
      <c r="BC198" s="588"/>
      <c r="BD198" s="161"/>
      <c r="BE198" s="161"/>
      <c r="BF198" s="161"/>
      <c r="BG198" s="161"/>
      <c r="BH198" s="161"/>
      <c r="BI198" s="161"/>
      <c r="BJ198" s="161">
        <v>1</v>
      </c>
      <c r="BK198" s="161"/>
      <c r="BL198" s="161"/>
      <c r="BM198" s="161"/>
      <c r="BN198" s="161"/>
      <c r="BO198" s="161"/>
      <c r="BP198" s="161"/>
      <c r="BQ198" s="596" t="s">
        <v>4267</v>
      </c>
      <c r="BR198" s="162" t="s">
        <v>6615</v>
      </c>
      <c r="BS198" s="660"/>
      <c r="BT198" s="150" t="s">
        <v>1876</v>
      </c>
      <c r="BU198" s="150">
        <v>2</v>
      </c>
      <c r="BV198" s="150" t="s">
        <v>4266</v>
      </c>
      <c r="BW198" s="150" t="s">
        <v>24</v>
      </c>
      <c r="BX198" s="150" t="s">
        <v>4270</v>
      </c>
      <c r="BY198" s="150"/>
      <c r="BZ198" s="258" t="s">
        <v>4310</v>
      </c>
      <c r="CA198" s="257" t="s">
        <v>24</v>
      </c>
      <c r="CB198" s="151" t="s">
        <v>4272</v>
      </c>
      <c r="CC198" s="150">
        <v>96.05</v>
      </c>
      <c r="CD198" s="150">
        <v>12.27</v>
      </c>
      <c r="CE198" s="150" t="s">
        <v>24</v>
      </c>
      <c r="CF198" s="151" t="s">
        <v>4281</v>
      </c>
      <c r="CG198" s="150">
        <v>113.46</v>
      </c>
      <c r="CH198" s="150">
        <v>10.67</v>
      </c>
      <c r="CI198" s="150" t="s">
        <v>24</v>
      </c>
      <c r="CJ198" s="290" t="s">
        <v>4297</v>
      </c>
      <c r="CK198" s="291" t="s">
        <v>4298</v>
      </c>
      <c r="CL198" s="151" t="s">
        <v>24</v>
      </c>
      <c r="CM198" s="150" t="s">
        <v>24</v>
      </c>
      <c r="CN198" s="150" t="s">
        <v>24</v>
      </c>
      <c r="CO198" s="150" t="s">
        <v>24</v>
      </c>
      <c r="CP198" s="151" t="s">
        <v>24</v>
      </c>
      <c r="CQ198" s="150" t="s">
        <v>24</v>
      </c>
      <c r="CR198" s="150" t="s">
        <v>24</v>
      </c>
      <c r="CS198" s="150" t="s">
        <v>24</v>
      </c>
      <c r="CT198" s="290" t="s">
        <v>24</v>
      </c>
      <c r="CU198" s="291"/>
      <c r="CV198" s="278"/>
      <c r="CW198" s="285"/>
      <c r="CX198" s="151"/>
      <c r="CY198" s="150"/>
      <c r="CZ198" s="150"/>
      <c r="DA198" s="150"/>
      <c r="DB198" s="150"/>
      <c r="DC198" s="150"/>
      <c r="DD198" s="150"/>
      <c r="DE198" s="150"/>
      <c r="DF198" s="302"/>
      <c r="DG198" s="303"/>
      <c r="DH198" s="150"/>
      <c r="DI198" s="150"/>
      <c r="DJ198" s="150"/>
      <c r="DK198" s="150"/>
      <c r="DL198" s="150"/>
      <c r="DM198" s="150"/>
      <c r="DN198" s="150"/>
      <c r="DO198" s="150"/>
      <c r="DP198" s="302"/>
      <c r="DQ198" s="303"/>
      <c r="DR198" s="278"/>
      <c r="DS198" s="279"/>
      <c r="DT198" s="150"/>
      <c r="DU198" s="150"/>
      <c r="DV198" s="150"/>
      <c r="DW198" s="150"/>
      <c r="DX198" s="151"/>
      <c r="DY198" s="150"/>
      <c r="DZ198" s="150"/>
      <c r="EA198" s="150"/>
      <c r="EB198" s="303"/>
      <c r="EC198" s="303"/>
      <c r="ED198" s="151"/>
      <c r="EE198" s="150"/>
      <c r="EF198" s="150"/>
      <c r="EG198" s="150"/>
      <c r="EH198" s="151"/>
      <c r="EI198" s="150"/>
      <c r="EJ198" s="150"/>
      <c r="EK198" s="150"/>
      <c r="EL198" s="303"/>
      <c r="EM198" s="303"/>
      <c r="EN198" s="279"/>
      <c r="EO198" s="150"/>
      <c r="EP198" s="150"/>
      <c r="EQ198" s="150"/>
      <c r="ER198" s="150"/>
      <c r="ES198" s="150"/>
      <c r="ET198" s="150"/>
      <c r="EU198" s="150"/>
      <c r="EV198" s="150"/>
      <c r="EW198" s="303"/>
      <c r="EX198" s="303"/>
      <c r="EY198" s="150"/>
      <c r="EZ198" s="150"/>
      <c r="FA198" s="150"/>
      <c r="FB198" s="150"/>
      <c r="FC198" s="134"/>
      <c r="FD198" s="134"/>
      <c r="FE198" s="134"/>
      <c r="FF198" s="134"/>
      <c r="FG198" s="135"/>
      <c r="FH198" s="135"/>
      <c r="FI198" s="134"/>
      <c r="FJ198" s="134"/>
      <c r="FK198" s="134"/>
      <c r="FL198" s="134"/>
      <c r="FM198" s="134"/>
      <c r="FN198" s="134"/>
      <c r="FO198" s="134"/>
      <c r="FP198" s="134"/>
      <c r="FQ198" s="135"/>
      <c r="FR198" s="135"/>
      <c r="FS198" s="134"/>
      <c r="FT198" s="134"/>
      <c r="FU198" s="134"/>
      <c r="FV198" s="134"/>
      <c r="FW198" s="134"/>
      <c r="FX198" s="134"/>
      <c r="FY198" s="134"/>
      <c r="FZ198" s="134"/>
      <c r="GA198" s="135"/>
      <c r="GB198" s="135"/>
      <c r="GC198" s="134"/>
      <c r="GD198" s="134"/>
      <c r="GE198" s="134"/>
      <c r="GF198" s="134"/>
      <c r="GG198" s="134"/>
      <c r="GH198" s="134"/>
      <c r="GI198" s="134"/>
      <c r="GJ198" s="134"/>
      <c r="GK198" s="135"/>
      <c r="GL198" s="135"/>
      <c r="GM198" s="134"/>
      <c r="GN198" s="134"/>
      <c r="GO198" s="134"/>
      <c r="GP198" s="134"/>
      <c r="GQ198" s="134"/>
      <c r="GR198" s="134"/>
      <c r="GS198" s="134"/>
      <c r="GT198" s="134"/>
      <c r="GU198" s="135"/>
      <c r="GV198" s="135"/>
      <c r="GW198" s="134"/>
      <c r="GX198" s="134"/>
      <c r="GY198" s="134"/>
      <c r="GZ198" s="134"/>
      <c r="HA198" s="134"/>
      <c r="HB198" s="134"/>
      <c r="HC198" s="134"/>
      <c r="HD198" s="134"/>
      <c r="HE198" s="135"/>
      <c r="HF198" s="135"/>
      <c r="HG198" s="134"/>
      <c r="HH198" s="134"/>
      <c r="HI198" s="134"/>
      <c r="HJ198" s="134"/>
      <c r="HK198" s="134"/>
      <c r="HL198" s="134"/>
      <c r="HM198" s="134"/>
      <c r="HN198" s="134"/>
      <c r="HO198" s="135"/>
      <c r="HP198" s="135"/>
      <c r="HQ198" s="134"/>
      <c r="HR198" s="134"/>
      <c r="HS198" s="134"/>
      <c r="HT198" s="134"/>
      <c r="HU198" s="134"/>
      <c r="HV198" s="134"/>
      <c r="HW198" s="134"/>
      <c r="HX198" s="134"/>
      <c r="HY198" s="135"/>
      <c r="HZ198" s="135"/>
      <c r="IA198" s="134"/>
      <c r="IB198" s="134"/>
      <c r="IC198" s="134"/>
      <c r="ID198" s="134"/>
      <c r="IE198" s="134"/>
      <c r="IF198" s="134"/>
      <c r="IG198" s="134"/>
      <c r="IH198" s="134"/>
      <c r="II198" s="135"/>
      <c r="IJ198" s="135"/>
      <c r="IK198" s="134"/>
      <c r="IL198" s="134"/>
      <c r="IM198" s="134"/>
      <c r="IN198" s="134"/>
      <c r="IO198" s="134"/>
      <c r="IP198" s="134"/>
      <c r="IQ198" s="134"/>
      <c r="IR198" s="134"/>
      <c r="IS198" s="135"/>
      <c r="IT198" s="135"/>
      <c r="IU198" s="134"/>
      <c r="IV198" s="134"/>
      <c r="IW198" s="134"/>
      <c r="IX198" s="134"/>
      <c r="IY198" s="134"/>
      <c r="IZ198" s="134"/>
      <c r="JA198" s="134"/>
      <c r="JB198" s="134"/>
      <c r="JC198" s="135"/>
      <c r="JD198" s="135"/>
    </row>
    <row r="199" spans="1:264" customFormat="1" ht="15" customHeight="1">
      <c r="A199" s="118" t="s">
        <v>145</v>
      </c>
      <c r="B199" s="616">
        <v>111</v>
      </c>
      <c r="C199" s="616">
        <v>24</v>
      </c>
      <c r="D199" s="616"/>
      <c r="E199" s="605" t="s">
        <v>1952</v>
      </c>
      <c r="F199" s="140" t="s">
        <v>2172</v>
      </c>
      <c r="G199" s="141">
        <v>2001</v>
      </c>
      <c r="H199" s="118">
        <v>11469166</v>
      </c>
      <c r="I199" s="118">
        <v>1</v>
      </c>
      <c r="J199" s="118"/>
      <c r="K199" s="118"/>
      <c r="L199" s="118">
        <v>1</v>
      </c>
      <c r="M199" s="118"/>
      <c r="N199" s="118">
        <v>1</v>
      </c>
      <c r="O199" s="142">
        <v>1</v>
      </c>
      <c r="P199" s="118" t="s">
        <v>452</v>
      </c>
      <c r="Q199" s="118"/>
      <c r="R199" s="118" t="s">
        <v>25</v>
      </c>
      <c r="S199" s="118">
        <v>1</v>
      </c>
      <c r="T199" s="118"/>
      <c r="U199" s="118"/>
      <c r="V199" s="118"/>
      <c r="W199" s="118" t="s">
        <v>24</v>
      </c>
      <c r="X199" s="118"/>
      <c r="Y199" s="118"/>
      <c r="Z199" s="118"/>
      <c r="AA199" s="118"/>
      <c r="AB199" s="118"/>
      <c r="AC199" s="145"/>
      <c r="AD199" s="573">
        <v>1</v>
      </c>
      <c r="AE199" s="573">
        <v>2</v>
      </c>
      <c r="AF199" s="154">
        <v>1</v>
      </c>
      <c r="AG199" s="160"/>
      <c r="AH199" s="122">
        <v>2</v>
      </c>
      <c r="AI199" s="485"/>
      <c r="AJ199" s="204" t="s">
        <v>4250</v>
      </c>
      <c r="AK199" s="192">
        <v>1</v>
      </c>
      <c r="AL199" s="205" t="s">
        <v>24</v>
      </c>
      <c r="AM199" s="122">
        <f>Table668[[#This Row],[Data_Subjects_n_ptsd]]+Table668[[#This Row],[Data_Subjects_n_control]]</f>
        <v>32</v>
      </c>
      <c r="AN199" s="122">
        <v>19</v>
      </c>
      <c r="AO199" s="122">
        <v>13</v>
      </c>
      <c r="AP199" s="122" t="s">
        <v>803</v>
      </c>
      <c r="AQ199" s="122" t="s">
        <v>803</v>
      </c>
      <c r="AR199" s="122" t="s">
        <v>4248</v>
      </c>
      <c r="AS199" s="122">
        <v>2.81</v>
      </c>
      <c r="AT199" s="122" t="s">
        <v>4247</v>
      </c>
      <c r="AU199" s="122">
        <v>3.09</v>
      </c>
      <c r="AV199" s="122" t="s">
        <v>4249</v>
      </c>
      <c r="AW199" s="122" t="s">
        <v>24</v>
      </c>
      <c r="AX199" s="122" t="s">
        <v>24</v>
      </c>
      <c r="AY199" s="122" t="s">
        <v>4161</v>
      </c>
      <c r="AZ199" s="121" t="s">
        <v>5116</v>
      </c>
      <c r="BA199" s="122" t="s">
        <v>4251</v>
      </c>
      <c r="BB199" s="588"/>
      <c r="BC199" s="588"/>
      <c r="BD199" s="161"/>
      <c r="BE199" s="161"/>
      <c r="BF199" s="161"/>
      <c r="BG199" s="161"/>
      <c r="BH199" s="161"/>
      <c r="BI199" s="161"/>
      <c r="BJ199" s="161">
        <v>1</v>
      </c>
      <c r="BK199" s="161"/>
      <c r="BL199" s="161"/>
      <c r="BM199" s="161"/>
      <c r="BN199" s="161"/>
      <c r="BO199" s="161"/>
      <c r="BP199" s="161"/>
      <c r="BQ199" s="596" t="s">
        <v>4276</v>
      </c>
      <c r="BR199" s="162" t="s">
        <v>6615</v>
      </c>
      <c r="BS199" s="660"/>
      <c r="BT199" s="150" t="s">
        <v>1876</v>
      </c>
      <c r="BU199" s="150">
        <v>2</v>
      </c>
      <c r="BV199" s="150" t="s">
        <v>4278</v>
      </c>
      <c r="BW199" s="150" t="s">
        <v>24</v>
      </c>
      <c r="BX199" s="150" t="s">
        <v>4279</v>
      </c>
      <c r="BY199" s="150"/>
      <c r="BZ199" s="258" t="s">
        <v>4302</v>
      </c>
      <c r="CA199" s="257" t="s">
        <v>24</v>
      </c>
      <c r="CB199" s="151" t="s">
        <v>4275</v>
      </c>
      <c r="CC199" s="150">
        <v>95.63</v>
      </c>
      <c r="CD199" s="150">
        <v>14.35</v>
      </c>
      <c r="CE199" s="150" t="s">
        <v>24</v>
      </c>
      <c r="CF199" s="151" t="s">
        <v>4284</v>
      </c>
      <c r="CG199" s="150">
        <v>112.77</v>
      </c>
      <c r="CH199" s="150">
        <v>9</v>
      </c>
      <c r="CI199" s="150" t="s">
        <v>24</v>
      </c>
      <c r="CJ199" s="290" t="s">
        <v>4297</v>
      </c>
      <c r="CK199" s="291" t="s">
        <v>4296</v>
      </c>
      <c r="CL199" s="151" t="s">
        <v>4290</v>
      </c>
      <c r="CM199" s="150">
        <v>18.89</v>
      </c>
      <c r="CN199" s="150">
        <v>6.67</v>
      </c>
      <c r="CO199" s="150" t="s">
        <v>24</v>
      </c>
      <c r="CP199" s="151" t="s">
        <v>4292</v>
      </c>
      <c r="CQ199" s="150">
        <v>17.579999999999998</v>
      </c>
      <c r="CR199" s="150">
        <v>8.7200000000000006</v>
      </c>
      <c r="CS199" s="150" t="s">
        <v>24</v>
      </c>
      <c r="CT199" s="290" t="s">
        <v>3229</v>
      </c>
      <c r="CU199" s="291" t="s">
        <v>4294</v>
      </c>
      <c r="CV199" s="278"/>
      <c r="CW199" s="285"/>
      <c r="CX199" s="151"/>
      <c r="CY199" s="150"/>
      <c r="CZ199" s="150"/>
      <c r="DA199" s="150"/>
      <c r="DB199" s="150"/>
      <c r="DC199" s="150"/>
      <c r="DD199" s="150"/>
      <c r="DE199" s="150"/>
      <c r="DF199" s="302"/>
      <c r="DG199" s="303"/>
      <c r="DH199" s="150"/>
      <c r="DI199" s="150"/>
      <c r="DJ199" s="150"/>
      <c r="DK199" s="150"/>
      <c r="DL199" s="150"/>
      <c r="DM199" s="150"/>
      <c r="DN199" s="150"/>
      <c r="DO199" s="150"/>
      <c r="DP199" s="302"/>
      <c r="DQ199" s="303"/>
      <c r="DR199" s="278"/>
      <c r="DS199" s="279"/>
      <c r="DT199" s="150"/>
      <c r="DU199" s="150"/>
      <c r="DV199" s="150"/>
      <c r="DW199" s="150"/>
      <c r="DX199" s="151"/>
      <c r="DY199" s="150"/>
      <c r="DZ199" s="150"/>
      <c r="EA199" s="150"/>
      <c r="EB199" s="303"/>
      <c r="EC199" s="303"/>
      <c r="ED199" s="151"/>
      <c r="EE199" s="150"/>
      <c r="EF199" s="150"/>
      <c r="EG199" s="150"/>
      <c r="EH199" s="151"/>
      <c r="EI199" s="150"/>
      <c r="EJ199" s="150"/>
      <c r="EK199" s="150"/>
      <c r="EL199" s="303"/>
      <c r="EM199" s="303"/>
      <c r="EN199" s="279"/>
      <c r="EO199" s="150"/>
      <c r="EP199" s="150"/>
      <c r="EQ199" s="150"/>
      <c r="ER199" s="150"/>
      <c r="ES199" s="150"/>
      <c r="ET199" s="150"/>
      <c r="EU199" s="150"/>
      <c r="EV199" s="150"/>
      <c r="EW199" s="303"/>
      <c r="EX199" s="303"/>
      <c r="EY199" s="150"/>
      <c r="EZ199" s="150"/>
      <c r="FA199" s="150"/>
      <c r="FB199" s="150"/>
      <c r="FC199" s="134"/>
      <c r="FD199" s="134"/>
      <c r="FE199" s="134"/>
      <c r="FF199" s="134"/>
      <c r="FG199" s="135"/>
      <c r="FH199" s="135"/>
      <c r="FI199" s="134"/>
      <c r="FJ199" s="134"/>
      <c r="FK199" s="134"/>
      <c r="FL199" s="134"/>
      <c r="FM199" s="134"/>
      <c r="FN199" s="134"/>
      <c r="FO199" s="134"/>
      <c r="FP199" s="134"/>
      <c r="FQ199" s="135"/>
      <c r="FR199" s="135"/>
      <c r="FS199" s="134"/>
      <c r="FT199" s="134"/>
      <c r="FU199" s="134"/>
      <c r="FV199" s="134"/>
      <c r="FW199" s="134"/>
      <c r="FX199" s="134"/>
      <c r="FY199" s="134"/>
      <c r="FZ199" s="134"/>
      <c r="GA199" s="135"/>
      <c r="GB199" s="135"/>
      <c r="GC199" s="134"/>
      <c r="GD199" s="134"/>
      <c r="GE199" s="134"/>
      <c r="GF199" s="134"/>
      <c r="GG199" s="134"/>
      <c r="GH199" s="134"/>
      <c r="GI199" s="134"/>
      <c r="GJ199" s="134"/>
      <c r="GK199" s="135"/>
      <c r="GL199" s="135"/>
      <c r="GM199" s="134"/>
      <c r="GN199" s="134"/>
      <c r="GO199" s="134"/>
      <c r="GP199" s="134"/>
      <c r="GQ199" s="134"/>
      <c r="GR199" s="134"/>
      <c r="GS199" s="134"/>
      <c r="GT199" s="134"/>
      <c r="GU199" s="135"/>
      <c r="GV199" s="135"/>
      <c r="GW199" s="134"/>
      <c r="GX199" s="134"/>
      <c r="GY199" s="134"/>
      <c r="GZ199" s="134"/>
      <c r="HA199" s="134"/>
      <c r="HB199" s="134"/>
      <c r="HC199" s="134"/>
      <c r="HD199" s="134"/>
      <c r="HE199" s="135"/>
      <c r="HF199" s="135"/>
      <c r="HG199" s="134"/>
      <c r="HH199" s="134"/>
      <c r="HI199" s="134"/>
      <c r="HJ199" s="134"/>
      <c r="HK199" s="134"/>
      <c r="HL199" s="134"/>
      <c r="HM199" s="134"/>
      <c r="HN199" s="134"/>
      <c r="HO199" s="135"/>
      <c r="HP199" s="135"/>
      <c r="HQ199" s="134"/>
      <c r="HR199" s="134"/>
      <c r="HS199" s="134"/>
      <c r="HT199" s="134"/>
      <c r="HU199" s="134"/>
      <c r="HV199" s="134"/>
      <c r="HW199" s="134"/>
      <c r="HX199" s="134"/>
      <c r="HY199" s="135"/>
      <c r="HZ199" s="135"/>
      <c r="IA199" s="134"/>
      <c r="IB199" s="134"/>
      <c r="IC199" s="134"/>
      <c r="ID199" s="134"/>
      <c r="IE199" s="134"/>
      <c r="IF199" s="134"/>
      <c r="IG199" s="134"/>
      <c r="IH199" s="134"/>
      <c r="II199" s="135"/>
      <c r="IJ199" s="135"/>
      <c r="IK199" s="134"/>
      <c r="IL199" s="134"/>
      <c r="IM199" s="134"/>
      <c r="IN199" s="134"/>
      <c r="IO199" s="134"/>
      <c r="IP199" s="134"/>
      <c r="IQ199" s="134"/>
      <c r="IR199" s="134"/>
      <c r="IS199" s="135"/>
      <c r="IT199" s="135"/>
      <c r="IU199" s="134"/>
      <c r="IV199" s="134"/>
      <c r="IW199" s="134"/>
      <c r="IX199" s="134"/>
      <c r="IY199" s="134"/>
      <c r="IZ199" s="134"/>
      <c r="JA199" s="134"/>
      <c r="JB199" s="134"/>
      <c r="JC199" s="135"/>
      <c r="JD199" s="135"/>
    </row>
    <row r="200" spans="1:264" customFormat="1" ht="15" customHeight="1">
      <c r="A200" s="79" t="s">
        <v>145</v>
      </c>
      <c r="B200" s="617">
        <v>111</v>
      </c>
      <c r="C200" s="617">
        <v>24</v>
      </c>
      <c r="D200" s="617"/>
      <c r="E200" s="608" t="s">
        <v>1952</v>
      </c>
      <c r="F200" s="181" t="s">
        <v>2172</v>
      </c>
      <c r="G200" s="182">
        <v>2001</v>
      </c>
      <c r="H200" s="79">
        <v>11469166</v>
      </c>
      <c r="I200" s="79">
        <v>1</v>
      </c>
      <c r="J200" s="79"/>
      <c r="K200" s="79"/>
      <c r="L200" s="79">
        <v>1</v>
      </c>
      <c r="M200" s="79"/>
      <c r="N200" s="79">
        <v>1</v>
      </c>
      <c r="O200" s="128">
        <v>1</v>
      </c>
      <c r="P200" s="79" t="s">
        <v>452</v>
      </c>
      <c r="Q200" s="79"/>
      <c r="R200" s="79" t="s">
        <v>25</v>
      </c>
      <c r="S200" s="79">
        <v>1</v>
      </c>
      <c r="T200" s="79"/>
      <c r="U200" s="79"/>
      <c r="V200" s="79"/>
      <c r="W200" s="79" t="s">
        <v>24</v>
      </c>
      <c r="X200" s="79"/>
      <c r="Y200" s="79"/>
      <c r="Z200" s="79"/>
      <c r="AA200" s="79"/>
      <c r="AB200" s="79"/>
      <c r="AC200" s="506"/>
      <c r="AD200" s="573">
        <v>1</v>
      </c>
      <c r="AE200" s="573">
        <v>2</v>
      </c>
      <c r="AF200" s="154">
        <v>1</v>
      </c>
      <c r="AG200" s="353"/>
      <c r="AH200" s="346">
        <v>2</v>
      </c>
      <c r="AI200" s="487"/>
      <c r="AJ200" s="459" t="s">
        <v>4250</v>
      </c>
      <c r="AK200" s="348">
        <v>1</v>
      </c>
      <c r="AL200" s="349" t="s">
        <v>24</v>
      </c>
      <c r="AM200" s="346">
        <f>Table668[[#This Row],[Data_Subjects_n_ptsd]]+Table668[[#This Row],[Data_Subjects_n_control]]</f>
        <v>32</v>
      </c>
      <c r="AN200" s="346">
        <v>19</v>
      </c>
      <c r="AO200" s="346">
        <v>13</v>
      </c>
      <c r="AP200" s="346" t="s">
        <v>803</v>
      </c>
      <c r="AQ200" s="346" t="s">
        <v>803</v>
      </c>
      <c r="AR200" s="346" t="s">
        <v>4248</v>
      </c>
      <c r="AS200" s="346">
        <v>2.81</v>
      </c>
      <c r="AT200" s="346" t="s">
        <v>4247</v>
      </c>
      <c r="AU200" s="346">
        <v>3.09</v>
      </c>
      <c r="AV200" s="346" t="s">
        <v>4249</v>
      </c>
      <c r="AW200" s="346" t="s">
        <v>24</v>
      </c>
      <c r="AX200" s="346" t="s">
        <v>24</v>
      </c>
      <c r="AY200" s="346" t="s">
        <v>4161</v>
      </c>
      <c r="AZ200" s="346" t="s">
        <v>3835</v>
      </c>
      <c r="BA200" s="346" t="s">
        <v>4251</v>
      </c>
      <c r="BB200" s="598"/>
      <c r="BC200" s="598"/>
      <c r="BD200" s="184"/>
      <c r="BE200" s="184"/>
      <c r="BF200" s="184"/>
      <c r="BG200" s="184"/>
      <c r="BH200" s="184"/>
      <c r="BI200" s="184"/>
      <c r="BJ200" s="184"/>
      <c r="BK200" s="184"/>
      <c r="BL200" s="184"/>
      <c r="BM200" s="184"/>
      <c r="BN200" s="184">
        <v>1</v>
      </c>
      <c r="BO200" s="184"/>
      <c r="BP200" s="184"/>
      <c r="BQ200" s="600" t="s">
        <v>4252</v>
      </c>
      <c r="BR200" s="185"/>
      <c r="BS200" s="660"/>
      <c r="BT200" s="186" t="s">
        <v>1876</v>
      </c>
      <c r="BU200" s="186">
        <v>2</v>
      </c>
      <c r="BV200" s="186" t="s">
        <v>4253</v>
      </c>
      <c r="BW200" s="186" t="s">
        <v>24</v>
      </c>
      <c r="BX200" s="467" t="s">
        <v>4254</v>
      </c>
      <c r="BY200" s="467"/>
      <c r="BZ200" s="261" t="s">
        <v>4310</v>
      </c>
      <c r="CA200" s="620"/>
      <c r="CB200" s="267" t="s">
        <v>4285</v>
      </c>
      <c r="CC200" s="186">
        <v>105.37</v>
      </c>
      <c r="CD200" s="186">
        <v>14.14</v>
      </c>
      <c r="CE200" s="186" t="s">
        <v>24</v>
      </c>
      <c r="CF200" s="267" t="s">
        <v>4286</v>
      </c>
      <c r="CG200" s="186">
        <v>119.46</v>
      </c>
      <c r="CH200" s="186">
        <v>11.72</v>
      </c>
      <c r="CI200" s="186" t="s">
        <v>24</v>
      </c>
      <c r="CJ200" s="294" t="s">
        <v>4307</v>
      </c>
      <c r="CK200" s="295" t="s">
        <v>4308</v>
      </c>
      <c r="CL200" s="267" t="s">
        <v>24</v>
      </c>
      <c r="CM200" s="186" t="s">
        <v>24</v>
      </c>
      <c r="CN200" s="186" t="s">
        <v>24</v>
      </c>
      <c r="CO200" s="186" t="s">
        <v>24</v>
      </c>
      <c r="CP200" s="267" t="s">
        <v>24</v>
      </c>
      <c r="CQ200" s="186" t="s">
        <v>24</v>
      </c>
      <c r="CR200" s="186" t="s">
        <v>24</v>
      </c>
      <c r="CS200" s="186" t="s">
        <v>24</v>
      </c>
      <c r="CT200" s="294" t="s">
        <v>24</v>
      </c>
      <c r="CU200" s="295"/>
      <c r="CV200" s="280"/>
      <c r="CW200" s="310"/>
      <c r="CX200" s="150" t="s">
        <v>24</v>
      </c>
      <c r="CY200" s="150" t="s">
        <v>24</v>
      </c>
      <c r="CZ200" s="150" t="s">
        <v>24</v>
      </c>
      <c r="DA200" s="150" t="s">
        <v>24</v>
      </c>
      <c r="DB200" s="150" t="s">
        <v>24</v>
      </c>
      <c r="DC200" s="150" t="s">
        <v>24</v>
      </c>
      <c r="DD200" s="150" t="s">
        <v>24</v>
      </c>
      <c r="DE200" s="150" t="s">
        <v>24</v>
      </c>
      <c r="DF200" s="305"/>
      <c r="DG200" s="315"/>
      <c r="DH200" s="186"/>
      <c r="DI200" s="186"/>
      <c r="DJ200" s="186"/>
      <c r="DK200" s="186"/>
      <c r="DL200" s="186"/>
      <c r="DM200" s="186"/>
      <c r="DN200" s="186"/>
      <c r="DO200" s="186"/>
      <c r="DP200" s="305"/>
      <c r="DQ200" s="315"/>
      <c r="DR200" s="280"/>
      <c r="DS200" s="281"/>
      <c r="DT200" s="186"/>
      <c r="DU200" s="186"/>
      <c r="DV200" s="186"/>
      <c r="DW200" s="186"/>
      <c r="DX200" s="267"/>
      <c r="DY200" s="186"/>
      <c r="DZ200" s="186"/>
      <c r="EA200" s="186"/>
      <c r="EB200" s="315"/>
      <c r="EC200" s="315"/>
      <c r="ED200" s="267"/>
      <c r="EE200" s="186"/>
      <c r="EF200" s="186"/>
      <c r="EG200" s="186"/>
      <c r="EH200" s="267"/>
      <c r="EI200" s="186"/>
      <c r="EJ200" s="186"/>
      <c r="EK200" s="186"/>
      <c r="EL200" s="315"/>
      <c r="EM200" s="315"/>
      <c r="EN200" s="281"/>
      <c r="EO200" s="186"/>
      <c r="EP200" s="186"/>
      <c r="EQ200" s="186"/>
      <c r="ER200" s="186"/>
      <c r="ES200" s="186"/>
      <c r="ET200" s="186"/>
      <c r="EU200" s="186"/>
      <c r="EV200" s="186"/>
      <c r="EW200" s="315"/>
      <c r="EX200" s="315"/>
      <c r="EY200" s="186"/>
      <c r="EZ200" s="186"/>
      <c r="FA200" s="186"/>
      <c r="FB200" s="186"/>
      <c r="FC200" s="134"/>
      <c r="FD200" s="134"/>
      <c r="FE200" s="134"/>
      <c r="FF200" s="134"/>
      <c r="FG200" s="135"/>
      <c r="FH200" s="135"/>
      <c r="FI200" s="134"/>
      <c r="FJ200" s="134"/>
      <c r="FK200" s="134"/>
      <c r="FL200" s="134"/>
      <c r="FM200" s="134"/>
      <c r="FN200" s="134"/>
      <c r="FO200" s="134"/>
      <c r="FP200" s="134"/>
      <c r="FQ200" s="135"/>
      <c r="FR200" s="135"/>
      <c r="FS200" s="134"/>
      <c r="FT200" s="134"/>
      <c r="FU200" s="134"/>
      <c r="FV200" s="134"/>
      <c r="FW200" s="134"/>
      <c r="FX200" s="134"/>
      <c r="FY200" s="134"/>
      <c r="FZ200" s="134"/>
      <c r="GA200" s="135"/>
      <c r="GB200" s="135"/>
      <c r="GC200" s="134"/>
      <c r="GD200" s="134"/>
      <c r="GE200" s="134"/>
      <c r="GF200" s="134"/>
      <c r="GG200" s="134"/>
      <c r="GH200" s="134"/>
      <c r="GI200" s="134"/>
      <c r="GJ200" s="134"/>
      <c r="GK200" s="135"/>
      <c r="GL200" s="135"/>
      <c r="GM200" s="134"/>
      <c r="GN200" s="134"/>
      <c r="GO200" s="134"/>
      <c r="GP200" s="134"/>
      <c r="GQ200" s="134"/>
      <c r="GR200" s="134"/>
      <c r="GS200" s="134"/>
      <c r="GT200" s="134"/>
      <c r="GU200" s="135"/>
      <c r="GV200" s="135"/>
      <c r="GW200" s="134"/>
      <c r="GX200" s="134"/>
      <c r="GY200" s="134"/>
      <c r="GZ200" s="134"/>
      <c r="HA200" s="134"/>
      <c r="HB200" s="134"/>
      <c r="HC200" s="134"/>
      <c r="HD200" s="134"/>
      <c r="HE200" s="135"/>
      <c r="HF200" s="135"/>
      <c r="HG200" s="134"/>
      <c r="HH200" s="134"/>
      <c r="HI200" s="134"/>
      <c r="HJ200" s="134"/>
      <c r="HK200" s="134"/>
      <c r="HL200" s="134"/>
      <c r="HM200" s="134"/>
      <c r="HN200" s="134"/>
      <c r="HO200" s="135"/>
      <c r="HP200" s="135"/>
      <c r="HQ200" s="134"/>
      <c r="HR200" s="134"/>
      <c r="HS200" s="134"/>
      <c r="HT200" s="134"/>
      <c r="HU200" s="134"/>
      <c r="HV200" s="134"/>
      <c r="HW200" s="134"/>
      <c r="HX200" s="134"/>
      <c r="HY200" s="135"/>
      <c r="HZ200" s="135"/>
      <c r="IA200" s="134"/>
      <c r="IB200" s="134"/>
      <c r="IC200" s="134"/>
      <c r="ID200" s="134"/>
      <c r="IE200" s="134"/>
      <c r="IF200" s="134"/>
      <c r="IG200" s="134"/>
      <c r="IH200" s="134"/>
      <c r="II200" s="135"/>
      <c r="IJ200" s="135"/>
      <c r="IK200" s="134"/>
      <c r="IL200" s="134"/>
      <c r="IM200" s="134"/>
      <c r="IN200" s="134"/>
      <c r="IO200" s="134"/>
      <c r="IP200" s="134"/>
      <c r="IQ200" s="134"/>
      <c r="IR200" s="134"/>
      <c r="IS200" s="135"/>
      <c r="IT200" s="135"/>
      <c r="IU200" s="134"/>
      <c r="IV200" s="134"/>
      <c r="IW200" s="134"/>
      <c r="IX200" s="134"/>
      <c r="IY200" s="134"/>
      <c r="IZ200" s="134"/>
      <c r="JA200" s="134"/>
      <c r="JB200" s="134"/>
      <c r="JC200" s="135"/>
      <c r="JD200" s="135"/>
    </row>
    <row r="201" spans="1:264" customFormat="1" ht="15" customHeight="1">
      <c r="A201" s="118" t="s">
        <v>145</v>
      </c>
      <c r="B201" s="616">
        <v>111</v>
      </c>
      <c r="C201" s="616">
        <v>24</v>
      </c>
      <c r="D201" s="616"/>
      <c r="E201" s="605" t="s">
        <v>1952</v>
      </c>
      <c r="F201" s="140" t="s">
        <v>2172</v>
      </c>
      <c r="G201" s="141">
        <v>2001</v>
      </c>
      <c r="H201" s="118">
        <v>11469166</v>
      </c>
      <c r="I201" s="118">
        <v>1</v>
      </c>
      <c r="J201" s="118"/>
      <c r="K201" s="118"/>
      <c r="L201" s="118">
        <v>1</v>
      </c>
      <c r="M201" s="118"/>
      <c r="N201" s="118">
        <v>1</v>
      </c>
      <c r="O201" s="142">
        <v>1</v>
      </c>
      <c r="P201" s="118" t="s">
        <v>452</v>
      </c>
      <c r="Q201" s="118"/>
      <c r="R201" s="118" t="s">
        <v>25</v>
      </c>
      <c r="S201" s="118">
        <v>1</v>
      </c>
      <c r="T201" s="118"/>
      <c r="U201" s="118"/>
      <c r="V201" s="118"/>
      <c r="W201" s="118" t="s">
        <v>24</v>
      </c>
      <c r="X201" s="118"/>
      <c r="Y201" s="118"/>
      <c r="Z201" s="118"/>
      <c r="AA201" s="118"/>
      <c r="AB201" s="118"/>
      <c r="AC201" s="145"/>
      <c r="AD201" s="573">
        <v>1</v>
      </c>
      <c r="AE201" s="573">
        <v>2</v>
      </c>
      <c r="AF201" s="154">
        <v>1</v>
      </c>
      <c r="AG201" s="160"/>
      <c r="AH201" s="122">
        <v>2</v>
      </c>
      <c r="AI201" s="485"/>
      <c r="AJ201" s="204" t="s">
        <v>4250</v>
      </c>
      <c r="AK201" s="192">
        <v>1</v>
      </c>
      <c r="AL201" s="205" t="s">
        <v>24</v>
      </c>
      <c r="AM201" s="122">
        <f>Table668[[#This Row],[Data_Subjects_n_ptsd]]+Table668[[#This Row],[Data_Subjects_n_control]]</f>
        <v>32</v>
      </c>
      <c r="AN201" s="122">
        <v>19</v>
      </c>
      <c r="AO201" s="122">
        <v>13</v>
      </c>
      <c r="AP201" s="122" t="s">
        <v>803</v>
      </c>
      <c r="AQ201" s="122" t="s">
        <v>803</v>
      </c>
      <c r="AR201" s="122" t="s">
        <v>4248</v>
      </c>
      <c r="AS201" s="122">
        <v>2.81</v>
      </c>
      <c r="AT201" s="122" t="s">
        <v>4247</v>
      </c>
      <c r="AU201" s="122">
        <v>3.09</v>
      </c>
      <c r="AV201" s="122" t="s">
        <v>4249</v>
      </c>
      <c r="AW201" s="122" t="s">
        <v>24</v>
      </c>
      <c r="AX201" s="122" t="s">
        <v>24</v>
      </c>
      <c r="AY201" s="122" t="s">
        <v>4161</v>
      </c>
      <c r="AZ201" s="122" t="s">
        <v>3835</v>
      </c>
      <c r="BA201" s="122" t="s">
        <v>4251</v>
      </c>
      <c r="BB201" s="588"/>
      <c r="BC201" s="588"/>
      <c r="BD201" s="161"/>
      <c r="BE201" s="161"/>
      <c r="BF201" s="161">
        <v>1</v>
      </c>
      <c r="BG201" s="161"/>
      <c r="BH201" s="161"/>
      <c r="BI201" s="161"/>
      <c r="BJ201" s="161"/>
      <c r="BK201" s="161"/>
      <c r="BL201" s="161"/>
      <c r="BM201" s="161"/>
      <c r="BN201" s="161"/>
      <c r="BO201" s="161"/>
      <c r="BP201" s="161"/>
      <c r="BQ201" s="596" t="s">
        <v>4255</v>
      </c>
      <c r="BR201" s="162"/>
      <c r="BS201" s="660"/>
      <c r="BT201" s="150" t="s">
        <v>1876</v>
      </c>
      <c r="BU201" s="150">
        <v>2</v>
      </c>
      <c r="BV201" s="150" t="s">
        <v>4256</v>
      </c>
      <c r="BW201" s="150" t="s">
        <v>24</v>
      </c>
      <c r="BX201" s="150" t="s">
        <v>4257</v>
      </c>
      <c r="BY201" s="150"/>
      <c r="BZ201" s="258" t="s">
        <v>4307</v>
      </c>
      <c r="CA201" s="257"/>
      <c r="CB201" s="151" t="s">
        <v>4287</v>
      </c>
      <c r="CC201" s="150">
        <v>9.32</v>
      </c>
      <c r="CD201" s="150">
        <v>1.29</v>
      </c>
      <c r="CE201" s="150" t="s">
        <v>24</v>
      </c>
      <c r="CF201" s="151" t="s">
        <v>4288</v>
      </c>
      <c r="CG201" s="150">
        <v>12.38</v>
      </c>
      <c r="CH201" s="150">
        <v>2.1800000000000002</v>
      </c>
      <c r="CI201" s="150" t="s">
        <v>24</v>
      </c>
      <c r="CJ201" s="290" t="s">
        <v>4297</v>
      </c>
      <c r="CK201" s="291" t="s">
        <v>4309</v>
      </c>
      <c r="CL201" s="151" t="s">
        <v>24</v>
      </c>
      <c r="CM201" s="150" t="s">
        <v>24</v>
      </c>
      <c r="CN201" s="150" t="s">
        <v>24</v>
      </c>
      <c r="CO201" s="150" t="s">
        <v>24</v>
      </c>
      <c r="CP201" s="151" t="s">
        <v>24</v>
      </c>
      <c r="CQ201" s="150" t="s">
        <v>24</v>
      </c>
      <c r="CR201" s="150" t="s">
        <v>24</v>
      </c>
      <c r="CS201" s="150" t="s">
        <v>24</v>
      </c>
      <c r="CT201" s="290" t="s">
        <v>24</v>
      </c>
      <c r="CU201" s="291"/>
      <c r="CV201" s="278"/>
      <c r="CW201" s="285"/>
      <c r="CX201" s="150" t="s">
        <v>24</v>
      </c>
      <c r="CY201" s="150" t="s">
        <v>24</v>
      </c>
      <c r="CZ201" s="150" t="s">
        <v>24</v>
      </c>
      <c r="DA201" s="150" t="s">
        <v>24</v>
      </c>
      <c r="DB201" s="150" t="s">
        <v>24</v>
      </c>
      <c r="DC201" s="150" t="s">
        <v>24</v>
      </c>
      <c r="DD201" s="150" t="s">
        <v>24</v>
      </c>
      <c r="DE201" s="150" t="s">
        <v>24</v>
      </c>
      <c r="DF201" s="302"/>
      <c r="DG201" s="303"/>
      <c r="DH201" s="150"/>
      <c r="DI201" s="150"/>
      <c r="DJ201" s="150"/>
      <c r="DK201" s="150"/>
      <c r="DL201" s="150"/>
      <c r="DM201" s="150"/>
      <c r="DN201" s="150"/>
      <c r="DO201" s="150"/>
      <c r="DP201" s="302"/>
      <c r="DQ201" s="303"/>
      <c r="DR201" s="278"/>
      <c r="DS201" s="279"/>
      <c r="DT201" s="150"/>
      <c r="DU201" s="150"/>
      <c r="DV201" s="150"/>
      <c r="DW201" s="150"/>
      <c r="DX201" s="151"/>
      <c r="DY201" s="150"/>
      <c r="DZ201" s="150"/>
      <c r="EA201" s="150"/>
      <c r="EB201" s="303"/>
      <c r="EC201" s="303"/>
      <c r="ED201" s="151"/>
      <c r="EE201" s="150"/>
      <c r="EF201" s="150"/>
      <c r="EG201" s="150"/>
      <c r="EH201" s="151"/>
      <c r="EI201" s="150"/>
      <c r="EJ201" s="150"/>
      <c r="EK201" s="150"/>
      <c r="EL201" s="303"/>
      <c r="EM201" s="303"/>
      <c r="EN201" s="279"/>
      <c r="EO201" s="150"/>
      <c r="EP201" s="150"/>
      <c r="EQ201" s="150"/>
      <c r="ER201" s="150"/>
      <c r="ES201" s="150"/>
      <c r="ET201" s="150"/>
      <c r="EU201" s="150"/>
      <c r="EV201" s="150"/>
      <c r="EW201" s="303"/>
      <c r="EX201" s="303"/>
      <c r="EY201" s="150"/>
      <c r="EZ201" s="150"/>
      <c r="FA201" s="150"/>
      <c r="FB201" s="150"/>
      <c r="FC201" s="134"/>
      <c r="FD201" s="134"/>
      <c r="FE201" s="134"/>
      <c r="FF201" s="134"/>
      <c r="FG201" s="135"/>
      <c r="FH201" s="135"/>
      <c r="FI201" s="134"/>
      <c r="FJ201" s="134"/>
      <c r="FK201" s="134"/>
      <c r="FL201" s="134"/>
      <c r="FM201" s="134"/>
      <c r="FN201" s="134"/>
      <c r="FO201" s="134"/>
      <c r="FP201" s="134"/>
      <c r="FQ201" s="135"/>
      <c r="FR201" s="135"/>
      <c r="FS201" s="134"/>
      <c r="FT201" s="134"/>
      <c r="FU201" s="134"/>
      <c r="FV201" s="134"/>
      <c r="FW201" s="134"/>
      <c r="FX201" s="134"/>
      <c r="FY201" s="134"/>
      <c r="FZ201" s="134"/>
      <c r="GA201" s="135"/>
      <c r="GB201" s="135"/>
      <c r="GC201" s="134"/>
      <c r="GD201" s="134"/>
      <c r="GE201" s="134"/>
      <c r="GF201" s="134"/>
      <c r="GG201" s="134"/>
      <c r="GH201" s="134"/>
      <c r="GI201" s="134"/>
      <c r="GJ201" s="134"/>
      <c r="GK201" s="135"/>
      <c r="GL201" s="135"/>
      <c r="GM201" s="134"/>
      <c r="GN201" s="134"/>
      <c r="GO201" s="134"/>
      <c r="GP201" s="134"/>
      <c r="GQ201" s="134"/>
      <c r="GR201" s="134"/>
      <c r="GS201" s="134"/>
      <c r="GT201" s="134"/>
      <c r="GU201" s="135"/>
      <c r="GV201" s="135"/>
      <c r="GW201" s="134"/>
      <c r="GX201" s="134"/>
      <c r="GY201" s="134"/>
      <c r="GZ201" s="134"/>
      <c r="HA201" s="134"/>
      <c r="HB201" s="134"/>
      <c r="HC201" s="134"/>
      <c r="HD201" s="134"/>
      <c r="HE201" s="135"/>
      <c r="HF201" s="135"/>
      <c r="HG201" s="134"/>
      <c r="HH201" s="134"/>
      <c r="HI201" s="134"/>
      <c r="HJ201" s="134"/>
      <c r="HK201" s="134"/>
      <c r="HL201" s="134"/>
      <c r="HM201" s="134"/>
      <c r="HN201" s="134"/>
      <c r="HO201" s="135"/>
      <c r="HP201" s="135"/>
      <c r="HQ201" s="134"/>
      <c r="HR201" s="134"/>
      <c r="HS201" s="134"/>
      <c r="HT201" s="134"/>
      <c r="HU201" s="134"/>
      <c r="HV201" s="134"/>
      <c r="HW201" s="134"/>
      <c r="HX201" s="134"/>
      <c r="HY201" s="135"/>
      <c r="HZ201" s="135"/>
      <c r="IA201" s="134"/>
      <c r="IB201" s="134"/>
      <c r="IC201" s="134"/>
      <c r="ID201" s="134"/>
      <c r="IE201" s="134"/>
      <c r="IF201" s="134"/>
      <c r="IG201" s="134"/>
      <c r="IH201" s="134"/>
      <c r="II201" s="135"/>
      <c r="IJ201" s="135"/>
      <c r="IK201" s="134"/>
      <c r="IL201" s="134"/>
      <c r="IM201" s="134"/>
      <c r="IN201" s="134"/>
      <c r="IO201" s="134"/>
      <c r="IP201" s="134"/>
      <c r="IQ201" s="134"/>
      <c r="IR201" s="134"/>
      <c r="IS201" s="135"/>
      <c r="IT201" s="135"/>
      <c r="IU201" s="134"/>
      <c r="IV201" s="134"/>
      <c r="IW201" s="134"/>
      <c r="IX201" s="134"/>
      <c r="IY201" s="134"/>
      <c r="IZ201" s="134"/>
      <c r="JA201" s="134"/>
      <c r="JB201" s="134"/>
      <c r="JC201" s="135"/>
      <c r="JD201" s="135"/>
    </row>
    <row r="202" spans="1:264" customFormat="1" ht="15" customHeight="1">
      <c r="A202" s="118" t="s">
        <v>145</v>
      </c>
      <c r="B202" s="616">
        <v>111</v>
      </c>
      <c r="C202" s="616">
        <v>24</v>
      </c>
      <c r="D202" s="616"/>
      <c r="E202" s="605" t="s">
        <v>1952</v>
      </c>
      <c r="F202" s="140" t="s">
        <v>2172</v>
      </c>
      <c r="G202" s="141">
        <v>2001</v>
      </c>
      <c r="H202" s="118">
        <v>11469166</v>
      </c>
      <c r="I202" s="118">
        <v>1</v>
      </c>
      <c r="J202" s="118"/>
      <c r="K202" s="118"/>
      <c r="L202" s="118">
        <v>1</v>
      </c>
      <c r="M202" s="118"/>
      <c r="N202" s="118">
        <v>1</v>
      </c>
      <c r="O202" s="142">
        <v>1</v>
      </c>
      <c r="P202" s="118" t="s">
        <v>452</v>
      </c>
      <c r="Q202" s="118"/>
      <c r="R202" s="118" t="s">
        <v>25</v>
      </c>
      <c r="S202" s="118">
        <v>1</v>
      </c>
      <c r="T202" s="118"/>
      <c r="U202" s="118"/>
      <c r="V202" s="118"/>
      <c r="W202" s="118" t="s">
        <v>24</v>
      </c>
      <c r="X202" s="118"/>
      <c r="Y202" s="118"/>
      <c r="Z202" s="118"/>
      <c r="AA202" s="118"/>
      <c r="AB202" s="118"/>
      <c r="AC202" s="145"/>
      <c r="AD202" s="573">
        <v>1</v>
      </c>
      <c r="AE202" s="573">
        <v>2</v>
      </c>
      <c r="AF202" s="154">
        <v>1</v>
      </c>
      <c r="AG202" s="160"/>
      <c r="AH202" s="122">
        <v>2</v>
      </c>
      <c r="AI202" s="485"/>
      <c r="AJ202" s="204" t="s">
        <v>4250</v>
      </c>
      <c r="AK202" s="192">
        <v>1</v>
      </c>
      <c r="AL202" s="205" t="s">
        <v>24</v>
      </c>
      <c r="AM202" s="122">
        <f>Table668[[#This Row],[Data_Subjects_n_ptsd]]+Table668[[#This Row],[Data_Subjects_n_control]]</f>
        <v>32</v>
      </c>
      <c r="AN202" s="122">
        <v>19</v>
      </c>
      <c r="AO202" s="122">
        <v>13</v>
      </c>
      <c r="AP202" s="122" t="s">
        <v>803</v>
      </c>
      <c r="AQ202" s="122" t="s">
        <v>803</v>
      </c>
      <c r="AR202" s="122" t="s">
        <v>4248</v>
      </c>
      <c r="AS202" s="122">
        <v>2.81</v>
      </c>
      <c r="AT202" s="122" t="s">
        <v>4247</v>
      </c>
      <c r="AU202" s="122">
        <v>3.09</v>
      </c>
      <c r="AV202" s="122" t="s">
        <v>4249</v>
      </c>
      <c r="AW202" s="122" t="s">
        <v>24</v>
      </c>
      <c r="AX202" s="122" t="s">
        <v>24</v>
      </c>
      <c r="AY202" s="122" t="s">
        <v>4161</v>
      </c>
      <c r="AZ202" s="122" t="s">
        <v>3835</v>
      </c>
      <c r="BA202" s="122" t="s">
        <v>4251</v>
      </c>
      <c r="BB202" s="588"/>
      <c r="BC202" s="588"/>
      <c r="BD202" s="161"/>
      <c r="BE202" s="161"/>
      <c r="BF202" s="161"/>
      <c r="BG202" s="161"/>
      <c r="BH202" s="161"/>
      <c r="BI202" s="161"/>
      <c r="BJ202" s="161"/>
      <c r="BK202" s="161"/>
      <c r="BL202" s="161"/>
      <c r="BM202" s="161"/>
      <c r="BN202" s="161"/>
      <c r="BO202" s="161"/>
      <c r="BP202" s="161">
        <v>1</v>
      </c>
      <c r="BQ202" s="596" t="s">
        <v>4258</v>
      </c>
      <c r="BR202" s="162"/>
      <c r="BS202" s="660"/>
      <c r="BT202" s="150" t="s">
        <v>1876</v>
      </c>
      <c r="BU202" s="150">
        <v>2</v>
      </c>
      <c r="BV202" s="150" t="s">
        <v>4259</v>
      </c>
      <c r="BW202" s="150" t="s">
        <v>24</v>
      </c>
      <c r="BX202" s="150" t="s">
        <v>4260</v>
      </c>
      <c r="BY202" s="150"/>
      <c r="BZ202" s="258" t="s">
        <v>4322</v>
      </c>
      <c r="CA202" s="257"/>
      <c r="CB202" s="151" t="s">
        <v>4311</v>
      </c>
      <c r="CC202" s="150">
        <v>38.630000000000003</v>
      </c>
      <c r="CD202" s="150">
        <v>14</v>
      </c>
      <c r="CE202" s="150" t="s">
        <v>24</v>
      </c>
      <c r="CF202" s="151" t="s">
        <v>4312</v>
      </c>
      <c r="CG202" s="150">
        <v>33.69</v>
      </c>
      <c r="CH202" s="150">
        <v>12.74</v>
      </c>
      <c r="CI202" s="150" t="s">
        <v>24</v>
      </c>
      <c r="CJ202" s="290" t="s">
        <v>3229</v>
      </c>
      <c r="CK202" s="291" t="s">
        <v>4316</v>
      </c>
      <c r="CL202" s="151" t="s">
        <v>4313</v>
      </c>
      <c r="CM202" s="150">
        <v>97</v>
      </c>
      <c r="CN202" s="150">
        <v>31.49</v>
      </c>
      <c r="CO202" s="150" t="s">
        <v>24</v>
      </c>
      <c r="CP202" s="151" t="s">
        <v>4314</v>
      </c>
      <c r="CQ202" s="150">
        <v>66.69</v>
      </c>
      <c r="CR202" s="150">
        <v>21.94</v>
      </c>
      <c r="CS202" s="150" t="s">
        <v>24</v>
      </c>
      <c r="CT202" s="290" t="s">
        <v>4317</v>
      </c>
      <c r="CU202" s="291" t="s">
        <v>4318</v>
      </c>
      <c r="CV202" s="278" t="s">
        <v>4319</v>
      </c>
      <c r="CW202" s="285" t="s">
        <v>24</v>
      </c>
      <c r="CX202" s="429" t="s">
        <v>4315</v>
      </c>
      <c r="CY202" s="150">
        <v>2.78</v>
      </c>
      <c r="CZ202" s="150">
        <v>1.1399999999999999</v>
      </c>
      <c r="DA202" s="150" t="s">
        <v>24</v>
      </c>
      <c r="DB202" s="429" t="s">
        <v>4320</v>
      </c>
      <c r="DC202" s="150">
        <v>2.16</v>
      </c>
      <c r="DD202" s="150">
        <v>0.96</v>
      </c>
      <c r="DE202" s="150" t="s">
        <v>24</v>
      </c>
      <c r="DF202" s="302" t="s">
        <v>3229</v>
      </c>
      <c r="DG202" s="303" t="s">
        <v>4321</v>
      </c>
      <c r="DH202" s="150" t="s">
        <v>24</v>
      </c>
      <c r="DI202" s="150" t="s">
        <v>24</v>
      </c>
      <c r="DJ202" s="150" t="s">
        <v>24</v>
      </c>
      <c r="DK202" s="150" t="s">
        <v>24</v>
      </c>
      <c r="DL202" s="150" t="s">
        <v>24</v>
      </c>
      <c r="DM202" s="150" t="s">
        <v>24</v>
      </c>
      <c r="DN202" s="150" t="s">
        <v>24</v>
      </c>
      <c r="DO202" s="150" t="s">
        <v>24</v>
      </c>
      <c r="DP202" s="302"/>
      <c r="DQ202" s="303"/>
      <c r="DR202" s="278"/>
      <c r="DS202" s="279"/>
      <c r="DT202" s="150"/>
      <c r="DU202" s="150"/>
      <c r="DV202" s="150"/>
      <c r="DW202" s="150"/>
      <c r="DX202" s="151"/>
      <c r="DY202" s="150"/>
      <c r="DZ202" s="150"/>
      <c r="EA202" s="150"/>
      <c r="EB202" s="303"/>
      <c r="EC202" s="303"/>
      <c r="ED202" s="151"/>
      <c r="EE202" s="150"/>
      <c r="EF202" s="150"/>
      <c r="EG202" s="150"/>
      <c r="EH202" s="151"/>
      <c r="EI202" s="150"/>
      <c r="EJ202" s="150"/>
      <c r="EK202" s="150"/>
      <c r="EL202" s="303"/>
      <c r="EM202" s="303"/>
      <c r="EN202" s="279"/>
      <c r="EO202" s="150"/>
      <c r="EP202" s="150"/>
      <c r="EQ202" s="150"/>
      <c r="ER202" s="150"/>
      <c r="ES202" s="150"/>
      <c r="ET202" s="150"/>
      <c r="EU202" s="150"/>
      <c r="EV202" s="150"/>
      <c r="EW202" s="303"/>
      <c r="EX202" s="303"/>
      <c r="EY202" s="150"/>
      <c r="EZ202" s="150"/>
      <c r="FA202" s="150"/>
      <c r="FB202" s="150"/>
      <c r="FC202" s="134"/>
      <c r="FD202" s="134"/>
      <c r="FE202" s="134"/>
      <c r="FF202" s="134"/>
      <c r="FG202" s="135"/>
      <c r="FH202" s="135"/>
      <c r="FI202" s="134"/>
      <c r="FJ202" s="134"/>
      <c r="FK202" s="134"/>
      <c r="FL202" s="134"/>
      <c r="FM202" s="134"/>
      <c r="FN202" s="134"/>
      <c r="FO202" s="134"/>
      <c r="FP202" s="134"/>
      <c r="FQ202" s="135"/>
      <c r="FR202" s="135"/>
      <c r="FS202" s="134"/>
      <c r="FT202" s="134"/>
      <c r="FU202" s="134"/>
      <c r="FV202" s="134"/>
      <c r="FW202" s="134"/>
      <c r="FX202" s="134"/>
      <c r="FY202" s="134"/>
      <c r="FZ202" s="134"/>
      <c r="GA202" s="135"/>
      <c r="GB202" s="135"/>
      <c r="GC202" s="134"/>
      <c r="GD202" s="134"/>
      <c r="GE202" s="134"/>
      <c r="GF202" s="134"/>
      <c r="GG202" s="134"/>
      <c r="GH202" s="134"/>
      <c r="GI202" s="134"/>
      <c r="GJ202" s="134"/>
      <c r="GK202" s="135"/>
      <c r="GL202" s="135"/>
      <c r="GM202" s="134"/>
      <c r="GN202" s="134"/>
      <c r="GO202" s="134"/>
      <c r="GP202" s="134"/>
      <c r="GQ202" s="134"/>
      <c r="GR202" s="134"/>
      <c r="GS202" s="134"/>
      <c r="GT202" s="134"/>
      <c r="GU202" s="135"/>
      <c r="GV202" s="135"/>
      <c r="GW202" s="134"/>
      <c r="GX202" s="134"/>
      <c r="GY202" s="134"/>
      <c r="GZ202" s="134"/>
      <c r="HA202" s="134"/>
      <c r="HB202" s="134"/>
      <c r="HC202" s="134"/>
      <c r="HD202" s="134"/>
      <c r="HE202" s="135"/>
      <c r="HF202" s="135"/>
      <c r="HG202" s="134"/>
      <c r="HH202" s="134"/>
      <c r="HI202" s="134"/>
      <c r="HJ202" s="134"/>
      <c r="HK202" s="134"/>
      <c r="HL202" s="134"/>
      <c r="HM202" s="134"/>
      <c r="HN202" s="134"/>
      <c r="HO202" s="135"/>
      <c r="HP202" s="135"/>
      <c r="HQ202" s="134"/>
      <c r="HR202" s="134"/>
      <c r="HS202" s="134"/>
      <c r="HT202" s="134"/>
      <c r="HU202" s="134"/>
      <c r="HV202" s="134"/>
      <c r="HW202" s="134"/>
      <c r="HX202" s="134"/>
      <c r="HY202" s="135"/>
      <c r="HZ202" s="135"/>
      <c r="IA202" s="134"/>
      <c r="IB202" s="134"/>
      <c r="IC202" s="134"/>
      <c r="ID202" s="134"/>
      <c r="IE202" s="134"/>
      <c r="IF202" s="134"/>
      <c r="IG202" s="134"/>
      <c r="IH202" s="134"/>
      <c r="II202" s="135"/>
      <c r="IJ202" s="135"/>
      <c r="IK202" s="134"/>
      <c r="IL202" s="134"/>
      <c r="IM202" s="134"/>
      <c r="IN202" s="134"/>
      <c r="IO202" s="134"/>
      <c r="IP202" s="134"/>
      <c r="IQ202" s="134"/>
      <c r="IR202" s="134"/>
      <c r="IS202" s="135"/>
      <c r="IT202" s="135"/>
      <c r="IU202" s="134"/>
      <c r="IV202" s="134"/>
      <c r="IW202" s="134"/>
      <c r="IX202" s="134"/>
      <c r="IY202" s="134"/>
      <c r="IZ202" s="134"/>
      <c r="JA202" s="134"/>
      <c r="JB202" s="134"/>
      <c r="JC202" s="135"/>
      <c r="JD202" s="135"/>
    </row>
    <row r="203" spans="1:264" customFormat="1" ht="15" customHeight="1">
      <c r="A203" s="118" t="s">
        <v>145</v>
      </c>
      <c r="B203" s="616">
        <v>111</v>
      </c>
      <c r="C203" s="616">
        <v>24</v>
      </c>
      <c r="D203" s="616"/>
      <c r="E203" s="605" t="s">
        <v>1952</v>
      </c>
      <c r="F203" s="140" t="s">
        <v>2172</v>
      </c>
      <c r="G203" s="141">
        <v>2001</v>
      </c>
      <c r="H203" s="118">
        <v>11469166</v>
      </c>
      <c r="I203" s="118">
        <v>1</v>
      </c>
      <c r="J203" s="118"/>
      <c r="K203" s="118"/>
      <c r="L203" s="118">
        <v>1</v>
      </c>
      <c r="M203" s="118"/>
      <c r="N203" s="118">
        <v>1</v>
      </c>
      <c r="O203" s="142">
        <v>1</v>
      </c>
      <c r="P203" s="118" t="s">
        <v>452</v>
      </c>
      <c r="Q203" s="118"/>
      <c r="R203" s="118" t="s">
        <v>25</v>
      </c>
      <c r="S203" s="118">
        <v>1</v>
      </c>
      <c r="T203" s="118"/>
      <c r="U203" s="118"/>
      <c r="V203" s="118"/>
      <c r="W203" s="118" t="s">
        <v>24</v>
      </c>
      <c r="X203" s="118"/>
      <c r="Y203" s="118"/>
      <c r="Z203" s="118"/>
      <c r="AA203" s="118"/>
      <c r="AB203" s="118"/>
      <c r="AC203" s="145"/>
      <c r="AD203" s="573">
        <v>1</v>
      </c>
      <c r="AE203" s="573">
        <v>2</v>
      </c>
      <c r="AF203" s="154">
        <v>1</v>
      </c>
      <c r="AG203" s="160"/>
      <c r="AH203" s="122">
        <v>2</v>
      </c>
      <c r="AI203" s="485"/>
      <c r="AJ203" s="204" t="s">
        <v>4250</v>
      </c>
      <c r="AK203" s="192">
        <v>1</v>
      </c>
      <c r="AL203" s="205" t="s">
        <v>24</v>
      </c>
      <c r="AM203" s="122">
        <f>Table668[[#This Row],[Data_Subjects_n_ptsd]]+Table668[[#This Row],[Data_Subjects_n_control]]</f>
        <v>32</v>
      </c>
      <c r="AN203" s="122">
        <v>19</v>
      </c>
      <c r="AO203" s="122">
        <v>13</v>
      </c>
      <c r="AP203" s="122" t="s">
        <v>803</v>
      </c>
      <c r="AQ203" s="122" t="s">
        <v>803</v>
      </c>
      <c r="AR203" s="122" t="s">
        <v>4248</v>
      </c>
      <c r="AS203" s="122">
        <v>2.81</v>
      </c>
      <c r="AT203" s="122" t="s">
        <v>4247</v>
      </c>
      <c r="AU203" s="122">
        <v>3.09</v>
      </c>
      <c r="AV203" s="122" t="s">
        <v>4249</v>
      </c>
      <c r="AW203" s="122" t="s">
        <v>24</v>
      </c>
      <c r="AX203" s="122" t="s">
        <v>24</v>
      </c>
      <c r="AY203" s="122" t="s">
        <v>4161</v>
      </c>
      <c r="AZ203" s="122" t="s">
        <v>3835</v>
      </c>
      <c r="BA203" s="122" t="s">
        <v>4251</v>
      </c>
      <c r="BB203" s="588"/>
      <c r="BC203" s="588"/>
      <c r="BD203" s="161"/>
      <c r="BE203" s="161"/>
      <c r="BF203" s="161"/>
      <c r="BG203" s="161"/>
      <c r="BH203" s="161"/>
      <c r="BI203" s="161">
        <v>1</v>
      </c>
      <c r="BJ203" s="161"/>
      <c r="BK203" s="161"/>
      <c r="BL203" s="161"/>
      <c r="BM203" s="161"/>
      <c r="BN203" s="161"/>
      <c r="BO203" s="161"/>
      <c r="BP203" s="161"/>
      <c r="BQ203" s="596" t="s">
        <v>4002</v>
      </c>
      <c r="BR203" s="162"/>
      <c r="BS203" s="660"/>
      <c r="BT203" s="150" t="s">
        <v>1876</v>
      </c>
      <c r="BU203" s="150">
        <v>2</v>
      </c>
      <c r="BV203" s="150" t="s">
        <v>4261</v>
      </c>
      <c r="BW203" s="150" t="s">
        <v>24</v>
      </c>
      <c r="BX203" s="150" t="s">
        <v>4262</v>
      </c>
      <c r="BY203" s="150"/>
      <c r="BZ203" s="258" t="s">
        <v>4337</v>
      </c>
      <c r="CA203" s="257"/>
      <c r="CB203" s="151" t="s">
        <v>4323</v>
      </c>
      <c r="CC203" s="150">
        <v>4.05</v>
      </c>
      <c r="CD203" s="150">
        <v>2.17</v>
      </c>
      <c r="CE203" s="150" t="s">
        <v>24</v>
      </c>
      <c r="CF203" s="151" t="s">
        <v>4324</v>
      </c>
      <c r="CG203" s="150">
        <v>5.54</v>
      </c>
      <c r="CH203" s="150">
        <v>1.39</v>
      </c>
      <c r="CI203" s="150" t="s">
        <v>24</v>
      </c>
      <c r="CJ203" s="290" t="s">
        <v>4329</v>
      </c>
      <c r="CK203" s="291" t="s">
        <v>4330</v>
      </c>
      <c r="CL203" s="151" t="s">
        <v>4325</v>
      </c>
      <c r="CM203" s="150">
        <v>21.89</v>
      </c>
      <c r="CN203" s="150">
        <v>12.27</v>
      </c>
      <c r="CO203" s="150" t="s">
        <v>24</v>
      </c>
      <c r="CP203" s="151" t="s">
        <v>4326</v>
      </c>
      <c r="CQ203" s="150">
        <v>12.77</v>
      </c>
      <c r="CR203" s="150" t="s">
        <v>4331</v>
      </c>
      <c r="CS203" s="150" t="s">
        <v>24</v>
      </c>
      <c r="CT203" s="290" t="s">
        <v>4332</v>
      </c>
      <c r="CU203" s="291" t="s">
        <v>4333</v>
      </c>
      <c r="CV203" s="278" t="s">
        <v>4334</v>
      </c>
      <c r="CW203" s="285" t="s">
        <v>24</v>
      </c>
      <c r="CX203" s="151" t="s">
        <v>4327</v>
      </c>
      <c r="CY203" s="150">
        <v>29.89</v>
      </c>
      <c r="CZ203" s="150">
        <v>25.89</v>
      </c>
      <c r="DA203" s="150" t="s">
        <v>24</v>
      </c>
      <c r="DB203" s="151" t="s">
        <v>4328</v>
      </c>
      <c r="DC203" s="150">
        <v>12.23</v>
      </c>
      <c r="DD203" s="150">
        <v>7.41</v>
      </c>
      <c r="DE203" s="150" t="s">
        <v>24</v>
      </c>
      <c r="DF203" s="302" t="s">
        <v>4335</v>
      </c>
      <c r="DG203" s="303" t="s">
        <v>4336</v>
      </c>
      <c r="DH203" s="150" t="s">
        <v>24</v>
      </c>
      <c r="DI203" s="150" t="s">
        <v>24</v>
      </c>
      <c r="DJ203" s="150" t="s">
        <v>24</v>
      </c>
      <c r="DK203" s="150" t="s">
        <v>24</v>
      </c>
      <c r="DL203" s="150" t="s">
        <v>24</v>
      </c>
      <c r="DM203" s="150" t="s">
        <v>24</v>
      </c>
      <c r="DN203" s="150" t="s">
        <v>24</v>
      </c>
      <c r="DO203" s="150" t="s">
        <v>24</v>
      </c>
      <c r="DP203" s="302"/>
      <c r="DQ203" s="303"/>
      <c r="DR203" s="278"/>
      <c r="DS203" s="279"/>
      <c r="DT203" s="150"/>
      <c r="DU203" s="150"/>
      <c r="DV203" s="150"/>
      <c r="DW203" s="150"/>
      <c r="DX203" s="151"/>
      <c r="DY203" s="150"/>
      <c r="DZ203" s="150"/>
      <c r="EA203" s="150"/>
      <c r="EB203" s="303"/>
      <c r="EC203" s="303"/>
      <c r="ED203" s="151"/>
      <c r="EE203" s="150"/>
      <c r="EF203" s="150"/>
      <c r="EG203" s="150"/>
      <c r="EH203" s="151"/>
      <c r="EI203" s="150"/>
      <c r="EJ203" s="150"/>
      <c r="EK203" s="150"/>
      <c r="EL203" s="303"/>
      <c r="EM203" s="303"/>
      <c r="EN203" s="279"/>
      <c r="EO203" s="150"/>
      <c r="EP203" s="150"/>
      <c r="EQ203" s="150"/>
      <c r="ER203" s="150"/>
      <c r="ES203" s="150"/>
      <c r="ET203" s="150"/>
      <c r="EU203" s="150"/>
      <c r="EV203" s="150"/>
      <c r="EW203" s="303"/>
      <c r="EX203" s="303"/>
      <c r="EY203" s="150"/>
      <c r="EZ203" s="150"/>
      <c r="FA203" s="150"/>
      <c r="FB203" s="150"/>
      <c r="FC203" s="134"/>
      <c r="FD203" s="134"/>
      <c r="FE203" s="134"/>
      <c r="FF203" s="134"/>
      <c r="FG203" s="135"/>
      <c r="FH203" s="135"/>
      <c r="FI203" s="134"/>
      <c r="FJ203" s="134"/>
      <c r="FK203" s="134"/>
      <c r="FL203" s="134"/>
      <c r="FM203" s="134"/>
      <c r="FN203" s="134"/>
      <c r="FO203" s="134"/>
      <c r="FP203" s="134"/>
      <c r="FQ203" s="135"/>
      <c r="FR203" s="135"/>
      <c r="FS203" s="134"/>
      <c r="FT203" s="134"/>
      <c r="FU203" s="134"/>
      <c r="FV203" s="134"/>
      <c r="FW203" s="134"/>
      <c r="FX203" s="134"/>
      <c r="FY203" s="134"/>
      <c r="FZ203" s="134"/>
      <c r="GA203" s="135"/>
      <c r="GB203" s="135"/>
      <c r="GC203" s="134"/>
      <c r="GD203" s="134"/>
      <c r="GE203" s="134"/>
      <c r="GF203" s="134"/>
      <c r="GG203" s="134"/>
      <c r="GH203" s="134"/>
      <c r="GI203" s="134"/>
      <c r="GJ203" s="134"/>
      <c r="GK203" s="135"/>
      <c r="GL203" s="135"/>
      <c r="GM203" s="134"/>
      <c r="GN203" s="134"/>
      <c r="GO203" s="134"/>
      <c r="GP203" s="134"/>
      <c r="GQ203" s="134"/>
      <c r="GR203" s="134"/>
      <c r="GS203" s="134"/>
      <c r="GT203" s="134"/>
      <c r="GU203" s="135"/>
      <c r="GV203" s="135"/>
      <c r="GW203" s="134"/>
      <c r="GX203" s="134"/>
      <c r="GY203" s="134"/>
      <c r="GZ203" s="134"/>
      <c r="HA203" s="134"/>
      <c r="HB203" s="134"/>
      <c r="HC203" s="134"/>
      <c r="HD203" s="134"/>
      <c r="HE203" s="135"/>
      <c r="HF203" s="135"/>
      <c r="HG203" s="134"/>
      <c r="HH203" s="134"/>
      <c r="HI203" s="134"/>
      <c r="HJ203" s="134"/>
      <c r="HK203" s="134"/>
      <c r="HL203" s="134"/>
      <c r="HM203" s="134"/>
      <c r="HN203" s="134"/>
      <c r="HO203" s="135"/>
      <c r="HP203" s="135"/>
      <c r="HQ203" s="134"/>
      <c r="HR203" s="134"/>
      <c r="HS203" s="134"/>
      <c r="HT203" s="134"/>
      <c r="HU203" s="134"/>
      <c r="HV203" s="134"/>
      <c r="HW203" s="134"/>
      <c r="HX203" s="134"/>
      <c r="HY203" s="135"/>
      <c r="HZ203" s="135"/>
      <c r="IA203" s="134"/>
      <c r="IB203" s="134"/>
      <c r="IC203" s="134"/>
      <c r="ID203" s="134"/>
      <c r="IE203" s="134"/>
      <c r="IF203" s="134"/>
      <c r="IG203" s="134"/>
      <c r="IH203" s="134"/>
      <c r="II203" s="135"/>
      <c r="IJ203" s="135"/>
      <c r="IK203" s="134"/>
      <c r="IL203" s="134"/>
      <c r="IM203" s="134"/>
      <c r="IN203" s="134"/>
      <c r="IO203" s="134"/>
      <c r="IP203" s="134"/>
      <c r="IQ203" s="134"/>
      <c r="IR203" s="134"/>
      <c r="IS203" s="135"/>
      <c r="IT203" s="135"/>
      <c r="IU203" s="134"/>
      <c r="IV203" s="134"/>
      <c r="IW203" s="134"/>
      <c r="IX203" s="134"/>
      <c r="IY203" s="134"/>
      <c r="IZ203" s="134"/>
      <c r="JA203" s="134"/>
      <c r="JB203" s="134"/>
      <c r="JC203" s="135"/>
      <c r="JD203" s="135"/>
    </row>
    <row r="204" spans="1:264" customFormat="1" ht="15" customHeight="1">
      <c r="A204" s="118" t="s">
        <v>145</v>
      </c>
      <c r="B204" s="616">
        <v>111</v>
      </c>
      <c r="C204" s="616">
        <v>24</v>
      </c>
      <c r="D204" s="616"/>
      <c r="E204" s="605" t="s">
        <v>1952</v>
      </c>
      <c r="F204" s="140" t="s">
        <v>2172</v>
      </c>
      <c r="G204" s="141">
        <v>2001</v>
      </c>
      <c r="H204" s="118">
        <v>11469166</v>
      </c>
      <c r="I204" s="118">
        <v>1</v>
      </c>
      <c r="J204" s="118"/>
      <c r="K204" s="118"/>
      <c r="L204" s="118">
        <v>1</v>
      </c>
      <c r="M204" s="118"/>
      <c r="N204" s="118">
        <v>1</v>
      </c>
      <c r="O204" s="142">
        <v>1</v>
      </c>
      <c r="P204" s="118" t="s">
        <v>452</v>
      </c>
      <c r="Q204" s="118"/>
      <c r="R204" s="118" t="s">
        <v>25</v>
      </c>
      <c r="S204" s="118">
        <v>1</v>
      </c>
      <c r="T204" s="118"/>
      <c r="U204" s="118"/>
      <c r="V204" s="118"/>
      <c r="W204" s="118" t="s">
        <v>24</v>
      </c>
      <c r="X204" s="118"/>
      <c r="Y204" s="118"/>
      <c r="Z204" s="118"/>
      <c r="AA204" s="118"/>
      <c r="AB204" s="118"/>
      <c r="AC204" s="145"/>
      <c r="AD204" s="573">
        <v>1</v>
      </c>
      <c r="AE204" s="573">
        <v>2</v>
      </c>
      <c r="AF204" s="154">
        <v>1</v>
      </c>
      <c r="AG204" s="160"/>
      <c r="AH204" s="122">
        <v>2</v>
      </c>
      <c r="AI204" s="485"/>
      <c r="AJ204" s="204" t="s">
        <v>4250</v>
      </c>
      <c r="AK204" s="192">
        <v>1</v>
      </c>
      <c r="AL204" s="205" t="s">
        <v>24</v>
      </c>
      <c r="AM204" s="122">
        <f>Table668[[#This Row],[Data_Subjects_n_ptsd]]+Table668[[#This Row],[Data_Subjects_n_control]]</f>
        <v>32</v>
      </c>
      <c r="AN204" s="122">
        <v>19</v>
      </c>
      <c r="AO204" s="122">
        <v>13</v>
      </c>
      <c r="AP204" s="122" t="s">
        <v>803</v>
      </c>
      <c r="AQ204" s="122" t="s">
        <v>803</v>
      </c>
      <c r="AR204" s="122" t="s">
        <v>4248</v>
      </c>
      <c r="AS204" s="122">
        <v>2.81</v>
      </c>
      <c r="AT204" s="122" t="s">
        <v>4247</v>
      </c>
      <c r="AU204" s="122">
        <v>3.09</v>
      </c>
      <c r="AV204" s="122" t="s">
        <v>4249</v>
      </c>
      <c r="AW204" s="122" t="s">
        <v>24</v>
      </c>
      <c r="AX204" s="122" t="s">
        <v>24</v>
      </c>
      <c r="AY204" s="122" t="s">
        <v>4161</v>
      </c>
      <c r="AZ204" s="122" t="s">
        <v>3835</v>
      </c>
      <c r="BA204" s="122" t="s">
        <v>4251</v>
      </c>
      <c r="BB204" s="588"/>
      <c r="BC204" s="588"/>
      <c r="BD204" s="161"/>
      <c r="BE204" s="161"/>
      <c r="BF204" s="161"/>
      <c r="BG204" s="161"/>
      <c r="BH204" s="161"/>
      <c r="BI204" s="161"/>
      <c r="BJ204" s="161"/>
      <c r="BK204" s="161"/>
      <c r="BL204" s="161"/>
      <c r="BM204" s="161"/>
      <c r="BN204" s="161"/>
      <c r="BO204" s="161"/>
      <c r="BP204" s="161" t="s">
        <v>1917</v>
      </c>
      <c r="BQ204" s="596" t="s">
        <v>4263</v>
      </c>
      <c r="BR204" s="162"/>
      <c r="BS204" s="660"/>
      <c r="BT204" s="150" t="s">
        <v>1876</v>
      </c>
      <c r="BU204" s="150">
        <v>2</v>
      </c>
      <c r="BV204" s="150" t="s">
        <v>4264</v>
      </c>
      <c r="BW204" s="150" t="s">
        <v>24</v>
      </c>
      <c r="BX204" s="150" t="s">
        <v>4265</v>
      </c>
      <c r="BY204" s="150"/>
      <c r="BZ204" s="258" t="s">
        <v>4306</v>
      </c>
      <c r="CA204" s="257"/>
      <c r="CB204" s="151" t="s">
        <v>4303</v>
      </c>
      <c r="CC204" s="150">
        <v>33.5</v>
      </c>
      <c r="CD204" s="150">
        <v>3.43</v>
      </c>
      <c r="CE204" s="150" t="s">
        <v>24</v>
      </c>
      <c r="CF204" s="151" t="s">
        <v>4304</v>
      </c>
      <c r="CG204" s="150">
        <v>35.46</v>
      </c>
      <c r="CH204" s="150">
        <v>0.97</v>
      </c>
      <c r="CI204" s="150" t="s">
        <v>24</v>
      </c>
      <c r="CJ204" s="290" t="s">
        <v>4297</v>
      </c>
      <c r="CK204" s="291" t="s">
        <v>4305</v>
      </c>
      <c r="CL204" s="151" t="s">
        <v>24</v>
      </c>
      <c r="CM204" s="150" t="s">
        <v>24</v>
      </c>
      <c r="CN204" s="150" t="s">
        <v>24</v>
      </c>
      <c r="CO204" s="150" t="s">
        <v>24</v>
      </c>
      <c r="CP204" s="151" t="s">
        <v>24</v>
      </c>
      <c r="CQ204" s="150" t="s">
        <v>24</v>
      </c>
      <c r="CR204" s="150" t="s">
        <v>24</v>
      </c>
      <c r="CS204" s="150" t="s">
        <v>24</v>
      </c>
      <c r="CT204" s="290" t="s">
        <v>24</v>
      </c>
      <c r="CU204" s="291"/>
      <c r="CV204" s="278"/>
      <c r="CW204" s="285"/>
      <c r="CX204" s="151"/>
      <c r="CY204" s="150"/>
      <c r="CZ204" s="150"/>
      <c r="DA204" s="150"/>
      <c r="DB204" s="150"/>
      <c r="DC204" s="150"/>
      <c r="DD204" s="150"/>
      <c r="DE204" s="150"/>
      <c r="DF204" s="302"/>
      <c r="DG204" s="303"/>
      <c r="DH204" s="150"/>
      <c r="DI204" s="150"/>
      <c r="DJ204" s="150"/>
      <c r="DK204" s="150"/>
      <c r="DL204" s="150"/>
      <c r="DM204" s="150"/>
      <c r="DN204" s="150"/>
      <c r="DO204" s="150"/>
      <c r="DP204" s="302"/>
      <c r="DQ204" s="303"/>
      <c r="DR204" s="278"/>
      <c r="DS204" s="279"/>
      <c r="DT204" s="150"/>
      <c r="DU204" s="150"/>
      <c r="DV204" s="150"/>
      <c r="DW204" s="150"/>
      <c r="DX204" s="151"/>
      <c r="DY204" s="150"/>
      <c r="DZ204" s="150"/>
      <c r="EA204" s="150"/>
      <c r="EB204" s="303"/>
      <c r="EC204" s="303"/>
      <c r="ED204" s="151"/>
      <c r="EE204" s="150"/>
      <c r="EF204" s="150"/>
      <c r="EG204" s="150"/>
      <c r="EH204" s="151"/>
      <c r="EI204" s="150"/>
      <c r="EJ204" s="150"/>
      <c r="EK204" s="150"/>
      <c r="EL204" s="303"/>
      <c r="EM204" s="303"/>
      <c r="EN204" s="279"/>
      <c r="EO204" s="150"/>
      <c r="EP204" s="150"/>
      <c r="EQ204" s="150"/>
      <c r="ER204" s="150"/>
      <c r="ES204" s="150"/>
      <c r="ET204" s="150"/>
      <c r="EU204" s="150"/>
      <c r="EV204" s="150"/>
      <c r="EW204" s="303"/>
      <c r="EX204" s="303"/>
      <c r="EY204" s="150"/>
      <c r="EZ204" s="150"/>
      <c r="FA204" s="150"/>
      <c r="FB204" s="150"/>
      <c r="FC204" s="134"/>
      <c r="FD204" s="134"/>
      <c r="FE204" s="134"/>
      <c r="FF204" s="134"/>
      <c r="FG204" s="135"/>
      <c r="FH204" s="135"/>
      <c r="FI204" s="134"/>
      <c r="FJ204" s="134"/>
      <c r="FK204" s="134"/>
      <c r="FL204" s="134"/>
      <c r="FM204" s="134"/>
      <c r="FN204" s="134"/>
      <c r="FO204" s="134"/>
      <c r="FP204" s="134"/>
      <c r="FQ204" s="135"/>
      <c r="FR204" s="135"/>
      <c r="FS204" s="134"/>
      <c r="FT204" s="134"/>
      <c r="FU204" s="134"/>
      <c r="FV204" s="134"/>
      <c r="FW204" s="134"/>
      <c r="FX204" s="134"/>
      <c r="FY204" s="134"/>
      <c r="FZ204" s="134"/>
      <c r="GA204" s="135"/>
      <c r="GB204" s="135"/>
      <c r="GC204" s="134"/>
      <c r="GD204" s="134"/>
      <c r="GE204" s="134"/>
      <c r="GF204" s="134"/>
      <c r="GG204" s="134"/>
      <c r="GH204" s="134"/>
      <c r="GI204" s="134"/>
      <c r="GJ204" s="134"/>
      <c r="GK204" s="135"/>
      <c r="GL204" s="135"/>
      <c r="GM204" s="134"/>
      <c r="GN204" s="134"/>
      <c r="GO204" s="134"/>
      <c r="GP204" s="134"/>
      <c r="GQ204" s="134"/>
      <c r="GR204" s="134"/>
      <c r="GS204" s="134"/>
      <c r="GT204" s="134"/>
      <c r="GU204" s="135"/>
      <c r="GV204" s="135"/>
      <c r="GW204" s="134"/>
      <c r="GX204" s="134"/>
      <c r="GY204" s="134"/>
      <c r="GZ204" s="134"/>
      <c r="HA204" s="134"/>
      <c r="HB204" s="134"/>
      <c r="HC204" s="134"/>
      <c r="HD204" s="134"/>
      <c r="HE204" s="135"/>
      <c r="HF204" s="135"/>
      <c r="HG204" s="134"/>
      <c r="HH204" s="134"/>
      <c r="HI204" s="134"/>
      <c r="HJ204" s="134"/>
      <c r="HK204" s="134"/>
      <c r="HL204" s="134"/>
      <c r="HM204" s="134"/>
      <c r="HN204" s="134"/>
      <c r="HO204" s="135"/>
      <c r="HP204" s="135"/>
      <c r="HQ204" s="134"/>
      <c r="HR204" s="134"/>
      <c r="HS204" s="134"/>
      <c r="HT204" s="134"/>
      <c r="HU204" s="134"/>
      <c r="HV204" s="134"/>
      <c r="HW204" s="134"/>
      <c r="HX204" s="134"/>
      <c r="HY204" s="135"/>
      <c r="HZ204" s="135"/>
      <c r="IA204" s="134"/>
      <c r="IB204" s="134"/>
      <c r="IC204" s="134"/>
      <c r="ID204" s="134"/>
      <c r="IE204" s="134"/>
      <c r="IF204" s="134"/>
      <c r="IG204" s="134"/>
      <c r="IH204" s="134"/>
      <c r="II204" s="135"/>
      <c r="IJ204" s="135"/>
      <c r="IK204" s="134"/>
      <c r="IL204" s="134"/>
      <c r="IM204" s="134"/>
      <c r="IN204" s="134"/>
      <c r="IO204" s="134"/>
      <c r="IP204" s="134"/>
      <c r="IQ204" s="134"/>
      <c r="IR204" s="134"/>
      <c r="IS204" s="135"/>
      <c r="IT204" s="135"/>
      <c r="IU204" s="134"/>
      <c r="IV204" s="134"/>
      <c r="IW204" s="134"/>
      <c r="IX204" s="134"/>
      <c r="IY204" s="134"/>
      <c r="IZ204" s="134"/>
      <c r="JA204" s="134"/>
      <c r="JB204" s="134"/>
      <c r="JC204" s="135"/>
      <c r="JD204" s="135"/>
    </row>
    <row r="205" spans="1:264" customFormat="1" ht="15" customHeight="1">
      <c r="A205" s="79" t="s">
        <v>146</v>
      </c>
      <c r="B205" s="362">
        <v>112</v>
      </c>
      <c r="C205" s="362">
        <v>25</v>
      </c>
      <c r="D205" s="362"/>
      <c r="E205" s="604" t="s">
        <v>1952</v>
      </c>
      <c r="F205" s="124" t="s">
        <v>2173</v>
      </c>
      <c r="G205" s="125">
        <v>2007</v>
      </c>
      <c r="H205" s="79">
        <v>17509537</v>
      </c>
      <c r="I205" s="79">
        <v>1</v>
      </c>
      <c r="J205" s="126"/>
      <c r="K205" s="127"/>
      <c r="L205" s="79">
        <v>1</v>
      </c>
      <c r="M205" s="79"/>
      <c r="N205" s="79">
        <v>1</v>
      </c>
      <c r="O205" s="128">
        <v>1</v>
      </c>
      <c r="P205" s="79" t="s">
        <v>453</v>
      </c>
      <c r="Q205" s="79" t="s">
        <v>1147</v>
      </c>
      <c r="R205" s="79" t="s">
        <v>25</v>
      </c>
      <c r="S205" s="79">
        <v>1</v>
      </c>
      <c r="T205" s="79"/>
      <c r="U205" s="79"/>
      <c r="V205" s="79"/>
      <c r="W205" s="79" t="s">
        <v>454</v>
      </c>
      <c r="X205" s="79" t="s">
        <v>56</v>
      </c>
      <c r="Y205" s="79"/>
      <c r="Z205" s="79"/>
      <c r="AA205" s="79"/>
      <c r="AB205" s="79"/>
      <c r="AC205" s="506"/>
      <c r="AD205" s="573">
        <v>1</v>
      </c>
      <c r="AE205" s="573">
        <v>2</v>
      </c>
      <c r="AF205" s="154">
        <v>1</v>
      </c>
      <c r="AG205" s="155" t="s">
        <v>4359</v>
      </c>
      <c r="AH205" s="121">
        <v>2</v>
      </c>
      <c r="AI205" s="484"/>
      <c r="AJ205" s="202" t="s">
        <v>4358</v>
      </c>
      <c r="AK205" s="192">
        <v>0</v>
      </c>
      <c r="AL205" s="203" t="s">
        <v>24</v>
      </c>
      <c r="AM205" s="121">
        <f>18+18+23+23</f>
        <v>82</v>
      </c>
      <c r="AN205" s="121">
        <v>18</v>
      </c>
      <c r="AO205" s="121" t="s">
        <v>4341</v>
      </c>
      <c r="AP205" s="121" t="s">
        <v>803</v>
      </c>
      <c r="AQ205" s="121" t="s">
        <v>803</v>
      </c>
      <c r="AR205" s="121" t="s">
        <v>4342</v>
      </c>
      <c r="AS205" s="121">
        <v>3.1</v>
      </c>
      <c r="AT205" s="121" t="s">
        <v>4343</v>
      </c>
      <c r="AU205" s="121" t="s">
        <v>4344</v>
      </c>
      <c r="AV205" s="121" t="s">
        <v>4249</v>
      </c>
      <c r="AW205" s="121" t="s">
        <v>24</v>
      </c>
      <c r="AX205" s="121" t="s">
        <v>24</v>
      </c>
      <c r="AY205" s="121" t="s">
        <v>4338</v>
      </c>
      <c r="AZ205" s="121" t="s">
        <v>4340</v>
      </c>
      <c r="BA205" s="121" t="s">
        <v>4339</v>
      </c>
      <c r="BB205" s="594"/>
      <c r="BC205" s="594"/>
      <c r="BD205" s="156"/>
      <c r="BE205" s="156"/>
      <c r="BF205" s="156"/>
      <c r="BG205" s="156"/>
      <c r="BH205" s="156"/>
      <c r="BI205" s="156"/>
      <c r="BJ205" s="156">
        <v>1</v>
      </c>
      <c r="BK205" s="156"/>
      <c r="BL205" s="156"/>
      <c r="BM205" s="156"/>
      <c r="BN205" s="156"/>
      <c r="BO205" s="156"/>
      <c r="BP205" s="156"/>
      <c r="BQ205" s="595" t="s">
        <v>4376</v>
      </c>
      <c r="BR205" s="157" t="s">
        <v>6613</v>
      </c>
      <c r="BS205" s="660"/>
      <c r="BT205" s="134" t="s">
        <v>1876</v>
      </c>
      <c r="BU205" s="134" t="s">
        <v>4345</v>
      </c>
      <c r="BV205" s="134" t="s">
        <v>4346</v>
      </c>
      <c r="BW205" s="134" t="s">
        <v>24</v>
      </c>
      <c r="BX205" s="134" t="s">
        <v>4347</v>
      </c>
      <c r="BY205" s="134"/>
      <c r="BZ205" s="259" t="s">
        <v>4377</v>
      </c>
      <c r="CA205" s="454" t="s">
        <v>24</v>
      </c>
      <c r="CB205" s="138" t="s">
        <v>4349</v>
      </c>
      <c r="CC205" s="134">
        <v>8.6999999999999993</v>
      </c>
      <c r="CD205" s="134">
        <v>4.7</v>
      </c>
      <c r="CE205" s="134" t="s">
        <v>24</v>
      </c>
      <c r="CF205" s="138" t="s">
        <v>4351</v>
      </c>
      <c r="CG205" s="134">
        <v>5.3</v>
      </c>
      <c r="CH205" s="134">
        <v>4.0999999999999996</v>
      </c>
      <c r="CI205" s="134" t="s">
        <v>24</v>
      </c>
      <c r="CJ205" s="288" t="s">
        <v>4353</v>
      </c>
      <c r="CK205" s="289" t="s">
        <v>4354</v>
      </c>
      <c r="CL205" s="138" t="s">
        <v>4352</v>
      </c>
      <c r="CM205" s="134">
        <v>8</v>
      </c>
      <c r="CN205" s="134">
        <v>6.1</v>
      </c>
      <c r="CO205" s="134" t="s">
        <v>24</v>
      </c>
      <c r="CP205" s="138" t="s">
        <v>4348</v>
      </c>
      <c r="CQ205" s="134">
        <v>4.2</v>
      </c>
      <c r="CR205" s="134">
        <v>4.4000000000000004</v>
      </c>
      <c r="CS205" s="134" t="s">
        <v>24</v>
      </c>
      <c r="CT205" s="288" t="s">
        <v>4355</v>
      </c>
      <c r="CU205" s="289" t="s">
        <v>4356</v>
      </c>
      <c r="CV205" s="276" t="s">
        <v>4357</v>
      </c>
      <c r="CW205" s="308" t="s">
        <v>4350</v>
      </c>
      <c r="CX205" s="138"/>
      <c r="CY205" s="134"/>
      <c r="CZ205" s="134"/>
      <c r="DA205" s="134"/>
      <c r="DB205" s="134"/>
      <c r="DC205" s="134"/>
      <c r="DD205" s="134"/>
      <c r="DE205" s="134"/>
      <c r="DF205" s="300"/>
      <c r="DG205" s="301"/>
      <c r="DH205" s="134"/>
      <c r="DI205" s="134"/>
      <c r="DJ205" s="134"/>
      <c r="DK205" s="134"/>
      <c r="DL205" s="134"/>
      <c r="DM205" s="134"/>
      <c r="DN205" s="134"/>
      <c r="DO205" s="134"/>
      <c r="DP205" s="300"/>
      <c r="DQ205" s="301"/>
      <c r="DR205" s="276"/>
      <c r="DS205" s="277"/>
      <c r="DT205" s="134"/>
      <c r="DU205" s="134"/>
      <c r="DV205" s="134"/>
      <c r="DW205" s="134"/>
      <c r="DX205" s="138"/>
      <c r="DY205" s="134"/>
      <c r="DZ205" s="134"/>
      <c r="EA205" s="134"/>
      <c r="EB205" s="301"/>
      <c r="EC205" s="301"/>
      <c r="ED205" s="138"/>
      <c r="EE205" s="134"/>
      <c r="EF205" s="134"/>
      <c r="EG205" s="134"/>
      <c r="EH205" s="138"/>
      <c r="EI205" s="134"/>
      <c r="EJ205" s="134"/>
      <c r="EK205" s="134"/>
      <c r="EL205" s="301"/>
      <c r="EM205" s="301"/>
      <c r="EN205" s="277"/>
      <c r="EO205" s="134"/>
      <c r="EP205" s="134"/>
      <c r="EQ205" s="134"/>
      <c r="ER205" s="134"/>
      <c r="ES205" s="134"/>
      <c r="ET205" s="134"/>
      <c r="EU205" s="134"/>
      <c r="EV205" s="134"/>
      <c r="EW205" s="301"/>
      <c r="EX205" s="301"/>
      <c r="EY205" s="134"/>
      <c r="EZ205" s="134"/>
      <c r="FA205" s="134"/>
      <c r="FB205" s="134"/>
      <c r="FC205" s="134"/>
      <c r="FD205" s="134"/>
      <c r="FE205" s="134"/>
      <c r="FF205" s="134"/>
      <c r="FG205" s="135"/>
      <c r="FH205" s="135"/>
      <c r="FI205" s="134"/>
      <c r="FJ205" s="134"/>
      <c r="FK205" s="134"/>
      <c r="FL205" s="134"/>
      <c r="FM205" s="134"/>
      <c r="FN205" s="134"/>
      <c r="FO205" s="134"/>
      <c r="FP205" s="134"/>
      <c r="FQ205" s="135"/>
      <c r="FR205" s="135"/>
      <c r="FS205" s="134"/>
      <c r="FT205" s="134"/>
      <c r="FU205" s="134"/>
      <c r="FV205" s="134"/>
      <c r="FW205" s="134"/>
      <c r="FX205" s="134"/>
      <c r="FY205" s="134"/>
      <c r="FZ205" s="134"/>
      <c r="GA205" s="135"/>
      <c r="GB205" s="135"/>
      <c r="GC205" s="134"/>
      <c r="GD205" s="134"/>
      <c r="GE205" s="134"/>
      <c r="GF205" s="134"/>
      <c r="GG205" s="134"/>
      <c r="GH205" s="134"/>
      <c r="GI205" s="134"/>
      <c r="GJ205" s="134"/>
      <c r="GK205" s="135"/>
      <c r="GL205" s="135"/>
      <c r="GM205" s="134"/>
      <c r="GN205" s="134"/>
      <c r="GO205" s="134"/>
      <c r="GP205" s="134"/>
      <c r="GQ205" s="134"/>
      <c r="GR205" s="134"/>
      <c r="GS205" s="134"/>
      <c r="GT205" s="134"/>
      <c r="GU205" s="135"/>
      <c r="GV205" s="135"/>
      <c r="GW205" s="134"/>
      <c r="GX205" s="134"/>
      <c r="GY205" s="134"/>
      <c r="GZ205" s="134"/>
      <c r="HA205" s="134"/>
      <c r="HB205" s="134"/>
      <c r="HC205" s="134"/>
      <c r="HD205" s="134"/>
      <c r="HE205" s="135"/>
      <c r="HF205" s="135"/>
      <c r="HG205" s="134"/>
      <c r="HH205" s="134"/>
      <c r="HI205" s="134"/>
      <c r="HJ205" s="134"/>
      <c r="HK205" s="134"/>
      <c r="HL205" s="134"/>
      <c r="HM205" s="134"/>
      <c r="HN205" s="134"/>
      <c r="HO205" s="135"/>
      <c r="HP205" s="135"/>
      <c r="HQ205" s="134"/>
      <c r="HR205" s="134"/>
      <c r="HS205" s="134"/>
      <c r="HT205" s="134"/>
      <c r="HU205" s="134"/>
      <c r="HV205" s="134"/>
      <c r="HW205" s="134"/>
      <c r="HX205" s="134"/>
      <c r="HY205" s="135"/>
      <c r="HZ205" s="135"/>
      <c r="IA205" s="134"/>
      <c r="IB205" s="134"/>
      <c r="IC205" s="134"/>
      <c r="ID205" s="134"/>
      <c r="IE205" s="134"/>
      <c r="IF205" s="134"/>
      <c r="IG205" s="134"/>
      <c r="IH205" s="134"/>
      <c r="II205" s="135"/>
      <c r="IJ205" s="135"/>
      <c r="IK205" s="134"/>
      <c r="IL205" s="134"/>
      <c r="IM205" s="134"/>
      <c r="IN205" s="134"/>
      <c r="IO205" s="134"/>
      <c r="IP205" s="134"/>
      <c r="IQ205" s="134"/>
      <c r="IR205" s="134"/>
      <c r="IS205" s="135"/>
      <c r="IT205" s="135"/>
      <c r="IU205" s="134"/>
      <c r="IV205" s="134"/>
      <c r="IW205" s="134"/>
      <c r="IX205" s="134"/>
      <c r="IY205" s="134"/>
      <c r="IZ205" s="134"/>
      <c r="JA205" s="134"/>
      <c r="JB205" s="134"/>
      <c r="JC205" s="135"/>
      <c r="JD205" s="135"/>
    </row>
    <row r="206" spans="1:264" customFormat="1" ht="15" customHeight="1">
      <c r="A206" s="118" t="s">
        <v>148</v>
      </c>
      <c r="B206" s="616">
        <v>113</v>
      </c>
      <c r="C206" s="616">
        <v>26</v>
      </c>
      <c r="D206" s="616"/>
      <c r="E206" s="605" t="s">
        <v>1953</v>
      </c>
      <c r="F206" s="140" t="s">
        <v>2174</v>
      </c>
      <c r="G206" s="141">
        <v>2006</v>
      </c>
      <c r="H206" s="118">
        <v>16891562</v>
      </c>
      <c r="I206" s="118">
        <v>1</v>
      </c>
      <c r="J206" s="118"/>
      <c r="K206" s="118"/>
      <c r="L206" s="118">
        <v>1</v>
      </c>
      <c r="M206" s="118"/>
      <c r="N206" s="118">
        <v>1</v>
      </c>
      <c r="O206" s="142">
        <v>1</v>
      </c>
      <c r="P206" s="118" t="s">
        <v>457</v>
      </c>
      <c r="Q206" s="118" t="s">
        <v>1147</v>
      </c>
      <c r="R206" s="118" t="s">
        <v>459</v>
      </c>
      <c r="S206" s="118">
        <v>0</v>
      </c>
      <c r="T206" s="118"/>
      <c r="U206" s="118"/>
      <c r="V206" s="118"/>
      <c r="W206" s="118" t="s">
        <v>458</v>
      </c>
      <c r="X206" s="118"/>
      <c r="Y206" s="118"/>
      <c r="Z206" s="118"/>
      <c r="AA206" s="118"/>
      <c r="AB206" s="118"/>
      <c r="AC206" s="145"/>
      <c r="AD206" s="573">
        <v>1</v>
      </c>
      <c r="AE206" s="573">
        <v>2</v>
      </c>
      <c r="AF206" s="472" t="s">
        <v>3003</v>
      </c>
      <c r="AG206" s="473" t="s">
        <v>4415</v>
      </c>
      <c r="AH206" s="122">
        <v>3</v>
      </c>
      <c r="AI206" s="485"/>
      <c r="AJ206" s="474" t="s">
        <v>4412</v>
      </c>
      <c r="AK206" s="192" t="s">
        <v>4406</v>
      </c>
      <c r="AL206" s="205" t="s">
        <v>24</v>
      </c>
      <c r="AM206" s="475">
        <f>36+26+40</f>
        <v>102</v>
      </c>
      <c r="AN206" s="475">
        <v>36</v>
      </c>
      <c r="AO206" s="475" t="s">
        <v>4393</v>
      </c>
      <c r="AP206" s="122" t="s">
        <v>4362</v>
      </c>
      <c r="AQ206" s="122" t="s">
        <v>4362</v>
      </c>
      <c r="AR206" s="122" t="s">
        <v>4363</v>
      </c>
      <c r="AS206" s="122" t="s">
        <v>4364</v>
      </c>
      <c r="AT206" s="122" t="s">
        <v>4363</v>
      </c>
      <c r="AU206" s="122" t="s">
        <v>4364</v>
      </c>
      <c r="AV206" s="122" t="s">
        <v>4365</v>
      </c>
      <c r="AW206" s="122" t="s">
        <v>24</v>
      </c>
      <c r="AX206" s="122" t="s">
        <v>24</v>
      </c>
      <c r="AY206" s="122" t="s">
        <v>4381</v>
      </c>
      <c r="AZ206" s="122" t="s">
        <v>4375</v>
      </c>
      <c r="BA206" s="475" t="s">
        <v>4366</v>
      </c>
      <c r="BB206" s="588"/>
      <c r="BC206" s="588"/>
      <c r="BD206" s="161"/>
      <c r="BE206" s="161"/>
      <c r="BF206" s="161"/>
      <c r="BG206" s="161"/>
      <c r="BH206" s="161"/>
      <c r="BI206" s="161"/>
      <c r="BJ206" s="161">
        <v>1</v>
      </c>
      <c r="BK206" s="161"/>
      <c r="BL206" s="161"/>
      <c r="BM206" s="161"/>
      <c r="BN206" s="161"/>
      <c r="BO206" s="161"/>
      <c r="BP206" s="161"/>
      <c r="BQ206" s="596" t="s">
        <v>4411</v>
      </c>
      <c r="BR206" s="162" t="s">
        <v>6611</v>
      </c>
      <c r="BS206" s="660"/>
      <c r="BT206" s="150" t="s">
        <v>1876</v>
      </c>
      <c r="BU206" s="150">
        <v>3</v>
      </c>
      <c r="BV206" s="150" t="s">
        <v>4409</v>
      </c>
      <c r="BW206" s="150" t="s">
        <v>24</v>
      </c>
      <c r="BX206" s="150" t="s">
        <v>4410</v>
      </c>
      <c r="BY206" s="150"/>
      <c r="BZ206" s="258" t="s">
        <v>4408</v>
      </c>
      <c r="CA206" s="257" t="s">
        <v>23</v>
      </c>
      <c r="CB206" s="151" t="s">
        <v>4397</v>
      </c>
      <c r="CC206" s="150">
        <v>5.2309200000000002</v>
      </c>
      <c r="CD206" s="150" t="s">
        <v>24</v>
      </c>
      <c r="CE206" s="150" t="s">
        <v>24</v>
      </c>
      <c r="CF206" s="151" t="s">
        <v>4396</v>
      </c>
      <c r="CG206" s="150">
        <v>6.6067200000000001</v>
      </c>
      <c r="CH206" s="150" t="s">
        <v>24</v>
      </c>
      <c r="CI206" s="150" t="s">
        <v>24</v>
      </c>
      <c r="CJ206" s="290"/>
      <c r="CK206" s="291"/>
      <c r="CL206" s="151" t="s">
        <v>4394</v>
      </c>
      <c r="CM206" s="150">
        <v>7.2181899999999999</v>
      </c>
      <c r="CN206" s="150" t="s">
        <v>24</v>
      </c>
      <c r="CO206" s="150" t="s">
        <v>24</v>
      </c>
      <c r="CP206" s="151" t="s">
        <v>4395</v>
      </c>
      <c r="CQ206" s="150">
        <v>9.3869900000000008</v>
      </c>
      <c r="CR206" s="150" t="s">
        <v>24</v>
      </c>
      <c r="CS206" s="150" t="s">
        <v>24</v>
      </c>
      <c r="CT206" s="290"/>
      <c r="CU206" s="291"/>
      <c r="CV206" s="278"/>
      <c r="CW206" s="285"/>
      <c r="CX206" s="151" t="s">
        <v>4398</v>
      </c>
      <c r="CY206" s="150">
        <v>11.0304</v>
      </c>
      <c r="CZ206" s="150" t="s">
        <v>24</v>
      </c>
      <c r="DA206" s="150" t="s">
        <v>24</v>
      </c>
      <c r="DB206" s="151" t="s">
        <v>4399</v>
      </c>
      <c r="DC206" s="150">
        <v>12.7119</v>
      </c>
      <c r="DD206" s="150" t="s">
        <v>24</v>
      </c>
      <c r="DE206" s="150" t="s">
        <v>24</v>
      </c>
      <c r="DF206" s="302"/>
      <c r="DG206" s="303"/>
      <c r="DH206" s="150" t="s">
        <v>4400</v>
      </c>
      <c r="DI206" s="150">
        <v>7.7722100000000003</v>
      </c>
      <c r="DJ206" s="150" t="s">
        <v>24</v>
      </c>
      <c r="DK206" s="150" t="s">
        <v>24</v>
      </c>
      <c r="DL206" s="150" t="s">
        <v>4401</v>
      </c>
      <c r="DM206" s="150">
        <v>9.1863499999999991</v>
      </c>
      <c r="DN206" s="150" t="s">
        <v>24</v>
      </c>
      <c r="DO206" s="150" t="s">
        <v>24</v>
      </c>
      <c r="DP206" s="302"/>
      <c r="DQ206" s="303"/>
      <c r="DR206" s="278"/>
      <c r="DS206" s="279"/>
      <c r="DT206" s="150" t="s">
        <v>4402</v>
      </c>
      <c r="DU206" s="150">
        <v>10.523899999999999</v>
      </c>
      <c r="DV206" s="150" t="s">
        <v>24</v>
      </c>
      <c r="DW206" s="150" t="s">
        <v>24</v>
      </c>
      <c r="DX206" s="151" t="s">
        <v>4403</v>
      </c>
      <c r="DY206" s="150">
        <v>8.0302299999999995</v>
      </c>
      <c r="DZ206" s="150" t="s">
        <v>24</v>
      </c>
      <c r="EA206" s="150" t="s">
        <v>24</v>
      </c>
      <c r="EB206" s="303"/>
      <c r="EC206" s="303"/>
      <c r="ED206" s="151" t="s">
        <v>4404</v>
      </c>
      <c r="EE206" s="150">
        <v>9.8646999999999991</v>
      </c>
      <c r="EF206" s="150" t="s">
        <v>24</v>
      </c>
      <c r="EG206" s="150" t="s">
        <v>24</v>
      </c>
      <c r="EH206" s="151" t="s">
        <v>4405</v>
      </c>
      <c r="EI206" s="150">
        <v>10.4762</v>
      </c>
      <c r="EJ206" s="150" t="s">
        <v>24</v>
      </c>
      <c r="EK206" s="150" t="s">
        <v>24</v>
      </c>
      <c r="EL206" s="303"/>
      <c r="EM206" s="303"/>
      <c r="EN206" s="279"/>
      <c r="EO206" s="150"/>
      <c r="EP206" s="150"/>
      <c r="EQ206" s="150"/>
      <c r="ER206" s="150"/>
      <c r="ES206" s="150"/>
      <c r="ET206" s="150"/>
      <c r="EU206" s="150"/>
      <c r="EV206" s="150"/>
      <c r="EW206" s="303"/>
      <c r="EX206" s="303"/>
      <c r="EY206" s="150"/>
      <c r="EZ206" s="150"/>
      <c r="FA206" s="150"/>
      <c r="FB206" s="150"/>
      <c r="FC206" s="134"/>
      <c r="FD206" s="134"/>
      <c r="FE206" s="134"/>
      <c r="FF206" s="134"/>
      <c r="FG206" s="135"/>
      <c r="FH206" s="135"/>
      <c r="FI206" s="134"/>
      <c r="FJ206" s="134"/>
      <c r="FK206" s="134"/>
      <c r="FL206" s="134"/>
      <c r="FM206" s="134"/>
      <c r="FN206" s="134"/>
      <c r="FO206" s="134"/>
      <c r="FP206" s="134"/>
      <c r="FQ206" s="135"/>
      <c r="FR206" s="135"/>
      <c r="FS206" s="134"/>
      <c r="FT206" s="134"/>
      <c r="FU206" s="134"/>
      <c r="FV206" s="134"/>
      <c r="FW206" s="134"/>
      <c r="FX206" s="134"/>
      <c r="FY206" s="134"/>
      <c r="FZ206" s="134"/>
      <c r="GA206" s="135"/>
      <c r="GB206" s="135"/>
      <c r="GC206" s="134"/>
      <c r="GD206" s="134"/>
      <c r="GE206" s="134"/>
      <c r="GF206" s="134"/>
      <c r="GG206" s="134"/>
      <c r="GH206" s="134"/>
      <c r="GI206" s="134"/>
      <c r="GJ206" s="134"/>
      <c r="GK206" s="135"/>
      <c r="GL206" s="135"/>
      <c r="GM206" s="134"/>
      <c r="GN206" s="134"/>
      <c r="GO206" s="134"/>
      <c r="GP206" s="134"/>
      <c r="GQ206" s="134"/>
      <c r="GR206" s="134"/>
      <c r="GS206" s="134"/>
      <c r="GT206" s="134"/>
      <c r="GU206" s="135"/>
      <c r="GV206" s="135"/>
      <c r="GW206" s="134"/>
      <c r="GX206" s="134"/>
      <c r="GY206" s="134"/>
      <c r="GZ206" s="134"/>
      <c r="HA206" s="134"/>
      <c r="HB206" s="134"/>
      <c r="HC206" s="134"/>
      <c r="HD206" s="134"/>
      <c r="HE206" s="135"/>
      <c r="HF206" s="135"/>
      <c r="HG206" s="134"/>
      <c r="HH206" s="134"/>
      <c r="HI206" s="134"/>
      <c r="HJ206" s="134"/>
      <c r="HK206" s="134"/>
      <c r="HL206" s="134"/>
      <c r="HM206" s="134"/>
      <c r="HN206" s="134"/>
      <c r="HO206" s="135"/>
      <c r="HP206" s="135"/>
      <c r="HQ206" s="134"/>
      <c r="HR206" s="134"/>
      <c r="HS206" s="134"/>
      <c r="HT206" s="134"/>
      <c r="HU206" s="134"/>
      <c r="HV206" s="134"/>
      <c r="HW206" s="134"/>
      <c r="HX206" s="134"/>
      <c r="HY206" s="135"/>
      <c r="HZ206" s="135"/>
      <c r="IA206" s="134"/>
      <c r="IB206" s="134"/>
      <c r="IC206" s="134"/>
      <c r="ID206" s="134"/>
      <c r="IE206" s="134"/>
      <c r="IF206" s="134"/>
      <c r="IG206" s="134"/>
      <c r="IH206" s="134"/>
      <c r="II206" s="135"/>
      <c r="IJ206" s="135"/>
      <c r="IK206" s="134"/>
      <c r="IL206" s="134"/>
      <c r="IM206" s="134"/>
      <c r="IN206" s="134"/>
      <c r="IO206" s="134"/>
      <c r="IP206" s="134"/>
      <c r="IQ206" s="134"/>
      <c r="IR206" s="134"/>
      <c r="IS206" s="135"/>
      <c r="IT206" s="135"/>
      <c r="IU206" s="134"/>
      <c r="IV206" s="134"/>
      <c r="IW206" s="134"/>
      <c r="IX206" s="134"/>
      <c r="IY206" s="134"/>
      <c r="IZ206" s="134"/>
      <c r="JA206" s="134"/>
      <c r="JB206" s="134"/>
      <c r="JC206" s="135"/>
      <c r="JD206" s="135"/>
    </row>
    <row r="207" spans="1:264" customFormat="1" ht="15" customHeight="1">
      <c r="A207" s="118" t="s">
        <v>148</v>
      </c>
      <c r="B207" s="616">
        <v>113</v>
      </c>
      <c r="C207" s="616">
        <v>26</v>
      </c>
      <c r="D207" s="616"/>
      <c r="E207" s="605" t="s">
        <v>1953</v>
      </c>
      <c r="F207" s="140" t="s">
        <v>2174</v>
      </c>
      <c r="G207" s="141">
        <v>2006</v>
      </c>
      <c r="H207" s="118">
        <v>16891562</v>
      </c>
      <c r="I207" s="118">
        <v>1</v>
      </c>
      <c r="J207" s="118"/>
      <c r="K207" s="118"/>
      <c r="L207" s="118">
        <v>1</v>
      </c>
      <c r="M207" s="118"/>
      <c r="N207" s="118">
        <v>1</v>
      </c>
      <c r="O207" s="142">
        <v>1</v>
      </c>
      <c r="P207" s="118" t="s">
        <v>457</v>
      </c>
      <c r="Q207" s="118" t="s">
        <v>1147</v>
      </c>
      <c r="R207" s="118" t="s">
        <v>459</v>
      </c>
      <c r="S207" s="118">
        <v>0</v>
      </c>
      <c r="T207" s="118"/>
      <c r="U207" s="118"/>
      <c r="V207" s="118"/>
      <c r="W207" s="118" t="s">
        <v>458</v>
      </c>
      <c r="X207" s="118"/>
      <c r="Y207" s="118"/>
      <c r="Z207" s="118"/>
      <c r="AA207" s="118"/>
      <c r="AB207" s="118"/>
      <c r="AC207" s="145"/>
      <c r="AD207" s="573">
        <v>1</v>
      </c>
      <c r="AE207" s="573">
        <v>2</v>
      </c>
      <c r="AF207" s="472" t="s">
        <v>3003</v>
      </c>
      <c r="AG207" s="473" t="s">
        <v>4415</v>
      </c>
      <c r="AH207" s="122">
        <v>3</v>
      </c>
      <c r="AI207" s="485"/>
      <c r="AJ207" s="474" t="s">
        <v>4414</v>
      </c>
      <c r="AK207" s="192" t="s">
        <v>4406</v>
      </c>
      <c r="AL207" s="205" t="s">
        <v>24</v>
      </c>
      <c r="AM207" s="475">
        <f>31+16+35</f>
        <v>82</v>
      </c>
      <c r="AN207" s="475">
        <v>31</v>
      </c>
      <c r="AO207" s="475" t="s">
        <v>4361</v>
      </c>
      <c r="AP207" s="122" t="s">
        <v>4362</v>
      </c>
      <c r="AQ207" s="122" t="s">
        <v>4362</v>
      </c>
      <c r="AR207" s="122" t="s">
        <v>4363</v>
      </c>
      <c r="AS207" s="122" t="s">
        <v>4364</v>
      </c>
      <c r="AT207" s="122" t="s">
        <v>4363</v>
      </c>
      <c r="AU207" s="122" t="s">
        <v>4364</v>
      </c>
      <c r="AV207" s="122" t="s">
        <v>4365</v>
      </c>
      <c r="AW207" s="122" t="s">
        <v>24</v>
      </c>
      <c r="AX207" s="122" t="s">
        <v>24</v>
      </c>
      <c r="AY207" s="122" t="s">
        <v>4381</v>
      </c>
      <c r="AZ207" s="122" t="s">
        <v>4375</v>
      </c>
      <c r="BA207" s="475" t="s">
        <v>4366</v>
      </c>
      <c r="BB207" s="588"/>
      <c r="BC207" s="588"/>
      <c r="BD207" s="161"/>
      <c r="BE207" s="161"/>
      <c r="BF207" s="161"/>
      <c r="BG207" s="161"/>
      <c r="BH207" s="161"/>
      <c r="BI207" s="161"/>
      <c r="BJ207" s="161">
        <v>1</v>
      </c>
      <c r="BK207" s="161"/>
      <c r="BL207" s="161"/>
      <c r="BM207" s="161"/>
      <c r="BN207" s="161"/>
      <c r="BO207" s="161"/>
      <c r="BP207" s="161"/>
      <c r="BQ207" s="596" t="s">
        <v>4379</v>
      </c>
      <c r="BR207" s="162" t="s">
        <v>6609</v>
      </c>
      <c r="BS207" s="660"/>
      <c r="BT207" s="150" t="s">
        <v>1876</v>
      </c>
      <c r="BU207" s="150">
        <v>3</v>
      </c>
      <c r="BV207" s="150" t="s">
        <v>4380</v>
      </c>
      <c r="BW207" s="150" t="s">
        <v>24</v>
      </c>
      <c r="BX207" s="150" t="s">
        <v>4407</v>
      </c>
      <c r="BY207" s="150"/>
      <c r="BZ207" s="476" t="s">
        <v>4392</v>
      </c>
      <c r="CA207" s="622" t="s">
        <v>24</v>
      </c>
      <c r="CB207" s="151" t="s">
        <v>4382</v>
      </c>
      <c r="CC207" s="150">
        <v>9.0321400000000001</v>
      </c>
      <c r="CD207" s="150" t="s">
        <v>24</v>
      </c>
      <c r="CE207" s="150" t="s">
        <v>24</v>
      </c>
      <c r="CF207" s="151" t="s">
        <v>4383</v>
      </c>
      <c r="CG207" s="150">
        <v>10.125</v>
      </c>
      <c r="CH207" s="150" t="s">
        <v>24</v>
      </c>
      <c r="CI207" s="150" t="s">
        <v>24</v>
      </c>
      <c r="CJ207" s="290" t="s">
        <v>4388</v>
      </c>
      <c r="CK207" s="291" t="s">
        <v>4389</v>
      </c>
      <c r="CL207" s="151" t="s">
        <v>4384</v>
      </c>
      <c r="CM207" s="150">
        <v>10.8</v>
      </c>
      <c r="CN207" s="228" t="s">
        <v>24</v>
      </c>
      <c r="CO207" s="150" t="s">
        <v>24</v>
      </c>
      <c r="CP207" s="151" t="s">
        <v>4385</v>
      </c>
      <c r="CQ207" s="150">
        <v>3.7285699999999999</v>
      </c>
      <c r="CR207" s="150" t="s">
        <v>24</v>
      </c>
      <c r="CS207" s="150" t="s">
        <v>24</v>
      </c>
      <c r="CT207" s="290" t="s">
        <v>24</v>
      </c>
      <c r="CU207" s="291" t="s">
        <v>24</v>
      </c>
      <c r="CV207" s="278" t="s">
        <v>24</v>
      </c>
      <c r="CW207" s="285" t="s">
        <v>24</v>
      </c>
      <c r="CX207" s="151" t="s">
        <v>4386</v>
      </c>
      <c r="CY207" s="150">
        <v>6.8464299999999998</v>
      </c>
      <c r="CZ207" s="150" t="s">
        <v>24</v>
      </c>
      <c r="DA207" s="150" t="s">
        <v>24</v>
      </c>
      <c r="DB207" s="151" t="s">
        <v>4387</v>
      </c>
      <c r="DC207" s="150">
        <v>7.0071399999999997</v>
      </c>
      <c r="DD207" s="150" t="s">
        <v>24</v>
      </c>
      <c r="DE207" s="150" t="s">
        <v>24</v>
      </c>
      <c r="DF207" s="302" t="s">
        <v>4390</v>
      </c>
      <c r="DG207" s="303" t="s">
        <v>4391</v>
      </c>
      <c r="DH207" s="150" t="s">
        <v>24</v>
      </c>
      <c r="DI207" s="150" t="s">
        <v>24</v>
      </c>
      <c r="DJ207" s="150" t="s">
        <v>24</v>
      </c>
      <c r="DK207" s="150" t="s">
        <v>24</v>
      </c>
      <c r="DL207" s="150"/>
      <c r="DM207" s="150"/>
      <c r="DN207" s="150"/>
      <c r="DO207" s="150"/>
      <c r="DP207" s="302"/>
      <c r="DQ207" s="303"/>
      <c r="DR207" s="278"/>
      <c r="DS207" s="279"/>
      <c r="DT207" s="150"/>
      <c r="DU207" s="150"/>
      <c r="DV207" s="150"/>
      <c r="DW207" s="150"/>
      <c r="DX207" s="151"/>
      <c r="DY207" s="150"/>
      <c r="DZ207" s="150"/>
      <c r="EA207" s="150"/>
      <c r="EB207" s="303"/>
      <c r="EC207" s="303"/>
      <c r="ED207" s="151"/>
      <c r="EE207" s="150"/>
      <c r="EF207" s="150"/>
      <c r="EG207" s="150"/>
      <c r="EH207" s="151"/>
      <c r="EI207" s="150"/>
      <c r="EJ207" s="150"/>
      <c r="EK207" s="150"/>
      <c r="EL207" s="303"/>
      <c r="EM207" s="303"/>
      <c r="EN207" s="279"/>
      <c r="EO207" s="150"/>
      <c r="EP207" s="150"/>
      <c r="EQ207" s="150"/>
      <c r="ER207" s="150"/>
      <c r="ES207" s="150"/>
      <c r="ET207" s="150"/>
      <c r="EU207" s="150"/>
      <c r="EV207" s="150"/>
      <c r="EW207" s="303"/>
      <c r="EX207" s="303"/>
      <c r="EY207" s="150"/>
      <c r="EZ207" s="150"/>
      <c r="FA207" s="150"/>
      <c r="FB207" s="150"/>
      <c r="FC207" s="134"/>
      <c r="FD207" s="134"/>
      <c r="FE207" s="134"/>
      <c r="FF207" s="134"/>
      <c r="FG207" s="135"/>
      <c r="FH207" s="135"/>
      <c r="FI207" s="134"/>
      <c r="FJ207" s="134"/>
      <c r="FK207" s="134"/>
      <c r="FL207" s="134"/>
      <c r="FM207" s="134"/>
      <c r="FN207" s="134"/>
      <c r="FO207" s="134"/>
      <c r="FP207" s="134"/>
      <c r="FQ207" s="135"/>
      <c r="FR207" s="135"/>
      <c r="FS207" s="134"/>
      <c r="FT207" s="134"/>
      <c r="FU207" s="134"/>
      <c r="FV207" s="134"/>
      <c r="FW207" s="134"/>
      <c r="FX207" s="134"/>
      <c r="FY207" s="134"/>
      <c r="FZ207" s="134"/>
      <c r="GA207" s="135"/>
      <c r="GB207" s="135"/>
      <c r="GC207" s="134"/>
      <c r="GD207" s="134"/>
      <c r="GE207" s="134"/>
      <c r="GF207" s="134"/>
      <c r="GG207" s="134"/>
      <c r="GH207" s="134"/>
      <c r="GI207" s="134"/>
      <c r="GJ207" s="134"/>
      <c r="GK207" s="135"/>
      <c r="GL207" s="135"/>
      <c r="GM207" s="134"/>
      <c r="GN207" s="134"/>
      <c r="GO207" s="134"/>
      <c r="GP207" s="134"/>
      <c r="GQ207" s="134"/>
      <c r="GR207" s="134"/>
      <c r="GS207" s="134"/>
      <c r="GT207" s="134"/>
      <c r="GU207" s="135"/>
      <c r="GV207" s="135"/>
      <c r="GW207" s="134"/>
      <c r="GX207" s="134"/>
      <c r="GY207" s="134"/>
      <c r="GZ207" s="134"/>
      <c r="HA207" s="134"/>
      <c r="HB207" s="134"/>
      <c r="HC207" s="134"/>
      <c r="HD207" s="134"/>
      <c r="HE207" s="135"/>
      <c r="HF207" s="135"/>
      <c r="HG207" s="134"/>
      <c r="HH207" s="134"/>
      <c r="HI207" s="134"/>
      <c r="HJ207" s="134"/>
      <c r="HK207" s="134"/>
      <c r="HL207" s="134"/>
      <c r="HM207" s="134"/>
      <c r="HN207" s="134"/>
      <c r="HO207" s="135"/>
      <c r="HP207" s="135"/>
      <c r="HQ207" s="134"/>
      <c r="HR207" s="134"/>
      <c r="HS207" s="134"/>
      <c r="HT207" s="134"/>
      <c r="HU207" s="134"/>
      <c r="HV207" s="134"/>
      <c r="HW207" s="134"/>
      <c r="HX207" s="134"/>
      <c r="HY207" s="135"/>
      <c r="HZ207" s="135"/>
      <c r="IA207" s="134"/>
      <c r="IB207" s="134"/>
      <c r="IC207" s="134"/>
      <c r="ID207" s="134"/>
      <c r="IE207" s="134"/>
      <c r="IF207" s="134"/>
      <c r="IG207" s="134"/>
      <c r="IH207" s="134"/>
      <c r="II207" s="135"/>
      <c r="IJ207" s="135"/>
      <c r="IK207" s="134"/>
      <c r="IL207" s="134"/>
      <c r="IM207" s="134"/>
      <c r="IN207" s="134"/>
      <c r="IO207" s="134"/>
      <c r="IP207" s="134"/>
      <c r="IQ207" s="134"/>
      <c r="IR207" s="134"/>
      <c r="IS207" s="135"/>
      <c r="IT207" s="135"/>
      <c r="IU207" s="134"/>
      <c r="IV207" s="134"/>
      <c r="IW207" s="134"/>
      <c r="IX207" s="134"/>
      <c r="IY207" s="134"/>
      <c r="IZ207" s="134"/>
      <c r="JA207" s="134"/>
      <c r="JB207" s="134"/>
      <c r="JC207" s="135"/>
      <c r="JD207" s="135"/>
    </row>
    <row r="208" spans="1:264" customFormat="1" ht="15" customHeight="1">
      <c r="A208" s="118" t="s">
        <v>148</v>
      </c>
      <c r="B208" s="616">
        <v>113</v>
      </c>
      <c r="C208" s="616">
        <v>26</v>
      </c>
      <c r="D208" s="616"/>
      <c r="E208" s="605" t="s">
        <v>1953</v>
      </c>
      <c r="F208" s="140" t="s">
        <v>2174</v>
      </c>
      <c r="G208" s="141">
        <v>2006</v>
      </c>
      <c r="H208" s="118">
        <v>16891562</v>
      </c>
      <c r="I208" s="118">
        <v>1</v>
      </c>
      <c r="J208" s="118"/>
      <c r="K208" s="118"/>
      <c r="L208" s="118">
        <v>1</v>
      </c>
      <c r="M208" s="118"/>
      <c r="N208" s="118">
        <v>1</v>
      </c>
      <c r="O208" s="142">
        <v>1</v>
      </c>
      <c r="P208" s="118" t="s">
        <v>457</v>
      </c>
      <c r="Q208" s="118" t="s">
        <v>1147</v>
      </c>
      <c r="R208" s="118" t="s">
        <v>459</v>
      </c>
      <c r="S208" s="118">
        <v>0</v>
      </c>
      <c r="T208" s="118"/>
      <c r="U208" s="118"/>
      <c r="V208" s="118"/>
      <c r="W208" s="118" t="s">
        <v>458</v>
      </c>
      <c r="X208" s="118"/>
      <c r="Y208" s="118"/>
      <c r="Z208" s="118"/>
      <c r="AA208" s="118"/>
      <c r="AB208" s="118"/>
      <c r="AC208" s="145"/>
      <c r="AD208" s="573">
        <v>1</v>
      </c>
      <c r="AE208" s="573">
        <v>2</v>
      </c>
      <c r="AF208" s="472" t="s">
        <v>3003</v>
      </c>
      <c r="AG208" s="473" t="s">
        <v>4415</v>
      </c>
      <c r="AH208" s="122">
        <v>2</v>
      </c>
      <c r="AI208" s="485"/>
      <c r="AJ208" s="474" t="s">
        <v>4413</v>
      </c>
      <c r="AK208" s="192" t="s">
        <v>4372</v>
      </c>
      <c r="AL208" s="205" t="s">
        <v>24</v>
      </c>
      <c r="AM208" s="122">
        <f>30+20+15</f>
        <v>65</v>
      </c>
      <c r="AN208" s="122">
        <v>30</v>
      </c>
      <c r="AO208" s="122" t="s">
        <v>4369</v>
      </c>
      <c r="AP208" s="122" t="s">
        <v>4373</v>
      </c>
      <c r="AQ208" s="122" t="s">
        <v>4373</v>
      </c>
      <c r="AR208" s="122" t="s">
        <v>4370</v>
      </c>
      <c r="AS208" s="122" t="s">
        <v>2882</v>
      </c>
      <c r="AT208" s="122" t="s">
        <v>4370</v>
      </c>
      <c r="AU208" s="122" t="s">
        <v>2882</v>
      </c>
      <c r="AV208" s="122" t="s">
        <v>4371</v>
      </c>
      <c r="AW208" s="122" t="s">
        <v>24</v>
      </c>
      <c r="AX208" s="122" t="s">
        <v>24</v>
      </c>
      <c r="AY208" s="122" t="s">
        <v>4374</v>
      </c>
      <c r="AZ208" s="121" t="s">
        <v>5116</v>
      </c>
      <c r="BA208" s="475" t="s">
        <v>4366</v>
      </c>
      <c r="BB208" s="588"/>
      <c r="BC208" s="588"/>
      <c r="BD208" s="161"/>
      <c r="BE208" s="161"/>
      <c r="BF208" s="161"/>
      <c r="BG208" s="161"/>
      <c r="BH208" s="161"/>
      <c r="BI208" s="161"/>
      <c r="BJ208" s="161">
        <v>1</v>
      </c>
      <c r="BK208" s="161"/>
      <c r="BL208" s="161"/>
      <c r="BM208" s="161"/>
      <c r="BN208" s="161"/>
      <c r="BO208" s="161"/>
      <c r="BP208" s="161"/>
      <c r="BQ208" s="596" t="s">
        <v>4378</v>
      </c>
      <c r="BR208" s="162" t="s">
        <v>6609</v>
      </c>
      <c r="BS208" s="660"/>
      <c r="BT208" s="150" t="s">
        <v>1876</v>
      </c>
      <c r="BU208" s="150">
        <v>3</v>
      </c>
      <c r="BV208" s="150" t="s">
        <v>4409</v>
      </c>
      <c r="BW208" s="150" t="s">
        <v>24</v>
      </c>
      <c r="BX208" s="150"/>
      <c r="BY208" s="150"/>
      <c r="BZ208" s="258" t="s">
        <v>24</v>
      </c>
      <c r="CA208" s="257"/>
      <c r="CB208" s="151"/>
      <c r="CC208" s="150"/>
      <c r="CD208" s="150"/>
      <c r="CE208" s="150"/>
      <c r="CF208" s="151"/>
      <c r="CG208" s="150"/>
      <c r="CH208" s="150"/>
      <c r="CI208" s="150"/>
      <c r="CJ208" s="290"/>
      <c r="CK208" s="291"/>
      <c r="CL208" s="150"/>
      <c r="CM208" s="150"/>
      <c r="CN208" s="150"/>
      <c r="CO208" s="150"/>
      <c r="CP208" s="151"/>
      <c r="CQ208" s="150"/>
      <c r="CR208" s="150"/>
      <c r="CS208" s="150"/>
      <c r="CT208" s="290"/>
      <c r="CU208" s="291"/>
      <c r="CV208" s="278"/>
      <c r="CW208" s="285"/>
      <c r="CX208" s="151"/>
      <c r="CY208" s="150"/>
      <c r="CZ208" s="150"/>
      <c r="DA208" s="150"/>
      <c r="DB208" s="150"/>
      <c r="DC208" s="150"/>
      <c r="DD208" s="150"/>
      <c r="DE208" s="150"/>
      <c r="DF208" s="302"/>
      <c r="DG208" s="303"/>
      <c r="DH208" s="150"/>
      <c r="DI208" s="150"/>
      <c r="DJ208" s="150"/>
      <c r="DK208" s="150"/>
      <c r="DL208" s="150"/>
      <c r="DM208" s="150"/>
      <c r="DN208" s="150"/>
      <c r="DO208" s="150"/>
      <c r="DP208" s="302"/>
      <c r="DQ208" s="303"/>
      <c r="DR208" s="278"/>
      <c r="DS208" s="279"/>
      <c r="DT208" s="150"/>
      <c r="DU208" s="150"/>
      <c r="DV208" s="150"/>
      <c r="DW208" s="150"/>
      <c r="DX208" s="151"/>
      <c r="DY208" s="150"/>
      <c r="DZ208" s="150"/>
      <c r="EA208" s="150"/>
      <c r="EB208" s="303"/>
      <c r="EC208" s="303"/>
      <c r="ED208" s="151"/>
      <c r="EE208" s="150"/>
      <c r="EF208" s="150"/>
      <c r="EG208" s="150"/>
      <c r="EH208" s="151"/>
      <c r="EI208" s="150"/>
      <c r="EJ208" s="150"/>
      <c r="EK208" s="150"/>
      <c r="EL208" s="303"/>
      <c r="EM208" s="303"/>
      <c r="EN208" s="279"/>
      <c r="EO208" s="150"/>
      <c r="EP208" s="150"/>
      <c r="EQ208" s="150"/>
      <c r="ER208" s="150"/>
      <c r="ES208" s="150"/>
      <c r="ET208" s="150"/>
      <c r="EU208" s="150"/>
      <c r="EV208" s="150"/>
      <c r="EW208" s="303"/>
      <c r="EX208" s="303"/>
      <c r="EY208" s="150"/>
      <c r="EZ208" s="150"/>
      <c r="FA208" s="150"/>
      <c r="FB208" s="150"/>
      <c r="FC208" s="134"/>
      <c r="FD208" s="134"/>
      <c r="FE208" s="134"/>
      <c r="FF208" s="134"/>
      <c r="FG208" s="135"/>
      <c r="FH208" s="135"/>
      <c r="FI208" s="134"/>
      <c r="FJ208" s="134"/>
      <c r="FK208" s="134"/>
      <c r="FL208" s="134"/>
      <c r="FM208" s="134"/>
      <c r="FN208" s="134"/>
      <c r="FO208" s="134"/>
      <c r="FP208" s="134"/>
      <c r="FQ208" s="135"/>
      <c r="FR208" s="135"/>
      <c r="FS208" s="134"/>
      <c r="FT208" s="134"/>
      <c r="FU208" s="134"/>
      <c r="FV208" s="134"/>
      <c r="FW208" s="134"/>
      <c r="FX208" s="134"/>
      <c r="FY208" s="134"/>
      <c r="FZ208" s="134"/>
      <c r="GA208" s="135"/>
      <c r="GB208" s="135"/>
      <c r="GC208" s="134"/>
      <c r="GD208" s="134"/>
      <c r="GE208" s="134"/>
      <c r="GF208" s="134"/>
      <c r="GG208" s="134"/>
      <c r="GH208" s="134"/>
      <c r="GI208" s="134"/>
      <c r="GJ208" s="134"/>
      <c r="GK208" s="135"/>
      <c r="GL208" s="135"/>
      <c r="GM208" s="134"/>
      <c r="GN208" s="134"/>
      <c r="GO208" s="134"/>
      <c r="GP208" s="134"/>
      <c r="GQ208" s="134"/>
      <c r="GR208" s="134"/>
      <c r="GS208" s="134"/>
      <c r="GT208" s="134"/>
      <c r="GU208" s="135"/>
      <c r="GV208" s="135"/>
      <c r="GW208" s="134"/>
      <c r="GX208" s="134"/>
      <c r="GY208" s="134"/>
      <c r="GZ208" s="134"/>
      <c r="HA208" s="134"/>
      <c r="HB208" s="134"/>
      <c r="HC208" s="134"/>
      <c r="HD208" s="134"/>
      <c r="HE208" s="135"/>
      <c r="HF208" s="135"/>
      <c r="HG208" s="134"/>
      <c r="HH208" s="134"/>
      <c r="HI208" s="134"/>
      <c r="HJ208" s="134"/>
      <c r="HK208" s="134"/>
      <c r="HL208" s="134"/>
      <c r="HM208" s="134"/>
      <c r="HN208" s="134"/>
      <c r="HO208" s="135"/>
      <c r="HP208" s="135"/>
      <c r="HQ208" s="134"/>
      <c r="HR208" s="134"/>
      <c r="HS208" s="134"/>
      <c r="HT208" s="134"/>
      <c r="HU208" s="134"/>
      <c r="HV208" s="134"/>
      <c r="HW208" s="134"/>
      <c r="HX208" s="134"/>
      <c r="HY208" s="135"/>
      <c r="HZ208" s="135"/>
      <c r="IA208" s="134"/>
      <c r="IB208" s="134"/>
      <c r="IC208" s="134"/>
      <c r="ID208" s="134"/>
      <c r="IE208" s="134"/>
      <c r="IF208" s="134"/>
      <c r="IG208" s="134"/>
      <c r="IH208" s="134"/>
      <c r="II208" s="135"/>
      <c r="IJ208" s="135"/>
      <c r="IK208" s="134"/>
      <c r="IL208" s="134"/>
      <c r="IM208" s="134"/>
      <c r="IN208" s="134"/>
      <c r="IO208" s="134"/>
      <c r="IP208" s="134"/>
      <c r="IQ208" s="134"/>
      <c r="IR208" s="134"/>
      <c r="IS208" s="135"/>
      <c r="IT208" s="135"/>
      <c r="IU208" s="134"/>
      <c r="IV208" s="134"/>
      <c r="IW208" s="134"/>
      <c r="IX208" s="134"/>
      <c r="IY208" s="134"/>
      <c r="IZ208" s="134"/>
      <c r="JA208" s="134"/>
      <c r="JB208" s="134"/>
      <c r="JC208" s="135"/>
      <c r="JD208" s="135"/>
    </row>
    <row r="209" spans="1:264" customFormat="1" ht="15" customHeight="1">
      <c r="A209" s="118" t="s">
        <v>1063</v>
      </c>
      <c r="B209" s="616">
        <v>114</v>
      </c>
      <c r="C209" s="616">
        <v>27</v>
      </c>
      <c r="D209" s="616"/>
      <c r="E209" s="605" t="s">
        <v>2071</v>
      </c>
      <c r="F209" s="140" t="s">
        <v>2323</v>
      </c>
      <c r="G209" s="141">
        <v>2012</v>
      </c>
      <c r="H209" s="118">
        <v>22701407</v>
      </c>
      <c r="I209" s="118">
        <v>1</v>
      </c>
      <c r="J209" s="118"/>
      <c r="K209" s="118"/>
      <c r="L209" s="118">
        <v>1</v>
      </c>
      <c r="M209" s="118"/>
      <c r="N209" s="118">
        <v>1</v>
      </c>
      <c r="O209" s="142">
        <v>2</v>
      </c>
      <c r="P209" s="118" t="s">
        <v>1258</v>
      </c>
      <c r="Q209" s="118" t="s">
        <v>1147</v>
      </c>
      <c r="R209" s="118" t="s">
        <v>1321</v>
      </c>
      <c r="S209" s="118"/>
      <c r="T209" s="118" t="s">
        <v>1495</v>
      </c>
      <c r="U209" s="118"/>
      <c r="V209" s="118"/>
      <c r="W209" s="118" t="s">
        <v>1681</v>
      </c>
      <c r="X209" s="118"/>
      <c r="Y209" s="118"/>
      <c r="Z209" s="118"/>
      <c r="AA209" s="118"/>
      <c r="AB209" s="118"/>
      <c r="AC209" s="145"/>
      <c r="AD209" s="573">
        <v>1</v>
      </c>
      <c r="AE209" s="573">
        <v>2</v>
      </c>
      <c r="AF209" s="159">
        <v>1</v>
      </c>
      <c r="AG209" s="160" t="s">
        <v>4474</v>
      </c>
      <c r="AH209" s="122">
        <v>4</v>
      </c>
      <c r="AI209" s="485"/>
      <c r="AJ209" s="204" t="s">
        <v>4431</v>
      </c>
      <c r="AK209" s="192" t="s">
        <v>4435</v>
      </c>
      <c r="AL209" s="205" t="s">
        <v>24</v>
      </c>
      <c r="AM209" s="122">
        <v>36</v>
      </c>
      <c r="AN209" s="122">
        <v>9</v>
      </c>
      <c r="AO209" s="122">
        <f>Table668[[#This Row],[Data_Subjects_n]]-Table668[[#This Row],[Data_Subjects_n_ptsd]]</f>
        <v>27</v>
      </c>
      <c r="AP209" s="122" t="s">
        <v>803</v>
      </c>
      <c r="AQ209" s="122" t="s">
        <v>803</v>
      </c>
      <c r="AR209" s="122" t="s">
        <v>24</v>
      </c>
      <c r="AS209" s="122" t="s">
        <v>24</v>
      </c>
      <c r="AT209" s="122" t="s">
        <v>24</v>
      </c>
      <c r="AU209" s="122" t="s">
        <v>24</v>
      </c>
      <c r="AV209" s="122" t="s">
        <v>4423</v>
      </c>
      <c r="AW209" s="122">
        <v>1</v>
      </c>
      <c r="AX209" s="122">
        <v>1</v>
      </c>
      <c r="AY209" s="122" t="s">
        <v>4422</v>
      </c>
      <c r="AZ209" s="122" t="s">
        <v>1321</v>
      </c>
      <c r="BA209" s="122" t="s">
        <v>4421</v>
      </c>
      <c r="BB209" s="588"/>
      <c r="BC209" s="588"/>
      <c r="BD209" s="161"/>
      <c r="BE209" s="161"/>
      <c r="BF209" s="161"/>
      <c r="BG209" s="161"/>
      <c r="BH209" s="161"/>
      <c r="BI209" s="161"/>
      <c r="BJ209" s="161">
        <v>1</v>
      </c>
      <c r="BK209" s="161"/>
      <c r="BL209" s="161"/>
      <c r="BM209" s="161"/>
      <c r="BN209" s="161"/>
      <c r="BO209" s="161"/>
      <c r="BP209" s="161"/>
      <c r="BQ209" s="596" t="s">
        <v>4418</v>
      </c>
      <c r="BR209" s="162" t="s">
        <v>6613</v>
      </c>
      <c r="BS209" s="660"/>
      <c r="BT209" s="150" t="s">
        <v>1876</v>
      </c>
      <c r="BU209" s="150">
        <v>2</v>
      </c>
      <c r="BV209" s="150" t="s">
        <v>4537</v>
      </c>
      <c r="BW209" s="150" t="s">
        <v>4416</v>
      </c>
      <c r="BX209" s="150" t="s">
        <v>4430</v>
      </c>
      <c r="BY209" s="150"/>
      <c r="BZ209" s="258" t="s">
        <v>4472</v>
      </c>
      <c r="CA209" s="257">
        <v>0</v>
      </c>
      <c r="CB209" s="151" t="s">
        <v>4425</v>
      </c>
      <c r="CC209" s="150">
        <v>41.153799999999997</v>
      </c>
      <c r="CD209" s="150" t="s">
        <v>3228</v>
      </c>
      <c r="CE209" s="150">
        <f>47.8596-Table668[[#This Row],[Data_Outcome1_M]]</f>
        <v>6.7058000000000035</v>
      </c>
      <c r="CF209" s="151" t="s">
        <v>4428</v>
      </c>
      <c r="CG209" s="150">
        <v>54.736400000000003</v>
      </c>
      <c r="CH209" s="150" t="s">
        <v>3228</v>
      </c>
      <c r="CI209" s="150">
        <f>58.9717-Table668[[#This Row],[Data_Outcome2_M]]</f>
        <v>4.2352999999999952</v>
      </c>
      <c r="CJ209" s="290" t="s">
        <v>4432</v>
      </c>
      <c r="CK209" s="291" t="s">
        <v>4434</v>
      </c>
      <c r="CL209" s="151" t="s">
        <v>4440</v>
      </c>
      <c r="CM209" s="150">
        <v>7.9189400000000001</v>
      </c>
      <c r="CN209" s="150"/>
      <c r="CO209" s="150">
        <f>10.0134-Table668[[#This Row],[Data_Outcome3_M]]</f>
        <v>2.0944600000000007</v>
      </c>
      <c r="CP209" s="151" t="s">
        <v>4438</v>
      </c>
      <c r="CQ209" s="150">
        <v>7.3917900000000003</v>
      </c>
      <c r="CR209" s="150"/>
      <c r="CS209" s="150">
        <f>8.18825-Table668[[#This Row],[Data_Outcome4_M]]</f>
        <v>0.79645999999999972</v>
      </c>
      <c r="CT209" s="290"/>
      <c r="CU209" s="291"/>
      <c r="CV209" s="278"/>
      <c r="CW209" s="285"/>
      <c r="CX209" s="151" t="s">
        <v>4443</v>
      </c>
      <c r="CY209" s="150">
        <v>3.6993499999999999</v>
      </c>
      <c r="CZ209" s="150"/>
      <c r="DA209" s="150">
        <f>4.58427-Table668[[#This Row],[Data_Outcome5_M]]</f>
        <v>0.88492000000000015</v>
      </c>
      <c r="DB209" s="151" t="s">
        <v>4447</v>
      </c>
      <c r="DC209" s="150">
        <v>5.5321400000000001</v>
      </c>
      <c r="DD209" s="150"/>
      <c r="DE209" s="150">
        <f>6.2991-Table668[[#This Row],[Data_Outcome6_M]]</f>
        <v>0.76696000000000009</v>
      </c>
      <c r="DF209" s="302"/>
      <c r="DG209" s="303"/>
      <c r="DH209" s="151" t="s">
        <v>4449</v>
      </c>
      <c r="DI209" s="150">
        <v>4.0882399999999999</v>
      </c>
      <c r="DJ209" s="150"/>
      <c r="DK209" s="150">
        <f>4.67647-Table668[[#This Row],[Data_Outcome7_M]]</f>
        <v>0.58823000000000025</v>
      </c>
      <c r="DL209" s="151" t="s">
        <v>4452</v>
      </c>
      <c r="DM209" s="150">
        <v>4.23529</v>
      </c>
      <c r="DN209" s="228"/>
      <c r="DO209" s="150">
        <f>4.73529-Table668[[#This Row],[Data_Outcome8_M]]</f>
        <v>0.5</v>
      </c>
      <c r="DP209" s="302"/>
      <c r="DQ209" s="303"/>
      <c r="DR209" s="278"/>
      <c r="DS209" s="279"/>
      <c r="DT209" s="151" t="s">
        <v>4455</v>
      </c>
      <c r="DU209" s="150">
        <v>3.3823500000000002</v>
      </c>
      <c r="DV209" s="150"/>
      <c r="DW209" s="150">
        <f>4.26471-Table668[[#This Row],[Data_Outcome9_M]]</f>
        <v>0.88235999999999981</v>
      </c>
      <c r="DX209" s="151" t="s">
        <v>4458</v>
      </c>
      <c r="DY209" s="150">
        <v>3.5</v>
      </c>
      <c r="DZ209" s="150"/>
      <c r="EA209" s="555">
        <f>4.11765-Table668[[#This Row],[Data_Outcome10_M]]</f>
        <v>0.61765000000000025</v>
      </c>
      <c r="EB209" s="303" t="s">
        <v>4461</v>
      </c>
      <c r="EC209" s="303" t="s">
        <v>4460</v>
      </c>
      <c r="ED209" s="151" t="s">
        <v>4464</v>
      </c>
      <c r="EE209" s="150">
        <v>0.25952799999999998</v>
      </c>
      <c r="EF209" s="150"/>
      <c r="EG209" s="150">
        <f>0.355747-Table668[[#This Row],[Data_Outcome11_M]]</f>
        <v>9.6218999999999999E-2</v>
      </c>
      <c r="EH209" s="151" t="s">
        <v>4467</v>
      </c>
      <c r="EI209" s="150">
        <v>0.25079299999999999</v>
      </c>
      <c r="EJ209" s="150"/>
      <c r="EK209" s="150">
        <f>0.33069-Table668[[#This Row],[Data_Outcome12_M]]</f>
        <v>7.9896999999999996E-2</v>
      </c>
      <c r="EL209" s="303" t="s">
        <v>3229</v>
      </c>
      <c r="EM209" s="303"/>
      <c r="EN209" s="279"/>
      <c r="EO209" s="150"/>
      <c r="EP209" s="150"/>
      <c r="EQ209" s="150"/>
      <c r="ER209" s="150"/>
      <c r="ES209" s="150"/>
      <c r="ET209" s="150"/>
      <c r="EU209" s="150"/>
      <c r="EV209" s="150"/>
      <c r="EW209" s="303"/>
      <c r="EX209" s="303"/>
      <c r="EY209" s="150"/>
      <c r="EZ209" s="150"/>
      <c r="FA209" s="150"/>
      <c r="FB209" s="150"/>
      <c r="FC209" s="134"/>
      <c r="FD209" s="134"/>
      <c r="FE209" s="134"/>
      <c r="FF209" s="134"/>
      <c r="FG209" s="135"/>
      <c r="FH209" s="135"/>
      <c r="FI209" s="134"/>
      <c r="FJ209" s="134"/>
      <c r="FK209" s="134"/>
      <c r="FL209" s="134"/>
      <c r="FM209" s="134"/>
      <c r="FN209" s="134"/>
      <c r="FO209" s="134"/>
      <c r="FP209" s="134"/>
      <c r="FQ209" s="135"/>
      <c r="FR209" s="135"/>
      <c r="FS209" s="134"/>
      <c r="FT209" s="134"/>
      <c r="FU209" s="134"/>
      <c r="FV209" s="134"/>
      <c r="FW209" s="134"/>
      <c r="FX209" s="134"/>
      <c r="FY209" s="134"/>
      <c r="FZ209" s="134"/>
      <c r="GA209" s="135"/>
      <c r="GB209" s="135"/>
      <c r="GC209" s="134"/>
      <c r="GD209" s="134"/>
      <c r="GE209" s="134"/>
      <c r="GF209" s="134"/>
      <c r="GG209" s="134"/>
      <c r="GH209" s="134"/>
      <c r="GI209" s="134"/>
      <c r="GJ209" s="134"/>
      <c r="GK209" s="135"/>
      <c r="GL209" s="135"/>
      <c r="GM209" s="134"/>
      <c r="GN209" s="134"/>
      <c r="GO209" s="134"/>
      <c r="GP209" s="134"/>
      <c r="GQ209" s="134"/>
      <c r="GR209" s="134"/>
      <c r="GS209" s="134"/>
      <c r="GT209" s="134"/>
      <c r="GU209" s="135"/>
      <c r="GV209" s="135"/>
      <c r="GW209" s="134"/>
      <c r="GX209" s="134"/>
      <c r="GY209" s="134"/>
      <c r="GZ209" s="134"/>
      <c r="HA209" s="134"/>
      <c r="HB209" s="134"/>
      <c r="HC209" s="134"/>
      <c r="HD209" s="134"/>
      <c r="HE209" s="135"/>
      <c r="HF209" s="135"/>
      <c r="HG209" s="134"/>
      <c r="HH209" s="134"/>
      <c r="HI209" s="134"/>
      <c r="HJ209" s="134"/>
      <c r="HK209" s="134"/>
      <c r="HL209" s="134"/>
      <c r="HM209" s="134"/>
      <c r="HN209" s="134"/>
      <c r="HO209" s="135"/>
      <c r="HP209" s="135"/>
      <c r="HQ209" s="134"/>
      <c r="HR209" s="134"/>
      <c r="HS209" s="134"/>
      <c r="HT209" s="134"/>
      <c r="HU209" s="134"/>
      <c r="HV209" s="134"/>
      <c r="HW209" s="134"/>
      <c r="HX209" s="134"/>
      <c r="HY209" s="135"/>
      <c r="HZ209" s="135"/>
      <c r="IA209" s="134"/>
      <c r="IB209" s="134"/>
      <c r="IC209" s="134"/>
      <c r="ID209" s="134"/>
      <c r="IE209" s="134"/>
      <c r="IF209" s="134"/>
      <c r="IG209" s="134"/>
      <c r="IH209" s="134"/>
      <c r="II209" s="135"/>
      <c r="IJ209" s="135"/>
      <c r="IK209" s="134"/>
      <c r="IL209" s="134"/>
      <c r="IM209" s="134"/>
      <c r="IN209" s="134"/>
      <c r="IO209" s="134"/>
      <c r="IP209" s="134"/>
      <c r="IQ209" s="134"/>
      <c r="IR209" s="134"/>
      <c r="IS209" s="135"/>
      <c r="IT209" s="135"/>
      <c r="IU209" s="134"/>
      <c r="IV209" s="134"/>
      <c r="IW209" s="134"/>
      <c r="IX209" s="134"/>
      <c r="IY209" s="134"/>
      <c r="IZ209" s="134"/>
      <c r="JA209" s="134"/>
      <c r="JB209" s="134"/>
      <c r="JC209" s="135"/>
      <c r="JD209" s="135"/>
    </row>
    <row r="210" spans="1:264" customFormat="1" ht="15" customHeight="1">
      <c r="A210" s="118" t="s">
        <v>1063</v>
      </c>
      <c r="B210" s="616">
        <v>114</v>
      </c>
      <c r="C210" s="616">
        <v>27</v>
      </c>
      <c r="D210" s="616"/>
      <c r="E210" s="605" t="s">
        <v>2071</v>
      </c>
      <c r="F210" s="140" t="s">
        <v>2323</v>
      </c>
      <c r="G210" s="141">
        <v>2012</v>
      </c>
      <c r="H210" s="118">
        <v>22701407</v>
      </c>
      <c r="I210" s="118">
        <v>1</v>
      </c>
      <c r="J210" s="118"/>
      <c r="K210" s="118"/>
      <c r="L210" s="118">
        <v>1</v>
      </c>
      <c r="M210" s="118"/>
      <c r="N210" s="118">
        <v>1</v>
      </c>
      <c r="O210" s="142">
        <v>2</v>
      </c>
      <c r="P210" s="118" t="s">
        <v>1258</v>
      </c>
      <c r="Q210" s="118" t="s">
        <v>1147</v>
      </c>
      <c r="R210" s="118" t="s">
        <v>1321</v>
      </c>
      <c r="S210" s="118"/>
      <c r="T210" s="118" t="s">
        <v>1495</v>
      </c>
      <c r="U210" s="118"/>
      <c r="V210" s="118"/>
      <c r="W210" s="118" t="s">
        <v>1681</v>
      </c>
      <c r="X210" s="118"/>
      <c r="Y210" s="118"/>
      <c r="Z210" s="118"/>
      <c r="AA210" s="118"/>
      <c r="AB210" s="118"/>
      <c r="AC210" s="145"/>
      <c r="AD210" s="573">
        <v>1</v>
      </c>
      <c r="AE210" s="573">
        <v>2</v>
      </c>
      <c r="AF210" s="159">
        <v>1</v>
      </c>
      <c r="AG210" s="160" t="s">
        <v>4474</v>
      </c>
      <c r="AH210" s="122">
        <v>4</v>
      </c>
      <c r="AI210" s="485"/>
      <c r="AJ210" s="204" t="s">
        <v>4431</v>
      </c>
      <c r="AK210" s="192" t="s">
        <v>4435</v>
      </c>
      <c r="AL210" s="205" t="s">
        <v>24</v>
      </c>
      <c r="AM210" s="122">
        <v>48</v>
      </c>
      <c r="AN210" s="122">
        <v>12</v>
      </c>
      <c r="AO210" s="122">
        <f>Table668[[#This Row],[Data_Subjects_n]]-Table668[[#This Row],[Data_Subjects_n_ptsd]]</f>
        <v>36</v>
      </c>
      <c r="AP210" s="122" t="s">
        <v>803</v>
      </c>
      <c r="AQ210" s="122" t="s">
        <v>803</v>
      </c>
      <c r="AR210" s="122" t="s">
        <v>24</v>
      </c>
      <c r="AS210" s="122" t="s">
        <v>24</v>
      </c>
      <c r="AT210" s="122" t="s">
        <v>24</v>
      </c>
      <c r="AU210" s="122" t="s">
        <v>24</v>
      </c>
      <c r="AV210" s="122" t="s">
        <v>4423</v>
      </c>
      <c r="AW210" s="122">
        <v>1</v>
      </c>
      <c r="AX210" s="122">
        <v>1</v>
      </c>
      <c r="AY210" s="122" t="s">
        <v>4422</v>
      </c>
      <c r="AZ210" s="122" t="s">
        <v>1321</v>
      </c>
      <c r="BA210" s="122" t="s">
        <v>4421</v>
      </c>
      <c r="BB210" s="588"/>
      <c r="BC210" s="588"/>
      <c r="BD210" s="161"/>
      <c r="BE210" s="161"/>
      <c r="BF210" s="161"/>
      <c r="BG210" s="161"/>
      <c r="BH210" s="161"/>
      <c r="BI210" s="161"/>
      <c r="BJ210" s="161">
        <v>1</v>
      </c>
      <c r="BK210" s="161"/>
      <c r="BL210" s="161"/>
      <c r="BM210" s="161"/>
      <c r="BN210" s="161"/>
      <c r="BO210" s="161"/>
      <c r="BP210" s="161"/>
      <c r="BQ210" s="596" t="s">
        <v>4419</v>
      </c>
      <c r="BR210" s="162" t="s">
        <v>6613</v>
      </c>
      <c r="BS210" s="660"/>
      <c r="BT210" s="150" t="s">
        <v>1876</v>
      </c>
      <c r="BU210" s="150">
        <v>2</v>
      </c>
      <c r="BV210" s="150" t="s">
        <v>4538</v>
      </c>
      <c r="BW210" s="150" t="s">
        <v>4416</v>
      </c>
      <c r="BX210" s="150" t="s">
        <v>4430</v>
      </c>
      <c r="BY210" s="150"/>
      <c r="BZ210" s="262" t="s">
        <v>4473</v>
      </c>
      <c r="CA210" s="623" t="s">
        <v>24</v>
      </c>
      <c r="CB210" s="151" t="s">
        <v>4426</v>
      </c>
      <c r="CC210" s="150">
        <v>51.940300000000001</v>
      </c>
      <c r="CD210" s="145" t="s">
        <v>3228</v>
      </c>
      <c r="CE210" s="150">
        <f>54.2346-Table668[[#This Row],[Data_Outcome1_M]]</f>
        <v>2.2942999999999998</v>
      </c>
      <c r="CF210" s="151" t="s">
        <v>4429</v>
      </c>
      <c r="CG210" s="150">
        <v>49.993899999999996</v>
      </c>
      <c r="CH210" s="150" t="s">
        <v>3228</v>
      </c>
      <c r="CI210" s="150">
        <f>54.7586-Table668[[#This Row],[Data_Outcome2_M]]</f>
        <v>4.7647000000000048</v>
      </c>
      <c r="CJ210" s="290" t="s">
        <v>4432</v>
      </c>
      <c r="CK210" s="291" t="s">
        <v>4434</v>
      </c>
      <c r="CL210" s="151" t="s">
        <v>4441</v>
      </c>
      <c r="CM210" s="150">
        <v>6.9942399999999996</v>
      </c>
      <c r="CN210" s="150"/>
      <c r="CO210" s="150">
        <f>8.4692-Table668[[#This Row],[Data_Outcome3_M]]</f>
        <v>1.4749600000000012</v>
      </c>
      <c r="CP210" s="151" t="s">
        <v>4439</v>
      </c>
      <c r="CQ210" s="150">
        <v>8.3550599999999999</v>
      </c>
      <c r="CR210" s="150"/>
      <c r="CS210" s="150">
        <f>9.00403-Table668[[#This Row],[Data_Outcome4_M]]</f>
        <v>0.64897000000000027</v>
      </c>
      <c r="CT210" s="290" t="s">
        <v>4433</v>
      </c>
      <c r="CU210" s="291"/>
      <c r="CV210" s="278"/>
      <c r="CW210" s="285"/>
      <c r="CX210" s="151" t="s">
        <v>4444</v>
      </c>
      <c r="CY210" s="150">
        <v>2.2436799999999999</v>
      </c>
      <c r="CZ210" s="150"/>
      <c r="DA210" s="150">
        <f>2.86314-Table668[[#This Row],[Data_Outcome5_M]]</f>
        <v>0.61946000000000012</v>
      </c>
      <c r="DB210" s="151" t="s">
        <v>4445</v>
      </c>
      <c r="DC210" s="150">
        <v>3.0440200000000002</v>
      </c>
      <c r="DD210" s="150"/>
      <c r="DE210" s="150">
        <f>3.63399-Table668[[#This Row],[Data_Outcome6_M]]</f>
        <v>0.58996999999999966</v>
      </c>
      <c r="DF210" s="302"/>
      <c r="DG210" s="303"/>
      <c r="DH210" s="151" t="s">
        <v>4450</v>
      </c>
      <c r="DI210" s="150">
        <v>4.76471</v>
      </c>
      <c r="DJ210" s="150"/>
      <c r="DK210" s="150">
        <f>5.55882-Table668[[#This Row],[Data_Outcome7_M]]</f>
        <v>0.79410999999999987</v>
      </c>
      <c r="DL210" s="151" t="s">
        <v>4453</v>
      </c>
      <c r="DM210" s="150">
        <v>3.5</v>
      </c>
      <c r="DN210" s="228"/>
      <c r="DO210" s="150">
        <f>3.91176-Table668[[#This Row],[Data_Outcome8_M]]</f>
        <v>0.41176000000000013</v>
      </c>
      <c r="DP210" s="302"/>
      <c r="DQ210" s="303"/>
      <c r="DR210" s="278"/>
      <c r="DS210" s="279"/>
      <c r="DT210" s="151" t="s">
        <v>4456</v>
      </c>
      <c r="DU210" s="150">
        <v>2.1764700000000001</v>
      </c>
      <c r="DV210" s="150"/>
      <c r="DW210" s="150">
        <f>2.97059-Table668[[#This Row],[Data_Outcome9_M]]</f>
        <v>0.79411999999999994</v>
      </c>
      <c r="DX210" s="151" t="s">
        <v>4459</v>
      </c>
      <c r="DY210" s="150">
        <v>1.7941199999999999</v>
      </c>
      <c r="DZ210" s="150"/>
      <c r="EA210" s="555">
        <f>2.23529-Table668[[#This Row],[Data_Outcome10_M]]</f>
        <v>0.44117000000000006</v>
      </c>
      <c r="EB210" s="303" t="s">
        <v>4461</v>
      </c>
      <c r="EC210" s="303" t="s">
        <v>4460</v>
      </c>
      <c r="ED210" s="151" t="s">
        <v>4465</v>
      </c>
      <c r="EE210" s="150">
        <v>8.1405599999999995E-2</v>
      </c>
      <c r="EF210" s="150"/>
      <c r="EG210" s="150">
        <f>0.219718-Table668[[#This Row],[Data_Outcome11_M]]</f>
        <v>0.1383124</v>
      </c>
      <c r="EH210" s="151" t="s">
        <v>4468</v>
      </c>
      <c r="EI210" s="150">
        <v>0.38624399999999998</v>
      </c>
      <c r="EJ210" s="150"/>
      <c r="EK210" s="150">
        <f>0.443802-Table668[[#This Row],[Data_Outcome12_M]]</f>
        <v>5.7557999999999998E-2</v>
      </c>
      <c r="EL210" s="303" t="s">
        <v>4470</v>
      </c>
      <c r="EM210" s="303" t="s">
        <v>4469</v>
      </c>
      <c r="EN210" s="279"/>
      <c r="EO210" s="150"/>
      <c r="EP210" s="150"/>
      <c r="EQ210" s="150"/>
      <c r="ER210" s="150"/>
      <c r="ES210" s="150"/>
      <c r="ET210" s="150"/>
      <c r="EU210" s="150"/>
      <c r="EV210" s="150"/>
      <c r="EW210" s="303"/>
      <c r="EX210" s="303"/>
      <c r="EY210" s="150"/>
      <c r="EZ210" s="150"/>
      <c r="FA210" s="150"/>
      <c r="FB210" s="150"/>
      <c r="FC210" s="134"/>
      <c r="FD210" s="134"/>
      <c r="FE210" s="134"/>
      <c r="FF210" s="134"/>
      <c r="FG210" s="135"/>
      <c r="FH210" s="135"/>
      <c r="FI210" s="134"/>
      <c r="FJ210" s="134"/>
      <c r="FK210" s="134"/>
      <c r="FL210" s="134"/>
      <c r="FM210" s="134"/>
      <c r="FN210" s="134"/>
      <c r="FO210" s="134"/>
      <c r="FP210" s="134"/>
      <c r="FQ210" s="135"/>
      <c r="FR210" s="135"/>
      <c r="FS210" s="134"/>
      <c r="FT210" s="134"/>
      <c r="FU210" s="134"/>
      <c r="FV210" s="134"/>
      <c r="FW210" s="134"/>
      <c r="FX210" s="134"/>
      <c r="FY210" s="134"/>
      <c r="FZ210" s="134"/>
      <c r="GA210" s="135"/>
      <c r="GB210" s="135"/>
      <c r="GC210" s="134"/>
      <c r="GD210" s="134"/>
      <c r="GE210" s="134"/>
      <c r="GF210" s="134"/>
      <c r="GG210" s="134"/>
      <c r="GH210" s="134"/>
      <c r="GI210" s="134"/>
      <c r="GJ210" s="134"/>
      <c r="GK210" s="135"/>
      <c r="GL210" s="135"/>
      <c r="GM210" s="134"/>
      <c r="GN210" s="134"/>
      <c r="GO210" s="134"/>
      <c r="GP210" s="134"/>
      <c r="GQ210" s="134"/>
      <c r="GR210" s="134"/>
      <c r="GS210" s="134"/>
      <c r="GT210" s="134"/>
      <c r="GU210" s="135"/>
      <c r="GV210" s="135"/>
      <c r="GW210" s="134"/>
      <c r="GX210" s="134"/>
      <c r="GY210" s="134"/>
      <c r="GZ210" s="134"/>
      <c r="HA210" s="134"/>
      <c r="HB210" s="134"/>
      <c r="HC210" s="134"/>
      <c r="HD210" s="134"/>
      <c r="HE210" s="135"/>
      <c r="HF210" s="135"/>
      <c r="HG210" s="134"/>
      <c r="HH210" s="134"/>
      <c r="HI210" s="134"/>
      <c r="HJ210" s="134"/>
      <c r="HK210" s="134"/>
      <c r="HL210" s="134"/>
      <c r="HM210" s="134"/>
      <c r="HN210" s="134"/>
      <c r="HO210" s="135"/>
      <c r="HP210" s="135"/>
      <c r="HQ210" s="134"/>
      <c r="HR210" s="134"/>
      <c r="HS210" s="134"/>
      <c r="HT210" s="134"/>
      <c r="HU210" s="134"/>
      <c r="HV210" s="134"/>
      <c r="HW210" s="134"/>
      <c r="HX210" s="134"/>
      <c r="HY210" s="135"/>
      <c r="HZ210" s="135"/>
      <c r="IA210" s="134"/>
      <c r="IB210" s="134"/>
      <c r="IC210" s="134"/>
      <c r="ID210" s="134"/>
      <c r="IE210" s="134"/>
      <c r="IF210" s="134"/>
      <c r="IG210" s="134"/>
      <c r="IH210" s="134"/>
      <c r="II210" s="135"/>
      <c r="IJ210" s="135"/>
      <c r="IK210" s="134"/>
      <c r="IL210" s="134"/>
      <c r="IM210" s="134"/>
      <c r="IN210" s="134"/>
      <c r="IO210" s="134"/>
      <c r="IP210" s="134"/>
      <c r="IQ210" s="134"/>
      <c r="IR210" s="134"/>
      <c r="IS210" s="135"/>
      <c r="IT210" s="135"/>
      <c r="IU210" s="134"/>
      <c r="IV210" s="134"/>
      <c r="IW210" s="134"/>
      <c r="IX210" s="134"/>
      <c r="IY210" s="134"/>
      <c r="IZ210" s="134"/>
      <c r="JA210" s="134"/>
      <c r="JB210" s="134"/>
      <c r="JC210" s="135"/>
      <c r="JD210" s="135"/>
    </row>
    <row r="211" spans="1:264" customFormat="1" ht="15" customHeight="1">
      <c r="A211" s="79" t="s">
        <v>1063</v>
      </c>
      <c r="B211" s="362">
        <v>114</v>
      </c>
      <c r="C211" s="362">
        <v>27</v>
      </c>
      <c r="D211" s="362"/>
      <c r="E211" s="604" t="s">
        <v>2071</v>
      </c>
      <c r="F211" s="124" t="s">
        <v>2323</v>
      </c>
      <c r="G211" s="125">
        <v>2012</v>
      </c>
      <c r="H211" s="79">
        <v>22701407</v>
      </c>
      <c r="I211" s="79">
        <v>1</v>
      </c>
      <c r="J211" s="126"/>
      <c r="K211" s="127"/>
      <c r="L211" s="79">
        <v>1</v>
      </c>
      <c r="M211" s="79"/>
      <c r="N211" s="79">
        <v>1</v>
      </c>
      <c r="O211" s="128">
        <v>2</v>
      </c>
      <c r="P211" s="79" t="s">
        <v>1258</v>
      </c>
      <c r="Q211" s="79" t="s">
        <v>1147</v>
      </c>
      <c r="R211" s="79" t="s">
        <v>1321</v>
      </c>
      <c r="S211" s="79"/>
      <c r="T211" s="79" t="s">
        <v>1495</v>
      </c>
      <c r="U211" s="79"/>
      <c r="V211" s="79"/>
      <c r="W211" s="79" t="s">
        <v>1681</v>
      </c>
      <c r="X211" s="79"/>
      <c r="Y211" s="79"/>
      <c r="Z211" s="79"/>
      <c r="AA211" s="79"/>
      <c r="AB211" s="79"/>
      <c r="AC211" s="506"/>
      <c r="AD211" s="573">
        <v>1</v>
      </c>
      <c r="AE211" s="573">
        <v>2</v>
      </c>
      <c r="AF211" s="154">
        <v>1</v>
      </c>
      <c r="AG211" s="155" t="s">
        <v>4474</v>
      </c>
      <c r="AH211" s="121">
        <v>4</v>
      </c>
      <c r="AI211" s="484"/>
      <c r="AJ211" s="202" t="s">
        <v>4431</v>
      </c>
      <c r="AK211" s="192" t="s">
        <v>4435</v>
      </c>
      <c r="AL211" s="203" t="s">
        <v>24</v>
      </c>
      <c r="AM211" s="121">
        <v>31</v>
      </c>
      <c r="AN211" s="121">
        <v>12</v>
      </c>
      <c r="AO211" s="121">
        <f>Table668[[#This Row],[Data_Subjects_n]]-Table668[[#This Row],[Data_Subjects_n_ptsd]]</f>
        <v>19</v>
      </c>
      <c r="AP211" s="121" t="s">
        <v>803</v>
      </c>
      <c r="AQ211" s="121" t="s">
        <v>803</v>
      </c>
      <c r="AR211" s="121" t="s">
        <v>24</v>
      </c>
      <c r="AS211" s="121" t="s">
        <v>24</v>
      </c>
      <c r="AT211" s="121" t="s">
        <v>24</v>
      </c>
      <c r="AU211" s="121" t="s">
        <v>24</v>
      </c>
      <c r="AV211" s="121" t="s">
        <v>4423</v>
      </c>
      <c r="AW211" s="121">
        <v>1</v>
      </c>
      <c r="AX211" s="121">
        <v>1</v>
      </c>
      <c r="AY211" s="121" t="s">
        <v>4422</v>
      </c>
      <c r="AZ211" s="121" t="s">
        <v>1321</v>
      </c>
      <c r="BA211" s="121" t="s">
        <v>4421</v>
      </c>
      <c r="BB211" s="594"/>
      <c r="BC211" s="594"/>
      <c r="BD211" s="156"/>
      <c r="BE211" s="156"/>
      <c r="BF211" s="156"/>
      <c r="BG211" s="156"/>
      <c r="BH211" s="156"/>
      <c r="BI211" s="156"/>
      <c r="BJ211" s="156">
        <v>1</v>
      </c>
      <c r="BK211" s="156"/>
      <c r="BL211" s="156"/>
      <c r="BM211" s="156"/>
      <c r="BN211" s="156"/>
      <c r="BO211" s="156"/>
      <c r="BP211" s="156"/>
      <c r="BQ211" s="595" t="s">
        <v>4417</v>
      </c>
      <c r="BR211" s="157" t="s">
        <v>6612</v>
      </c>
      <c r="BS211" s="660"/>
      <c r="BT211" s="134" t="s">
        <v>1876</v>
      </c>
      <c r="BU211" s="134">
        <v>2</v>
      </c>
      <c r="BV211" s="134" t="s">
        <v>4420</v>
      </c>
      <c r="BW211" s="134" t="s">
        <v>4416</v>
      </c>
      <c r="BX211" s="134" t="s">
        <v>4430</v>
      </c>
      <c r="BY211" s="134"/>
      <c r="BZ211" s="259" t="s">
        <v>4471</v>
      </c>
      <c r="CA211" s="454">
        <v>0</v>
      </c>
      <c r="CB211" s="138" t="s">
        <v>4424</v>
      </c>
      <c r="CC211" s="134">
        <v>41.484499999999997</v>
      </c>
      <c r="CD211" s="134" t="s">
        <v>3228</v>
      </c>
      <c r="CE211" s="134">
        <f>45.1904-Table668[[#This Row],[Data_Outcome1_M]]</f>
        <v>3.7058999999999997</v>
      </c>
      <c r="CF211" s="138" t="s">
        <v>4427</v>
      </c>
      <c r="CG211" s="134">
        <v>41.832000000000001</v>
      </c>
      <c r="CH211" s="134" t="s">
        <v>3228</v>
      </c>
      <c r="CI211" s="134">
        <f>44.6555-Table668[[#This Row],[Data_Outcome2_M]]</f>
        <v>2.8235000000000028</v>
      </c>
      <c r="CJ211" s="288" t="s">
        <v>4432</v>
      </c>
      <c r="CK211" s="404" t="s">
        <v>4434</v>
      </c>
      <c r="CL211" s="138" t="s">
        <v>4436</v>
      </c>
      <c r="CM211" s="134">
        <v>5.8052599999999996</v>
      </c>
      <c r="CN211" s="134"/>
      <c r="CO211" s="134">
        <f>8.16511-Table668[[#This Row],[Data_Outcome3_M]]</f>
        <v>2.3598500000000007</v>
      </c>
      <c r="CP211" s="138" t="s">
        <v>4437</v>
      </c>
      <c r="CQ211" s="134">
        <v>6.1040999999999999</v>
      </c>
      <c r="CR211" s="134"/>
      <c r="CS211" s="134">
        <f>7.40207-Table668[[#This Row],[Data_Outcome4_M]]</f>
        <v>1.2979700000000003</v>
      </c>
      <c r="CT211" s="288" t="s">
        <v>24</v>
      </c>
      <c r="CU211" s="289" t="s">
        <v>24</v>
      </c>
      <c r="CV211" s="276" t="s">
        <v>24</v>
      </c>
      <c r="CW211" s="308" t="s">
        <v>24</v>
      </c>
      <c r="CX211" s="138" t="s">
        <v>4442</v>
      </c>
      <c r="CY211" s="134">
        <v>2.0281799999999999</v>
      </c>
      <c r="CZ211" s="134"/>
      <c r="DA211" s="134">
        <f>3.03109-Table668[[#This Row],[Data_Outcome5_M]]</f>
        <v>1.00291</v>
      </c>
      <c r="DB211" s="138" t="s">
        <v>4446</v>
      </c>
      <c r="DC211" s="134">
        <v>3.2709000000000001</v>
      </c>
      <c r="DD211" s="134"/>
      <c r="DE211" s="134">
        <f>4.45091-Table668[[#This Row],[Data_Outcome6_M]]</f>
        <v>1.1800100000000002</v>
      </c>
      <c r="DF211" s="300" t="s">
        <v>24</v>
      </c>
      <c r="DG211" s="301" t="s">
        <v>24</v>
      </c>
      <c r="DH211" s="138" t="s">
        <v>4448</v>
      </c>
      <c r="DI211" s="134">
        <v>3.3529399999999998</v>
      </c>
      <c r="DJ211" s="134"/>
      <c r="DK211" s="134">
        <f>4.41176-Table668[[#This Row],[Data_Outcome7_M]]</f>
        <v>1.0588200000000003</v>
      </c>
      <c r="DL211" s="138" t="s">
        <v>4451</v>
      </c>
      <c r="DM211" s="134">
        <v>3.26471</v>
      </c>
      <c r="DN211" s="168"/>
      <c r="DO211" s="134">
        <f>4.32353-Table668[[#This Row],[Data_Outcome8_M]]</f>
        <v>1.0588199999999999</v>
      </c>
      <c r="DP211" s="300" t="s">
        <v>24</v>
      </c>
      <c r="DQ211" s="301" t="s">
        <v>24</v>
      </c>
      <c r="DR211" s="276" t="s">
        <v>24</v>
      </c>
      <c r="DS211" s="277" t="s">
        <v>24</v>
      </c>
      <c r="DT211" s="138" t="s">
        <v>4454</v>
      </c>
      <c r="DU211" s="134">
        <v>1.7941199999999999</v>
      </c>
      <c r="DV211" s="134"/>
      <c r="DW211" s="134">
        <f>2.29412-Table668[[#This Row],[Data_Outcome9_M]]</f>
        <v>0.5</v>
      </c>
      <c r="DX211" s="138" t="s">
        <v>4457</v>
      </c>
      <c r="DY211" s="134">
        <v>2.0588199999999999</v>
      </c>
      <c r="DZ211" s="134"/>
      <c r="EA211" s="480">
        <f>2.26471-Table668[[#This Row],[Data_Outcome10_M]]</f>
        <v>0.20589000000000013</v>
      </c>
      <c r="EB211" s="408" t="s">
        <v>4461</v>
      </c>
      <c r="EC211" s="408" t="s">
        <v>4462</v>
      </c>
      <c r="ED211" s="138" t="s">
        <v>4463</v>
      </c>
      <c r="EE211" s="134">
        <v>0.158444</v>
      </c>
      <c r="EF211" s="168"/>
      <c r="EG211" s="134">
        <f>0.352598-Table668[[#This Row],[Data_Outcome11_M]]</f>
        <v>0.19415400000000002</v>
      </c>
      <c r="EH211" s="138" t="s">
        <v>4466</v>
      </c>
      <c r="EI211" s="134">
        <v>0.326683</v>
      </c>
      <c r="EJ211" s="134"/>
      <c r="EK211" s="134">
        <f>0.495069-Table668[[#This Row],[Data_Outcome12_M]]</f>
        <v>0.16838599999999998</v>
      </c>
      <c r="EL211" s="301" t="s">
        <v>3229</v>
      </c>
      <c r="EM211" s="301"/>
      <c r="EN211" s="277"/>
      <c r="EO211" s="134"/>
      <c r="EP211" s="134"/>
      <c r="EQ211" s="134"/>
      <c r="ER211" s="134"/>
      <c r="ES211" s="134"/>
      <c r="ET211" s="134"/>
      <c r="EU211" s="134"/>
      <c r="EV211" s="134"/>
      <c r="EW211" s="301"/>
      <c r="EX211" s="301"/>
      <c r="EY211" s="134"/>
      <c r="EZ211" s="134"/>
      <c r="FA211" s="134"/>
      <c r="FB211" s="134"/>
      <c r="FC211" s="134"/>
      <c r="FD211" s="134"/>
      <c r="FE211" s="134"/>
      <c r="FF211" s="134"/>
      <c r="FG211" s="135"/>
      <c r="FH211" s="135"/>
      <c r="FI211" s="134"/>
      <c r="FJ211" s="134"/>
      <c r="FK211" s="134"/>
      <c r="FL211" s="134"/>
      <c r="FM211" s="134"/>
      <c r="FN211" s="134"/>
      <c r="FO211" s="134"/>
      <c r="FP211" s="134"/>
      <c r="FQ211" s="135"/>
      <c r="FR211" s="135"/>
      <c r="FS211" s="134"/>
      <c r="FT211" s="134"/>
      <c r="FU211" s="134"/>
      <c r="FV211" s="134"/>
      <c r="FW211" s="134"/>
      <c r="FX211" s="134"/>
      <c r="FY211" s="134"/>
      <c r="FZ211" s="134"/>
      <c r="GA211" s="135"/>
      <c r="GB211" s="135"/>
      <c r="GC211" s="134"/>
      <c r="GD211" s="134"/>
      <c r="GE211" s="134"/>
      <c r="GF211" s="134"/>
      <c r="GG211" s="134"/>
      <c r="GH211" s="134"/>
      <c r="GI211" s="134"/>
      <c r="GJ211" s="134"/>
      <c r="GK211" s="135"/>
      <c r="GL211" s="135"/>
      <c r="GM211" s="134"/>
      <c r="GN211" s="134"/>
      <c r="GO211" s="134"/>
      <c r="GP211" s="134"/>
      <c r="GQ211" s="134"/>
      <c r="GR211" s="134"/>
      <c r="GS211" s="134"/>
      <c r="GT211" s="134"/>
      <c r="GU211" s="135"/>
      <c r="GV211" s="135"/>
      <c r="GW211" s="134"/>
      <c r="GX211" s="134"/>
      <c r="GY211" s="134"/>
      <c r="GZ211" s="134"/>
      <c r="HA211" s="134"/>
      <c r="HB211" s="134"/>
      <c r="HC211" s="134"/>
      <c r="HD211" s="134"/>
      <c r="HE211" s="135"/>
      <c r="HF211" s="135"/>
      <c r="HG211" s="134"/>
      <c r="HH211" s="134"/>
      <c r="HI211" s="134"/>
      <c r="HJ211" s="134"/>
      <c r="HK211" s="134"/>
      <c r="HL211" s="134"/>
      <c r="HM211" s="134"/>
      <c r="HN211" s="134"/>
      <c r="HO211" s="135"/>
      <c r="HP211" s="135"/>
      <c r="HQ211" s="134"/>
      <c r="HR211" s="134"/>
      <c r="HS211" s="134"/>
      <c r="HT211" s="134"/>
      <c r="HU211" s="134"/>
      <c r="HV211" s="134"/>
      <c r="HW211" s="134"/>
      <c r="HX211" s="134"/>
      <c r="HY211" s="135"/>
      <c r="HZ211" s="135"/>
      <c r="IA211" s="134"/>
      <c r="IB211" s="134"/>
      <c r="IC211" s="134"/>
      <c r="ID211" s="134"/>
      <c r="IE211" s="134"/>
      <c r="IF211" s="134"/>
      <c r="IG211" s="134"/>
      <c r="IH211" s="134"/>
      <c r="II211" s="135"/>
      <c r="IJ211" s="135"/>
      <c r="IK211" s="134"/>
      <c r="IL211" s="134"/>
      <c r="IM211" s="134"/>
      <c r="IN211" s="134"/>
      <c r="IO211" s="134"/>
      <c r="IP211" s="134"/>
      <c r="IQ211" s="134"/>
      <c r="IR211" s="134"/>
      <c r="IS211" s="135"/>
      <c r="IT211" s="135"/>
      <c r="IU211" s="134"/>
      <c r="IV211" s="134"/>
      <c r="IW211" s="134"/>
      <c r="IX211" s="134"/>
      <c r="IY211" s="134"/>
      <c r="IZ211" s="134"/>
      <c r="JA211" s="134"/>
      <c r="JB211" s="134"/>
      <c r="JC211" s="135"/>
      <c r="JD211" s="135"/>
    </row>
    <row r="212" spans="1:264" customFormat="1" ht="15" customHeight="1">
      <c r="A212" s="79" t="s">
        <v>151</v>
      </c>
      <c r="B212" s="362">
        <v>115</v>
      </c>
      <c r="C212" s="362">
        <v>28</v>
      </c>
      <c r="D212" s="362"/>
      <c r="E212" s="604" t="s">
        <v>1954</v>
      </c>
      <c r="F212" s="124" t="s">
        <v>2175</v>
      </c>
      <c r="G212" s="125">
        <v>2016</v>
      </c>
      <c r="H212" s="79">
        <v>26220415</v>
      </c>
      <c r="I212" s="79">
        <v>1</v>
      </c>
      <c r="J212" s="126"/>
      <c r="K212" s="127"/>
      <c r="L212" s="79">
        <v>1</v>
      </c>
      <c r="M212" s="79"/>
      <c r="N212" s="79">
        <v>1</v>
      </c>
      <c r="O212" s="128">
        <v>1</v>
      </c>
      <c r="P212" s="79" t="s">
        <v>465</v>
      </c>
      <c r="Q212" s="79" t="s">
        <v>1153</v>
      </c>
      <c r="R212" s="79" t="s">
        <v>466</v>
      </c>
      <c r="S212" s="79">
        <v>1</v>
      </c>
      <c r="T212" s="79"/>
      <c r="U212" s="79"/>
      <c r="V212" s="79"/>
      <c r="W212" s="79" t="s">
        <v>465</v>
      </c>
      <c r="X212" s="79" t="s">
        <v>24</v>
      </c>
      <c r="Y212" s="79"/>
      <c r="Z212" s="79"/>
      <c r="AA212" s="79"/>
      <c r="AB212" s="79" t="s">
        <v>467</v>
      </c>
      <c r="AC212" s="506"/>
      <c r="AD212" s="573">
        <v>1</v>
      </c>
      <c r="AE212" s="573">
        <v>2</v>
      </c>
      <c r="AF212" s="154">
        <v>1</v>
      </c>
      <c r="AG212" s="155"/>
      <c r="AH212" s="121">
        <v>2</v>
      </c>
      <c r="AI212" s="484"/>
      <c r="AJ212" s="202" t="s">
        <v>4480</v>
      </c>
      <c r="AK212" s="192">
        <v>1</v>
      </c>
      <c r="AL212" s="203" t="s">
        <v>24</v>
      </c>
      <c r="AM212" s="121" t="s">
        <v>4477</v>
      </c>
      <c r="AN212" s="121">
        <v>55</v>
      </c>
      <c r="AO212" s="121">
        <v>33</v>
      </c>
      <c r="AP212" s="121" t="s">
        <v>803</v>
      </c>
      <c r="AQ212" s="121" t="s">
        <v>803</v>
      </c>
      <c r="AR212" s="121">
        <v>61</v>
      </c>
      <c r="AS212" s="121">
        <v>4.3</v>
      </c>
      <c r="AT212" s="121">
        <v>66.099999999999994</v>
      </c>
      <c r="AU212" s="121">
        <v>7.2</v>
      </c>
      <c r="AV212" s="121" t="s">
        <v>4475</v>
      </c>
      <c r="AW212" s="121" t="s">
        <v>24</v>
      </c>
      <c r="AX212" s="121" t="s">
        <v>24</v>
      </c>
      <c r="AY212" s="121" t="s">
        <v>4161</v>
      </c>
      <c r="AZ212" s="121" t="s">
        <v>5116</v>
      </c>
      <c r="BA212" s="121" t="s">
        <v>4476</v>
      </c>
      <c r="BB212" s="594"/>
      <c r="BC212" s="594"/>
      <c r="BD212" s="156"/>
      <c r="BE212" s="156"/>
      <c r="BF212" s="156"/>
      <c r="BG212" s="156"/>
      <c r="BH212" s="156"/>
      <c r="BI212" s="156"/>
      <c r="BJ212" s="156">
        <v>1</v>
      </c>
      <c r="BK212" s="156"/>
      <c r="BL212" s="156"/>
      <c r="BM212" s="156"/>
      <c r="BN212" s="156"/>
      <c r="BO212" s="156"/>
      <c r="BP212" s="156"/>
      <c r="BQ212" s="595" t="s">
        <v>4486</v>
      </c>
      <c r="BR212" s="157" t="s">
        <v>6609</v>
      </c>
      <c r="BS212" s="660"/>
      <c r="BT212" s="134" t="s">
        <v>1876</v>
      </c>
      <c r="BU212" s="134" t="s">
        <v>4479</v>
      </c>
      <c r="BV212" s="150" t="s">
        <v>4481</v>
      </c>
      <c r="BW212" s="134" t="s">
        <v>24</v>
      </c>
      <c r="BX212" s="134" t="s">
        <v>4482</v>
      </c>
      <c r="BY212" s="134"/>
      <c r="BZ212" s="259" t="s">
        <v>4499</v>
      </c>
      <c r="CA212" s="454">
        <v>0</v>
      </c>
      <c r="CB212" s="138" t="s">
        <v>4489</v>
      </c>
      <c r="CC212" s="134">
        <v>41.4</v>
      </c>
      <c r="CD212" s="134">
        <v>9.8000000000000007</v>
      </c>
      <c r="CE212" s="134" t="s">
        <v>24</v>
      </c>
      <c r="CF212" s="138" t="s">
        <v>4490</v>
      </c>
      <c r="CG212" s="134">
        <v>42.6</v>
      </c>
      <c r="CH212" s="134">
        <v>6.1</v>
      </c>
      <c r="CI212" s="134" t="s">
        <v>24</v>
      </c>
      <c r="CJ212" s="288" t="s">
        <v>4491</v>
      </c>
      <c r="CK212" s="289" t="s">
        <v>4494</v>
      </c>
      <c r="CL212" s="138" t="s">
        <v>4487</v>
      </c>
      <c r="CM212" s="138">
        <v>7.4</v>
      </c>
      <c r="CN212" s="134">
        <v>2.9</v>
      </c>
      <c r="CO212" s="134" t="s">
        <v>24</v>
      </c>
      <c r="CP212" s="138" t="s">
        <v>4488</v>
      </c>
      <c r="CQ212" s="134">
        <v>8.1</v>
      </c>
      <c r="CR212" s="134">
        <v>1.9</v>
      </c>
      <c r="CS212" s="134" t="s">
        <v>24</v>
      </c>
      <c r="CT212" s="288" t="s">
        <v>4492</v>
      </c>
      <c r="CU212" s="289" t="s">
        <v>4493</v>
      </c>
      <c r="CV212" s="276"/>
      <c r="CW212" s="308"/>
      <c r="CX212" s="138"/>
      <c r="CY212" s="134"/>
      <c r="CZ212" s="134"/>
      <c r="DA212" s="134"/>
      <c r="DB212" s="134"/>
      <c r="DC212" s="134"/>
      <c r="DD212" s="134"/>
      <c r="DE212" s="134"/>
      <c r="DF212" s="300"/>
      <c r="DG212" s="301"/>
      <c r="DH212" s="134"/>
      <c r="DI212" s="134"/>
      <c r="DJ212" s="134"/>
      <c r="DK212" s="134"/>
      <c r="DL212" s="134"/>
      <c r="DM212" s="134"/>
      <c r="DN212" s="134"/>
      <c r="DO212" s="134"/>
      <c r="DP212" s="300"/>
      <c r="DQ212" s="301"/>
      <c r="DR212" s="276"/>
      <c r="DS212" s="277"/>
      <c r="DT212" s="134"/>
      <c r="DU212" s="134"/>
      <c r="DV212" s="134"/>
      <c r="DW212" s="134"/>
      <c r="DX212" s="138"/>
      <c r="DY212" s="134"/>
      <c r="DZ212" s="134"/>
      <c r="EA212" s="134"/>
      <c r="EB212" s="301"/>
      <c r="EC212" s="301"/>
      <c r="ED212" s="138"/>
      <c r="EE212" s="134"/>
      <c r="EF212" s="134"/>
      <c r="EG212" s="134"/>
      <c r="EH212" s="138"/>
      <c r="EI212" s="134"/>
      <c r="EJ212" s="134"/>
      <c r="EK212" s="134"/>
      <c r="EL212" s="301"/>
      <c r="EM212" s="301"/>
      <c r="EN212" s="277"/>
      <c r="EO212" s="134"/>
      <c r="EP212" s="134"/>
      <c r="EQ212" s="134"/>
      <c r="ER212" s="134"/>
      <c r="ES212" s="134"/>
      <c r="ET212" s="134"/>
      <c r="EU212" s="134"/>
      <c r="EV212" s="134"/>
      <c r="EW212" s="301"/>
      <c r="EX212" s="301"/>
      <c r="EY212" s="134"/>
      <c r="EZ212" s="134"/>
      <c r="FA212" s="134"/>
      <c r="FB212" s="134"/>
      <c r="FC212" s="134"/>
      <c r="FD212" s="134"/>
      <c r="FE212" s="134"/>
      <c r="FF212" s="134"/>
      <c r="FG212" s="135"/>
      <c r="FH212" s="135"/>
      <c r="FI212" s="134"/>
      <c r="FJ212" s="134"/>
      <c r="FK212" s="134"/>
      <c r="FL212" s="134"/>
      <c r="FM212" s="134"/>
      <c r="FN212" s="134"/>
      <c r="FO212" s="134"/>
      <c r="FP212" s="134"/>
      <c r="FQ212" s="135"/>
      <c r="FR212" s="135"/>
      <c r="FS212" s="134"/>
      <c r="FT212" s="134"/>
      <c r="FU212" s="134"/>
      <c r="FV212" s="134"/>
      <c r="FW212" s="134"/>
      <c r="FX212" s="134"/>
      <c r="FY212" s="134"/>
      <c r="FZ212" s="134"/>
      <c r="GA212" s="135"/>
      <c r="GB212" s="135"/>
      <c r="GC212" s="134"/>
      <c r="GD212" s="134"/>
      <c r="GE212" s="134"/>
      <c r="GF212" s="134"/>
      <c r="GG212" s="134"/>
      <c r="GH212" s="134"/>
      <c r="GI212" s="134"/>
      <c r="GJ212" s="134"/>
      <c r="GK212" s="135"/>
      <c r="GL212" s="135"/>
      <c r="GM212" s="134"/>
      <c r="GN212" s="134"/>
      <c r="GO212" s="134"/>
      <c r="GP212" s="134"/>
      <c r="GQ212" s="134"/>
      <c r="GR212" s="134"/>
      <c r="GS212" s="134"/>
      <c r="GT212" s="134"/>
      <c r="GU212" s="135"/>
      <c r="GV212" s="135"/>
      <c r="GW212" s="134"/>
      <c r="GX212" s="134"/>
      <c r="GY212" s="134"/>
      <c r="GZ212" s="134"/>
      <c r="HA212" s="134"/>
      <c r="HB212" s="134"/>
      <c r="HC212" s="134"/>
      <c r="HD212" s="134"/>
      <c r="HE212" s="135"/>
      <c r="HF212" s="135"/>
      <c r="HG212" s="134"/>
      <c r="HH212" s="134"/>
      <c r="HI212" s="134"/>
      <c r="HJ212" s="134"/>
      <c r="HK212" s="134"/>
      <c r="HL212" s="134"/>
      <c r="HM212" s="134"/>
      <c r="HN212" s="134"/>
      <c r="HO212" s="135"/>
      <c r="HP212" s="135"/>
      <c r="HQ212" s="134"/>
      <c r="HR212" s="134"/>
      <c r="HS212" s="134"/>
      <c r="HT212" s="134"/>
      <c r="HU212" s="134"/>
      <c r="HV212" s="134"/>
      <c r="HW212" s="134"/>
      <c r="HX212" s="134"/>
      <c r="HY212" s="135"/>
      <c r="HZ212" s="135"/>
      <c r="IA212" s="134"/>
      <c r="IB212" s="134"/>
      <c r="IC212" s="134"/>
      <c r="ID212" s="134"/>
      <c r="IE212" s="134"/>
      <c r="IF212" s="134"/>
      <c r="IG212" s="134"/>
      <c r="IH212" s="134"/>
      <c r="II212" s="135"/>
      <c r="IJ212" s="135"/>
      <c r="IK212" s="134"/>
      <c r="IL212" s="134"/>
      <c r="IM212" s="134"/>
      <c r="IN212" s="134"/>
      <c r="IO212" s="134"/>
      <c r="IP212" s="134"/>
      <c r="IQ212" s="134"/>
      <c r="IR212" s="134"/>
      <c r="IS212" s="135"/>
      <c r="IT212" s="135"/>
      <c r="IU212" s="134"/>
      <c r="IV212" s="134"/>
      <c r="IW212" s="134"/>
      <c r="IX212" s="134"/>
      <c r="IY212" s="134"/>
      <c r="IZ212" s="134"/>
      <c r="JA212" s="134"/>
      <c r="JB212" s="134"/>
      <c r="JC212" s="135"/>
      <c r="JD212" s="135"/>
    </row>
    <row r="213" spans="1:264" customFormat="1" ht="15" customHeight="1">
      <c r="A213" s="118" t="s">
        <v>151</v>
      </c>
      <c r="B213" s="616">
        <v>115</v>
      </c>
      <c r="C213" s="616">
        <v>28</v>
      </c>
      <c r="D213" s="616"/>
      <c r="E213" s="605" t="s">
        <v>1954</v>
      </c>
      <c r="F213" s="140" t="s">
        <v>2175</v>
      </c>
      <c r="G213" s="141">
        <v>2016</v>
      </c>
      <c r="H213" s="118">
        <v>26220415</v>
      </c>
      <c r="I213" s="118">
        <v>1</v>
      </c>
      <c r="J213" s="118"/>
      <c r="K213" s="118"/>
      <c r="L213" s="118">
        <v>1</v>
      </c>
      <c r="M213" s="118"/>
      <c r="N213" s="118">
        <v>1</v>
      </c>
      <c r="O213" s="142">
        <v>1</v>
      </c>
      <c r="P213" s="118" t="s">
        <v>465</v>
      </c>
      <c r="Q213" s="118" t="s">
        <v>1153</v>
      </c>
      <c r="R213" s="118" t="s">
        <v>466</v>
      </c>
      <c r="S213" s="118">
        <v>1</v>
      </c>
      <c r="T213" s="118"/>
      <c r="U213" s="118"/>
      <c r="V213" s="118"/>
      <c r="W213" s="118" t="s">
        <v>465</v>
      </c>
      <c r="X213" s="118" t="s">
        <v>24</v>
      </c>
      <c r="Y213" s="118"/>
      <c r="Z213" s="118"/>
      <c r="AA213" s="118"/>
      <c r="AB213" s="118" t="s">
        <v>467</v>
      </c>
      <c r="AC213" s="145"/>
      <c r="AD213" s="573">
        <v>1</v>
      </c>
      <c r="AE213" s="573">
        <v>2</v>
      </c>
      <c r="AF213" s="159">
        <v>1</v>
      </c>
      <c r="AG213" s="160" t="s">
        <v>4495</v>
      </c>
      <c r="AH213" s="122">
        <v>2</v>
      </c>
      <c r="AI213" s="485"/>
      <c r="AJ213" s="204" t="s">
        <v>4480</v>
      </c>
      <c r="AK213" s="192">
        <v>1</v>
      </c>
      <c r="AL213" s="205" t="s">
        <v>24</v>
      </c>
      <c r="AM213" s="122" t="s">
        <v>4477</v>
      </c>
      <c r="AN213" s="122">
        <v>55</v>
      </c>
      <c r="AO213" s="122">
        <v>33</v>
      </c>
      <c r="AP213" s="122" t="s">
        <v>803</v>
      </c>
      <c r="AQ213" s="122" t="s">
        <v>803</v>
      </c>
      <c r="AR213" s="122">
        <v>61</v>
      </c>
      <c r="AS213" s="122">
        <v>4.3</v>
      </c>
      <c r="AT213" s="122">
        <v>66.099999999999994</v>
      </c>
      <c r="AU213" s="122">
        <v>7.2</v>
      </c>
      <c r="AV213" s="122" t="s">
        <v>4475</v>
      </c>
      <c r="AW213" s="122" t="s">
        <v>24</v>
      </c>
      <c r="AX213" s="122" t="s">
        <v>24</v>
      </c>
      <c r="AY213" s="122" t="s">
        <v>4161</v>
      </c>
      <c r="AZ213" s="121" t="s">
        <v>5116</v>
      </c>
      <c r="BA213" s="122" t="s">
        <v>4476</v>
      </c>
      <c r="BB213" s="588"/>
      <c r="BC213" s="588"/>
      <c r="BD213" s="161"/>
      <c r="BE213" s="161"/>
      <c r="BF213" s="161"/>
      <c r="BG213" s="161"/>
      <c r="BH213" s="161"/>
      <c r="BI213" s="161">
        <v>1</v>
      </c>
      <c r="BJ213" s="161"/>
      <c r="BK213" s="161"/>
      <c r="BL213" s="161"/>
      <c r="BM213" s="161"/>
      <c r="BN213" s="161"/>
      <c r="BO213" s="161"/>
      <c r="BP213" s="161"/>
      <c r="BQ213" s="596" t="s">
        <v>4002</v>
      </c>
      <c r="BR213" s="162"/>
      <c r="BS213" s="660"/>
      <c r="BT213" s="150" t="s">
        <v>1876</v>
      </c>
      <c r="BU213" s="150" t="s">
        <v>4479</v>
      </c>
      <c r="BV213" s="150" t="s">
        <v>4483</v>
      </c>
      <c r="BW213" s="150" t="s">
        <v>24</v>
      </c>
      <c r="BX213" s="477" t="s">
        <v>4484</v>
      </c>
      <c r="BY213" s="477"/>
      <c r="BZ213" s="258" t="s">
        <v>4503</v>
      </c>
      <c r="CA213" s="257"/>
      <c r="CB213" s="151"/>
      <c r="CC213" s="150"/>
      <c r="CD213" s="150"/>
      <c r="CE213" s="150"/>
      <c r="CF213" s="151"/>
      <c r="CG213" s="150"/>
      <c r="CH213" s="150"/>
      <c r="CI213" s="150"/>
      <c r="CJ213" s="290"/>
      <c r="CK213" s="291"/>
      <c r="CL213" s="151"/>
      <c r="CM213" s="150"/>
      <c r="CN213" s="150"/>
      <c r="CO213" s="150"/>
      <c r="CP213" s="151"/>
      <c r="CQ213" s="150"/>
      <c r="CR213" s="150"/>
      <c r="CS213" s="150"/>
      <c r="CT213" s="290"/>
      <c r="CU213" s="291"/>
      <c r="CV213" s="278"/>
      <c r="CW213" s="285"/>
      <c r="CX213" s="151"/>
      <c r="CY213" s="150"/>
      <c r="CZ213" s="150"/>
      <c r="DA213" s="150"/>
      <c r="DB213" s="150"/>
      <c r="DC213" s="150"/>
      <c r="DD213" s="150"/>
      <c r="DE213" s="150"/>
      <c r="DF213" s="302"/>
      <c r="DG213" s="303"/>
      <c r="DH213" s="150"/>
      <c r="DI213" s="150"/>
      <c r="DJ213" s="150"/>
      <c r="DK213" s="150"/>
      <c r="DL213" s="150"/>
      <c r="DM213" s="150"/>
      <c r="DN213" s="150"/>
      <c r="DO213" s="150"/>
      <c r="DP213" s="302"/>
      <c r="DQ213" s="303"/>
      <c r="DR213" s="278"/>
      <c r="DS213" s="279"/>
      <c r="DT213" s="150"/>
      <c r="DU213" s="150"/>
      <c r="DV213" s="150"/>
      <c r="DW213" s="150"/>
      <c r="DX213" s="151"/>
      <c r="DY213" s="150"/>
      <c r="DZ213" s="150"/>
      <c r="EA213" s="150"/>
      <c r="EB213" s="303"/>
      <c r="EC213" s="303"/>
      <c r="ED213" s="151"/>
      <c r="EE213" s="150"/>
      <c r="EF213" s="150"/>
      <c r="EG213" s="150"/>
      <c r="EH213" s="151"/>
      <c r="EI213" s="150"/>
      <c r="EJ213" s="150"/>
      <c r="EK213" s="150"/>
      <c r="EL213" s="303"/>
      <c r="EM213" s="303"/>
      <c r="EN213" s="279"/>
      <c r="EO213" s="150"/>
      <c r="EP213" s="150"/>
      <c r="EQ213" s="150"/>
      <c r="ER213" s="150"/>
      <c r="ES213" s="150"/>
      <c r="ET213" s="150"/>
      <c r="EU213" s="150"/>
      <c r="EV213" s="150"/>
      <c r="EW213" s="303"/>
      <c r="EX213" s="303"/>
      <c r="EY213" s="150"/>
      <c r="EZ213" s="150"/>
      <c r="FA213" s="150"/>
      <c r="FB213" s="150"/>
      <c r="FC213" s="134"/>
      <c r="FD213" s="134"/>
      <c r="FE213" s="134"/>
      <c r="FF213" s="134"/>
      <c r="FG213" s="135"/>
      <c r="FH213" s="135"/>
      <c r="FI213" s="134"/>
      <c r="FJ213" s="134"/>
      <c r="FK213" s="134"/>
      <c r="FL213" s="134"/>
      <c r="FM213" s="134"/>
      <c r="FN213" s="134"/>
      <c r="FO213" s="134"/>
      <c r="FP213" s="134"/>
      <c r="FQ213" s="135"/>
      <c r="FR213" s="135"/>
      <c r="FS213" s="134"/>
      <c r="FT213" s="134"/>
      <c r="FU213" s="134"/>
      <c r="FV213" s="134"/>
      <c r="FW213" s="134"/>
      <c r="FX213" s="134"/>
      <c r="FY213" s="134"/>
      <c r="FZ213" s="134"/>
      <c r="GA213" s="135"/>
      <c r="GB213" s="135"/>
      <c r="GC213" s="134"/>
      <c r="GD213" s="134"/>
      <c r="GE213" s="134"/>
      <c r="GF213" s="134"/>
      <c r="GG213" s="134"/>
      <c r="GH213" s="134"/>
      <c r="GI213" s="134"/>
      <c r="GJ213" s="134"/>
      <c r="GK213" s="135"/>
      <c r="GL213" s="135"/>
      <c r="GM213" s="134"/>
      <c r="GN213" s="134"/>
      <c r="GO213" s="134"/>
      <c r="GP213" s="134"/>
      <c r="GQ213" s="134"/>
      <c r="GR213" s="134"/>
      <c r="GS213" s="134"/>
      <c r="GT213" s="134"/>
      <c r="GU213" s="135"/>
      <c r="GV213" s="135"/>
      <c r="GW213" s="134"/>
      <c r="GX213" s="134"/>
      <c r="GY213" s="134"/>
      <c r="GZ213" s="134"/>
      <c r="HA213" s="134"/>
      <c r="HB213" s="134"/>
      <c r="HC213" s="134"/>
      <c r="HD213" s="134"/>
      <c r="HE213" s="135"/>
      <c r="HF213" s="135"/>
      <c r="HG213" s="134"/>
      <c r="HH213" s="134"/>
      <c r="HI213" s="134"/>
      <c r="HJ213" s="134"/>
      <c r="HK213" s="134"/>
      <c r="HL213" s="134"/>
      <c r="HM213" s="134"/>
      <c r="HN213" s="134"/>
      <c r="HO213" s="135"/>
      <c r="HP213" s="135"/>
      <c r="HQ213" s="134"/>
      <c r="HR213" s="134"/>
      <c r="HS213" s="134"/>
      <c r="HT213" s="134"/>
      <c r="HU213" s="134"/>
      <c r="HV213" s="134"/>
      <c r="HW213" s="134"/>
      <c r="HX213" s="134"/>
      <c r="HY213" s="135"/>
      <c r="HZ213" s="135"/>
      <c r="IA213" s="134"/>
      <c r="IB213" s="134"/>
      <c r="IC213" s="134"/>
      <c r="ID213" s="134"/>
      <c r="IE213" s="134"/>
      <c r="IF213" s="134"/>
      <c r="IG213" s="134"/>
      <c r="IH213" s="134"/>
      <c r="II213" s="135"/>
      <c r="IJ213" s="135"/>
      <c r="IK213" s="134"/>
      <c r="IL213" s="134"/>
      <c r="IM213" s="134"/>
      <c r="IN213" s="134"/>
      <c r="IO213" s="134"/>
      <c r="IP213" s="134"/>
      <c r="IQ213" s="134"/>
      <c r="IR213" s="134"/>
      <c r="IS213" s="135"/>
      <c r="IT213" s="135"/>
      <c r="IU213" s="134"/>
      <c r="IV213" s="134"/>
      <c r="IW213" s="134"/>
      <c r="IX213" s="134"/>
      <c r="IY213" s="134"/>
      <c r="IZ213" s="134"/>
      <c r="JA213" s="134"/>
      <c r="JB213" s="134"/>
      <c r="JC213" s="135"/>
      <c r="JD213" s="135"/>
    </row>
    <row r="214" spans="1:264" customFormat="1" ht="15" customHeight="1">
      <c r="A214" s="118" t="s">
        <v>151</v>
      </c>
      <c r="B214" s="616">
        <v>115</v>
      </c>
      <c r="C214" s="616">
        <v>28</v>
      </c>
      <c r="D214" s="616"/>
      <c r="E214" s="605" t="s">
        <v>1954</v>
      </c>
      <c r="F214" s="140" t="s">
        <v>2175</v>
      </c>
      <c r="G214" s="141">
        <v>2016</v>
      </c>
      <c r="H214" s="118">
        <v>26220415</v>
      </c>
      <c r="I214" s="118">
        <v>1</v>
      </c>
      <c r="J214" s="118"/>
      <c r="K214" s="118"/>
      <c r="L214" s="118">
        <v>1</v>
      </c>
      <c r="M214" s="118"/>
      <c r="N214" s="118">
        <v>1</v>
      </c>
      <c r="O214" s="142">
        <v>1</v>
      </c>
      <c r="P214" s="118" t="s">
        <v>465</v>
      </c>
      <c r="Q214" s="118" t="s">
        <v>1153</v>
      </c>
      <c r="R214" s="118" t="s">
        <v>466</v>
      </c>
      <c r="S214" s="118">
        <v>1</v>
      </c>
      <c r="T214" s="118"/>
      <c r="U214" s="118"/>
      <c r="V214" s="118"/>
      <c r="W214" s="118" t="s">
        <v>465</v>
      </c>
      <c r="X214" s="118" t="s">
        <v>24</v>
      </c>
      <c r="Y214" s="118"/>
      <c r="Z214" s="118"/>
      <c r="AA214" s="118"/>
      <c r="AB214" s="118" t="s">
        <v>467</v>
      </c>
      <c r="AC214" s="145"/>
      <c r="AD214" s="573">
        <v>1</v>
      </c>
      <c r="AE214" s="573">
        <v>2</v>
      </c>
      <c r="AF214" s="159">
        <v>1</v>
      </c>
      <c r="AG214" s="160"/>
      <c r="AH214" s="122">
        <v>2</v>
      </c>
      <c r="AI214" s="485"/>
      <c r="AJ214" s="204" t="s">
        <v>4480</v>
      </c>
      <c r="AK214" s="192">
        <v>1</v>
      </c>
      <c r="AL214" s="205" t="s">
        <v>24</v>
      </c>
      <c r="AM214" s="122" t="s">
        <v>4477</v>
      </c>
      <c r="AN214" s="122">
        <v>55</v>
      </c>
      <c r="AO214" s="122">
        <v>33</v>
      </c>
      <c r="AP214" s="122" t="s">
        <v>803</v>
      </c>
      <c r="AQ214" s="122" t="s">
        <v>803</v>
      </c>
      <c r="AR214" s="122">
        <v>61</v>
      </c>
      <c r="AS214" s="122">
        <v>4.3</v>
      </c>
      <c r="AT214" s="122">
        <v>66.099999999999994</v>
      </c>
      <c r="AU214" s="122">
        <v>7.2</v>
      </c>
      <c r="AV214" s="122" t="s">
        <v>4475</v>
      </c>
      <c r="AW214" s="122" t="s">
        <v>24</v>
      </c>
      <c r="AX214" s="122" t="s">
        <v>24</v>
      </c>
      <c r="AY214" s="122" t="s">
        <v>4161</v>
      </c>
      <c r="AZ214" s="121" t="s">
        <v>5116</v>
      </c>
      <c r="BA214" s="122" t="s">
        <v>4476</v>
      </c>
      <c r="BB214" s="588"/>
      <c r="BC214" s="588"/>
      <c r="BD214" s="161"/>
      <c r="BE214" s="161"/>
      <c r="BF214" s="161"/>
      <c r="BG214" s="161"/>
      <c r="BH214" s="161"/>
      <c r="BI214" s="161"/>
      <c r="BJ214" s="161"/>
      <c r="BK214" s="161"/>
      <c r="BL214" s="161" t="s">
        <v>1917</v>
      </c>
      <c r="BM214" s="161"/>
      <c r="BN214" s="161"/>
      <c r="BO214" s="161"/>
      <c r="BP214" s="161"/>
      <c r="BQ214" s="596" t="s">
        <v>4478</v>
      </c>
      <c r="BR214" s="162"/>
      <c r="BS214" s="660"/>
      <c r="BT214" s="150" t="s">
        <v>1876</v>
      </c>
      <c r="BU214" s="150" t="s">
        <v>4479</v>
      </c>
      <c r="BV214" s="228" t="s">
        <v>4485</v>
      </c>
      <c r="BW214" s="150" t="s">
        <v>24</v>
      </c>
      <c r="BX214" s="150" t="s">
        <v>4496</v>
      </c>
      <c r="BY214" s="150"/>
      <c r="BZ214" s="258" t="s">
        <v>4502</v>
      </c>
      <c r="CA214" s="257"/>
      <c r="CB214" s="151" t="s">
        <v>4497</v>
      </c>
      <c r="CC214" s="150">
        <v>57</v>
      </c>
      <c r="CD214" s="150">
        <v>13.7</v>
      </c>
      <c r="CE214" s="150" t="s">
        <v>24</v>
      </c>
      <c r="CF214" s="151" t="s">
        <v>4498</v>
      </c>
      <c r="CG214" s="150">
        <v>63.3</v>
      </c>
      <c r="CH214" s="150">
        <v>14.6</v>
      </c>
      <c r="CI214" s="150" t="s">
        <v>24</v>
      </c>
      <c r="CJ214" s="290" t="s">
        <v>4500</v>
      </c>
      <c r="CK214" s="291" t="s">
        <v>4501</v>
      </c>
      <c r="CL214" s="151"/>
      <c r="CM214" s="150"/>
      <c r="CN214" s="150"/>
      <c r="CO214" s="150"/>
      <c r="CP214" s="151"/>
      <c r="CQ214" s="150"/>
      <c r="CR214" s="150"/>
      <c r="CS214" s="150"/>
      <c r="CT214" s="290"/>
      <c r="CU214" s="291"/>
      <c r="CV214" s="278"/>
      <c r="CW214" s="285"/>
      <c r="CX214" s="151"/>
      <c r="CY214" s="150"/>
      <c r="CZ214" s="150"/>
      <c r="DA214" s="150"/>
      <c r="DB214" s="150"/>
      <c r="DC214" s="150"/>
      <c r="DD214" s="150"/>
      <c r="DE214" s="150"/>
      <c r="DF214" s="302"/>
      <c r="DG214" s="303"/>
      <c r="DH214" s="150"/>
      <c r="DI214" s="150"/>
      <c r="DJ214" s="150"/>
      <c r="DK214" s="150"/>
      <c r="DL214" s="150"/>
      <c r="DM214" s="150"/>
      <c r="DN214" s="150"/>
      <c r="DO214" s="150"/>
      <c r="DP214" s="302"/>
      <c r="DQ214" s="303"/>
      <c r="DR214" s="278"/>
      <c r="DS214" s="279"/>
      <c r="DT214" s="150"/>
      <c r="DU214" s="150"/>
      <c r="DV214" s="150"/>
      <c r="DW214" s="150"/>
      <c r="DX214" s="151"/>
      <c r="DY214" s="150"/>
      <c r="DZ214" s="150"/>
      <c r="EA214" s="150"/>
      <c r="EB214" s="303"/>
      <c r="EC214" s="303"/>
      <c r="ED214" s="151"/>
      <c r="EE214" s="150"/>
      <c r="EF214" s="150"/>
      <c r="EG214" s="150"/>
      <c r="EH214" s="151"/>
      <c r="EI214" s="150"/>
      <c r="EJ214" s="150"/>
      <c r="EK214" s="150"/>
      <c r="EL214" s="303"/>
      <c r="EM214" s="303"/>
      <c r="EN214" s="279"/>
      <c r="EO214" s="150"/>
      <c r="EP214" s="150"/>
      <c r="EQ214" s="150"/>
      <c r="ER214" s="150"/>
      <c r="ES214" s="150"/>
      <c r="ET214" s="150"/>
      <c r="EU214" s="150"/>
      <c r="EV214" s="150"/>
      <c r="EW214" s="303"/>
      <c r="EX214" s="303"/>
      <c r="EY214" s="150"/>
      <c r="EZ214" s="150"/>
      <c r="FA214" s="150"/>
      <c r="FB214" s="150"/>
      <c r="FC214" s="134"/>
      <c r="FD214" s="134"/>
      <c r="FE214" s="134"/>
      <c r="FF214" s="134"/>
      <c r="FG214" s="135"/>
      <c r="FH214" s="135"/>
      <c r="FI214" s="134"/>
      <c r="FJ214" s="134"/>
      <c r="FK214" s="134"/>
      <c r="FL214" s="134"/>
      <c r="FM214" s="134"/>
      <c r="FN214" s="134"/>
      <c r="FO214" s="134"/>
      <c r="FP214" s="134"/>
      <c r="FQ214" s="135"/>
      <c r="FR214" s="135"/>
      <c r="FS214" s="134"/>
      <c r="FT214" s="134"/>
      <c r="FU214" s="134"/>
      <c r="FV214" s="134"/>
      <c r="FW214" s="134"/>
      <c r="FX214" s="134"/>
      <c r="FY214" s="134"/>
      <c r="FZ214" s="134"/>
      <c r="GA214" s="135"/>
      <c r="GB214" s="135"/>
      <c r="GC214" s="134"/>
      <c r="GD214" s="134"/>
      <c r="GE214" s="134"/>
      <c r="GF214" s="134"/>
      <c r="GG214" s="134"/>
      <c r="GH214" s="134"/>
      <c r="GI214" s="134"/>
      <c r="GJ214" s="134"/>
      <c r="GK214" s="135"/>
      <c r="GL214" s="135"/>
      <c r="GM214" s="134"/>
      <c r="GN214" s="134"/>
      <c r="GO214" s="134"/>
      <c r="GP214" s="134"/>
      <c r="GQ214" s="134"/>
      <c r="GR214" s="134"/>
      <c r="GS214" s="134"/>
      <c r="GT214" s="134"/>
      <c r="GU214" s="135"/>
      <c r="GV214" s="135"/>
      <c r="GW214" s="134"/>
      <c r="GX214" s="134"/>
      <c r="GY214" s="134"/>
      <c r="GZ214" s="134"/>
      <c r="HA214" s="134"/>
      <c r="HB214" s="134"/>
      <c r="HC214" s="134"/>
      <c r="HD214" s="134"/>
      <c r="HE214" s="135"/>
      <c r="HF214" s="135"/>
      <c r="HG214" s="134"/>
      <c r="HH214" s="134"/>
      <c r="HI214" s="134"/>
      <c r="HJ214" s="134"/>
      <c r="HK214" s="134"/>
      <c r="HL214" s="134"/>
      <c r="HM214" s="134"/>
      <c r="HN214" s="134"/>
      <c r="HO214" s="135"/>
      <c r="HP214" s="135"/>
      <c r="HQ214" s="134"/>
      <c r="HR214" s="134"/>
      <c r="HS214" s="134"/>
      <c r="HT214" s="134"/>
      <c r="HU214" s="134"/>
      <c r="HV214" s="134"/>
      <c r="HW214" s="134"/>
      <c r="HX214" s="134"/>
      <c r="HY214" s="135"/>
      <c r="HZ214" s="135"/>
      <c r="IA214" s="134"/>
      <c r="IB214" s="134"/>
      <c r="IC214" s="134"/>
      <c r="ID214" s="134"/>
      <c r="IE214" s="134"/>
      <c r="IF214" s="134"/>
      <c r="IG214" s="134"/>
      <c r="IH214" s="134"/>
      <c r="II214" s="135"/>
      <c r="IJ214" s="135"/>
      <c r="IK214" s="134"/>
      <c r="IL214" s="134"/>
      <c r="IM214" s="134"/>
      <c r="IN214" s="134"/>
      <c r="IO214" s="134"/>
      <c r="IP214" s="134"/>
      <c r="IQ214" s="134"/>
      <c r="IR214" s="134"/>
      <c r="IS214" s="135"/>
      <c r="IT214" s="135"/>
      <c r="IU214" s="134"/>
      <c r="IV214" s="134"/>
      <c r="IW214" s="134"/>
      <c r="IX214" s="134"/>
      <c r="IY214" s="134"/>
      <c r="IZ214" s="134"/>
      <c r="JA214" s="134"/>
      <c r="JB214" s="134"/>
      <c r="JC214" s="135"/>
      <c r="JD214" s="135"/>
    </row>
    <row r="215" spans="1:264" customFormat="1" ht="15" customHeight="1">
      <c r="A215" s="118" t="s">
        <v>152</v>
      </c>
      <c r="B215" s="614">
        <v>3</v>
      </c>
      <c r="C215" s="614"/>
      <c r="D215" s="614"/>
      <c r="E215" s="605" t="s">
        <v>1955</v>
      </c>
      <c r="F215" s="140" t="s">
        <v>2176</v>
      </c>
      <c r="G215" s="141">
        <v>1999</v>
      </c>
      <c r="H215" s="118">
        <v>10066999</v>
      </c>
      <c r="I215" s="118">
        <v>1</v>
      </c>
      <c r="J215" s="118"/>
      <c r="K215" s="118"/>
      <c r="L215" s="118">
        <v>1</v>
      </c>
      <c r="M215" s="118"/>
      <c r="N215" s="118">
        <v>1</v>
      </c>
      <c r="O215" s="142">
        <v>1</v>
      </c>
      <c r="P215" s="118" t="s">
        <v>11</v>
      </c>
      <c r="Q215" s="118" t="s">
        <v>1162</v>
      </c>
      <c r="R215" s="118" t="s">
        <v>25</v>
      </c>
      <c r="S215" s="118">
        <v>1</v>
      </c>
      <c r="T215" s="118"/>
      <c r="U215" s="118"/>
      <c r="V215" s="118"/>
      <c r="W215" s="118" t="s">
        <v>11</v>
      </c>
      <c r="X215" s="118" t="s">
        <v>24</v>
      </c>
      <c r="Y215" s="118" t="s">
        <v>13</v>
      </c>
      <c r="Z215" s="118"/>
      <c r="AA215" s="118"/>
      <c r="AB215" s="118"/>
      <c r="AC215" s="145"/>
      <c r="AD215" s="573">
        <v>1</v>
      </c>
      <c r="AE215" s="573">
        <v>2</v>
      </c>
      <c r="AF215" s="143">
        <v>1</v>
      </c>
      <c r="AG215" s="144" t="s">
        <v>24</v>
      </c>
      <c r="AH215" s="145">
        <v>2</v>
      </c>
      <c r="AI215" s="488"/>
      <c r="AJ215" s="200"/>
      <c r="AK215" s="192">
        <v>1</v>
      </c>
      <c r="AL215" s="201"/>
      <c r="AM215" s="146">
        <v>24</v>
      </c>
      <c r="AN215" s="146">
        <v>12</v>
      </c>
      <c r="AO215" s="146">
        <v>12</v>
      </c>
      <c r="AP215" s="146" t="s">
        <v>803</v>
      </c>
      <c r="AQ215" s="146" t="s">
        <v>803</v>
      </c>
      <c r="AR215" s="146">
        <v>33.6</v>
      </c>
      <c r="AS215" s="146">
        <v>6.2</v>
      </c>
      <c r="AT215" s="146">
        <v>38.4</v>
      </c>
      <c r="AU215" s="146">
        <v>11.7</v>
      </c>
      <c r="AV215" s="146" t="s">
        <v>1874</v>
      </c>
      <c r="AW215" s="146" t="s">
        <v>24</v>
      </c>
      <c r="AX215" s="146" t="s">
        <v>24</v>
      </c>
      <c r="AY215" s="146" t="s">
        <v>2423</v>
      </c>
      <c r="AZ215" s="146" t="s">
        <v>2605</v>
      </c>
      <c r="BA215" s="146" t="s">
        <v>1875</v>
      </c>
      <c r="BB215" s="592"/>
      <c r="BC215" s="592"/>
      <c r="BD215" s="147">
        <v>1</v>
      </c>
      <c r="BE215" s="147"/>
      <c r="BF215" s="147"/>
      <c r="BG215" s="147"/>
      <c r="BH215" s="147"/>
      <c r="BI215" s="147"/>
      <c r="BJ215" s="147"/>
      <c r="BK215" s="147"/>
      <c r="BL215" s="147"/>
      <c r="BM215" s="147"/>
      <c r="BN215" s="147"/>
      <c r="BO215" s="147"/>
      <c r="BP215" s="147"/>
      <c r="BQ215" s="593" t="s">
        <v>2529</v>
      </c>
      <c r="BR215" s="148" t="s">
        <v>6597</v>
      </c>
      <c r="BS215" s="661"/>
      <c r="BT215" s="253" t="s">
        <v>1876</v>
      </c>
      <c r="BU215" s="253">
        <v>2</v>
      </c>
      <c r="BV215" s="253" t="s">
        <v>1488</v>
      </c>
      <c r="BW215" s="253" t="s">
        <v>2470</v>
      </c>
      <c r="BX215" s="150" t="s">
        <v>2400</v>
      </c>
      <c r="BY215" s="150" t="s">
        <v>6638</v>
      </c>
      <c r="BZ215" s="258" t="s">
        <v>2532</v>
      </c>
      <c r="CA215" s="257">
        <v>0</v>
      </c>
      <c r="CB215" s="151" t="s">
        <v>2452</v>
      </c>
      <c r="CC215" s="150">
        <f>AVERAGE(274.57947, 212.49274, 247.73543)</f>
        <v>244.93588</v>
      </c>
      <c r="CD215" s="150">
        <f>STDEV(274.57947, 212.49274, 247.73543)</f>
        <v>31.137896856966954</v>
      </c>
      <c r="CE215" s="150" t="s">
        <v>24</v>
      </c>
      <c r="CF215" s="151" t="s">
        <v>2453</v>
      </c>
      <c r="CG215" s="150">
        <f>AVERAGE(219.72,229.35,194.98)</f>
        <v>214.68333333333331</v>
      </c>
      <c r="CH215" s="150">
        <f>STDEV(219.72,229.35,194.98)</f>
        <v>17.729924797734856</v>
      </c>
      <c r="CI215" s="150" t="s">
        <v>24</v>
      </c>
      <c r="CJ215" s="290" t="s">
        <v>24</v>
      </c>
      <c r="CK215" s="291"/>
      <c r="CL215" s="151" t="s">
        <v>2454</v>
      </c>
      <c r="CM215" s="150">
        <f>AVERAGE(153.23897, 157.82425, 154.38579)</f>
        <v>155.14966999999999</v>
      </c>
      <c r="CN215" s="150">
        <f>STDEV(153.23897, 157.82425, 154.38579)</f>
        <v>2.3861753205496106</v>
      </c>
      <c r="CO215" s="150" t="s">
        <v>24</v>
      </c>
      <c r="CP215" s="151" t="s">
        <v>2455</v>
      </c>
      <c r="CQ215" s="150">
        <f>AVERAGE(243.01,198.31,196.28)</f>
        <v>212.53333333333333</v>
      </c>
      <c r="CR215" s="150">
        <f>STDEV(243.01,198.31,196.28)</f>
        <v>26.41307693801194</v>
      </c>
      <c r="CS215" s="150" t="s">
        <v>24</v>
      </c>
      <c r="CT215" s="290" t="s">
        <v>24</v>
      </c>
      <c r="CU215" s="291"/>
      <c r="CV215" s="278"/>
      <c r="CW215" s="285"/>
      <c r="CX215" s="151" t="s">
        <v>24</v>
      </c>
      <c r="CY215" s="150"/>
      <c r="CZ215" s="150"/>
      <c r="DA215" s="150"/>
      <c r="DB215" s="151"/>
      <c r="DC215" s="150"/>
      <c r="DD215" s="150"/>
      <c r="DE215" s="150"/>
      <c r="DF215" s="302"/>
      <c r="DG215" s="303"/>
      <c r="DH215" s="151"/>
      <c r="DI215" s="150"/>
      <c r="DJ215" s="150"/>
      <c r="DK215" s="150"/>
      <c r="DL215" s="151"/>
      <c r="DM215" s="150"/>
      <c r="DN215" s="150"/>
      <c r="DO215" s="150"/>
      <c r="DP215" s="302"/>
      <c r="DQ215" s="303"/>
      <c r="DR215" s="278"/>
      <c r="DS215" s="279"/>
      <c r="DT215" s="150"/>
      <c r="DU215" s="150"/>
      <c r="DV215" s="150"/>
      <c r="DW215" s="150"/>
      <c r="DX215" s="151"/>
      <c r="DY215" s="150"/>
      <c r="DZ215" s="150"/>
      <c r="EA215" s="150"/>
      <c r="EB215" s="303"/>
      <c r="EC215" s="303"/>
      <c r="ED215" s="151"/>
      <c r="EE215" s="150"/>
      <c r="EF215" s="150"/>
      <c r="EG215" s="150"/>
      <c r="EH215" s="151"/>
      <c r="EI215" s="150"/>
      <c r="EJ215" s="150"/>
      <c r="EK215" s="150"/>
      <c r="EL215" s="303"/>
      <c r="EM215" s="303"/>
      <c r="EN215" s="279"/>
      <c r="EO215" s="150"/>
      <c r="EP215" s="150"/>
      <c r="EQ215" s="150"/>
      <c r="ER215" s="150"/>
      <c r="ES215" s="150"/>
      <c r="ET215" s="150"/>
      <c r="EU215" s="150"/>
      <c r="EV215" s="150"/>
      <c r="EW215" s="303"/>
      <c r="EX215" s="303"/>
      <c r="EY215" s="150"/>
      <c r="EZ215" s="150"/>
      <c r="FA215" s="150"/>
      <c r="FB215" s="150"/>
      <c r="FC215" s="134"/>
      <c r="FD215" s="134"/>
      <c r="FE215" s="134"/>
      <c r="FF215" s="134"/>
      <c r="FG215" s="135"/>
      <c r="FH215" s="135"/>
      <c r="FI215" s="134"/>
      <c r="FJ215" s="134"/>
      <c r="FK215" s="134"/>
      <c r="FL215" s="134"/>
      <c r="FM215" s="134"/>
      <c r="FN215" s="134"/>
      <c r="FO215" s="134"/>
      <c r="FP215" s="134"/>
      <c r="FQ215" s="135"/>
      <c r="FR215" s="135"/>
      <c r="FS215" s="134"/>
      <c r="FT215" s="134"/>
      <c r="FU215" s="134"/>
      <c r="FV215" s="134"/>
      <c r="FW215" s="134"/>
      <c r="FX215" s="134"/>
      <c r="FY215" s="134"/>
      <c r="FZ215" s="134"/>
      <c r="GA215" s="135"/>
      <c r="GB215" s="135"/>
      <c r="GC215" s="134"/>
      <c r="GD215" s="134"/>
      <c r="GE215" s="134"/>
      <c r="GF215" s="134"/>
      <c r="GG215" s="134"/>
      <c r="GH215" s="134"/>
      <c r="GI215" s="134"/>
      <c r="GJ215" s="134"/>
      <c r="GK215" s="135"/>
      <c r="GL215" s="135"/>
      <c r="GM215" s="134"/>
      <c r="GN215" s="134"/>
      <c r="GO215" s="134"/>
      <c r="GP215" s="134"/>
      <c r="GQ215" s="134"/>
      <c r="GR215" s="134"/>
      <c r="GS215" s="134"/>
      <c r="GT215" s="134"/>
      <c r="GU215" s="135"/>
      <c r="GV215" s="135"/>
      <c r="GW215" s="134"/>
      <c r="GX215" s="134"/>
      <c r="GY215" s="134"/>
      <c r="GZ215" s="134"/>
      <c r="HA215" s="134"/>
      <c r="HB215" s="134"/>
      <c r="HC215" s="134"/>
      <c r="HD215" s="134"/>
      <c r="HE215" s="135"/>
      <c r="HF215" s="135"/>
      <c r="HG215" s="134"/>
      <c r="HH215" s="134"/>
      <c r="HI215" s="134"/>
      <c r="HJ215" s="134"/>
      <c r="HK215" s="134"/>
      <c r="HL215" s="134"/>
      <c r="HM215" s="134"/>
      <c r="HN215" s="134"/>
      <c r="HO215" s="135"/>
      <c r="HP215" s="135"/>
      <c r="HQ215" s="134"/>
      <c r="HR215" s="134"/>
      <c r="HS215" s="134"/>
      <c r="HT215" s="134"/>
      <c r="HU215" s="134"/>
      <c r="HV215" s="134"/>
      <c r="HW215" s="134"/>
      <c r="HX215" s="134"/>
      <c r="HY215" s="135"/>
      <c r="HZ215" s="135"/>
      <c r="IA215" s="134"/>
      <c r="IB215" s="134"/>
      <c r="IC215" s="134"/>
      <c r="ID215" s="134"/>
      <c r="IE215" s="134"/>
      <c r="IF215" s="134"/>
      <c r="IG215" s="134"/>
      <c r="IH215" s="134"/>
      <c r="II215" s="135"/>
      <c r="IJ215" s="135"/>
      <c r="IK215" s="134"/>
      <c r="IL215" s="134"/>
      <c r="IM215" s="134"/>
      <c r="IN215" s="134"/>
      <c r="IO215" s="134"/>
      <c r="IP215" s="134"/>
      <c r="IQ215" s="134"/>
      <c r="IR215" s="134"/>
      <c r="IS215" s="135"/>
      <c r="IT215" s="135"/>
      <c r="IU215" s="134"/>
      <c r="IV215" s="134"/>
      <c r="IW215" s="134"/>
      <c r="IX215" s="134"/>
      <c r="IY215" s="134"/>
      <c r="IZ215" s="134"/>
      <c r="JA215" s="134"/>
      <c r="JB215" s="134"/>
      <c r="JC215" s="135"/>
      <c r="JD215" s="135"/>
    </row>
    <row r="216" spans="1:264" customFormat="1" ht="15" customHeight="1">
      <c r="A216" s="79" t="s">
        <v>152</v>
      </c>
      <c r="B216" s="614">
        <v>3</v>
      </c>
      <c r="C216" s="614"/>
      <c r="D216" s="614"/>
      <c r="E216" s="604" t="s">
        <v>1955</v>
      </c>
      <c r="F216" s="124" t="s">
        <v>2176</v>
      </c>
      <c r="G216" s="125">
        <v>1999</v>
      </c>
      <c r="H216" s="79">
        <v>10066999</v>
      </c>
      <c r="I216" s="79">
        <v>1</v>
      </c>
      <c r="J216" s="126"/>
      <c r="K216" s="127"/>
      <c r="L216" s="79">
        <v>1</v>
      </c>
      <c r="M216" s="79"/>
      <c r="N216" s="79">
        <v>1</v>
      </c>
      <c r="O216" s="128">
        <v>1</v>
      </c>
      <c r="P216" s="79" t="s">
        <v>11</v>
      </c>
      <c r="Q216" s="79" t="s">
        <v>1162</v>
      </c>
      <c r="R216" s="79" t="s">
        <v>25</v>
      </c>
      <c r="S216" s="79">
        <v>1</v>
      </c>
      <c r="T216" s="79"/>
      <c r="U216" s="79"/>
      <c r="V216" s="79"/>
      <c r="W216" s="79" t="s">
        <v>11</v>
      </c>
      <c r="X216" s="79" t="s">
        <v>24</v>
      </c>
      <c r="Y216" s="79" t="s">
        <v>13</v>
      </c>
      <c r="Z216" s="79"/>
      <c r="AA216" s="79"/>
      <c r="AB216" s="79"/>
      <c r="AC216" s="506"/>
      <c r="AD216" s="573">
        <v>1</v>
      </c>
      <c r="AE216" s="573">
        <v>2</v>
      </c>
      <c r="AF216" s="129">
        <v>1</v>
      </c>
      <c r="AG216" s="130" t="s">
        <v>24</v>
      </c>
      <c r="AH216" s="136">
        <v>2</v>
      </c>
      <c r="AI216" s="489"/>
      <c r="AJ216" s="198"/>
      <c r="AK216" s="192">
        <v>1</v>
      </c>
      <c r="AL216" s="199"/>
      <c r="AM216" s="136">
        <v>24</v>
      </c>
      <c r="AN216" s="16">
        <v>12</v>
      </c>
      <c r="AO216" s="16">
        <v>12</v>
      </c>
      <c r="AP216" s="16" t="s">
        <v>803</v>
      </c>
      <c r="AQ216" s="16" t="s">
        <v>803</v>
      </c>
      <c r="AR216" s="16">
        <v>33.6</v>
      </c>
      <c r="AS216" s="16">
        <v>6.2</v>
      </c>
      <c r="AT216" s="16">
        <v>38.4</v>
      </c>
      <c r="AU216" s="16">
        <v>11.7</v>
      </c>
      <c r="AV216" s="16" t="s">
        <v>1874</v>
      </c>
      <c r="AW216" s="16" t="s">
        <v>24</v>
      </c>
      <c r="AX216" s="16" t="s">
        <v>24</v>
      </c>
      <c r="AY216" s="16" t="s">
        <v>2423</v>
      </c>
      <c r="AZ216" s="16" t="s">
        <v>2605</v>
      </c>
      <c r="BA216" s="16" t="s">
        <v>1875</v>
      </c>
      <c r="BB216" s="590"/>
      <c r="BC216" s="590"/>
      <c r="BD216" s="132">
        <v>1</v>
      </c>
      <c r="BE216" s="132"/>
      <c r="BF216" s="132"/>
      <c r="BG216" s="132"/>
      <c r="BH216" s="132"/>
      <c r="BI216" s="132"/>
      <c r="BJ216" s="132"/>
      <c r="BK216" s="132"/>
      <c r="BL216" s="132"/>
      <c r="BM216" s="132"/>
      <c r="BN216" s="132"/>
      <c r="BO216" s="132"/>
      <c r="BP216" s="132"/>
      <c r="BQ216" s="591" t="s">
        <v>2528</v>
      </c>
      <c r="BR216" s="133" t="s">
        <v>6596</v>
      </c>
      <c r="BS216" s="661"/>
      <c r="BT216" s="26" t="s">
        <v>1876</v>
      </c>
      <c r="BU216" s="26">
        <v>2</v>
      </c>
      <c r="BV216" s="26" t="s">
        <v>1488</v>
      </c>
      <c r="BW216" s="26" t="s">
        <v>2470</v>
      </c>
      <c r="BX216" s="134" t="s">
        <v>2400</v>
      </c>
      <c r="BY216" s="150" t="s">
        <v>6638</v>
      </c>
      <c r="BZ216" s="255" t="s">
        <v>2533</v>
      </c>
      <c r="CA216" s="626" t="s">
        <v>23</v>
      </c>
      <c r="CB216" s="264" t="s">
        <v>2448</v>
      </c>
      <c r="CC216" s="134">
        <f>AVERAGE(187.57,247.63)</f>
        <v>217.6</v>
      </c>
      <c r="CD216" s="134">
        <f>STDEV(187.57,247.63)</f>
        <v>42.468833278064089</v>
      </c>
      <c r="CE216" s="134" t="s">
        <v>24</v>
      </c>
      <c r="CF216" s="519" t="s">
        <v>2449</v>
      </c>
      <c r="CG216" s="134">
        <f>AVERAGE(194.04, 229.522)</f>
        <v>211.78100000000001</v>
      </c>
      <c r="CH216" s="134">
        <f>STDEV(194.04, 229.522)</f>
        <v>25.089562810061079</v>
      </c>
      <c r="CI216" s="134" t="s">
        <v>24</v>
      </c>
      <c r="CJ216" s="288" t="s">
        <v>2412</v>
      </c>
      <c r="CK216" s="289" t="s">
        <v>2551</v>
      </c>
      <c r="CL216" s="519" t="s">
        <v>2450</v>
      </c>
      <c r="CM216" s="222">
        <f>AVERAGE(196.09439, 226.00397)</f>
        <v>211.04918000000001</v>
      </c>
      <c r="CN216" s="222">
        <f>STDEV(196.09439, 226.00397)</f>
        <v>21.149266840441541</v>
      </c>
      <c r="CO216" s="134" t="s">
        <v>24</v>
      </c>
      <c r="CP216" s="519" t="s">
        <v>2451</v>
      </c>
      <c r="CQ216" s="134">
        <f>AVERAGE(172.08734, 136.67021)</f>
        <v>154.37877500000002</v>
      </c>
      <c r="CR216" s="134">
        <f>STDEV(172.08734, 136.67021)</f>
        <v>25.043692793165462</v>
      </c>
      <c r="CS216" s="134" t="s">
        <v>24</v>
      </c>
      <c r="CT216" s="288" t="s">
        <v>2411</v>
      </c>
      <c r="CU216" s="289" t="s">
        <v>2445</v>
      </c>
      <c r="CV216" s="276" t="s">
        <v>2465</v>
      </c>
      <c r="CW216" s="308" t="s">
        <v>2446</v>
      </c>
      <c r="CX216" s="137"/>
      <c r="CY216" s="134"/>
      <c r="CZ216" s="168"/>
      <c r="DA216" s="134"/>
      <c r="DB216" s="168"/>
      <c r="DC216" s="134"/>
      <c r="DD216" s="134"/>
      <c r="DE216" s="134"/>
      <c r="DF216" s="300"/>
      <c r="DG216" s="301" t="s">
        <v>24</v>
      </c>
      <c r="DH216" s="168"/>
      <c r="DI216" s="134"/>
      <c r="DJ216" s="168"/>
      <c r="DK216" s="134"/>
      <c r="DL216" s="168"/>
      <c r="DM216" s="134"/>
      <c r="DN216" s="168"/>
      <c r="DO216" s="134"/>
      <c r="DP216" s="300"/>
      <c r="DQ216" s="301"/>
      <c r="DR216" s="276"/>
      <c r="DS216" s="277"/>
      <c r="DT216" s="134"/>
      <c r="DU216" s="134"/>
      <c r="DV216" s="134"/>
      <c r="DW216" s="134"/>
      <c r="DX216" s="138"/>
      <c r="DY216" s="134"/>
      <c r="DZ216" s="134"/>
      <c r="EA216" s="134"/>
      <c r="EB216" s="301"/>
      <c r="EC216" s="301"/>
      <c r="ED216" s="138"/>
      <c r="EE216" s="134"/>
      <c r="EF216" s="134"/>
      <c r="EG216" s="134"/>
      <c r="EH216" s="138"/>
      <c r="EI216" s="134"/>
      <c r="EJ216" s="134"/>
      <c r="EK216" s="134"/>
      <c r="EL216" s="301"/>
      <c r="EM216" s="301"/>
      <c r="EN216" s="277"/>
      <c r="EO216" s="134"/>
      <c r="EP216" s="134"/>
      <c r="EQ216" s="134"/>
      <c r="ER216" s="134"/>
      <c r="ES216" s="134"/>
      <c r="ET216" s="134"/>
      <c r="EU216" s="134"/>
      <c r="EV216" s="134"/>
      <c r="EW216" s="301"/>
      <c r="EX216" s="301"/>
      <c r="EY216" s="134"/>
      <c r="EZ216" s="134"/>
      <c r="FA216" s="134"/>
      <c r="FB216" s="134"/>
      <c r="FC216" s="134"/>
      <c r="FD216" s="134"/>
      <c r="FE216" s="134"/>
      <c r="FF216" s="134"/>
      <c r="FG216" s="135"/>
      <c r="FH216" s="135"/>
      <c r="FI216" s="134"/>
      <c r="FJ216" s="134"/>
      <c r="FK216" s="134"/>
      <c r="FL216" s="134"/>
      <c r="FM216" s="134"/>
      <c r="FN216" s="134"/>
      <c r="FO216" s="134"/>
      <c r="FP216" s="134"/>
      <c r="FQ216" s="135"/>
      <c r="FR216" s="135"/>
      <c r="FS216" s="134"/>
      <c r="FT216" s="134"/>
      <c r="FU216" s="134"/>
      <c r="FV216" s="134"/>
      <c r="FW216" s="134"/>
      <c r="FX216" s="134"/>
      <c r="FY216" s="134"/>
      <c r="FZ216" s="134"/>
      <c r="GA216" s="135"/>
      <c r="GB216" s="135"/>
      <c r="GC216" s="134"/>
      <c r="GD216" s="134"/>
      <c r="GE216" s="134"/>
      <c r="GF216" s="134"/>
      <c r="GG216" s="134"/>
      <c r="GH216" s="134"/>
      <c r="GI216" s="134"/>
      <c r="GJ216" s="134"/>
      <c r="GK216" s="135"/>
      <c r="GL216" s="135"/>
      <c r="GM216" s="134"/>
      <c r="GN216" s="134"/>
      <c r="GO216" s="134"/>
      <c r="GP216" s="134"/>
      <c r="GQ216" s="134"/>
      <c r="GR216" s="134"/>
      <c r="GS216" s="134"/>
      <c r="GT216" s="134"/>
      <c r="GU216" s="135"/>
      <c r="GV216" s="135"/>
      <c r="GW216" s="134"/>
      <c r="GX216" s="134"/>
      <c r="GY216" s="134"/>
      <c r="GZ216" s="134"/>
      <c r="HA216" s="134"/>
      <c r="HB216" s="134"/>
      <c r="HC216" s="134"/>
      <c r="HD216" s="134"/>
      <c r="HE216" s="135"/>
      <c r="HF216" s="135"/>
      <c r="HG216" s="134"/>
      <c r="HH216" s="134"/>
      <c r="HI216" s="134"/>
      <c r="HJ216" s="134"/>
      <c r="HK216" s="134"/>
      <c r="HL216" s="134"/>
      <c r="HM216" s="134"/>
      <c r="HN216" s="134"/>
      <c r="HO216" s="135"/>
      <c r="HP216" s="135"/>
      <c r="HQ216" s="134"/>
      <c r="HR216" s="134"/>
      <c r="HS216" s="134"/>
      <c r="HT216" s="134"/>
      <c r="HU216" s="134"/>
      <c r="HV216" s="134"/>
      <c r="HW216" s="134"/>
      <c r="HX216" s="134"/>
      <c r="HY216" s="135"/>
      <c r="HZ216" s="135"/>
      <c r="IA216" s="134"/>
      <c r="IB216" s="134"/>
      <c r="IC216" s="134"/>
      <c r="ID216" s="134"/>
      <c r="IE216" s="134"/>
      <c r="IF216" s="134"/>
      <c r="IG216" s="134"/>
      <c r="IH216" s="134"/>
      <c r="II216" s="135"/>
      <c r="IJ216" s="135"/>
      <c r="IK216" s="134"/>
      <c r="IL216" s="134"/>
      <c r="IM216" s="134"/>
      <c r="IN216" s="134"/>
      <c r="IO216" s="134"/>
      <c r="IP216" s="134"/>
      <c r="IQ216" s="134"/>
      <c r="IR216" s="134"/>
      <c r="IS216" s="135"/>
      <c r="IT216" s="135"/>
      <c r="IU216" s="134"/>
      <c r="IV216" s="134"/>
      <c r="IW216" s="134"/>
      <c r="IX216" s="134"/>
      <c r="IY216" s="134"/>
      <c r="IZ216" s="134"/>
      <c r="JA216" s="134"/>
      <c r="JB216" s="134"/>
      <c r="JC216" s="135"/>
      <c r="JD216" s="135"/>
    </row>
    <row r="217" spans="1:264" customFormat="1" ht="15" customHeight="1">
      <c r="A217" s="118" t="s">
        <v>152</v>
      </c>
      <c r="B217" s="614">
        <v>3</v>
      </c>
      <c r="C217" s="614"/>
      <c r="D217" s="614"/>
      <c r="E217" s="605" t="s">
        <v>1955</v>
      </c>
      <c r="F217" s="140" t="s">
        <v>2176</v>
      </c>
      <c r="G217" s="141">
        <v>1999</v>
      </c>
      <c r="H217" s="118">
        <v>10066999</v>
      </c>
      <c r="I217" s="118">
        <v>1</v>
      </c>
      <c r="J217" s="118"/>
      <c r="K217" s="118"/>
      <c r="L217" s="118">
        <v>1</v>
      </c>
      <c r="M217" s="118"/>
      <c r="N217" s="118">
        <v>1</v>
      </c>
      <c r="O217" s="142">
        <v>1</v>
      </c>
      <c r="P217" s="118" t="s">
        <v>11</v>
      </c>
      <c r="Q217" s="118" t="s">
        <v>1162</v>
      </c>
      <c r="R217" s="118" t="s">
        <v>25</v>
      </c>
      <c r="S217" s="118">
        <v>1</v>
      </c>
      <c r="T217" s="118"/>
      <c r="U217" s="118"/>
      <c r="V217" s="118"/>
      <c r="W217" s="118" t="s">
        <v>11</v>
      </c>
      <c r="X217" s="118" t="s">
        <v>24</v>
      </c>
      <c r="Y217" s="118" t="s">
        <v>13</v>
      </c>
      <c r="Z217" s="118"/>
      <c r="AA217" s="118"/>
      <c r="AB217" s="118"/>
      <c r="AC217" s="145"/>
      <c r="AD217" s="573">
        <v>1</v>
      </c>
      <c r="AE217" s="573">
        <v>2</v>
      </c>
      <c r="AF217" s="143">
        <v>1</v>
      </c>
      <c r="AG217" s="144" t="s">
        <v>24</v>
      </c>
      <c r="AH217" s="145">
        <v>2</v>
      </c>
      <c r="AI217" s="488"/>
      <c r="AJ217" s="200"/>
      <c r="AK217" s="192">
        <v>1</v>
      </c>
      <c r="AL217" s="201"/>
      <c r="AM217" s="145">
        <v>24</v>
      </c>
      <c r="AN217" s="146">
        <v>12</v>
      </c>
      <c r="AO217" s="146">
        <v>12</v>
      </c>
      <c r="AP217" s="146" t="s">
        <v>803</v>
      </c>
      <c r="AQ217" s="146" t="s">
        <v>803</v>
      </c>
      <c r="AR217" s="145">
        <v>33.6</v>
      </c>
      <c r="AS217" s="146">
        <v>6.2</v>
      </c>
      <c r="AT217" s="145">
        <v>38.4</v>
      </c>
      <c r="AU217" s="146">
        <v>11.7</v>
      </c>
      <c r="AV217" s="146" t="s">
        <v>1874</v>
      </c>
      <c r="AW217" s="146" t="s">
        <v>24</v>
      </c>
      <c r="AX217" s="146" t="s">
        <v>24</v>
      </c>
      <c r="AY217" s="146" t="s">
        <v>2423</v>
      </c>
      <c r="AZ217" s="146" t="s">
        <v>2605</v>
      </c>
      <c r="BA217" s="146" t="s">
        <v>1875</v>
      </c>
      <c r="BB217" s="592"/>
      <c r="BC217" s="592"/>
      <c r="BD217" s="147">
        <v>1</v>
      </c>
      <c r="BE217" s="147"/>
      <c r="BF217" s="147"/>
      <c r="BG217" s="147"/>
      <c r="BH217" s="147"/>
      <c r="BI217" s="147"/>
      <c r="BJ217" s="147"/>
      <c r="BK217" s="147"/>
      <c r="BL217" s="147"/>
      <c r="BM217" s="147"/>
      <c r="BN217" s="147"/>
      <c r="BO217" s="147"/>
      <c r="BP217" s="147"/>
      <c r="BQ217" s="593" t="s">
        <v>2530</v>
      </c>
      <c r="BR217" s="148" t="s">
        <v>6596</v>
      </c>
      <c r="BS217" s="661"/>
      <c r="BT217" s="253" t="s">
        <v>1876</v>
      </c>
      <c r="BU217" s="253">
        <v>2</v>
      </c>
      <c r="BV217" s="253" t="s">
        <v>1488</v>
      </c>
      <c r="BW217" s="253" t="s">
        <v>2470</v>
      </c>
      <c r="BX217" s="150" t="s">
        <v>2400</v>
      </c>
      <c r="BY217" s="150" t="s">
        <v>6638</v>
      </c>
      <c r="BZ217" s="258" t="s">
        <v>2531</v>
      </c>
      <c r="CA217" s="257">
        <v>0</v>
      </c>
      <c r="CB217" s="151" t="s">
        <v>2460</v>
      </c>
      <c r="CC217" s="228">
        <f>AVERAGE(195.72,224.54)</f>
        <v>210.13</v>
      </c>
      <c r="CD217" s="150">
        <f>STDEV(195.72,224.54)</f>
        <v>20.378817433796296</v>
      </c>
      <c r="CE217" s="150" t="s">
        <v>24</v>
      </c>
      <c r="CF217" s="151" t="s">
        <v>2461</v>
      </c>
      <c r="CG217" s="150">
        <f>AVERAGE(174.011,132.523)</f>
        <v>153.267</v>
      </c>
      <c r="CH217" s="150">
        <f>STDEV(174.011,132.523)</f>
        <v>29.336446137867533</v>
      </c>
      <c r="CI217" s="150" t="s">
        <v>24</v>
      </c>
      <c r="CJ217" s="290"/>
      <c r="CK217" s="291"/>
      <c r="CL217" s="151" t="s">
        <v>2462</v>
      </c>
      <c r="CM217" s="150">
        <f>AVERAGE(183.79,246.16)</f>
        <v>214.97499999999999</v>
      </c>
      <c r="CN217" s="150">
        <f>STDEV(183.79,246.16)</f>
        <v>44.1022499426049</v>
      </c>
      <c r="CO217" s="150" t="s">
        <v>24</v>
      </c>
      <c r="CP217" s="151" t="s">
        <v>2463</v>
      </c>
      <c r="CQ217" s="150">
        <f>AVERAGE(189.84,229.23)</f>
        <v>209.535</v>
      </c>
      <c r="CR217" s="150">
        <f>STDEV(189.84,229.23)</f>
        <v>27.852936110938099</v>
      </c>
      <c r="CS217" s="150" t="s">
        <v>24</v>
      </c>
      <c r="CT217" s="290"/>
      <c r="CU217" s="291"/>
      <c r="CV217" s="278" t="s">
        <v>2535</v>
      </c>
      <c r="CW217" s="279" t="s">
        <v>2464</v>
      </c>
      <c r="CX217" s="151" t="s">
        <v>24</v>
      </c>
      <c r="CY217" s="150"/>
      <c r="CZ217" s="150"/>
      <c r="DA217" s="150"/>
      <c r="DB217" s="151"/>
      <c r="DC217" s="150"/>
      <c r="DD217" s="150"/>
      <c r="DE217" s="150"/>
      <c r="DF217" s="302"/>
      <c r="DG217" s="303"/>
      <c r="DH217" s="151"/>
      <c r="DI217" s="150"/>
      <c r="DJ217" s="150"/>
      <c r="DK217" s="150"/>
      <c r="DL217" s="151"/>
      <c r="DM217" s="150"/>
      <c r="DN217" s="150"/>
      <c r="DO217" s="150"/>
      <c r="DP217" s="302"/>
      <c r="DQ217" s="303"/>
      <c r="DR217" s="278"/>
      <c r="DS217" s="279"/>
      <c r="DT217" s="150"/>
      <c r="DU217" s="150"/>
      <c r="DV217" s="150"/>
      <c r="DW217" s="150"/>
      <c r="DX217" s="151"/>
      <c r="DY217" s="150"/>
      <c r="DZ217" s="150"/>
      <c r="EA217" s="150"/>
      <c r="EB217" s="303"/>
      <c r="EC217" s="303"/>
      <c r="ED217" s="151"/>
      <c r="EE217" s="150"/>
      <c r="EF217" s="150"/>
      <c r="EG217" s="150"/>
      <c r="EH217" s="151"/>
      <c r="EI217" s="150"/>
      <c r="EJ217" s="150"/>
      <c r="EK217" s="150"/>
      <c r="EL217" s="303"/>
      <c r="EM217" s="303"/>
      <c r="EN217" s="279"/>
      <c r="EO217" s="150"/>
      <c r="EP217" s="150"/>
      <c r="EQ217" s="150"/>
      <c r="ER217" s="150"/>
      <c r="ES217" s="150"/>
      <c r="ET217" s="150"/>
      <c r="EU217" s="150"/>
      <c r="EV217" s="150"/>
      <c r="EW217" s="303"/>
      <c r="EX217" s="303"/>
      <c r="EY217" s="150"/>
      <c r="EZ217" s="150"/>
      <c r="FA217" s="150"/>
      <c r="FB217" s="150"/>
      <c r="FC217" s="134"/>
      <c r="FD217" s="134"/>
      <c r="FE217" s="134"/>
      <c r="FF217" s="134"/>
      <c r="FG217" s="135"/>
      <c r="FH217" s="135"/>
      <c r="FI217" s="134"/>
      <c r="FJ217" s="134"/>
      <c r="FK217" s="134"/>
      <c r="FL217" s="134"/>
      <c r="FM217" s="134"/>
      <c r="FN217" s="134"/>
      <c r="FO217" s="134"/>
      <c r="FP217" s="134"/>
      <c r="FQ217" s="135"/>
      <c r="FR217" s="135"/>
      <c r="FS217" s="134"/>
      <c r="FT217" s="134"/>
      <c r="FU217" s="134"/>
      <c r="FV217" s="134"/>
      <c r="FW217" s="134"/>
      <c r="FX217" s="134"/>
      <c r="FY217" s="134"/>
      <c r="FZ217" s="134"/>
      <c r="GA217" s="135"/>
      <c r="GB217" s="135"/>
      <c r="GC217" s="134"/>
      <c r="GD217" s="134"/>
      <c r="GE217" s="134"/>
      <c r="GF217" s="134"/>
      <c r="GG217" s="134"/>
      <c r="GH217" s="134"/>
      <c r="GI217" s="134"/>
      <c r="GJ217" s="134"/>
      <c r="GK217" s="135"/>
      <c r="GL217" s="135"/>
      <c r="GM217" s="134"/>
      <c r="GN217" s="134"/>
      <c r="GO217" s="134"/>
      <c r="GP217" s="134"/>
      <c r="GQ217" s="134"/>
      <c r="GR217" s="134"/>
      <c r="GS217" s="134"/>
      <c r="GT217" s="134"/>
      <c r="GU217" s="135"/>
      <c r="GV217" s="135"/>
      <c r="GW217" s="134"/>
      <c r="GX217" s="134"/>
      <c r="GY217" s="134"/>
      <c r="GZ217" s="134"/>
      <c r="HA217" s="134"/>
      <c r="HB217" s="134"/>
      <c r="HC217" s="134"/>
      <c r="HD217" s="134"/>
      <c r="HE217" s="135"/>
      <c r="HF217" s="135"/>
      <c r="HG217" s="134"/>
      <c r="HH217" s="134"/>
      <c r="HI217" s="134"/>
      <c r="HJ217" s="134"/>
      <c r="HK217" s="134"/>
      <c r="HL217" s="134"/>
      <c r="HM217" s="134"/>
      <c r="HN217" s="134"/>
      <c r="HO217" s="135"/>
      <c r="HP217" s="135"/>
      <c r="HQ217" s="134"/>
      <c r="HR217" s="134"/>
      <c r="HS217" s="134"/>
      <c r="HT217" s="134"/>
      <c r="HU217" s="134"/>
      <c r="HV217" s="134"/>
      <c r="HW217" s="134"/>
      <c r="HX217" s="134"/>
      <c r="HY217" s="135"/>
      <c r="HZ217" s="135"/>
      <c r="IA217" s="134"/>
      <c r="IB217" s="134"/>
      <c r="IC217" s="134"/>
      <c r="ID217" s="134"/>
      <c r="IE217" s="134"/>
      <c r="IF217" s="134"/>
      <c r="IG217" s="134"/>
      <c r="IH217" s="134"/>
      <c r="II217" s="135"/>
      <c r="IJ217" s="135"/>
      <c r="IK217" s="134"/>
      <c r="IL217" s="134"/>
      <c r="IM217" s="134"/>
      <c r="IN217" s="134"/>
      <c r="IO217" s="134"/>
      <c r="IP217" s="134"/>
      <c r="IQ217" s="134"/>
      <c r="IR217" s="134"/>
      <c r="IS217" s="135"/>
      <c r="IT217" s="135"/>
      <c r="IU217" s="134"/>
      <c r="IV217" s="134"/>
      <c r="IW217" s="134"/>
      <c r="IX217" s="134"/>
      <c r="IY217" s="134"/>
      <c r="IZ217" s="134"/>
      <c r="JA217" s="134"/>
      <c r="JB217" s="134"/>
      <c r="JC217" s="135"/>
      <c r="JD217" s="135"/>
    </row>
    <row r="218" spans="1:264" customFormat="1" ht="15" customHeight="1">
      <c r="A218" s="118" t="s">
        <v>152</v>
      </c>
      <c r="B218" s="614">
        <v>3</v>
      </c>
      <c r="C218" s="614"/>
      <c r="D218" s="614"/>
      <c r="E218" s="605" t="s">
        <v>1955</v>
      </c>
      <c r="F218" s="140" t="s">
        <v>2176</v>
      </c>
      <c r="G218" s="141">
        <v>1999</v>
      </c>
      <c r="H218" s="118">
        <v>10066999</v>
      </c>
      <c r="I218" s="118">
        <v>1</v>
      </c>
      <c r="J218" s="118"/>
      <c r="K218" s="118"/>
      <c r="L218" s="118">
        <v>1</v>
      </c>
      <c r="M218" s="118"/>
      <c r="N218" s="118">
        <v>1</v>
      </c>
      <c r="O218" s="142">
        <v>1</v>
      </c>
      <c r="P218" s="118" t="s">
        <v>11</v>
      </c>
      <c r="Q218" s="118" t="s">
        <v>1162</v>
      </c>
      <c r="R218" s="118" t="s">
        <v>25</v>
      </c>
      <c r="S218" s="118">
        <v>1</v>
      </c>
      <c r="T218" s="118"/>
      <c r="U218" s="118"/>
      <c r="V218" s="118"/>
      <c r="W218" s="118" t="s">
        <v>11</v>
      </c>
      <c r="X218" s="118" t="s">
        <v>24</v>
      </c>
      <c r="Y218" s="118" t="s">
        <v>13</v>
      </c>
      <c r="Z218" s="118"/>
      <c r="AA218" s="118"/>
      <c r="AB218" s="118"/>
      <c r="AC218" s="145"/>
      <c r="AD218" s="573">
        <v>1</v>
      </c>
      <c r="AE218" s="573">
        <v>2</v>
      </c>
      <c r="AF218" s="143">
        <v>1</v>
      </c>
      <c r="AG218" s="144" t="s">
        <v>24</v>
      </c>
      <c r="AH218" s="145">
        <v>2</v>
      </c>
      <c r="AI218" s="488"/>
      <c r="AJ218" s="200"/>
      <c r="AK218" s="192">
        <v>1</v>
      </c>
      <c r="AL218" s="201"/>
      <c r="AM218" s="146">
        <v>24</v>
      </c>
      <c r="AN218" s="146">
        <v>12</v>
      </c>
      <c r="AO218" s="146">
        <v>12</v>
      </c>
      <c r="AP218" s="146" t="s">
        <v>803</v>
      </c>
      <c r="AQ218" s="146" t="s">
        <v>803</v>
      </c>
      <c r="AR218" s="146">
        <v>33.6</v>
      </c>
      <c r="AS218" s="146">
        <v>6.2</v>
      </c>
      <c r="AT218" s="146">
        <v>38.4</v>
      </c>
      <c r="AU218" s="146">
        <v>11.7</v>
      </c>
      <c r="AV218" s="146" t="s">
        <v>1874</v>
      </c>
      <c r="AW218" s="146" t="s">
        <v>24</v>
      </c>
      <c r="AX218" s="146" t="s">
        <v>24</v>
      </c>
      <c r="AY218" s="146" t="s">
        <v>2423</v>
      </c>
      <c r="AZ218" s="146" t="s">
        <v>2605</v>
      </c>
      <c r="BA218" s="146" t="s">
        <v>1875</v>
      </c>
      <c r="BB218" s="592"/>
      <c r="BC218" s="592"/>
      <c r="BD218" s="147">
        <v>1</v>
      </c>
      <c r="BE218" s="147"/>
      <c r="BF218" s="147"/>
      <c r="BG218" s="147"/>
      <c r="BH218" s="147"/>
      <c r="BI218" s="147"/>
      <c r="BJ218" s="147"/>
      <c r="BK218" s="147"/>
      <c r="BL218" s="147"/>
      <c r="BM218" s="147"/>
      <c r="BN218" s="147"/>
      <c r="BO218" s="147"/>
      <c r="BP218" s="147"/>
      <c r="BQ218" s="593" t="s">
        <v>2534</v>
      </c>
      <c r="BR218" s="148" t="s">
        <v>6601</v>
      </c>
      <c r="BS218" s="661"/>
      <c r="BT218" s="253" t="s">
        <v>1876</v>
      </c>
      <c r="BU218" s="253">
        <v>2</v>
      </c>
      <c r="BV218" s="253" t="s">
        <v>1488</v>
      </c>
      <c r="BW218" s="253" t="s">
        <v>2470</v>
      </c>
      <c r="BX218" s="150" t="s">
        <v>2400</v>
      </c>
      <c r="BY218" s="150" t="s">
        <v>6638</v>
      </c>
      <c r="BZ218" s="258" t="s">
        <v>2546</v>
      </c>
      <c r="CA218" s="257">
        <v>0</v>
      </c>
      <c r="CB218" s="151" t="s">
        <v>2457</v>
      </c>
      <c r="CC218" s="150">
        <f>AVERAGE(260.48,172.94)</f>
        <v>216.71</v>
      </c>
      <c r="CD218" s="150">
        <f>STDEV(260.48,172.94)</f>
        <v>61.900127625070326</v>
      </c>
      <c r="CE218" s="150" t="s">
        <v>24</v>
      </c>
      <c r="CF218" s="151" t="s">
        <v>2456</v>
      </c>
      <c r="CG218" s="150">
        <f>AVERAGE(273.86,190.18)</f>
        <v>232.02</v>
      </c>
      <c r="CH218" s="150">
        <f>STDEV(273.86,190.18)</f>
        <v>59.170695449690392</v>
      </c>
      <c r="CI218" s="150" t="s">
        <v>24</v>
      </c>
      <c r="CJ218" s="290"/>
      <c r="CK218" s="291"/>
      <c r="CL218" s="151" t="s">
        <v>2458</v>
      </c>
      <c r="CM218" s="150">
        <f>AVERAGE(267.09,195.19)</f>
        <v>231.14</v>
      </c>
      <c r="CN218" s="150">
        <f>STDEV(267.09,195.19)</f>
        <v>50.840977567312699</v>
      </c>
      <c r="CO218" s="150" t="s">
        <v>24</v>
      </c>
      <c r="CP218" s="151" t="s">
        <v>2459</v>
      </c>
      <c r="CQ218" s="150">
        <f>AVERAGE(241.68,204.87)</f>
        <v>223.27500000000001</v>
      </c>
      <c r="CR218" s="150">
        <f>STDEV(241.68,204.87)</f>
        <v>26.028600615476815</v>
      </c>
      <c r="CS218" s="150" t="s">
        <v>24</v>
      </c>
      <c r="CT218" s="290"/>
      <c r="CU218" s="291"/>
      <c r="CV218" s="278" t="s">
        <v>2546</v>
      </c>
      <c r="CW218" s="279" t="s">
        <v>2538</v>
      </c>
      <c r="CX218" s="151" t="s">
        <v>24</v>
      </c>
      <c r="CY218" s="150"/>
      <c r="CZ218" s="150"/>
      <c r="DA218" s="150"/>
      <c r="DB218" s="151"/>
      <c r="DC218" s="150"/>
      <c r="DD218" s="150"/>
      <c r="DE218" s="150"/>
      <c r="DF218" s="302"/>
      <c r="DG218" s="303"/>
      <c r="DH218" s="151"/>
      <c r="DI218" s="150"/>
      <c r="DJ218" s="150"/>
      <c r="DK218" s="150"/>
      <c r="DL218" s="151"/>
      <c r="DM218" s="150"/>
      <c r="DN218" s="150"/>
      <c r="DO218" s="150"/>
      <c r="DP218" s="302"/>
      <c r="DQ218" s="303"/>
      <c r="DR218" s="278"/>
      <c r="DS218" s="279"/>
      <c r="DT218" s="150"/>
      <c r="DU218" s="150"/>
      <c r="DV218" s="150"/>
      <c r="DW218" s="150"/>
      <c r="DX218" s="151"/>
      <c r="DY218" s="150"/>
      <c r="DZ218" s="150"/>
      <c r="EA218" s="150"/>
      <c r="EB218" s="303"/>
      <c r="EC218" s="303"/>
      <c r="ED218" s="151"/>
      <c r="EE218" s="150"/>
      <c r="EF218" s="150"/>
      <c r="EG218" s="150"/>
      <c r="EH218" s="151"/>
      <c r="EI218" s="150"/>
      <c r="EJ218" s="150"/>
      <c r="EK218" s="150"/>
      <c r="EL218" s="303"/>
      <c r="EM218" s="303"/>
      <c r="EN218" s="279"/>
      <c r="EO218" s="150"/>
      <c r="EP218" s="150"/>
      <c r="EQ218" s="150"/>
      <c r="ER218" s="150"/>
      <c r="ES218" s="150"/>
      <c r="ET218" s="150"/>
      <c r="EU218" s="150"/>
      <c r="EV218" s="150"/>
      <c r="EW218" s="303"/>
      <c r="EX218" s="303"/>
      <c r="EY218" s="150"/>
      <c r="EZ218" s="150"/>
      <c r="FA218" s="150"/>
      <c r="FB218" s="150"/>
      <c r="FC218" s="134"/>
      <c r="FD218" s="134"/>
      <c r="FE218" s="134"/>
      <c r="FF218" s="134"/>
      <c r="FG218" s="135"/>
      <c r="FH218" s="135"/>
      <c r="FI218" s="134"/>
      <c r="FJ218" s="134"/>
      <c r="FK218" s="134"/>
      <c r="FL218" s="134"/>
      <c r="FM218" s="134"/>
      <c r="FN218" s="134"/>
      <c r="FO218" s="134"/>
      <c r="FP218" s="134"/>
      <c r="FQ218" s="135"/>
      <c r="FR218" s="135"/>
      <c r="FS218" s="134"/>
      <c r="FT218" s="134"/>
      <c r="FU218" s="134"/>
      <c r="FV218" s="134"/>
      <c r="FW218" s="134"/>
      <c r="FX218" s="134"/>
      <c r="FY218" s="134"/>
      <c r="FZ218" s="134"/>
      <c r="GA218" s="135"/>
      <c r="GB218" s="135"/>
      <c r="GC218" s="134"/>
      <c r="GD218" s="134"/>
      <c r="GE218" s="134"/>
      <c r="GF218" s="134"/>
      <c r="GG218" s="134"/>
      <c r="GH218" s="134"/>
      <c r="GI218" s="134"/>
      <c r="GJ218" s="134"/>
      <c r="GK218" s="135"/>
      <c r="GL218" s="135"/>
      <c r="GM218" s="134"/>
      <c r="GN218" s="134"/>
      <c r="GO218" s="134"/>
      <c r="GP218" s="134"/>
      <c r="GQ218" s="134"/>
      <c r="GR218" s="134"/>
      <c r="GS218" s="134"/>
      <c r="GT218" s="134"/>
      <c r="GU218" s="135"/>
      <c r="GV218" s="135"/>
      <c r="GW218" s="134"/>
      <c r="GX218" s="134"/>
      <c r="GY218" s="134"/>
      <c r="GZ218" s="134"/>
      <c r="HA218" s="134"/>
      <c r="HB218" s="134"/>
      <c r="HC218" s="134"/>
      <c r="HD218" s="134"/>
      <c r="HE218" s="135"/>
      <c r="HF218" s="135"/>
      <c r="HG218" s="134"/>
      <c r="HH218" s="134"/>
      <c r="HI218" s="134"/>
      <c r="HJ218" s="134"/>
      <c r="HK218" s="134"/>
      <c r="HL218" s="134"/>
      <c r="HM218" s="134"/>
      <c r="HN218" s="134"/>
      <c r="HO218" s="135"/>
      <c r="HP218" s="135"/>
      <c r="HQ218" s="134"/>
      <c r="HR218" s="134"/>
      <c r="HS218" s="134"/>
      <c r="HT218" s="134"/>
      <c r="HU218" s="134"/>
      <c r="HV218" s="134"/>
      <c r="HW218" s="134"/>
      <c r="HX218" s="134"/>
      <c r="HY218" s="135"/>
      <c r="HZ218" s="135"/>
      <c r="IA218" s="134"/>
      <c r="IB218" s="134"/>
      <c r="IC218" s="134"/>
      <c r="ID218" s="134"/>
      <c r="IE218" s="134"/>
      <c r="IF218" s="134"/>
      <c r="IG218" s="134"/>
      <c r="IH218" s="134"/>
      <c r="II218" s="135"/>
      <c r="IJ218" s="135"/>
      <c r="IK218" s="134"/>
      <c r="IL218" s="134"/>
      <c r="IM218" s="134"/>
      <c r="IN218" s="134"/>
      <c r="IO218" s="134"/>
      <c r="IP218" s="134"/>
      <c r="IQ218" s="134"/>
      <c r="IR218" s="134"/>
      <c r="IS218" s="135"/>
      <c r="IT218" s="135"/>
      <c r="IU218" s="134"/>
      <c r="IV218" s="134"/>
      <c r="IW218" s="134"/>
      <c r="IX218" s="134"/>
      <c r="IY218" s="134"/>
      <c r="IZ218" s="134"/>
      <c r="JA218" s="134"/>
      <c r="JB218" s="134"/>
      <c r="JC218" s="135"/>
      <c r="JD218" s="135"/>
    </row>
    <row r="219" spans="1:264" customFormat="1" ht="15" customHeight="1">
      <c r="A219" s="79" t="s">
        <v>153</v>
      </c>
      <c r="B219" s="614">
        <v>17</v>
      </c>
      <c r="C219" s="614"/>
      <c r="D219" s="614"/>
      <c r="E219" s="604" t="s">
        <v>1955</v>
      </c>
      <c r="F219" s="124" t="s">
        <v>2177</v>
      </c>
      <c r="G219" s="125">
        <v>1998</v>
      </c>
      <c r="H219" s="79">
        <v>9821567</v>
      </c>
      <c r="I219" s="79">
        <v>1</v>
      </c>
      <c r="J219" s="126"/>
      <c r="K219" s="127"/>
      <c r="L219" s="79">
        <v>1</v>
      </c>
      <c r="M219" s="79"/>
      <c r="N219" s="79">
        <v>1</v>
      </c>
      <c r="O219" s="128">
        <v>1</v>
      </c>
      <c r="P219" s="79" t="s">
        <v>468</v>
      </c>
      <c r="Q219" s="79" t="s">
        <v>1162</v>
      </c>
      <c r="R219" s="79" t="s">
        <v>25</v>
      </c>
      <c r="S219" s="79">
        <v>1</v>
      </c>
      <c r="T219" s="79"/>
      <c r="U219" s="79"/>
      <c r="V219" s="79"/>
      <c r="W219" s="79" t="s">
        <v>11</v>
      </c>
      <c r="X219" s="79" t="s">
        <v>24</v>
      </c>
      <c r="Y219" s="79" t="s">
        <v>13</v>
      </c>
      <c r="Z219" s="79"/>
      <c r="AA219" s="79"/>
      <c r="AB219" s="79"/>
      <c r="AC219" s="506"/>
      <c r="AD219" s="573">
        <v>1</v>
      </c>
      <c r="AE219" s="573">
        <v>2</v>
      </c>
      <c r="AF219" s="154">
        <v>1</v>
      </c>
      <c r="AG219" s="155"/>
      <c r="AH219" s="121">
        <v>2</v>
      </c>
      <c r="AI219" s="484"/>
      <c r="AJ219" s="202" t="s">
        <v>2881</v>
      </c>
      <c r="AK219" s="192">
        <v>1</v>
      </c>
      <c r="AL219" s="203">
        <v>0</v>
      </c>
      <c r="AM219" s="121">
        <f>34+17+14</f>
        <v>65</v>
      </c>
      <c r="AN219" s="121">
        <v>34</v>
      </c>
      <c r="AO219" s="121" t="s">
        <v>2873</v>
      </c>
      <c r="AP219" s="121" t="s">
        <v>24</v>
      </c>
      <c r="AQ219" s="121" t="s">
        <v>24</v>
      </c>
      <c r="AR219" s="121">
        <v>46</v>
      </c>
      <c r="AS219" s="121">
        <v>3.4</v>
      </c>
      <c r="AT219" s="121">
        <f>(42.2 + 44.5) / 2</f>
        <v>43.35</v>
      </c>
      <c r="AU219" s="121">
        <f xml:space="preserve"> (4.8+3.9) /2</f>
        <v>4.3499999999999996</v>
      </c>
      <c r="AV219" s="121" t="s">
        <v>1874</v>
      </c>
      <c r="AW219" s="121" t="s">
        <v>24</v>
      </c>
      <c r="AX219" s="121" t="s">
        <v>24</v>
      </c>
      <c r="AY219" s="121" t="s">
        <v>2874</v>
      </c>
      <c r="AZ219" s="121" t="s">
        <v>2875</v>
      </c>
      <c r="BA219" s="121" t="s">
        <v>2876</v>
      </c>
      <c r="BB219" s="594"/>
      <c r="BC219" s="594"/>
      <c r="BD219" s="156">
        <v>1</v>
      </c>
      <c r="BE219" s="156"/>
      <c r="BF219" s="156"/>
      <c r="BG219" s="156"/>
      <c r="BH219" s="156"/>
      <c r="BI219" s="156"/>
      <c r="BJ219" s="156"/>
      <c r="BK219" s="156"/>
      <c r="BL219" s="156"/>
      <c r="BM219" s="156"/>
      <c r="BN219" s="156"/>
      <c r="BO219" s="156"/>
      <c r="BP219" s="156"/>
      <c r="BQ219" s="595" t="s">
        <v>2879</v>
      </c>
      <c r="BR219" s="157" t="s">
        <v>6598</v>
      </c>
      <c r="BS219" s="660"/>
      <c r="BT219" s="134" t="s">
        <v>1876</v>
      </c>
      <c r="BU219" s="134">
        <v>3</v>
      </c>
      <c r="BV219" s="134" t="s">
        <v>2877</v>
      </c>
      <c r="BW219" s="134" t="s">
        <v>2470</v>
      </c>
      <c r="BX219" s="134" t="s">
        <v>2878</v>
      </c>
      <c r="BY219" s="150" t="s">
        <v>6638</v>
      </c>
      <c r="BZ219" s="259" t="s">
        <v>2906</v>
      </c>
      <c r="CA219" s="454" t="s">
        <v>6627</v>
      </c>
      <c r="CB219" s="138" t="s">
        <v>2884</v>
      </c>
      <c r="CC219" s="134">
        <v>163.935</v>
      </c>
      <c r="CD219" s="134" t="s">
        <v>2882</v>
      </c>
      <c r="CE219" s="134" t="s">
        <v>2882</v>
      </c>
      <c r="CF219" s="138" t="s">
        <v>2885</v>
      </c>
      <c r="CG219" s="134">
        <v>174.70599999999999</v>
      </c>
      <c r="CH219" s="134" t="s">
        <v>2882</v>
      </c>
      <c r="CI219" s="134" t="s">
        <v>2882</v>
      </c>
      <c r="CJ219" s="288" t="s">
        <v>24</v>
      </c>
      <c r="CK219" s="289" t="s">
        <v>24</v>
      </c>
      <c r="CL219" s="138" t="s">
        <v>2886</v>
      </c>
      <c r="CM219" s="134">
        <v>175.476</v>
      </c>
      <c r="CN219" s="134" t="s">
        <v>2882</v>
      </c>
      <c r="CO219" s="134" t="s">
        <v>2882</v>
      </c>
      <c r="CP219" s="138" t="s">
        <v>24</v>
      </c>
      <c r="CQ219" s="134" t="s">
        <v>24</v>
      </c>
      <c r="CR219" s="134" t="s">
        <v>24</v>
      </c>
      <c r="CS219" s="134" t="s">
        <v>24</v>
      </c>
      <c r="CT219" s="288" t="s">
        <v>24</v>
      </c>
      <c r="CU219" s="289" t="s">
        <v>24</v>
      </c>
      <c r="CV219" s="309" t="s">
        <v>24</v>
      </c>
      <c r="CW219" s="308" t="s">
        <v>24</v>
      </c>
      <c r="CX219" s="138" t="s">
        <v>2887</v>
      </c>
      <c r="CY219" s="134">
        <v>110.187</v>
      </c>
      <c r="CZ219" s="134" t="s">
        <v>2882</v>
      </c>
      <c r="DA219" s="134" t="s">
        <v>2882</v>
      </c>
      <c r="DB219" s="138" t="s">
        <v>2888</v>
      </c>
      <c r="DC219" s="134">
        <v>134.80500000000001</v>
      </c>
      <c r="DD219" s="134" t="s">
        <v>2882</v>
      </c>
      <c r="DE219" s="134" t="s">
        <v>2882</v>
      </c>
      <c r="DF219" s="300" t="s">
        <v>24</v>
      </c>
      <c r="DG219" s="301" t="s">
        <v>24</v>
      </c>
      <c r="DH219" s="138" t="s">
        <v>2889</v>
      </c>
      <c r="DI219" s="134">
        <v>222.495</v>
      </c>
      <c r="DJ219" s="134" t="s">
        <v>2882</v>
      </c>
      <c r="DK219" s="134" t="s">
        <v>2882</v>
      </c>
      <c r="DL219" s="138" t="s">
        <v>24</v>
      </c>
      <c r="DM219" s="134" t="s">
        <v>24</v>
      </c>
      <c r="DN219" s="134" t="s">
        <v>24</v>
      </c>
      <c r="DO219" s="134" t="s">
        <v>24</v>
      </c>
      <c r="DP219" s="300" t="s">
        <v>24</v>
      </c>
      <c r="DQ219" s="301" t="s">
        <v>24</v>
      </c>
      <c r="DR219" s="319" t="s">
        <v>2883</v>
      </c>
      <c r="DS219" s="277"/>
      <c r="DT219" s="138" t="s">
        <v>2892</v>
      </c>
      <c r="DU219" s="134">
        <v>194.131</v>
      </c>
      <c r="DV219" s="134" t="s">
        <v>2882</v>
      </c>
      <c r="DW219" s="134" t="s">
        <v>2882</v>
      </c>
      <c r="DX219" s="138" t="s">
        <v>2891</v>
      </c>
      <c r="DY219" s="134">
        <v>196.43899999999999</v>
      </c>
      <c r="DZ219" s="134" t="s">
        <v>2882</v>
      </c>
      <c r="EA219" s="134" t="s">
        <v>2882</v>
      </c>
      <c r="EB219" s="301" t="s">
        <v>24</v>
      </c>
      <c r="EC219" s="301" t="s">
        <v>24</v>
      </c>
      <c r="ED219" s="138" t="s">
        <v>2890</v>
      </c>
      <c r="EE219" s="134">
        <v>412.01799999999997</v>
      </c>
      <c r="EF219" s="134" t="s">
        <v>2882</v>
      </c>
      <c r="EG219" s="134" t="s">
        <v>2882</v>
      </c>
      <c r="EH219" s="138" t="s">
        <v>24</v>
      </c>
      <c r="EI219" s="134" t="s">
        <v>24</v>
      </c>
      <c r="EJ219" s="134" t="s">
        <v>24</v>
      </c>
      <c r="EK219" s="134" t="s">
        <v>24</v>
      </c>
      <c r="EL219" s="301" t="s">
        <v>24</v>
      </c>
      <c r="EM219" s="301" t="s">
        <v>24</v>
      </c>
      <c r="EN219" s="277" t="s">
        <v>2905</v>
      </c>
      <c r="EO219" s="134"/>
      <c r="EP219" s="134"/>
      <c r="EQ219" s="134"/>
      <c r="ER219" s="134"/>
      <c r="ES219" s="134"/>
      <c r="ET219" s="134"/>
      <c r="EU219" s="134"/>
      <c r="EV219" s="134"/>
      <c r="EW219" s="301"/>
      <c r="EX219" s="301"/>
      <c r="EY219" s="134"/>
      <c r="EZ219" s="134"/>
      <c r="FA219" s="134"/>
      <c r="FB219" s="134"/>
      <c r="FC219" s="134"/>
      <c r="FD219" s="134"/>
      <c r="FE219" s="134"/>
      <c r="FF219" s="134"/>
      <c r="FG219" s="135"/>
      <c r="FH219" s="135"/>
      <c r="FI219" s="134"/>
      <c r="FJ219" s="134"/>
      <c r="FK219" s="134"/>
      <c r="FL219" s="134"/>
      <c r="FM219" s="134"/>
      <c r="FN219" s="134"/>
      <c r="FO219" s="134"/>
      <c r="FP219" s="134"/>
      <c r="FQ219" s="135"/>
      <c r="FR219" s="135"/>
      <c r="FS219" s="134"/>
      <c r="FT219" s="134"/>
      <c r="FU219" s="134"/>
      <c r="FV219" s="134"/>
      <c r="FW219" s="134"/>
      <c r="FX219" s="134"/>
      <c r="FY219" s="134"/>
      <c r="FZ219" s="134"/>
      <c r="GA219" s="135"/>
      <c r="GB219" s="135"/>
      <c r="GC219" s="134"/>
      <c r="GD219" s="134"/>
      <c r="GE219" s="134"/>
      <c r="GF219" s="134"/>
      <c r="GG219" s="134"/>
      <c r="GH219" s="134"/>
      <c r="GI219" s="134"/>
      <c r="GJ219" s="134"/>
      <c r="GK219" s="135"/>
      <c r="GL219" s="135"/>
      <c r="GM219" s="134"/>
      <c r="GN219" s="134"/>
      <c r="GO219" s="134"/>
      <c r="GP219" s="134"/>
      <c r="GQ219" s="134"/>
      <c r="GR219" s="134"/>
      <c r="GS219" s="134"/>
      <c r="GT219" s="134"/>
      <c r="GU219" s="135"/>
      <c r="GV219" s="135"/>
      <c r="GW219" s="134"/>
      <c r="GX219" s="134"/>
      <c r="GY219" s="134"/>
      <c r="GZ219" s="134"/>
      <c r="HA219" s="134"/>
      <c r="HB219" s="134"/>
      <c r="HC219" s="134"/>
      <c r="HD219" s="134"/>
      <c r="HE219" s="135"/>
      <c r="HF219" s="135"/>
      <c r="HG219" s="134"/>
      <c r="HH219" s="134"/>
      <c r="HI219" s="134"/>
      <c r="HJ219" s="134"/>
      <c r="HK219" s="134"/>
      <c r="HL219" s="134"/>
      <c r="HM219" s="134"/>
      <c r="HN219" s="134"/>
      <c r="HO219" s="135"/>
      <c r="HP219" s="135"/>
      <c r="HQ219" s="134"/>
      <c r="HR219" s="134"/>
      <c r="HS219" s="134"/>
      <c r="HT219" s="134"/>
      <c r="HU219" s="134"/>
      <c r="HV219" s="134"/>
      <c r="HW219" s="134"/>
      <c r="HX219" s="134"/>
      <c r="HY219" s="135"/>
      <c r="HZ219" s="135"/>
      <c r="IA219" s="134"/>
      <c r="IB219" s="134"/>
      <c r="IC219" s="134"/>
      <c r="ID219" s="134"/>
      <c r="IE219" s="134"/>
      <c r="IF219" s="134"/>
      <c r="IG219" s="134"/>
      <c r="IH219" s="134"/>
      <c r="II219" s="135"/>
      <c r="IJ219" s="135"/>
      <c r="IK219" s="134"/>
      <c r="IL219" s="134"/>
      <c r="IM219" s="134"/>
      <c r="IN219" s="134"/>
      <c r="IO219" s="134"/>
      <c r="IP219" s="134"/>
      <c r="IQ219" s="134"/>
      <c r="IR219" s="134"/>
      <c r="IS219" s="135"/>
      <c r="IT219" s="135"/>
      <c r="IU219" s="134"/>
      <c r="IV219" s="134"/>
      <c r="IW219" s="134"/>
      <c r="IX219" s="134"/>
      <c r="IY219" s="134"/>
      <c r="IZ219" s="134"/>
      <c r="JA219" s="134"/>
      <c r="JB219" s="134"/>
      <c r="JC219" s="135"/>
      <c r="JD219" s="135"/>
    </row>
    <row r="220" spans="1:264" customFormat="1" ht="15" customHeight="1">
      <c r="A220" s="118" t="s">
        <v>153</v>
      </c>
      <c r="B220" s="614">
        <v>17</v>
      </c>
      <c r="C220" s="614"/>
      <c r="D220" s="614"/>
      <c r="E220" s="605" t="s">
        <v>1955</v>
      </c>
      <c r="F220" s="140" t="s">
        <v>2177</v>
      </c>
      <c r="G220" s="141">
        <v>1998</v>
      </c>
      <c r="H220" s="118">
        <v>9821567</v>
      </c>
      <c r="I220" s="118">
        <v>1</v>
      </c>
      <c r="J220" s="118"/>
      <c r="K220" s="118"/>
      <c r="L220" s="118">
        <v>1</v>
      </c>
      <c r="M220" s="118"/>
      <c r="N220" s="118">
        <v>1</v>
      </c>
      <c r="O220" s="142">
        <v>1</v>
      </c>
      <c r="P220" s="118" t="s">
        <v>468</v>
      </c>
      <c r="Q220" s="118" t="s">
        <v>1162</v>
      </c>
      <c r="R220" s="118" t="s">
        <v>25</v>
      </c>
      <c r="S220" s="118">
        <v>1</v>
      </c>
      <c r="T220" s="118"/>
      <c r="U220" s="118"/>
      <c r="V220" s="118"/>
      <c r="W220" s="118" t="s">
        <v>11</v>
      </c>
      <c r="X220" s="118" t="s">
        <v>24</v>
      </c>
      <c r="Y220" s="118" t="s">
        <v>13</v>
      </c>
      <c r="Z220" s="118"/>
      <c r="AA220" s="118"/>
      <c r="AB220" s="118"/>
      <c r="AC220" s="145"/>
      <c r="AD220" s="573">
        <v>1</v>
      </c>
      <c r="AE220" s="573">
        <v>2</v>
      </c>
      <c r="AF220" s="159">
        <v>1</v>
      </c>
      <c r="AG220" s="160" t="s">
        <v>2910</v>
      </c>
      <c r="AH220" s="122">
        <v>2</v>
      </c>
      <c r="AI220" s="485"/>
      <c r="AJ220" s="204" t="s">
        <v>2909</v>
      </c>
      <c r="AK220" s="192">
        <v>1</v>
      </c>
      <c r="AL220" s="205">
        <v>0</v>
      </c>
      <c r="AM220" s="122">
        <f>34+17+14</f>
        <v>65</v>
      </c>
      <c r="AN220" s="122">
        <v>34</v>
      </c>
      <c r="AO220" s="122" t="s">
        <v>2873</v>
      </c>
      <c r="AP220" s="122" t="s">
        <v>24</v>
      </c>
      <c r="AQ220" s="122" t="s">
        <v>24</v>
      </c>
      <c r="AR220" s="122">
        <v>46</v>
      </c>
      <c r="AS220" s="122">
        <v>3.4</v>
      </c>
      <c r="AT220" s="122">
        <f>(42.2 + 44.5) / 2</f>
        <v>43.35</v>
      </c>
      <c r="AU220" s="122">
        <f xml:space="preserve"> (4.8+3.9) /2</f>
        <v>4.3499999999999996</v>
      </c>
      <c r="AV220" s="122" t="s">
        <v>1874</v>
      </c>
      <c r="AW220" s="122" t="s">
        <v>24</v>
      </c>
      <c r="AX220" s="122" t="s">
        <v>24</v>
      </c>
      <c r="AY220" s="122" t="s">
        <v>2874</v>
      </c>
      <c r="AZ220" s="122" t="s">
        <v>2875</v>
      </c>
      <c r="BA220" s="122" t="s">
        <v>2876</v>
      </c>
      <c r="BB220" s="588"/>
      <c r="BC220" s="588"/>
      <c r="BD220" s="161">
        <v>1</v>
      </c>
      <c r="BE220" s="161"/>
      <c r="BF220" s="161"/>
      <c r="BG220" s="161"/>
      <c r="BH220" s="161"/>
      <c r="BI220" s="161"/>
      <c r="BJ220" s="161"/>
      <c r="BK220" s="161"/>
      <c r="BL220" s="161"/>
      <c r="BM220" s="161"/>
      <c r="BN220" s="161"/>
      <c r="BO220" s="161"/>
      <c r="BP220" s="161"/>
      <c r="BQ220" s="596" t="s">
        <v>2880</v>
      </c>
      <c r="BR220" s="162" t="s">
        <v>6596</v>
      </c>
      <c r="BS220" s="660"/>
      <c r="BT220" s="150" t="s">
        <v>1876</v>
      </c>
      <c r="BU220" s="150">
        <v>3</v>
      </c>
      <c r="BV220" s="150" t="s">
        <v>2877</v>
      </c>
      <c r="BW220" s="150" t="s">
        <v>2470</v>
      </c>
      <c r="BX220" s="150" t="s">
        <v>2878</v>
      </c>
      <c r="BY220" s="150" t="s">
        <v>6638</v>
      </c>
      <c r="BZ220" s="258" t="s">
        <v>2908</v>
      </c>
      <c r="CA220" s="257">
        <v>0</v>
      </c>
      <c r="CB220" s="151" t="s">
        <v>2893</v>
      </c>
      <c r="CC220" s="150">
        <v>245.863</v>
      </c>
      <c r="CD220" s="150" t="s">
        <v>2882</v>
      </c>
      <c r="CE220" s="150" t="s">
        <v>2882</v>
      </c>
      <c r="CF220" s="151" t="s">
        <v>2894</v>
      </c>
      <c r="CG220" s="150">
        <v>161.15100000000001</v>
      </c>
      <c r="CH220" s="150" t="s">
        <v>2882</v>
      </c>
      <c r="CI220" s="150" t="s">
        <v>2882</v>
      </c>
      <c r="CJ220" s="290" t="s">
        <v>24</v>
      </c>
      <c r="CK220" s="291" t="s">
        <v>24</v>
      </c>
      <c r="CL220" s="151" t="s">
        <v>2895</v>
      </c>
      <c r="CM220" s="150">
        <v>225.86500000000001</v>
      </c>
      <c r="CN220" s="150" t="s">
        <v>2882</v>
      </c>
      <c r="CO220" s="150" t="s">
        <v>2882</v>
      </c>
      <c r="CP220" s="151" t="s">
        <v>2896</v>
      </c>
      <c r="CQ220" s="150">
        <v>118.075</v>
      </c>
      <c r="CR220" s="150" t="s">
        <v>2882</v>
      </c>
      <c r="CS220" s="150" t="s">
        <v>2882</v>
      </c>
      <c r="CT220" s="290" t="s">
        <v>24</v>
      </c>
      <c r="CU220" s="291" t="s">
        <v>24</v>
      </c>
      <c r="CV220" s="278" t="s">
        <v>24</v>
      </c>
      <c r="CW220" s="285" t="s">
        <v>24</v>
      </c>
      <c r="CX220" s="151" t="s">
        <v>2897</v>
      </c>
      <c r="CY220" s="150">
        <v>412.01799999999997</v>
      </c>
      <c r="CZ220" s="150" t="s">
        <v>2882</v>
      </c>
      <c r="DA220" s="150" t="s">
        <v>2882</v>
      </c>
      <c r="DB220" s="151" t="s">
        <v>2898</v>
      </c>
      <c r="DC220" s="150">
        <v>280.38200000000001</v>
      </c>
      <c r="DD220" s="150" t="s">
        <v>2882</v>
      </c>
      <c r="DE220" s="150" t="s">
        <v>2882</v>
      </c>
      <c r="DF220" s="302" t="s">
        <v>24</v>
      </c>
      <c r="DG220" s="303" t="s">
        <v>24</v>
      </c>
      <c r="DH220" s="151" t="s">
        <v>2899</v>
      </c>
      <c r="DI220" s="150">
        <v>169.233</v>
      </c>
      <c r="DJ220" s="150" t="s">
        <v>2882</v>
      </c>
      <c r="DK220" s="150" t="s">
        <v>2882</v>
      </c>
      <c r="DL220" s="151" t="s">
        <v>2900</v>
      </c>
      <c r="DM220" s="150">
        <v>94.518799999999999</v>
      </c>
      <c r="DN220" s="150" t="s">
        <v>2882</v>
      </c>
      <c r="DO220" s="150" t="s">
        <v>2882</v>
      </c>
      <c r="DP220" s="302" t="s">
        <v>24</v>
      </c>
      <c r="DQ220" s="303" t="s">
        <v>24</v>
      </c>
      <c r="DR220" s="278" t="s">
        <v>24</v>
      </c>
      <c r="DS220" s="279" t="s">
        <v>24</v>
      </c>
      <c r="DT220" s="151" t="s">
        <v>2901</v>
      </c>
      <c r="DU220" s="150">
        <v>142.31200000000001</v>
      </c>
      <c r="DV220" s="150" t="s">
        <v>2882</v>
      </c>
      <c r="DW220" s="150" t="s">
        <v>2882</v>
      </c>
      <c r="DX220" s="151" t="s">
        <v>2902</v>
      </c>
      <c r="DY220" s="150">
        <v>62.982300000000002</v>
      </c>
      <c r="DZ220" s="150" t="s">
        <v>2882</v>
      </c>
      <c r="EA220" s="150" t="s">
        <v>2882</v>
      </c>
      <c r="EB220" s="303" t="s">
        <v>24</v>
      </c>
      <c r="EC220" s="303" t="s">
        <v>24</v>
      </c>
      <c r="ED220" s="151" t="s">
        <v>2903</v>
      </c>
      <c r="EE220" s="150">
        <v>316.15499999999997</v>
      </c>
      <c r="EF220" s="150" t="s">
        <v>2882</v>
      </c>
      <c r="EG220" s="150" t="s">
        <v>2882</v>
      </c>
      <c r="EH220" s="151" t="s">
        <v>2904</v>
      </c>
      <c r="EI220" s="150">
        <v>184.51900000000001</v>
      </c>
      <c r="EJ220" s="150" t="s">
        <v>2882</v>
      </c>
      <c r="EK220" s="150" t="s">
        <v>2882</v>
      </c>
      <c r="EL220" s="303" t="s">
        <v>24</v>
      </c>
      <c r="EM220" s="303" t="s">
        <v>24</v>
      </c>
      <c r="EN220" s="278" t="s">
        <v>2907</v>
      </c>
      <c r="EO220" s="150"/>
      <c r="EP220" s="150"/>
      <c r="EQ220" s="150"/>
      <c r="ER220" s="150"/>
      <c r="ES220" s="150"/>
      <c r="ET220" s="150"/>
      <c r="EU220" s="150"/>
      <c r="EV220" s="150"/>
      <c r="EW220" s="303"/>
      <c r="EX220" s="303"/>
      <c r="EY220" s="150"/>
      <c r="EZ220" s="150"/>
      <c r="FA220" s="150"/>
      <c r="FB220" s="150"/>
      <c r="FC220" s="134"/>
      <c r="FD220" s="134"/>
      <c r="FE220" s="134"/>
      <c r="FF220" s="134"/>
      <c r="FG220" s="135"/>
      <c r="FH220" s="135"/>
      <c r="FI220" s="134"/>
      <c r="FJ220" s="134"/>
      <c r="FK220" s="134"/>
      <c r="FL220" s="134"/>
      <c r="FM220" s="134"/>
      <c r="FN220" s="134"/>
      <c r="FO220" s="134"/>
      <c r="FP220" s="134"/>
      <c r="FQ220" s="135"/>
      <c r="FR220" s="135"/>
      <c r="FS220" s="134"/>
      <c r="FT220" s="134"/>
      <c r="FU220" s="134"/>
      <c r="FV220" s="134"/>
      <c r="FW220" s="134"/>
      <c r="FX220" s="134"/>
      <c r="FY220" s="134"/>
      <c r="FZ220" s="134"/>
      <c r="GA220" s="135"/>
      <c r="GB220" s="135"/>
      <c r="GC220" s="134"/>
      <c r="GD220" s="134"/>
      <c r="GE220" s="134"/>
      <c r="GF220" s="134"/>
      <c r="GG220" s="134"/>
      <c r="GH220" s="134"/>
      <c r="GI220" s="134"/>
      <c r="GJ220" s="134"/>
      <c r="GK220" s="135"/>
      <c r="GL220" s="135"/>
      <c r="GM220" s="134"/>
      <c r="GN220" s="134"/>
      <c r="GO220" s="134"/>
      <c r="GP220" s="134"/>
      <c r="GQ220" s="134"/>
      <c r="GR220" s="134"/>
      <c r="GS220" s="134"/>
      <c r="GT220" s="134"/>
      <c r="GU220" s="135"/>
      <c r="GV220" s="135"/>
      <c r="GW220" s="134"/>
      <c r="GX220" s="134"/>
      <c r="GY220" s="134"/>
      <c r="GZ220" s="134"/>
      <c r="HA220" s="134"/>
      <c r="HB220" s="134"/>
      <c r="HC220" s="134"/>
      <c r="HD220" s="134"/>
      <c r="HE220" s="135"/>
      <c r="HF220" s="135"/>
      <c r="HG220" s="134"/>
      <c r="HH220" s="134"/>
      <c r="HI220" s="134"/>
      <c r="HJ220" s="134"/>
      <c r="HK220" s="134"/>
      <c r="HL220" s="134"/>
      <c r="HM220" s="134"/>
      <c r="HN220" s="134"/>
      <c r="HO220" s="135"/>
      <c r="HP220" s="135"/>
      <c r="HQ220" s="134"/>
      <c r="HR220" s="134"/>
      <c r="HS220" s="134"/>
      <c r="HT220" s="134"/>
      <c r="HU220" s="134"/>
      <c r="HV220" s="134"/>
      <c r="HW220" s="134"/>
      <c r="HX220" s="134"/>
      <c r="HY220" s="135"/>
      <c r="HZ220" s="135"/>
      <c r="IA220" s="134"/>
      <c r="IB220" s="134"/>
      <c r="IC220" s="134"/>
      <c r="ID220" s="134"/>
      <c r="IE220" s="134"/>
      <c r="IF220" s="134"/>
      <c r="IG220" s="134"/>
      <c r="IH220" s="134"/>
      <c r="II220" s="135"/>
      <c r="IJ220" s="135"/>
      <c r="IK220" s="134"/>
      <c r="IL220" s="134"/>
      <c r="IM220" s="134"/>
      <c r="IN220" s="134"/>
      <c r="IO220" s="134"/>
      <c r="IP220" s="134"/>
      <c r="IQ220" s="134"/>
      <c r="IR220" s="134"/>
      <c r="IS220" s="135"/>
      <c r="IT220" s="135"/>
      <c r="IU220" s="134"/>
      <c r="IV220" s="134"/>
      <c r="IW220" s="134"/>
      <c r="IX220" s="134"/>
      <c r="IY220" s="134"/>
      <c r="IZ220" s="134"/>
      <c r="JA220" s="134"/>
      <c r="JB220" s="134"/>
      <c r="JC220" s="135"/>
      <c r="JD220" s="135"/>
    </row>
    <row r="221" spans="1:264" customFormat="1" ht="15" customHeight="1">
      <c r="A221" s="79" t="s">
        <v>1060</v>
      </c>
      <c r="B221" s="614">
        <v>18</v>
      </c>
      <c r="C221" s="614"/>
      <c r="D221" s="614"/>
      <c r="E221" s="604" t="s">
        <v>2072</v>
      </c>
      <c r="F221" s="124" t="s">
        <v>2324</v>
      </c>
      <c r="G221" s="125">
        <v>2011</v>
      </c>
      <c r="H221" s="79">
        <v>21285873</v>
      </c>
      <c r="I221" s="79">
        <v>1</v>
      </c>
      <c r="J221" s="126"/>
      <c r="K221" s="127"/>
      <c r="L221" s="79">
        <v>1</v>
      </c>
      <c r="M221" s="79"/>
      <c r="N221" s="79">
        <v>1</v>
      </c>
      <c r="O221" s="128">
        <v>2</v>
      </c>
      <c r="P221" s="79" t="s">
        <v>1329</v>
      </c>
      <c r="Q221" s="79" t="s">
        <v>1169</v>
      </c>
      <c r="R221" s="79" t="s">
        <v>1127</v>
      </c>
      <c r="S221" s="79"/>
      <c r="T221" s="79" t="s">
        <v>1541</v>
      </c>
      <c r="U221" s="79" t="s">
        <v>803</v>
      </c>
      <c r="V221" s="79"/>
      <c r="W221" s="79" t="s">
        <v>1328</v>
      </c>
      <c r="X221" s="79"/>
      <c r="Y221" s="79" t="s">
        <v>1132</v>
      </c>
      <c r="Z221" s="79"/>
      <c r="AA221" s="79"/>
      <c r="AB221" s="79"/>
      <c r="AC221" s="506"/>
      <c r="AD221" s="573">
        <v>1</v>
      </c>
      <c r="AE221" s="573">
        <v>2</v>
      </c>
      <c r="AF221" s="233" t="s">
        <v>1917</v>
      </c>
      <c r="AG221" s="234" t="s">
        <v>3332</v>
      </c>
      <c r="AH221" s="135">
        <v>4</v>
      </c>
      <c r="AI221" s="484"/>
      <c r="AJ221" s="235" t="s">
        <v>2930</v>
      </c>
      <c r="AK221" s="192">
        <v>0</v>
      </c>
      <c r="AL221" s="237">
        <v>1</v>
      </c>
      <c r="AM221" s="135" t="s">
        <v>2929</v>
      </c>
      <c r="AN221" s="135" t="s">
        <v>2928</v>
      </c>
      <c r="AO221" s="135" t="s">
        <v>2928</v>
      </c>
      <c r="AP221" s="135" t="s">
        <v>803</v>
      </c>
      <c r="AQ221" s="135" t="s">
        <v>803</v>
      </c>
      <c r="AR221" s="135" t="s">
        <v>24</v>
      </c>
      <c r="AS221" s="135" t="s">
        <v>24</v>
      </c>
      <c r="AT221" s="135" t="s">
        <v>24</v>
      </c>
      <c r="AU221" s="135" t="s">
        <v>24</v>
      </c>
      <c r="AV221" s="135" t="s">
        <v>2911</v>
      </c>
      <c r="AW221" s="135">
        <v>1</v>
      </c>
      <c r="AX221" s="135" t="s">
        <v>3340</v>
      </c>
      <c r="AY221" s="238" t="s">
        <v>2914</v>
      </c>
      <c r="AZ221" s="135" t="s">
        <v>2912</v>
      </c>
      <c r="BA221" s="135" t="s">
        <v>2554</v>
      </c>
      <c r="BB221" s="594"/>
      <c r="BC221" s="594"/>
      <c r="BD221" s="156">
        <v>1</v>
      </c>
      <c r="BE221" s="156"/>
      <c r="BF221" s="156"/>
      <c r="BG221" s="156"/>
      <c r="BH221" s="156"/>
      <c r="BI221" s="156"/>
      <c r="BJ221" s="156"/>
      <c r="BK221" s="156"/>
      <c r="BL221" s="156"/>
      <c r="BM221" s="156"/>
      <c r="BN221" s="156"/>
      <c r="BO221" s="156"/>
      <c r="BP221" s="156"/>
      <c r="BQ221" s="595" t="s">
        <v>2493</v>
      </c>
      <c r="BR221" s="157" t="s">
        <v>6595</v>
      </c>
      <c r="BS221" s="660"/>
      <c r="BT221" s="134" t="s">
        <v>1876</v>
      </c>
      <c r="BU221" s="134" t="s">
        <v>2927</v>
      </c>
      <c r="BV221" s="134" t="s">
        <v>2913</v>
      </c>
      <c r="BW221" s="134" t="s">
        <v>1121</v>
      </c>
      <c r="BX221" s="134" t="s">
        <v>2659</v>
      </c>
      <c r="BY221" s="134" t="s">
        <v>2659</v>
      </c>
      <c r="BZ221" s="259" t="s">
        <v>2931</v>
      </c>
      <c r="CA221" s="454" t="s">
        <v>6627</v>
      </c>
      <c r="CB221" s="138" t="s">
        <v>2919</v>
      </c>
      <c r="CC221" s="134">
        <v>2.7356600000000002</v>
      </c>
      <c r="CD221" s="134" t="s">
        <v>24</v>
      </c>
      <c r="CE221" s="134">
        <f>5.19593-Table668[[#This Row],[Data_Outcome1_M]]</f>
        <v>2.4602699999999995</v>
      </c>
      <c r="CF221" s="138" t="s">
        <v>2920</v>
      </c>
      <c r="CG221" s="134">
        <v>61.8371</v>
      </c>
      <c r="CH221" s="134" t="s">
        <v>24</v>
      </c>
      <c r="CI221" s="134">
        <f>68.1005-Table668[[#This Row],[Data_Outcome2_M]]</f>
        <v>6.2633999999999972</v>
      </c>
      <c r="CJ221" s="288" t="s">
        <v>2921</v>
      </c>
      <c r="CK221" s="289" t="s">
        <v>2922</v>
      </c>
      <c r="CL221" s="138" t="s">
        <v>2918</v>
      </c>
      <c r="CM221" s="134">
        <v>0.965001</v>
      </c>
      <c r="CN221" s="134" t="s">
        <v>24</v>
      </c>
      <c r="CO221" s="134">
        <f>2.22051-Table668[[#This Row],[Data_Outcome3_M]]</f>
        <v>1.255509</v>
      </c>
      <c r="CP221" s="138" t="s">
        <v>2917</v>
      </c>
      <c r="CQ221" s="134">
        <v>63.9559</v>
      </c>
      <c r="CR221" s="134" t="s">
        <v>24</v>
      </c>
      <c r="CS221" s="134">
        <f>70.4416-Table668[[#This Row],[Data_Outcome4_M]]</f>
        <v>6.4856999999999942</v>
      </c>
      <c r="CT221" s="288" t="s">
        <v>2923</v>
      </c>
      <c r="CU221" s="289" t="s">
        <v>2924</v>
      </c>
      <c r="CV221" s="276" t="s">
        <v>24</v>
      </c>
      <c r="CW221" s="308" t="s">
        <v>24</v>
      </c>
      <c r="CX221" s="138" t="s">
        <v>2916</v>
      </c>
      <c r="CY221" s="134">
        <v>3.4542600000000001</v>
      </c>
      <c r="CZ221" s="134" t="s">
        <v>24</v>
      </c>
      <c r="DA221" s="134">
        <f>6.36459-Table668[[#This Row],[Data_Outcome5_M]]</f>
        <v>2.9103299999999996</v>
      </c>
      <c r="DB221" s="138" t="s">
        <v>2915</v>
      </c>
      <c r="DC221" s="134">
        <v>69.378</v>
      </c>
      <c r="DD221" s="134" t="s">
        <v>24</v>
      </c>
      <c r="DE221" s="134">
        <f>72.9123-Table668[[#This Row],[Data_Outcome6_M]]</f>
        <v>3.5343000000000018</v>
      </c>
      <c r="DF221" s="300" t="s">
        <v>2925</v>
      </c>
      <c r="DG221" s="301" t="s">
        <v>2926</v>
      </c>
      <c r="DH221" s="134" t="s">
        <v>24</v>
      </c>
      <c r="DI221" s="134" t="s">
        <v>24</v>
      </c>
      <c r="DJ221" s="134"/>
      <c r="DK221" s="134"/>
      <c r="DL221" s="134"/>
      <c r="DM221" s="134"/>
      <c r="DN221" s="134"/>
      <c r="DO221" s="134"/>
      <c r="DP221" s="300"/>
      <c r="DQ221" s="301"/>
      <c r="DR221" s="276"/>
      <c r="DS221" s="277"/>
      <c r="DT221" s="134"/>
      <c r="DU221" s="134"/>
      <c r="DV221" s="134"/>
      <c r="DW221" s="134"/>
      <c r="DX221" s="138"/>
      <c r="DY221" s="134"/>
      <c r="DZ221" s="134"/>
      <c r="EA221" s="134"/>
      <c r="EB221" s="301"/>
      <c r="EC221" s="301"/>
      <c r="ED221" s="138"/>
      <c r="EE221" s="134"/>
      <c r="EF221" s="134"/>
      <c r="EG221" s="134"/>
      <c r="EH221" s="138"/>
      <c r="EI221" s="134"/>
      <c r="EJ221" s="134"/>
      <c r="EK221" s="134"/>
      <c r="EL221" s="301"/>
      <c r="EM221" s="301"/>
      <c r="EN221" s="277"/>
      <c r="EO221" s="134"/>
      <c r="EP221" s="134"/>
      <c r="EQ221" s="134"/>
      <c r="ER221" s="134"/>
      <c r="ES221" s="134"/>
      <c r="ET221" s="134"/>
      <c r="EU221" s="134"/>
      <c r="EV221" s="134"/>
      <c r="EW221" s="301"/>
      <c r="EX221" s="301"/>
      <c r="EY221" s="134"/>
      <c r="EZ221" s="134"/>
      <c r="FA221" s="134"/>
      <c r="FB221" s="134"/>
      <c r="FC221" s="134"/>
      <c r="FD221" s="134"/>
      <c r="FE221" s="134"/>
      <c r="FF221" s="134"/>
      <c r="FG221" s="135"/>
      <c r="FH221" s="135"/>
      <c r="FI221" s="134"/>
      <c r="FJ221" s="134"/>
      <c r="FK221" s="134"/>
      <c r="FL221" s="134"/>
      <c r="FM221" s="134"/>
      <c r="FN221" s="134"/>
      <c r="FO221" s="134"/>
      <c r="FP221" s="134"/>
      <c r="FQ221" s="135"/>
      <c r="FR221" s="135"/>
      <c r="FS221" s="134"/>
      <c r="FT221" s="134"/>
      <c r="FU221" s="134"/>
      <c r="FV221" s="134"/>
      <c r="FW221" s="134"/>
      <c r="FX221" s="134"/>
      <c r="FY221" s="134"/>
      <c r="FZ221" s="134"/>
      <c r="GA221" s="135"/>
      <c r="GB221" s="135"/>
      <c r="GC221" s="134"/>
      <c r="GD221" s="134"/>
      <c r="GE221" s="134"/>
      <c r="GF221" s="134"/>
      <c r="GG221" s="134"/>
      <c r="GH221" s="134"/>
      <c r="GI221" s="134"/>
      <c r="GJ221" s="134"/>
      <c r="GK221" s="135"/>
      <c r="GL221" s="135"/>
      <c r="GM221" s="134"/>
      <c r="GN221" s="134"/>
      <c r="GO221" s="134"/>
      <c r="GP221" s="134"/>
      <c r="GQ221" s="134"/>
      <c r="GR221" s="134"/>
      <c r="GS221" s="134"/>
      <c r="GT221" s="134"/>
      <c r="GU221" s="135"/>
      <c r="GV221" s="135"/>
      <c r="GW221" s="134"/>
      <c r="GX221" s="134"/>
      <c r="GY221" s="134"/>
      <c r="GZ221" s="134"/>
      <c r="HA221" s="134"/>
      <c r="HB221" s="134"/>
      <c r="HC221" s="134"/>
      <c r="HD221" s="134"/>
      <c r="HE221" s="135"/>
      <c r="HF221" s="135"/>
      <c r="HG221" s="134"/>
      <c r="HH221" s="134"/>
      <c r="HI221" s="134"/>
      <c r="HJ221" s="134"/>
      <c r="HK221" s="134"/>
      <c r="HL221" s="134"/>
      <c r="HM221" s="134"/>
      <c r="HN221" s="134"/>
      <c r="HO221" s="135"/>
      <c r="HP221" s="135"/>
      <c r="HQ221" s="134"/>
      <c r="HR221" s="134"/>
      <c r="HS221" s="134"/>
      <c r="HT221" s="134"/>
      <c r="HU221" s="134"/>
      <c r="HV221" s="134"/>
      <c r="HW221" s="134"/>
      <c r="HX221" s="134"/>
      <c r="HY221" s="135"/>
      <c r="HZ221" s="135"/>
      <c r="IA221" s="134"/>
      <c r="IB221" s="134"/>
      <c r="IC221" s="134"/>
      <c r="ID221" s="134"/>
      <c r="IE221" s="134"/>
      <c r="IF221" s="134"/>
      <c r="IG221" s="134"/>
      <c r="IH221" s="134"/>
      <c r="II221" s="135"/>
      <c r="IJ221" s="135"/>
      <c r="IK221" s="134"/>
      <c r="IL221" s="134"/>
      <c r="IM221" s="134"/>
      <c r="IN221" s="134"/>
      <c r="IO221" s="134"/>
      <c r="IP221" s="134"/>
      <c r="IQ221" s="134"/>
      <c r="IR221" s="134"/>
      <c r="IS221" s="135"/>
      <c r="IT221" s="135"/>
      <c r="IU221" s="134"/>
      <c r="IV221" s="134"/>
      <c r="IW221" s="134"/>
      <c r="IX221" s="134"/>
      <c r="IY221" s="134"/>
      <c r="IZ221" s="134"/>
      <c r="JA221" s="134"/>
      <c r="JB221" s="134"/>
      <c r="JC221" s="135"/>
      <c r="JD221" s="135"/>
    </row>
    <row r="222" spans="1:264" customFormat="1" ht="15" customHeight="1">
      <c r="A222" s="79" t="s">
        <v>1058</v>
      </c>
      <c r="B222" s="362">
        <v>120</v>
      </c>
      <c r="C222" s="362">
        <v>29</v>
      </c>
      <c r="D222" s="362"/>
      <c r="E222" s="604" t="s">
        <v>2073</v>
      </c>
      <c r="F222" s="124" t="s">
        <v>2325</v>
      </c>
      <c r="G222" s="125">
        <v>2004</v>
      </c>
      <c r="H222" s="79">
        <v>15677425</v>
      </c>
      <c r="I222" s="79">
        <v>1</v>
      </c>
      <c r="J222" s="126"/>
      <c r="K222" s="127"/>
      <c r="L222" s="79">
        <v>1</v>
      </c>
      <c r="M222" s="79"/>
      <c r="N222" s="79">
        <v>1</v>
      </c>
      <c r="O222" s="128">
        <v>2</v>
      </c>
      <c r="P222" s="79" t="s">
        <v>1586</v>
      </c>
      <c r="Q222" s="79" t="s">
        <v>1147</v>
      </c>
      <c r="R222" s="79" t="s">
        <v>1127</v>
      </c>
      <c r="S222" s="79"/>
      <c r="T222" s="79" t="s">
        <v>1334</v>
      </c>
      <c r="U222" s="79"/>
      <c r="V222" s="79"/>
      <c r="W222" s="79"/>
      <c r="X222" s="79" t="s">
        <v>1335</v>
      </c>
      <c r="Y222" s="79"/>
      <c r="Z222" s="79"/>
      <c r="AA222" s="79"/>
      <c r="AB222" s="79"/>
      <c r="AC222" s="506"/>
      <c r="AD222" s="573">
        <v>1</v>
      </c>
      <c r="AE222" s="573">
        <v>2</v>
      </c>
      <c r="AF222" s="154">
        <v>1</v>
      </c>
      <c r="AG222" s="155"/>
      <c r="AH222" s="121">
        <v>4</v>
      </c>
      <c r="AI222" s="484"/>
      <c r="AJ222" s="202"/>
      <c r="AK222" s="192">
        <v>0</v>
      </c>
      <c r="AL222" s="203">
        <v>1</v>
      </c>
      <c r="AM222" s="121" t="s">
        <v>4512</v>
      </c>
      <c r="AN222" s="121" t="s">
        <v>4511</v>
      </c>
      <c r="AO222" s="121" t="s">
        <v>4511</v>
      </c>
      <c r="AP222" s="121" t="s">
        <v>4373</v>
      </c>
      <c r="AQ222" s="121" t="s">
        <v>4373</v>
      </c>
      <c r="AR222" s="121" t="s">
        <v>24</v>
      </c>
      <c r="AS222" s="121" t="s">
        <v>24</v>
      </c>
      <c r="AT222" s="121" t="s">
        <v>24</v>
      </c>
      <c r="AU222" s="121" t="s">
        <v>24</v>
      </c>
      <c r="AV222" s="470" t="s">
        <v>6718</v>
      </c>
      <c r="AW222" s="121" t="s">
        <v>4505</v>
      </c>
      <c r="AX222" s="121" t="s">
        <v>4505</v>
      </c>
      <c r="AY222" s="121" t="s">
        <v>2496</v>
      </c>
      <c r="AZ222" s="121" t="s">
        <v>4507</v>
      </c>
      <c r="BA222" s="121" t="s">
        <v>4508</v>
      </c>
      <c r="BB222" s="594"/>
      <c r="BC222" s="594"/>
      <c r="BD222" s="156"/>
      <c r="BE222" s="156"/>
      <c r="BF222" s="156"/>
      <c r="BG222" s="156"/>
      <c r="BH222" s="156"/>
      <c r="BI222" s="156"/>
      <c r="BJ222" s="156">
        <v>1</v>
      </c>
      <c r="BK222" s="156"/>
      <c r="BL222" s="156"/>
      <c r="BM222" s="156"/>
      <c r="BN222" s="156"/>
      <c r="BO222" s="156"/>
      <c r="BP222" s="156"/>
      <c r="BQ222" s="595" t="s">
        <v>1586</v>
      </c>
      <c r="BR222" s="157" t="s">
        <v>6613</v>
      </c>
      <c r="BS222" s="660"/>
      <c r="BT222" s="134" t="s">
        <v>1876</v>
      </c>
      <c r="BU222" s="134" t="s">
        <v>4513</v>
      </c>
      <c r="BV222" s="134" t="s">
        <v>4504</v>
      </c>
      <c r="BW222" s="134" t="s">
        <v>4510</v>
      </c>
      <c r="BX222" s="134" t="s">
        <v>4509</v>
      </c>
      <c r="BY222" s="134"/>
      <c r="BZ222" s="471" t="s">
        <v>4518</v>
      </c>
      <c r="CA222" s="624" t="s">
        <v>24</v>
      </c>
      <c r="CB222" s="138" t="s">
        <v>4514</v>
      </c>
      <c r="CC222" s="134">
        <v>0.351381</v>
      </c>
      <c r="CD222" s="134" t="s">
        <v>24</v>
      </c>
      <c r="CE222" s="134">
        <f>0.377901-Table668[[#This Row],[Data_Outcome1_M]]</f>
        <v>2.6519999999999988E-2</v>
      </c>
      <c r="CF222" s="138" t="s">
        <v>4515</v>
      </c>
      <c r="CG222" s="134">
        <v>0.59834299999999996</v>
      </c>
      <c r="CH222" s="134" t="s">
        <v>24</v>
      </c>
      <c r="CI222" s="134">
        <f>0.619889-Table668[[#This Row],[Data_Outcome2_M]]</f>
        <v>2.1546000000000065E-2</v>
      </c>
      <c r="CJ222" s="288" t="s">
        <v>4516</v>
      </c>
      <c r="CK222" s="289" t="s">
        <v>4517</v>
      </c>
      <c r="CL222" s="138"/>
      <c r="CM222" s="134"/>
      <c r="CN222" s="134"/>
      <c r="CO222" s="134"/>
      <c r="CP222" s="138"/>
      <c r="CQ222" s="134"/>
      <c r="CR222" s="134"/>
      <c r="CS222" s="134"/>
      <c r="CT222" s="288"/>
      <c r="CU222" s="289"/>
      <c r="CV222" s="276"/>
      <c r="CW222" s="308"/>
      <c r="CX222" s="138"/>
      <c r="CY222" s="134"/>
      <c r="CZ222" s="134"/>
      <c r="DA222" s="134"/>
      <c r="DB222" s="134"/>
      <c r="DC222" s="134"/>
      <c r="DD222" s="134"/>
      <c r="DE222" s="134"/>
      <c r="DF222" s="300"/>
      <c r="DG222" s="301"/>
      <c r="DH222" s="134"/>
      <c r="DI222" s="134"/>
      <c r="DJ222" s="134"/>
      <c r="DK222" s="134"/>
      <c r="DL222" s="134"/>
      <c r="DM222" s="134"/>
      <c r="DN222" s="134"/>
      <c r="DO222" s="134"/>
      <c r="DP222" s="300"/>
      <c r="DQ222" s="301"/>
      <c r="DR222" s="276"/>
      <c r="DS222" s="277"/>
      <c r="DT222" s="134"/>
      <c r="DU222" s="134"/>
      <c r="DV222" s="134"/>
      <c r="DW222" s="134"/>
      <c r="DX222" s="138"/>
      <c r="DY222" s="134"/>
      <c r="DZ222" s="134"/>
      <c r="EA222" s="134"/>
      <c r="EB222" s="301"/>
      <c r="EC222" s="301"/>
      <c r="ED222" s="138"/>
      <c r="EE222" s="134"/>
      <c r="EF222" s="134"/>
      <c r="EG222" s="134"/>
      <c r="EH222" s="138"/>
      <c r="EI222" s="134"/>
      <c r="EJ222" s="134"/>
      <c r="EK222" s="134"/>
      <c r="EL222" s="301"/>
      <c r="EM222" s="301"/>
      <c r="EN222" s="277"/>
      <c r="EO222" s="134"/>
      <c r="EP222" s="134"/>
      <c r="EQ222" s="134"/>
      <c r="ER222" s="134"/>
      <c r="ES222" s="134"/>
      <c r="ET222" s="134"/>
      <c r="EU222" s="134"/>
      <c r="EV222" s="134"/>
      <c r="EW222" s="301"/>
      <c r="EX222" s="301"/>
      <c r="EY222" s="134"/>
      <c r="EZ222" s="134"/>
      <c r="FA222" s="134"/>
      <c r="FB222" s="134"/>
      <c r="FC222" s="134"/>
      <c r="FD222" s="134"/>
      <c r="FE222" s="134"/>
      <c r="FF222" s="134"/>
      <c r="FG222" s="135"/>
      <c r="FH222" s="135"/>
      <c r="FI222" s="134"/>
      <c r="FJ222" s="134"/>
      <c r="FK222" s="134"/>
      <c r="FL222" s="134"/>
      <c r="FM222" s="134"/>
      <c r="FN222" s="134"/>
      <c r="FO222" s="134"/>
      <c r="FP222" s="134"/>
      <c r="FQ222" s="135"/>
      <c r="FR222" s="135"/>
      <c r="FS222" s="134"/>
      <c r="FT222" s="134"/>
      <c r="FU222" s="134"/>
      <c r="FV222" s="134"/>
      <c r="FW222" s="134"/>
      <c r="FX222" s="134"/>
      <c r="FY222" s="134"/>
      <c r="FZ222" s="134"/>
      <c r="GA222" s="135"/>
      <c r="GB222" s="135"/>
      <c r="GC222" s="134"/>
      <c r="GD222" s="134"/>
      <c r="GE222" s="134"/>
      <c r="GF222" s="134"/>
      <c r="GG222" s="134"/>
      <c r="GH222" s="134"/>
      <c r="GI222" s="134"/>
      <c r="GJ222" s="134"/>
      <c r="GK222" s="135"/>
      <c r="GL222" s="135"/>
      <c r="GM222" s="134"/>
      <c r="GN222" s="134"/>
      <c r="GO222" s="134"/>
      <c r="GP222" s="134"/>
      <c r="GQ222" s="134"/>
      <c r="GR222" s="134"/>
      <c r="GS222" s="134"/>
      <c r="GT222" s="134"/>
      <c r="GU222" s="135"/>
      <c r="GV222" s="135"/>
      <c r="GW222" s="134"/>
      <c r="GX222" s="134"/>
      <c r="GY222" s="134"/>
      <c r="GZ222" s="134"/>
      <c r="HA222" s="134"/>
      <c r="HB222" s="134"/>
      <c r="HC222" s="134"/>
      <c r="HD222" s="134"/>
      <c r="HE222" s="135"/>
      <c r="HF222" s="135"/>
      <c r="HG222" s="134"/>
      <c r="HH222" s="134"/>
      <c r="HI222" s="134"/>
      <c r="HJ222" s="134"/>
      <c r="HK222" s="134"/>
      <c r="HL222" s="134"/>
      <c r="HM222" s="134"/>
      <c r="HN222" s="134"/>
      <c r="HO222" s="135"/>
      <c r="HP222" s="135"/>
      <c r="HQ222" s="134"/>
      <c r="HR222" s="134"/>
      <c r="HS222" s="134"/>
      <c r="HT222" s="134"/>
      <c r="HU222" s="134"/>
      <c r="HV222" s="134"/>
      <c r="HW222" s="134"/>
      <c r="HX222" s="134"/>
      <c r="HY222" s="135"/>
      <c r="HZ222" s="135"/>
      <c r="IA222" s="134"/>
      <c r="IB222" s="134"/>
      <c r="IC222" s="134"/>
      <c r="ID222" s="134"/>
      <c r="IE222" s="134"/>
      <c r="IF222" s="134"/>
      <c r="IG222" s="134"/>
      <c r="IH222" s="134"/>
      <c r="II222" s="135"/>
      <c r="IJ222" s="135"/>
      <c r="IK222" s="134"/>
      <c r="IL222" s="134"/>
      <c r="IM222" s="134"/>
      <c r="IN222" s="134"/>
      <c r="IO222" s="134"/>
      <c r="IP222" s="134"/>
      <c r="IQ222" s="134"/>
      <c r="IR222" s="134"/>
      <c r="IS222" s="135"/>
      <c r="IT222" s="135"/>
      <c r="IU222" s="134"/>
      <c r="IV222" s="134"/>
      <c r="IW222" s="134"/>
      <c r="IX222" s="134"/>
      <c r="IY222" s="134"/>
      <c r="IZ222" s="134"/>
      <c r="JA222" s="134"/>
      <c r="JB222" s="134"/>
      <c r="JC222" s="135"/>
      <c r="JD222" s="135"/>
    </row>
    <row r="223" spans="1:264" customFormat="1" ht="15" customHeight="1">
      <c r="A223" s="79" t="s">
        <v>167</v>
      </c>
      <c r="B223" s="362">
        <v>121</v>
      </c>
      <c r="C223" s="362">
        <v>30</v>
      </c>
      <c r="D223" s="362"/>
      <c r="E223" s="604" t="s">
        <v>1960</v>
      </c>
      <c r="F223" s="124" t="s">
        <v>2182</v>
      </c>
      <c r="G223" s="125">
        <v>2011</v>
      </c>
      <c r="H223" s="79">
        <v>21047644</v>
      </c>
      <c r="I223" s="79">
        <v>1</v>
      </c>
      <c r="J223" s="126"/>
      <c r="K223" s="127"/>
      <c r="L223" s="79">
        <v>1</v>
      </c>
      <c r="M223" s="79"/>
      <c r="N223" s="79">
        <v>1</v>
      </c>
      <c r="O223" s="128">
        <v>1</v>
      </c>
      <c r="P223" s="79" t="s">
        <v>493</v>
      </c>
      <c r="Q223" s="79" t="s">
        <v>1147</v>
      </c>
      <c r="R223" s="79" t="s">
        <v>20</v>
      </c>
      <c r="S223" s="79">
        <v>1</v>
      </c>
      <c r="T223" s="79"/>
      <c r="U223" s="79"/>
      <c r="V223" s="79"/>
      <c r="W223" s="79"/>
      <c r="X223" s="79" t="s">
        <v>56</v>
      </c>
      <c r="Y223" s="79"/>
      <c r="Z223" s="79"/>
      <c r="AA223" s="79"/>
      <c r="AB223" s="79" t="s">
        <v>4541</v>
      </c>
      <c r="AC223" s="506"/>
      <c r="AD223" s="573">
        <v>1</v>
      </c>
      <c r="AE223" s="573">
        <v>2</v>
      </c>
      <c r="AF223" s="154">
        <v>1</v>
      </c>
      <c r="AG223" s="155"/>
      <c r="AH223" s="121">
        <v>2</v>
      </c>
      <c r="AI223" s="484"/>
      <c r="AJ223" s="202" t="s">
        <v>4542</v>
      </c>
      <c r="AK223" s="192">
        <v>0</v>
      </c>
      <c r="AL223" s="203" t="s">
        <v>24</v>
      </c>
      <c r="AM223" s="121">
        <f>Table668[[#This Row],[Data_Subjects_n_ptsd]]+Table668[[#This Row],[Data_Subjects_n_control]]</f>
        <v>29</v>
      </c>
      <c r="AN223" s="121">
        <v>15</v>
      </c>
      <c r="AO223" s="121">
        <v>14</v>
      </c>
      <c r="AP223" s="121" t="s">
        <v>4520</v>
      </c>
      <c r="AQ223" s="121" t="s">
        <v>4519</v>
      </c>
      <c r="AR223" s="121">
        <v>33.93</v>
      </c>
      <c r="AS223" s="121">
        <v>8.23</v>
      </c>
      <c r="AT223" s="121">
        <v>34</v>
      </c>
      <c r="AU223" s="121">
        <v>6.03</v>
      </c>
      <c r="AV223" s="121" t="s">
        <v>1874</v>
      </c>
      <c r="AW223" s="121" t="s">
        <v>24</v>
      </c>
      <c r="AX223" s="121" t="s">
        <v>24</v>
      </c>
      <c r="AY223" s="121" t="s">
        <v>4522</v>
      </c>
      <c r="AZ223" s="121" t="s">
        <v>5116</v>
      </c>
      <c r="BA223" s="121" t="s">
        <v>4521</v>
      </c>
      <c r="BB223" s="594"/>
      <c r="BC223" s="594"/>
      <c r="BD223" s="156"/>
      <c r="BE223" s="156"/>
      <c r="BF223" s="156"/>
      <c r="BG223" s="156"/>
      <c r="BH223" s="156"/>
      <c r="BI223" s="156"/>
      <c r="BJ223" s="156">
        <v>1</v>
      </c>
      <c r="BK223" s="156"/>
      <c r="BL223" s="156"/>
      <c r="BM223" s="156"/>
      <c r="BN223" s="156"/>
      <c r="BO223" s="156"/>
      <c r="BP223" s="156"/>
      <c r="BQ223" s="595" t="s">
        <v>4539</v>
      </c>
      <c r="BR223" s="157" t="s">
        <v>6612</v>
      </c>
      <c r="BS223" s="660"/>
      <c r="BT223" s="134" t="s">
        <v>1876</v>
      </c>
      <c r="BU223" s="134">
        <v>2</v>
      </c>
      <c r="BV223" s="134" t="s">
        <v>4523</v>
      </c>
      <c r="BW223" s="134" t="s">
        <v>24</v>
      </c>
      <c r="BX223" s="134" t="s">
        <v>4532</v>
      </c>
      <c r="BY223" s="134"/>
      <c r="BZ223" s="259" t="s">
        <v>4540</v>
      </c>
      <c r="CA223" s="454">
        <v>0</v>
      </c>
      <c r="CB223" s="138" t="s">
        <v>4524</v>
      </c>
      <c r="CC223" s="134">
        <v>0.52320100000000003</v>
      </c>
      <c r="CD223" s="134" t="s">
        <v>24</v>
      </c>
      <c r="CE223" s="134">
        <f>0.592438-Table668[[#This Row],[Data_Outcome1_M]]</f>
        <v>6.9236999999999993E-2</v>
      </c>
      <c r="CF223" s="138" t="s">
        <v>4525</v>
      </c>
      <c r="CG223" s="134">
        <v>0.48261900000000002</v>
      </c>
      <c r="CH223" s="134" t="s">
        <v>24</v>
      </c>
      <c r="CI223" s="134">
        <f>0.513813-Table668[[#This Row],[Data_Outcome2_M]]</f>
        <v>3.1193999999999944E-2</v>
      </c>
      <c r="CJ223" s="288" t="s">
        <v>4534</v>
      </c>
      <c r="CK223" s="289" t="s">
        <v>4535</v>
      </c>
      <c r="CL223" s="138" t="s">
        <v>4526</v>
      </c>
      <c r="CM223" s="134">
        <v>0.45033935000000003</v>
      </c>
      <c r="CN223" s="134" t="s">
        <v>24</v>
      </c>
      <c r="CO223" s="134">
        <f>0.5051253-Table668[[#This Row],[Data_Outcome3_M]]</f>
        <v>5.4785949999999972E-2</v>
      </c>
      <c r="CP223" s="138" t="s">
        <v>4527</v>
      </c>
      <c r="CQ223" s="134">
        <v>0.27660807999999998</v>
      </c>
      <c r="CR223" s="134" t="s">
        <v>24</v>
      </c>
      <c r="CS223" s="134">
        <f>0.32606238-Table668[[#This Row],[Data_Outcome4_M]]</f>
        <v>4.9454300000000007E-2</v>
      </c>
      <c r="CT223" s="288" t="s">
        <v>4533</v>
      </c>
      <c r="CU223" s="289" t="s">
        <v>4536</v>
      </c>
      <c r="CV223" s="276"/>
      <c r="CW223" s="308"/>
      <c r="CX223" s="138" t="s">
        <v>4528</v>
      </c>
      <c r="CY223" s="134">
        <v>0.29531186999999998</v>
      </c>
      <c r="CZ223" s="134" t="s">
        <v>24</v>
      </c>
      <c r="DA223" s="134">
        <f>0.3470469-Table668[[#This Row],[Data_Outcome5_M]]</f>
        <v>5.1735030000000015E-2</v>
      </c>
      <c r="DB223" s="138" t="s">
        <v>4529</v>
      </c>
      <c r="DC223" s="134">
        <v>0.36429440000000002</v>
      </c>
      <c r="DD223" s="134" t="s">
        <v>24</v>
      </c>
      <c r="DE223" s="134">
        <f>0.40005502-Table668[[#This Row],[Data_Outcome6_M]]</f>
        <v>3.5760619999999965E-2</v>
      </c>
      <c r="DF223" s="300"/>
      <c r="DG223" s="301"/>
      <c r="DH223" s="134" t="s">
        <v>4530</v>
      </c>
      <c r="DI223" s="134">
        <v>0.21712607</v>
      </c>
      <c r="DJ223" s="134" t="s">
        <v>24</v>
      </c>
      <c r="DK223" s="134">
        <f>0.25745186-Table668[[#This Row],[Data_Outcome7_M]]</f>
        <v>4.0325789999999972E-2</v>
      </c>
      <c r="DL223" s="134" t="s">
        <v>4531</v>
      </c>
      <c r="DM223" s="134">
        <v>0.16970012000000001</v>
      </c>
      <c r="DN223" s="134" t="s">
        <v>24</v>
      </c>
      <c r="DO223" s="134">
        <f>0.19937383-Table668[[#This Row],[Data_Outcome8_M]]</f>
        <v>2.9673709999999992E-2</v>
      </c>
      <c r="DP223" s="300"/>
      <c r="DQ223" s="301"/>
      <c r="DR223" s="276"/>
      <c r="DS223" s="277"/>
      <c r="DT223" s="134" t="s">
        <v>24</v>
      </c>
      <c r="DU223" s="134"/>
      <c r="DV223" s="134"/>
      <c r="DW223" s="134"/>
      <c r="DX223" s="138"/>
      <c r="DY223" s="134"/>
      <c r="DZ223" s="134"/>
      <c r="EA223" s="134"/>
      <c r="EB223" s="301"/>
      <c r="EC223" s="301"/>
      <c r="ED223" s="138"/>
      <c r="EE223" s="134"/>
      <c r="EF223" s="134"/>
      <c r="EG223" s="134"/>
      <c r="EH223" s="138"/>
      <c r="EI223" s="134"/>
      <c r="EJ223" s="134"/>
      <c r="EK223" s="134"/>
      <c r="EL223" s="301"/>
      <c r="EM223" s="301"/>
      <c r="EN223" s="277"/>
      <c r="EO223" s="134"/>
      <c r="EP223" s="134"/>
      <c r="EQ223" s="134"/>
      <c r="ER223" s="134"/>
      <c r="ES223" s="134"/>
      <c r="ET223" s="134"/>
      <c r="EU223" s="134"/>
      <c r="EV223" s="134"/>
      <c r="EW223" s="301"/>
      <c r="EX223" s="301"/>
      <c r="EY223" s="134"/>
      <c r="EZ223" s="134"/>
      <c r="FA223" s="134"/>
      <c r="FB223" s="134"/>
      <c r="FC223" s="134"/>
      <c r="FD223" s="134"/>
      <c r="FE223" s="134"/>
      <c r="FF223" s="134"/>
      <c r="FG223" s="135"/>
      <c r="FH223" s="135"/>
      <c r="FI223" s="134"/>
      <c r="FJ223" s="134"/>
      <c r="FK223" s="134"/>
      <c r="FL223" s="134"/>
      <c r="FM223" s="134"/>
      <c r="FN223" s="134"/>
      <c r="FO223" s="134"/>
      <c r="FP223" s="134"/>
      <c r="FQ223" s="135"/>
      <c r="FR223" s="135"/>
      <c r="FS223" s="134"/>
      <c r="FT223" s="134"/>
      <c r="FU223" s="134"/>
      <c r="FV223" s="134"/>
      <c r="FW223" s="134"/>
      <c r="FX223" s="134"/>
      <c r="FY223" s="134"/>
      <c r="FZ223" s="134"/>
      <c r="GA223" s="135"/>
      <c r="GB223" s="135"/>
      <c r="GC223" s="134"/>
      <c r="GD223" s="134"/>
      <c r="GE223" s="134"/>
      <c r="GF223" s="134"/>
      <c r="GG223" s="134"/>
      <c r="GH223" s="134"/>
      <c r="GI223" s="134"/>
      <c r="GJ223" s="134"/>
      <c r="GK223" s="135"/>
      <c r="GL223" s="135"/>
      <c r="GM223" s="134"/>
      <c r="GN223" s="134"/>
      <c r="GO223" s="134"/>
      <c r="GP223" s="134"/>
      <c r="GQ223" s="134"/>
      <c r="GR223" s="134"/>
      <c r="GS223" s="134"/>
      <c r="GT223" s="134"/>
      <c r="GU223" s="135"/>
      <c r="GV223" s="135"/>
      <c r="GW223" s="134"/>
      <c r="GX223" s="134"/>
      <c r="GY223" s="134"/>
      <c r="GZ223" s="134"/>
      <c r="HA223" s="134"/>
      <c r="HB223" s="134"/>
      <c r="HC223" s="134"/>
      <c r="HD223" s="134"/>
      <c r="HE223" s="135"/>
      <c r="HF223" s="135"/>
      <c r="HG223" s="134"/>
      <c r="HH223" s="134"/>
      <c r="HI223" s="134"/>
      <c r="HJ223" s="134"/>
      <c r="HK223" s="134"/>
      <c r="HL223" s="134"/>
      <c r="HM223" s="134"/>
      <c r="HN223" s="134"/>
      <c r="HO223" s="135"/>
      <c r="HP223" s="135"/>
      <c r="HQ223" s="134"/>
      <c r="HR223" s="134"/>
      <c r="HS223" s="134"/>
      <c r="HT223" s="134"/>
      <c r="HU223" s="134"/>
      <c r="HV223" s="134"/>
      <c r="HW223" s="134"/>
      <c r="HX223" s="134"/>
      <c r="HY223" s="135"/>
      <c r="HZ223" s="135"/>
      <c r="IA223" s="134"/>
      <c r="IB223" s="134"/>
      <c r="IC223" s="134"/>
      <c r="ID223" s="134"/>
      <c r="IE223" s="134"/>
      <c r="IF223" s="134"/>
      <c r="IG223" s="134"/>
      <c r="IH223" s="134"/>
      <c r="II223" s="135"/>
      <c r="IJ223" s="135"/>
      <c r="IK223" s="134"/>
      <c r="IL223" s="134"/>
      <c r="IM223" s="134"/>
      <c r="IN223" s="134"/>
      <c r="IO223" s="134"/>
      <c r="IP223" s="134"/>
      <c r="IQ223" s="134"/>
      <c r="IR223" s="134"/>
      <c r="IS223" s="135"/>
      <c r="IT223" s="135"/>
      <c r="IU223" s="134"/>
      <c r="IV223" s="134"/>
      <c r="IW223" s="134"/>
      <c r="IX223" s="134"/>
      <c r="IY223" s="134"/>
      <c r="IZ223" s="134"/>
      <c r="JA223" s="134"/>
      <c r="JB223" s="134"/>
      <c r="JC223" s="135"/>
      <c r="JD223" s="135"/>
    </row>
    <row r="224" spans="1:264" customFormat="1" ht="15" customHeight="1">
      <c r="A224" s="79" t="s">
        <v>166</v>
      </c>
      <c r="B224" s="362">
        <v>122</v>
      </c>
      <c r="C224" s="362">
        <v>31</v>
      </c>
      <c r="D224" s="362"/>
      <c r="E224" s="604" t="s">
        <v>1960</v>
      </c>
      <c r="F224" s="124" t="s">
        <v>2183</v>
      </c>
      <c r="G224" s="125">
        <v>2015</v>
      </c>
      <c r="H224" s="79">
        <v>26106539</v>
      </c>
      <c r="I224" s="79">
        <v>1</v>
      </c>
      <c r="J224" s="126"/>
      <c r="K224" s="127"/>
      <c r="L224" s="79">
        <v>1</v>
      </c>
      <c r="M224" s="79"/>
      <c r="N224" s="79">
        <v>1</v>
      </c>
      <c r="O224" s="128">
        <v>1</v>
      </c>
      <c r="P224" s="79" t="s">
        <v>73</v>
      </c>
      <c r="Q224" s="79" t="s">
        <v>1147</v>
      </c>
      <c r="R224" s="79" t="s">
        <v>391</v>
      </c>
      <c r="S224" s="79">
        <v>1</v>
      </c>
      <c r="T224" s="79"/>
      <c r="U224" s="79"/>
      <c r="V224" s="79"/>
      <c r="W224" s="79" t="s">
        <v>492</v>
      </c>
      <c r="X224" s="79" t="s">
        <v>491</v>
      </c>
      <c r="Y224" s="79"/>
      <c r="Z224" s="79"/>
      <c r="AA224" s="79"/>
      <c r="AB224" s="79"/>
      <c r="AC224" s="506"/>
      <c r="AD224" s="573">
        <v>1</v>
      </c>
      <c r="AE224" s="573">
        <v>2</v>
      </c>
      <c r="AF224" s="165">
        <v>0</v>
      </c>
      <c r="AG224" s="166" t="s">
        <v>4543</v>
      </c>
      <c r="AH224" s="120">
        <v>2</v>
      </c>
      <c r="AI224" s="484"/>
      <c r="AJ224" s="206" t="s">
        <v>24</v>
      </c>
      <c r="AK224" s="372"/>
      <c r="AL224" s="207"/>
      <c r="AM224" s="120"/>
      <c r="AN224" s="120"/>
      <c r="AO224" s="120"/>
      <c r="AP224" s="120"/>
      <c r="AQ224" s="120"/>
      <c r="AR224" s="120"/>
      <c r="AS224" s="120"/>
      <c r="AT224" s="120"/>
      <c r="AU224" s="120"/>
      <c r="AV224" s="120"/>
      <c r="AW224" s="120"/>
      <c r="AX224" s="120"/>
      <c r="AY224" s="120"/>
      <c r="AZ224" s="120"/>
      <c r="BA224" s="120"/>
      <c r="BB224" s="594"/>
      <c r="BC224" s="594"/>
      <c r="BD224" s="373"/>
      <c r="BE224" s="373"/>
      <c r="BF224" s="373"/>
      <c r="BG224" s="373"/>
      <c r="BH224" s="373"/>
      <c r="BI224" s="373"/>
      <c r="BJ224" s="373">
        <v>1</v>
      </c>
      <c r="BK224" s="373"/>
      <c r="BL224" s="373"/>
      <c r="BM224" s="373"/>
      <c r="BN224" s="373"/>
      <c r="BO224" s="373"/>
      <c r="BP224" s="373"/>
      <c r="BQ224" s="599"/>
      <c r="BR224" s="374"/>
      <c r="BS224" s="660"/>
      <c r="BT224" s="134"/>
      <c r="BU224" s="134"/>
      <c r="BV224" s="134"/>
      <c r="BW224" s="134"/>
      <c r="BX224" s="134"/>
      <c r="BY224" s="134"/>
      <c r="BZ224" s="259" t="s">
        <v>24</v>
      </c>
      <c r="CA224" s="454"/>
      <c r="CB224" s="138"/>
      <c r="CC224" s="134"/>
      <c r="CD224" s="134"/>
      <c r="CE224" s="134"/>
      <c r="CF224" s="138"/>
      <c r="CG224" s="134"/>
      <c r="CH224" s="134"/>
      <c r="CI224" s="134"/>
      <c r="CJ224" s="288"/>
      <c r="CK224" s="289"/>
      <c r="CL224" s="138"/>
      <c r="CM224" s="134"/>
      <c r="CN224" s="134"/>
      <c r="CO224" s="134"/>
      <c r="CP224" s="138"/>
      <c r="CQ224" s="134"/>
      <c r="CR224" s="134"/>
      <c r="CS224" s="134"/>
      <c r="CT224" s="288"/>
      <c r="CU224" s="289"/>
      <c r="CV224" s="276"/>
      <c r="CW224" s="308"/>
      <c r="CX224" s="138"/>
      <c r="CY224" s="134"/>
      <c r="CZ224" s="134"/>
      <c r="DA224" s="134"/>
      <c r="DB224" s="134"/>
      <c r="DC224" s="134"/>
      <c r="DD224" s="134"/>
      <c r="DE224" s="134"/>
      <c r="DF224" s="300"/>
      <c r="DG224" s="301"/>
      <c r="DH224" s="134"/>
      <c r="DI224" s="134"/>
      <c r="DJ224" s="134"/>
      <c r="DK224" s="134"/>
      <c r="DL224" s="134"/>
      <c r="DM224" s="134"/>
      <c r="DN224" s="134"/>
      <c r="DO224" s="134"/>
      <c r="DP224" s="300"/>
      <c r="DQ224" s="301"/>
      <c r="DR224" s="276"/>
      <c r="DS224" s="277"/>
      <c r="DT224" s="134"/>
      <c r="DU224" s="134"/>
      <c r="DV224" s="134"/>
      <c r="DW224" s="134"/>
      <c r="DX224" s="138"/>
      <c r="DY224" s="134"/>
      <c r="DZ224" s="134"/>
      <c r="EA224" s="134"/>
      <c r="EB224" s="301"/>
      <c r="EC224" s="301"/>
      <c r="ED224" s="138"/>
      <c r="EE224" s="134"/>
      <c r="EF224" s="134"/>
      <c r="EG224" s="134"/>
      <c r="EH224" s="138"/>
      <c r="EI224" s="134"/>
      <c r="EJ224" s="134"/>
      <c r="EK224" s="134"/>
      <c r="EL224" s="301"/>
      <c r="EM224" s="301"/>
      <c r="EN224" s="277"/>
      <c r="EO224" s="134"/>
      <c r="EP224" s="134"/>
      <c r="EQ224" s="134"/>
      <c r="ER224" s="134"/>
      <c r="ES224" s="134"/>
      <c r="ET224" s="134"/>
      <c r="EU224" s="134"/>
      <c r="EV224" s="134"/>
      <c r="EW224" s="301"/>
      <c r="EX224" s="301"/>
      <c r="EY224" s="134"/>
      <c r="EZ224" s="134"/>
      <c r="FA224" s="134"/>
      <c r="FB224" s="134"/>
      <c r="FC224" s="134"/>
      <c r="FD224" s="134"/>
      <c r="FE224" s="134"/>
      <c r="FF224" s="134"/>
      <c r="FG224" s="135"/>
      <c r="FH224" s="135"/>
      <c r="FI224" s="134"/>
      <c r="FJ224" s="134"/>
      <c r="FK224" s="134"/>
      <c r="FL224" s="134"/>
      <c r="FM224" s="134"/>
      <c r="FN224" s="134"/>
      <c r="FO224" s="134"/>
      <c r="FP224" s="134"/>
      <c r="FQ224" s="135"/>
      <c r="FR224" s="135"/>
      <c r="FS224" s="134"/>
      <c r="FT224" s="134"/>
      <c r="FU224" s="134"/>
      <c r="FV224" s="134"/>
      <c r="FW224" s="134"/>
      <c r="FX224" s="134"/>
      <c r="FY224" s="134"/>
      <c r="FZ224" s="134"/>
      <c r="GA224" s="135"/>
      <c r="GB224" s="135"/>
      <c r="GC224" s="134"/>
      <c r="GD224" s="134"/>
      <c r="GE224" s="134"/>
      <c r="GF224" s="134"/>
      <c r="GG224" s="134"/>
      <c r="GH224" s="134"/>
      <c r="GI224" s="134"/>
      <c r="GJ224" s="134"/>
      <c r="GK224" s="135"/>
      <c r="GL224" s="135"/>
      <c r="GM224" s="134"/>
      <c r="GN224" s="134"/>
      <c r="GO224" s="134"/>
      <c r="GP224" s="134"/>
      <c r="GQ224" s="134"/>
      <c r="GR224" s="134"/>
      <c r="GS224" s="134"/>
      <c r="GT224" s="134"/>
      <c r="GU224" s="135"/>
      <c r="GV224" s="135"/>
      <c r="GW224" s="134"/>
      <c r="GX224" s="134"/>
      <c r="GY224" s="134"/>
      <c r="GZ224" s="134"/>
      <c r="HA224" s="134"/>
      <c r="HB224" s="134"/>
      <c r="HC224" s="134"/>
      <c r="HD224" s="134"/>
      <c r="HE224" s="135"/>
      <c r="HF224" s="135"/>
      <c r="HG224" s="134"/>
      <c r="HH224" s="134"/>
      <c r="HI224" s="134"/>
      <c r="HJ224" s="134"/>
      <c r="HK224" s="134"/>
      <c r="HL224" s="134"/>
      <c r="HM224" s="134"/>
      <c r="HN224" s="134"/>
      <c r="HO224" s="135"/>
      <c r="HP224" s="135"/>
      <c r="HQ224" s="134"/>
      <c r="HR224" s="134"/>
      <c r="HS224" s="134"/>
      <c r="HT224" s="134"/>
      <c r="HU224" s="134"/>
      <c r="HV224" s="134"/>
      <c r="HW224" s="134"/>
      <c r="HX224" s="134"/>
      <c r="HY224" s="135"/>
      <c r="HZ224" s="135"/>
      <c r="IA224" s="134"/>
      <c r="IB224" s="134"/>
      <c r="IC224" s="134"/>
      <c r="ID224" s="134"/>
      <c r="IE224" s="134"/>
      <c r="IF224" s="134"/>
      <c r="IG224" s="134"/>
      <c r="IH224" s="134"/>
      <c r="II224" s="135"/>
      <c r="IJ224" s="135"/>
      <c r="IK224" s="134"/>
      <c r="IL224" s="134"/>
      <c r="IM224" s="134"/>
      <c r="IN224" s="134"/>
      <c r="IO224" s="134"/>
      <c r="IP224" s="134"/>
      <c r="IQ224" s="134"/>
      <c r="IR224" s="134"/>
      <c r="IS224" s="135"/>
      <c r="IT224" s="135"/>
      <c r="IU224" s="134"/>
      <c r="IV224" s="134"/>
      <c r="IW224" s="134"/>
      <c r="IX224" s="134"/>
      <c r="IY224" s="134"/>
      <c r="IZ224" s="134"/>
      <c r="JA224" s="134"/>
      <c r="JB224" s="134"/>
      <c r="JC224" s="135"/>
      <c r="JD224" s="135"/>
    </row>
    <row r="225" spans="1:264" customFormat="1" ht="15" customHeight="1">
      <c r="A225" s="79" t="s">
        <v>1055</v>
      </c>
      <c r="B225" s="362">
        <v>124</v>
      </c>
      <c r="C225" s="362">
        <v>32</v>
      </c>
      <c r="D225" s="362"/>
      <c r="E225" s="604" t="s">
        <v>2074</v>
      </c>
      <c r="F225" s="124" t="s">
        <v>2327</v>
      </c>
      <c r="G225" s="125">
        <v>2010</v>
      </c>
      <c r="H225" s="79">
        <v>20700523</v>
      </c>
      <c r="I225" s="79">
        <v>1</v>
      </c>
      <c r="J225" s="126"/>
      <c r="K225" s="127"/>
      <c r="L225" s="79">
        <v>1</v>
      </c>
      <c r="M225" s="79"/>
      <c r="N225" s="79">
        <v>1</v>
      </c>
      <c r="O225" s="128">
        <v>2</v>
      </c>
      <c r="P225" s="79" t="s">
        <v>1342</v>
      </c>
      <c r="Q225" s="79" t="s">
        <v>1224</v>
      </c>
      <c r="R225" s="79" t="s">
        <v>1127</v>
      </c>
      <c r="S225" s="79"/>
      <c r="T225" s="79" t="s">
        <v>1498</v>
      </c>
      <c r="U225" s="79" t="s">
        <v>803</v>
      </c>
      <c r="V225" s="79"/>
      <c r="W225" s="79" t="s">
        <v>1341</v>
      </c>
      <c r="X225" s="79"/>
      <c r="Y225" s="79"/>
      <c r="Z225" s="79"/>
      <c r="AA225" s="79"/>
      <c r="AB225" s="79"/>
      <c r="AC225" s="506"/>
      <c r="AD225" s="573">
        <v>1</v>
      </c>
      <c r="AE225" s="573">
        <v>2</v>
      </c>
      <c r="AF225" s="154">
        <v>1</v>
      </c>
      <c r="AG225" s="155"/>
      <c r="AH225" s="121">
        <v>4</v>
      </c>
      <c r="AI225" s="484"/>
      <c r="AJ225" s="202" t="s">
        <v>4573</v>
      </c>
      <c r="AK225" s="192">
        <v>1</v>
      </c>
      <c r="AL225" s="203" t="s">
        <v>4572</v>
      </c>
      <c r="AM225" s="121">
        <f>Table668[[#This Row],[Data_Subjects_n_ptsd]]+Table668[[#This Row],[Data_Subjects_n_control]]</f>
        <v>24</v>
      </c>
      <c r="AN225" s="121">
        <v>12</v>
      </c>
      <c r="AO225" s="121">
        <v>12</v>
      </c>
      <c r="AP225" s="121" t="s">
        <v>803</v>
      </c>
      <c r="AQ225" s="121" t="s">
        <v>803</v>
      </c>
      <c r="AR225" s="121" t="s">
        <v>4544</v>
      </c>
      <c r="AS225" s="121" t="s">
        <v>24</v>
      </c>
      <c r="AT225" s="121" t="s">
        <v>4544</v>
      </c>
      <c r="AU225" s="121" t="s">
        <v>24</v>
      </c>
      <c r="AV225" s="121" t="s">
        <v>4561</v>
      </c>
      <c r="AW225" s="121">
        <v>1</v>
      </c>
      <c r="AX225" s="121" t="s">
        <v>4545</v>
      </c>
      <c r="AY225" s="121" t="s">
        <v>4546</v>
      </c>
      <c r="AZ225" s="121" t="s">
        <v>1130</v>
      </c>
      <c r="BA225" s="121" t="s">
        <v>3279</v>
      </c>
      <c r="BB225" s="594"/>
      <c r="BC225" s="594"/>
      <c r="BD225" s="156">
        <v>1</v>
      </c>
      <c r="BE225" s="156" t="s">
        <v>1917</v>
      </c>
      <c r="BF225" s="156"/>
      <c r="BG225" s="156"/>
      <c r="BH225" s="156"/>
      <c r="BI225" s="156"/>
      <c r="BJ225" s="156"/>
      <c r="BK225" s="156"/>
      <c r="BL225" s="156"/>
      <c r="BM225" s="156"/>
      <c r="BN225" s="156"/>
      <c r="BO225" s="156"/>
      <c r="BP225" s="156"/>
      <c r="BQ225" s="595" t="s">
        <v>2493</v>
      </c>
      <c r="BR225" s="157" t="s">
        <v>6595</v>
      </c>
      <c r="BS225" s="660"/>
      <c r="BT225" s="134" t="s">
        <v>1876</v>
      </c>
      <c r="BU225" s="134" t="s">
        <v>4547</v>
      </c>
      <c r="BV225" s="134" t="s">
        <v>4562</v>
      </c>
      <c r="BW225" s="134" t="s">
        <v>4549</v>
      </c>
      <c r="BX225" s="134" t="s">
        <v>4548</v>
      </c>
      <c r="BY225" s="134" t="s">
        <v>6639</v>
      </c>
      <c r="BZ225" s="259" t="s">
        <v>4560</v>
      </c>
      <c r="CA225" s="454" t="s">
        <v>24</v>
      </c>
      <c r="CB225" s="138" t="s">
        <v>4550</v>
      </c>
      <c r="CC225" s="134">
        <v>64.948499999999996</v>
      </c>
      <c r="CD225" s="134" t="s">
        <v>24</v>
      </c>
      <c r="CE225" s="134">
        <f>91.2371-Table668[[#This Row],[Data_Outcome1_M]]</f>
        <v>26.288600000000002</v>
      </c>
      <c r="CF225" s="138" t="s">
        <v>4551</v>
      </c>
      <c r="CG225" s="134">
        <v>10.051500000000001</v>
      </c>
      <c r="CH225" s="134" t="s">
        <v>24</v>
      </c>
      <c r="CI225" s="134">
        <f>13.9175-Table668[[#This Row],[Data_Outcome2_M]]</f>
        <v>3.8659999999999997</v>
      </c>
      <c r="CJ225" s="288" t="s">
        <v>4559</v>
      </c>
      <c r="CK225" s="289" t="s">
        <v>2480</v>
      </c>
      <c r="CL225" s="138" t="s">
        <v>4552</v>
      </c>
      <c r="CM225" s="134">
        <v>274.61099999999999</v>
      </c>
      <c r="CN225" s="134" t="s">
        <v>24</v>
      </c>
      <c r="CO225" s="134">
        <f>284.974-Table668[[#This Row],[Data_Outcome3_M]]</f>
        <v>10.363</v>
      </c>
      <c r="CP225" s="138" t="s">
        <v>4553</v>
      </c>
      <c r="CQ225" s="134">
        <v>20.7254</v>
      </c>
      <c r="CR225" s="134" t="s">
        <v>24</v>
      </c>
      <c r="CS225" s="134">
        <f>24.8705-Table668[[#This Row],[Data_Outcome4_M]]</f>
        <v>4.1450999999999993</v>
      </c>
      <c r="CT225" s="288" t="s">
        <v>4557</v>
      </c>
      <c r="CU225" s="288" t="s">
        <v>4558</v>
      </c>
      <c r="CV225" s="276"/>
      <c r="CW225" s="308"/>
      <c r="CX225" s="138" t="s">
        <v>4554</v>
      </c>
      <c r="CY225" s="134">
        <v>2.9072200000000001</v>
      </c>
      <c r="CZ225" s="134" t="s">
        <v>24</v>
      </c>
      <c r="DA225" s="134">
        <f>3.29897-Table668[[#This Row],[Data_Outcome5_M]]</f>
        <v>0.39175000000000004</v>
      </c>
      <c r="DB225" s="138" t="s">
        <v>4555</v>
      </c>
      <c r="DC225" s="134">
        <v>5.1546399999999997</v>
      </c>
      <c r="DD225" s="134" t="s">
        <v>24</v>
      </c>
      <c r="DE225" s="134">
        <f>6.20619-Table668[[#This Row],[Data_Outcome6_M]]</f>
        <v>1.0515500000000007</v>
      </c>
      <c r="DF225" s="300" t="s">
        <v>4556</v>
      </c>
      <c r="DG225" s="301" t="s">
        <v>2480</v>
      </c>
      <c r="DH225" s="134"/>
      <c r="DI225" s="134"/>
      <c r="DJ225" s="134"/>
      <c r="DK225" s="134"/>
      <c r="DL225" s="134"/>
      <c r="DM225" s="134"/>
      <c r="DN225" s="134"/>
      <c r="DO225" s="134"/>
      <c r="DP225" s="300"/>
      <c r="DQ225" s="301"/>
      <c r="DR225" s="276"/>
      <c r="DS225" s="277"/>
      <c r="DT225" s="134"/>
      <c r="DU225" s="134"/>
      <c r="DV225" s="134"/>
      <c r="DW225" s="134"/>
      <c r="DX225" s="138"/>
      <c r="DY225" s="134"/>
      <c r="DZ225" s="134"/>
      <c r="EA225" s="134"/>
      <c r="EB225" s="301"/>
      <c r="EC225" s="301"/>
      <c r="ED225" s="138"/>
      <c r="EE225" s="134"/>
      <c r="EF225" s="134"/>
      <c r="EG225" s="134"/>
      <c r="EH225" s="138"/>
      <c r="EI225" s="134"/>
      <c r="EJ225" s="134"/>
      <c r="EK225" s="134"/>
      <c r="EL225" s="301"/>
      <c r="EM225" s="301"/>
      <c r="EN225" s="277"/>
      <c r="EO225" s="134"/>
      <c r="EP225" s="134"/>
      <c r="EQ225" s="134"/>
      <c r="ER225" s="134"/>
      <c r="ES225" s="134"/>
      <c r="ET225" s="134"/>
      <c r="EU225" s="134"/>
      <c r="EV225" s="134"/>
      <c r="EW225" s="301"/>
      <c r="EX225" s="301"/>
      <c r="EY225" s="134"/>
      <c r="EZ225" s="134"/>
      <c r="FA225" s="134"/>
      <c r="FB225" s="134"/>
      <c r="FC225" s="134"/>
      <c r="FD225" s="134"/>
      <c r="FE225" s="134"/>
      <c r="FF225" s="134"/>
      <c r="FG225" s="135"/>
      <c r="FH225" s="135"/>
      <c r="FI225" s="134"/>
      <c r="FJ225" s="134"/>
      <c r="FK225" s="134"/>
      <c r="FL225" s="134"/>
      <c r="FM225" s="134"/>
      <c r="FN225" s="134"/>
      <c r="FO225" s="134"/>
      <c r="FP225" s="134"/>
      <c r="FQ225" s="135"/>
      <c r="FR225" s="135"/>
      <c r="FS225" s="134"/>
      <c r="FT225" s="134"/>
      <c r="FU225" s="134"/>
      <c r="FV225" s="134"/>
      <c r="FW225" s="134"/>
      <c r="FX225" s="134"/>
      <c r="FY225" s="134"/>
      <c r="FZ225" s="134"/>
      <c r="GA225" s="135"/>
      <c r="GB225" s="135"/>
      <c r="GC225" s="134"/>
      <c r="GD225" s="134"/>
      <c r="GE225" s="134"/>
      <c r="GF225" s="134"/>
      <c r="GG225" s="134"/>
      <c r="GH225" s="134"/>
      <c r="GI225" s="134"/>
      <c r="GJ225" s="134"/>
      <c r="GK225" s="135"/>
      <c r="GL225" s="135"/>
      <c r="GM225" s="134"/>
      <c r="GN225" s="134"/>
      <c r="GO225" s="134"/>
      <c r="GP225" s="134"/>
      <c r="GQ225" s="134"/>
      <c r="GR225" s="134"/>
      <c r="GS225" s="134"/>
      <c r="GT225" s="134"/>
      <c r="GU225" s="135"/>
      <c r="GV225" s="135"/>
      <c r="GW225" s="134"/>
      <c r="GX225" s="134"/>
      <c r="GY225" s="134"/>
      <c r="GZ225" s="134"/>
      <c r="HA225" s="134"/>
      <c r="HB225" s="134"/>
      <c r="HC225" s="134"/>
      <c r="HD225" s="134"/>
      <c r="HE225" s="135"/>
      <c r="HF225" s="135"/>
      <c r="HG225" s="134"/>
      <c r="HH225" s="134"/>
      <c r="HI225" s="134"/>
      <c r="HJ225" s="134"/>
      <c r="HK225" s="134"/>
      <c r="HL225" s="134"/>
      <c r="HM225" s="134"/>
      <c r="HN225" s="134"/>
      <c r="HO225" s="135"/>
      <c r="HP225" s="135"/>
      <c r="HQ225" s="134"/>
      <c r="HR225" s="134"/>
      <c r="HS225" s="134"/>
      <c r="HT225" s="134"/>
      <c r="HU225" s="134"/>
      <c r="HV225" s="134"/>
      <c r="HW225" s="134"/>
      <c r="HX225" s="134"/>
      <c r="HY225" s="135"/>
      <c r="HZ225" s="135"/>
      <c r="IA225" s="134"/>
      <c r="IB225" s="134"/>
      <c r="IC225" s="134"/>
      <c r="ID225" s="134"/>
      <c r="IE225" s="134"/>
      <c r="IF225" s="134"/>
      <c r="IG225" s="134"/>
      <c r="IH225" s="134"/>
      <c r="II225" s="135"/>
      <c r="IJ225" s="135"/>
      <c r="IK225" s="134"/>
      <c r="IL225" s="134"/>
      <c r="IM225" s="134"/>
      <c r="IN225" s="134"/>
      <c r="IO225" s="134"/>
      <c r="IP225" s="134"/>
      <c r="IQ225" s="134"/>
      <c r="IR225" s="134"/>
      <c r="IS225" s="135"/>
      <c r="IT225" s="135"/>
      <c r="IU225" s="134"/>
      <c r="IV225" s="134"/>
      <c r="IW225" s="134"/>
      <c r="IX225" s="134"/>
      <c r="IY225" s="134"/>
      <c r="IZ225" s="134"/>
      <c r="JA225" s="134"/>
      <c r="JB225" s="134"/>
      <c r="JC225" s="135"/>
      <c r="JD225" s="135"/>
    </row>
    <row r="226" spans="1:264" customFormat="1" ht="15" customHeight="1">
      <c r="A226" s="79" t="s">
        <v>1055</v>
      </c>
      <c r="B226" s="362">
        <v>124</v>
      </c>
      <c r="C226" s="362">
        <v>32</v>
      </c>
      <c r="D226" s="362"/>
      <c r="E226" s="604" t="s">
        <v>2074</v>
      </c>
      <c r="F226" s="124" t="s">
        <v>2327</v>
      </c>
      <c r="G226" s="125">
        <v>2010</v>
      </c>
      <c r="H226" s="79">
        <v>20700523</v>
      </c>
      <c r="I226" s="79">
        <v>1</v>
      </c>
      <c r="J226" s="126"/>
      <c r="K226" s="127"/>
      <c r="L226" s="79">
        <v>1</v>
      </c>
      <c r="M226" s="79"/>
      <c r="N226" s="79">
        <v>1</v>
      </c>
      <c r="O226" s="128">
        <v>2</v>
      </c>
      <c r="P226" s="79" t="s">
        <v>1342</v>
      </c>
      <c r="Q226" s="79" t="s">
        <v>1224</v>
      </c>
      <c r="R226" s="79" t="s">
        <v>1127</v>
      </c>
      <c r="S226" s="79"/>
      <c r="T226" s="79" t="s">
        <v>1498</v>
      </c>
      <c r="U226" s="79" t="s">
        <v>803</v>
      </c>
      <c r="V226" s="79"/>
      <c r="W226" s="79" t="s">
        <v>1341</v>
      </c>
      <c r="X226" s="79"/>
      <c r="Y226" s="79"/>
      <c r="Z226" s="79"/>
      <c r="AA226" s="79"/>
      <c r="AB226" s="79"/>
      <c r="AC226" s="506"/>
      <c r="AD226" s="573">
        <v>1</v>
      </c>
      <c r="AE226" s="573">
        <v>2</v>
      </c>
      <c r="AF226" s="154">
        <v>1</v>
      </c>
      <c r="AG226" s="155"/>
      <c r="AH226" s="121">
        <v>4</v>
      </c>
      <c r="AI226" s="484"/>
      <c r="AJ226" s="202" t="s">
        <v>4573</v>
      </c>
      <c r="AK226" s="192">
        <v>1</v>
      </c>
      <c r="AL226" s="203" t="s">
        <v>4572</v>
      </c>
      <c r="AM226" s="121">
        <f>Table668[[#This Row],[Data_Subjects_n_ptsd]]+Table668[[#This Row],[Data_Subjects_n_control]]</f>
        <v>24</v>
      </c>
      <c r="AN226" s="121">
        <v>12</v>
      </c>
      <c r="AO226" s="121">
        <v>12</v>
      </c>
      <c r="AP226" s="121" t="s">
        <v>803</v>
      </c>
      <c r="AQ226" s="121" t="s">
        <v>803</v>
      </c>
      <c r="AR226" s="121" t="s">
        <v>4544</v>
      </c>
      <c r="AS226" s="121" t="s">
        <v>24</v>
      </c>
      <c r="AT226" s="121" t="s">
        <v>4544</v>
      </c>
      <c r="AU226" s="121" t="s">
        <v>24</v>
      </c>
      <c r="AV226" s="121" t="s">
        <v>4563</v>
      </c>
      <c r="AW226" s="121">
        <v>1</v>
      </c>
      <c r="AX226" s="121" t="s">
        <v>4564</v>
      </c>
      <c r="AY226" s="121" t="s">
        <v>4546</v>
      </c>
      <c r="AZ226" s="121" t="s">
        <v>1130</v>
      </c>
      <c r="BA226" s="121" t="s">
        <v>3279</v>
      </c>
      <c r="BB226" s="594"/>
      <c r="BC226" s="594"/>
      <c r="BD226" s="478">
        <v>1</v>
      </c>
      <c r="BE226" s="156"/>
      <c r="BF226" s="463"/>
      <c r="BG226" s="156"/>
      <c r="BH226" s="156"/>
      <c r="BI226" s="156"/>
      <c r="BJ226" s="463"/>
      <c r="BK226" s="156"/>
      <c r="BL226" s="156"/>
      <c r="BM226" s="156"/>
      <c r="BN226" s="156"/>
      <c r="BO226" s="156"/>
      <c r="BP226" s="463"/>
      <c r="BQ226" s="595" t="s">
        <v>2978</v>
      </c>
      <c r="BR226" s="157" t="s">
        <v>6595</v>
      </c>
      <c r="BS226" s="660"/>
      <c r="BT226" s="134" t="s">
        <v>1876</v>
      </c>
      <c r="BU226" s="134" t="s">
        <v>4547</v>
      </c>
      <c r="BV226" s="134" t="s">
        <v>4565</v>
      </c>
      <c r="BW226" s="134" t="s">
        <v>4549</v>
      </c>
      <c r="BX226" s="134" t="s">
        <v>4566</v>
      </c>
      <c r="BY226" s="134" t="s">
        <v>2659</v>
      </c>
      <c r="BZ226" s="471" t="s">
        <v>4571</v>
      </c>
      <c r="CA226" s="624" t="s">
        <v>6627</v>
      </c>
      <c r="CB226" s="138" t="s">
        <v>4567</v>
      </c>
      <c r="CC226" s="134">
        <v>90.530299999999997</v>
      </c>
      <c r="CD226" s="134" t="s">
        <v>24</v>
      </c>
      <c r="CE226" s="134">
        <f>98.8636-Table668[[#This Row],[Data_Outcome1_M]]</f>
        <v>8.3333000000000084</v>
      </c>
      <c r="CF226" s="138" t="s">
        <v>4568</v>
      </c>
      <c r="CG226" s="134">
        <v>40.909100000000002</v>
      </c>
      <c r="CH226" s="134" t="s">
        <v>24</v>
      </c>
      <c r="CI226" s="134">
        <f>46.2121-Table668[[#This Row],[Data_Outcome2_M]]</f>
        <v>5.3029999999999973</v>
      </c>
      <c r="CJ226" s="288" t="s">
        <v>4569</v>
      </c>
      <c r="CK226" s="289" t="s">
        <v>4570</v>
      </c>
      <c r="CL226" s="134" t="s">
        <v>24</v>
      </c>
      <c r="CM226" s="134"/>
      <c r="CN226" s="134"/>
      <c r="CO226" s="134"/>
      <c r="CP226" s="134"/>
      <c r="CQ226" s="134"/>
      <c r="CR226" s="134"/>
      <c r="CS226" s="134"/>
      <c r="CT226" s="288"/>
      <c r="CU226" s="289"/>
      <c r="CV226" s="276"/>
      <c r="CW226" s="308"/>
      <c r="CX226" s="138"/>
      <c r="CY226" s="134"/>
      <c r="CZ226" s="134"/>
      <c r="DA226" s="134"/>
      <c r="DB226" s="134"/>
      <c r="DC226" s="134"/>
      <c r="DD226" s="134"/>
      <c r="DE226" s="134"/>
      <c r="DF226" s="300"/>
      <c r="DG226" s="301"/>
      <c r="DH226" s="134"/>
      <c r="DI226" s="134"/>
      <c r="DJ226" s="134"/>
      <c r="DK226" s="134"/>
      <c r="DL226" s="134"/>
      <c r="DM226" s="134"/>
      <c r="DN226" s="134"/>
      <c r="DO226" s="134"/>
      <c r="DP226" s="300"/>
      <c r="DQ226" s="301"/>
      <c r="DR226" s="276"/>
      <c r="DS226" s="277"/>
      <c r="DT226" s="134"/>
      <c r="DU226" s="134"/>
      <c r="DV226" s="134"/>
      <c r="DW226" s="480"/>
      <c r="DX226" s="134"/>
      <c r="DY226" s="134"/>
      <c r="DZ226" s="134"/>
      <c r="EA226" s="480"/>
      <c r="EB226" s="301"/>
      <c r="EC226" s="301"/>
      <c r="ED226" s="134"/>
      <c r="EE226" s="134"/>
      <c r="EF226" s="134"/>
      <c r="EG226" s="480"/>
      <c r="EH226" s="134"/>
      <c r="EI226" s="134"/>
      <c r="EJ226" s="134"/>
      <c r="EK226" s="480"/>
      <c r="EL226" s="301"/>
      <c r="EM226" s="301"/>
      <c r="EN226" s="277"/>
      <c r="EO226" s="134"/>
      <c r="EP226" s="134"/>
      <c r="EQ226" s="134"/>
      <c r="ER226" s="480"/>
      <c r="ES226" s="134"/>
      <c r="ET226" s="134"/>
      <c r="EU226" s="134"/>
      <c r="EV226" s="480"/>
      <c r="EW226" s="301"/>
      <c r="EX226" s="301"/>
      <c r="EY226" s="134"/>
      <c r="EZ226" s="134"/>
      <c r="FA226" s="134"/>
      <c r="FB226" s="480"/>
      <c r="FC226" s="480"/>
      <c r="FD226" s="480"/>
      <c r="FE226" s="480"/>
      <c r="FF226" s="480"/>
      <c r="FG226" s="482"/>
      <c r="FH226" s="482"/>
      <c r="FI226" s="480"/>
      <c r="FJ226" s="480"/>
      <c r="FK226" s="480"/>
      <c r="FL226" s="480"/>
      <c r="FM226" s="480"/>
      <c r="FN226" s="480"/>
      <c r="FO226" s="480"/>
      <c r="FP226" s="480"/>
      <c r="FQ226" s="482"/>
      <c r="FR226" s="482"/>
      <c r="FS226" s="480"/>
      <c r="FT226" s="480"/>
      <c r="FU226" s="480"/>
      <c r="FV226" s="480"/>
      <c r="FW226" s="480"/>
      <c r="FX226" s="480"/>
      <c r="FY226" s="480"/>
      <c r="FZ226" s="480"/>
      <c r="GA226" s="482"/>
      <c r="GB226" s="482"/>
      <c r="GC226" s="480"/>
      <c r="GD226" s="480"/>
      <c r="GE226" s="480"/>
      <c r="GF226" s="480"/>
      <c r="GG226" s="480"/>
      <c r="GH226" s="480"/>
      <c r="GI226" s="480"/>
      <c r="GJ226" s="480"/>
      <c r="GK226" s="482"/>
      <c r="GL226" s="482"/>
      <c r="GM226" s="480"/>
      <c r="GN226" s="480"/>
      <c r="GO226" s="480"/>
      <c r="GP226" s="480"/>
      <c r="GQ226" s="480"/>
      <c r="GR226" s="480"/>
      <c r="GS226" s="480"/>
      <c r="GT226" s="480"/>
      <c r="GU226" s="482"/>
      <c r="GV226" s="482"/>
      <c r="GW226" s="480"/>
      <c r="GX226" s="480"/>
      <c r="GY226" s="480"/>
      <c r="GZ226" s="480"/>
      <c r="HA226" s="480"/>
      <c r="HB226" s="480"/>
      <c r="HC226" s="480"/>
      <c r="HD226" s="480"/>
      <c r="HE226" s="482"/>
      <c r="HF226" s="482"/>
      <c r="HG226" s="480"/>
      <c r="HH226" s="480"/>
      <c r="HI226" s="480"/>
      <c r="HJ226" s="480"/>
      <c r="HK226" s="480"/>
      <c r="HL226" s="480"/>
      <c r="HM226" s="480"/>
      <c r="HN226" s="480"/>
      <c r="HO226" s="482"/>
      <c r="HP226" s="482"/>
      <c r="HQ226" s="480"/>
      <c r="HR226" s="480"/>
      <c r="HS226" s="134"/>
      <c r="HT226" s="134"/>
      <c r="HU226" s="134"/>
      <c r="HV226" s="134"/>
      <c r="HW226" s="134"/>
      <c r="HX226" s="134"/>
      <c r="HY226" s="135"/>
      <c r="HZ226" s="135"/>
      <c r="IA226" s="134"/>
      <c r="IB226" s="134"/>
      <c r="IC226" s="134"/>
      <c r="ID226" s="134"/>
      <c r="IE226" s="134"/>
      <c r="IF226" s="134"/>
      <c r="IG226" s="134"/>
      <c r="IH226" s="134"/>
      <c r="II226" s="135"/>
      <c r="IJ226" s="135"/>
      <c r="IK226" s="134"/>
      <c r="IL226" s="134"/>
      <c r="IM226" s="134"/>
      <c r="IN226" s="134"/>
      <c r="IO226" s="134"/>
      <c r="IP226" s="134"/>
      <c r="IQ226" s="134"/>
      <c r="IR226" s="134"/>
      <c r="IS226" s="135"/>
      <c r="IT226" s="135"/>
      <c r="IU226" s="134"/>
      <c r="IV226" s="134"/>
      <c r="IW226" s="134"/>
      <c r="IX226" s="134"/>
      <c r="IY226" s="134"/>
      <c r="IZ226" s="134"/>
      <c r="JA226" s="134"/>
      <c r="JB226" s="134"/>
      <c r="JC226" s="135"/>
      <c r="JD226" s="135"/>
    </row>
    <row r="227" spans="1:264" customFormat="1" ht="15" customHeight="1">
      <c r="A227" s="79" t="s">
        <v>1053</v>
      </c>
      <c r="B227" s="362">
        <v>127</v>
      </c>
      <c r="C227" s="362">
        <v>33</v>
      </c>
      <c r="D227" s="362"/>
      <c r="E227" s="604" t="s">
        <v>2075</v>
      </c>
      <c r="F227" s="124" t="s">
        <v>2328</v>
      </c>
      <c r="G227" s="125">
        <v>2016</v>
      </c>
      <c r="H227" s="79">
        <v>26655446</v>
      </c>
      <c r="I227" s="79">
        <v>1</v>
      </c>
      <c r="J227" s="126" t="s">
        <v>1843</v>
      </c>
      <c r="K227" s="127"/>
      <c r="L227" s="79">
        <v>0</v>
      </c>
      <c r="M227" s="79"/>
      <c r="N227" s="79">
        <v>0</v>
      </c>
      <c r="O227" s="128">
        <v>2</v>
      </c>
      <c r="P227" s="79" t="s">
        <v>1346</v>
      </c>
      <c r="Q227" s="79"/>
      <c r="R227" s="79" t="s">
        <v>1138</v>
      </c>
      <c r="S227" s="79"/>
      <c r="T227" s="79" t="s">
        <v>1493</v>
      </c>
      <c r="U227" s="79" t="s">
        <v>23</v>
      </c>
      <c r="V227" s="79" t="s">
        <v>23</v>
      </c>
      <c r="W227" s="79"/>
      <c r="X227" s="79" t="s">
        <v>1345</v>
      </c>
      <c r="Y227" s="79"/>
      <c r="Z227" s="79"/>
      <c r="AA227" s="79"/>
      <c r="AB227" s="79" t="s">
        <v>1344</v>
      </c>
      <c r="AC227" s="506"/>
      <c r="AD227" s="573">
        <v>1</v>
      </c>
      <c r="AE227" s="573">
        <v>2</v>
      </c>
      <c r="AF227" s="233">
        <v>0</v>
      </c>
      <c r="AG227" s="234" t="s">
        <v>4580</v>
      </c>
      <c r="AH227" s="121">
        <v>5</v>
      </c>
      <c r="AI227" s="484"/>
      <c r="AJ227" s="202" t="s">
        <v>4576</v>
      </c>
      <c r="AK227" s="192"/>
      <c r="AL227" s="203"/>
      <c r="AM227" s="121"/>
      <c r="AN227" s="121"/>
      <c r="AO227" s="121"/>
      <c r="AP227" s="121"/>
      <c r="AQ227" s="121"/>
      <c r="AR227" s="121"/>
      <c r="AS227" s="121"/>
      <c r="AT227" s="121"/>
      <c r="AU227" s="121"/>
      <c r="AV227" s="121" t="s">
        <v>4579</v>
      </c>
      <c r="AW227" s="121" t="s">
        <v>4574</v>
      </c>
      <c r="AX227" s="121" t="s">
        <v>4575</v>
      </c>
      <c r="AY227" s="121" t="s">
        <v>4577</v>
      </c>
      <c r="AZ227" s="121" t="s">
        <v>789</v>
      </c>
      <c r="BA227" s="121" t="s">
        <v>4578</v>
      </c>
      <c r="BB227" s="594"/>
      <c r="BC227" s="594"/>
      <c r="BD227" s="156"/>
      <c r="BE227" s="156"/>
      <c r="BF227" s="156"/>
      <c r="BG227" s="156"/>
      <c r="BH227" s="156"/>
      <c r="BI227" s="156"/>
      <c r="BJ227" s="156">
        <v>1</v>
      </c>
      <c r="BK227" s="156"/>
      <c r="BL227" s="156"/>
      <c r="BM227" s="156"/>
      <c r="BN227" s="156"/>
      <c r="BO227" s="156"/>
      <c r="BP227" s="156"/>
      <c r="BQ227" s="595"/>
      <c r="BR227" s="157"/>
      <c r="BS227" s="660"/>
      <c r="BT227" s="134"/>
      <c r="BU227" s="134"/>
      <c r="BV227" s="134"/>
      <c r="BW227" s="134"/>
      <c r="BX227" s="134"/>
      <c r="BY227" s="134"/>
      <c r="BZ227" s="259" t="s">
        <v>24</v>
      </c>
      <c r="CA227" s="454"/>
      <c r="CB227" s="138"/>
      <c r="CC227" s="134"/>
      <c r="CD227" s="134"/>
      <c r="CE227" s="134"/>
      <c r="CF227" s="138"/>
      <c r="CG227" s="134"/>
      <c r="CH227" s="134"/>
      <c r="CI227" s="134"/>
      <c r="CJ227" s="288"/>
      <c r="CK227" s="289"/>
      <c r="CL227" s="138"/>
      <c r="CM227" s="134"/>
      <c r="CN227" s="134"/>
      <c r="CO227" s="134"/>
      <c r="CP227" s="138"/>
      <c r="CQ227" s="134"/>
      <c r="CR227" s="134"/>
      <c r="CS227" s="134"/>
      <c r="CT227" s="288"/>
      <c r="CU227" s="289"/>
      <c r="CV227" s="276"/>
      <c r="CW227" s="308"/>
      <c r="CX227" s="138"/>
      <c r="CY227" s="134"/>
      <c r="CZ227" s="134"/>
      <c r="DA227" s="134"/>
      <c r="DB227" s="134"/>
      <c r="DC227" s="134"/>
      <c r="DD227" s="134"/>
      <c r="DE227" s="134"/>
      <c r="DF227" s="300"/>
      <c r="DG227" s="301"/>
      <c r="DH227" s="134"/>
      <c r="DI227" s="134"/>
      <c r="DJ227" s="134"/>
      <c r="DK227" s="134"/>
      <c r="DL227" s="134"/>
      <c r="DM227" s="134"/>
      <c r="DN227" s="134"/>
      <c r="DO227" s="134"/>
      <c r="DP227" s="300"/>
      <c r="DQ227" s="301"/>
      <c r="DR227" s="276"/>
      <c r="DS227" s="277"/>
      <c r="DT227" s="134"/>
      <c r="DU227" s="134"/>
      <c r="DV227" s="134"/>
      <c r="DW227" s="134"/>
      <c r="DX227" s="138"/>
      <c r="DY227" s="134"/>
      <c r="DZ227" s="134"/>
      <c r="EA227" s="134"/>
      <c r="EB227" s="301"/>
      <c r="EC227" s="301"/>
      <c r="ED227" s="138"/>
      <c r="EE227" s="134"/>
      <c r="EF227" s="134"/>
      <c r="EG227" s="134"/>
      <c r="EH227" s="138"/>
      <c r="EI227" s="134"/>
      <c r="EJ227" s="134"/>
      <c r="EK227" s="134"/>
      <c r="EL227" s="301"/>
      <c r="EM227" s="301"/>
      <c r="EN227" s="277"/>
      <c r="EO227" s="134"/>
      <c r="EP227" s="134"/>
      <c r="EQ227" s="134"/>
      <c r="ER227" s="134"/>
      <c r="ES227" s="134"/>
      <c r="ET227" s="134"/>
      <c r="EU227" s="134"/>
      <c r="EV227" s="134"/>
      <c r="EW227" s="301"/>
      <c r="EX227" s="301"/>
      <c r="EY227" s="134"/>
      <c r="EZ227" s="134"/>
      <c r="FA227" s="134"/>
      <c r="FB227" s="134"/>
      <c r="FC227" s="134"/>
      <c r="FD227" s="134"/>
      <c r="FE227" s="134"/>
      <c r="FF227" s="134"/>
      <c r="FG227" s="135"/>
      <c r="FH227" s="135"/>
      <c r="FI227" s="134"/>
      <c r="FJ227" s="134"/>
      <c r="FK227" s="134"/>
      <c r="FL227" s="134"/>
      <c r="FM227" s="134"/>
      <c r="FN227" s="134"/>
      <c r="FO227" s="134"/>
      <c r="FP227" s="134"/>
      <c r="FQ227" s="135"/>
      <c r="FR227" s="135"/>
      <c r="FS227" s="134"/>
      <c r="FT227" s="134"/>
      <c r="FU227" s="134"/>
      <c r="FV227" s="134"/>
      <c r="FW227" s="134"/>
      <c r="FX227" s="134"/>
      <c r="FY227" s="134"/>
      <c r="FZ227" s="134"/>
      <c r="GA227" s="135"/>
      <c r="GB227" s="135"/>
      <c r="GC227" s="134"/>
      <c r="GD227" s="134"/>
      <c r="GE227" s="134"/>
      <c r="GF227" s="134"/>
      <c r="GG227" s="134"/>
      <c r="GH227" s="134"/>
      <c r="GI227" s="134"/>
      <c r="GJ227" s="134"/>
      <c r="GK227" s="135"/>
      <c r="GL227" s="135"/>
      <c r="GM227" s="134"/>
      <c r="GN227" s="134"/>
      <c r="GO227" s="134"/>
      <c r="GP227" s="134"/>
      <c r="GQ227" s="134"/>
      <c r="GR227" s="134"/>
      <c r="GS227" s="134"/>
      <c r="GT227" s="134"/>
      <c r="GU227" s="135"/>
      <c r="GV227" s="135"/>
      <c r="GW227" s="134"/>
      <c r="GX227" s="134"/>
      <c r="GY227" s="134"/>
      <c r="GZ227" s="134"/>
      <c r="HA227" s="134"/>
      <c r="HB227" s="134"/>
      <c r="HC227" s="134"/>
      <c r="HD227" s="134"/>
      <c r="HE227" s="135"/>
      <c r="HF227" s="135"/>
      <c r="HG227" s="134"/>
      <c r="HH227" s="134"/>
      <c r="HI227" s="134"/>
      <c r="HJ227" s="134"/>
      <c r="HK227" s="134"/>
      <c r="HL227" s="134"/>
      <c r="HM227" s="134"/>
      <c r="HN227" s="134"/>
      <c r="HO227" s="135"/>
      <c r="HP227" s="135"/>
      <c r="HQ227" s="134"/>
      <c r="HR227" s="134"/>
      <c r="HS227" s="134"/>
      <c r="HT227" s="134"/>
      <c r="HU227" s="134"/>
      <c r="HV227" s="134"/>
      <c r="HW227" s="134"/>
      <c r="HX227" s="134"/>
      <c r="HY227" s="135"/>
      <c r="HZ227" s="135"/>
      <c r="IA227" s="134"/>
      <c r="IB227" s="134"/>
      <c r="IC227" s="134"/>
      <c r="ID227" s="134"/>
      <c r="IE227" s="134"/>
      <c r="IF227" s="134"/>
      <c r="IG227" s="134"/>
      <c r="IH227" s="134"/>
      <c r="II227" s="135"/>
      <c r="IJ227" s="135"/>
      <c r="IK227" s="134"/>
      <c r="IL227" s="134"/>
      <c r="IM227" s="134"/>
      <c r="IN227" s="134"/>
      <c r="IO227" s="134"/>
      <c r="IP227" s="134"/>
      <c r="IQ227" s="134"/>
      <c r="IR227" s="134"/>
      <c r="IS227" s="135"/>
      <c r="IT227" s="135"/>
      <c r="IU227" s="134"/>
      <c r="IV227" s="134"/>
      <c r="IW227" s="134"/>
      <c r="IX227" s="134"/>
      <c r="IY227" s="134"/>
      <c r="IZ227" s="134"/>
      <c r="JA227" s="134"/>
      <c r="JB227" s="134"/>
      <c r="JC227" s="135"/>
      <c r="JD227" s="135"/>
    </row>
    <row r="228" spans="1:264" customFormat="1" ht="15" customHeight="1">
      <c r="A228" s="79" t="s">
        <v>1052</v>
      </c>
      <c r="B228" s="614">
        <v>19</v>
      </c>
      <c r="C228" s="614"/>
      <c r="D228" s="614"/>
      <c r="E228" s="604" t="s">
        <v>2075</v>
      </c>
      <c r="F228" s="124" t="s">
        <v>2329</v>
      </c>
      <c r="G228" s="125">
        <v>2014</v>
      </c>
      <c r="H228" s="79">
        <v>24335837</v>
      </c>
      <c r="I228" s="79">
        <v>1</v>
      </c>
      <c r="J228" s="126">
        <v>1</v>
      </c>
      <c r="K228" s="127"/>
      <c r="L228" s="79">
        <v>1</v>
      </c>
      <c r="M228" s="79"/>
      <c r="N228" s="79">
        <v>1</v>
      </c>
      <c r="O228" s="128">
        <v>2</v>
      </c>
      <c r="P228" s="79" t="s">
        <v>1347</v>
      </c>
      <c r="Q228" s="79" t="s">
        <v>1224</v>
      </c>
      <c r="R228" s="79" t="s">
        <v>1138</v>
      </c>
      <c r="S228" s="79"/>
      <c r="T228" s="79" t="s">
        <v>1499</v>
      </c>
      <c r="U228" s="79" t="s">
        <v>803</v>
      </c>
      <c r="V228" s="79" t="s">
        <v>23</v>
      </c>
      <c r="W228" s="79" t="s">
        <v>1692</v>
      </c>
      <c r="X228" s="79" t="s">
        <v>1348</v>
      </c>
      <c r="Y228" s="79" t="s">
        <v>1349</v>
      </c>
      <c r="Z228" s="79"/>
      <c r="AA228" s="79" t="s">
        <v>1350</v>
      </c>
      <c r="AB228" s="79"/>
      <c r="AC228" s="506"/>
      <c r="AD228" s="573">
        <v>1</v>
      </c>
      <c r="AE228" s="573">
        <v>2</v>
      </c>
      <c r="AF228" s="154">
        <v>1</v>
      </c>
      <c r="AG228" s="155" t="s">
        <v>2960</v>
      </c>
      <c r="AH228" s="121">
        <v>5</v>
      </c>
      <c r="AI228" s="484"/>
      <c r="AJ228" s="202" t="s">
        <v>2933</v>
      </c>
      <c r="AK228" s="192">
        <v>1</v>
      </c>
      <c r="AL228" s="203" t="s">
        <v>2934</v>
      </c>
      <c r="AM228" s="121">
        <v>24</v>
      </c>
      <c r="AN228" s="121">
        <v>12</v>
      </c>
      <c r="AO228" s="121">
        <v>12</v>
      </c>
      <c r="AP228" s="121" t="s">
        <v>803</v>
      </c>
      <c r="AQ228" s="121" t="s">
        <v>803</v>
      </c>
      <c r="AR228" s="121" t="s">
        <v>24</v>
      </c>
      <c r="AS228" s="121" t="s">
        <v>24</v>
      </c>
      <c r="AT228" s="121" t="s">
        <v>24</v>
      </c>
      <c r="AU228" s="121" t="s">
        <v>24</v>
      </c>
      <c r="AV228" s="121" t="s">
        <v>2944</v>
      </c>
      <c r="AW228" s="121">
        <v>1</v>
      </c>
      <c r="AX228" s="121">
        <v>1</v>
      </c>
      <c r="AY228" s="121" t="s">
        <v>2941</v>
      </c>
      <c r="AZ228" s="121" t="s">
        <v>2932</v>
      </c>
      <c r="BA228" s="121" t="s">
        <v>2554</v>
      </c>
      <c r="BB228" s="594"/>
      <c r="BC228" s="594"/>
      <c r="BD228" s="156">
        <v>1</v>
      </c>
      <c r="BE228" s="156"/>
      <c r="BF228" s="156"/>
      <c r="BG228" s="156"/>
      <c r="BH228" s="156"/>
      <c r="BI228" s="156"/>
      <c r="BJ228" s="156"/>
      <c r="BK228" s="156"/>
      <c r="BL228" s="156"/>
      <c r="BM228" s="156"/>
      <c r="BN228" s="156"/>
      <c r="BO228" s="156"/>
      <c r="BP228" s="156"/>
      <c r="BQ228" s="595" t="s">
        <v>2961</v>
      </c>
      <c r="BR228" s="157" t="s">
        <v>6599</v>
      </c>
      <c r="BS228" s="660"/>
      <c r="BT228" s="134" t="s">
        <v>1876</v>
      </c>
      <c r="BU228" s="134" t="s">
        <v>2942</v>
      </c>
      <c r="BV228" s="134" t="s">
        <v>2943</v>
      </c>
      <c r="BW228" s="134" t="s">
        <v>2471</v>
      </c>
      <c r="BX228" s="134" t="s">
        <v>2945</v>
      </c>
      <c r="BY228" s="134" t="s">
        <v>6640</v>
      </c>
      <c r="BZ228" s="259" t="s">
        <v>2949</v>
      </c>
      <c r="CA228" s="454" t="s">
        <v>6627</v>
      </c>
      <c r="CB228" s="138" t="s">
        <v>2952</v>
      </c>
      <c r="CC228" s="134">
        <v>22.13</v>
      </c>
      <c r="CD228" s="134">
        <f>36.5472-Table668[[#This Row],[Data_Outcome1_M]]</f>
        <v>14.417199999999998</v>
      </c>
      <c r="CE228" s="134" t="s">
        <v>24</v>
      </c>
      <c r="CF228" s="138" t="s">
        <v>2953</v>
      </c>
      <c r="CG228" s="134">
        <v>67.2667</v>
      </c>
      <c r="CH228" s="134">
        <f>84.4451-Table668[[#This Row],[Data_Outcome2_M]]</f>
        <v>17.178399999999996</v>
      </c>
      <c r="CI228" s="134" t="s">
        <v>24</v>
      </c>
      <c r="CJ228" s="288" t="s">
        <v>2946</v>
      </c>
      <c r="CK228" s="289" t="s">
        <v>2555</v>
      </c>
      <c r="CL228" s="138" t="s">
        <v>2954</v>
      </c>
      <c r="CM228" s="134">
        <v>21.192699999999999</v>
      </c>
      <c r="CN228" s="134">
        <f>34.6789-Table668[[#This Row],[Data_Outcome3_M]]</f>
        <v>13.4862</v>
      </c>
      <c r="CO228" s="134" t="s">
        <v>24</v>
      </c>
      <c r="CP228" s="138" t="s">
        <v>2955</v>
      </c>
      <c r="CQ228" s="134">
        <v>46.452599999999997</v>
      </c>
      <c r="CR228" s="134">
        <f>60.581-Table668[[#This Row],[Data_Outcome4_M]]</f>
        <v>14.128400000000006</v>
      </c>
      <c r="CS228" s="134" t="s">
        <v>24</v>
      </c>
      <c r="CT228" s="288" t="s">
        <v>2947</v>
      </c>
      <c r="CU228" s="289" t="s">
        <v>2555</v>
      </c>
      <c r="CV228" s="276" t="s">
        <v>2948</v>
      </c>
      <c r="CW228" s="308" t="s">
        <v>3018</v>
      </c>
      <c r="CX228" s="138"/>
      <c r="CY228" s="134"/>
      <c r="CZ228" s="134"/>
      <c r="DA228" s="134"/>
      <c r="DB228" s="134"/>
      <c r="DC228" s="134"/>
      <c r="DD228" s="134"/>
      <c r="DE228" s="134"/>
      <c r="DF228" s="300"/>
      <c r="DG228" s="301"/>
      <c r="DH228" s="134"/>
      <c r="DI228" s="134"/>
      <c r="DJ228" s="134"/>
      <c r="DK228" s="134"/>
      <c r="DL228" s="134"/>
      <c r="DM228" s="134"/>
      <c r="DN228" s="134"/>
      <c r="DO228" s="134"/>
      <c r="DP228" s="300"/>
      <c r="DQ228" s="301"/>
      <c r="DR228" s="276"/>
      <c r="DS228" s="277"/>
      <c r="DT228" s="134"/>
      <c r="DU228" s="134"/>
      <c r="DV228" s="134"/>
      <c r="DW228" s="134"/>
      <c r="DX228" s="138"/>
      <c r="DY228" s="134"/>
      <c r="DZ228" s="134"/>
      <c r="EA228" s="134"/>
      <c r="EB228" s="301"/>
      <c r="EC228" s="301"/>
      <c r="ED228" s="138"/>
      <c r="EE228" s="134"/>
      <c r="EF228" s="134"/>
      <c r="EG228" s="134"/>
      <c r="EH228" s="138"/>
      <c r="EI228" s="134"/>
      <c r="EJ228" s="134"/>
      <c r="EK228" s="134"/>
      <c r="EL228" s="301"/>
      <c r="EM228" s="301"/>
      <c r="EN228" s="277"/>
      <c r="EO228" s="134"/>
      <c r="EP228" s="134"/>
      <c r="EQ228" s="134"/>
      <c r="ER228" s="134"/>
      <c r="ES228" s="134"/>
      <c r="ET228" s="134"/>
      <c r="EU228" s="134"/>
      <c r="EV228" s="134"/>
      <c r="EW228" s="301"/>
      <c r="EX228" s="301"/>
      <c r="EY228" s="134"/>
      <c r="EZ228" s="134"/>
      <c r="FA228" s="134"/>
      <c r="FB228" s="134"/>
      <c r="FC228" s="134"/>
      <c r="FD228" s="134"/>
      <c r="FE228" s="134"/>
      <c r="FF228" s="134"/>
      <c r="FG228" s="135"/>
      <c r="FH228" s="135"/>
      <c r="FI228" s="134"/>
      <c r="FJ228" s="134"/>
      <c r="FK228" s="134"/>
      <c r="FL228" s="134"/>
      <c r="FM228" s="134"/>
      <c r="FN228" s="134"/>
      <c r="FO228" s="134"/>
      <c r="FP228" s="134"/>
      <c r="FQ228" s="135"/>
      <c r="FR228" s="135"/>
      <c r="FS228" s="134"/>
      <c r="FT228" s="134"/>
      <c r="FU228" s="134"/>
      <c r="FV228" s="134"/>
      <c r="FW228" s="134"/>
      <c r="FX228" s="134"/>
      <c r="FY228" s="134"/>
      <c r="FZ228" s="134"/>
      <c r="GA228" s="135"/>
      <c r="GB228" s="135"/>
      <c r="GC228" s="134"/>
      <c r="GD228" s="134"/>
      <c r="GE228" s="134"/>
      <c r="GF228" s="134"/>
      <c r="GG228" s="134"/>
      <c r="GH228" s="134"/>
      <c r="GI228" s="134"/>
      <c r="GJ228" s="134"/>
      <c r="GK228" s="135"/>
      <c r="GL228" s="135"/>
      <c r="GM228" s="134"/>
      <c r="GN228" s="134"/>
      <c r="GO228" s="134"/>
      <c r="GP228" s="134"/>
      <c r="GQ228" s="134"/>
      <c r="GR228" s="134"/>
      <c r="GS228" s="134"/>
      <c r="GT228" s="134"/>
      <c r="GU228" s="135"/>
      <c r="GV228" s="135"/>
      <c r="GW228" s="134"/>
      <c r="GX228" s="134"/>
      <c r="GY228" s="134"/>
      <c r="GZ228" s="134"/>
      <c r="HA228" s="134"/>
      <c r="HB228" s="134"/>
      <c r="HC228" s="134"/>
      <c r="HD228" s="134"/>
      <c r="HE228" s="135"/>
      <c r="HF228" s="135"/>
      <c r="HG228" s="134"/>
      <c r="HH228" s="134"/>
      <c r="HI228" s="134"/>
      <c r="HJ228" s="134"/>
      <c r="HK228" s="134"/>
      <c r="HL228" s="134"/>
      <c r="HM228" s="134"/>
      <c r="HN228" s="134"/>
      <c r="HO228" s="135"/>
      <c r="HP228" s="135"/>
      <c r="HQ228" s="134"/>
      <c r="HR228" s="134"/>
      <c r="HS228" s="134"/>
      <c r="HT228" s="134"/>
      <c r="HU228" s="134"/>
      <c r="HV228" s="134"/>
      <c r="HW228" s="134"/>
      <c r="HX228" s="134"/>
      <c r="HY228" s="135"/>
      <c r="HZ228" s="135"/>
      <c r="IA228" s="134"/>
      <c r="IB228" s="134"/>
      <c r="IC228" s="134"/>
      <c r="ID228" s="134"/>
      <c r="IE228" s="134"/>
      <c r="IF228" s="134"/>
      <c r="IG228" s="134"/>
      <c r="IH228" s="134"/>
      <c r="II228" s="135"/>
      <c r="IJ228" s="135"/>
      <c r="IK228" s="134"/>
      <c r="IL228" s="134"/>
      <c r="IM228" s="134"/>
      <c r="IN228" s="134"/>
      <c r="IO228" s="134"/>
      <c r="IP228" s="134"/>
      <c r="IQ228" s="134"/>
      <c r="IR228" s="134"/>
      <c r="IS228" s="135"/>
      <c r="IT228" s="135"/>
      <c r="IU228" s="134"/>
      <c r="IV228" s="134"/>
      <c r="IW228" s="134"/>
      <c r="IX228" s="134"/>
      <c r="IY228" s="134"/>
      <c r="IZ228" s="134"/>
      <c r="JA228" s="134"/>
      <c r="JB228" s="134"/>
      <c r="JC228" s="135"/>
      <c r="JD228" s="135"/>
    </row>
    <row r="229" spans="1:264" customFormat="1" ht="15" customHeight="1">
      <c r="A229" s="118" t="s">
        <v>1052</v>
      </c>
      <c r="B229" s="614">
        <v>19</v>
      </c>
      <c r="C229" s="614"/>
      <c r="D229" s="614"/>
      <c r="E229" s="605" t="s">
        <v>2075</v>
      </c>
      <c r="F229" s="140" t="s">
        <v>2329</v>
      </c>
      <c r="G229" s="141">
        <v>2014</v>
      </c>
      <c r="H229" s="118">
        <v>24335837</v>
      </c>
      <c r="I229" s="118">
        <v>1</v>
      </c>
      <c r="J229" s="118">
        <v>1</v>
      </c>
      <c r="K229" s="118"/>
      <c r="L229" s="118">
        <v>1</v>
      </c>
      <c r="M229" s="118"/>
      <c r="N229" s="118">
        <v>1</v>
      </c>
      <c r="O229" s="142">
        <v>2</v>
      </c>
      <c r="P229" s="118" t="s">
        <v>1347</v>
      </c>
      <c r="Q229" s="118" t="s">
        <v>1224</v>
      </c>
      <c r="R229" s="118" t="s">
        <v>1138</v>
      </c>
      <c r="S229" s="118"/>
      <c r="T229" s="118" t="s">
        <v>1499</v>
      </c>
      <c r="U229" s="118" t="s">
        <v>803</v>
      </c>
      <c r="V229" s="118" t="s">
        <v>23</v>
      </c>
      <c r="W229" s="118" t="s">
        <v>1692</v>
      </c>
      <c r="X229" s="118" t="s">
        <v>1348</v>
      </c>
      <c r="Y229" s="118" t="s">
        <v>1349</v>
      </c>
      <c r="Z229" s="118"/>
      <c r="AA229" s="118" t="s">
        <v>1350</v>
      </c>
      <c r="AB229" s="118"/>
      <c r="AC229" s="145"/>
      <c r="AD229" s="573">
        <v>1</v>
      </c>
      <c r="AE229" s="573">
        <v>2</v>
      </c>
      <c r="AF229" s="159">
        <v>1</v>
      </c>
      <c r="AG229" s="155" t="s">
        <v>2960</v>
      </c>
      <c r="AH229" s="122">
        <v>5</v>
      </c>
      <c r="AI229" s="485"/>
      <c r="AJ229" s="204" t="s">
        <v>2933</v>
      </c>
      <c r="AK229" s="192">
        <v>1</v>
      </c>
      <c r="AL229" s="205" t="s">
        <v>2934</v>
      </c>
      <c r="AM229" s="122">
        <v>24</v>
      </c>
      <c r="AN229" s="122">
        <v>12</v>
      </c>
      <c r="AO229" s="122">
        <v>12</v>
      </c>
      <c r="AP229" s="122" t="s">
        <v>803</v>
      </c>
      <c r="AQ229" s="122" t="s">
        <v>803</v>
      </c>
      <c r="AR229" s="122" t="s">
        <v>24</v>
      </c>
      <c r="AS229" s="122" t="s">
        <v>24</v>
      </c>
      <c r="AT229" s="122" t="s">
        <v>24</v>
      </c>
      <c r="AU229" s="122" t="s">
        <v>24</v>
      </c>
      <c r="AV229" s="122" t="s">
        <v>2944</v>
      </c>
      <c r="AW229" s="122">
        <v>1</v>
      </c>
      <c r="AX229" s="122">
        <v>1</v>
      </c>
      <c r="AY229" s="122" t="s">
        <v>2941</v>
      </c>
      <c r="AZ229" s="122" t="s">
        <v>2932</v>
      </c>
      <c r="BA229" s="122" t="s">
        <v>2554</v>
      </c>
      <c r="BB229" s="588"/>
      <c r="BC229" s="588"/>
      <c r="BD229" s="161"/>
      <c r="BE229" s="161"/>
      <c r="BF229" s="161"/>
      <c r="BG229" s="161"/>
      <c r="BH229" s="161"/>
      <c r="BI229" s="161"/>
      <c r="BJ229" s="161">
        <v>1</v>
      </c>
      <c r="BK229" s="161"/>
      <c r="BL229" s="161"/>
      <c r="BM229" s="161"/>
      <c r="BN229" s="161"/>
      <c r="BO229" s="161"/>
      <c r="BP229" s="161"/>
      <c r="BQ229" s="596" t="s">
        <v>2962</v>
      </c>
      <c r="BR229" s="162" t="s">
        <v>6612</v>
      </c>
      <c r="BS229" s="660"/>
      <c r="BT229" s="150" t="s">
        <v>1876</v>
      </c>
      <c r="BU229" s="150" t="s">
        <v>2942</v>
      </c>
      <c r="BV229" s="150" t="s">
        <v>2951</v>
      </c>
      <c r="BW229" s="150" t="s">
        <v>2471</v>
      </c>
      <c r="BX229" s="150" t="s">
        <v>2950</v>
      </c>
      <c r="BY229" s="150"/>
      <c r="BZ229" s="258" t="s">
        <v>2959</v>
      </c>
      <c r="CA229" s="257" t="s">
        <v>24</v>
      </c>
      <c r="CB229" s="151" t="s">
        <v>2957</v>
      </c>
      <c r="CC229" s="150">
        <v>71.692300000000003</v>
      </c>
      <c r="CD229" s="150">
        <f>82.7692-Table668[[#This Row],[Data_Outcome1_M]]</f>
        <v>11.076899999999995</v>
      </c>
      <c r="CE229" s="150" t="s">
        <v>24</v>
      </c>
      <c r="CF229" s="151" t="s">
        <v>2956</v>
      </c>
      <c r="CG229" s="150">
        <v>48.307699999999997</v>
      </c>
      <c r="CH229" s="150">
        <f>58.4615-Table668[[#This Row],[Data_Outcome2_M]]</f>
        <v>10.153800000000004</v>
      </c>
      <c r="CI229" s="150" t="s">
        <v>24</v>
      </c>
      <c r="CJ229" s="290" t="s">
        <v>2958</v>
      </c>
      <c r="CK229" s="291" t="s">
        <v>2555</v>
      </c>
      <c r="CL229" s="151" t="s">
        <v>24</v>
      </c>
      <c r="CM229" s="150" t="s">
        <v>24</v>
      </c>
      <c r="CN229" s="150" t="s">
        <v>24</v>
      </c>
      <c r="CO229" s="150" t="s">
        <v>24</v>
      </c>
      <c r="CP229" s="151"/>
      <c r="CQ229" s="150"/>
      <c r="CR229" s="150"/>
      <c r="CS229" s="150"/>
      <c r="CT229" s="290"/>
      <c r="CU229" s="291"/>
      <c r="CV229" s="278"/>
      <c r="CW229" s="285"/>
      <c r="CX229" s="151"/>
      <c r="CY229" s="150"/>
      <c r="CZ229" s="150"/>
      <c r="DA229" s="150"/>
      <c r="DB229" s="150"/>
      <c r="DC229" s="150"/>
      <c r="DD229" s="150"/>
      <c r="DE229" s="150"/>
      <c r="DF229" s="302"/>
      <c r="DG229" s="303"/>
      <c r="DH229" s="150"/>
      <c r="DI229" s="150"/>
      <c r="DJ229" s="150"/>
      <c r="DK229" s="150"/>
      <c r="DL229" s="150"/>
      <c r="DM229" s="150"/>
      <c r="DN229" s="150"/>
      <c r="DO229" s="150"/>
      <c r="DP229" s="302"/>
      <c r="DQ229" s="303"/>
      <c r="DR229" s="278"/>
      <c r="DS229" s="279"/>
      <c r="DT229" s="150"/>
      <c r="DU229" s="150"/>
      <c r="DV229" s="150"/>
      <c r="DW229" s="150"/>
      <c r="DX229" s="151"/>
      <c r="DY229" s="150"/>
      <c r="DZ229" s="150"/>
      <c r="EA229" s="150"/>
      <c r="EB229" s="303"/>
      <c r="EC229" s="303"/>
      <c r="ED229" s="151"/>
      <c r="EE229" s="150"/>
      <c r="EF229" s="150"/>
      <c r="EG229" s="150"/>
      <c r="EH229" s="151"/>
      <c r="EI229" s="150"/>
      <c r="EJ229" s="150"/>
      <c r="EK229" s="150"/>
      <c r="EL229" s="303"/>
      <c r="EM229" s="303"/>
      <c r="EN229" s="279"/>
      <c r="EO229" s="150"/>
      <c r="EP229" s="150"/>
      <c r="EQ229" s="150"/>
      <c r="ER229" s="150"/>
      <c r="ES229" s="150"/>
      <c r="ET229" s="150"/>
      <c r="EU229" s="150"/>
      <c r="EV229" s="150"/>
      <c r="EW229" s="303"/>
      <c r="EX229" s="303"/>
      <c r="EY229" s="150"/>
      <c r="EZ229" s="150"/>
      <c r="FA229" s="150"/>
      <c r="FB229" s="150"/>
      <c r="FC229" s="134"/>
      <c r="FD229" s="134"/>
      <c r="FE229" s="134"/>
      <c r="FF229" s="134"/>
      <c r="FG229" s="135"/>
      <c r="FH229" s="135"/>
      <c r="FI229" s="134"/>
      <c r="FJ229" s="134"/>
      <c r="FK229" s="134"/>
      <c r="FL229" s="134"/>
      <c r="FM229" s="134"/>
      <c r="FN229" s="134"/>
      <c r="FO229" s="134"/>
      <c r="FP229" s="134"/>
      <c r="FQ229" s="135"/>
      <c r="FR229" s="135"/>
      <c r="FS229" s="134"/>
      <c r="FT229" s="134"/>
      <c r="FU229" s="134"/>
      <c r="FV229" s="134"/>
      <c r="FW229" s="134"/>
      <c r="FX229" s="134"/>
      <c r="FY229" s="134"/>
      <c r="FZ229" s="134"/>
      <c r="GA229" s="135"/>
      <c r="GB229" s="135"/>
      <c r="GC229" s="134"/>
      <c r="GD229" s="134"/>
      <c r="GE229" s="134"/>
      <c r="GF229" s="134"/>
      <c r="GG229" s="134"/>
      <c r="GH229" s="134"/>
      <c r="GI229" s="134"/>
      <c r="GJ229" s="134"/>
      <c r="GK229" s="135"/>
      <c r="GL229" s="135"/>
      <c r="GM229" s="134"/>
      <c r="GN229" s="134"/>
      <c r="GO229" s="134"/>
      <c r="GP229" s="134"/>
      <c r="GQ229" s="134"/>
      <c r="GR229" s="134"/>
      <c r="GS229" s="134"/>
      <c r="GT229" s="134"/>
      <c r="GU229" s="135"/>
      <c r="GV229" s="135"/>
      <c r="GW229" s="134"/>
      <c r="GX229" s="134"/>
      <c r="GY229" s="134"/>
      <c r="GZ229" s="134"/>
      <c r="HA229" s="134"/>
      <c r="HB229" s="134"/>
      <c r="HC229" s="134"/>
      <c r="HD229" s="134"/>
      <c r="HE229" s="135"/>
      <c r="HF229" s="135"/>
      <c r="HG229" s="134"/>
      <c r="HH229" s="134"/>
      <c r="HI229" s="134"/>
      <c r="HJ229" s="134"/>
      <c r="HK229" s="134"/>
      <c r="HL229" s="134"/>
      <c r="HM229" s="134"/>
      <c r="HN229" s="134"/>
      <c r="HO229" s="135"/>
      <c r="HP229" s="135"/>
      <c r="HQ229" s="134"/>
      <c r="HR229" s="134"/>
      <c r="HS229" s="134"/>
      <c r="HT229" s="134"/>
      <c r="HU229" s="134"/>
      <c r="HV229" s="134"/>
      <c r="HW229" s="134"/>
      <c r="HX229" s="134"/>
      <c r="HY229" s="135"/>
      <c r="HZ229" s="135"/>
      <c r="IA229" s="134"/>
      <c r="IB229" s="134"/>
      <c r="IC229" s="134"/>
      <c r="ID229" s="134"/>
      <c r="IE229" s="134"/>
      <c r="IF229" s="134"/>
      <c r="IG229" s="134"/>
      <c r="IH229" s="134"/>
      <c r="II229" s="135"/>
      <c r="IJ229" s="135"/>
      <c r="IK229" s="134"/>
      <c r="IL229" s="134"/>
      <c r="IM229" s="134"/>
      <c r="IN229" s="134"/>
      <c r="IO229" s="134"/>
      <c r="IP229" s="134"/>
      <c r="IQ229" s="134"/>
      <c r="IR229" s="134"/>
      <c r="IS229" s="135"/>
      <c r="IT229" s="135"/>
      <c r="IU229" s="134"/>
      <c r="IV229" s="134"/>
      <c r="IW229" s="134"/>
      <c r="IX229" s="134"/>
      <c r="IY229" s="134"/>
      <c r="IZ229" s="134"/>
      <c r="JA229" s="134"/>
      <c r="JB229" s="134"/>
      <c r="JC229" s="135"/>
      <c r="JD229" s="135"/>
    </row>
    <row r="230" spans="1:264" customFormat="1" ht="15" customHeight="1">
      <c r="A230" s="79" t="s">
        <v>173</v>
      </c>
      <c r="B230" s="362">
        <v>128</v>
      </c>
      <c r="C230" s="362">
        <v>34</v>
      </c>
      <c r="D230" s="362"/>
      <c r="E230" s="604" t="s">
        <v>1963</v>
      </c>
      <c r="F230" s="124" t="s">
        <v>2186</v>
      </c>
      <c r="G230" s="125">
        <v>2010</v>
      </c>
      <c r="H230" s="79">
        <v>20494591</v>
      </c>
      <c r="I230" s="79">
        <v>1</v>
      </c>
      <c r="J230" s="126"/>
      <c r="K230" s="127"/>
      <c r="L230" s="79">
        <v>1</v>
      </c>
      <c r="M230" s="79"/>
      <c r="N230" s="79">
        <v>1</v>
      </c>
      <c r="O230" s="128">
        <v>1</v>
      </c>
      <c r="P230" s="79" t="s">
        <v>505</v>
      </c>
      <c r="Q230" s="79" t="s">
        <v>1147</v>
      </c>
      <c r="R230" s="79" t="s">
        <v>503</v>
      </c>
      <c r="S230" s="79">
        <v>0</v>
      </c>
      <c r="T230" s="79"/>
      <c r="U230" s="79"/>
      <c r="V230" s="79"/>
      <c r="W230" s="79"/>
      <c r="X230" s="79"/>
      <c r="Y230" s="79"/>
      <c r="Z230" s="79"/>
      <c r="AA230" s="79"/>
      <c r="AB230" s="79" t="s">
        <v>504</v>
      </c>
      <c r="AC230" s="506"/>
      <c r="AD230" s="573">
        <v>1</v>
      </c>
      <c r="AE230" s="573">
        <v>2</v>
      </c>
      <c r="AF230" s="233" t="s">
        <v>1917</v>
      </c>
      <c r="AG230" s="234" t="s">
        <v>4646</v>
      </c>
      <c r="AH230" s="121">
        <v>2</v>
      </c>
      <c r="AI230" s="484"/>
      <c r="AJ230" s="202" t="s">
        <v>4645</v>
      </c>
      <c r="AK230" s="192">
        <v>1</v>
      </c>
      <c r="AL230" s="203" t="s">
        <v>24</v>
      </c>
      <c r="AM230" s="121">
        <f>30+56+28</f>
        <v>114</v>
      </c>
      <c r="AN230" s="121" t="s">
        <v>4581</v>
      </c>
      <c r="AO230" s="121" t="s">
        <v>4582</v>
      </c>
      <c r="AP230" s="121" t="s">
        <v>4584</v>
      </c>
      <c r="AQ230" s="121" t="s">
        <v>4584</v>
      </c>
      <c r="AR230" s="121">
        <v>67</v>
      </c>
      <c r="AS230" s="121">
        <v>9</v>
      </c>
      <c r="AT230" s="121" t="s">
        <v>4596</v>
      </c>
      <c r="AU230" s="121" t="s">
        <v>4585</v>
      </c>
      <c r="AV230" s="121" t="s">
        <v>4586</v>
      </c>
      <c r="AW230" s="121" t="s">
        <v>24</v>
      </c>
      <c r="AX230" s="121" t="s">
        <v>24</v>
      </c>
      <c r="AY230" s="121" t="s">
        <v>4597</v>
      </c>
      <c r="AZ230" s="121" t="s">
        <v>4587</v>
      </c>
      <c r="BA230" s="121" t="s">
        <v>4588</v>
      </c>
      <c r="BB230" s="594"/>
      <c r="BC230" s="594"/>
      <c r="BD230" s="156"/>
      <c r="BE230" s="156"/>
      <c r="BF230" s="156"/>
      <c r="BG230" s="156"/>
      <c r="BH230" s="156"/>
      <c r="BI230" s="156"/>
      <c r="BJ230" s="156">
        <v>1</v>
      </c>
      <c r="BK230" s="156"/>
      <c r="BL230" s="156"/>
      <c r="BM230" s="156"/>
      <c r="BN230" s="156"/>
      <c r="BO230" s="156"/>
      <c r="BP230" s="156"/>
      <c r="BQ230" s="595" t="s">
        <v>4591</v>
      </c>
      <c r="BR230" s="157" t="s">
        <v>6609</v>
      </c>
      <c r="BS230" s="660"/>
      <c r="BT230" s="134" t="s">
        <v>1876</v>
      </c>
      <c r="BU230" s="134" t="s">
        <v>4598</v>
      </c>
      <c r="BV230" s="134" t="s">
        <v>4594</v>
      </c>
      <c r="BW230" s="134" t="s">
        <v>24</v>
      </c>
      <c r="BX230" s="134" t="s">
        <v>4642</v>
      </c>
      <c r="BY230" s="134"/>
      <c r="BZ230" s="259" t="s">
        <v>4644</v>
      </c>
      <c r="CA230" s="454" t="s">
        <v>24</v>
      </c>
      <c r="CB230" s="138" t="s">
        <v>4610</v>
      </c>
      <c r="CC230" s="134">
        <v>17</v>
      </c>
      <c r="CD230" s="134">
        <v>5</v>
      </c>
      <c r="CE230" s="134" t="s">
        <v>24</v>
      </c>
      <c r="CF230" s="138" t="s">
        <v>4611</v>
      </c>
      <c r="CG230" s="134">
        <v>18</v>
      </c>
      <c r="CH230" s="134">
        <v>5</v>
      </c>
      <c r="CI230" s="134" t="s">
        <v>24</v>
      </c>
      <c r="CJ230" s="288" t="s">
        <v>4612</v>
      </c>
      <c r="CK230" s="289" t="s">
        <v>4613</v>
      </c>
      <c r="CL230" s="138" t="s">
        <v>4614</v>
      </c>
      <c r="CM230" s="134">
        <v>14</v>
      </c>
      <c r="CN230" s="134">
        <v>6</v>
      </c>
      <c r="CO230" s="134" t="s">
        <v>24</v>
      </c>
      <c r="CP230" s="138" t="s">
        <v>4615</v>
      </c>
      <c r="CQ230" s="134">
        <v>18</v>
      </c>
      <c r="CR230" s="134">
        <v>5</v>
      </c>
      <c r="CS230" s="134" t="s">
        <v>24</v>
      </c>
      <c r="CT230" s="288"/>
      <c r="CU230" s="289"/>
      <c r="CV230" s="276"/>
      <c r="CW230" s="308"/>
      <c r="CX230" s="138" t="s">
        <v>4616</v>
      </c>
      <c r="CY230" s="134">
        <v>8</v>
      </c>
      <c r="CZ230" s="134">
        <v>3</v>
      </c>
      <c r="DA230" s="134" t="s">
        <v>24</v>
      </c>
      <c r="DB230" s="138" t="s">
        <v>4617</v>
      </c>
      <c r="DC230" s="134">
        <v>9</v>
      </c>
      <c r="DD230" s="134">
        <v>2</v>
      </c>
      <c r="DE230" s="134" t="s">
        <v>24</v>
      </c>
      <c r="DF230" s="300" t="s">
        <v>4638</v>
      </c>
      <c r="DG230" s="301" t="s">
        <v>4639</v>
      </c>
      <c r="DH230" s="138" t="s">
        <v>4618</v>
      </c>
      <c r="DI230" s="134">
        <v>7</v>
      </c>
      <c r="DJ230" s="134">
        <v>4</v>
      </c>
      <c r="DK230" s="134" t="s">
        <v>24</v>
      </c>
      <c r="DL230" s="138" t="s">
        <v>4619</v>
      </c>
      <c r="DM230" s="134">
        <v>9</v>
      </c>
      <c r="DN230" s="134">
        <v>3</v>
      </c>
      <c r="DO230" s="134" t="s">
        <v>24</v>
      </c>
      <c r="DP230" s="300"/>
      <c r="DQ230" s="301"/>
      <c r="DR230" s="276"/>
      <c r="DS230" s="277"/>
      <c r="DT230" s="138" t="s">
        <v>4620</v>
      </c>
      <c r="DU230" s="134">
        <v>23</v>
      </c>
      <c r="DV230" s="134">
        <v>7</v>
      </c>
      <c r="DW230" s="134" t="s">
        <v>24</v>
      </c>
      <c r="DX230" s="138" t="s">
        <v>4621</v>
      </c>
      <c r="DY230" s="134">
        <v>27</v>
      </c>
      <c r="DZ230" s="134">
        <v>7</v>
      </c>
      <c r="EA230" s="134" t="s">
        <v>24</v>
      </c>
      <c r="EB230" s="301" t="s">
        <v>4636</v>
      </c>
      <c r="EC230" s="301" t="s">
        <v>4637</v>
      </c>
      <c r="ED230" s="134" t="s">
        <v>4622</v>
      </c>
      <c r="EE230" s="134">
        <v>20</v>
      </c>
      <c r="EF230" s="134">
        <v>7</v>
      </c>
      <c r="EG230" s="134" t="s">
        <v>24</v>
      </c>
      <c r="EH230" s="134" t="s">
        <v>4623</v>
      </c>
      <c r="EI230" s="134">
        <v>25</v>
      </c>
      <c r="EJ230" s="134">
        <v>7</v>
      </c>
      <c r="EK230" s="134" t="s">
        <v>24</v>
      </c>
      <c r="EL230" s="301"/>
      <c r="EM230" s="301"/>
      <c r="EN230" s="277"/>
      <c r="EO230" s="134" t="s">
        <v>4624</v>
      </c>
      <c r="EP230" s="134">
        <v>4</v>
      </c>
      <c r="EQ230" s="134">
        <v>3</v>
      </c>
      <c r="ER230" s="134" t="s">
        <v>24</v>
      </c>
      <c r="ES230" s="138" t="s">
        <v>4625</v>
      </c>
      <c r="ET230" s="134">
        <v>6</v>
      </c>
      <c r="EU230" s="134">
        <v>3</v>
      </c>
      <c r="EV230" s="134" t="s">
        <v>24</v>
      </c>
      <c r="EW230" s="301" t="s">
        <v>4634</v>
      </c>
      <c r="EX230" s="301" t="s">
        <v>4635</v>
      </c>
      <c r="EY230" s="138" t="s">
        <v>4626</v>
      </c>
      <c r="EZ230" s="134">
        <v>3</v>
      </c>
      <c r="FA230" s="134">
        <v>2</v>
      </c>
      <c r="FB230" s="134" t="s">
        <v>24</v>
      </c>
      <c r="FC230" s="138" t="s">
        <v>4633</v>
      </c>
      <c r="FD230" s="134">
        <v>5</v>
      </c>
      <c r="FE230" s="134">
        <v>3</v>
      </c>
      <c r="FF230" s="134" t="s">
        <v>24</v>
      </c>
      <c r="FG230" s="135"/>
      <c r="FH230" s="135"/>
      <c r="FI230" s="134"/>
      <c r="FJ230" s="134"/>
      <c r="FK230" s="134"/>
      <c r="FL230" s="134"/>
      <c r="FM230" s="134"/>
      <c r="FN230" s="134"/>
      <c r="FO230" s="134"/>
      <c r="FP230" s="134"/>
      <c r="FQ230" s="135"/>
      <c r="FR230" s="135"/>
      <c r="FS230" s="134"/>
      <c r="FT230" s="134"/>
      <c r="FU230" s="134"/>
      <c r="FV230" s="134"/>
      <c r="FW230" s="134"/>
      <c r="FX230" s="134"/>
      <c r="FY230" s="134"/>
      <c r="FZ230" s="134"/>
      <c r="GA230" s="135"/>
      <c r="GB230" s="135"/>
      <c r="GC230" s="134"/>
      <c r="GD230" s="134"/>
      <c r="GE230" s="134"/>
      <c r="GF230" s="134"/>
      <c r="GG230" s="134"/>
      <c r="GH230" s="134"/>
      <c r="GI230" s="134"/>
      <c r="GJ230" s="134"/>
      <c r="GK230" s="135"/>
      <c r="GL230" s="135"/>
      <c r="GM230" s="134"/>
      <c r="GN230" s="134"/>
      <c r="GO230" s="134"/>
      <c r="GP230" s="134"/>
      <c r="GQ230" s="134"/>
      <c r="GR230" s="134"/>
      <c r="GS230" s="134"/>
      <c r="GT230" s="134"/>
      <c r="GU230" s="135"/>
      <c r="GV230" s="135"/>
      <c r="GW230" s="134"/>
      <c r="GX230" s="134"/>
      <c r="GY230" s="134"/>
      <c r="GZ230" s="134"/>
      <c r="HA230" s="134"/>
      <c r="HB230" s="134"/>
      <c r="HC230" s="134"/>
      <c r="HD230" s="134"/>
      <c r="HE230" s="135"/>
      <c r="HF230" s="135"/>
      <c r="HG230" s="134"/>
      <c r="HH230" s="134"/>
      <c r="HI230" s="134"/>
      <c r="HJ230" s="134"/>
      <c r="HK230" s="134"/>
      <c r="HL230" s="134"/>
      <c r="HM230" s="134"/>
      <c r="HN230" s="134"/>
      <c r="HO230" s="135"/>
      <c r="HP230" s="135"/>
      <c r="HQ230" s="134"/>
      <c r="HR230" s="134"/>
      <c r="HS230" s="134"/>
      <c r="HT230" s="134"/>
      <c r="HU230" s="134"/>
      <c r="HV230" s="134"/>
      <c r="HW230" s="134"/>
      <c r="HX230" s="134"/>
      <c r="HY230" s="135"/>
      <c r="HZ230" s="135"/>
      <c r="IA230" s="134"/>
      <c r="IB230" s="134"/>
      <c r="IC230" s="134"/>
      <c r="ID230" s="134"/>
      <c r="IE230" s="134"/>
      <c r="IF230" s="134"/>
      <c r="IG230" s="134"/>
      <c r="IH230" s="134"/>
      <c r="II230" s="135"/>
      <c r="IJ230" s="135"/>
      <c r="IK230" s="134"/>
      <c r="IL230" s="134"/>
      <c r="IM230" s="134"/>
      <c r="IN230" s="134"/>
      <c r="IO230" s="134"/>
      <c r="IP230" s="134"/>
      <c r="IQ230" s="134"/>
      <c r="IR230" s="134"/>
      <c r="IS230" s="135"/>
      <c r="IT230" s="135"/>
      <c r="IU230" s="134"/>
      <c r="IV230" s="134"/>
      <c r="IW230" s="134"/>
      <c r="IX230" s="134"/>
      <c r="IY230" s="134"/>
      <c r="IZ230" s="134"/>
      <c r="JA230" s="134"/>
      <c r="JB230" s="134"/>
      <c r="JC230" s="135"/>
      <c r="JD230" s="135"/>
    </row>
    <row r="231" spans="1:264" customFormat="1" ht="15" customHeight="1">
      <c r="A231" s="79" t="s">
        <v>173</v>
      </c>
      <c r="B231" s="362">
        <v>128</v>
      </c>
      <c r="C231" s="362">
        <v>34</v>
      </c>
      <c r="D231" s="362"/>
      <c r="E231" s="604" t="s">
        <v>1963</v>
      </c>
      <c r="F231" s="124" t="s">
        <v>2186</v>
      </c>
      <c r="G231" s="125">
        <v>2010</v>
      </c>
      <c r="H231" s="79">
        <v>20494591</v>
      </c>
      <c r="I231" s="79">
        <v>1</v>
      </c>
      <c r="J231" s="126"/>
      <c r="K231" s="127"/>
      <c r="L231" s="79">
        <v>1</v>
      </c>
      <c r="M231" s="79"/>
      <c r="N231" s="79">
        <v>1</v>
      </c>
      <c r="O231" s="128">
        <v>1</v>
      </c>
      <c r="P231" s="79" t="s">
        <v>505</v>
      </c>
      <c r="Q231" s="79" t="s">
        <v>1147</v>
      </c>
      <c r="R231" s="79" t="s">
        <v>503</v>
      </c>
      <c r="S231" s="79">
        <v>0</v>
      </c>
      <c r="T231" s="79"/>
      <c r="U231" s="79"/>
      <c r="V231" s="79"/>
      <c r="W231" s="79"/>
      <c r="X231" s="79"/>
      <c r="Y231" s="79"/>
      <c r="Z231" s="79"/>
      <c r="AA231" s="79"/>
      <c r="AB231" s="79" t="s">
        <v>504</v>
      </c>
      <c r="AC231" s="506"/>
      <c r="AD231" s="573">
        <v>1</v>
      </c>
      <c r="AE231" s="573">
        <v>2</v>
      </c>
      <c r="AF231" s="233" t="s">
        <v>1917</v>
      </c>
      <c r="AG231" s="234" t="s">
        <v>4646</v>
      </c>
      <c r="AH231" s="121">
        <v>2</v>
      </c>
      <c r="AI231" s="484"/>
      <c r="AJ231" s="202" t="s">
        <v>4645</v>
      </c>
      <c r="AK231" s="192">
        <v>1</v>
      </c>
      <c r="AL231" s="203" t="s">
        <v>24</v>
      </c>
      <c r="AM231" s="121">
        <f>30+56+28</f>
        <v>114</v>
      </c>
      <c r="AN231" s="121" t="s">
        <v>4581</v>
      </c>
      <c r="AO231" s="121" t="s">
        <v>4582</v>
      </c>
      <c r="AP231" s="121" t="s">
        <v>4584</v>
      </c>
      <c r="AQ231" s="121" t="s">
        <v>4584</v>
      </c>
      <c r="AR231" s="121">
        <v>67</v>
      </c>
      <c r="AS231" s="121">
        <v>9</v>
      </c>
      <c r="AT231" s="121" t="s">
        <v>4596</v>
      </c>
      <c r="AU231" s="121" t="s">
        <v>4585</v>
      </c>
      <c r="AV231" s="121" t="s">
        <v>4586</v>
      </c>
      <c r="AW231" s="121" t="s">
        <v>24</v>
      </c>
      <c r="AX231" s="121" t="s">
        <v>24</v>
      </c>
      <c r="AY231" s="121" t="s">
        <v>4597</v>
      </c>
      <c r="AZ231" s="121" t="s">
        <v>4587</v>
      </c>
      <c r="BA231" s="121" t="s">
        <v>4588</v>
      </c>
      <c r="BB231" s="594"/>
      <c r="BC231" s="594"/>
      <c r="BD231" s="156"/>
      <c r="BE231" s="156"/>
      <c r="BF231" s="156"/>
      <c r="BG231" s="156"/>
      <c r="BH231" s="156"/>
      <c r="BI231" s="156"/>
      <c r="BJ231" s="156">
        <v>1</v>
      </c>
      <c r="BK231" s="156"/>
      <c r="BL231" s="156"/>
      <c r="BM231" s="156"/>
      <c r="BN231" s="156"/>
      <c r="BO231" s="156"/>
      <c r="BP231" s="156"/>
      <c r="BQ231" s="595" t="s">
        <v>4590</v>
      </c>
      <c r="BR231" s="157" t="s">
        <v>6612</v>
      </c>
      <c r="BS231" s="660"/>
      <c r="BT231" s="134" t="s">
        <v>1876</v>
      </c>
      <c r="BU231" s="134" t="s">
        <v>4598</v>
      </c>
      <c r="BV231" s="134" t="s">
        <v>4595</v>
      </c>
      <c r="BW231" s="134" t="s">
        <v>24</v>
      </c>
      <c r="BX231" s="134" t="s">
        <v>4641</v>
      </c>
      <c r="BY231" s="134"/>
      <c r="BZ231" s="259" t="s">
        <v>4643</v>
      </c>
      <c r="CA231" s="454">
        <v>0</v>
      </c>
      <c r="CB231" s="138" t="s">
        <v>4593</v>
      </c>
      <c r="CC231" s="134">
        <v>18</v>
      </c>
      <c r="CD231" s="134">
        <v>7</v>
      </c>
      <c r="CE231" s="134" t="s">
        <v>24</v>
      </c>
      <c r="CF231" s="138" t="s">
        <v>4599</v>
      </c>
      <c r="CG231" s="134">
        <v>21</v>
      </c>
      <c r="CH231" s="134">
        <v>7</v>
      </c>
      <c r="CI231" s="134" t="s">
        <v>24</v>
      </c>
      <c r="CJ231" s="288" t="s">
        <v>4602</v>
      </c>
      <c r="CK231" s="289" t="s">
        <v>4603</v>
      </c>
      <c r="CL231" s="138" t="s">
        <v>4600</v>
      </c>
      <c r="CM231" s="134">
        <v>15</v>
      </c>
      <c r="CN231" s="134">
        <v>7</v>
      </c>
      <c r="CO231" s="134" t="s">
        <v>24</v>
      </c>
      <c r="CP231" s="138" t="s">
        <v>4601</v>
      </c>
      <c r="CQ231" s="134">
        <v>18</v>
      </c>
      <c r="CR231" s="134">
        <v>6</v>
      </c>
      <c r="CS231" s="134" t="s">
        <v>24</v>
      </c>
      <c r="CT231" s="288"/>
      <c r="CU231" s="289"/>
      <c r="CV231" s="276"/>
      <c r="CW231" s="308"/>
      <c r="CX231" s="138" t="s">
        <v>4605</v>
      </c>
      <c r="CY231" s="134">
        <v>7</v>
      </c>
      <c r="CZ231" s="134">
        <v>3</v>
      </c>
      <c r="DA231" s="134" t="s">
        <v>24</v>
      </c>
      <c r="DB231" s="138" t="s">
        <v>4606</v>
      </c>
      <c r="DC231" s="138">
        <v>8</v>
      </c>
      <c r="DD231" s="134">
        <v>3</v>
      </c>
      <c r="DE231" s="134" t="s">
        <v>24</v>
      </c>
      <c r="DF231" s="300" t="s">
        <v>4609</v>
      </c>
      <c r="DG231" s="301" t="s">
        <v>4603</v>
      </c>
      <c r="DH231" s="138" t="s">
        <v>4607</v>
      </c>
      <c r="DI231" s="134">
        <v>5</v>
      </c>
      <c r="DJ231" s="134">
        <v>3</v>
      </c>
      <c r="DK231" s="134" t="s">
        <v>24</v>
      </c>
      <c r="DL231" s="138" t="s">
        <v>4608</v>
      </c>
      <c r="DM231" s="134">
        <v>7</v>
      </c>
      <c r="DN231" s="134">
        <v>3</v>
      </c>
      <c r="DO231" s="134" t="s">
        <v>24</v>
      </c>
      <c r="DP231" s="300"/>
      <c r="DQ231" s="301"/>
      <c r="DR231" s="276"/>
      <c r="DS231" s="277"/>
      <c r="DT231" s="134"/>
      <c r="DU231" s="134"/>
      <c r="DV231" s="134"/>
      <c r="DW231" s="134"/>
      <c r="DX231" s="138"/>
      <c r="DY231" s="134"/>
      <c r="DZ231" s="134"/>
      <c r="EA231" s="134"/>
      <c r="EB231" s="301"/>
      <c r="EC231" s="301"/>
      <c r="ED231" s="138"/>
      <c r="EE231" s="134"/>
      <c r="EF231" s="134"/>
      <c r="EG231" s="134"/>
      <c r="EH231" s="138"/>
      <c r="EI231" s="134"/>
      <c r="EJ231" s="134"/>
      <c r="EK231" s="134"/>
      <c r="EL231" s="301"/>
      <c r="EM231" s="301"/>
      <c r="EN231" s="277"/>
      <c r="EO231" s="134"/>
      <c r="EP231" s="134"/>
      <c r="EQ231" s="134"/>
      <c r="ER231" s="134"/>
      <c r="ES231" s="134"/>
      <c r="ET231" s="134"/>
      <c r="EU231" s="134"/>
      <c r="EV231" s="134"/>
      <c r="EW231" s="301"/>
      <c r="EX231" s="301"/>
      <c r="EY231" s="134"/>
      <c r="EZ231" s="134"/>
      <c r="FA231" s="134"/>
      <c r="FB231" s="134"/>
      <c r="FC231" s="134"/>
      <c r="FD231" s="134"/>
      <c r="FE231" s="134"/>
      <c r="FF231" s="134"/>
      <c r="FG231" s="135"/>
      <c r="FH231" s="135"/>
      <c r="FI231" s="134"/>
      <c r="FJ231" s="134"/>
      <c r="FK231" s="134"/>
      <c r="FL231" s="134"/>
      <c r="FM231" s="134"/>
      <c r="FN231" s="134"/>
      <c r="FO231" s="134"/>
      <c r="FP231" s="134"/>
      <c r="FQ231" s="135"/>
      <c r="FR231" s="135"/>
      <c r="FS231" s="134"/>
      <c r="FT231" s="134"/>
      <c r="FU231" s="134"/>
      <c r="FV231" s="134"/>
      <c r="FW231" s="134"/>
      <c r="FX231" s="134"/>
      <c r="FY231" s="134"/>
      <c r="FZ231" s="134"/>
      <c r="GA231" s="135"/>
      <c r="GB231" s="135"/>
      <c r="GC231" s="134"/>
      <c r="GD231" s="134"/>
      <c r="GE231" s="134"/>
      <c r="GF231" s="134"/>
      <c r="GG231" s="134"/>
      <c r="GH231" s="134"/>
      <c r="GI231" s="134"/>
      <c r="GJ231" s="134"/>
      <c r="GK231" s="135"/>
      <c r="GL231" s="135"/>
      <c r="GM231" s="134"/>
      <c r="GN231" s="134"/>
      <c r="GO231" s="134"/>
      <c r="GP231" s="134"/>
      <c r="GQ231" s="134"/>
      <c r="GR231" s="134"/>
      <c r="GS231" s="134"/>
      <c r="GT231" s="134"/>
      <c r="GU231" s="135"/>
      <c r="GV231" s="135"/>
      <c r="GW231" s="134"/>
      <c r="GX231" s="134"/>
      <c r="GY231" s="134"/>
      <c r="GZ231" s="134"/>
      <c r="HA231" s="134"/>
      <c r="HB231" s="134"/>
      <c r="HC231" s="134"/>
      <c r="HD231" s="134"/>
      <c r="HE231" s="135"/>
      <c r="HF231" s="135"/>
      <c r="HG231" s="134"/>
      <c r="HH231" s="134"/>
      <c r="HI231" s="134"/>
      <c r="HJ231" s="134"/>
      <c r="HK231" s="134"/>
      <c r="HL231" s="134"/>
      <c r="HM231" s="134"/>
      <c r="HN231" s="134"/>
      <c r="HO231" s="135"/>
      <c r="HP231" s="135"/>
      <c r="HQ231" s="134"/>
      <c r="HR231" s="134"/>
      <c r="HS231" s="134"/>
      <c r="HT231" s="134"/>
      <c r="HU231" s="134"/>
      <c r="HV231" s="134"/>
      <c r="HW231" s="134"/>
      <c r="HX231" s="134"/>
      <c r="HY231" s="135"/>
      <c r="HZ231" s="135"/>
      <c r="IA231" s="134"/>
      <c r="IB231" s="134"/>
      <c r="IC231" s="134"/>
      <c r="ID231" s="134"/>
      <c r="IE231" s="134"/>
      <c r="IF231" s="134"/>
      <c r="IG231" s="134"/>
      <c r="IH231" s="134"/>
      <c r="II231" s="135"/>
      <c r="IJ231" s="135"/>
      <c r="IK231" s="134"/>
      <c r="IL231" s="134"/>
      <c r="IM231" s="134"/>
      <c r="IN231" s="134"/>
      <c r="IO231" s="134"/>
      <c r="IP231" s="134"/>
      <c r="IQ231" s="134"/>
      <c r="IR231" s="134"/>
      <c r="IS231" s="135"/>
      <c r="IT231" s="135"/>
      <c r="IU231" s="134"/>
      <c r="IV231" s="134"/>
      <c r="IW231" s="134"/>
      <c r="IX231" s="134"/>
      <c r="IY231" s="134"/>
      <c r="IZ231" s="134"/>
      <c r="JA231" s="134"/>
      <c r="JB231" s="134"/>
      <c r="JC231" s="135"/>
      <c r="JD231" s="135"/>
    </row>
    <row r="232" spans="1:264" customFormat="1" ht="15" customHeight="1">
      <c r="A232" s="118" t="s">
        <v>173</v>
      </c>
      <c r="B232" s="616">
        <v>128</v>
      </c>
      <c r="C232" s="616">
        <v>34</v>
      </c>
      <c r="D232" s="616"/>
      <c r="E232" s="605" t="s">
        <v>1963</v>
      </c>
      <c r="F232" s="140" t="s">
        <v>2186</v>
      </c>
      <c r="G232" s="141">
        <v>2010</v>
      </c>
      <c r="H232" s="118">
        <v>20494591</v>
      </c>
      <c r="I232" s="118">
        <v>1</v>
      </c>
      <c r="J232" s="118"/>
      <c r="K232" s="118"/>
      <c r="L232" s="118">
        <v>1</v>
      </c>
      <c r="M232" s="118"/>
      <c r="N232" s="118">
        <v>1</v>
      </c>
      <c r="O232" s="142">
        <v>1</v>
      </c>
      <c r="P232" s="118" t="s">
        <v>505</v>
      </c>
      <c r="Q232" s="118" t="s">
        <v>1147</v>
      </c>
      <c r="R232" s="118" t="s">
        <v>503</v>
      </c>
      <c r="S232" s="118">
        <v>0</v>
      </c>
      <c r="T232" s="118"/>
      <c r="U232" s="118"/>
      <c r="V232" s="118"/>
      <c r="W232" s="118"/>
      <c r="X232" s="118"/>
      <c r="Y232" s="118"/>
      <c r="Z232" s="118"/>
      <c r="AA232" s="118"/>
      <c r="AB232" s="118" t="s">
        <v>504</v>
      </c>
      <c r="AC232" s="145"/>
      <c r="AD232" s="573">
        <v>1</v>
      </c>
      <c r="AE232" s="573">
        <v>2</v>
      </c>
      <c r="AF232" s="159" t="s">
        <v>3003</v>
      </c>
      <c r="AG232" s="160" t="s">
        <v>7137</v>
      </c>
      <c r="AH232" s="122">
        <v>2</v>
      </c>
      <c r="AI232" s="485"/>
      <c r="AJ232" s="204" t="s">
        <v>4589</v>
      </c>
      <c r="AK232" s="192">
        <v>1</v>
      </c>
      <c r="AL232" s="205" t="s">
        <v>24</v>
      </c>
      <c r="AM232" s="122">
        <f>30+56+28</f>
        <v>114</v>
      </c>
      <c r="AN232" s="122" t="s">
        <v>4581</v>
      </c>
      <c r="AO232" s="122" t="s">
        <v>4582</v>
      </c>
      <c r="AP232" s="122" t="s">
        <v>4584</v>
      </c>
      <c r="AQ232" s="122" t="s">
        <v>4584</v>
      </c>
      <c r="AR232" s="122">
        <v>67</v>
      </c>
      <c r="AS232" s="122">
        <v>9</v>
      </c>
      <c r="AT232" s="121" t="s">
        <v>4596</v>
      </c>
      <c r="AU232" s="122" t="s">
        <v>4585</v>
      </c>
      <c r="AV232" s="122" t="s">
        <v>4586</v>
      </c>
      <c r="AW232" s="122" t="s">
        <v>24</v>
      </c>
      <c r="AX232" s="122" t="s">
        <v>24</v>
      </c>
      <c r="AY232" s="121" t="s">
        <v>4597</v>
      </c>
      <c r="AZ232" s="122" t="s">
        <v>4587</v>
      </c>
      <c r="BA232" s="122" t="s">
        <v>4588</v>
      </c>
      <c r="BB232" s="588"/>
      <c r="BC232" s="588"/>
      <c r="BD232" s="161"/>
      <c r="BE232" s="161"/>
      <c r="BF232" s="161"/>
      <c r="BG232" s="161"/>
      <c r="BH232" s="161"/>
      <c r="BI232" s="161">
        <v>1</v>
      </c>
      <c r="BJ232" s="161"/>
      <c r="BK232" s="161"/>
      <c r="BL232" s="161"/>
      <c r="BM232" s="161"/>
      <c r="BN232" s="161"/>
      <c r="BO232" s="161"/>
      <c r="BP232" s="161"/>
      <c r="BQ232" s="596" t="s">
        <v>4640</v>
      </c>
      <c r="BR232" s="162"/>
      <c r="BS232" s="660"/>
      <c r="BT232" s="150" t="s">
        <v>1876</v>
      </c>
      <c r="BU232" s="134" t="s">
        <v>4598</v>
      </c>
      <c r="BV232" s="168" t="s">
        <v>4592</v>
      </c>
      <c r="BW232" s="150" t="s">
        <v>24</v>
      </c>
      <c r="BX232" s="150" t="s">
        <v>4604</v>
      </c>
      <c r="BY232" s="150"/>
      <c r="BZ232" s="258"/>
      <c r="CA232" s="257"/>
      <c r="CB232" s="151"/>
      <c r="CC232" s="150"/>
      <c r="CD232" s="150"/>
      <c r="CE232" s="150"/>
      <c r="CF232" s="151"/>
      <c r="CG232" s="150"/>
      <c r="CH232" s="150"/>
      <c r="CI232" s="150"/>
      <c r="CJ232" s="290"/>
      <c r="CK232" s="291"/>
      <c r="CL232" s="151"/>
      <c r="CM232" s="150"/>
      <c r="CN232" s="150"/>
      <c r="CO232" s="150"/>
      <c r="CP232" s="151"/>
      <c r="CQ232" s="150"/>
      <c r="CR232" s="150"/>
      <c r="CS232" s="150"/>
      <c r="CT232" s="290"/>
      <c r="CU232" s="291"/>
      <c r="CV232" s="278"/>
      <c r="CW232" s="285"/>
      <c r="CX232" s="151"/>
      <c r="CY232" s="150"/>
      <c r="CZ232" s="150"/>
      <c r="DA232" s="150"/>
      <c r="DB232" s="150"/>
      <c r="DC232" s="150"/>
      <c r="DD232" s="150"/>
      <c r="DE232" s="150"/>
      <c r="DF232" s="302"/>
      <c r="DG232" s="303"/>
      <c r="DH232" s="150"/>
      <c r="DI232" s="150"/>
      <c r="DJ232" s="150"/>
      <c r="DK232" s="150"/>
      <c r="DL232" s="150"/>
      <c r="DM232" s="150"/>
      <c r="DN232" s="150"/>
      <c r="DO232" s="150"/>
      <c r="DP232" s="302"/>
      <c r="DQ232" s="303"/>
      <c r="DR232" s="278"/>
      <c r="DS232" s="279"/>
      <c r="DT232" s="150"/>
      <c r="DU232" s="150"/>
      <c r="DV232" s="150"/>
      <c r="DW232" s="150"/>
      <c r="DX232" s="151"/>
      <c r="DY232" s="150"/>
      <c r="DZ232" s="150"/>
      <c r="EA232" s="150"/>
      <c r="EB232" s="303"/>
      <c r="EC232" s="303"/>
      <c r="ED232" s="151"/>
      <c r="EE232" s="150"/>
      <c r="EF232" s="150"/>
      <c r="EG232" s="150"/>
      <c r="EH232" s="151"/>
      <c r="EI232" s="150"/>
      <c r="EJ232" s="150"/>
      <c r="EK232" s="150"/>
      <c r="EL232" s="303"/>
      <c r="EM232" s="303"/>
      <c r="EN232" s="279"/>
      <c r="EO232" s="150"/>
      <c r="EP232" s="150"/>
      <c r="EQ232" s="150"/>
      <c r="ER232" s="150"/>
      <c r="ES232" s="150"/>
      <c r="ET232" s="150"/>
      <c r="EU232" s="150"/>
      <c r="EV232" s="150"/>
      <c r="EW232" s="303"/>
      <c r="EX232" s="303"/>
      <c r="EY232" s="150"/>
      <c r="EZ232" s="150"/>
      <c r="FA232" s="150"/>
      <c r="FB232" s="150"/>
      <c r="FC232" s="134"/>
      <c r="FD232" s="134"/>
      <c r="FE232" s="134"/>
      <c r="FF232" s="134"/>
      <c r="FG232" s="135"/>
      <c r="FH232" s="135"/>
      <c r="FI232" s="134"/>
      <c r="FJ232" s="134"/>
      <c r="FK232" s="134"/>
      <c r="FL232" s="134"/>
      <c r="FM232" s="134"/>
      <c r="FN232" s="134"/>
      <c r="FO232" s="134"/>
      <c r="FP232" s="134"/>
      <c r="FQ232" s="135"/>
      <c r="FR232" s="135"/>
      <c r="FS232" s="134"/>
      <c r="FT232" s="134"/>
      <c r="FU232" s="134"/>
      <c r="FV232" s="134"/>
      <c r="FW232" s="134"/>
      <c r="FX232" s="134"/>
      <c r="FY232" s="134"/>
      <c r="FZ232" s="134"/>
      <c r="GA232" s="135"/>
      <c r="GB232" s="135"/>
      <c r="GC232" s="134"/>
      <c r="GD232" s="134"/>
      <c r="GE232" s="134"/>
      <c r="GF232" s="134"/>
      <c r="GG232" s="134"/>
      <c r="GH232" s="134"/>
      <c r="GI232" s="134"/>
      <c r="GJ232" s="134"/>
      <c r="GK232" s="135"/>
      <c r="GL232" s="135"/>
      <c r="GM232" s="134"/>
      <c r="GN232" s="134"/>
      <c r="GO232" s="134"/>
      <c r="GP232" s="134"/>
      <c r="GQ232" s="134"/>
      <c r="GR232" s="134"/>
      <c r="GS232" s="134"/>
      <c r="GT232" s="134"/>
      <c r="GU232" s="135"/>
      <c r="GV232" s="135"/>
      <c r="GW232" s="134"/>
      <c r="GX232" s="134"/>
      <c r="GY232" s="134"/>
      <c r="GZ232" s="134"/>
      <c r="HA232" s="134"/>
      <c r="HB232" s="134"/>
      <c r="HC232" s="134"/>
      <c r="HD232" s="134"/>
      <c r="HE232" s="135"/>
      <c r="HF232" s="135"/>
      <c r="HG232" s="134"/>
      <c r="HH232" s="134"/>
      <c r="HI232" s="134"/>
      <c r="HJ232" s="134"/>
      <c r="HK232" s="134"/>
      <c r="HL232" s="134"/>
      <c r="HM232" s="134"/>
      <c r="HN232" s="134"/>
      <c r="HO232" s="135"/>
      <c r="HP232" s="135"/>
      <c r="HQ232" s="134"/>
      <c r="HR232" s="134"/>
      <c r="HS232" s="134"/>
      <c r="HT232" s="134"/>
      <c r="HU232" s="134"/>
      <c r="HV232" s="134"/>
      <c r="HW232" s="134"/>
      <c r="HX232" s="134"/>
      <c r="HY232" s="135"/>
      <c r="HZ232" s="135"/>
      <c r="IA232" s="134"/>
      <c r="IB232" s="134"/>
      <c r="IC232" s="134"/>
      <c r="ID232" s="134"/>
      <c r="IE232" s="134"/>
      <c r="IF232" s="134"/>
      <c r="IG232" s="134"/>
      <c r="IH232" s="134"/>
      <c r="II232" s="135"/>
      <c r="IJ232" s="135"/>
      <c r="IK232" s="134"/>
      <c r="IL232" s="134"/>
      <c r="IM232" s="134"/>
      <c r="IN232" s="134"/>
      <c r="IO232" s="134"/>
      <c r="IP232" s="134"/>
      <c r="IQ232" s="134"/>
      <c r="IR232" s="134"/>
      <c r="IS232" s="135"/>
      <c r="IT232" s="135"/>
      <c r="IU232" s="134"/>
      <c r="IV232" s="134"/>
      <c r="IW232" s="134"/>
      <c r="IX232" s="134"/>
      <c r="IY232" s="134"/>
      <c r="IZ232" s="134"/>
      <c r="JA232" s="134"/>
      <c r="JB232" s="134"/>
      <c r="JC232" s="135"/>
      <c r="JD232" s="135"/>
    </row>
    <row r="233" spans="1:264" customFormat="1" ht="15" customHeight="1">
      <c r="A233" s="79" t="s">
        <v>1051</v>
      </c>
      <c r="B233" s="362">
        <v>129</v>
      </c>
      <c r="C233" s="362">
        <v>35</v>
      </c>
      <c r="D233" s="362"/>
      <c r="E233" s="604" t="s">
        <v>2076</v>
      </c>
      <c r="F233" s="124" t="s">
        <v>2330</v>
      </c>
      <c r="G233" s="125">
        <v>2006</v>
      </c>
      <c r="H233" s="79">
        <v>16860405</v>
      </c>
      <c r="I233" s="79">
        <v>1</v>
      </c>
      <c r="J233" s="126">
        <v>1</v>
      </c>
      <c r="K233" s="127"/>
      <c r="L233" s="79">
        <v>1</v>
      </c>
      <c r="M233" s="79"/>
      <c r="N233" s="79">
        <v>1</v>
      </c>
      <c r="O233" s="128">
        <v>2</v>
      </c>
      <c r="P233" s="79" t="s">
        <v>1352</v>
      </c>
      <c r="Q233" s="79" t="s">
        <v>1224</v>
      </c>
      <c r="R233" s="79" t="s">
        <v>1127</v>
      </c>
      <c r="S233" s="79"/>
      <c r="T233" s="79" t="s">
        <v>1487</v>
      </c>
      <c r="U233" s="79" t="s">
        <v>23</v>
      </c>
      <c r="V233" s="79" t="s">
        <v>23</v>
      </c>
      <c r="W233" s="79" t="s">
        <v>1691</v>
      </c>
      <c r="X233" s="79"/>
      <c r="Y233" s="79"/>
      <c r="Z233" s="79"/>
      <c r="AA233" s="79"/>
      <c r="AB233" s="79" t="s">
        <v>1351</v>
      </c>
      <c r="AC233" s="506"/>
      <c r="AD233" s="573">
        <v>1</v>
      </c>
      <c r="AE233" s="573">
        <v>2</v>
      </c>
      <c r="AF233" s="154">
        <v>1</v>
      </c>
      <c r="AG233" s="155" t="s">
        <v>4661</v>
      </c>
      <c r="AH233" s="121">
        <v>4</v>
      </c>
      <c r="AI233" s="484"/>
      <c r="AJ233" s="202" t="s">
        <v>4647</v>
      </c>
      <c r="AK233" s="192">
        <v>0</v>
      </c>
      <c r="AL233" s="203">
        <v>0</v>
      </c>
      <c r="AM233" s="121">
        <f>Table668[[#This Row],[Data_Subjects_n_ptsd]]+Table668[[#This Row],[Data_Subjects_n_control]]</f>
        <v>23</v>
      </c>
      <c r="AN233" s="121">
        <v>11</v>
      </c>
      <c r="AO233" s="121">
        <v>12</v>
      </c>
      <c r="AP233" s="121" t="s">
        <v>803</v>
      </c>
      <c r="AQ233" s="121" t="s">
        <v>803</v>
      </c>
      <c r="AR233" s="121" t="s">
        <v>4648</v>
      </c>
      <c r="AS233" s="121" t="s">
        <v>24</v>
      </c>
      <c r="AT233" s="121" t="s">
        <v>4649</v>
      </c>
      <c r="AU233" s="121" t="s">
        <v>24</v>
      </c>
      <c r="AV233" s="121" t="s">
        <v>4650</v>
      </c>
      <c r="AW233" s="121">
        <v>1</v>
      </c>
      <c r="AX233" s="121">
        <v>1</v>
      </c>
      <c r="AY233" s="121" t="s">
        <v>4651</v>
      </c>
      <c r="AZ233" s="121" t="s">
        <v>1130</v>
      </c>
      <c r="BA233" s="121" t="s">
        <v>4508</v>
      </c>
      <c r="BB233" s="594"/>
      <c r="BC233" s="594"/>
      <c r="BD233" s="156">
        <v>1</v>
      </c>
      <c r="BE233" s="156"/>
      <c r="BF233" s="156"/>
      <c r="BG233" s="156"/>
      <c r="BH233" s="156"/>
      <c r="BI233" s="156"/>
      <c r="BJ233" s="156"/>
      <c r="BK233" s="156"/>
      <c r="BL233" s="156"/>
      <c r="BM233" s="156"/>
      <c r="BN233" s="156"/>
      <c r="BO233" s="156"/>
      <c r="BP233" s="156"/>
      <c r="BQ233" s="595" t="s">
        <v>6602</v>
      </c>
      <c r="BR233" s="157" t="s">
        <v>6595</v>
      </c>
      <c r="BS233" s="660"/>
      <c r="BT233" s="134" t="s">
        <v>1876</v>
      </c>
      <c r="BU233" s="134" t="s">
        <v>4652</v>
      </c>
      <c r="BV233" s="134" t="s">
        <v>4654</v>
      </c>
      <c r="BW233" s="134" t="s">
        <v>4653</v>
      </c>
      <c r="BX233" s="134" t="s">
        <v>4655</v>
      </c>
      <c r="BY233" s="134" t="s">
        <v>6640</v>
      </c>
      <c r="BZ233" s="259" t="s">
        <v>4659</v>
      </c>
      <c r="CA233" s="454" t="s">
        <v>6627</v>
      </c>
      <c r="CB233" s="138" t="s">
        <v>4656</v>
      </c>
      <c r="CC233" s="134">
        <v>110.364</v>
      </c>
      <c r="CD233" s="134" t="s">
        <v>24</v>
      </c>
      <c r="CE233" s="134">
        <f>119.639-Table668[[#This Row],[Data_Outcome1_M]]</f>
        <v>9.2749999999999915</v>
      </c>
      <c r="CF233" s="138" t="s">
        <v>4657</v>
      </c>
      <c r="CG233" s="134">
        <v>77.115899999999996</v>
      </c>
      <c r="CH233" s="134" t="s">
        <v>24</v>
      </c>
      <c r="CI233" s="134">
        <f>83.7406-Table668[[#This Row],[Data_Outcome2_M]]</f>
        <v>6.6247000000000043</v>
      </c>
      <c r="CJ233" s="288" t="s">
        <v>4658</v>
      </c>
      <c r="CK233" s="289" t="s">
        <v>4660</v>
      </c>
      <c r="CL233" s="138" t="s">
        <v>24</v>
      </c>
      <c r="CM233" s="134"/>
      <c r="CN233" s="134"/>
      <c r="CO233" s="134"/>
      <c r="CP233" s="138"/>
      <c r="CQ233" s="134"/>
      <c r="CR233" s="134"/>
      <c r="CS233" s="134"/>
      <c r="CT233" s="288"/>
      <c r="CU233" s="289"/>
      <c r="CV233" s="276"/>
      <c r="CW233" s="308"/>
      <c r="CX233" s="138"/>
      <c r="CY233" s="134"/>
      <c r="CZ233" s="134"/>
      <c r="DA233" s="134"/>
      <c r="DB233" s="134"/>
      <c r="DC233" s="134"/>
      <c r="DD233" s="134"/>
      <c r="DE233" s="134"/>
      <c r="DF233" s="300"/>
      <c r="DG233" s="301"/>
      <c r="DH233" s="134"/>
      <c r="DI233" s="134"/>
      <c r="DJ233" s="134"/>
      <c r="DK233" s="134"/>
      <c r="DL233" s="134"/>
      <c r="DM233" s="134"/>
      <c r="DN233" s="134"/>
      <c r="DO233" s="134"/>
      <c r="DP233" s="300"/>
      <c r="DQ233" s="301"/>
      <c r="DR233" s="276"/>
      <c r="DS233" s="277"/>
      <c r="DT233" s="134"/>
      <c r="DU233" s="134"/>
      <c r="DV233" s="134"/>
      <c r="DW233" s="134"/>
      <c r="DX233" s="138"/>
      <c r="DY233" s="134"/>
      <c r="DZ233" s="134"/>
      <c r="EA233" s="134"/>
      <c r="EB233" s="301"/>
      <c r="EC233" s="301"/>
      <c r="ED233" s="138"/>
      <c r="EE233" s="134"/>
      <c r="EF233" s="134"/>
      <c r="EG233" s="134"/>
      <c r="EH233" s="138"/>
      <c r="EI233" s="134"/>
      <c r="EJ233" s="134"/>
      <c r="EK233" s="134"/>
      <c r="EL233" s="301"/>
      <c r="EM233" s="301"/>
      <c r="EN233" s="277"/>
      <c r="EO233" s="134"/>
      <c r="EP233" s="134"/>
      <c r="EQ233" s="134"/>
      <c r="ER233" s="134"/>
      <c r="ES233" s="134"/>
      <c r="ET233" s="134"/>
      <c r="EU233" s="134"/>
      <c r="EV233" s="134"/>
      <c r="EW233" s="301"/>
      <c r="EX233" s="301"/>
      <c r="EY233" s="134"/>
      <c r="EZ233" s="134"/>
      <c r="FA233" s="134"/>
      <c r="FB233" s="134"/>
      <c r="FC233" s="134"/>
      <c r="FD233" s="134"/>
      <c r="FE233" s="134"/>
      <c r="FF233" s="134"/>
      <c r="FG233" s="135"/>
      <c r="FH233" s="135"/>
      <c r="FI233" s="134"/>
      <c r="FJ233" s="134"/>
      <c r="FK233" s="134"/>
      <c r="FL233" s="134"/>
      <c r="FM233" s="134"/>
      <c r="FN233" s="134"/>
      <c r="FO233" s="134"/>
      <c r="FP233" s="134"/>
      <c r="FQ233" s="135"/>
      <c r="FR233" s="135"/>
      <c r="FS233" s="134"/>
      <c r="FT233" s="134"/>
      <c r="FU233" s="134"/>
      <c r="FV233" s="134"/>
      <c r="FW233" s="134"/>
      <c r="FX233" s="134"/>
      <c r="FY233" s="134"/>
      <c r="FZ233" s="134"/>
      <c r="GA233" s="135"/>
      <c r="GB233" s="135"/>
      <c r="GC233" s="134"/>
      <c r="GD233" s="134"/>
      <c r="GE233" s="134"/>
      <c r="GF233" s="134"/>
      <c r="GG233" s="134"/>
      <c r="GH233" s="134"/>
      <c r="GI233" s="134"/>
      <c r="GJ233" s="134"/>
      <c r="GK233" s="135"/>
      <c r="GL233" s="135"/>
      <c r="GM233" s="134"/>
      <c r="GN233" s="134"/>
      <c r="GO233" s="134"/>
      <c r="GP233" s="134"/>
      <c r="GQ233" s="134"/>
      <c r="GR233" s="134"/>
      <c r="GS233" s="134"/>
      <c r="GT233" s="134"/>
      <c r="GU233" s="135"/>
      <c r="GV233" s="135"/>
      <c r="GW233" s="134"/>
      <c r="GX233" s="134"/>
      <c r="GY233" s="134"/>
      <c r="GZ233" s="134"/>
      <c r="HA233" s="134"/>
      <c r="HB233" s="134"/>
      <c r="HC233" s="134"/>
      <c r="HD233" s="134"/>
      <c r="HE233" s="135"/>
      <c r="HF233" s="135"/>
      <c r="HG233" s="134"/>
      <c r="HH233" s="134"/>
      <c r="HI233" s="134"/>
      <c r="HJ233" s="134"/>
      <c r="HK233" s="134"/>
      <c r="HL233" s="134"/>
      <c r="HM233" s="134"/>
      <c r="HN233" s="134"/>
      <c r="HO233" s="135"/>
      <c r="HP233" s="135"/>
      <c r="HQ233" s="134"/>
      <c r="HR233" s="134"/>
      <c r="HS233" s="134"/>
      <c r="HT233" s="134"/>
      <c r="HU233" s="134"/>
      <c r="HV233" s="134"/>
      <c r="HW233" s="134"/>
      <c r="HX233" s="134"/>
      <c r="HY233" s="135"/>
      <c r="HZ233" s="135"/>
      <c r="IA233" s="134"/>
      <c r="IB233" s="134"/>
      <c r="IC233" s="134"/>
      <c r="ID233" s="134"/>
      <c r="IE233" s="134"/>
      <c r="IF233" s="134"/>
      <c r="IG233" s="134"/>
      <c r="IH233" s="134"/>
      <c r="II233" s="135"/>
      <c r="IJ233" s="135"/>
      <c r="IK233" s="134"/>
      <c r="IL233" s="134"/>
      <c r="IM233" s="134"/>
      <c r="IN233" s="134"/>
      <c r="IO233" s="134"/>
      <c r="IP233" s="134"/>
      <c r="IQ233" s="134"/>
      <c r="IR233" s="134"/>
      <c r="IS233" s="135"/>
      <c r="IT233" s="135"/>
      <c r="IU233" s="134"/>
      <c r="IV233" s="134"/>
      <c r="IW233" s="134"/>
      <c r="IX233" s="134"/>
      <c r="IY233" s="134"/>
      <c r="IZ233" s="134"/>
      <c r="JA233" s="134"/>
      <c r="JB233" s="134"/>
      <c r="JC233" s="135"/>
      <c r="JD233" s="135"/>
    </row>
    <row r="234" spans="1:264" customFormat="1" ht="15" customHeight="1">
      <c r="A234" s="79" t="s">
        <v>1050</v>
      </c>
      <c r="B234" s="614">
        <v>20</v>
      </c>
      <c r="C234" s="614"/>
      <c r="D234" s="614"/>
      <c r="E234" s="604" t="s">
        <v>2077</v>
      </c>
      <c r="F234" s="124" t="s">
        <v>2331</v>
      </c>
      <c r="G234" s="125">
        <v>2007</v>
      </c>
      <c r="H234" s="79">
        <v>17267088</v>
      </c>
      <c r="I234" s="79">
        <v>1</v>
      </c>
      <c r="J234" s="126"/>
      <c r="K234" s="127"/>
      <c r="L234" s="79">
        <v>1</v>
      </c>
      <c r="M234" s="79"/>
      <c r="N234" s="79">
        <v>1</v>
      </c>
      <c r="O234" s="128">
        <v>2</v>
      </c>
      <c r="P234" s="79" t="s">
        <v>1353</v>
      </c>
      <c r="Q234" s="79" t="s">
        <v>1216</v>
      </c>
      <c r="R234" s="79" t="s">
        <v>1127</v>
      </c>
      <c r="S234" s="79"/>
      <c r="T234" s="79" t="s">
        <v>1487</v>
      </c>
      <c r="U234" s="79" t="s">
        <v>803</v>
      </c>
      <c r="V234" s="79" t="s">
        <v>23</v>
      </c>
      <c r="W234" s="79" t="s">
        <v>1337</v>
      </c>
      <c r="X234" s="79" t="s">
        <v>1354</v>
      </c>
      <c r="Y234" s="79"/>
      <c r="Z234" s="79"/>
      <c r="AA234" s="79"/>
      <c r="AB234" s="79"/>
      <c r="AC234" s="506"/>
      <c r="AD234" s="573">
        <v>1</v>
      </c>
      <c r="AE234" s="573">
        <v>2</v>
      </c>
      <c r="AF234" s="154">
        <v>1</v>
      </c>
      <c r="AG234" s="155" t="s">
        <v>2979</v>
      </c>
      <c r="AH234" s="121">
        <v>4</v>
      </c>
      <c r="AI234" s="484"/>
      <c r="AJ234" s="202" t="s">
        <v>2966</v>
      </c>
      <c r="AK234" s="192">
        <v>0</v>
      </c>
      <c r="AL234" s="203">
        <v>0</v>
      </c>
      <c r="AM234" s="121">
        <v>16</v>
      </c>
      <c r="AN234" s="121">
        <v>8</v>
      </c>
      <c r="AO234" s="121">
        <v>8</v>
      </c>
      <c r="AP234" s="121" t="s">
        <v>803</v>
      </c>
      <c r="AQ234" s="121" t="s">
        <v>803</v>
      </c>
      <c r="AR234" s="121" t="s">
        <v>2667</v>
      </c>
      <c r="AS234" s="121" t="s">
        <v>24</v>
      </c>
      <c r="AT234" s="121" t="s">
        <v>2667</v>
      </c>
      <c r="AU234" s="121" t="s">
        <v>24</v>
      </c>
      <c r="AV234" s="121" t="s">
        <v>2963</v>
      </c>
      <c r="AW234" s="121">
        <v>1</v>
      </c>
      <c r="AX234" s="121">
        <v>1</v>
      </c>
      <c r="AY234" s="121" t="s">
        <v>2964</v>
      </c>
      <c r="AZ234" s="121" t="s">
        <v>1130</v>
      </c>
      <c r="BA234" s="121" t="s">
        <v>2798</v>
      </c>
      <c r="BB234" s="594"/>
      <c r="BC234" s="594"/>
      <c r="BD234" s="156">
        <v>1</v>
      </c>
      <c r="BE234" s="156"/>
      <c r="BF234" s="156"/>
      <c r="BG234" s="156"/>
      <c r="BH234" s="156"/>
      <c r="BI234" s="156"/>
      <c r="BJ234" s="156"/>
      <c r="BK234" s="156"/>
      <c r="BL234" s="156"/>
      <c r="BM234" s="156"/>
      <c r="BN234" s="156"/>
      <c r="BO234" s="156"/>
      <c r="BP234" s="156"/>
      <c r="BQ234" s="595" t="s">
        <v>2967</v>
      </c>
      <c r="BR234" s="157" t="s">
        <v>6598</v>
      </c>
      <c r="BS234" s="660"/>
      <c r="BT234" s="134" t="s">
        <v>1876</v>
      </c>
      <c r="BU234" s="134">
        <v>2</v>
      </c>
      <c r="BV234" s="134" t="s">
        <v>2965</v>
      </c>
      <c r="BW234" s="134" t="s">
        <v>23</v>
      </c>
      <c r="BX234" s="134" t="s">
        <v>2945</v>
      </c>
      <c r="BY234" s="134" t="s">
        <v>6640</v>
      </c>
      <c r="BZ234" s="259" t="s">
        <v>2971</v>
      </c>
      <c r="CA234" s="454" t="s">
        <v>6627</v>
      </c>
      <c r="CB234" s="138" t="s">
        <v>2969</v>
      </c>
      <c r="CC234" s="134">
        <v>83.8</v>
      </c>
      <c r="CD234" s="134" t="s">
        <v>24</v>
      </c>
      <c r="CE234" s="134">
        <v>8.8000000000000007</v>
      </c>
      <c r="CF234" s="138" t="s">
        <v>2968</v>
      </c>
      <c r="CG234" s="134">
        <v>125.1</v>
      </c>
      <c r="CH234" s="168" t="s">
        <v>24</v>
      </c>
      <c r="CI234" s="134">
        <v>6.2</v>
      </c>
      <c r="CJ234" s="288" t="s">
        <v>2970</v>
      </c>
      <c r="CK234" s="289" t="s">
        <v>2972</v>
      </c>
      <c r="CL234" s="138" t="s">
        <v>24</v>
      </c>
      <c r="CM234" s="134"/>
      <c r="CN234" s="134"/>
      <c r="CO234" s="134"/>
      <c r="CP234" s="138"/>
      <c r="CQ234" s="134"/>
      <c r="CR234" s="134"/>
      <c r="CS234" s="134"/>
      <c r="CT234" s="288"/>
      <c r="CU234" s="289"/>
      <c r="CV234" s="276"/>
      <c r="CW234" s="308"/>
      <c r="CX234" s="138"/>
      <c r="CY234" s="134"/>
      <c r="CZ234" s="134"/>
      <c r="DA234" s="134"/>
      <c r="DB234" s="134"/>
      <c r="DC234" s="134"/>
      <c r="DD234" s="134"/>
      <c r="DE234" s="134"/>
      <c r="DF234" s="300"/>
      <c r="DG234" s="301"/>
      <c r="DH234" s="134"/>
      <c r="DI234" s="134"/>
      <c r="DJ234" s="134"/>
      <c r="DK234" s="134"/>
      <c r="DL234" s="134"/>
      <c r="DM234" s="134"/>
      <c r="DN234" s="134"/>
      <c r="DO234" s="134"/>
      <c r="DP234" s="300"/>
      <c r="DQ234" s="301"/>
      <c r="DR234" s="276"/>
      <c r="DS234" s="277"/>
      <c r="DT234" s="134"/>
      <c r="DU234" s="134"/>
      <c r="DV234" s="134"/>
      <c r="DW234" s="134"/>
      <c r="DX234" s="138"/>
      <c r="DY234" s="134"/>
      <c r="DZ234" s="134"/>
      <c r="EA234" s="134"/>
      <c r="EB234" s="301"/>
      <c r="EC234" s="301"/>
      <c r="ED234" s="138"/>
      <c r="EE234" s="134"/>
      <c r="EF234" s="134"/>
      <c r="EG234" s="134"/>
      <c r="EH234" s="138"/>
      <c r="EI234" s="134"/>
      <c r="EJ234" s="134"/>
      <c r="EK234" s="134"/>
      <c r="EL234" s="301"/>
      <c r="EM234" s="301"/>
      <c r="EN234" s="277"/>
      <c r="EO234" s="134"/>
      <c r="EP234" s="134"/>
      <c r="EQ234" s="134"/>
      <c r="ER234" s="134"/>
      <c r="ES234" s="134"/>
      <c r="ET234" s="134"/>
      <c r="EU234" s="134"/>
      <c r="EV234" s="134"/>
      <c r="EW234" s="301"/>
      <c r="EX234" s="301"/>
      <c r="EY234" s="134"/>
      <c r="EZ234" s="134"/>
      <c r="FA234" s="134"/>
      <c r="FB234" s="134"/>
      <c r="FC234" s="134"/>
      <c r="FD234" s="134"/>
      <c r="FE234" s="134"/>
      <c r="FF234" s="134"/>
      <c r="FG234" s="135"/>
      <c r="FH234" s="135"/>
      <c r="FI234" s="134"/>
      <c r="FJ234" s="134"/>
      <c r="FK234" s="134"/>
      <c r="FL234" s="134"/>
      <c r="FM234" s="134"/>
      <c r="FN234" s="134"/>
      <c r="FO234" s="134"/>
      <c r="FP234" s="134"/>
      <c r="FQ234" s="135"/>
      <c r="FR234" s="135"/>
      <c r="FS234" s="134"/>
      <c r="FT234" s="134"/>
      <c r="FU234" s="134"/>
      <c r="FV234" s="134"/>
      <c r="FW234" s="134"/>
      <c r="FX234" s="134"/>
      <c r="FY234" s="134"/>
      <c r="FZ234" s="134"/>
      <c r="GA234" s="135"/>
      <c r="GB234" s="135"/>
      <c r="GC234" s="134"/>
      <c r="GD234" s="134"/>
      <c r="GE234" s="134"/>
      <c r="GF234" s="134"/>
      <c r="GG234" s="134"/>
      <c r="GH234" s="134"/>
      <c r="GI234" s="134"/>
      <c r="GJ234" s="134"/>
      <c r="GK234" s="135"/>
      <c r="GL234" s="135"/>
      <c r="GM234" s="134"/>
      <c r="GN234" s="134"/>
      <c r="GO234" s="134"/>
      <c r="GP234" s="134"/>
      <c r="GQ234" s="134"/>
      <c r="GR234" s="134"/>
      <c r="GS234" s="134"/>
      <c r="GT234" s="134"/>
      <c r="GU234" s="135"/>
      <c r="GV234" s="135"/>
      <c r="GW234" s="134"/>
      <c r="GX234" s="134"/>
      <c r="GY234" s="134"/>
      <c r="GZ234" s="134"/>
      <c r="HA234" s="134"/>
      <c r="HB234" s="134"/>
      <c r="HC234" s="134"/>
      <c r="HD234" s="134"/>
      <c r="HE234" s="135"/>
      <c r="HF234" s="135"/>
      <c r="HG234" s="134"/>
      <c r="HH234" s="134"/>
      <c r="HI234" s="134"/>
      <c r="HJ234" s="134"/>
      <c r="HK234" s="134"/>
      <c r="HL234" s="134"/>
      <c r="HM234" s="134"/>
      <c r="HN234" s="134"/>
      <c r="HO234" s="135"/>
      <c r="HP234" s="135"/>
      <c r="HQ234" s="134"/>
      <c r="HR234" s="134"/>
      <c r="HS234" s="134"/>
      <c r="HT234" s="134"/>
      <c r="HU234" s="134"/>
      <c r="HV234" s="134"/>
      <c r="HW234" s="134"/>
      <c r="HX234" s="134"/>
      <c r="HY234" s="135"/>
      <c r="HZ234" s="135"/>
      <c r="IA234" s="134"/>
      <c r="IB234" s="134"/>
      <c r="IC234" s="134"/>
      <c r="ID234" s="134"/>
      <c r="IE234" s="134"/>
      <c r="IF234" s="134"/>
      <c r="IG234" s="134"/>
      <c r="IH234" s="134"/>
      <c r="II234" s="135"/>
      <c r="IJ234" s="135"/>
      <c r="IK234" s="134"/>
      <c r="IL234" s="134"/>
      <c r="IM234" s="134"/>
      <c r="IN234" s="134"/>
      <c r="IO234" s="134"/>
      <c r="IP234" s="134"/>
      <c r="IQ234" s="134"/>
      <c r="IR234" s="134"/>
      <c r="IS234" s="135"/>
      <c r="IT234" s="135"/>
      <c r="IU234" s="134"/>
      <c r="IV234" s="134"/>
      <c r="IW234" s="134"/>
      <c r="IX234" s="134"/>
      <c r="IY234" s="134"/>
      <c r="IZ234" s="134"/>
      <c r="JA234" s="134"/>
      <c r="JB234" s="134"/>
      <c r="JC234" s="135"/>
      <c r="JD234" s="135"/>
    </row>
    <row r="235" spans="1:264" customFormat="1" ht="15" customHeight="1">
      <c r="A235" s="79" t="s">
        <v>1049</v>
      </c>
      <c r="B235" s="614">
        <v>21</v>
      </c>
      <c r="C235" s="614"/>
      <c r="D235" s="614"/>
      <c r="E235" s="604" t="s">
        <v>2078</v>
      </c>
      <c r="F235" s="124" t="s">
        <v>2332</v>
      </c>
      <c r="G235" s="125">
        <v>2016</v>
      </c>
      <c r="H235" s="79">
        <v>27740964</v>
      </c>
      <c r="I235" s="79">
        <v>1</v>
      </c>
      <c r="J235" s="126"/>
      <c r="K235" s="127"/>
      <c r="L235" s="79">
        <v>1</v>
      </c>
      <c r="M235" s="79"/>
      <c r="N235" s="79">
        <v>1</v>
      </c>
      <c r="O235" s="128">
        <v>2</v>
      </c>
      <c r="P235" s="79" t="s">
        <v>1327</v>
      </c>
      <c r="Q235" s="79" t="s">
        <v>1224</v>
      </c>
      <c r="R235" s="79" t="s">
        <v>1225</v>
      </c>
      <c r="S235" s="79"/>
      <c r="T235" s="79" t="s">
        <v>1541</v>
      </c>
      <c r="U235" s="79"/>
      <c r="V235" s="79"/>
      <c r="W235" s="79" t="s">
        <v>1355</v>
      </c>
      <c r="X235" s="79"/>
      <c r="Y235" s="79"/>
      <c r="Z235" s="79"/>
      <c r="AA235" s="79" t="s">
        <v>1356</v>
      </c>
      <c r="AB235" s="79"/>
      <c r="AC235" s="506"/>
      <c r="AD235" s="573">
        <v>1</v>
      </c>
      <c r="AE235" s="573">
        <v>2</v>
      </c>
      <c r="AF235" s="211">
        <v>1</v>
      </c>
      <c r="AG235" s="212" t="s">
        <v>3313</v>
      </c>
      <c r="AH235" s="134">
        <v>4</v>
      </c>
      <c r="AI235" s="484"/>
      <c r="AJ235" s="213" t="s">
        <v>3310</v>
      </c>
      <c r="AK235" s="192">
        <v>1</v>
      </c>
      <c r="AL235" s="215">
        <v>0</v>
      </c>
      <c r="AM235" s="134">
        <f>Table668[[#This Row],[Data_Subjects_n_ptsd]]+Table668[[#This Row],[Data_Subjects_n_control]]</f>
        <v>24</v>
      </c>
      <c r="AN235" s="134">
        <v>14</v>
      </c>
      <c r="AO235" s="134">
        <v>10</v>
      </c>
      <c r="AP235" s="134" t="s">
        <v>803</v>
      </c>
      <c r="AQ235" s="134" t="s">
        <v>803</v>
      </c>
      <c r="AR235" s="134" t="s">
        <v>2468</v>
      </c>
      <c r="AS235" s="134" t="s">
        <v>24</v>
      </c>
      <c r="AT235" s="134" t="s">
        <v>2468</v>
      </c>
      <c r="AU235" s="134" t="s">
        <v>24</v>
      </c>
      <c r="AV235" s="134" t="s">
        <v>2974</v>
      </c>
      <c r="AW235" s="134">
        <v>1</v>
      </c>
      <c r="AX235" s="134" t="s">
        <v>3328</v>
      </c>
      <c r="AY235" s="134" t="s">
        <v>2975</v>
      </c>
      <c r="AZ235" s="134" t="s">
        <v>1130</v>
      </c>
      <c r="BA235" s="134" t="s">
        <v>2554</v>
      </c>
      <c r="BB235" s="594"/>
      <c r="BC235" s="594"/>
      <c r="BD235" s="156">
        <v>1</v>
      </c>
      <c r="BE235" s="156"/>
      <c r="BF235" s="156"/>
      <c r="BG235" s="156"/>
      <c r="BH235" s="156"/>
      <c r="BI235" s="156"/>
      <c r="BJ235" s="156"/>
      <c r="BK235" s="156"/>
      <c r="BL235" s="156"/>
      <c r="BM235" s="156"/>
      <c r="BN235" s="156"/>
      <c r="BO235" s="156"/>
      <c r="BP235" s="156"/>
      <c r="BQ235" s="595" t="s">
        <v>2977</v>
      </c>
      <c r="BR235" s="157" t="s">
        <v>6603</v>
      </c>
      <c r="BS235" s="660"/>
      <c r="BT235" s="134" t="s">
        <v>1876</v>
      </c>
      <c r="BU235" s="134">
        <v>2</v>
      </c>
      <c r="BV235" s="134" t="s">
        <v>2976</v>
      </c>
      <c r="BW235" s="134" t="s">
        <v>1121</v>
      </c>
      <c r="BX235" s="134" t="s">
        <v>2989</v>
      </c>
      <c r="BY235" s="134"/>
      <c r="BZ235" s="259" t="s">
        <v>3326</v>
      </c>
      <c r="CA235" s="454" t="s">
        <v>6627</v>
      </c>
      <c r="CB235" s="138" t="s">
        <v>2980</v>
      </c>
      <c r="CC235" s="134">
        <v>5.5387599999999999</v>
      </c>
      <c r="CD235" s="134" t="s">
        <v>24</v>
      </c>
      <c r="CE235" s="134">
        <f>6.2663-Table668[[#This Row],[Data_Outcome1_M]]</f>
        <v>0.7275400000000003</v>
      </c>
      <c r="CF235" s="138" t="s">
        <v>2981</v>
      </c>
      <c r="CG235" s="134">
        <v>1.85799</v>
      </c>
      <c r="CH235" s="134" t="s">
        <v>24</v>
      </c>
      <c r="CI235" s="134">
        <f>2.16665-Table668[[#This Row],[Data_Outcome2_M]]</f>
        <v>0.30866000000000016</v>
      </c>
      <c r="CJ235" s="288" t="s">
        <v>2986</v>
      </c>
      <c r="CK235" s="289" t="s">
        <v>2990</v>
      </c>
      <c r="CL235" s="138" t="s">
        <v>2982</v>
      </c>
      <c r="CM235" s="134">
        <v>4.1132499999999999</v>
      </c>
      <c r="CN235" s="134" t="s">
        <v>24</v>
      </c>
      <c r="CO235" s="134">
        <f>4.71954-Table668[[#This Row],[Data_Outcome3_M]]</f>
        <v>0.60629000000000044</v>
      </c>
      <c r="CP235" s="138" t="s">
        <v>2983</v>
      </c>
      <c r="CQ235" s="134">
        <v>1.2261899999999999</v>
      </c>
      <c r="CR235" s="134" t="s">
        <v>24</v>
      </c>
      <c r="CS235" s="134">
        <f>1.67816-Table668[[#This Row],[Data_Outcome4_M]]</f>
        <v>0.4519700000000002</v>
      </c>
      <c r="CT235" s="288" t="s">
        <v>2987</v>
      </c>
      <c r="CU235" s="289" t="s">
        <v>2991</v>
      </c>
      <c r="CV235" s="276"/>
      <c r="CW235" s="308"/>
      <c r="CX235" s="138" t="s">
        <v>2984</v>
      </c>
      <c r="CY235" s="134">
        <v>3.5365799999999998</v>
      </c>
      <c r="CZ235" s="134" t="s">
        <v>24</v>
      </c>
      <c r="DA235" s="134">
        <f>3.9665-Table668[[#This Row],[Data_Outcome5_M]]</f>
        <v>0.42992000000000008</v>
      </c>
      <c r="DB235" s="138" t="s">
        <v>2985</v>
      </c>
      <c r="DC235" s="134">
        <v>0.94716500000000003</v>
      </c>
      <c r="DD235" s="134" t="s">
        <v>24</v>
      </c>
      <c r="DE235" s="134">
        <f>1.13454-Table668[[#This Row],[Data_Outcome6_M]]</f>
        <v>0.18737500000000007</v>
      </c>
      <c r="DF235" s="300" t="s">
        <v>2988</v>
      </c>
      <c r="DG235" s="301" t="s">
        <v>2992</v>
      </c>
      <c r="DH235" s="134"/>
      <c r="DI235" s="134"/>
      <c r="DJ235" s="134"/>
      <c r="DK235" s="134"/>
      <c r="DL235" s="134"/>
      <c r="DM235" s="134"/>
      <c r="DN235" s="134"/>
      <c r="DO235" s="134"/>
      <c r="DP235" s="300"/>
      <c r="DQ235" s="301"/>
      <c r="DR235" s="276"/>
      <c r="DS235" s="277"/>
      <c r="DT235" s="134"/>
      <c r="DU235" s="134"/>
      <c r="DV235" s="134"/>
      <c r="DW235" s="134"/>
      <c r="DX235" s="138"/>
      <c r="DY235" s="134"/>
      <c r="DZ235" s="134"/>
      <c r="EA235" s="134"/>
      <c r="EB235" s="301"/>
      <c r="EC235" s="301"/>
      <c r="ED235" s="138"/>
      <c r="EE235" s="134"/>
      <c r="EF235" s="134"/>
      <c r="EG235" s="134"/>
      <c r="EH235" s="138"/>
      <c r="EI235" s="134"/>
      <c r="EJ235" s="134"/>
      <c r="EK235" s="134"/>
      <c r="EL235" s="301"/>
      <c r="EM235" s="301"/>
      <c r="EN235" s="277"/>
      <c r="EO235" s="134"/>
      <c r="EP235" s="134"/>
      <c r="EQ235" s="134"/>
      <c r="ER235" s="134"/>
      <c r="ES235" s="134"/>
      <c r="ET235" s="134"/>
      <c r="EU235" s="134"/>
      <c r="EV235" s="134"/>
      <c r="EW235" s="301"/>
      <c r="EX235" s="301"/>
      <c r="EY235" s="134"/>
      <c r="EZ235" s="134"/>
      <c r="FA235" s="134"/>
      <c r="FB235" s="134"/>
      <c r="FC235" s="134"/>
      <c r="FD235" s="134"/>
      <c r="FE235" s="134"/>
      <c r="FF235" s="134"/>
      <c r="FG235" s="135"/>
      <c r="FH235" s="135"/>
      <c r="FI235" s="134"/>
      <c r="FJ235" s="134"/>
      <c r="FK235" s="134"/>
      <c r="FL235" s="134"/>
      <c r="FM235" s="134"/>
      <c r="FN235" s="134"/>
      <c r="FO235" s="134"/>
      <c r="FP235" s="134"/>
      <c r="FQ235" s="135"/>
      <c r="FR235" s="135"/>
      <c r="FS235" s="134"/>
      <c r="FT235" s="134"/>
      <c r="FU235" s="134"/>
      <c r="FV235" s="134"/>
      <c r="FW235" s="134"/>
      <c r="FX235" s="134"/>
      <c r="FY235" s="134"/>
      <c r="FZ235" s="134"/>
      <c r="GA235" s="135"/>
      <c r="GB235" s="135"/>
      <c r="GC235" s="134"/>
      <c r="GD235" s="134"/>
      <c r="GE235" s="134"/>
      <c r="GF235" s="134"/>
      <c r="GG235" s="134"/>
      <c r="GH235" s="134"/>
      <c r="GI235" s="134"/>
      <c r="GJ235" s="134"/>
      <c r="GK235" s="135"/>
      <c r="GL235" s="135"/>
      <c r="GM235" s="134"/>
      <c r="GN235" s="134"/>
      <c r="GO235" s="134"/>
      <c r="GP235" s="134"/>
      <c r="GQ235" s="134"/>
      <c r="GR235" s="134"/>
      <c r="GS235" s="134"/>
      <c r="GT235" s="134"/>
      <c r="GU235" s="135"/>
      <c r="GV235" s="135"/>
      <c r="GW235" s="134"/>
      <c r="GX235" s="134"/>
      <c r="GY235" s="134"/>
      <c r="GZ235" s="134"/>
      <c r="HA235" s="134"/>
      <c r="HB235" s="134"/>
      <c r="HC235" s="134"/>
      <c r="HD235" s="134"/>
      <c r="HE235" s="135"/>
      <c r="HF235" s="135"/>
      <c r="HG235" s="134"/>
      <c r="HH235" s="134"/>
      <c r="HI235" s="134"/>
      <c r="HJ235" s="134"/>
      <c r="HK235" s="134"/>
      <c r="HL235" s="134"/>
      <c r="HM235" s="134"/>
      <c r="HN235" s="134"/>
      <c r="HO235" s="135"/>
      <c r="HP235" s="135"/>
      <c r="HQ235" s="134"/>
      <c r="HR235" s="134"/>
      <c r="HS235" s="134"/>
      <c r="HT235" s="134"/>
      <c r="HU235" s="134"/>
      <c r="HV235" s="134"/>
      <c r="HW235" s="134"/>
      <c r="HX235" s="134"/>
      <c r="HY235" s="135"/>
      <c r="HZ235" s="135"/>
      <c r="IA235" s="134"/>
      <c r="IB235" s="134"/>
      <c r="IC235" s="134"/>
      <c r="ID235" s="134"/>
      <c r="IE235" s="134"/>
      <c r="IF235" s="134"/>
      <c r="IG235" s="134"/>
      <c r="IH235" s="134"/>
      <c r="II235" s="135"/>
      <c r="IJ235" s="135"/>
      <c r="IK235" s="134"/>
      <c r="IL235" s="134"/>
      <c r="IM235" s="134"/>
      <c r="IN235" s="134"/>
      <c r="IO235" s="134"/>
      <c r="IP235" s="134"/>
      <c r="IQ235" s="134"/>
      <c r="IR235" s="134"/>
      <c r="IS235" s="135"/>
      <c r="IT235" s="135"/>
      <c r="IU235" s="134"/>
      <c r="IV235" s="134"/>
      <c r="IW235" s="134"/>
      <c r="IX235" s="134"/>
      <c r="IY235" s="134"/>
      <c r="IZ235" s="134"/>
      <c r="JA235" s="134"/>
      <c r="JB235" s="134"/>
      <c r="JC235" s="135"/>
      <c r="JD235" s="135"/>
    </row>
    <row r="236" spans="1:264" customFormat="1" ht="15" customHeight="1">
      <c r="A236" s="118" t="s">
        <v>1049</v>
      </c>
      <c r="B236" s="614">
        <v>21</v>
      </c>
      <c r="C236" s="614"/>
      <c r="D236" s="614"/>
      <c r="E236" s="605" t="s">
        <v>2078</v>
      </c>
      <c r="F236" s="140" t="s">
        <v>2332</v>
      </c>
      <c r="G236" s="141">
        <v>2016</v>
      </c>
      <c r="H236" s="118">
        <v>27740964</v>
      </c>
      <c r="I236" s="118">
        <v>1</v>
      </c>
      <c r="J236" s="118"/>
      <c r="K236" s="118"/>
      <c r="L236" s="118">
        <v>1</v>
      </c>
      <c r="M236" s="118"/>
      <c r="N236" s="118">
        <v>1</v>
      </c>
      <c r="O236" s="142">
        <v>2</v>
      </c>
      <c r="P236" s="118" t="s">
        <v>1327</v>
      </c>
      <c r="Q236" s="118" t="s">
        <v>1224</v>
      </c>
      <c r="R236" s="118" t="s">
        <v>1225</v>
      </c>
      <c r="S236" s="118"/>
      <c r="T236" s="118" t="s">
        <v>1541</v>
      </c>
      <c r="U236" s="118"/>
      <c r="V236" s="118"/>
      <c r="W236" s="118" t="s">
        <v>1355</v>
      </c>
      <c r="X236" s="118"/>
      <c r="Y236" s="118"/>
      <c r="Z236" s="118"/>
      <c r="AA236" s="118" t="s">
        <v>1356</v>
      </c>
      <c r="AB236" s="118"/>
      <c r="AC236" s="145"/>
      <c r="AD236" s="573">
        <v>1</v>
      </c>
      <c r="AE236" s="573">
        <v>2</v>
      </c>
      <c r="AF236" s="216">
        <v>1</v>
      </c>
      <c r="AG236" s="212" t="s">
        <v>3313</v>
      </c>
      <c r="AH236" s="150">
        <v>4</v>
      </c>
      <c r="AI236" s="485"/>
      <c r="AJ236" s="213" t="s">
        <v>2973</v>
      </c>
      <c r="AK236" s="192">
        <v>1</v>
      </c>
      <c r="AL236" s="215">
        <v>0</v>
      </c>
      <c r="AM236" s="134">
        <f>Table668[[#This Row],[Data_Subjects_n_ptsd]]+Table668[[#This Row],[Data_Subjects_n_control]]</f>
        <v>22</v>
      </c>
      <c r="AN236" s="150">
        <v>13</v>
      </c>
      <c r="AO236" s="150">
        <v>9</v>
      </c>
      <c r="AP236" s="150" t="s">
        <v>803</v>
      </c>
      <c r="AQ236" s="150" t="s">
        <v>803</v>
      </c>
      <c r="AR236" s="150" t="s">
        <v>2468</v>
      </c>
      <c r="AS236" s="150" t="s">
        <v>24</v>
      </c>
      <c r="AT236" s="150" t="s">
        <v>2468</v>
      </c>
      <c r="AU236" s="150" t="s">
        <v>24</v>
      </c>
      <c r="AV236" s="150" t="s">
        <v>2974</v>
      </c>
      <c r="AW236" s="150">
        <v>1</v>
      </c>
      <c r="AX236" s="150" t="s">
        <v>3329</v>
      </c>
      <c r="AY236" s="150" t="s">
        <v>2975</v>
      </c>
      <c r="AZ236" s="150" t="s">
        <v>1130</v>
      </c>
      <c r="BA236" s="150" t="s">
        <v>2554</v>
      </c>
      <c r="BB236" s="588"/>
      <c r="BC236" s="588"/>
      <c r="BD236" s="161">
        <v>1</v>
      </c>
      <c r="BE236" s="161"/>
      <c r="BF236" s="161"/>
      <c r="BG236" s="161"/>
      <c r="BH236" s="161"/>
      <c r="BI236" s="161"/>
      <c r="BJ236" s="161"/>
      <c r="BK236" s="161"/>
      <c r="BL236" s="161"/>
      <c r="BM236" s="161"/>
      <c r="BN236" s="161"/>
      <c r="BO236" s="161"/>
      <c r="BP236" s="161"/>
      <c r="BQ236" s="596" t="s">
        <v>2978</v>
      </c>
      <c r="BR236" s="157" t="s">
        <v>6603</v>
      </c>
      <c r="BS236" s="660"/>
      <c r="BT236" s="150" t="s">
        <v>1876</v>
      </c>
      <c r="BU236" s="150">
        <v>2</v>
      </c>
      <c r="BV236" s="150" t="s">
        <v>3327</v>
      </c>
      <c r="BW236" s="150" t="s">
        <v>1121</v>
      </c>
      <c r="BX236" s="150" t="s">
        <v>2993</v>
      </c>
      <c r="BY236" s="134" t="s">
        <v>6639</v>
      </c>
      <c r="BZ236" s="258" t="s">
        <v>3325</v>
      </c>
      <c r="CA236" s="257" t="s">
        <v>6627</v>
      </c>
      <c r="CB236" s="151" t="s">
        <v>2994</v>
      </c>
      <c r="CC236" s="150">
        <v>7.1981599999999997</v>
      </c>
      <c r="CD236" s="150" t="s">
        <v>24</v>
      </c>
      <c r="CE236" s="150">
        <f>9.38507-Table668[[#This Row],[Data_Outcome1_M]]</f>
        <v>2.186910000000001</v>
      </c>
      <c r="CF236" s="151" t="s">
        <v>2995</v>
      </c>
      <c r="CG236" s="150">
        <v>23.608599999999999</v>
      </c>
      <c r="CH236" s="150" t="s">
        <v>24</v>
      </c>
      <c r="CI236" s="150">
        <f>32.9704-Table668[[#This Row],[Data_Outcome2_M]]</f>
        <v>9.3617999999999988</v>
      </c>
      <c r="CJ236" s="290" t="s">
        <v>2997</v>
      </c>
      <c r="CK236" s="291" t="s">
        <v>2996</v>
      </c>
      <c r="CL236" s="151" t="s">
        <v>24</v>
      </c>
      <c r="CM236" s="150" t="s">
        <v>24</v>
      </c>
      <c r="CN236" s="150"/>
      <c r="CO236" s="150"/>
      <c r="CP236" s="151"/>
      <c r="CQ236" s="150"/>
      <c r="CR236" s="150"/>
      <c r="CS236" s="150"/>
      <c r="CT236" s="290"/>
      <c r="CU236" s="291"/>
      <c r="CV236" s="278"/>
      <c r="CW236" s="285"/>
      <c r="CX236" s="151"/>
      <c r="CY236" s="150"/>
      <c r="CZ236" s="150"/>
      <c r="DA236" s="150"/>
      <c r="DB236" s="150"/>
      <c r="DC236" s="150"/>
      <c r="DD236" s="150"/>
      <c r="DE236" s="150"/>
      <c r="DF236" s="302"/>
      <c r="DG236" s="303"/>
      <c r="DH236" s="150"/>
      <c r="DI236" s="150"/>
      <c r="DJ236" s="150"/>
      <c r="DK236" s="150"/>
      <c r="DL236" s="150"/>
      <c r="DM236" s="150"/>
      <c r="DN236" s="150"/>
      <c r="DO236" s="150"/>
      <c r="DP236" s="302"/>
      <c r="DQ236" s="303"/>
      <c r="DR236" s="278"/>
      <c r="DS236" s="279"/>
      <c r="DT236" s="150"/>
      <c r="DU236" s="150"/>
      <c r="DV236" s="150"/>
      <c r="DW236" s="150"/>
      <c r="DX236" s="151"/>
      <c r="DY236" s="150"/>
      <c r="DZ236" s="150"/>
      <c r="EA236" s="150"/>
      <c r="EB236" s="303"/>
      <c r="EC236" s="303"/>
      <c r="ED236" s="151"/>
      <c r="EE236" s="150"/>
      <c r="EF236" s="150"/>
      <c r="EG236" s="150"/>
      <c r="EH236" s="151"/>
      <c r="EI236" s="150"/>
      <c r="EJ236" s="150"/>
      <c r="EK236" s="150"/>
      <c r="EL236" s="303"/>
      <c r="EM236" s="303"/>
      <c r="EN236" s="279"/>
      <c r="EO236" s="150"/>
      <c r="EP236" s="150"/>
      <c r="EQ236" s="150"/>
      <c r="ER236" s="150"/>
      <c r="ES236" s="150"/>
      <c r="ET236" s="150"/>
      <c r="EU236" s="150"/>
      <c r="EV236" s="150"/>
      <c r="EW236" s="303"/>
      <c r="EX236" s="303"/>
      <c r="EY236" s="150"/>
      <c r="EZ236" s="150"/>
      <c r="FA236" s="150"/>
      <c r="FB236" s="150"/>
      <c r="FC236" s="134"/>
      <c r="FD236" s="134"/>
      <c r="FE236" s="134"/>
      <c r="FF236" s="134"/>
      <c r="FG236" s="135"/>
      <c r="FH236" s="135"/>
      <c r="FI236" s="134"/>
      <c r="FJ236" s="134"/>
      <c r="FK236" s="134"/>
      <c r="FL236" s="134"/>
      <c r="FM236" s="134"/>
      <c r="FN236" s="134"/>
      <c r="FO236" s="134"/>
      <c r="FP236" s="134"/>
      <c r="FQ236" s="135"/>
      <c r="FR236" s="135"/>
      <c r="FS236" s="134"/>
      <c r="FT236" s="134"/>
      <c r="FU236" s="134"/>
      <c r="FV236" s="134"/>
      <c r="FW236" s="134"/>
      <c r="FX236" s="134"/>
      <c r="FY236" s="134"/>
      <c r="FZ236" s="134"/>
      <c r="GA236" s="135"/>
      <c r="GB236" s="135"/>
      <c r="GC236" s="134"/>
      <c r="GD236" s="134"/>
      <c r="GE236" s="134"/>
      <c r="GF236" s="134"/>
      <c r="GG236" s="134"/>
      <c r="GH236" s="134"/>
      <c r="GI236" s="134"/>
      <c r="GJ236" s="134"/>
      <c r="GK236" s="135"/>
      <c r="GL236" s="135"/>
      <c r="GM236" s="134"/>
      <c r="GN236" s="134"/>
      <c r="GO236" s="134"/>
      <c r="GP236" s="134"/>
      <c r="GQ236" s="134"/>
      <c r="GR236" s="134"/>
      <c r="GS236" s="134"/>
      <c r="GT236" s="134"/>
      <c r="GU236" s="135"/>
      <c r="GV236" s="135"/>
      <c r="GW236" s="134"/>
      <c r="GX236" s="134"/>
      <c r="GY236" s="134"/>
      <c r="GZ236" s="134"/>
      <c r="HA236" s="134"/>
      <c r="HB236" s="134"/>
      <c r="HC236" s="134"/>
      <c r="HD236" s="134"/>
      <c r="HE236" s="135"/>
      <c r="HF236" s="135"/>
      <c r="HG236" s="134"/>
      <c r="HH236" s="134"/>
      <c r="HI236" s="134"/>
      <c r="HJ236" s="134"/>
      <c r="HK236" s="134"/>
      <c r="HL236" s="134"/>
      <c r="HM236" s="134"/>
      <c r="HN236" s="134"/>
      <c r="HO236" s="135"/>
      <c r="HP236" s="135"/>
      <c r="HQ236" s="134"/>
      <c r="HR236" s="134"/>
      <c r="HS236" s="134"/>
      <c r="HT236" s="134"/>
      <c r="HU236" s="134"/>
      <c r="HV236" s="134"/>
      <c r="HW236" s="134"/>
      <c r="HX236" s="134"/>
      <c r="HY236" s="135"/>
      <c r="HZ236" s="135"/>
      <c r="IA236" s="134"/>
      <c r="IB236" s="134"/>
      <c r="IC236" s="134"/>
      <c r="ID236" s="134"/>
      <c r="IE236" s="134"/>
      <c r="IF236" s="134"/>
      <c r="IG236" s="134"/>
      <c r="IH236" s="134"/>
      <c r="II236" s="135"/>
      <c r="IJ236" s="135"/>
      <c r="IK236" s="134"/>
      <c r="IL236" s="134"/>
      <c r="IM236" s="134"/>
      <c r="IN236" s="134"/>
      <c r="IO236" s="134"/>
      <c r="IP236" s="134"/>
      <c r="IQ236" s="134"/>
      <c r="IR236" s="134"/>
      <c r="IS236" s="135"/>
      <c r="IT236" s="135"/>
      <c r="IU236" s="134"/>
      <c r="IV236" s="134"/>
      <c r="IW236" s="134"/>
      <c r="IX236" s="134"/>
      <c r="IY236" s="134"/>
      <c r="IZ236" s="134"/>
      <c r="JA236" s="134"/>
      <c r="JB236" s="134"/>
      <c r="JC236" s="135"/>
      <c r="JD236" s="135"/>
    </row>
    <row r="237" spans="1:264" customFormat="1" ht="15" customHeight="1">
      <c r="A237" s="79" t="s">
        <v>176</v>
      </c>
      <c r="B237" s="362">
        <v>130</v>
      </c>
      <c r="C237" s="362">
        <v>36</v>
      </c>
      <c r="D237" s="362"/>
      <c r="E237" s="604" t="s">
        <v>1964</v>
      </c>
      <c r="F237" s="124" t="s">
        <v>2187</v>
      </c>
      <c r="G237" s="125">
        <v>1998</v>
      </c>
      <c r="H237" s="79">
        <v>9464211</v>
      </c>
      <c r="I237" s="79">
        <v>1</v>
      </c>
      <c r="J237" s="126"/>
      <c r="K237" s="127"/>
      <c r="L237" s="79">
        <v>1</v>
      </c>
      <c r="M237" s="79"/>
      <c r="N237" s="79">
        <v>1</v>
      </c>
      <c r="O237" s="128">
        <v>1</v>
      </c>
      <c r="P237" s="79" t="s">
        <v>73</v>
      </c>
      <c r="Q237" s="79" t="s">
        <v>1147</v>
      </c>
      <c r="R237" s="79" t="s">
        <v>518</v>
      </c>
      <c r="S237" s="79">
        <v>0</v>
      </c>
      <c r="T237" s="79"/>
      <c r="U237" s="79"/>
      <c r="V237" s="79"/>
      <c r="W237" s="79" t="s">
        <v>519</v>
      </c>
      <c r="X237" s="79"/>
      <c r="Y237" s="79"/>
      <c r="Z237" s="79" t="s">
        <v>520</v>
      </c>
      <c r="AA237" s="79"/>
      <c r="AB237" s="79"/>
      <c r="AC237" s="506"/>
      <c r="AD237" s="573">
        <v>1</v>
      </c>
      <c r="AE237" s="573">
        <v>2</v>
      </c>
      <c r="AF237" s="233" t="s">
        <v>1917</v>
      </c>
      <c r="AG237" s="234" t="s">
        <v>4675</v>
      </c>
      <c r="AH237" s="121">
        <v>3</v>
      </c>
      <c r="AI237" s="484"/>
      <c r="AJ237" s="202" t="s">
        <v>4666</v>
      </c>
      <c r="AK237" s="192">
        <v>0</v>
      </c>
      <c r="AL237" s="203" t="s">
        <v>24</v>
      </c>
      <c r="AM237" s="121">
        <f>15+16+16</f>
        <v>47</v>
      </c>
      <c r="AN237" s="121">
        <v>15</v>
      </c>
      <c r="AO237" s="121" t="s">
        <v>4663</v>
      </c>
      <c r="AP237" s="121" t="s">
        <v>4667</v>
      </c>
      <c r="AQ237" s="121" t="s">
        <v>4667</v>
      </c>
      <c r="AR237" s="121" t="s">
        <v>4669</v>
      </c>
      <c r="AS237" s="121" t="s">
        <v>4668</v>
      </c>
      <c r="AT237" s="121" t="s">
        <v>4669</v>
      </c>
      <c r="AU237" s="121" t="s">
        <v>4668</v>
      </c>
      <c r="AV237" s="121" t="s">
        <v>4673</v>
      </c>
      <c r="AW237" s="121" t="s">
        <v>24</v>
      </c>
      <c r="AX237" s="121" t="s">
        <v>24</v>
      </c>
      <c r="AY237" s="121" t="s">
        <v>4665</v>
      </c>
      <c r="AZ237" s="121"/>
      <c r="BA237" s="121" t="s">
        <v>4664</v>
      </c>
      <c r="BB237" s="594"/>
      <c r="BC237" s="594"/>
      <c r="BD237" s="156"/>
      <c r="BE237" s="156"/>
      <c r="BF237" s="156"/>
      <c r="BG237" s="156"/>
      <c r="BH237" s="156"/>
      <c r="BI237" s="156"/>
      <c r="BJ237" s="156">
        <v>1</v>
      </c>
      <c r="BK237" s="156"/>
      <c r="BL237" s="156"/>
      <c r="BM237" s="156"/>
      <c r="BN237" s="156"/>
      <c r="BO237" s="156"/>
      <c r="BP237" s="156"/>
      <c r="BQ237" s="595" t="s">
        <v>4208</v>
      </c>
      <c r="BR237" s="157" t="s">
        <v>6611</v>
      </c>
      <c r="BS237" s="660"/>
      <c r="BT237" s="134" t="s">
        <v>1876</v>
      </c>
      <c r="BU237" s="134" t="s">
        <v>4670</v>
      </c>
      <c r="BV237" s="134" t="s">
        <v>4671</v>
      </c>
      <c r="BW237" s="134" t="s">
        <v>24</v>
      </c>
      <c r="BX237" s="134" t="s">
        <v>4672</v>
      </c>
      <c r="BY237" s="134"/>
      <c r="BZ237" s="259" t="s">
        <v>4674</v>
      </c>
      <c r="CA237" s="454" t="s">
        <v>24</v>
      </c>
      <c r="CB237" s="138"/>
      <c r="CC237" s="134"/>
      <c r="CD237" s="134"/>
      <c r="CE237" s="134"/>
      <c r="CF237" s="138"/>
      <c r="CG237" s="134"/>
      <c r="CH237" s="134"/>
      <c r="CI237" s="134"/>
      <c r="CJ237" s="288"/>
      <c r="CK237" s="289"/>
      <c r="CL237" s="138"/>
      <c r="CM237" s="134"/>
      <c r="CN237" s="134"/>
      <c r="CO237" s="134"/>
      <c r="CP237" s="138"/>
      <c r="CQ237" s="134"/>
      <c r="CR237" s="134"/>
      <c r="CS237" s="134"/>
      <c r="CT237" s="288"/>
      <c r="CU237" s="289"/>
      <c r="CV237" s="276"/>
      <c r="CW237" s="308"/>
      <c r="CX237" s="138"/>
      <c r="CY237" s="134"/>
      <c r="CZ237" s="134"/>
      <c r="DA237" s="134"/>
      <c r="DB237" s="134"/>
      <c r="DC237" s="134"/>
      <c r="DD237" s="134"/>
      <c r="DE237" s="134"/>
      <c r="DF237" s="300"/>
      <c r="DG237" s="301"/>
      <c r="DH237" s="134"/>
      <c r="DI237" s="134"/>
      <c r="DJ237" s="134"/>
      <c r="DK237" s="134"/>
      <c r="DL237" s="134"/>
      <c r="DM237" s="134"/>
      <c r="DN237" s="134"/>
      <c r="DO237" s="134"/>
      <c r="DP237" s="300"/>
      <c r="DQ237" s="301"/>
      <c r="DR237" s="276"/>
      <c r="DS237" s="277"/>
      <c r="DT237" s="134"/>
      <c r="DU237" s="134"/>
      <c r="DV237" s="134"/>
      <c r="DW237" s="134"/>
      <c r="DX237" s="138"/>
      <c r="DY237" s="134"/>
      <c r="DZ237" s="134"/>
      <c r="EA237" s="134"/>
      <c r="EB237" s="301"/>
      <c r="EC237" s="301"/>
      <c r="ED237" s="138"/>
      <c r="EE237" s="134"/>
      <c r="EF237" s="134"/>
      <c r="EG237" s="134"/>
      <c r="EH237" s="138"/>
      <c r="EI237" s="134"/>
      <c r="EJ237" s="134"/>
      <c r="EK237" s="134"/>
      <c r="EL237" s="301"/>
      <c r="EM237" s="301"/>
      <c r="EN237" s="277"/>
      <c r="EO237" s="134"/>
      <c r="EP237" s="134"/>
      <c r="EQ237" s="134"/>
      <c r="ER237" s="134"/>
      <c r="ES237" s="134"/>
      <c r="ET237" s="134"/>
      <c r="EU237" s="134"/>
      <c r="EV237" s="134"/>
      <c r="EW237" s="301"/>
      <c r="EX237" s="301"/>
      <c r="EY237" s="134"/>
      <c r="EZ237" s="134"/>
      <c r="FA237" s="134"/>
      <c r="FB237" s="134"/>
      <c r="FC237" s="134"/>
      <c r="FD237" s="134"/>
      <c r="FE237" s="134"/>
      <c r="FF237" s="134"/>
      <c r="FG237" s="135"/>
      <c r="FH237" s="135"/>
      <c r="FI237" s="134"/>
      <c r="FJ237" s="134"/>
      <c r="FK237" s="134"/>
      <c r="FL237" s="134"/>
      <c r="FM237" s="134"/>
      <c r="FN237" s="134"/>
      <c r="FO237" s="134"/>
      <c r="FP237" s="134"/>
      <c r="FQ237" s="135"/>
      <c r="FR237" s="135"/>
      <c r="FS237" s="134"/>
      <c r="FT237" s="134"/>
      <c r="FU237" s="134"/>
      <c r="FV237" s="134"/>
      <c r="FW237" s="134"/>
      <c r="FX237" s="134"/>
      <c r="FY237" s="134"/>
      <c r="FZ237" s="134"/>
      <c r="GA237" s="135"/>
      <c r="GB237" s="135"/>
      <c r="GC237" s="134"/>
      <c r="GD237" s="134"/>
      <c r="GE237" s="134"/>
      <c r="GF237" s="134"/>
      <c r="GG237" s="134"/>
      <c r="GH237" s="134"/>
      <c r="GI237" s="134"/>
      <c r="GJ237" s="134"/>
      <c r="GK237" s="135"/>
      <c r="GL237" s="135"/>
      <c r="GM237" s="134"/>
      <c r="GN237" s="134"/>
      <c r="GO237" s="134"/>
      <c r="GP237" s="134"/>
      <c r="GQ237" s="134"/>
      <c r="GR237" s="134"/>
      <c r="GS237" s="134"/>
      <c r="GT237" s="134"/>
      <c r="GU237" s="135"/>
      <c r="GV237" s="135"/>
      <c r="GW237" s="134"/>
      <c r="GX237" s="134"/>
      <c r="GY237" s="134"/>
      <c r="GZ237" s="134"/>
      <c r="HA237" s="134"/>
      <c r="HB237" s="134"/>
      <c r="HC237" s="134"/>
      <c r="HD237" s="134"/>
      <c r="HE237" s="135"/>
      <c r="HF237" s="135"/>
      <c r="HG237" s="134"/>
      <c r="HH237" s="134"/>
      <c r="HI237" s="134"/>
      <c r="HJ237" s="134"/>
      <c r="HK237" s="134"/>
      <c r="HL237" s="134"/>
      <c r="HM237" s="134"/>
      <c r="HN237" s="134"/>
      <c r="HO237" s="135"/>
      <c r="HP237" s="135"/>
      <c r="HQ237" s="134"/>
      <c r="HR237" s="134"/>
      <c r="HS237" s="134"/>
      <c r="HT237" s="134"/>
      <c r="HU237" s="134"/>
      <c r="HV237" s="134"/>
      <c r="HW237" s="134"/>
      <c r="HX237" s="134"/>
      <c r="HY237" s="135"/>
      <c r="HZ237" s="135"/>
      <c r="IA237" s="134"/>
      <c r="IB237" s="134"/>
      <c r="IC237" s="134"/>
      <c r="ID237" s="134"/>
      <c r="IE237" s="134"/>
      <c r="IF237" s="134"/>
      <c r="IG237" s="134"/>
      <c r="IH237" s="134"/>
      <c r="II237" s="135"/>
      <c r="IJ237" s="135"/>
      <c r="IK237" s="134"/>
      <c r="IL237" s="134"/>
      <c r="IM237" s="134"/>
      <c r="IN237" s="134"/>
      <c r="IO237" s="134"/>
      <c r="IP237" s="134"/>
      <c r="IQ237" s="134"/>
      <c r="IR237" s="134"/>
      <c r="IS237" s="135"/>
      <c r="IT237" s="135"/>
      <c r="IU237" s="134"/>
      <c r="IV237" s="134"/>
      <c r="IW237" s="134"/>
      <c r="IX237" s="134"/>
      <c r="IY237" s="134"/>
      <c r="IZ237" s="134"/>
      <c r="JA237" s="134"/>
      <c r="JB237" s="134"/>
      <c r="JC237" s="135"/>
      <c r="JD237" s="135"/>
    </row>
    <row r="238" spans="1:264" customFormat="1" ht="15" customHeight="1">
      <c r="A238" s="79" t="s">
        <v>180</v>
      </c>
      <c r="B238" s="362">
        <v>133</v>
      </c>
      <c r="C238" s="362">
        <v>37</v>
      </c>
      <c r="D238" s="362"/>
      <c r="E238" s="604" t="s">
        <v>1965</v>
      </c>
      <c r="F238" s="124" t="s">
        <v>2188</v>
      </c>
      <c r="G238" s="125">
        <v>2013</v>
      </c>
      <c r="H238" s="79">
        <v>24005546</v>
      </c>
      <c r="I238" s="79">
        <v>1</v>
      </c>
      <c r="J238" s="126"/>
      <c r="K238" s="127"/>
      <c r="L238" s="79">
        <v>1</v>
      </c>
      <c r="M238" s="79"/>
      <c r="N238" s="79">
        <v>1</v>
      </c>
      <c r="O238" s="128">
        <v>1</v>
      </c>
      <c r="P238" s="79" t="s">
        <v>528</v>
      </c>
      <c r="Q238" s="79" t="s">
        <v>1176</v>
      </c>
      <c r="R238" s="79" t="s">
        <v>25</v>
      </c>
      <c r="S238" s="79">
        <v>1</v>
      </c>
      <c r="T238" s="79"/>
      <c r="U238" s="79"/>
      <c r="V238" s="79"/>
      <c r="W238" s="79" t="s">
        <v>529</v>
      </c>
      <c r="X238" s="79" t="s">
        <v>24</v>
      </c>
      <c r="Y238" s="79" t="s">
        <v>530</v>
      </c>
      <c r="Z238" s="79"/>
      <c r="AA238" s="79"/>
      <c r="AB238" s="79" t="s">
        <v>531</v>
      </c>
      <c r="AC238" s="506"/>
      <c r="AD238" s="573">
        <v>1</v>
      </c>
      <c r="AE238" s="573">
        <v>2</v>
      </c>
      <c r="AF238" s="165">
        <v>0</v>
      </c>
      <c r="AG238" s="166" t="s">
        <v>4683</v>
      </c>
      <c r="AH238" s="120">
        <v>2</v>
      </c>
      <c r="AI238" s="484"/>
      <c r="AJ238" s="206" t="s">
        <v>4676</v>
      </c>
      <c r="AK238" s="372" t="s">
        <v>24</v>
      </c>
      <c r="AL238" s="207"/>
      <c r="AM238" s="120"/>
      <c r="AN238" s="120"/>
      <c r="AO238" s="120"/>
      <c r="AP238" s="120"/>
      <c r="AQ238" s="120"/>
      <c r="AR238" s="120"/>
      <c r="AS238" s="120"/>
      <c r="AT238" s="120"/>
      <c r="AU238" s="120"/>
      <c r="AV238" s="120"/>
      <c r="AW238" s="120"/>
      <c r="AX238" s="120"/>
      <c r="AY238" s="120" t="s">
        <v>24</v>
      </c>
      <c r="AZ238" s="120"/>
      <c r="BA238" s="120"/>
      <c r="BB238" s="594"/>
      <c r="BC238" s="594"/>
      <c r="BD238" s="373"/>
      <c r="BE238" s="373"/>
      <c r="BF238" s="373"/>
      <c r="BG238" s="373">
        <v>1</v>
      </c>
      <c r="BH238" s="373"/>
      <c r="BI238" s="373"/>
      <c r="BJ238" s="373">
        <v>1</v>
      </c>
      <c r="BK238" s="373"/>
      <c r="BL238" s="373">
        <v>1</v>
      </c>
      <c r="BM238" s="373"/>
      <c r="BN238" s="373"/>
      <c r="BO238" s="373"/>
      <c r="BP238" s="373"/>
      <c r="BQ238" s="599"/>
      <c r="BR238" s="374"/>
      <c r="BS238" s="660"/>
      <c r="BT238" s="134"/>
      <c r="BU238" s="134"/>
      <c r="BV238" s="134" t="s">
        <v>24</v>
      </c>
      <c r="BW238" s="134"/>
      <c r="BX238" s="134" t="s">
        <v>24</v>
      </c>
      <c r="BY238" s="134"/>
      <c r="BZ238" s="259" t="s">
        <v>24</v>
      </c>
      <c r="CA238" s="454"/>
      <c r="CB238" s="138"/>
      <c r="CC238" s="134"/>
      <c r="CD238" s="134"/>
      <c r="CE238" s="134"/>
      <c r="CF238" s="138"/>
      <c r="CG238" s="134"/>
      <c r="CH238" s="134"/>
      <c r="CI238" s="134"/>
      <c r="CJ238" s="288"/>
      <c r="CK238" s="289"/>
      <c r="CL238" s="138"/>
      <c r="CM238" s="134"/>
      <c r="CN238" s="134"/>
      <c r="CO238" s="134"/>
      <c r="CP238" s="138"/>
      <c r="CQ238" s="134"/>
      <c r="CR238" s="134"/>
      <c r="CS238" s="134"/>
      <c r="CT238" s="288"/>
      <c r="CU238" s="289"/>
      <c r="CV238" s="276"/>
      <c r="CW238" s="308"/>
      <c r="CX238" s="138"/>
      <c r="CY238" s="134"/>
      <c r="CZ238" s="134"/>
      <c r="DA238" s="134"/>
      <c r="DB238" s="134"/>
      <c r="DC238" s="134"/>
      <c r="DD238" s="134"/>
      <c r="DE238" s="134"/>
      <c r="DF238" s="300"/>
      <c r="DG238" s="301"/>
      <c r="DH238" s="134"/>
      <c r="DI238" s="134"/>
      <c r="DJ238" s="134"/>
      <c r="DK238" s="134"/>
      <c r="DL238" s="134"/>
      <c r="DM238" s="134"/>
      <c r="DN238" s="134"/>
      <c r="DO238" s="134"/>
      <c r="DP238" s="300"/>
      <c r="DQ238" s="301"/>
      <c r="DR238" s="276"/>
      <c r="DS238" s="277"/>
      <c r="DT238" s="134"/>
      <c r="DU238" s="134"/>
      <c r="DV238" s="134"/>
      <c r="DW238" s="134"/>
      <c r="DX238" s="138"/>
      <c r="DY238" s="134"/>
      <c r="DZ238" s="134"/>
      <c r="EA238" s="134"/>
      <c r="EB238" s="301"/>
      <c r="EC238" s="301"/>
      <c r="ED238" s="138"/>
      <c r="EE238" s="134"/>
      <c r="EF238" s="134"/>
      <c r="EG238" s="134"/>
      <c r="EH238" s="138"/>
      <c r="EI238" s="134"/>
      <c r="EJ238" s="134"/>
      <c r="EK238" s="134"/>
      <c r="EL238" s="301"/>
      <c r="EM238" s="301"/>
      <c r="EN238" s="277"/>
      <c r="EO238" s="134"/>
      <c r="EP238" s="134"/>
      <c r="EQ238" s="134"/>
      <c r="ER238" s="134"/>
      <c r="ES238" s="134"/>
      <c r="ET238" s="134"/>
      <c r="EU238" s="134"/>
      <c r="EV238" s="134"/>
      <c r="EW238" s="301"/>
      <c r="EX238" s="301"/>
      <c r="EY238" s="134"/>
      <c r="EZ238" s="134"/>
      <c r="FA238" s="134"/>
      <c r="FB238" s="134"/>
      <c r="FC238" s="134"/>
      <c r="FD238" s="134"/>
      <c r="FE238" s="134"/>
      <c r="FF238" s="134"/>
      <c r="FG238" s="135"/>
      <c r="FH238" s="135"/>
      <c r="FI238" s="134"/>
      <c r="FJ238" s="134"/>
      <c r="FK238" s="134"/>
      <c r="FL238" s="134"/>
      <c r="FM238" s="134"/>
      <c r="FN238" s="134"/>
      <c r="FO238" s="134"/>
      <c r="FP238" s="134"/>
      <c r="FQ238" s="135"/>
      <c r="FR238" s="135"/>
      <c r="FS238" s="134"/>
      <c r="FT238" s="134"/>
      <c r="FU238" s="134"/>
      <c r="FV238" s="134"/>
      <c r="FW238" s="134"/>
      <c r="FX238" s="134"/>
      <c r="FY238" s="134"/>
      <c r="FZ238" s="134"/>
      <c r="GA238" s="135"/>
      <c r="GB238" s="135"/>
      <c r="GC238" s="134"/>
      <c r="GD238" s="134"/>
      <c r="GE238" s="134"/>
      <c r="GF238" s="134"/>
      <c r="GG238" s="134"/>
      <c r="GH238" s="134"/>
      <c r="GI238" s="134"/>
      <c r="GJ238" s="134"/>
      <c r="GK238" s="135"/>
      <c r="GL238" s="135"/>
      <c r="GM238" s="134"/>
      <c r="GN238" s="134"/>
      <c r="GO238" s="134"/>
      <c r="GP238" s="134"/>
      <c r="GQ238" s="134"/>
      <c r="GR238" s="134"/>
      <c r="GS238" s="134"/>
      <c r="GT238" s="134"/>
      <c r="GU238" s="135"/>
      <c r="GV238" s="135"/>
      <c r="GW238" s="134"/>
      <c r="GX238" s="134"/>
      <c r="GY238" s="134"/>
      <c r="GZ238" s="134"/>
      <c r="HA238" s="134"/>
      <c r="HB238" s="134"/>
      <c r="HC238" s="134"/>
      <c r="HD238" s="134"/>
      <c r="HE238" s="135"/>
      <c r="HF238" s="135"/>
      <c r="HG238" s="134"/>
      <c r="HH238" s="134"/>
      <c r="HI238" s="134"/>
      <c r="HJ238" s="134"/>
      <c r="HK238" s="134"/>
      <c r="HL238" s="134"/>
      <c r="HM238" s="134"/>
      <c r="HN238" s="134"/>
      <c r="HO238" s="135"/>
      <c r="HP238" s="135"/>
      <c r="HQ238" s="134"/>
      <c r="HR238" s="134"/>
      <c r="HS238" s="134"/>
      <c r="HT238" s="134"/>
      <c r="HU238" s="134"/>
      <c r="HV238" s="134"/>
      <c r="HW238" s="134"/>
      <c r="HX238" s="134"/>
      <c r="HY238" s="135"/>
      <c r="HZ238" s="135"/>
      <c r="IA238" s="134"/>
      <c r="IB238" s="134"/>
      <c r="IC238" s="134"/>
      <c r="ID238" s="134"/>
      <c r="IE238" s="134"/>
      <c r="IF238" s="134"/>
      <c r="IG238" s="134"/>
      <c r="IH238" s="134"/>
      <c r="II238" s="135"/>
      <c r="IJ238" s="135"/>
      <c r="IK238" s="134"/>
      <c r="IL238" s="134"/>
      <c r="IM238" s="134"/>
      <c r="IN238" s="134"/>
      <c r="IO238" s="134"/>
      <c r="IP238" s="134"/>
      <c r="IQ238" s="134"/>
      <c r="IR238" s="134"/>
      <c r="IS238" s="135"/>
      <c r="IT238" s="135"/>
      <c r="IU238" s="134"/>
      <c r="IV238" s="134"/>
      <c r="IW238" s="134"/>
      <c r="IX238" s="134"/>
      <c r="IY238" s="134"/>
      <c r="IZ238" s="134"/>
      <c r="JA238" s="134"/>
      <c r="JB238" s="134"/>
      <c r="JC238" s="135"/>
      <c r="JD238" s="135"/>
    </row>
    <row r="239" spans="1:264" customFormat="1" ht="15" customHeight="1">
      <c r="A239" s="79" t="s">
        <v>181</v>
      </c>
      <c r="B239" s="362">
        <v>134</v>
      </c>
      <c r="C239" s="362">
        <v>38</v>
      </c>
      <c r="D239" s="362"/>
      <c r="E239" s="604" t="s">
        <v>1965</v>
      </c>
      <c r="F239" s="124" t="s">
        <v>2189</v>
      </c>
      <c r="G239" s="125">
        <v>2014</v>
      </c>
      <c r="H239" s="79">
        <v>24717141</v>
      </c>
      <c r="I239" s="79">
        <v>1</v>
      </c>
      <c r="J239" s="126"/>
      <c r="K239" s="127"/>
      <c r="L239" s="79">
        <v>1</v>
      </c>
      <c r="M239" s="79"/>
      <c r="N239" s="79">
        <v>1</v>
      </c>
      <c r="O239" s="128">
        <v>1</v>
      </c>
      <c r="P239" s="79" t="s">
        <v>528</v>
      </c>
      <c r="Q239" s="79" t="s">
        <v>1175</v>
      </c>
      <c r="R239" s="79" t="s">
        <v>25</v>
      </c>
      <c r="S239" s="79">
        <v>1</v>
      </c>
      <c r="T239" s="79"/>
      <c r="U239" s="79"/>
      <c r="V239" s="79"/>
      <c r="W239" s="79" t="s">
        <v>532</v>
      </c>
      <c r="X239" s="79" t="s">
        <v>24</v>
      </c>
      <c r="Y239" s="79" t="s">
        <v>530</v>
      </c>
      <c r="Z239" s="79"/>
      <c r="AA239" s="79"/>
      <c r="AB239" s="79" t="s">
        <v>533</v>
      </c>
      <c r="AC239" s="506"/>
      <c r="AD239" s="573">
        <v>1</v>
      </c>
      <c r="AE239" s="573">
        <v>2</v>
      </c>
      <c r="AF239" s="165">
        <v>0</v>
      </c>
      <c r="AG239" s="166" t="s">
        <v>4682</v>
      </c>
      <c r="AH239" s="120">
        <v>2</v>
      </c>
      <c r="AI239" s="484"/>
      <c r="AJ239" s="206" t="s">
        <v>4677</v>
      </c>
      <c r="AK239" s="372" t="s">
        <v>24</v>
      </c>
      <c r="AL239" s="207"/>
      <c r="AM239" s="120"/>
      <c r="AN239" s="120"/>
      <c r="AO239" s="120"/>
      <c r="AP239" s="120"/>
      <c r="AQ239" s="120"/>
      <c r="AR239" s="120"/>
      <c r="AS239" s="120"/>
      <c r="AT239" s="120"/>
      <c r="AU239" s="120"/>
      <c r="AV239" s="120"/>
      <c r="AW239" s="120"/>
      <c r="AX239" s="120"/>
      <c r="AY239" s="120" t="s">
        <v>24</v>
      </c>
      <c r="AZ239" s="120"/>
      <c r="BA239" s="120"/>
      <c r="BB239" s="594"/>
      <c r="BC239" s="594"/>
      <c r="BD239" s="373"/>
      <c r="BE239" s="373"/>
      <c r="BF239" s="373"/>
      <c r="BG239" s="373">
        <v>1</v>
      </c>
      <c r="BH239" s="373"/>
      <c r="BI239" s="373"/>
      <c r="BJ239" s="373">
        <v>1</v>
      </c>
      <c r="BK239" s="373"/>
      <c r="BL239" s="373"/>
      <c r="BM239" s="373"/>
      <c r="BN239" s="373"/>
      <c r="BO239" s="373"/>
      <c r="BP239" s="373"/>
      <c r="BQ239" s="599"/>
      <c r="BR239" s="374"/>
      <c r="BS239" s="660"/>
      <c r="BT239" s="134"/>
      <c r="BU239" s="134"/>
      <c r="BV239" s="134" t="s">
        <v>24</v>
      </c>
      <c r="BW239" s="134"/>
      <c r="BX239" s="134" t="s">
        <v>24</v>
      </c>
      <c r="BY239" s="134"/>
      <c r="BZ239" s="259" t="s">
        <v>24</v>
      </c>
      <c r="CA239" s="454"/>
      <c r="CB239" s="138"/>
      <c r="CC239" s="134"/>
      <c r="CD239" s="134"/>
      <c r="CE239" s="134"/>
      <c r="CF239" s="138"/>
      <c r="CG239" s="134"/>
      <c r="CH239" s="134"/>
      <c r="CI239" s="134"/>
      <c r="CJ239" s="288"/>
      <c r="CK239" s="289"/>
      <c r="CL239" s="138"/>
      <c r="CM239" s="134"/>
      <c r="CN239" s="134"/>
      <c r="CO239" s="134"/>
      <c r="CP239" s="138"/>
      <c r="CQ239" s="134"/>
      <c r="CR239" s="134"/>
      <c r="CS239" s="134"/>
      <c r="CT239" s="288"/>
      <c r="CU239" s="289"/>
      <c r="CV239" s="276"/>
      <c r="CW239" s="308"/>
      <c r="CX239" s="138"/>
      <c r="CY239" s="134"/>
      <c r="CZ239" s="134"/>
      <c r="DA239" s="134"/>
      <c r="DB239" s="134"/>
      <c r="DC239" s="134"/>
      <c r="DD239" s="134"/>
      <c r="DE239" s="134"/>
      <c r="DF239" s="300"/>
      <c r="DG239" s="301"/>
      <c r="DH239" s="134"/>
      <c r="DI239" s="134"/>
      <c r="DJ239" s="134"/>
      <c r="DK239" s="134"/>
      <c r="DL239" s="134"/>
      <c r="DM239" s="134"/>
      <c r="DN239" s="134"/>
      <c r="DO239" s="134"/>
      <c r="DP239" s="300"/>
      <c r="DQ239" s="301"/>
      <c r="DR239" s="276"/>
      <c r="DS239" s="277"/>
      <c r="DT239" s="134"/>
      <c r="DU239" s="134"/>
      <c r="DV239" s="134"/>
      <c r="DW239" s="134"/>
      <c r="DX239" s="138"/>
      <c r="DY239" s="134"/>
      <c r="DZ239" s="134"/>
      <c r="EA239" s="134"/>
      <c r="EB239" s="301"/>
      <c r="EC239" s="301"/>
      <c r="ED239" s="138"/>
      <c r="EE239" s="134"/>
      <c r="EF239" s="134"/>
      <c r="EG239" s="134"/>
      <c r="EH239" s="138"/>
      <c r="EI239" s="134"/>
      <c r="EJ239" s="134"/>
      <c r="EK239" s="134"/>
      <c r="EL239" s="301"/>
      <c r="EM239" s="301"/>
      <c r="EN239" s="277"/>
      <c r="EO239" s="134"/>
      <c r="EP239" s="134"/>
      <c r="EQ239" s="134"/>
      <c r="ER239" s="134"/>
      <c r="ES239" s="134"/>
      <c r="ET239" s="134"/>
      <c r="EU239" s="134"/>
      <c r="EV239" s="134"/>
      <c r="EW239" s="301"/>
      <c r="EX239" s="301"/>
      <c r="EY239" s="134"/>
      <c r="EZ239" s="134"/>
      <c r="FA239" s="134"/>
      <c r="FB239" s="134"/>
      <c r="FC239" s="134"/>
      <c r="FD239" s="134"/>
      <c r="FE239" s="134"/>
      <c r="FF239" s="134"/>
      <c r="FG239" s="135"/>
      <c r="FH239" s="135"/>
      <c r="FI239" s="134"/>
      <c r="FJ239" s="134"/>
      <c r="FK239" s="134"/>
      <c r="FL239" s="134"/>
      <c r="FM239" s="134"/>
      <c r="FN239" s="134"/>
      <c r="FO239" s="134"/>
      <c r="FP239" s="134"/>
      <c r="FQ239" s="135"/>
      <c r="FR239" s="135"/>
      <c r="FS239" s="134"/>
      <c r="FT239" s="134"/>
      <c r="FU239" s="134"/>
      <c r="FV239" s="134"/>
      <c r="FW239" s="134"/>
      <c r="FX239" s="134"/>
      <c r="FY239" s="134"/>
      <c r="FZ239" s="134"/>
      <c r="GA239" s="135"/>
      <c r="GB239" s="135"/>
      <c r="GC239" s="134"/>
      <c r="GD239" s="134"/>
      <c r="GE239" s="134"/>
      <c r="GF239" s="134"/>
      <c r="GG239" s="134"/>
      <c r="GH239" s="134"/>
      <c r="GI239" s="134"/>
      <c r="GJ239" s="134"/>
      <c r="GK239" s="135"/>
      <c r="GL239" s="135"/>
      <c r="GM239" s="134"/>
      <c r="GN239" s="134"/>
      <c r="GO239" s="134"/>
      <c r="GP239" s="134"/>
      <c r="GQ239" s="134"/>
      <c r="GR239" s="134"/>
      <c r="GS239" s="134"/>
      <c r="GT239" s="134"/>
      <c r="GU239" s="135"/>
      <c r="GV239" s="135"/>
      <c r="GW239" s="134"/>
      <c r="GX239" s="134"/>
      <c r="GY239" s="134"/>
      <c r="GZ239" s="134"/>
      <c r="HA239" s="134"/>
      <c r="HB239" s="134"/>
      <c r="HC239" s="134"/>
      <c r="HD239" s="134"/>
      <c r="HE239" s="135"/>
      <c r="HF239" s="135"/>
      <c r="HG239" s="134"/>
      <c r="HH239" s="134"/>
      <c r="HI239" s="134"/>
      <c r="HJ239" s="134"/>
      <c r="HK239" s="134"/>
      <c r="HL239" s="134"/>
      <c r="HM239" s="134"/>
      <c r="HN239" s="134"/>
      <c r="HO239" s="135"/>
      <c r="HP239" s="135"/>
      <c r="HQ239" s="134"/>
      <c r="HR239" s="134"/>
      <c r="HS239" s="134"/>
      <c r="HT239" s="134"/>
      <c r="HU239" s="134"/>
      <c r="HV239" s="134"/>
      <c r="HW239" s="134"/>
      <c r="HX239" s="134"/>
      <c r="HY239" s="135"/>
      <c r="HZ239" s="135"/>
      <c r="IA239" s="134"/>
      <c r="IB239" s="134"/>
      <c r="IC239" s="134"/>
      <c r="ID239" s="134"/>
      <c r="IE239" s="134"/>
      <c r="IF239" s="134"/>
      <c r="IG239" s="134"/>
      <c r="IH239" s="134"/>
      <c r="II239" s="135"/>
      <c r="IJ239" s="135"/>
      <c r="IK239" s="134"/>
      <c r="IL239" s="134"/>
      <c r="IM239" s="134"/>
      <c r="IN239" s="134"/>
      <c r="IO239" s="134"/>
      <c r="IP239" s="134"/>
      <c r="IQ239" s="134"/>
      <c r="IR239" s="134"/>
      <c r="IS239" s="135"/>
      <c r="IT239" s="135"/>
      <c r="IU239" s="134"/>
      <c r="IV239" s="134"/>
      <c r="IW239" s="134"/>
      <c r="IX239" s="134"/>
      <c r="IY239" s="134"/>
      <c r="IZ239" s="134"/>
      <c r="JA239" s="134"/>
      <c r="JB239" s="134"/>
      <c r="JC239" s="135"/>
      <c r="JD239" s="135"/>
    </row>
    <row r="240" spans="1:264" customFormat="1" ht="15" customHeight="1">
      <c r="A240" s="79" t="s">
        <v>190</v>
      </c>
      <c r="B240" s="362">
        <v>136</v>
      </c>
      <c r="C240" s="362">
        <v>39</v>
      </c>
      <c r="D240" s="362"/>
      <c r="E240" s="604" t="s">
        <v>1967</v>
      </c>
      <c r="F240" s="124" t="s">
        <v>2191</v>
      </c>
      <c r="G240" s="125">
        <v>2011</v>
      </c>
      <c r="H240" s="79">
        <v>21898603</v>
      </c>
      <c r="I240" s="79">
        <v>1</v>
      </c>
      <c r="J240" s="126"/>
      <c r="K240" s="127"/>
      <c r="L240" s="79">
        <v>1</v>
      </c>
      <c r="M240" s="79"/>
      <c r="N240" s="79">
        <v>1</v>
      </c>
      <c r="O240" s="128">
        <v>1</v>
      </c>
      <c r="P240" s="79" t="s">
        <v>551</v>
      </c>
      <c r="Q240" s="79" t="s">
        <v>1172</v>
      </c>
      <c r="R240" s="79" t="s">
        <v>25</v>
      </c>
      <c r="S240" s="79">
        <v>1</v>
      </c>
      <c r="T240" s="79"/>
      <c r="U240" s="79"/>
      <c r="V240" s="79"/>
      <c r="W240" s="79" t="s">
        <v>492</v>
      </c>
      <c r="X240" s="79" t="s">
        <v>24</v>
      </c>
      <c r="Y240" s="79" t="s">
        <v>24</v>
      </c>
      <c r="Z240" s="79" t="s">
        <v>552</v>
      </c>
      <c r="AA240" s="79"/>
      <c r="AB240" s="79" t="s">
        <v>553</v>
      </c>
      <c r="AC240" s="506"/>
      <c r="AD240" s="573">
        <v>1</v>
      </c>
      <c r="AE240" s="573">
        <v>2</v>
      </c>
      <c r="AF240" s="165" t="s">
        <v>3003</v>
      </c>
      <c r="AG240" s="166" t="s">
        <v>4684</v>
      </c>
      <c r="AH240" s="120">
        <v>2</v>
      </c>
      <c r="AI240" s="484"/>
      <c r="AJ240" s="206" t="s">
        <v>4681</v>
      </c>
      <c r="AK240" s="372" t="s">
        <v>24</v>
      </c>
      <c r="AL240" s="207"/>
      <c r="AM240" s="120"/>
      <c r="AN240" s="120"/>
      <c r="AO240" s="120"/>
      <c r="AP240" s="120"/>
      <c r="AQ240" s="120"/>
      <c r="AR240" s="120"/>
      <c r="AS240" s="120"/>
      <c r="AT240" s="120"/>
      <c r="AU240" s="120"/>
      <c r="AV240" s="120"/>
      <c r="AW240" s="120"/>
      <c r="AX240" s="120"/>
      <c r="AY240" s="120" t="s">
        <v>24</v>
      </c>
      <c r="AZ240" s="120"/>
      <c r="BA240" s="120"/>
      <c r="BB240" s="594"/>
      <c r="BC240" s="594"/>
      <c r="BD240" s="373"/>
      <c r="BE240" s="373"/>
      <c r="BF240" s="373"/>
      <c r="BG240" s="373"/>
      <c r="BH240" s="373"/>
      <c r="BI240" s="373"/>
      <c r="BJ240" s="373">
        <v>1</v>
      </c>
      <c r="BK240" s="373"/>
      <c r="BL240" s="373"/>
      <c r="BM240" s="373"/>
      <c r="BN240" s="373"/>
      <c r="BO240" s="373"/>
      <c r="BP240" s="373"/>
      <c r="BQ240" s="599"/>
      <c r="BR240" s="374"/>
      <c r="BS240" s="660"/>
      <c r="BT240" s="134"/>
      <c r="BU240" s="134"/>
      <c r="BV240" s="134" t="s">
        <v>24</v>
      </c>
      <c r="BW240" s="134"/>
      <c r="BX240" s="134" t="s">
        <v>24</v>
      </c>
      <c r="BY240" s="134"/>
      <c r="BZ240" s="259" t="s">
        <v>24</v>
      </c>
      <c r="CA240" s="454"/>
      <c r="CB240" s="138"/>
      <c r="CC240" s="134"/>
      <c r="CD240" s="134"/>
      <c r="CE240" s="134"/>
      <c r="CF240" s="138"/>
      <c r="CG240" s="134"/>
      <c r="CH240" s="134"/>
      <c r="CI240" s="134"/>
      <c r="CJ240" s="288"/>
      <c r="CK240" s="289"/>
      <c r="CL240" s="138"/>
      <c r="CM240" s="134"/>
      <c r="CN240" s="134"/>
      <c r="CO240" s="134"/>
      <c r="CP240" s="138"/>
      <c r="CQ240" s="134"/>
      <c r="CR240" s="134"/>
      <c r="CS240" s="134"/>
      <c r="CT240" s="288"/>
      <c r="CU240" s="289"/>
      <c r="CV240" s="276"/>
      <c r="CW240" s="308"/>
      <c r="CX240" s="138"/>
      <c r="CY240" s="134"/>
      <c r="CZ240" s="134"/>
      <c r="DA240" s="134"/>
      <c r="DB240" s="134"/>
      <c r="DC240" s="134"/>
      <c r="DD240" s="134"/>
      <c r="DE240" s="134"/>
      <c r="DF240" s="300"/>
      <c r="DG240" s="301"/>
      <c r="DH240" s="134"/>
      <c r="DI240" s="134"/>
      <c r="DJ240" s="134"/>
      <c r="DK240" s="134"/>
      <c r="DL240" s="134"/>
      <c r="DM240" s="134"/>
      <c r="DN240" s="134"/>
      <c r="DO240" s="134"/>
      <c r="DP240" s="300"/>
      <c r="DQ240" s="301"/>
      <c r="DR240" s="276"/>
      <c r="DS240" s="277"/>
      <c r="DT240" s="134"/>
      <c r="DU240" s="134"/>
      <c r="DV240" s="134"/>
      <c r="DW240" s="134"/>
      <c r="DX240" s="138"/>
      <c r="DY240" s="134"/>
      <c r="DZ240" s="134"/>
      <c r="EA240" s="134"/>
      <c r="EB240" s="301"/>
      <c r="EC240" s="301"/>
      <c r="ED240" s="138"/>
      <c r="EE240" s="134"/>
      <c r="EF240" s="134"/>
      <c r="EG240" s="134"/>
      <c r="EH240" s="138"/>
      <c r="EI240" s="134"/>
      <c r="EJ240" s="134"/>
      <c r="EK240" s="134"/>
      <c r="EL240" s="301"/>
      <c r="EM240" s="301"/>
      <c r="EN240" s="277"/>
      <c r="EO240" s="134"/>
      <c r="EP240" s="134"/>
      <c r="EQ240" s="134"/>
      <c r="ER240" s="134"/>
      <c r="ES240" s="134"/>
      <c r="ET240" s="134"/>
      <c r="EU240" s="134"/>
      <c r="EV240" s="134"/>
      <c r="EW240" s="301"/>
      <c r="EX240" s="301"/>
      <c r="EY240" s="134"/>
      <c r="EZ240" s="134"/>
      <c r="FA240" s="134"/>
      <c r="FB240" s="134"/>
      <c r="FC240" s="134"/>
      <c r="FD240" s="134"/>
      <c r="FE240" s="134"/>
      <c r="FF240" s="134"/>
      <c r="FG240" s="135"/>
      <c r="FH240" s="135"/>
      <c r="FI240" s="134"/>
      <c r="FJ240" s="134"/>
      <c r="FK240" s="134"/>
      <c r="FL240" s="134"/>
      <c r="FM240" s="134"/>
      <c r="FN240" s="134"/>
      <c r="FO240" s="134"/>
      <c r="FP240" s="134"/>
      <c r="FQ240" s="135"/>
      <c r="FR240" s="135"/>
      <c r="FS240" s="134"/>
      <c r="FT240" s="134"/>
      <c r="FU240" s="134"/>
      <c r="FV240" s="134"/>
      <c r="FW240" s="134"/>
      <c r="FX240" s="134"/>
      <c r="FY240" s="134"/>
      <c r="FZ240" s="134"/>
      <c r="GA240" s="135"/>
      <c r="GB240" s="135"/>
      <c r="GC240" s="134"/>
      <c r="GD240" s="134"/>
      <c r="GE240" s="134"/>
      <c r="GF240" s="134"/>
      <c r="GG240" s="134"/>
      <c r="GH240" s="134"/>
      <c r="GI240" s="134"/>
      <c r="GJ240" s="134"/>
      <c r="GK240" s="135"/>
      <c r="GL240" s="135"/>
      <c r="GM240" s="134"/>
      <c r="GN240" s="134"/>
      <c r="GO240" s="134"/>
      <c r="GP240" s="134"/>
      <c r="GQ240" s="134"/>
      <c r="GR240" s="134"/>
      <c r="GS240" s="134"/>
      <c r="GT240" s="134"/>
      <c r="GU240" s="135"/>
      <c r="GV240" s="135"/>
      <c r="GW240" s="134"/>
      <c r="GX240" s="134"/>
      <c r="GY240" s="134"/>
      <c r="GZ240" s="134"/>
      <c r="HA240" s="134"/>
      <c r="HB240" s="134"/>
      <c r="HC240" s="134"/>
      <c r="HD240" s="134"/>
      <c r="HE240" s="135"/>
      <c r="HF240" s="135"/>
      <c r="HG240" s="134"/>
      <c r="HH240" s="134"/>
      <c r="HI240" s="134"/>
      <c r="HJ240" s="134"/>
      <c r="HK240" s="134"/>
      <c r="HL240" s="134"/>
      <c r="HM240" s="134"/>
      <c r="HN240" s="134"/>
      <c r="HO240" s="135"/>
      <c r="HP240" s="135"/>
      <c r="HQ240" s="134"/>
      <c r="HR240" s="134"/>
      <c r="HS240" s="134"/>
      <c r="HT240" s="134"/>
      <c r="HU240" s="134"/>
      <c r="HV240" s="134"/>
      <c r="HW240" s="134"/>
      <c r="HX240" s="134"/>
      <c r="HY240" s="135"/>
      <c r="HZ240" s="135"/>
      <c r="IA240" s="134"/>
      <c r="IB240" s="134"/>
      <c r="IC240" s="134"/>
      <c r="ID240" s="134"/>
      <c r="IE240" s="134"/>
      <c r="IF240" s="134"/>
      <c r="IG240" s="134"/>
      <c r="IH240" s="134"/>
      <c r="II240" s="135"/>
      <c r="IJ240" s="135"/>
      <c r="IK240" s="134"/>
      <c r="IL240" s="134"/>
      <c r="IM240" s="134"/>
      <c r="IN240" s="134"/>
      <c r="IO240" s="134"/>
      <c r="IP240" s="134"/>
      <c r="IQ240" s="134"/>
      <c r="IR240" s="134"/>
      <c r="IS240" s="135"/>
      <c r="IT240" s="135"/>
      <c r="IU240" s="134"/>
      <c r="IV240" s="134"/>
      <c r="IW240" s="134"/>
      <c r="IX240" s="134"/>
      <c r="IY240" s="134"/>
      <c r="IZ240" s="134"/>
      <c r="JA240" s="134"/>
      <c r="JB240" s="134"/>
      <c r="JC240" s="135"/>
      <c r="JD240" s="135"/>
    </row>
    <row r="241" spans="1:264" customFormat="1" ht="15" customHeight="1">
      <c r="A241" s="79" t="s">
        <v>193</v>
      </c>
      <c r="B241" s="362">
        <v>139</v>
      </c>
      <c r="C241" s="362">
        <v>40</v>
      </c>
      <c r="D241" s="362"/>
      <c r="E241" s="604" t="s">
        <v>1970</v>
      </c>
      <c r="F241" s="124" t="s">
        <v>2194</v>
      </c>
      <c r="G241" s="125">
        <v>2012</v>
      </c>
      <c r="H241" s="79">
        <v>22193972</v>
      </c>
      <c r="I241" s="79">
        <v>1</v>
      </c>
      <c r="J241" s="126"/>
      <c r="K241" s="127"/>
      <c r="L241" s="79">
        <v>1</v>
      </c>
      <c r="M241" s="79"/>
      <c r="N241" s="79">
        <v>1</v>
      </c>
      <c r="O241" s="128">
        <v>1</v>
      </c>
      <c r="P241" s="79" t="s">
        <v>558</v>
      </c>
      <c r="Q241" s="79" t="s">
        <v>1165</v>
      </c>
      <c r="R241" s="79" t="s">
        <v>25</v>
      </c>
      <c r="S241" s="79">
        <v>1</v>
      </c>
      <c r="T241" s="79"/>
      <c r="U241" s="79"/>
      <c r="V241" s="79"/>
      <c r="W241" s="79" t="s">
        <v>1187</v>
      </c>
      <c r="X241" s="79" t="s">
        <v>24</v>
      </c>
      <c r="Y241" s="79" t="s">
        <v>559</v>
      </c>
      <c r="Z241" s="79"/>
      <c r="AA241" s="79"/>
      <c r="AB241" s="79"/>
      <c r="AC241" s="506"/>
      <c r="AD241" s="573">
        <v>1</v>
      </c>
      <c r="AE241" s="573">
        <v>2</v>
      </c>
      <c r="AF241" s="165" t="s">
        <v>3003</v>
      </c>
      <c r="AG241" s="166" t="s">
        <v>4686</v>
      </c>
      <c r="AH241" s="120">
        <v>2</v>
      </c>
      <c r="AI241" s="484"/>
      <c r="AJ241" s="206" t="s">
        <v>4685</v>
      </c>
      <c r="AK241" s="372" t="s">
        <v>24</v>
      </c>
      <c r="AL241" s="207"/>
      <c r="AM241" s="120"/>
      <c r="AN241" s="120"/>
      <c r="AO241" s="120"/>
      <c r="AP241" s="120"/>
      <c r="AQ241" s="120"/>
      <c r="AR241" s="120"/>
      <c r="AS241" s="120"/>
      <c r="AT241" s="120"/>
      <c r="AU241" s="120"/>
      <c r="AV241" s="120"/>
      <c r="AW241" s="120"/>
      <c r="AX241" s="120"/>
      <c r="AY241" s="120" t="s">
        <v>24</v>
      </c>
      <c r="AZ241" s="120"/>
      <c r="BA241" s="120"/>
      <c r="BB241" s="594"/>
      <c r="BC241" s="594"/>
      <c r="BD241" s="373"/>
      <c r="BE241" s="373"/>
      <c r="BF241" s="373"/>
      <c r="BG241" s="373">
        <v>1</v>
      </c>
      <c r="BH241" s="373"/>
      <c r="BI241" s="373"/>
      <c r="BJ241" s="373">
        <v>1</v>
      </c>
      <c r="BK241" s="373"/>
      <c r="BL241" s="373"/>
      <c r="BM241" s="373"/>
      <c r="BN241" s="373"/>
      <c r="BO241" s="373"/>
      <c r="BP241" s="373"/>
      <c r="BQ241" s="599"/>
      <c r="BR241" s="374"/>
      <c r="BS241" s="660"/>
      <c r="BT241" s="134"/>
      <c r="BU241" s="134"/>
      <c r="BV241" s="134" t="s">
        <v>24</v>
      </c>
      <c r="BW241" s="134"/>
      <c r="BX241" s="134" t="s">
        <v>24</v>
      </c>
      <c r="BY241" s="134"/>
      <c r="BZ241" s="259" t="s">
        <v>24</v>
      </c>
      <c r="CA241" s="454"/>
      <c r="CB241" s="138"/>
      <c r="CC241" s="134"/>
      <c r="CD241" s="134"/>
      <c r="CE241" s="134"/>
      <c r="CF241" s="138"/>
      <c r="CG241" s="134"/>
      <c r="CH241" s="134"/>
      <c r="CI241" s="134"/>
      <c r="CJ241" s="288"/>
      <c r="CK241" s="289"/>
      <c r="CL241" s="138"/>
      <c r="CM241" s="134"/>
      <c r="CN241" s="134"/>
      <c r="CO241" s="134"/>
      <c r="CP241" s="138"/>
      <c r="CQ241" s="134"/>
      <c r="CR241" s="134"/>
      <c r="CS241" s="134"/>
      <c r="CT241" s="288"/>
      <c r="CU241" s="289"/>
      <c r="CV241" s="276"/>
      <c r="CW241" s="308"/>
      <c r="CX241" s="138"/>
      <c r="CY241" s="134"/>
      <c r="CZ241" s="134"/>
      <c r="DA241" s="134"/>
      <c r="DB241" s="134"/>
      <c r="DC241" s="134"/>
      <c r="DD241" s="134"/>
      <c r="DE241" s="134"/>
      <c r="DF241" s="300"/>
      <c r="DG241" s="301"/>
      <c r="DH241" s="134"/>
      <c r="DI241" s="134"/>
      <c r="DJ241" s="134"/>
      <c r="DK241" s="134"/>
      <c r="DL241" s="134"/>
      <c r="DM241" s="134"/>
      <c r="DN241" s="134"/>
      <c r="DO241" s="134"/>
      <c r="DP241" s="300"/>
      <c r="DQ241" s="301"/>
      <c r="DR241" s="276"/>
      <c r="DS241" s="277"/>
      <c r="DT241" s="134"/>
      <c r="DU241" s="134"/>
      <c r="DV241" s="134"/>
      <c r="DW241" s="134"/>
      <c r="DX241" s="138"/>
      <c r="DY241" s="134"/>
      <c r="DZ241" s="134"/>
      <c r="EA241" s="134"/>
      <c r="EB241" s="301"/>
      <c r="EC241" s="301"/>
      <c r="ED241" s="138"/>
      <c r="EE241" s="134"/>
      <c r="EF241" s="134"/>
      <c r="EG241" s="134"/>
      <c r="EH241" s="138"/>
      <c r="EI241" s="134"/>
      <c r="EJ241" s="134"/>
      <c r="EK241" s="134"/>
      <c r="EL241" s="301"/>
      <c r="EM241" s="301"/>
      <c r="EN241" s="277"/>
      <c r="EO241" s="134"/>
      <c r="EP241" s="134"/>
      <c r="EQ241" s="134"/>
      <c r="ER241" s="134"/>
      <c r="ES241" s="134"/>
      <c r="ET241" s="134"/>
      <c r="EU241" s="134"/>
      <c r="EV241" s="134"/>
      <c r="EW241" s="301"/>
      <c r="EX241" s="301"/>
      <c r="EY241" s="134"/>
      <c r="EZ241" s="134"/>
      <c r="FA241" s="134"/>
      <c r="FB241" s="134"/>
      <c r="FC241" s="134"/>
      <c r="FD241" s="134"/>
      <c r="FE241" s="134"/>
      <c r="FF241" s="134"/>
      <c r="FG241" s="135"/>
      <c r="FH241" s="135"/>
      <c r="FI241" s="134"/>
      <c r="FJ241" s="134"/>
      <c r="FK241" s="134"/>
      <c r="FL241" s="134"/>
      <c r="FM241" s="134"/>
      <c r="FN241" s="134"/>
      <c r="FO241" s="134"/>
      <c r="FP241" s="134"/>
      <c r="FQ241" s="135"/>
      <c r="FR241" s="135"/>
      <c r="FS241" s="134"/>
      <c r="FT241" s="134"/>
      <c r="FU241" s="134"/>
      <c r="FV241" s="134"/>
      <c r="FW241" s="134"/>
      <c r="FX241" s="134"/>
      <c r="FY241" s="134"/>
      <c r="FZ241" s="134"/>
      <c r="GA241" s="135"/>
      <c r="GB241" s="135"/>
      <c r="GC241" s="134"/>
      <c r="GD241" s="134"/>
      <c r="GE241" s="134"/>
      <c r="GF241" s="134"/>
      <c r="GG241" s="134"/>
      <c r="GH241" s="134"/>
      <c r="GI241" s="134"/>
      <c r="GJ241" s="134"/>
      <c r="GK241" s="135"/>
      <c r="GL241" s="135"/>
      <c r="GM241" s="134"/>
      <c r="GN241" s="134"/>
      <c r="GO241" s="134"/>
      <c r="GP241" s="134"/>
      <c r="GQ241" s="134"/>
      <c r="GR241" s="134"/>
      <c r="GS241" s="134"/>
      <c r="GT241" s="134"/>
      <c r="GU241" s="135"/>
      <c r="GV241" s="135"/>
      <c r="GW241" s="134"/>
      <c r="GX241" s="134"/>
      <c r="GY241" s="134"/>
      <c r="GZ241" s="134"/>
      <c r="HA241" s="134"/>
      <c r="HB241" s="134"/>
      <c r="HC241" s="134"/>
      <c r="HD241" s="134"/>
      <c r="HE241" s="135"/>
      <c r="HF241" s="135"/>
      <c r="HG241" s="134"/>
      <c r="HH241" s="134"/>
      <c r="HI241" s="134"/>
      <c r="HJ241" s="134"/>
      <c r="HK241" s="134"/>
      <c r="HL241" s="134"/>
      <c r="HM241" s="134"/>
      <c r="HN241" s="134"/>
      <c r="HO241" s="135"/>
      <c r="HP241" s="135"/>
      <c r="HQ241" s="134"/>
      <c r="HR241" s="134"/>
      <c r="HS241" s="134"/>
      <c r="HT241" s="134"/>
      <c r="HU241" s="134"/>
      <c r="HV241" s="134"/>
      <c r="HW241" s="134"/>
      <c r="HX241" s="134"/>
      <c r="HY241" s="135"/>
      <c r="HZ241" s="135"/>
      <c r="IA241" s="134"/>
      <c r="IB241" s="134"/>
      <c r="IC241" s="134"/>
      <c r="ID241" s="134"/>
      <c r="IE241" s="134"/>
      <c r="IF241" s="134"/>
      <c r="IG241" s="134"/>
      <c r="IH241" s="134"/>
      <c r="II241" s="135"/>
      <c r="IJ241" s="135"/>
      <c r="IK241" s="134"/>
      <c r="IL241" s="134"/>
      <c r="IM241" s="134"/>
      <c r="IN241" s="134"/>
      <c r="IO241" s="134"/>
      <c r="IP241" s="134"/>
      <c r="IQ241" s="134"/>
      <c r="IR241" s="134"/>
      <c r="IS241" s="135"/>
      <c r="IT241" s="135"/>
      <c r="IU241" s="134"/>
      <c r="IV241" s="134"/>
      <c r="IW241" s="134"/>
      <c r="IX241" s="134"/>
      <c r="IY241" s="134"/>
      <c r="IZ241" s="134"/>
      <c r="JA241" s="134"/>
      <c r="JB241" s="134"/>
      <c r="JC241" s="135"/>
      <c r="JD241" s="135"/>
    </row>
    <row r="242" spans="1:264" customFormat="1" ht="15" customHeight="1">
      <c r="A242" s="79" t="s">
        <v>194</v>
      </c>
      <c r="B242" s="362">
        <v>140</v>
      </c>
      <c r="C242" s="362">
        <v>41</v>
      </c>
      <c r="D242" s="362"/>
      <c r="E242" s="604" t="s">
        <v>1971</v>
      </c>
      <c r="F242" s="124" t="s">
        <v>2195</v>
      </c>
      <c r="G242" s="125">
        <v>2003</v>
      </c>
      <c r="H242" s="79">
        <v>12775293</v>
      </c>
      <c r="I242" s="79">
        <v>1</v>
      </c>
      <c r="J242" s="126"/>
      <c r="K242" s="127"/>
      <c r="L242" s="79">
        <v>1</v>
      </c>
      <c r="M242" s="79"/>
      <c r="N242" s="79">
        <v>1</v>
      </c>
      <c r="O242" s="128">
        <v>1</v>
      </c>
      <c r="P242" s="79" t="s">
        <v>562</v>
      </c>
      <c r="Q242" s="79" t="s">
        <v>1147</v>
      </c>
      <c r="R242" s="79" t="s">
        <v>560</v>
      </c>
      <c r="S242" s="79">
        <v>0</v>
      </c>
      <c r="T242" s="79"/>
      <c r="U242" s="79"/>
      <c r="V242" s="79"/>
      <c r="W242" s="79" t="s">
        <v>561</v>
      </c>
      <c r="X242" s="79" t="s">
        <v>24</v>
      </c>
      <c r="Y242" s="79"/>
      <c r="Z242" s="79"/>
      <c r="AA242" s="79"/>
      <c r="AB242" s="79"/>
      <c r="AC242" s="506"/>
      <c r="AD242" s="573">
        <v>1</v>
      </c>
      <c r="AE242" s="573">
        <v>2</v>
      </c>
      <c r="AF242" s="154">
        <v>1</v>
      </c>
      <c r="AG242" s="155"/>
      <c r="AH242" s="121">
        <v>3</v>
      </c>
      <c r="AI242" s="484" t="s">
        <v>4710</v>
      </c>
      <c r="AJ242" s="202" t="s">
        <v>4706</v>
      </c>
      <c r="AK242" s="192" t="s">
        <v>24</v>
      </c>
      <c r="AL242" s="203" t="s">
        <v>24</v>
      </c>
      <c r="AM242" s="121">
        <v>34</v>
      </c>
      <c r="AN242" s="121" t="s">
        <v>4695</v>
      </c>
      <c r="AO242" s="121">
        <v>13</v>
      </c>
      <c r="AP242" s="424" t="s">
        <v>4694</v>
      </c>
      <c r="AQ242" s="424" t="s">
        <v>4694</v>
      </c>
      <c r="AR242" s="424" t="s">
        <v>4694</v>
      </c>
      <c r="AS242" s="121" t="s">
        <v>24</v>
      </c>
      <c r="AT242" s="424" t="s">
        <v>4694</v>
      </c>
      <c r="AU242" s="121" t="s">
        <v>24</v>
      </c>
      <c r="AV242" s="121" t="s">
        <v>4690</v>
      </c>
      <c r="AW242" s="121" t="s">
        <v>24</v>
      </c>
      <c r="AX242" s="121" t="s">
        <v>24</v>
      </c>
      <c r="AY242" s="121" t="s">
        <v>4689</v>
      </c>
      <c r="AZ242" s="121" t="s">
        <v>4688</v>
      </c>
      <c r="BA242" s="121" t="s">
        <v>4687</v>
      </c>
      <c r="BB242" s="594"/>
      <c r="BC242" s="594"/>
      <c r="BD242" s="156"/>
      <c r="BE242" s="156"/>
      <c r="BF242" s="156"/>
      <c r="BG242" s="156"/>
      <c r="BH242" s="156"/>
      <c r="BI242" s="156" t="s">
        <v>4696</v>
      </c>
      <c r="BJ242" s="156">
        <v>1</v>
      </c>
      <c r="BK242" s="156"/>
      <c r="BL242" s="156"/>
      <c r="BM242" s="156"/>
      <c r="BN242" s="156"/>
      <c r="BO242" s="156"/>
      <c r="BP242" s="156" t="s">
        <v>4696</v>
      </c>
      <c r="BQ242" s="595" t="s">
        <v>4691</v>
      </c>
      <c r="BR242" s="157" t="s">
        <v>6612</v>
      </c>
      <c r="BS242" s="660"/>
      <c r="BT242" s="134" t="s">
        <v>1876</v>
      </c>
      <c r="BU242" s="134">
        <v>2</v>
      </c>
      <c r="BV242" s="134" t="s">
        <v>4705</v>
      </c>
      <c r="BW242" s="134" t="s">
        <v>24</v>
      </c>
      <c r="BX242" s="134" t="s">
        <v>4693</v>
      </c>
      <c r="BY242" s="134"/>
      <c r="BZ242" s="259" t="s">
        <v>4709</v>
      </c>
      <c r="CA242" s="454">
        <v>0</v>
      </c>
      <c r="CB242" s="138" t="s">
        <v>4697</v>
      </c>
      <c r="CC242" s="134">
        <v>6.3</v>
      </c>
      <c r="CD242" s="168">
        <v>1.9</v>
      </c>
      <c r="CE242" s="134" t="s">
        <v>24</v>
      </c>
      <c r="CF242" s="138" t="s">
        <v>4698</v>
      </c>
      <c r="CG242" s="134">
        <v>7.2</v>
      </c>
      <c r="CH242" s="134">
        <v>1.4</v>
      </c>
      <c r="CI242" s="134" t="s">
        <v>24</v>
      </c>
      <c r="CJ242" s="288" t="s">
        <v>4707</v>
      </c>
      <c r="CK242" s="289" t="s">
        <v>4703</v>
      </c>
      <c r="CL242" s="138" t="s">
        <v>4699</v>
      </c>
      <c r="CM242" s="134">
        <v>20</v>
      </c>
      <c r="CN242" s="134">
        <v>5.7</v>
      </c>
      <c r="CO242" s="134" t="s">
        <v>24</v>
      </c>
      <c r="CP242" s="138" t="s">
        <v>4700</v>
      </c>
      <c r="CQ242" s="134">
        <v>22.6</v>
      </c>
      <c r="CR242" s="134">
        <v>3.6</v>
      </c>
      <c r="CS242" s="134" t="s">
        <v>24</v>
      </c>
      <c r="CT242" s="288" t="s">
        <v>4708</v>
      </c>
      <c r="CU242" s="289" t="s">
        <v>4701</v>
      </c>
      <c r="CV242" s="276" t="s">
        <v>4702</v>
      </c>
      <c r="CW242" s="308" t="s">
        <v>2480</v>
      </c>
      <c r="CX242" s="138"/>
      <c r="CY242" s="134"/>
      <c r="CZ242" s="134"/>
      <c r="DA242" s="134"/>
      <c r="DB242" s="134"/>
      <c r="DC242" s="134"/>
      <c r="DD242" s="134"/>
      <c r="DE242" s="134"/>
      <c r="DF242" s="300"/>
      <c r="DG242" s="301"/>
      <c r="DH242" s="134"/>
      <c r="DI242" s="134"/>
      <c r="DJ242" s="134"/>
      <c r="DK242" s="134"/>
      <c r="DL242" s="134"/>
      <c r="DM242" s="134"/>
      <c r="DN242" s="134"/>
      <c r="DO242" s="134"/>
      <c r="DP242" s="300"/>
      <c r="DQ242" s="301"/>
      <c r="DR242" s="276"/>
      <c r="DS242" s="277"/>
      <c r="DT242" s="134"/>
      <c r="DU242" s="134"/>
      <c r="DV242" s="134"/>
      <c r="DW242" s="134"/>
      <c r="DX242" s="138"/>
      <c r="DY242" s="134"/>
      <c r="DZ242" s="134"/>
      <c r="EA242" s="134"/>
      <c r="EB242" s="301"/>
      <c r="EC242" s="301"/>
      <c r="ED242" s="138"/>
      <c r="EE242" s="134"/>
      <c r="EF242" s="134"/>
      <c r="EG242" s="134"/>
      <c r="EH242" s="138"/>
      <c r="EI242" s="134"/>
      <c r="EJ242" s="134"/>
      <c r="EK242" s="134"/>
      <c r="EL242" s="301"/>
      <c r="EM242" s="301"/>
      <c r="EN242" s="277"/>
      <c r="EO242" s="134"/>
      <c r="EP242" s="134"/>
      <c r="EQ242" s="134"/>
      <c r="ER242" s="134"/>
      <c r="ES242" s="134"/>
      <c r="ET242" s="134"/>
      <c r="EU242" s="134"/>
      <c r="EV242" s="134"/>
      <c r="EW242" s="301"/>
      <c r="EX242" s="301"/>
      <c r="EY242" s="134"/>
      <c r="EZ242" s="134"/>
      <c r="FA242" s="134"/>
      <c r="FB242" s="134"/>
      <c r="FC242" s="134"/>
      <c r="FD242" s="134"/>
      <c r="FE242" s="134"/>
      <c r="FF242" s="134"/>
      <c r="FG242" s="135"/>
      <c r="FH242" s="135"/>
      <c r="FI242" s="134"/>
      <c r="FJ242" s="134"/>
      <c r="FK242" s="134"/>
      <c r="FL242" s="134"/>
      <c r="FM242" s="134"/>
      <c r="FN242" s="134"/>
      <c r="FO242" s="134"/>
      <c r="FP242" s="134"/>
      <c r="FQ242" s="135"/>
      <c r="FR242" s="135"/>
      <c r="FS242" s="134"/>
      <c r="FT242" s="134"/>
      <c r="FU242" s="134"/>
      <c r="FV242" s="134"/>
      <c r="FW242" s="134"/>
      <c r="FX242" s="134"/>
      <c r="FY242" s="134"/>
      <c r="FZ242" s="134"/>
      <c r="GA242" s="135"/>
      <c r="GB242" s="135"/>
      <c r="GC242" s="134"/>
      <c r="GD242" s="134"/>
      <c r="GE242" s="134"/>
      <c r="GF242" s="134"/>
      <c r="GG242" s="134"/>
      <c r="GH242" s="134"/>
      <c r="GI242" s="134"/>
      <c r="GJ242" s="134"/>
      <c r="GK242" s="135"/>
      <c r="GL242" s="135"/>
      <c r="GM242" s="134"/>
      <c r="GN242" s="134"/>
      <c r="GO242" s="134"/>
      <c r="GP242" s="134"/>
      <c r="GQ242" s="134"/>
      <c r="GR242" s="134"/>
      <c r="GS242" s="134"/>
      <c r="GT242" s="134"/>
      <c r="GU242" s="135"/>
      <c r="GV242" s="135"/>
      <c r="GW242" s="134"/>
      <c r="GX242" s="134"/>
      <c r="GY242" s="134"/>
      <c r="GZ242" s="134"/>
      <c r="HA242" s="134"/>
      <c r="HB242" s="134"/>
      <c r="HC242" s="134"/>
      <c r="HD242" s="134"/>
      <c r="HE242" s="135"/>
      <c r="HF242" s="135"/>
      <c r="HG242" s="134"/>
      <c r="HH242" s="134"/>
      <c r="HI242" s="134"/>
      <c r="HJ242" s="134"/>
      <c r="HK242" s="134"/>
      <c r="HL242" s="134"/>
      <c r="HM242" s="134"/>
      <c r="HN242" s="134"/>
      <c r="HO242" s="135"/>
      <c r="HP242" s="135"/>
      <c r="HQ242" s="134"/>
      <c r="HR242" s="134"/>
      <c r="HS242" s="134"/>
      <c r="HT242" s="134"/>
      <c r="HU242" s="134"/>
      <c r="HV242" s="134"/>
      <c r="HW242" s="134"/>
      <c r="HX242" s="134"/>
      <c r="HY242" s="135"/>
      <c r="HZ242" s="135"/>
      <c r="IA242" s="134"/>
      <c r="IB242" s="134"/>
      <c r="IC242" s="134"/>
      <c r="ID242" s="134"/>
      <c r="IE242" s="134"/>
      <c r="IF242" s="134"/>
      <c r="IG242" s="134"/>
      <c r="IH242" s="134"/>
      <c r="II242" s="135"/>
      <c r="IJ242" s="135"/>
      <c r="IK242" s="134"/>
      <c r="IL242" s="134"/>
      <c r="IM242" s="134"/>
      <c r="IN242" s="134"/>
      <c r="IO242" s="134"/>
      <c r="IP242" s="134"/>
      <c r="IQ242" s="134"/>
      <c r="IR242" s="134"/>
      <c r="IS242" s="135"/>
      <c r="IT242" s="135"/>
      <c r="IU242" s="134"/>
      <c r="IV242" s="134"/>
      <c r="IW242" s="134"/>
      <c r="IX242" s="134"/>
      <c r="IY242" s="134"/>
      <c r="IZ242" s="134"/>
      <c r="JA242" s="134"/>
      <c r="JB242" s="134"/>
      <c r="JC242" s="135"/>
      <c r="JD242" s="135"/>
    </row>
    <row r="243" spans="1:264" customFormat="1" ht="15" customHeight="1">
      <c r="A243" s="118" t="s">
        <v>197</v>
      </c>
      <c r="B243" s="616">
        <v>143</v>
      </c>
      <c r="C243" s="616">
        <v>42</v>
      </c>
      <c r="D243" s="616"/>
      <c r="E243" s="605" t="s">
        <v>1973</v>
      </c>
      <c r="F243" s="140" t="s">
        <v>2197</v>
      </c>
      <c r="G243" s="141">
        <v>2006</v>
      </c>
      <c r="H243" s="118">
        <v>16139487</v>
      </c>
      <c r="I243" s="118">
        <v>1</v>
      </c>
      <c r="J243" s="118"/>
      <c r="K243" s="118"/>
      <c r="L243" s="118">
        <v>1</v>
      </c>
      <c r="M243" s="118"/>
      <c r="N243" s="118">
        <v>1</v>
      </c>
      <c r="O243" s="142">
        <v>1</v>
      </c>
      <c r="P243" s="118" t="s">
        <v>566</v>
      </c>
      <c r="Q243" s="118" t="s">
        <v>569</v>
      </c>
      <c r="R243" s="118" t="s">
        <v>567</v>
      </c>
      <c r="S243" s="118">
        <v>1</v>
      </c>
      <c r="T243" s="118"/>
      <c r="U243" s="118"/>
      <c r="V243" s="118"/>
      <c r="W243" s="118" t="s">
        <v>568</v>
      </c>
      <c r="X243" s="118" t="s">
        <v>24</v>
      </c>
      <c r="Y243" s="118"/>
      <c r="Z243" s="118"/>
      <c r="AA243" s="118"/>
      <c r="AB243" s="118"/>
      <c r="AC243" s="145"/>
      <c r="AD243" s="573">
        <v>1</v>
      </c>
      <c r="AE243" s="573">
        <v>2</v>
      </c>
      <c r="AF243" s="159">
        <v>1</v>
      </c>
      <c r="AG243" s="160"/>
      <c r="AH243" s="122">
        <v>2</v>
      </c>
      <c r="AI243" s="485" t="s">
        <v>4726</v>
      </c>
      <c r="AJ243" s="204"/>
      <c r="AK243" s="192">
        <v>1</v>
      </c>
      <c r="AL243" s="205"/>
      <c r="AM243" s="122">
        <v>40</v>
      </c>
      <c r="AN243" s="122">
        <v>20</v>
      </c>
      <c r="AO243" s="122">
        <v>20</v>
      </c>
      <c r="AP243" s="122" t="s">
        <v>803</v>
      </c>
      <c r="AQ243" s="122" t="s">
        <v>803</v>
      </c>
      <c r="AR243" s="122">
        <v>47</v>
      </c>
      <c r="AS243" s="122">
        <v>4</v>
      </c>
      <c r="AT243" s="122">
        <v>47</v>
      </c>
      <c r="AU243" s="122">
        <v>5</v>
      </c>
      <c r="AV243" s="122" t="s">
        <v>4711</v>
      </c>
      <c r="AW243" s="122" t="s">
        <v>24</v>
      </c>
      <c r="AX243" s="122" t="s">
        <v>24</v>
      </c>
      <c r="AY243" s="122" t="s">
        <v>4713</v>
      </c>
      <c r="AZ243" s="121" t="s">
        <v>5116</v>
      </c>
      <c r="BA243" s="122" t="s">
        <v>4712</v>
      </c>
      <c r="BB243" s="588"/>
      <c r="BC243" s="588"/>
      <c r="BD243" s="161"/>
      <c r="BE243" s="161"/>
      <c r="BF243" s="161" t="s">
        <v>4727</v>
      </c>
      <c r="BG243" s="161"/>
      <c r="BH243" s="161"/>
      <c r="BI243" s="492" t="s">
        <v>4727</v>
      </c>
      <c r="BJ243" s="161">
        <v>1</v>
      </c>
      <c r="BK243" s="161"/>
      <c r="BL243" s="492" t="s">
        <v>4727</v>
      </c>
      <c r="BM243" s="161"/>
      <c r="BN243" s="492" t="s">
        <v>4727</v>
      </c>
      <c r="BO243" s="161"/>
      <c r="BP243" s="161"/>
      <c r="BQ243" s="596" t="s">
        <v>4723</v>
      </c>
      <c r="BR243" s="162" t="s">
        <v>6609</v>
      </c>
      <c r="BS243" s="660"/>
      <c r="BT243" s="150" t="s">
        <v>1876</v>
      </c>
      <c r="BU243" s="150">
        <v>2</v>
      </c>
      <c r="BV243" s="150" t="s">
        <v>4725</v>
      </c>
      <c r="BW243" s="150" t="s">
        <v>24</v>
      </c>
      <c r="BX243" s="150" t="s">
        <v>4728</v>
      </c>
      <c r="BY243" s="150"/>
      <c r="BZ243" s="258" t="s">
        <v>4750</v>
      </c>
      <c r="CA243" s="257" t="s">
        <v>24</v>
      </c>
      <c r="CB243" s="151" t="s">
        <v>4730</v>
      </c>
      <c r="CC243" s="150">
        <v>0.6</v>
      </c>
      <c r="CD243" s="150">
        <v>0.9</v>
      </c>
      <c r="CE243" s="150" t="s">
        <v>24</v>
      </c>
      <c r="CF243" s="151" t="s">
        <v>4731</v>
      </c>
      <c r="CG243" s="150">
        <v>1.8</v>
      </c>
      <c r="CH243" s="150">
        <v>0.6</v>
      </c>
      <c r="CI243" s="150" t="s">
        <v>24</v>
      </c>
      <c r="CJ243" s="290" t="s">
        <v>4742</v>
      </c>
      <c r="CK243" s="291" t="s">
        <v>4743</v>
      </c>
      <c r="CL243" s="151" t="s">
        <v>4732</v>
      </c>
      <c r="CM243" s="150">
        <v>0.8</v>
      </c>
      <c r="CN243" s="150">
        <v>0.8</v>
      </c>
      <c r="CO243" s="150" t="s">
        <v>24</v>
      </c>
      <c r="CP243" s="151" t="s">
        <v>4733</v>
      </c>
      <c r="CQ243" s="150">
        <v>1.9</v>
      </c>
      <c r="CR243" s="150">
        <v>0.3</v>
      </c>
      <c r="CS243" s="150" t="s">
        <v>24</v>
      </c>
      <c r="CT243" s="290" t="s">
        <v>4744</v>
      </c>
      <c r="CU243" s="291" t="s">
        <v>4745</v>
      </c>
      <c r="CV243" s="278" t="s">
        <v>24</v>
      </c>
      <c r="CW243" s="285" t="s">
        <v>24</v>
      </c>
      <c r="CX243" s="151" t="s">
        <v>4734</v>
      </c>
      <c r="CY243" s="150">
        <v>1</v>
      </c>
      <c r="CZ243" s="150">
        <v>0.8</v>
      </c>
      <c r="DA243" s="150" t="s">
        <v>24</v>
      </c>
      <c r="DB243" s="151" t="s">
        <v>4735</v>
      </c>
      <c r="DC243" s="150">
        <v>1.9</v>
      </c>
      <c r="DD243" s="150">
        <v>0.3</v>
      </c>
      <c r="DE243" s="150" t="s">
        <v>24</v>
      </c>
      <c r="DF243" s="302" t="s">
        <v>4742</v>
      </c>
      <c r="DG243" s="303" t="s">
        <v>4761</v>
      </c>
      <c r="DH243" s="151" t="s">
        <v>4736</v>
      </c>
      <c r="DI243" s="150">
        <v>1.3</v>
      </c>
      <c r="DJ243" s="150">
        <v>0.7</v>
      </c>
      <c r="DK243" s="150" t="s">
        <v>24</v>
      </c>
      <c r="DL243" s="151" t="s">
        <v>4737</v>
      </c>
      <c r="DM243" s="150">
        <v>1.9</v>
      </c>
      <c r="DN243" s="150">
        <v>0.2</v>
      </c>
      <c r="DO243" s="150" t="s">
        <v>24</v>
      </c>
      <c r="DP243" s="302" t="s">
        <v>4746</v>
      </c>
      <c r="DQ243" s="303" t="s">
        <v>4747</v>
      </c>
      <c r="DR243" s="278" t="s">
        <v>24</v>
      </c>
      <c r="DS243" s="279" t="s">
        <v>24</v>
      </c>
      <c r="DT243" s="150" t="s">
        <v>4738</v>
      </c>
      <c r="DU243" s="150">
        <v>1.6</v>
      </c>
      <c r="DV243" s="150">
        <v>0.8</v>
      </c>
      <c r="DW243" s="150" t="s">
        <v>24</v>
      </c>
      <c r="DX243" s="150" t="s">
        <v>4739</v>
      </c>
      <c r="DY243" s="150">
        <v>1.9</v>
      </c>
      <c r="DZ243" s="150">
        <v>0.2</v>
      </c>
      <c r="EA243" s="150" t="s">
        <v>24</v>
      </c>
      <c r="EB243" s="303" t="s">
        <v>4742</v>
      </c>
      <c r="EC243" s="303" t="s">
        <v>4748</v>
      </c>
      <c r="ED243" s="151" t="s">
        <v>4740</v>
      </c>
      <c r="EE243" s="150">
        <v>1.4</v>
      </c>
      <c r="EF243" s="150">
        <v>0.8</v>
      </c>
      <c r="EG243" s="150" t="s">
        <v>24</v>
      </c>
      <c r="EH243" s="151" t="s">
        <v>4741</v>
      </c>
      <c r="EI243" s="150">
        <v>1.9</v>
      </c>
      <c r="EJ243" s="150">
        <v>0.5</v>
      </c>
      <c r="EK243" s="150" t="s">
        <v>24</v>
      </c>
      <c r="EL243" s="303" t="s">
        <v>4742</v>
      </c>
      <c r="EM243" s="303" t="s">
        <v>4749</v>
      </c>
      <c r="EN243" s="279" t="s">
        <v>24</v>
      </c>
      <c r="EO243" s="150" t="s">
        <v>24</v>
      </c>
      <c r="EP243" s="150"/>
      <c r="EQ243" s="150"/>
      <c r="ER243" s="150"/>
      <c r="ES243" s="150"/>
      <c r="ET243" s="150"/>
      <c r="EU243" s="150"/>
      <c r="EV243" s="150"/>
      <c r="EW243" s="303"/>
      <c r="EX243" s="303"/>
      <c r="EY243" s="150"/>
      <c r="EZ243" s="150"/>
      <c r="FA243" s="150"/>
      <c r="FB243" s="150"/>
      <c r="FC243" s="150"/>
      <c r="FD243" s="150"/>
      <c r="FE243" s="150"/>
      <c r="FF243" s="150"/>
      <c r="FG243" s="152"/>
      <c r="FH243" s="152"/>
      <c r="FI243" s="134"/>
      <c r="FJ243" s="134"/>
      <c r="FK243" s="134"/>
      <c r="FL243" s="134"/>
      <c r="FM243" s="134"/>
      <c r="FN243" s="134"/>
      <c r="FO243" s="134"/>
      <c r="FP243" s="134"/>
      <c r="FQ243" s="135"/>
      <c r="FR243" s="135"/>
      <c r="FS243" s="134"/>
      <c r="FT243" s="134"/>
      <c r="FU243" s="134"/>
      <c r="FV243" s="134"/>
      <c r="FW243" s="134"/>
      <c r="FX243" s="134"/>
      <c r="FY243" s="134"/>
      <c r="FZ243" s="134"/>
      <c r="GA243" s="135"/>
      <c r="GB243" s="135"/>
      <c r="GC243" s="134"/>
      <c r="GD243" s="134"/>
      <c r="GE243" s="134"/>
      <c r="GF243" s="134"/>
      <c r="GG243" s="134"/>
      <c r="GH243" s="134"/>
      <c r="GI243" s="134"/>
      <c r="GJ243" s="134"/>
      <c r="GK243" s="135"/>
      <c r="GL243" s="135"/>
      <c r="GM243" s="134"/>
      <c r="GN243" s="134"/>
      <c r="GO243" s="134"/>
      <c r="GP243" s="134"/>
      <c r="GQ243" s="134"/>
      <c r="GR243" s="134"/>
      <c r="GS243" s="134"/>
      <c r="GT243" s="134"/>
      <c r="GU243" s="135"/>
      <c r="GV243" s="135"/>
      <c r="GW243" s="134"/>
      <c r="GX243" s="134"/>
      <c r="GY243" s="134"/>
      <c r="GZ243" s="134"/>
      <c r="HA243" s="134"/>
      <c r="HB243" s="134"/>
      <c r="HC243" s="134"/>
      <c r="HD243" s="134"/>
      <c r="HE243" s="135"/>
      <c r="HF243" s="135"/>
      <c r="HG243" s="134"/>
      <c r="HH243" s="134"/>
      <c r="HI243" s="134"/>
      <c r="HJ243" s="134"/>
      <c r="HK243" s="134"/>
      <c r="HL243" s="134"/>
      <c r="HM243" s="134"/>
      <c r="HN243" s="134"/>
      <c r="HO243" s="135"/>
      <c r="HP243" s="135"/>
      <c r="HQ243" s="134"/>
      <c r="HR243" s="134"/>
      <c r="HS243" s="134"/>
      <c r="HT243" s="134"/>
      <c r="HU243" s="134"/>
      <c r="HV243" s="134"/>
      <c r="HW243" s="134"/>
      <c r="HX243" s="134"/>
      <c r="HY243" s="135"/>
      <c r="HZ243" s="135"/>
      <c r="IA243" s="134"/>
      <c r="IB243" s="134"/>
      <c r="IC243" s="134"/>
      <c r="ID243" s="134"/>
      <c r="IE243" s="134"/>
      <c r="IF243" s="134"/>
      <c r="IG243" s="134"/>
      <c r="IH243" s="134"/>
      <c r="II243" s="135"/>
      <c r="IJ243" s="135"/>
      <c r="IK243" s="134"/>
      <c r="IL243" s="134"/>
      <c r="IM243" s="134"/>
      <c r="IN243" s="134"/>
      <c r="IO243" s="134"/>
      <c r="IP243" s="134"/>
      <c r="IQ243" s="134"/>
      <c r="IR243" s="134"/>
      <c r="IS243" s="135"/>
      <c r="IT243" s="135"/>
      <c r="IU243" s="134"/>
      <c r="IV243" s="134"/>
      <c r="IW243" s="134"/>
      <c r="IX243" s="134"/>
      <c r="IY243" s="134"/>
      <c r="IZ243" s="134"/>
      <c r="JA243" s="134"/>
      <c r="JB243" s="134"/>
      <c r="JC243" s="135"/>
      <c r="JD243" s="135"/>
    </row>
    <row r="244" spans="1:264" customFormat="1" ht="15" customHeight="1">
      <c r="A244" s="118" t="s">
        <v>197</v>
      </c>
      <c r="B244" s="616">
        <v>143</v>
      </c>
      <c r="C244" s="616">
        <v>42</v>
      </c>
      <c r="D244" s="616"/>
      <c r="E244" s="605" t="s">
        <v>1973</v>
      </c>
      <c r="F244" s="140" t="s">
        <v>2197</v>
      </c>
      <c r="G244" s="141">
        <v>2006</v>
      </c>
      <c r="H244" s="118">
        <v>16139487</v>
      </c>
      <c r="I244" s="118">
        <v>1</v>
      </c>
      <c r="J244" s="118"/>
      <c r="K244" s="118"/>
      <c r="L244" s="118">
        <v>1</v>
      </c>
      <c r="M244" s="118"/>
      <c r="N244" s="118">
        <v>1</v>
      </c>
      <c r="O244" s="142">
        <v>1</v>
      </c>
      <c r="P244" s="118" t="s">
        <v>566</v>
      </c>
      <c r="Q244" s="118" t="s">
        <v>569</v>
      </c>
      <c r="R244" s="118" t="s">
        <v>567</v>
      </c>
      <c r="S244" s="118">
        <v>1</v>
      </c>
      <c r="T244" s="118"/>
      <c r="U244" s="118"/>
      <c r="V244" s="118"/>
      <c r="W244" s="118" t="s">
        <v>568</v>
      </c>
      <c r="X244" s="118" t="s">
        <v>24</v>
      </c>
      <c r="Y244" s="118"/>
      <c r="Z244" s="118"/>
      <c r="AA244" s="118"/>
      <c r="AB244" s="118"/>
      <c r="AC244" s="145"/>
      <c r="AD244" s="573">
        <v>1</v>
      </c>
      <c r="AE244" s="573">
        <v>2</v>
      </c>
      <c r="AF244" s="159">
        <v>1</v>
      </c>
      <c r="AG244" s="160"/>
      <c r="AH244" s="122">
        <v>2</v>
      </c>
      <c r="AI244" s="485" t="s">
        <v>4726</v>
      </c>
      <c r="AJ244" s="204"/>
      <c r="AK244" s="192">
        <v>1</v>
      </c>
      <c r="AL244" s="205"/>
      <c r="AM244" s="122">
        <v>40</v>
      </c>
      <c r="AN244" s="122">
        <v>20</v>
      </c>
      <c r="AO244" s="122">
        <v>20</v>
      </c>
      <c r="AP244" s="122" t="s">
        <v>803</v>
      </c>
      <c r="AQ244" s="122" t="s">
        <v>803</v>
      </c>
      <c r="AR244" s="122">
        <v>47</v>
      </c>
      <c r="AS244" s="122">
        <v>4</v>
      </c>
      <c r="AT244" s="122">
        <v>47</v>
      </c>
      <c r="AU244" s="122">
        <v>5</v>
      </c>
      <c r="AV244" s="122" t="s">
        <v>4711</v>
      </c>
      <c r="AW244" s="122" t="s">
        <v>24</v>
      </c>
      <c r="AX244" s="122" t="s">
        <v>24</v>
      </c>
      <c r="AY244" s="122" t="s">
        <v>4713</v>
      </c>
      <c r="AZ244" s="121" t="s">
        <v>5116</v>
      </c>
      <c r="BA244" s="122" t="s">
        <v>4712</v>
      </c>
      <c r="BB244" s="588"/>
      <c r="BC244" s="588"/>
      <c r="BD244" s="161"/>
      <c r="BE244" s="161"/>
      <c r="BF244" s="161" t="s">
        <v>4727</v>
      </c>
      <c r="BG244" s="161"/>
      <c r="BH244" s="161"/>
      <c r="BI244" s="492" t="s">
        <v>4727</v>
      </c>
      <c r="BJ244" s="161">
        <v>1</v>
      </c>
      <c r="BK244" s="161"/>
      <c r="BL244" s="492" t="s">
        <v>4727</v>
      </c>
      <c r="BM244" s="161"/>
      <c r="BN244" s="492" t="s">
        <v>4727</v>
      </c>
      <c r="BO244" s="161"/>
      <c r="BP244" s="161"/>
      <c r="BQ244" s="596" t="s">
        <v>4755</v>
      </c>
      <c r="BR244" s="162" t="s">
        <v>6612</v>
      </c>
      <c r="BS244" s="660"/>
      <c r="BT244" s="150" t="s">
        <v>1876</v>
      </c>
      <c r="BU244" s="150">
        <v>2</v>
      </c>
      <c r="BV244" s="150" t="s">
        <v>4724</v>
      </c>
      <c r="BW244" s="150" t="s">
        <v>24</v>
      </c>
      <c r="BX244" s="150" t="s">
        <v>4729</v>
      </c>
      <c r="BY244" s="150"/>
      <c r="BZ244" s="258" t="s">
        <v>4771</v>
      </c>
      <c r="CA244" s="257" t="s">
        <v>24</v>
      </c>
      <c r="CB244" s="151" t="s">
        <v>4751</v>
      </c>
      <c r="CC244" s="150">
        <v>0.9</v>
      </c>
      <c r="CD244" s="150">
        <v>0.9</v>
      </c>
      <c r="CE244" s="150" t="s">
        <v>24</v>
      </c>
      <c r="CF244" s="151" t="s">
        <v>4752</v>
      </c>
      <c r="CG244" s="150">
        <v>2</v>
      </c>
      <c r="CH244" s="150">
        <v>0</v>
      </c>
      <c r="CI244" s="150" t="s">
        <v>24</v>
      </c>
      <c r="CJ244" s="290" t="s">
        <v>4742</v>
      </c>
      <c r="CK244" s="291" t="s">
        <v>4753</v>
      </c>
      <c r="CL244" s="151" t="s">
        <v>4754</v>
      </c>
      <c r="CM244" s="150">
        <v>1.25</v>
      </c>
      <c r="CN244" s="150">
        <v>0.9</v>
      </c>
      <c r="CO244" s="150" t="s">
        <v>24</v>
      </c>
      <c r="CP244" s="151" t="s">
        <v>4756</v>
      </c>
      <c r="CQ244" s="150">
        <v>2</v>
      </c>
      <c r="CR244" s="150">
        <v>0</v>
      </c>
      <c r="CS244" s="150" t="s">
        <v>24</v>
      </c>
      <c r="CT244" s="290" t="s">
        <v>4744</v>
      </c>
      <c r="CU244" s="291" t="s">
        <v>4759</v>
      </c>
      <c r="CV244" s="278" t="s">
        <v>24</v>
      </c>
      <c r="CW244" s="285" t="s">
        <v>24</v>
      </c>
      <c r="CX244" s="151" t="s">
        <v>4757</v>
      </c>
      <c r="CY244" s="150">
        <v>1</v>
      </c>
      <c r="CZ244" s="150">
        <v>0.8</v>
      </c>
      <c r="DA244" s="150" t="s">
        <v>24</v>
      </c>
      <c r="DB244" s="151" t="s">
        <v>4758</v>
      </c>
      <c r="DC244" s="150">
        <v>1.6</v>
      </c>
      <c r="DD244" s="150">
        <v>0.5</v>
      </c>
      <c r="DE244" s="150" t="s">
        <v>24</v>
      </c>
      <c r="DF244" s="302" t="s">
        <v>4742</v>
      </c>
      <c r="DG244" s="303" t="s">
        <v>4760</v>
      </c>
      <c r="DH244" s="150" t="s">
        <v>4762</v>
      </c>
      <c r="DI244" s="150">
        <v>1.3</v>
      </c>
      <c r="DJ244" s="150">
        <v>0.7</v>
      </c>
      <c r="DK244" s="150" t="s">
        <v>24</v>
      </c>
      <c r="DL244" s="150" t="s">
        <v>4763</v>
      </c>
      <c r="DM244" s="150">
        <v>2</v>
      </c>
      <c r="DN244" s="150">
        <v>0</v>
      </c>
      <c r="DO244" s="150" t="s">
        <v>24</v>
      </c>
      <c r="DP244" s="302" t="s">
        <v>4744</v>
      </c>
      <c r="DQ244" s="303" t="s">
        <v>4766</v>
      </c>
      <c r="DR244" s="278" t="s">
        <v>24</v>
      </c>
      <c r="DS244" s="279" t="s">
        <v>24</v>
      </c>
      <c r="DT244" s="150" t="s">
        <v>4764</v>
      </c>
      <c r="DU244" s="150">
        <v>1.1000000000000001</v>
      </c>
      <c r="DV244" s="150">
        <v>0.7</v>
      </c>
      <c r="DW244" s="150" t="s">
        <v>24</v>
      </c>
      <c r="DX244" s="150" t="s">
        <v>4765</v>
      </c>
      <c r="DY244" s="150">
        <v>1.9</v>
      </c>
      <c r="DZ244" s="150">
        <v>0.2</v>
      </c>
      <c r="EA244" s="150" t="s">
        <v>24</v>
      </c>
      <c r="EB244" s="303" t="s">
        <v>4742</v>
      </c>
      <c r="EC244" s="303" t="s">
        <v>4767</v>
      </c>
      <c r="ED244" s="151" t="s">
        <v>4768</v>
      </c>
      <c r="EE244" s="150">
        <v>1.1000000000000001</v>
      </c>
      <c r="EF244" s="150">
        <v>0.9</v>
      </c>
      <c r="EG244" s="150" t="s">
        <v>24</v>
      </c>
      <c r="EH244" s="151" t="s">
        <v>4769</v>
      </c>
      <c r="EI244" s="150">
        <v>1.9</v>
      </c>
      <c r="EJ244" s="150">
        <v>0.4</v>
      </c>
      <c r="EK244" s="150" t="s">
        <v>24</v>
      </c>
      <c r="EL244" s="303" t="s">
        <v>4742</v>
      </c>
      <c r="EM244" s="303" t="s">
        <v>4770</v>
      </c>
      <c r="EN244" s="279" t="s">
        <v>24</v>
      </c>
      <c r="EO244" s="150" t="s">
        <v>24</v>
      </c>
      <c r="EP244" s="150"/>
      <c r="EQ244" s="150"/>
      <c r="ER244" s="150"/>
      <c r="ES244" s="150"/>
      <c r="ET244" s="150"/>
      <c r="EU244" s="150"/>
      <c r="EV244" s="150"/>
      <c r="EW244" s="303"/>
      <c r="EX244" s="303"/>
      <c r="EY244" s="150"/>
      <c r="EZ244" s="150"/>
      <c r="FA244" s="150"/>
      <c r="FB244" s="150"/>
      <c r="FC244" s="150"/>
      <c r="FD244" s="150"/>
      <c r="FE244" s="150"/>
      <c r="FF244" s="150"/>
      <c r="FG244" s="152"/>
      <c r="FH244" s="152"/>
      <c r="FI244" s="134"/>
      <c r="FJ244" s="134"/>
      <c r="FK244" s="134"/>
      <c r="FL244" s="134"/>
      <c r="FM244" s="134"/>
      <c r="FN244" s="134"/>
      <c r="FO244" s="134"/>
      <c r="FP244" s="134"/>
      <c r="FQ244" s="135"/>
      <c r="FR244" s="135"/>
      <c r="FS244" s="134"/>
      <c r="FT244" s="134"/>
      <c r="FU244" s="134"/>
      <c r="FV244" s="134"/>
      <c r="FW244" s="134"/>
      <c r="FX244" s="134"/>
      <c r="FY244" s="134"/>
      <c r="FZ244" s="134"/>
      <c r="GA244" s="135"/>
      <c r="GB244" s="135"/>
      <c r="GC244" s="134"/>
      <c r="GD244" s="134"/>
      <c r="GE244" s="134"/>
      <c r="GF244" s="134"/>
      <c r="GG244" s="134"/>
      <c r="GH244" s="134"/>
      <c r="GI244" s="134"/>
      <c r="GJ244" s="134"/>
      <c r="GK244" s="135"/>
      <c r="GL244" s="135"/>
      <c r="GM244" s="134"/>
      <c r="GN244" s="134"/>
      <c r="GO244" s="134"/>
      <c r="GP244" s="134"/>
      <c r="GQ244" s="134"/>
      <c r="GR244" s="134"/>
      <c r="GS244" s="134"/>
      <c r="GT244" s="134"/>
      <c r="GU244" s="135"/>
      <c r="GV244" s="135"/>
      <c r="GW244" s="134"/>
      <c r="GX244" s="134"/>
      <c r="GY244" s="134"/>
      <c r="GZ244" s="134"/>
      <c r="HA244" s="134"/>
      <c r="HB244" s="134"/>
      <c r="HC244" s="134"/>
      <c r="HD244" s="134"/>
      <c r="HE244" s="135"/>
      <c r="HF244" s="135"/>
      <c r="HG244" s="134"/>
      <c r="HH244" s="134"/>
      <c r="HI244" s="134"/>
      <c r="HJ244" s="134"/>
      <c r="HK244" s="134"/>
      <c r="HL244" s="134"/>
      <c r="HM244" s="134"/>
      <c r="HN244" s="134"/>
      <c r="HO244" s="135"/>
      <c r="HP244" s="135"/>
      <c r="HQ244" s="134"/>
      <c r="HR244" s="134"/>
      <c r="HS244" s="134"/>
      <c r="HT244" s="134"/>
      <c r="HU244" s="134"/>
      <c r="HV244" s="134"/>
      <c r="HW244" s="134"/>
      <c r="HX244" s="134"/>
      <c r="HY244" s="135"/>
      <c r="HZ244" s="135"/>
      <c r="IA244" s="134"/>
      <c r="IB244" s="134"/>
      <c r="IC244" s="134"/>
      <c r="ID244" s="134"/>
      <c r="IE244" s="134"/>
      <c r="IF244" s="134"/>
      <c r="IG244" s="134"/>
      <c r="IH244" s="134"/>
      <c r="II244" s="135"/>
      <c r="IJ244" s="135"/>
      <c r="IK244" s="134"/>
      <c r="IL244" s="134"/>
      <c r="IM244" s="134"/>
      <c r="IN244" s="134"/>
      <c r="IO244" s="134"/>
      <c r="IP244" s="134"/>
      <c r="IQ244" s="134"/>
      <c r="IR244" s="134"/>
      <c r="IS244" s="135"/>
      <c r="IT244" s="135"/>
      <c r="IU244" s="134"/>
      <c r="IV244" s="134"/>
      <c r="IW244" s="134"/>
      <c r="IX244" s="134"/>
      <c r="IY244" s="134"/>
      <c r="IZ244" s="134"/>
      <c r="JA244" s="134"/>
      <c r="JB244" s="134"/>
      <c r="JC244" s="135"/>
      <c r="JD244" s="135"/>
    </row>
    <row r="245" spans="1:264" customFormat="1" ht="15" customHeight="1">
      <c r="A245" s="79" t="s">
        <v>197</v>
      </c>
      <c r="B245" s="362">
        <v>143</v>
      </c>
      <c r="C245" s="362">
        <v>42</v>
      </c>
      <c r="D245" s="362"/>
      <c r="E245" s="604" t="s">
        <v>1973</v>
      </c>
      <c r="F245" s="124" t="s">
        <v>2197</v>
      </c>
      <c r="G245" s="125">
        <v>2006</v>
      </c>
      <c r="H245" s="79">
        <v>16139487</v>
      </c>
      <c r="I245" s="79">
        <v>1</v>
      </c>
      <c r="J245" s="126"/>
      <c r="K245" s="127"/>
      <c r="L245" s="79">
        <v>1</v>
      </c>
      <c r="M245" s="79"/>
      <c r="N245" s="79">
        <v>1</v>
      </c>
      <c r="O245" s="128">
        <v>1</v>
      </c>
      <c r="P245" s="79" t="s">
        <v>566</v>
      </c>
      <c r="Q245" s="79" t="s">
        <v>569</v>
      </c>
      <c r="R245" s="79" t="s">
        <v>567</v>
      </c>
      <c r="S245" s="79">
        <v>1</v>
      </c>
      <c r="T245" s="79"/>
      <c r="U245" s="79"/>
      <c r="V245" s="79"/>
      <c r="W245" s="79" t="s">
        <v>568</v>
      </c>
      <c r="X245" s="79" t="s">
        <v>24</v>
      </c>
      <c r="Y245" s="79"/>
      <c r="Z245" s="79"/>
      <c r="AA245" s="79"/>
      <c r="AB245" s="79"/>
      <c r="AC245" s="506"/>
      <c r="AD245" s="573">
        <v>1</v>
      </c>
      <c r="AE245" s="573">
        <v>2</v>
      </c>
      <c r="AF245" s="154">
        <v>1</v>
      </c>
      <c r="AG245" s="155"/>
      <c r="AH245" s="121">
        <v>2</v>
      </c>
      <c r="AI245" s="484" t="s">
        <v>4716</v>
      </c>
      <c r="AJ245" s="202"/>
      <c r="AK245" s="192">
        <v>1</v>
      </c>
      <c r="AL245" s="203"/>
      <c r="AM245" s="121">
        <v>40</v>
      </c>
      <c r="AN245" s="121">
        <v>20</v>
      </c>
      <c r="AO245" s="121">
        <v>20</v>
      </c>
      <c r="AP245" s="121" t="s">
        <v>803</v>
      </c>
      <c r="AQ245" s="121" t="s">
        <v>803</v>
      </c>
      <c r="AR245" s="121">
        <v>47</v>
      </c>
      <c r="AS245" s="121">
        <v>4</v>
      </c>
      <c r="AT245" s="121">
        <v>47</v>
      </c>
      <c r="AU245" s="121">
        <v>5</v>
      </c>
      <c r="AV245" s="121" t="s">
        <v>4711</v>
      </c>
      <c r="AW245" s="121" t="s">
        <v>24</v>
      </c>
      <c r="AX245" s="121" t="s">
        <v>24</v>
      </c>
      <c r="AY245" s="121" t="s">
        <v>4713</v>
      </c>
      <c r="AZ245" s="121" t="s">
        <v>5116</v>
      </c>
      <c r="BA245" s="121" t="s">
        <v>4712</v>
      </c>
      <c r="BB245" s="594"/>
      <c r="BC245" s="594"/>
      <c r="BD245" s="156"/>
      <c r="BE245" s="156"/>
      <c r="BF245" s="156" t="s">
        <v>4727</v>
      </c>
      <c r="BG245" s="156"/>
      <c r="BH245" s="156"/>
      <c r="BI245" s="156" t="s">
        <v>4727</v>
      </c>
      <c r="BJ245" s="156">
        <v>1</v>
      </c>
      <c r="BK245" s="156"/>
      <c r="BL245" s="491" t="s">
        <v>4727</v>
      </c>
      <c r="BM245" s="156"/>
      <c r="BN245" s="491" t="s">
        <v>4727</v>
      </c>
      <c r="BO245" s="156"/>
      <c r="BP245" s="156"/>
      <c r="BQ245" s="595" t="s">
        <v>4721</v>
      </c>
      <c r="BR245" s="157" t="s">
        <v>6615</v>
      </c>
      <c r="BS245" s="660"/>
      <c r="BT245" s="134" t="s">
        <v>1876</v>
      </c>
      <c r="BU245" s="134">
        <v>2</v>
      </c>
      <c r="BV245" s="134" t="s">
        <v>4720</v>
      </c>
      <c r="BW245" s="134" t="s">
        <v>24</v>
      </c>
      <c r="BX245" s="134" t="s">
        <v>4722</v>
      </c>
      <c r="BY245" s="134"/>
      <c r="BZ245" s="259" t="s">
        <v>4717</v>
      </c>
      <c r="CA245" s="454" t="s">
        <v>24</v>
      </c>
      <c r="CB245" s="138" t="s">
        <v>4714</v>
      </c>
      <c r="CC245" s="134">
        <v>13.1</v>
      </c>
      <c r="CD245" s="134">
        <v>5.4</v>
      </c>
      <c r="CE245" s="134" t="s">
        <v>4716</v>
      </c>
      <c r="CF245" s="138" t="s">
        <v>4715</v>
      </c>
      <c r="CG245" s="134">
        <v>22.7</v>
      </c>
      <c r="CH245" s="134">
        <v>1.3</v>
      </c>
      <c r="CI245" s="134" t="s">
        <v>4716</v>
      </c>
      <c r="CJ245" s="288" t="s">
        <v>4719</v>
      </c>
      <c r="CK245" s="546" t="s">
        <v>4718</v>
      </c>
      <c r="CL245" s="138"/>
      <c r="CM245" s="134"/>
      <c r="CN245" s="134"/>
      <c r="CO245" s="134"/>
      <c r="CP245" s="138"/>
      <c r="CQ245" s="134"/>
      <c r="CR245" s="134"/>
      <c r="CS245" s="134"/>
      <c r="CT245" s="288"/>
      <c r="CU245" s="289"/>
      <c r="CV245" s="276"/>
      <c r="CW245" s="308"/>
      <c r="CX245" s="138"/>
      <c r="CY245" s="134"/>
      <c r="CZ245" s="134"/>
      <c r="DA245" s="134"/>
      <c r="DB245" s="134"/>
      <c r="DC245" s="134"/>
      <c r="DD245" s="134"/>
      <c r="DE245" s="134"/>
      <c r="DF245" s="300"/>
      <c r="DG245" s="301"/>
      <c r="DH245" s="134"/>
      <c r="DI245" s="134"/>
      <c r="DJ245" s="134"/>
      <c r="DK245" s="134"/>
      <c r="DL245" s="134"/>
      <c r="DM245" s="134"/>
      <c r="DN245" s="134"/>
      <c r="DO245" s="134"/>
      <c r="DP245" s="300"/>
      <c r="DQ245" s="301"/>
      <c r="DR245" s="276"/>
      <c r="DS245" s="277"/>
      <c r="DT245" s="134"/>
      <c r="DU245" s="134"/>
      <c r="DV245" s="134"/>
      <c r="DW245" s="134"/>
      <c r="DX245" s="138"/>
      <c r="DY245" s="134"/>
      <c r="DZ245" s="134"/>
      <c r="EA245" s="134"/>
      <c r="EB245" s="301"/>
      <c r="EC245" s="301"/>
      <c r="ED245" s="138"/>
      <c r="EE245" s="134"/>
      <c r="EF245" s="134"/>
      <c r="EG245" s="134"/>
      <c r="EH245" s="138"/>
      <c r="EI245" s="134"/>
      <c r="EJ245" s="134"/>
      <c r="EK245" s="134"/>
      <c r="EL245" s="301"/>
      <c r="EM245" s="301"/>
      <c r="EN245" s="277"/>
      <c r="EO245" s="134"/>
      <c r="EP245" s="134"/>
      <c r="EQ245" s="134"/>
      <c r="ER245" s="134"/>
      <c r="ES245" s="134"/>
      <c r="ET245" s="134"/>
      <c r="EU245" s="134"/>
      <c r="EV245" s="134"/>
      <c r="EW245" s="301"/>
      <c r="EX245" s="301"/>
      <c r="EY245" s="134"/>
      <c r="EZ245" s="134"/>
      <c r="FA245" s="134"/>
      <c r="FB245" s="134"/>
      <c r="FC245" s="134"/>
      <c r="FD245" s="134"/>
      <c r="FE245" s="134"/>
      <c r="FF245" s="134"/>
      <c r="FG245" s="135"/>
      <c r="FH245" s="135"/>
      <c r="FI245" s="134"/>
      <c r="FJ245" s="134"/>
      <c r="FK245" s="134"/>
      <c r="FL245" s="134"/>
      <c r="FM245" s="134"/>
      <c r="FN245" s="134"/>
      <c r="FO245" s="134"/>
      <c r="FP245" s="134"/>
      <c r="FQ245" s="135"/>
      <c r="FR245" s="135"/>
      <c r="FS245" s="134"/>
      <c r="FT245" s="134"/>
      <c r="FU245" s="134"/>
      <c r="FV245" s="134"/>
      <c r="FW245" s="134"/>
      <c r="FX245" s="134"/>
      <c r="FY245" s="134"/>
      <c r="FZ245" s="134"/>
      <c r="GA245" s="135"/>
      <c r="GB245" s="135"/>
      <c r="GC245" s="134"/>
      <c r="GD245" s="134"/>
      <c r="GE245" s="134"/>
      <c r="GF245" s="134"/>
      <c r="GG245" s="134"/>
      <c r="GH245" s="134"/>
      <c r="GI245" s="134"/>
      <c r="GJ245" s="134"/>
      <c r="GK245" s="135"/>
      <c r="GL245" s="135"/>
      <c r="GM245" s="134"/>
      <c r="GN245" s="134"/>
      <c r="GO245" s="134"/>
      <c r="GP245" s="134"/>
      <c r="GQ245" s="134"/>
      <c r="GR245" s="134"/>
      <c r="GS245" s="134"/>
      <c r="GT245" s="134"/>
      <c r="GU245" s="135"/>
      <c r="GV245" s="135"/>
      <c r="GW245" s="134"/>
      <c r="GX245" s="134"/>
      <c r="GY245" s="134"/>
      <c r="GZ245" s="134"/>
      <c r="HA245" s="134"/>
      <c r="HB245" s="134"/>
      <c r="HC245" s="134"/>
      <c r="HD245" s="134"/>
      <c r="HE245" s="135"/>
      <c r="HF245" s="135"/>
      <c r="HG245" s="134"/>
      <c r="HH245" s="134"/>
      <c r="HI245" s="134"/>
      <c r="HJ245" s="134"/>
      <c r="HK245" s="134"/>
      <c r="HL245" s="134"/>
      <c r="HM245" s="134"/>
      <c r="HN245" s="134"/>
      <c r="HO245" s="135"/>
      <c r="HP245" s="135"/>
      <c r="HQ245" s="134"/>
      <c r="HR245" s="134"/>
      <c r="HS245" s="134"/>
      <c r="HT245" s="134"/>
      <c r="HU245" s="134"/>
      <c r="HV245" s="134"/>
      <c r="HW245" s="134"/>
      <c r="HX245" s="134"/>
      <c r="HY245" s="135"/>
      <c r="HZ245" s="135"/>
      <c r="IA245" s="134"/>
      <c r="IB245" s="134"/>
      <c r="IC245" s="134"/>
      <c r="ID245" s="134"/>
      <c r="IE245" s="134"/>
      <c r="IF245" s="134"/>
      <c r="IG245" s="134"/>
      <c r="IH245" s="134"/>
      <c r="II245" s="135"/>
      <c r="IJ245" s="135"/>
      <c r="IK245" s="134"/>
      <c r="IL245" s="134"/>
      <c r="IM245" s="134"/>
      <c r="IN245" s="134"/>
      <c r="IO245" s="134"/>
      <c r="IP245" s="134"/>
      <c r="IQ245" s="134"/>
      <c r="IR245" s="134"/>
      <c r="IS245" s="135"/>
      <c r="IT245" s="135"/>
      <c r="IU245" s="134"/>
      <c r="IV245" s="134"/>
      <c r="IW245" s="134"/>
      <c r="IX245" s="134"/>
      <c r="IY245" s="134"/>
      <c r="IZ245" s="134"/>
      <c r="JA245" s="134"/>
      <c r="JB245" s="134"/>
      <c r="JC245" s="135"/>
      <c r="JD245" s="135"/>
    </row>
    <row r="246" spans="1:264" customFormat="1" ht="15" customHeight="1">
      <c r="A246" s="79" t="s">
        <v>198</v>
      </c>
      <c r="B246" s="362">
        <v>144</v>
      </c>
      <c r="C246" s="362">
        <v>43</v>
      </c>
      <c r="D246" s="362"/>
      <c r="E246" s="604" t="s">
        <v>1974</v>
      </c>
      <c r="F246" s="124" t="s">
        <v>2198</v>
      </c>
      <c r="G246" s="125">
        <v>2014</v>
      </c>
      <c r="H246" s="79">
        <v>25470729</v>
      </c>
      <c r="I246" s="79">
        <v>1</v>
      </c>
      <c r="J246" s="126"/>
      <c r="K246" s="127"/>
      <c r="L246" s="79">
        <v>1</v>
      </c>
      <c r="M246" s="79"/>
      <c r="N246" s="173">
        <v>1</v>
      </c>
      <c r="O246" s="128">
        <v>1</v>
      </c>
      <c r="P246" s="79" t="s">
        <v>570</v>
      </c>
      <c r="Q246" s="79" t="s">
        <v>1147</v>
      </c>
      <c r="R246" s="79" t="s">
        <v>25</v>
      </c>
      <c r="S246" s="79">
        <v>1</v>
      </c>
      <c r="T246" s="79"/>
      <c r="U246" s="79"/>
      <c r="V246" s="79"/>
      <c r="W246" s="79"/>
      <c r="X246" s="79"/>
      <c r="Y246" s="79"/>
      <c r="Z246" s="79"/>
      <c r="AA246" s="79"/>
      <c r="AB246" s="79"/>
      <c r="AC246" s="506"/>
      <c r="AD246" s="573">
        <v>1</v>
      </c>
      <c r="AE246" s="573">
        <v>2</v>
      </c>
      <c r="AF246" s="233" t="s">
        <v>3003</v>
      </c>
      <c r="AG246" s="234" t="s">
        <v>4773</v>
      </c>
      <c r="AH246" s="121">
        <v>2</v>
      </c>
      <c r="AI246" s="484"/>
      <c r="AJ246" s="202" t="s">
        <v>4772</v>
      </c>
      <c r="AK246" s="192"/>
      <c r="AL246" s="203"/>
      <c r="AM246" s="121"/>
      <c r="AN246" s="121"/>
      <c r="AO246" s="121"/>
      <c r="AP246" s="121"/>
      <c r="AQ246" s="121"/>
      <c r="AR246" s="121"/>
      <c r="AS246" s="121"/>
      <c r="AT246" s="121"/>
      <c r="AU246" s="121"/>
      <c r="AV246" s="121"/>
      <c r="AW246" s="121"/>
      <c r="AX246" s="121"/>
      <c r="AY246" s="121"/>
      <c r="AZ246" s="121"/>
      <c r="BA246" s="121"/>
      <c r="BB246" s="594"/>
      <c r="BC246" s="594"/>
      <c r="BD246" s="156"/>
      <c r="BE246" s="156"/>
      <c r="BF246" s="156"/>
      <c r="BG246" s="156"/>
      <c r="BH246" s="156"/>
      <c r="BI246" s="156"/>
      <c r="BJ246" s="156">
        <v>1</v>
      </c>
      <c r="BK246" s="156"/>
      <c r="BL246" s="156"/>
      <c r="BM246" s="156"/>
      <c r="BN246" s="156"/>
      <c r="BO246" s="156"/>
      <c r="BP246" s="156"/>
      <c r="BQ246" s="599"/>
      <c r="BR246" s="374"/>
      <c r="BS246" s="660"/>
      <c r="BT246" s="134"/>
      <c r="BU246" s="134"/>
      <c r="BV246" s="134"/>
      <c r="BW246" s="134"/>
      <c r="BX246" s="134"/>
      <c r="BY246" s="134"/>
      <c r="BZ246" s="259" t="s">
        <v>24</v>
      </c>
      <c r="CA246" s="454"/>
      <c r="CB246" s="138"/>
      <c r="CC246" s="134"/>
      <c r="CD246" s="134"/>
      <c r="CE246" s="134"/>
      <c r="CF246" s="138"/>
      <c r="CG246" s="134"/>
      <c r="CH246" s="134"/>
      <c r="CI246" s="134"/>
      <c r="CJ246" s="288"/>
      <c r="CK246" s="289"/>
      <c r="CL246" s="138"/>
      <c r="CM246" s="134"/>
      <c r="CN246" s="134"/>
      <c r="CO246" s="134"/>
      <c r="CP246" s="138"/>
      <c r="CQ246" s="134"/>
      <c r="CR246" s="134"/>
      <c r="CS246" s="134"/>
      <c r="CT246" s="288"/>
      <c r="CU246" s="289"/>
      <c r="CV246" s="276"/>
      <c r="CW246" s="308"/>
      <c r="CX246" s="138"/>
      <c r="CY246" s="134"/>
      <c r="CZ246" s="134"/>
      <c r="DA246" s="134"/>
      <c r="DB246" s="134"/>
      <c r="DC246" s="134"/>
      <c r="DD246" s="134"/>
      <c r="DE246" s="134"/>
      <c r="DF246" s="300"/>
      <c r="DG246" s="301"/>
      <c r="DH246" s="134"/>
      <c r="DI246" s="134"/>
      <c r="DJ246" s="134"/>
      <c r="DK246" s="134"/>
      <c r="DL246" s="134"/>
      <c r="DM246" s="134"/>
      <c r="DN246" s="134"/>
      <c r="DO246" s="134"/>
      <c r="DP246" s="300"/>
      <c r="DQ246" s="301"/>
      <c r="DR246" s="276"/>
      <c r="DS246" s="277"/>
      <c r="DT246" s="134"/>
      <c r="DU246" s="134"/>
      <c r="DV246" s="134"/>
      <c r="DW246" s="134"/>
      <c r="DX246" s="138"/>
      <c r="DY246" s="134"/>
      <c r="DZ246" s="134"/>
      <c r="EA246" s="134"/>
      <c r="EB246" s="301"/>
      <c r="EC246" s="301"/>
      <c r="ED246" s="138"/>
      <c r="EE246" s="134"/>
      <c r="EF246" s="134"/>
      <c r="EG246" s="134"/>
      <c r="EH246" s="138"/>
      <c r="EI246" s="134"/>
      <c r="EJ246" s="134"/>
      <c r="EK246" s="134"/>
      <c r="EL246" s="301"/>
      <c r="EM246" s="301"/>
      <c r="EN246" s="277"/>
      <c r="EO246" s="134"/>
      <c r="EP246" s="134"/>
      <c r="EQ246" s="134"/>
      <c r="ER246" s="134"/>
      <c r="ES246" s="134"/>
      <c r="ET246" s="134"/>
      <c r="EU246" s="134"/>
      <c r="EV246" s="134"/>
      <c r="EW246" s="301"/>
      <c r="EX246" s="301"/>
      <c r="EY246" s="134"/>
      <c r="EZ246" s="134"/>
      <c r="FA246" s="134"/>
      <c r="FB246" s="134"/>
      <c r="FC246" s="134"/>
      <c r="FD246" s="134"/>
      <c r="FE246" s="134"/>
      <c r="FF246" s="134"/>
      <c r="FG246" s="135"/>
      <c r="FH246" s="135"/>
      <c r="FI246" s="134"/>
      <c r="FJ246" s="134"/>
      <c r="FK246" s="134"/>
      <c r="FL246" s="134"/>
      <c r="FM246" s="134"/>
      <c r="FN246" s="134"/>
      <c r="FO246" s="134"/>
      <c r="FP246" s="134"/>
      <c r="FQ246" s="135"/>
      <c r="FR246" s="135"/>
      <c r="FS246" s="134"/>
      <c r="FT246" s="134"/>
      <c r="FU246" s="134"/>
      <c r="FV246" s="134"/>
      <c r="FW246" s="134"/>
      <c r="FX246" s="134"/>
      <c r="FY246" s="134"/>
      <c r="FZ246" s="134"/>
      <c r="GA246" s="135"/>
      <c r="GB246" s="135"/>
      <c r="GC246" s="134"/>
      <c r="GD246" s="134"/>
      <c r="GE246" s="134"/>
      <c r="GF246" s="134"/>
      <c r="GG246" s="134"/>
      <c r="GH246" s="134"/>
      <c r="GI246" s="134"/>
      <c r="GJ246" s="134"/>
      <c r="GK246" s="135"/>
      <c r="GL246" s="135"/>
      <c r="GM246" s="134"/>
      <c r="GN246" s="134"/>
      <c r="GO246" s="134"/>
      <c r="GP246" s="134"/>
      <c r="GQ246" s="134"/>
      <c r="GR246" s="134"/>
      <c r="GS246" s="134"/>
      <c r="GT246" s="134"/>
      <c r="GU246" s="135"/>
      <c r="GV246" s="135"/>
      <c r="GW246" s="134"/>
      <c r="GX246" s="134"/>
      <c r="GY246" s="134"/>
      <c r="GZ246" s="134"/>
      <c r="HA246" s="134"/>
      <c r="HB246" s="134"/>
      <c r="HC246" s="134"/>
      <c r="HD246" s="134"/>
      <c r="HE246" s="135"/>
      <c r="HF246" s="135"/>
      <c r="HG246" s="134"/>
      <c r="HH246" s="134"/>
      <c r="HI246" s="134"/>
      <c r="HJ246" s="134"/>
      <c r="HK246" s="134"/>
      <c r="HL246" s="134"/>
      <c r="HM246" s="134"/>
      <c r="HN246" s="134"/>
      <c r="HO246" s="135"/>
      <c r="HP246" s="135"/>
      <c r="HQ246" s="134"/>
      <c r="HR246" s="134"/>
      <c r="HS246" s="134"/>
      <c r="HT246" s="134"/>
      <c r="HU246" s="134"/>
      <c r="HV246" s="134"/>
      <c r="HW246" s="134"/>
      <c r="HX246" s="134"/>
      <c r="HY246" s="135"/>
      <c r="HZ246" s="135"/>
      <c r="IA246" s="134"/>
      <c r="IB246" s="134"/>
      <c r="IC246" s="134"/>
      <c r="ID246" s="134"/>
      <c r="IE246" s="134"/>
      <c r="IF246" s="134"/>
      <c r="IG246" s="134"/>
      <c r="IH246" s="134"/>
      <c r="II246" s="135"/>
      <c r="IJ246" s="135"/>
      <c r="IK246" s="134"/>
      <c r="IL246" s="134"/>
      <c r="IM246" s="134"/>
      <c r="IN246" s="134"/>
      <c r="IO246" s="134"/>
      <c r="IP246" s="134"/>
      <c r="IQ246" s="134"/>
      <c r="IR246" s="134"/>
      <c r="IS246" s="135"/>
      <c r="IT246" s="135"/>
      <c r="IU246" s="134"/>
      <c r="IV246" s="134"/>
      <c r="IW246" s="134"/>
      <c r="IX246" s="134"/>
      <c r="IY246" s="134"/>
      <c r="IZ246" s="134"/>
      <c r="JA246" s="134"/>
      <c r="JB246" s="134"/>
      <c r="JC246" s="135"/>
      <c r="JD246" s="135"/>
    </row>
    <row r="247" spans="1:264" customFormat="1" ht="15" customHeight="1">
      <c r="A247" s="79" t="s">
        <v>200</v>
      </c>
      <c r="B247" s="362">
        <v>146</v>
      </c>
      <c r="C247" s="362">
        <v>44</v>
      </c>
      <c r="D247" s="362"/>
      <c r="E247" s="604" t="s">
        <v>1975</v>
      </c>
      <c r="F247" s="124" t="s">
        <v>2199</v>
      </c>
      <c r="G247" s="125">
        <v>2012</v>
      </c>
      <c r="H247" s="79">
        <v>21443892</v>
      </c>
      <c r="I247" s="79">
        <v>1</v>
      </c>
      <c r="J247" s="126"/>
      <c r="K247" s="127"/>
      <c r="L247" s="79">
        <v>1</v>
      </c>
      <c r="M247" s="79"/>
      <c r="N247" s="164">
        <v>1</v>
      </c>
      <c r="O247" s="128">
        <v>1</v>
      </c>
      <c r="P247" s="79" t="s">
        <v>574</v>
      </c>
      <c r="Q247" s="79" t="s">
        <v>1147</v>
      </c>
      <c r="R247" s="79" t="s">
        <v>575</v>
      </c>
      <c r="S247" s="79">
        <v>0</v>
      </c>
      <c r="T247" s="79"/>
      <c r="U247" s="79"/>
      <c r="V247" s="79"/>
      <c r="W247" s="79" t="s">
        <v>23</v>
      </c>
      <c r="X247" s="79" t="s">
        <v>573</v>
      </c>
      <c r="Y247" s="79"/>
      <c r="Z247" s="79"/>
      <c r="AA247" s="79"/>
      <c r="AB247" s="79" t="s">
        <v>576</v>
      </c>
      <c r="AC247" s="506"/>
      <c r="AD247" s="573">
        <v>1</v>
      </c>
      <c r="AE247" s="573">
        <v>2</v>
      </c>
      <c r="AF247" s="165">
        <v>0</v>
      </c>
      <c r="AG247" s="166" t="s">
        <v>4774</v>
      </c>
      <c r="AH247" s="120"/>
      <c r="AI247" s="120"/>
      <c r="AJ247" s="206"/>
      <c r="AK247" s="372"/>
      <c r="AL247" s="207"/>
      <c r="AM247" s="120"/>
      <c r="AN247" s="120"/>
      <c r="AO247" s="120"/>
      <c r="AP247" s="120"/>
      <c r="AQ247" s="120"/>
      <c r="AR247" s="120"/>
      <c r="AS247" s="120"/>
      <c r="AT247" s="120"/>
      <c r="AU247" s="120"/>
      <c r="AV247" s="120"/>
      <c r="AW247" s="120"/>
      <c r="AX247" s="120"/>
      <c r="AY247" s="120"/>
      <c r="AZ247" s="120"/>
      <c r="BA247" s="120"/>
      <c r="BB247" s="594"/>
      <c r="BC247" s="594"/>
      <c r="BD247" s="373"/>
      <c r="BE247" s="373"/>
      <c r="BF247" s="373"/>
      <c r="BG247" s="373"/>
      <c r="BH247" s="373"/>
      <c r="BI247" s="373"/>
      <c r="BJ247" s="373">
        <v>1</v>
      </c>
      <c r="BK247" s="373"/>
      <c r="BL247" s="373"/>
      <c r="BM247" s="373"/>
      <c r="BN247" s="373"/>
      <c r="BO247" s="373"/>
      <c r="BP247" s="373"/>
      <c r="BQ247" s="599"/>
      <c r="BR247" s="374"/>
      <c r="BS247" s="660"/>
      <c r="BT247" s="134"/>
      <c r="BU247" s="134"/>
      <c r="BV247" s="134"/>
      <c r="BW247" s="134"/>
      <c r="BX247" s="134"/>
      <c r="BY247" s="134"/>
      <c r="BZ247" s="259" t="s">
        <v>24</v>
      </c>
      <c r="CA247" s="454"/>
      <c r="CB247" s="138"/>
      <c r="CC247" s="134"/>
      <c r="CD247" s="134"/>
      <c r="CE247" s="134"/>
      <c r="CF247" s="138"/>
      <c r="CG247" s="134"/>
      <c r="CH247" s="134"/>
      <c r="CI247" s="134"/>
      <c r="CJ247" s="288"/>
      <c r="CK247" s="289"/>
      <c r="CL247" s="138"/>
      <c r="CM247" s="134"/>
      <c r="CN247" s="134"/>
      <c r="CO247" s="134"/>
      <c r="CP247" s="138"/>
      <c r="CQ247" s="134"/>
      <c r="CR247" s="134"/>
      <c r="CS247" s="134"/>
      <c r="CT247" s="288"/>
      <c r="CU247" s="289"/>
      <c r="CV247" s="276"/>
      <c r="CW247" s="308"/>
      <c r="CX247" s="138"/>
      <c r="CY247" s="134"/>
      <c r="CZ247" s="134"/>
      <c r="DA247" s="134"/>
      <c r="DB247" s="134"/>
      <c r="DC247" s="134"/>
      <c r="DD247" s="134"/>
      <c r="DE247" s="134"/>
      <c r="DF247" s="300"/>
      <c r="DG247" s="301"/>
      <c r="DH247" s="134"/>
      <c r="DI247" s="134"/>
      <c r="DJ247" s="134"/>
      <c r="DK247" s="134"/>
      <c r="DL247" s="134"/>
      <c r="DM247" s="134"/>
      <c r="DN247" s="134"/>
      <c r="DO247" s="134"/>
      <c r="DP247" s="300"/>
      <c r="DQ247" s="301"/>
      <c r="DR247" s="276"/>
      <c r="DS247" s="277"/>
      <c r="DT247" s="134"/>
      <c r="DU247" s="134"/>
      <c r="DV247" s="134"/>
      <c r="DW247" s="134"/>
      <c r="DX247" s="138"/>
      <c r="DY247" s="134"/>
      <c r="DZ247" s="134"/>
      <c r="EA247" s="134"/>
      <c r="EB247" s="301"/>
      <c r="EC247" s="301"/>
      <c r="ED247" s="138"/>
      <c r="EE247" s="134"/>
      <c r="EF247" s="134"/>
      <c r="EG247" s="134"/>
      <c r="EH247" s="138"/>
      <c r="EI247" s="134"/>
      <c r="EJ247" s="134"/>
      <c r="EK247" s="134"/>
      <c r="EL247" s="301"/>
      <c r="EM247" s="301"/>
      <c r="EN247" s="277"/>
      <c r="EO247" s="134"/>
      <c r="EP247" s="134"/>
      <c r="EQ247" s="134"/>
      <c r="ER247" s="134"/>
      <c r="ES247" s="134"/>
      <c r="ET247" s="134"/>
      <c r="EU247" s="134"/>
      <c r="EV247" s="134"/>
      <c r="EW247" s="301"/>
      <c r="EX247" s="301"/>
      <c r="EY247" s="134"/>
      <c r="EZ247" s="134"/>
      <c r="FA247" s="134"/>
      <c r="FB247" s="134"/>
      <c r="FC247" s="134"/>
      <c r="FD247" s="134"/>
      <c r="FE247" s="134"/>
      <c r="FF247" s="134"/>
      <c r="FG247" s="135"/>
      <c r="FH247" s="135"/>
      <c r="FI247" s="134"/>
      <c r="FJ247" s="134"/>
      <c r="FK247" s="134"/>
      <c r="FL247" s="134"/>
      <c r="FM247" s="134"/>
      <c r="FN247" s="134"/>
      <c r="FO247" s="134"/>
      <c r="FP247" s="134"/>
      <c r="FQ247" s="135"/>
      <c r="FR247" s="135"/>
      <c r="FS247" s="134"/>
      <c r="FT247" s="134"/>
      <c r="FU247" s="134"/>
      <c r="FV247" s="134"/>
      <c r="FW247" s="134"/>
      <c r="FX247" s="134"/>
      <c r="FY247" s="134"/>
      <c r="FZ247" s="134"/>
      <c r="GA247" s="135"/>
      <c r="GB247" s="135"/>
      <c r="GC247" s="134"/>
      <c r="GD247" s="134"/>
      <c r="GE247" s="134"/>
      <c r="GF247" s="134"/>
      <c r="GG247" s="134"/>
      <c r="GH247" s="134"/>
      <c r="GI247" s="134"/>
      <c r="GJ247" s="134"/>
      <c r="GK247" s="135"/>
      <c r="GL247" s="135"/>
      <c r="GM247" s="134"/>
      <c r="GN247" s="134"/>
      <c r="GO247" s="134"/>
      <c r="GP247" s="134"/>
      <c r="GQ247" s="134"/>
      <c r="GR247" s="134"/>
      <c r="GS247" s="134"/>
      <c r="GT247" s="134"/>
      <c r="GU247" s="135"/>
      <c r="GV247" s="135"/>
      <c r="GW247" s="134"/>
      <c r="GX247" s="134"/>
      <c r="GY247" s="134"/>
      <c r="GZ247" s="134"/>
      <c r="HA247" s="134"/>
      <c r="HB247" s="134"/>
      <c r="HC247" s="134"/>
      <c r="HD247" s="134"/>
      <c r="HE247" s="135"/>
      <c r="HF247" s="135"/>
      <c r="HG247" s="134"/>
      <c r="HH247" s="134"/>
      <c r="HI247" s="134"/>
      <c r="HJ247" s="134"/>
      <c r="HK247" s="134"/>
      <c r="HL247" s="134"/>
      <c r="HM247" s="134"/>
      <c r="HN247" s="134"/>
      <c r="HO247" s="135"/>
      <c r="HP247" s="135"/>
      <c r="HQ247" s="134"/>
      <c r="HR247" s="134"/>
      <c r="HS247" s="134"/>
      <c r="HT247" s="134"/>
      <c r="HU247" s="134"/>
      <c r="HV247" s="134"/>
      <c r="HW247" s="134"/>
      <c r="HX247" s="134"/>
      <c r="HY247" s="135"/>
      <c r="HZ247" s="135"/>
      <c r="IA247" s="134"/>
      <c r="IB247" s="134"/>
      <c r="IC247" s="134"/>
      <c r="ID247" s="134"/>
      <c r="IE247" s="134"/>
      <c r="IF247" s="134"/>
      <c r="IG247" s="134"/>
      <c r="IH247" s="134"/>
      <c r="II247" s="135"/>
      <c r="IJ247" s="135"/>
      <c r="IK247" s="134"/>
      <c r="IL247" s="134"/>
      <c r="IM247" s="134"/>
      <c r="IN247" s="134"/>
      <c r="IO247" s="134"/>
      <c r="IP247" s="134"/>
      <c r="IQ247" s="134"/>
      <c r="IR247" s="134"/>
      <c r="IS247" s="135"/>
      <c r="IT247" s="135"/>
      <c r="IU247" s="134"/>
      <c r="IV247" s="134"/>
      <c r="IW247" s="134"/>
      <c r="IX247" s="134"/>
      <c r="IY247" s="134"/>
      <c r="IZ247" s="134"/>
      <c r="JA247" s="134"/>
      <c r="JB247" s="134"/>
      <c r="JC247" s="135"/>
      <c r="JD247" s="135"/>
    </row>
    <row r="248" spans="1:264" customFormat="1" ht="15" customHeight="1">
      <c r="A248" s="79" t="s">
        <v>1036</v>
      </c>
      <c r="B248" s="362">
        <v>147</v>
      </c>
      <c r="C248" s="362">
        <v>45</v>
      </c>
      <c r="D248" s="362"/>
      <c r="E248" s="604" t="s">
        <v>2083</v>
      </c>
      <c r="F248" s="124" t="s">
        <v>2337</v>
      </c>
      <c r="G248" s="125">
        <v>2013</v>
      </c>
      <c r="H248" s="79">
        <v>23891637</v>
      </c>
      <c r="I248" s="79">
        <v>1</v>
      </c>
      <c r="J248" s="126">
        <v>1</v>
      </c>
      <c r="K248" s="127"/>
      <c r="L248" s="79">
        <v>1</v>
      </c>
      <c r="M248" s="79"/>
      <c r="N248" s="79">
        <v>1</v>
      </c>
      <c r="O248" s="128">
        <v>2</v>
      </c>
      <c r="P248" s="79" t="s">
        <v>1347</v>
      </c>
      <c r="Q248" s="79" t="s">
        <v>1216</v>
      </c>
      <c r="R248" s="79" t="s">
        <v>1127</v>
      </c>
      <c r="S248" s="79"/>
      <c r="T248" s="79" t="s">
        <v>1714</v>
      </c>
      <c r="U248" s="79" t="s">
        <v>803</v>
      </c>
      <c r="V248" s="79"/>
      <c r="W248" s="79" t="s">
        <v>1383</v>
      </c>
      <c r="X248" s="79" t="s">
        <v>1384</v>
      </c>
      <c r="Y248" s="79" t="s">
        <v>1385</v>
      </c>
      <c r="Z248" s="79"/>
      <c r="AA248" s="79"/>
      <c r="AB248" s="79"/>
      <c r="AC248" s="506"/>
      <c r="AD248" s="573">
        <v>1</v>
      </c>
      <c r="AE248" s="573">
        <v>2</v>
      </c>
      <c r="AF248" s="154">
        <v>1</v>
      </c>
      <c r="AG248" s="155"/>
      <c r="AH248" s="121">
        <v>4</v>
      </c>
      <c r="AI248" s="484" t="s">
        <v>4897</v>
      </c>
      <c r="AJ248" s="202" t="s">
        <v>4859</v>
      </c>
      <c r="AK248" s="192">
        <v>0</v>
      </c>
      <c r="AL248" s="203">
        <v>0</v>
      </c>
      <c r="AM248" s="121" t="s">
        <v>4147</v>
      </c>
      <c r="AN248" s="121">
        <v>5</v>
      </c>
      <c r="AO248" s="121">
        <v>5</v>
      </c>
      <c r="AP248" s="121" t="s">
        <v>803</v>
      </c>
      <c r="AQ248" s="121" t="s">
        <v>803</v>
      </c>
      <c r="AR248" s="121" t="s">
        <v>4775</v>
      </c>
      <c r="AS248" s="121" t="s">
        <v>24</v>
      </c>
      <c r="AT248" s="121" t="s">
        <v>4775</v>
      </c>
      <c r="AU248" s="121" t="s">
        <v>24</v>
      </c>
      <c r="AV248" s="121" t="s">
        <v>4778</v>
      </c>
      <c r="AW248" s="121" t="s">
        <v>4777</v>
      </c>
      <c r="AX248" s="121" t="s">
        <v>4776</v>
      </c>
      <c r="AY248" s="121" t="s">
        <v>4779</v>
      </c>
      <c r="AZ248" s="121" t="s">
        <v>4780</v>
      </c>
      <c r="BA248" s="121" t="s">
        <v>4781</v>
      </c>
      <c r="BB248" s="594"/>
      <c r="BC248" s="594"/>
      <c r="BD248" s="156"/>
      <c r="BE248" s="156"/>
      <c r="BF248" s="156"/>
      <c r="BG248" s="156"/>
      <c r="BH248" s="156"/>
      <c r="BI248" s="156"/>
      <c r="BJ248" s="156">
        <v>1</v>
      </c>
      <c r="BK248" s="156"/>
      <c r="BL248" s="156"/>
      <c r="BM248" s="156"/>
      <c r="BN248" s="156"/>
      <c r="BO248" s="156"/>
      <c r="BP248" s="156"/>
      <c r="BQ248" s="595" t="s">
        <v>3563</v>
      </c>
      <c r="BR248" s="157" t="s">
        <v>6613</v>
      </c>
      <c r="BS248" s="660"/>
      <c r="BT248" s="134" t="s">
        <v>1876</v>
      </c>
      <c r="BU248" s="134" t="s">
        <v>4782</v>
      </c>
      <c r="BV248" s="134" t="s">
        <v>4785</v>
      </c>
      <c r="BW248" s="134" t="s">
        <v>4783</v>
      </c>
      <c r="BX248" s="134" t="s">
        <v>4784</v>
      </c>
      <c r="BY248" s="134"/>
      <c r="BZ248" s="259" t="s">
        <v>4858</v>
      </c>
      <c r="CA248" s="454" t="s">
        <v>24</v>
      </c>
      <c r="CB248" s="138" t="s">
        <v>4786</v>
      </c>
      <c r="CC248" s="134">
        <v>31.865300000000001</v>
      </c>
      <c r="CD248" s="134" t="s">
        <v>24</v>
      </c>
      <c r="CE248" s="134">
        <f>35.3627-Table668[[#This Row],[Data_Outcome1_M]]</f>
        <v>3.4973999999999954</v>
      </c>
      <c r="CF248" s="138" t="s">
        <v>4787</v>
      </c>
      <c r="CG248" s="134">
        <v>35.233199999999997</v>
      </c>
      <c r="CH248" s="134" t="s">
        <v>24</v>
      </c>
      <c r="CI248" s="134">
        <f>37.0466-Table668[[#This Row],[Data_Outcome2_M]]</f>
        <v>1.8134000000000015</v>
      </c>
      <c r="CJ248" s="288" t="s">
        <v>4791</v>
      </c>
      <c r="CK248" s="289" t="s">
        <v>2480</v>
      </c>
      <c r="CL248" s="138" t="s">
        <v>4788</v>
      </c>
      <c r="CM248" s="134">
        <v>28.238299999999999</v>
      </c>
      <c r="CN248" s="134" t="s">
        <v>24</v>
      </c>
      <c r="CO248" s="134">
        <f>30.5699-Table668[[#This Row],[Data_Outcome3_M]]</f>
        <v>2.3316000000000017</v>
      </c>
      <c r="CP248" s="138" t="s">
        <v>4789</v>
      </c>
      <c r="CQ248" s="134">
        <v>46.373100000000001</v>
      </c>
      <c r="CR248" s="134" t="s">
        <v>24</v>
      </c>
      <c r="CS248" s="134">
        <f>48.4456-Table668[[#This Row],[Data_Outcome4_M]]</f>
        <v>2.072499999999998</v>
      </c>
      <c r="CT248" s="288" t="s">
        <v>4790</v>
      </c>
      <c r="CU248" s="289" t="s">
        <v>2555</v>
      </c>
      <c r="CV248" s="276" t="s">
        <v>4792</v>
      </c>
      <c r="CW248" s="308" t="s">
        <v>24</v>
      </c>
      <c r="CX248" s="138" t="s">
        <v>4793</v>
      </c>
      <c r="CY248" s="134">
        <v>45.930700000000002</v>
      </c>
      <c r="CZ248" s="134" t="s">
        <v>24</v>
      </c>
      <c r="DA248" s="134">
        <f>52.4857-Table668[[#This Row],[Data_Outcome5_M]]</f>
        <v>6.5549999999999997</v>
      </c>
      <c r="DB248" s="138" t="s">
        <v>4794</v>
      </c>
      <c r="DC248" s="134">
        <v>24.104700000000001</v>
      </c>
      <c r="DD248" s="134" t="s">
        <v>24</v>
      </c>
      <c r="DE248" s="134">
        <f>26.2414-Table668[[#This Row],[Data_Outcome6_M]]</f>
        <v>2.1366999999999976</v>
      </c>
      <c r="DF248" s="300" t="s">
        <v>4853</v>
      </c>
      <c r="DG248" s="301" t="s">
        <v>2555</v>
      </c>
      <c r="DH248" s="138" t="s">
        <v>4795</v>
      </c>
      <c r="DI248" s="134">
        <v>26.9087</v>
      </c>
      <c r="DJ248" s="134" t="s">
        <v>24</v>
      </c>
      <c r="DK248" s="134">
        <f>29.331-Table668[[#This Row],[Data_Outcome7_M]]</f>
        <v>2.4222999999999999</v>
      </c>
      <c r="DL248" s="138" t="s">
        <v>4796</v>
      </c>
      <c r="DM248" s="134">
        <v>43.4099</v>
      </c>
      <c r="DN248" s="134" t="s">
        <v>24</v>
      </c>
      <c r="DO248" s="134">
        <f>44.1223-Table668[[#This Row],[Data_Outcome8_M]]</f>
        <v>0.71240000000000236</v>
      </c>
      <c r="DP248" s="300" t="s">
        <v>4855</v>
      </c>
      <c r="DQ248" s="301" t="s">
        <v>2555</v>
      </c>
      <c r="DR248" s="276"/>
      <c r="DS248" s="277"/>
      <c r="DT248" s="138" t="s">
        <v>4797</v>
      </c>
      <c r="DU248" s="134">
        <v>45.478000000000002</v>
      </c>
      <c r="DV248" s="134" t="s">
        <v>24</v>
      </c>
      <c r="DW248" s="134">
        <f>52.1576-Table668[[#This Row],[Data_Outcome9_M]]</f>
        <v>6.6796000000000006</v>
      </c>
      <c r="DX248" s="138" t="s">
        <v>4798</v>
      </c>
      <c r="DY248" s="134">
        <v>24.1602</v>
      </c>
      <c r="DZ248" s="134" t="s">
        <v>24</v>
      </c>
      <c r="EA248" s="134">
        <f>26.292-Table668[[#This Row],[Data_Outcome10_M]]</f>
        <v>2.1318000000000019</v>
      </c>
      <c r="EB248" s="301" t="s">
        <v>4853</v>
      </c>
      <c r="EC248" s="301" t="s">
        <v>2555</v>
      </c>
      <c r="ED248" s="138" t="s">
        <v>4799</v>
      </c>
      <c r="EE248" s="134">
        <v>24.444400000000002</v>
      </c>
      <c r="EF248" s="134" t="s">
        <v>24</v>
      </c>
      <c r="EG248" s="134">
        <f>27.4289-Table668[[#This Row],[Data_Outcome11_M]]</f>
        <v>2.984499999999997</v>
      </c>
      <c r="EH248" s="138" t="s">
        <v>4800</v>
      </c>
      <c r="EI248" s="134">
        <v>39.366900000000001</v>
      </c>
      <c r="EJ248" s="134" t="s">
        <v>24</v>
      </c>
      <c r="EK248" s="134">
        <f>40.3618-Table668[[#This Row],[Data_Outcome12_M]]</f>
        <v>0.99490000000000123</v>
      </c>
      <c r="EL248" s="301" t="s">
        <v>4854</v>
      </c>
      <c r="EM248" s="301" t="s">
        <v>2555</v>
      </c>
      <c r="EN248" s="277" t="s">
        <v>24</v>
      </c>
      <c r="EO248" s="138" t="s">
        <v>4801</v>
      </c>
      <c r="EP248" s="134">
        <v>47.826599999999999</v>
      </c>
      <c r="EQ248" s="134" t="s">
        <v>24</v>
      </c>
      <c r="ER248" s="134">
        <f>54.6661-Table668[[#This Row],[Data_Outcome13_M]]</f>
        <v>6.839500000000001</v>
      </c>
      <c r="ES248" s="138" t="s">
        <v>4802</v>
      </c>
      <c r="ET248" s="134">
        <v>23.629200000000001</v>
      </c>
      <c r="EU248" s="134" t="s">
        <v>24</v>
      </c>
      <c r="EV248" s="134">
        <f>25.9091-Table668[[#This Row],[Data_Outcome14_M]]</f>
        <v>2.2798999999999978</v>
      </c>
      <c r="EW248" s="301" t="s">
        <v>4853</v>
      </c>
      <c r="EX248" s="301" t="s">
        <v>2555</v>
      </c>
      <c r="EY248" s="138" t="s">
        <v>4803</v>
      </c>
      <c r="EZ248" s="134">
        <v>27.521799999999999</v>
      </c>
      <c r="FA248" s="134" t="s">
        <v>24</v>
      </c>
      <c r="FB248" s="134">
        <f>29.3742-Table668[[#This Row],[Data_Outcome15_M]]</f>
        <v>1.8523999999999994</v>
      </c>
      <c r="FC248" s="138" t="s">
        <v>4804</v>
      </c>
      <c r="FD248" s="134">
        <v>44.647100000000002</v>
      </c>
      <c r="FE248" s="134" t="s">
        <v>24</v>
      </c>
      <c r="FF248" s="134">
        <f>45.2171-Table668[[#This Row],[Data_Outcome16_M]]</f>
        <v>0.57000000000000028</v>
      </c>
      <c r="FG248" s="135" t="s">
        <v>4855</v>
      </c>
      <c r="FH248" s="135" t="s">
        <v>2555</v>
      </c>
      <c r="FI248" s="138" t="s">
        <v>4805</v>
      </c>
      <c r="FJ248" s="134">
        <v>45.787799999999997</v>
      </c>
      <c r="FK248" s="134" t="s">
        <v>24</v>
      </c>
      <c r="FL248" s="134">
        <f>51.9153-Table668[[#This Row],[Data_Outcome17_M]]</f>
        <v>6.1275000000000048</v>
      </c>
      <c r="FM248" s="138" t="s">
        <v>4806</v>
      </c>
      <c r="FN248" s="134">
        <v>24.673200000000001</v>
      </c>
      <c r="FO248" s="134" t="s">
        <v>24</v>
      </c>
      <c r="FP248" s="134">
        <f>26.5244-Table668[[#This Row],[Data_Outcome18_M]]</f>
        <v>1.8511999999999986</v>
      </c>
      <c r="FQ248" s="135" t="s">
        <v>4856</v>
      </c>
      <c r="FR248" s="135" t="s">
        <v>2555</v>
      </c>
      <c r="FS248" s="138" t="s">
        <v>4807</v>
      </c>
      <c r="FT248" s="134">
        <v>26.909400000000002</v>
      </c>
      <c r="FU248" s="134" t="s">
        <v>24</v>
      </c>
      <c r="FV248" s="134">
        <f>29.3323-Table668[[#This Row],[Data_Outcome19_M]]</f>
        <v>2.4228999999999985</v>
      </c>
      <c r="FW248" s="138" t="s">
        <v>4808</v>
      </c>
      <c r="FX248" s="134">
        <v>40.417999999999999</v>
      </c>
      <c r="FY248" s="134" t="s">
        <v>24</v>
      </c>
      <c r="FZ248" s="134">
        <f>41.701-Table668[[#This Row],[Data_Outcome20_M]]</f>
        <v>1.2830000000000013</v>
      </c>
      <c r="GA248" s="135" t="s">
        <v>4857</v>
      </c>
      <c r="GB248" s="135" t="s">
        <v>2555</v>
      </c>
      <c r="GC248" s="138" t="s">
        <v>4809</v>
      </c>
      <c r="GD248" s="134">
        <v>46.45</v>
      </c>
      <c r="GE248" s="134" t="s">
        <v>24</v>
      </c>
      <c r="GF248" s="134">
        <f>52.7521-Table668[[#This Row],[Data_Outcome21_M]]</f>
        <v>6.3020999999999958</v>
      </c>
      <c r="GG248" s="138" t="s">
        <v>4810</v>
      </c>
      <c r="GH248" s="134">
        <v>24.874500000000001</v>
      </c>
      <c r="GI248" s="134" t="s">
        <v>24</v>
      </c>
      <c r="GJ248" s="134">
        <f>26.5945-Table668[[#This Row],[Data_Outcome22_M]]</f>
        <v>1.7199999999999989</v>
      </c>
      <c r="GK248" s="135" t="s">
        <v>4853</v>
      </c>
      <c r="GL248" s="135" t="s">
        <v>2555</v>
      </c>
      <c r="GM248" s="138" t="s">
        <v>4811</v>
      </c>
      <c r="GN248" s="134">
        <v>26.5412</v>
      </c>
      <c r="GO248" s="134" t="s">
        <v>24</v>
      </c>
      <c r="GP248" s="134">
        <f>28.6896-Table668[[#This Row],[Data_Outcome23_M]]</f>
        <v>2.1483999999999988</v>
      </c>
      <c r="GQ248" s="138" t="s">
        <v>4812</v>
      </c>
      <c r="GR248" s="134">
        <v>42.206400000000002</v>
      </c>
      <c r="GS248" s="134" t="s">
        <v>24</v>
      </c>
      <c r="GT248" s="134">
        <f>43.4955-Table668[[#This Row],[Data_Outcome24_M]]</f>
        <v>1.2890999999999977</v>
      </c>
      <c r="GU248" s="135" t="s">
        <v>4855</v>
      </c>
      <c r="GV248" s="135" t="s">
        <v>2555</v>
      </c>
      <c r="GW248" s="134"/>
      <c r="GX248" s="134"/>
      <c r="GY248" s="134"/>
      <c r="GZ248" s="134"/>
      <c r="HA248" s="134"/>
      <c r="HB248" s="134"/>
      <c r="HC248" s="134"/>
      <c r="HD248" s="134"/>
      <c r="HE248" s="135"/>
      <c r="HF248" s="135"/>
      <c r="HG248" s="134"/>
      <c r="HH248" s="134"/>
      <c r="HI248" s="134"/>
      <c r="HJ248" s="134"/>
      <c r="HK248" s="134"/>
      <c r="HL248" s="134"/>
      <c r="HM248" s="134"/>
      <c r="HN248" s="134"/>
      <c r="HO248" s="135"/>
      <c r="HP248" s="135"/>
      <c r="HQ248" s="134"/>
      <c r="HR248" s="134"/>
      <c r="HS248" s="134"/>
      <c r="HT248" s="134"/>
      <c r="HU248" s="134"/>
      <c r="HV248" s="134"/>
      <c r="HW248" s="134"/>
      <c r="HX248" s="134"/>
      <c r="HY248" s="135"/>
      <c r="HZ248" s="135"/>
      <c r="IA248" s="134"/>
      <c r="IB248" s="134"/>
      <c r="IC248" s="134"/>
      <c r="ID248" s="134"/>
      <c r="IE248" s="134"/>
      <c r="IF248" s="134"/>
      <c r="IG248" s="134"/>
      <c r="IH248" s="134"/>
      <c r="II248" s="135"/>
      <c r="IJ248" s="135"/>
      <c r="IK248" s="134"/>
      <c r="IL248" s="134"/>
      <c r="IM248" s="134"/>
      <c r="IN248" s="134"/>
      <c r="IO248" s="134"/>
      <c r="IP248" s="134"/>
      <c r="IQ248" s="134"/>
      <c r="IR248" s="134"/>
      <c r="IS248" s="135"/>
      <c r="IT248" s="135"/>
      <c r="IU248" s="134"/>
      <c r="IV248" s="134"/>
      <c r="IW248" s="134"/>
      <c r="IX248" s="134"/>
      <c r="IY248" s="134"/>
      <c r="IZ248" s="134"/>
      <c r="JA248" s="134"/>
      <c r="JB248" s="134"/>
      <c r="JC248" s="135"/>
      <c r="JD248" s="135"/>
    </row>
    <row r="249" spans="1:264" customFormat="1" ht="15" customHeight="1">
      <c r="A249" s="79" t="s">
        <v>203</v>
      </c>
      <c r="B249" s="362">
        <v>148</v>
      </c>
      <c r="C249" s="362">
        <v>46</v>
      </c>
      <c r="D249" s="362"/>
      <c r="E249" s="604" t="s">
        <v>1976</v>
      </c>
      <c r="F249" s="124" t="s">
        <v>2200</v>
      </c>
      <c r="G249" s="125">
        <v>2013</v>
      </c>
      <c r="H249" s="79">
        <v>23978082</v>
      </c>
      <c r="I249" s="79">
        <v>1</v>
      </c>
      <c r="J249" s="126"/>
      <c r="K249" s="127"/>
      <c r="L249" s="79">
        <v>1</v>
      </c>
      <c r="M249" s="79"/>
      <c r="N249" s="79">
        <v>1</v>
      </c>
      <c r="O249" s="128">
        <v>1</v>
      </c>
      <c r="P249" s="79" t="s">
        <v>581</v>
      </c>
      <c r="Q249" s="79" t="s">
        <v>1147</v>
      </c>
      <c r="R249" s="79" t="s">
        <v>567</v>
      </c>
      <c r="S249" s="79">
        <v>1</v>
      </c>
      <c r="T249" s="79"/>
      <c r="U249" s="79"/>
      <c r="V249" s="79"/>
      <c r="W249" s="79" t="s">
        <v>580</v>
      </c>
      <c r="X249" s="79"/>
      <c r="Y249" s="79"/>
      <c r="Z249" s="79"/>
      <c r="AA249" s="79"/>
      <c r="AB249" s="79"/>
      <c r="AC249" s="506"/>
      <c r="AD249" s="573">
        <v>1</v>
      </c>
      <c r="AE249" s="573">
        <v>2</v>
      </c>
      <c r="AF249" s="154">
        <v>1</v>
      </c>
      <c r="AG249" s="155"/>
      <c r="AH249" s="121">
        <v>2</v>
      </c>
      <c r="AI249" s="484" t="s">
        <v>4870</v>
      </c>
      <c r="AJ249" s="202" t="s">
        <v>4869</v>
      </c>
      <c r="AK249" s="192">
        <v>0</v>
      </c>
      <c r="AL249" s="203" t="s">
        <v>24</v>
      </c>
      <c r="AM249" s="121">
        <v>205</v>
      </c>
      <c r="AN249" s="121">
        <v>68</v>
      </c>
      <c r="AO249" s="121">
        <v>137</v>
      </c>
      <c r="AP249" s="121" t="s">
        <v>4862</v>
      </c>
      <c r="AQ249" s="121" t="s">
        <v>4863</v>
      </c>
      <c r="AR249" s="121">
        <v>49.6</v>
      </c>
      <c r="AS249" s="121">
        <v>10.3</v>
      </c>
      <c r="AT249" s="121">
        <v>52</v>
      </c>
      <c r="AU249" s="121">
        <v>13.1</v>
      </c>
      <c r="AV249" s="121" t="s">
        <v>1874</v>
      </c>
      <c r="AW249" s="121" t="s">
        <v>24</v>
      </c>
      <c r="AX249" s="121" t="s">
        <v>24</v>
      </c>
      <c r="AY249" s="121" t="s">
        <v>2423</v>
      </c>
      <c r="AZ249" s="121" t="s">
        <v>5116</v>
      </c>
      <c r="BA249" s="121" t="s">
        <v>4860</v>
      </c>
      <c r="BB249" s="594"/>
      <c r="BC249" s="594"/>
      <c r="BD249" s="156"/>
      <c r="BE249" s="156"/>
      <c r="BF249" s="156" t="s">
        <v>4727</v>
      </c>
      <c r="BG249" s="156"/>
      <c r="BH249" s="156"/>
      <c r="BI249" s="156" t="s">
        <v>4727</v>
      </c>
      <c r="BJ249" s="156">
        <v>1</v>
      </c>
      <c r="BK249" s="156"/>
      <c r="BL249" s="156"/>
      <c r="BM249" s="156"/>
      <c r="BN249" s="156" t="s">
        <v>4727</v>
      </c>
      <c r="BO249" s="156" t="s">
        <v>4727</v>
      </c>
      <c r="BP249" s="156"/>
      <c r="BQ249" s="595" t="s">
        <v>1893</v>
      </c>
      <c r="BR249" s="157" t="s">
        <v>6615</v>
      </c>
      <c r="BS249" s="660"/>
      <c r="BT249" s="134" t="s">
        <v>1876</v>
      </c>
      <c r="BU249" s="134" t="s">
        <v>4864</v>
      </c>
      <c r="BV249" s="134" t="s">
        <v>4861</v>
      </c>
      <c r="BW249" s="134" t="s">
        <v>24</v>
      </c>
      <c r="BX249" s="134" t="s">
        <v>4868</v>
      </c>
      <c r="BY249" s="134"/>
      <c r="BZ249" s="259" t="s">
        <v>4896</v>
      </c>
      <c r="CA249" s="454" t="s">
        <v>24</v>
      </c>
      <c r="CB249" s="138" t="s">
        <v>4866</v>
      </c>
      <c r="CC249" s="134">
        <v>39.5</v>
      </c>
      <c r="CD249" s="134">
        <v>10</v>
      </c>
      <c r="CE249" s="134" t="s">
        <v>24</v>
      </c>
      <c r="CF249" s="138" t="s">
        <v>4865</v>
      </c>
      <c r="CG249" s="134">
        <v>43</v>
      </c>
      <c r="CH249" s="134">
        <v>10.3</v>
      </c>
      <c r="CI249" s="134" t="s">
        <v>24</v>
      </c>
      <c r="CJ249" s="288" t="s">
        <v>4297</v>
      </c>
      <c r="CK249" s="289" t="s">
        <v>4867</v>
      </c>
      <c r="CL249" s="138"/>
      <c r="CM249" s="134"/>
      <c r="CN249" s="134"/>
      <c r="CO249" s="134"/>
      <c r="CP249" s="138"/>
      <c r="CQ249" s="134"/>
      <c r="CR249" s="134"/>
      <c r="CS249" s="134"/>
      <c r="CT249" s="288"/>
      <c r="CU249" s="289"/>
      <c r="CV249" s="276"/>
      <c r="CW249" s="308"/>
      <c r="CX249" s="137"/>
      <c r="CY249" s="134"/>
      <c r="CZ249" s="168"/>
      <c r="DA249" s="134"/>
      <c r="DB249" s="134"/>
      <c r="DC249" s="134"/>
      <c r="DD249" s="134"/>
      <c r="DE249" s="134"/>
      <c r="DF249" s="300"/>
      <c r="DG249" s="301"/>
      <c r="DH249" s="134"/>
      <c r="DI249" s="134"/>
      <c r="DJ249" s="134"/>
      <c r="DK249" s="134"/>
      <c r="DL249" s="134"/>
      <c r="DM249" s="134"/>
      <c r="DN249" s="134"/>
      <c r="DO249" s="134"/>
      <c r="DP249" s="300"/>
      <c r="DQ249" s="301"/>
      <c r="DR249" s="276"/>
      <c r="DS249" s="277"/>
      <c r="DT249" s="134"/>
      <c r="DU249" s="134"/>
      <c r="DV249" s="134"/>
      <c r="DW249" s="480"/>
      <c r="DX249" s="138"/>
      <c r="DY249" s="134"/>
      <c r="DZ249" s="134"/>
      <c r="EA249" s="134"/>
      <c r="EB249" s="301"/>
      <c r="EC249" s="301"/>
      <c r="ED249" s="138"/>
      <c r="EE249" s="134"/>
      <c r="EF249" s="134"/>
      <c r="EG249" s="134"/>
      <c r="EH249" s="138"/>
      <c r="EI249" s="134"/>
      <c r="EJ249" s="134"/>
      <c r="EK249" s="134"/>
      <c r="EL249" s="301"/>
      <c r="EM249" s="301"/>
      <c r="EN249" s="277"/>
      <c r="EO249" s="134"/>
      <c r="EP249" s="134"/>
      <c r="EQ249" s="134"/>
      <c r="ER249" s="480"/>
      <c r="ES249" s="138"/>
      <c r="ET249" s="134"/>
      <c r="EU249" s="134"/>
      <c r="EV249" s="134"/>
      <c r="EW249" s="301"/>
      <c r="EX249" s="301"/>
      <c r="EY249" s="134"/>
      <c r="EZ249" s="134"/>
      <c r="FA249" s="134"/>
      <c r="FB249" s="134"/>
      <c r="FC249" s="134"/>
      <c r="FD249" s="134"/>
      <c r="FE249" s="134"/>
      <c r="FF249" s="134"/>
      <c r="FG249" s="135"/>
      <c r="FH249" s="135"/>
      <c r="FI249" s="134"/>
      <c r="FJ249" s="134"/>
      <c r="FK249" s="134"/>
      <c r="FL249" s="134"/>
      <c r="FM249" s="134"/>
      <c r="FN249" s="134"/>
      <c r="FO249" s="134"/>
      <c r="FP249" s="134"/>
      <c r="FQ249" s="135"/>
      <c r="FR249" s="135"/>
      <c r="FS249" s="134"/>
      <c r="FT249" s="134"/>
      <c r="FU249" s="134"/>
      <c r="FV249" s="134"/>
      <c r="FW249" s="134"/>
      <c r="FX249" s="134"/>
      <c r="FY249" s="134"/>
      <c r="FZ249" s="134"/>
      <c r="GA249" s="135"/>
      <c r="GB249" s="135"/>
      <c r="GC249" s="134"/>
      <c r="GD249" s="134"/>
      <c r="GE249" s="134"/>
      <c r="GF249" s="134"/>
      <c r="GG249" s="134"/>
      <c r="GH249" s="134"/>
      <c r="GI249" s="134"/>
      <c r="GJ249" s="134"/>
      <c r="GK249" s="135"/>
      <c r="GL249" s="135"/>
      <c r="GM249" s="134"/>
      <c r="GN249" s="134"/>
      <c r="GO249" s="134"/>
      <c r="GP249" s="134"/>
      <c r="GQ249" s="134"/>
      <c r="GR249" s="134"/>
      <c r="GS249" s="134"/>
      <c r="GT249" s="134"/>
      <c r="GU249" s="135"/>
      <c r="GV249" s="135"/>
      <c r="GW249" s="134"/>
      <c r="GX249" s="134"/>
      <c r="GY249" s="134"/>
      <c r="GZ249" s="134"/>
      <c r="HA249" s="134"/>
      <c r="HB249" s="134"/>
      <c r="HC249" s="134"/>
      <c r="HD249" s="134"/>
      <c r="HE249" s="135"/>
      <c r="HF249" s="135"/>
      <c r="HG249" s="134"/>
      <c r="HH249" s="134"/>
      <c r="HI249" s="134"/>
      <c r="HJ249" s="134"/>
      <c r="HK249" s="134"/>
      <c r="HL249" s="134"/>
      <c r="HM249" s="134"/>
      <c r="HN249" s="134"/>
      <c r="HO249" s="135"/>
      <c r="HP249" s="135"/>
      <c r="HQ249" s="134"/>
      <c r="HR249" s="134"/>
      <c r="HS249" s="134"/>
      <c r="HT249" s="134"/>
      <c r="HU249" s="134"/>
      <c r="HV249" s="134"/>
      <c r="HW249" s="134"/>
      <c r="HX249" s="134"/>
      <c r="HY249" s="135"/>
      <c r="HZ249" s="135"/>
      <c r="IA249" s="134"/>
      <c r="IB249" s="134"/>
      <c r="IC249" s="134"/>
      <c r="ID249" s="134"/>
      <c r="IE249" s="134"/>
      <c r="IF249" s="134"/>
      <c r="IG249" s="134"/>
      <c r="IH249" s="134"/>
      <c r="II249" s="135"/>
      <c r="IJ249" s="135"/>
      <c r="IK249" s="134"/>
      <c r="IL249" s="134"/>
      <c r="IM249" s="134"/>
      <c r="IN249" s="134"/>
      <c r="IO249" s="134"/>
      <c r="IP249" s="134"/>
      <c r="IQ249" s="134"/>
      <c r="IR249" s="134"/>
      <c r="IS249" s="135"/>
      <c r="IT249" s="135"/>
      <c r="IU249" s="134"/>
      <c r="IV249" s="134"/>
      <c r="IW249" s="134"/>
      <c r="IX249" s="134"/>
      <c r="IY249" s="134"/>
      <c r="IZ249" s="134"/>
      <c r="JA249" s="134"/>
      <c r="JB249" s="134"/>
      <c r="JC249" s="135"/>
      <c r="JD249" s="135"/>
    </row>
    <row r="250" spans="1:264" customFormat="1" ht="15" customHeight="1">
      <c r="A250" s="79" t="s">
        <v>1032</v>
      </c>
      <c r="B250" s="614">
        <v>22</v>
      </c>
      <c r="C250" s="614"/>
      <c r="D250" s="614"/>
      <c r="E250" s="604" t="s">
        <v>2084</v>
      </c>
      <c r="F250" s="124" t="s">
        <v>2338</v>
      </c>
      <c r="G250" s="125">
        <v>2016</v>
      </c>
      <c r="H250" s="79">
        <v>26642920</v>
      </c>
      <c r="I250" s="79">
        <v>1</v>
      </c>
      <c r="J250" s="126">
        <v>1</v>
      </c>
      <c r="K250" s="127"/>
      <c r="L250" s="79">
        <v>1</v>
      </c>
      <c r="M250" s="79"/>
      <c r="N250" s="153">
        <v>1</v>
      </c>
      <c r="O250" s="128">
        <v>2</v>
      </c>
      <c r="P250" s="79" t="s">
        <v>1220</v>
      </c>
      <c r="Q250" s="79" t="s">
        <v>1216</v>
      </c>
      <c r="R250" s="79" t="s">
        <v>1389</v>
      </c>
      <c r="S250" s="79"/>
      <c r="T250" s="79" t="s">
        <v>1488</v>
      </c>
      <c r="U250" s="79"/>
      <c r="V250" s="79"/>
      <c r="W250" s="79" t="s">
        <v>1715</v>
      </c>
      <c r="X250" s="79"/>
      <c r="Y250" s="79"/>
      <c r="Z250" s="79"/>
      <c r="AA250" s="79"/>
      <c r="AB250" s="79"/>
      <c r="AC250" s="506"/>
      <c r="AD250" s="573">
        <v>1</v>
      </c>
      <c r="AE250" s="573">
        <v>2</v>
      </c>
      <c r="AF250" s="165" t="s">
        <v>3003</v>
      </c>
      <c r="AG250" s="166" t="s">
        <v>3341</v>
      </c>
      <c r="AH250" s="120">
        <v>5</v>
      </c>
      <c r="AI250" s="484"/>
      <c r="AJ250" s="206"/>
      <c r="AK250" s="192">
        <v>0</v>
      </c>
      <c r="AL250" s="207"/>
      <c r="AM250" s="120"/>
      <c r="AN250" s="120"/>
      <c r="AO250" s="120"/>
      <c r="AP250" s="120" t="s">
        <v>803</v>
      </c>
      <c r="AQ250" s="120" t="s">
        <v>803</v>
      </c>
      <c r="AR250" s="120" t="s">
        <v>2998</v>
      </c>
      <c r="AS250" s="120" t="s">
        <v>24</v>
      </c>
      <c r="AT250" s="120" t="s">
        <v>2998</v>
      </c>
      <c r="AU250" s="120"/>
      <c r="AV250" s="120" t="s">
        <v>3000</v>
      </c>
      <c r="AW250" s="120">
        <v>1</v>
      </c>
      <c r="AX250" s="120" t="s">
        <v>3330</v>
      </c>
      <c r="AY250" s="120" t="s">
        <v>24</v>
      </c>
      <c r="AZ250" s="120" t="s">
        <v>3001</v>
      </c>
      <c r="BA250" s="120"/>
      <c r="BB250" s="594"/>
      <c r="BC250" s="594"/>
      <c r="BD250" s="156">
        <v>1</v>
      </c>
      <c r="BE250" s="156"/>
      <c r="BF250" s="156"/>
      <c r="BG250" s="156"/>
      <c r="BH250" s="156"/>
      <c r="BI250" s="156"/>
      <c r="BJ250" s="156"/>
      <c r="BK250" s="156"/>
      <c r="BL250" s="156"/>
      <c r="BM250" s="156"/>
      <c r="BN250" s="156"/>
      <c r="BO250" s="156"/>
      <c r="BP250" s="156"/>
      <c r="BQ250" s="595" t="s">
        <v>2999</v>
      </c>
      <c r="BR250" s="157" t="s">
        <v>6604</v>
      </c>
      <c r="BS250" s="660"/>
      <c r="BT250" s="134" t="s">
        <v>1876</v>
      </c>
      <c r="BU250" s="134"/>
      <c r="BV250" s="134" t="s">
        <v>3002</v>
      </c>
      <c r="BW250" s="134" t="s">
        <v>2471</v>
      </c>
      <c r="BX250" s="134" t="s">
        <v>2659</v>
      </c>
      <c r="BY250" s="134" t="s">
        <v>2659</v>
      </c>
      <c r="BZ250" s="259" t="s">
        <v>24</v>
      </c>
      <c r="CA250" s="454"/>
      <c r="CB250" s="138"/>
      <c r="CC250" s="134"/>
      <c r="CD250" s="134"/>
      <c r="CE250" s="134"/>
      <c r="CF250" s="138"/>
      <c r="CG250" s="134"/>
      <c r="CH250" s="134"/>
      <c r="CI250" s="134"/>
      <c r="CJ250" s="288"/>
      <c r="CK250" s="289"/>
      <c r="CL250" s="138"/>
      <c r="CM250" s="134"/>
      <c r="CN250" s="134"/>
      <c r="CO250" s="134"/>
      <c r="CP250" s="138"/>
      <c r="CQ250" s="134"/>
      <c r="CR250" s="134"/>
      <c r="CS250" s="134"/>
      <c r="CT250" s="288"/>
      <c r="CU250" s="289"/>
      <c r="CV250" s="276"/>
      <c r="CW250" s="308"/>
      <c r="CX250" s="138"/>
      <c r="CY250" s="134"/>
      <c r="CZ250" s="134"/>
      <c r="DA250" s="134"/>
      <c r="DB250" s="134"/>
      <c r="DC250" s="134"/>
      <c r="DD250" s="134"/>
      <c r="DE250" s="134"/>
      <c r="DF250" s="300"/>
      <c r="DG250" s="301"/>
      <c r="DH250" s="134"/>
      <c r="DI250" s="134"/>
      <c r="DJ250" s="134"/>
      <c r="DK250" s="134"/>
      <c r="DL250" s="134"/>
      <c r="DM250" s="134"/>
      <c r="DN250" s="134"/>
      <c r="DO250" s="134"/>
      <c r="DP250" s="300"/>
      <c r="DQ250" s="301"/>
      <c r="DR250" s="276"/>
      <c r="DS250" s="277"/>
      <c r="DT250" s="134"/>
      <c r="DU250" s="134"/>
      <c r="DV250" s="134"/>
      <c r="DW250" s="134"/>
      <c r="DX250" s="138"/>
      <c r="DY250" s="134"/>
      <c r="DZ250" s="134"/>
      <c r="EA250" s="134"/>
      <c r="EB250" s="301"/>
      <c r="EC250" s="301"/>
      <c r="ED250" s="138"/>
      <c r="EE250" s="134"/>
      <c r="EF250" s="134"/>
      <c r="EG250" s="134"/>
      <c r="EH250" s="138"/>
      <c r="EI250" s="134"/>
      <c r="EJ250" s="134"/>
      <c r="EK250" s="134"/>
      <c r="EL250" s="301"/>
      <c r="EM250" s="301"/>
      <c r="EN250" s="277"/>
      <c r="EO250" s="134"/>
      <c r="EP250" s="134"/>
      <c r="EQ250" s="134"/>
      <c r="ER250" s="134"/>
      <c r="ES250" s="134"/>
      <c r="ET250" s="134"/>
      <c r="EU250" s="134"/>
      <c r="EV250" s="134"/>
      <c r="EW250" s="301"/>
      <c r="EX250" s="301"/>
      <c r="EY250" s="134"/>
      <c r="EZ250" s="134"/>
      <c r="FA250" s="134"/>
      <c r="FB250" s="134"/>
      <c r="FC250" s="134"/>
      <c r="FD250" s="134"/>
      <c r="FE250" s="134"/>
      <c r="FF250" s="134"/>
      <c r="FG250" s="135"/>
      <c r="FH250" s="135"/>
      <c r="FI250" s="134"/>
      <c r="FJ250" s="134"/>
      <c r="FK250" s="134"/>
      <c r="FL250" s="134"/>
      <c r="FM250" s="134"/>
      <c r="FN250" s="134"/>
      <c r="FO250" s="134"/>
      <c r="FP250" s="134"/>
      <c r="FQ250" s="135"/>
      <c r="FR250" s="135"/>
      <c r="FS250" s="134"/>
      <c r="FT250" s="134"/>
      <c r="FU250" s="134"/>
      <c r="FV250" s="134"/>
      <c r="FW250" s="134"/>
      <c r="FX250" s="134"/>
      <c r="FY250" s="134"/>
      <c r="FZ250" s="134"/>
      <c r="GA250" s="135"/>
      <c r="GB250" s="135"/>
      <c r="GC250" s="134"/>
      <c r="GD250" s="134"/>
      <c r="GE250" s="134"/>
      <c r="GF250" s="134"/>
      <c r="GG250" s="134"/>
      <c r="GH250" s="134"/>
      <c r="GI250" s="134"/>
      <c r="GJ250" s="134"/>
      <c r="GK250" s="135"/>
      <c r="GL250" s="135"/>
      <c r="GM250" s="134"/>
      <c r="GN250" s="134"/>
      <c r="GO250" s="134"/>
      <c r="GP250" s="134"/>
      <c r="GQ250" s="134"/>
      <c r="GR250" s="134"/>
      <c r="GS250" s="134"/>
      <c r="GT250" s="134"/>
      <c r="GU250" s="135"/>
      <c r="GV250" s="135"/>
      <c r="GW250" s="134"/>
      <c r="GX250" s="134"/>
      <c r="GY250" s="134"/>
      <c r="GZ250" s="134"/>
      <c r="HA250" s="134"/>
      <c r="HB250" s="134"/>
      <c r="HC250" s="134"/>
      <c r="HD250" s="134"/>
      <c r="HE250" s="135"/>
      <c r="HF250" s="135"/>
      <c r="HG250" s="134"/>
      <c r="HH250" s="134"/>
      <c r="HI250" s="134"/>
      <c r="HJ250" s="134"/>
      <c r="HK250" s="134"/>
      <c r="HL250" s="134"/>
      <c r="HM250" s="134"/>
      <c r="HN250" s="134"/>
      <c r="HO250" s="135"/>
      <c r="HP250" s="135"/>
      <c r="HQ250" s="134"/>
      <c r="HR250" s="134"/>
      <c r="HS250" s="134"/>
      <c r="HT250" s="134"/>
      <c r="HU250" s="134"/>
      <c r="HV250" s="134"/>
      <c r="HW250" s="134"/>
      <c r="HX250" s="134"/>
      <c r="HY250" s="135"/>
      <c r="HZ250" s="135"/>
      <c r="IA250" s="134"/>
      <c r="IB250" s="134"/>
      <c r="IC250" s="134"/>
      <c r="ID250" s="134"/>
      <c r="IE250" s="134"/>
      <c r="IF250" s="134"/>
      <c r="IG250" s="134"/>
      <c r="IH250" s="134"/>
      <c r="II250" s="135"/>
      <c r="IJ250" s="135"/>
      <c r="IK250" s="134"/>
      <c r="IL250" s="134"/>
      <c r="IM250" s="134"/>
      <c r="IN250" s="134"/>
      <c r="IO250" s="134"/>
      <c r="IP250" s="134"/>
      <c r="IQ250" s="134"/>
      <c r="IR250" s="134"/>
      <c r="IS250" s="135"/>
      <c r="IT250" s="135"/>
      <c r="IU250" s="134"/>
      <c r="IV250" s="134"/>
      <c r="IW250" s="134"/>
      <c r="IX250" s="134"/>
      <c r="IY250" s="134"/>
      <c r="IZ250" s="134"/>
      <c r="JA250" s="134"/>
      <c r="JB250" s="134"/>
      <c r="JC250" s="135"/>
      <c r="JD250" s="135"/>
    </row>
    <row r="251" spans="1:264" customFormat="1" ht="15" customHeight="1">
      <c r="A251" s="79" t="s">
        <v>1029</v>
      </c>
      <c r="B251" s="362">
        <v>151</v>
      </c>
      <c r="C251" s="362">
        <v>47</v>
      </c>
      <c r="D251" s="362"/>
      <c r="E251" s="604" t="s">
        <v>2086</v>
      </c>
      <c r="F251" s="124" t="s">
        <v>2340</v>
      </c>
      <c r="G251" s="125">
        <v>2015</v>
      </c>
      <c r="H251" s="79">
        <v>25882722</v>
      </c>
      <c r="I251" s="79">
        <v>1</v>
      </c>
      <c r="J251" s="126" t="s">
        <v>1847</v>
      </c>
      <c r="K251" s="127"/>
      <c r="L251" s="79">
        <v>1</v>
      </c>
      <c r="M251" s="79"/>
      <c r="N251" s="79">
        <v>1</v>
      </c>
      <c r="O251" s="128">
        <v>2</v>
      </c>
      <c r="P251" s="79" t="s">
        <v>1398</v>
      </c>
      <c r="Q251" s="79" t="s">
        <v>1216</v>
      </c>
      <c r="R251" s="79" t="s">
        <v>1396</v>
      </c>
      <c r="S251" s="79"/>
      <c r="T251" s="79" t="s">
        <v>1498</v>
      </c>
      <c r="U251" s="79" t="s">
        <v>803</v>
      </c>
      <c r="V251" s="79" t="s">
        <v>23</v>
      </c>
      <c r="W251" s="79" t="s">
        <v>1518</v>
      </c>
      <c r="X251" s="79"/>
      <c r="Y251" s="79" t="s">
        <v>1397</v>
      </c>
      <c r="Z251" s="79"/>
      <c r="AA251" s="79"/>
      <c r="AB251" s="79"/>
      <c r="AC251" s="506"/>
      <c r="AD251" s="573">
        <v>1</v>
      </c>
      <c r="AE251" s="573">
        <v>2</v>
      </c>
      <c r="AF251" s="154">
        <v>1</v>
      </c>
      <c r="AG251" s="155"/>
      <c r="AH251" s="121">
        <v>4</v>
      </c>
      <c r="AI251" s="484"/>
      <c r="AJ251" s="202" t="s">
        <v>4898</v>
      </c>
      <c r="AK251" s="192">
        <v>0</v>
      </c>
      <c r="AL251" s="203" t="s">
        <v>4874</v>
      </c>
      <c r="AM251" s="121" t="s">
        <v>4871</v>
      </c>
      <c r="AN251" s="121">
        <v>16</v>
      </c>
      <c r="AO251" s="121">
        <v>16</v>
      </c>
      <c r="AP251" s="121" t="s">
        <v>803</v>
      </c>
      <c r="AQ251" s="121" t="s">
        <v>803</v>
      </c>
      <c r="AR251" s="121" t="s">
        <v>4872</v>
      </c>
      <c r="AS251" s="121" t="s">
        <v>24</v>
      </c>
      <c r="AT251" s="121" t="s">
        <v>4872</v>
      </c>
      <c r="AU251" s="121" t="s">
        <v>24</v>
      </c>
      <c r="AV251" s="121" t="s">
        <v>4873</v>
      </c>
      <c r="AW251" s="121">
        <v>1</v>
      </c>
      <c r="AX251" s="121" t="s">
        <v>4875</v>
      </c>
      <c r="AY251" s="121" t="s">
        <v>3515</v>
      </c>
      <c r="AZ251" s="121" t="s">
        <v>2912</v>
      </c>
      <c r="BA251" s="121" t="s">
        <v>4508</v>
      </c>
      <c r="BB251" s="594"/>
      <c r="BC251" s="594"/>
      <c r="BD251" s="156"/>
      <c r="BE251" s="156"/>
      <c r="BF251" s="156"/>
      <c r="BG251" s="156"/>
      <c r="BH251" s="156"/>
      <c r="BI251" s="156"/>
      <c r="BJ251" s="156">
        <v>1</v>
      </c>
      <c r="BK251" s="156"/>
      <c r="BL251" s="156"/>
      <c r="BM251" s="156"/>
      <c r="BN251" s="156"/>
      <c r="BO251" s="156"/>
      <c r="BP251" s="156"/>
      <c r="BQ251" s="595" t="s">
        <v>4877</v>
      </c>
      <c r="BR251" s="157" t="s">
        <v>6613</v>
      </c>
      <c r="BS251" s="660"/>
      <c r="BT251" s="134" t="s">
        <v>1876</v>
      </c>
      <c r="BU251" s="134" t="s">
        <v>4878</v>
      </c>
      <c r="BV251" s="134" t="s">
        <v>4879</v>
      </c>
      <c r="BW251" s="134" t="s">
        <v>4876</v>
      </c>
      <c r="BX251" s="134" t="s">
        <v>4880</v>
      </c>
      <c r="BY251" s="134"/>
      <c r="BZ251" s="259" t="s">
        <v>4895</v>
      </c>
      <c r="CA251" s="454" t="s">
        <v>24</v>
      </c>
      <c r="CB251" s="138" t="s">
        <v>4881</v>
      </c>
      <c r="CC251" s="134">
        <v>0.22741900000000001</v>
      </c>
      <c r="CD251" s="134" t="s">
        <v>24</v>
      </c>
      <c r="CE251" s="134">
        <f>0.262903-Table668[[#This Row],[Data_Outcome1_M]]</f>
        <v>3.5483999999999988E-2</v>
      </c>
      <c r="CF251" s="138" t="s">
        <v>4882</v>
      </c>
      <c r="CG251" s="134">
        <v>0.4</v>
      </c>
      <c r="CH251" s="134" t="s">
        <v>24</v>
      </c>
      <c r="CI251" s="134">
        <f>0.424194-Table668[[#This Row],[Data_Outcome2_M]]</f>
        <v>2.4193999999999993E-2</v>
      </c>
      <c r="CJ251" s="288" t="s">
        <v>4887</v>
      </c>
      <c r="CK251" s="289" t="s">
        <v>4890</v>
      </c>
      <c r="CL251" s="138" t="s">
        <v>4883</v>
      </c>
      <c r="CM251" s="134">
        <v>0.20474000000000001</v>
      </c>
      <c r="CN251" s="134" t="s">
        <v>24</v>
      </c>
      <c r="CO251" s="134">
        <f>0.227169-Table668[[#This Row],[Data_Outcome3_M]]</f>
        <v>2.2429000000000004E-2</v>
      </c>
      <c r="CP251" s="138" t="s">
        <v>4884</v>
      </c>
      <c r="CQ251" s="134">
        <v>0.42828500000000003</v>
      </c>
      <c r="CR251" s="134" t="s">
        <v>24</v>
      </c>
      <c r="CS251" s="134">
        <f>0.442707-Table668[[#This Row],[Data_Outcome4_M]]</f>
        <v>1.442199999999999E-2</v>
      </c>
      <c r="CT251" s="288" t="s">
        <v>4888</v>
      </c>
      <c r="CU251" s="289" t="s">
        <v>4891</v>
      </c>
      <c r="CV251" s="276" t="s">
        <v>4892</v>
      </c>
      <c r="CW251" s="308" t="s">
        <v>4893</v>
      </c>
      <c r="CX251" s="138" t="s">
        <v>4885</v>
      </c>
      <c r="CY251" s="134">
        <v>0.39549800000000002</v>
      </c>
      <c r="CZ251" s="134" t="s">
        <v>24</v>
      </c>
      <c r="DA251" s="134">
        <f>0.442122-Table668[[#This Row],[Data_Outcome5_M]]</f>
        <v>4.6623999999999999E-2</v>
      </c>
      <c r="DB251" s="138" t="s">
        <v>4886</v>
      </c>
      <c r="DC251" s="134">
        <v>0.451768</v>
      </c>
      <c r="DD251" s="134" t="s">
        <v>24</v>
      </c>
      <c r="DE251" s="134">
        <f>0.46463-Table668[[#This Row],[Data_Outcome6_M]]</f>
        <v>1.2861999999999985E-2</v>
      </c>
      <c r="DF251" s="300" t="s">
        <v>4889</v>
      </c>
      <c r="DG251" s="301" t="s">
        <v>4894</v>
      </c>
      <c r="DH251" s="134" t="s">
        <v>24</v>
      </c>
      <c r="DI251" s="134"/>
      <c r="DJ251" s="134"/>
      <c r="DK251" s="134"/>
      <c r="DL251" s="134"/>
      <c r="DM251" s="134"/>
      <c r="DN251" s="134"/>
      <c r="DO251" s="134"/>
      <c r="DP251" s="300"/>
      <c r="DQ251" s="301"/>
      <c r="DR251" s="276"/>
      <c r="DS251" s="277"/>
      <c r="DT251" s="134"/>
      <c r="DU251" s="134"/>
      <c r="DV251" s="134"/>
      <c r="DW251" s="480"/>
      <c r="DX251" s="134"/>
      <c r="DY251" s="134"/>
      <c r="DZ251" s="134"/>
      <c r="EA251" s="134"/>
      <c r="EB251" s="301"/>
      <c r="EC251" s="301"/>
      <c r="ED251" s="138"/>
      <c r="EE251" s="134"/>
      <c r="EF251" s="134"/>
      <c r="EG251" s="134"/>
      <c r="EH251" s="138"/>
      <c r="EI251" s="134"/>
      <c r="EJ251" s="134"/>
      <c r="EK251" s="134"/>
      <c r="EL251" s="301"/>
      <c r="EM251" s="301"/>
      <c r="EN251" s="277"/>
      <c r="EO251" s="134"/>
      <c r="EP251" s="134"/>
      <c r="EQ251" s="134"/>
      <c r="ER251" s="480"/>
      <c r="ES251" s="138"/>
      <c r="ET251" s="134"/>
      <c r="EU251" s="134"/>
      <c r="EV251" s="134"/>
      <c r="EW251" s="301"/>
      <c r="EX251" s="301"/>
      <c r="EY251" s="134"/>
      <c r="EZ251" s="134"/>
      <c r="FA251" s="134"/>
      <c r="FB251" s="480"/>
      <c r="FC251" s="134"/>
      <c r="FD251" s="134"/>
      <c r="FE251" s="134"/>
      <c r="FF251" s="134"/>
      <c r="FG251" s="135"/>
      <c r="FH251" s="135"/>
      <c r="FI251" s="134"/>
      <c r="FJ251" s="134"/>
      <c r="FK251" s="134"/>
      <c r="FL251" s="134"/>
      <c r="FM251" s="134"/>
      <c r="FN251" s="134"/>
      <c r="FO251" s="134"/>
      <c r="FP251" s="134"/>
      <c r="FQ251" s="135"/>
      <c r="FR251" s="135"/>
      <c r="FS251" s="134"/>
      <c r="FT251" s="134"/>
      <c r="FU251" s="134"/>
      <c r="FV251" s="134"/>
      <c r="FW251" s="134"/>
      <c r="FX251" s="134"/>
      <c r="FY251" s="134"/>
      <c r="FZ251" s="134"/>
      <c r="GA251" s="135"/>
      <c r="GB251" s="135"/>
      <c r="GC251" s="134"/>
      <c r="GD251" s="134"/>
      <c r="GE251" s="134"/>
      <c r="GF251" s="134"/>
      <c r="GG251" s="134"/>
      <c r="GH251" s="134"/>
      <c r="GI251" s="134"/>
      <c r="GJ251" s="134"/>
      <c r="GK251" s="135"/>
      <c r="GL251" s="135"/>
      <c r="GM251" s="134"/>
      <c r="GN251" s="134"/>
      <c r="GO251" s="134"/>
      <c r="GP251" s="134"/>
      <c r="GQ251" s="134"/>
      <c r="GR251" s="134"/>
      <c r="GS251" s="134"/>
      <c r="GT251" s="134"/>
      <c r="GU251" s="135"/>
      <c r="GV251" s="135"/>
      <c r="GW251" s="134"/>
      <c r="GX251" s="134"/>
      <c r="GY251" s="134"/>
      <c r="GZ251" s="134"/>
      <c r="HA251" s="134"/>
      <c r="HB251" s="134"/>
      <c r="HC251" s="134"/>
      <c r="HD251" s="134"/>
      <c r="HE251" s="135"/>
      <c r="HF251" s="135"/>
      <c r="HG251" s="134"/>
      <c r="HH251" s="134"/>
      <c r="HI251" s="134"/>
      <c r="HJ251" s="134"/>
      <c r="HK251" s="134"/>
      <c r="HL251" s="134"/>
      <c r="HM251" s="134"/>
      <c r="HN251" s="134"/>
      <c r="HO251" s="135"/>
      <c r="HP251" s="135"/>
      <c r="HQ251" s="134"/>
      <c r="HR251" s="134"/>
      <c r="HS251" s="134"/>
      <c r="HT251" s="134"/>
      <c r="HU251" s="134"/>
      <c r="HV251" s="134"/>
      <c r="HW251" s="134"/>
      <c r="HX251" s="134"/>
      <c r="HY251" s="135"/>
      <c r="HZ251" s="135"/>
      <c r="IA251" s="134"/>
      <c r="IB251" s="134"/>
      <c r="IC251" s="134"/>
      <c r="ID251" s="134"/>
      <c r="IE251" s="134"/>
      <c r="IF251" s="134"/>
      <c r="IG251" s="134"/>
      <c r="IH251" s="134"/>
      <c r="II251" s="135"/>
      <c r="IJ251" s="135"/>
      <c r="IK251" s="134"/>
      <c r="IL251" s="134"/>
      <c r="IM251" s="134"/>
      <c r="IN251" s="134"/>
      <c r="IO251" s="134"/>
      <c r="IP251" s="134"/>
      <c r="IQ251" s="134"/>
      <c r="IR251" s="134"/>
      <c r="IS251" s="135"/>
      <c r="IT251" s="135"/>
      <c r="IU251" s="134"/>
      <c r="IV251" s="134"/>
      <c r="IW251" s="134"/>
      <c r="IX251" s="134"/>
      <c r="IY251" s="134"/>
      <c r="IZ251" s="134"/>
      <c r="JA251" s="134"/>
      <c r="JB251" s="134"/>
      <c r="JC251" s="135"/>
      <c r="JD251" s="135"/>
    </row>
    <row r="252" spans="1:264" customFormat="1" ht="15" customHeight="1">
      <c r="A252" s="79" t="s">
        <v>1028</v>
      </c>
      <c r="B252" s="362">
        <v>152</v>
      </c>
      <c r="C252" s="362">
        <v>48</v>
      </c>
      <c r="D252" s="362"/>
      <c r="E252" s="604" t="s">
        <v>2086</v>
      </c>
      <c r="F252" s="124" t="s">
        <v>2341</v>
      </c>
      <c r="G252" s="125">
        <v>2015</v>
      </c>
      <c r="H252" s="79">
        <v>25976074</v>
      </c>
      <c r="I252" s="79">
        <v>1</v>
      </c>
      <c r="J252" s="126"/>
      <c r="K252" s="127"/>
      <c r="L252" s="79">
        <v>1</v>
      </c>
      <c r="M252" s="79"/>
      <c r="N252" s="79">
        <v>1</v>
      </c>
      <c r="O252" s="128">
        <v>2</v>
      </c>
      <c r="P252" s="79" t="s">
        <v>1399</v>
      </c>
      <c r="Q252" s="79" t="s">
        <v>1216</v>
      </c>
      <c r="R252" s="79" t="s">
        <v>1127</v>
      </c>
      <c r="S252" s="79"/>
      <c r="T252" s="79" t="s">
        <v>1487</v>
      </c>
      <c r="U252" s="79" t="s">
        <v>803</v>
      </c>
      <c r="V252" s="79" t="s">
        <v>23</v>
      </c>
      <c r="W252" s="79" t="s">
        <v>1677</v>
      </c>
      <c r="X252" s="79" t="s">
        <v>1400</v>
      </c>
      <c r="Y252" s="79"/>
      <c r="Z252" s="79"/>
      <c r="AA252" s="79"/>
      <c r="AB252" s="79"/>
      <c r="AC252" s="506"/>
      <c r="AD252" s="573">
        <v>1</v>
      </c>
      <c r="AE252" s="573">
        <v>2</v>
      </c>
      <c r="AF252" s="154">
        <v>1</v>
      </c>
      <c r="AG252" s="155"/>
      <c r="AH252" s="121">
        <v>4</v>
      </c>
      <c r="AI252" s="484"/>
      <c r="AJ252" s="202" t="s">
        <v>4922</v>
      </c>
      <c r="AK252" s="192">
        <v>0</v>
      </c>
      <c r="AL252" s="203">
        <v>0</v>
      </c>
      <c r="AM252" s="121" t="s">
        <v>4899</v>
      </c>
      <c r="AN252" s="121">
        <f>120/5</f>
        <v>24</v>
      </c>
      <c r="AO252" s="121">
        <f>120/5</f>
        <v>24</v>
      </c>
      <c r="AP252" s="121" t="s">
        <v>803</v>
      </c>
      <c r="AQ252" s="121" t="s">
        <v>803</v>
      </c>
      <c r="AR252" s="121" t="s">
        <v>3633</v>
      </c>
      <c r="AS252" s="121" t="s">
        <v>24</v>
      </c>
      <c r="AT252" s="121" t="s">
        <v>3633</v>
      </c>
      <c r="AU252" s="121" t="s">
        <v>24</v>
      </c>
      <c r="AV252" s="121" t="s">
        <v>4900</v>
      </c>
      <c r="AW252" s="121">
        <v>1</v>
      </c>
      <c r="AX252" s="121">
        <v>1</v>
      </c>
      <c r="AY252" s="121" t="s">
        <v>4901</v>
      </c>
      <c r="AZ252" s="121" t="s">
        <v>2912</v>
      </c>
      <c r="BA252" s="121" t="s">
        <v>4508</v>
      </c>
      <c r="BB252" s="594"/>
      <c r="BC252" s="594"/>
      <c r="BD252" s="156"/>
      <c r="BE252" s="156"/>
      <c r="BF252" s="156"/>
      <c r="BG252" s="156"/>
      <c r="BH252" s="156"/>
      <c r="BI252" s="156"/>
      <c r="BJ252" s="156">
        <v>1</v>
      </c>
      <c r="BK252" s="156"/>
      <c r="BL252" s="156"/>
      <c r="BM252" s="156"/>
      <c r="BN252" s="156"/>
      <c r="BO252" s="156"/>
      <c r="BP252" s="156"/>
      <c r="BQ252" s="595" t="s">
        <v>4906</v>
      </c>
      <c r="BR252" s="157" t="s">
        <v>6617</v>
      </c>
      <c r="BS252" s="660"/>
      <c r="BT252" s="134" t="s">
        <v>1876</v>
      </c>
      <c r="BU252" s="134" t="s">
        <v>4904</v>
      </c>
      <c r="BV252" s="134" t="s">
        <v>4902</v>
      </c>
      <c r="BW252" s="134" t="s">
        <v>4905</v>
      </c>
      <c r="BX252" s="134" t="s">
        <v>4903</v>
      </c>
      <c r="BY252" s="134"/>
      <c r="BZ252" s="259" t="s">
        <v>4921</v>
      </c>
      <c r="CA252" s="454" t="s">
        <v>24</v>
      </c>
      <c r="CB252" s="138" t="s">
        <v>4907</v>
      </c>
      <c r="CC252" s="134">
        <v>48.7059</v>
      </c>
      <c r="CD252" s="134">
        <f>50.6184-Table668[[#This Row],[Data_Outcome1_M]]</f>
        <v>1.9125000000000014</v>
      </c>
      <c r="CE252" s="134" t="s">
        <v>24</v>
      </c>
      <c r="CF252" s="138" t="s">
        <v>4908</v>
      </c>
      <c r="CG252" s="134">
        <v>52.088200000000001</v>
      </c>
      <c r="CH252" s="134">
        <f>53.4118-Table668[[#This Row],[Data_Outcome2_M]]</f>
        <v>1.323599999999999</v>
      </c>
      <c r="CI252" s="134" t="s">
        <v>24</v>
      </c>
      <c r="CJ252" s="544" t="s">
        <v>4919</v>
      </c>
      <c r="CK252" s="544" t="s">
        <v>2555</v>
      </c>
      <c r="CL252" s="138" t="s">
        <v>4909</v>
      </c>
      <c r="CM252" s="134">
        <v>33.808700000000002</v>
      </c>
      <c r="CN252" s="134">
        <f>36.0146-Table668[[#This Row],[Data_Outcome3_M]]</f>
        <v>2.2058999999999997</v>
      </c>
      <c r="CO252" s="134" t="s">
        <v>24</v>
      </c>
      <c r="CP252" s="138" t="s">
        <v>4910</v>
      </c>
      <c r="CQ252" s="134">
        <v>48.808599999999998</v>
      </c>
      <c r="CR252" s="134">
        <f>50.1321-Table668[[#This Row],[Data_Outcome4_M]]</f>
        <v>1.3235000000000028</v>
      </c>
      <c r="CS252" s="134" t="s">
        <v>24</v>
      </c>
      <c r="CT252" s="544" t="s">
        <v>4919</v>
      </c>
      <c r="CU252" s="544" t="s">
        <v>2588</v>
      </c>
      <c r="CV252" s="276" t="s">
        <v>24</v>
      </c>
      <c r="CW252" s="308" t="s">
        <v>24</v>
      </c>
      <c r="CX252" s="138" t="s">
        <v>4911</v>
      </c>
      <c r="CY252" s="134">
        <v>24.647200000000002</v>
      </c>
      <c r="CZ252" s="134">
        <f>26.2648-Table668[[#This Row],[Data_Outcome5_M]]</f>
        <v>1.6175999999999995</v>
      </c>
      <c r="DA252" s="134" t="s">
        <v>24</v>
      </c>
      <c r="DB252" s="138" t="s">
        <v>4912</v>
      </c>
      <c r="DC252" s="134">
        <v>44.058399999999999</v>
      </c>
      <c r="DD252" s="134">
        <f>45.3819-Table668[[#This Row],[Data_Outcome6_M]]</f>
        <v>1.3235000000000028</v>
      </c>
      <c r="DE252" s="134" t="s">
        <v>24</v>
      </c>
      <c r="DF252" s="550" t="s">
        <v>4919</v>
      </c>
      <c r="DG252" s="550" t="s">
        <v>2588</v>
      </c>
      <c r="DH252" s="138" t="s">
        <v>4913</v>
      </c>
      <c r="DI252" s="134">
        <v>16.809100000000001</v>
      </c>
      <c r="DJ252" s="134">
        <f>17.8381-Table668[[#This Row],[Data_Outcome7_M]]</f>
        <v>1.0289999999999999</v>
      </c>
      <c r="DK252" s="134" t="s">
        <v>24</v>
      </c>
      <c r="DL252" s="138" t="s">
        <v>4914</v>
      </c>
      <c r="DM252" s="134">
        <v>37.543900000000001</v>
      </c>
      <c r="DN252" s="134">
        <f>38.8674-Table668[[#This Row],[Data_Outcome8_M]]</f>
        <v>1.3235000000000028</v>
      </c>
      <c r="DO252" s="134" t="s">
        <v>24</v>
      </c>
      <c r="DP252" s="301" t="s">
        <v>4919</v>
      </c>
      <c r="DQ252" s="301" t="s">
        <v>2588</v>
      </c>
      <c r="DR252" s="276" t="s">
        <v>24</v>
      </c>
      <c r="DS252" s="277" t="s">
        <v>24</v>
      </c>
      <c r="DT252" s="138" t="s">
        <v>4915</v>
      </c>
      <c r="DU252" s="134">
        <v>14.264799999999999</v>
      </c>
      <c r="DV252" s="134">
        <f>15.5883-Table668[[#This Row],[Data_Outcome9_M]]</f>
        <v>1.323500000000001</v>
      </c>
      <c r="DW252" s="134" t="s">
        <v>24</v>
      </c>
      <c r="DX252" s="138" t="s">
        <v>4916</v>
      </c>
      <c r="DY252" s="134">
        <v>33.2348</v>
      </c>
      <c r="DZ252" s="134">
        <f>34.1172-Table668[[#This Row],[Data_Outcome10_M]]</f>
        <v>0.88239999999999696</v>
      </c>
      <c r="EA252" s="134" t="s">
        <v>24</v>
      </c>
      <c r="EB252" s="301" t="s">
        <v>4919</v>
      </c>
      <c r="EC252" s="301" t="s">
        <v>2588</v>
      </c>
      <c r="ED252" s="138" t="s">
        <v>4917</v>
      </c>
      <c r="EE252" s="134">
        <v>12.8094</v>
      </c>
      <c r="EF252" s="134">
        <f>13.8614-Table668[[#This Row],[Data_Outcome11_M]]</f>
        <v>1.0519999999999996</v>
      </c>
      <c r="EG252" s="134" t="s">
        <v>24</v>
      </c>
      <c r="EH252" s="138" t="s">
        <v>4918</v>
      </c>
      <c r="EI252" s="134">
        <v>19.616299999999999</v>
      </c>
      <c r="EJ252" s="134">
        <f>21.7822-Table668[[#This Row],[Data_Outcome12_M]]</f>
        <v>2.1659000000000006</v>
      </c>
      <c r="EK252" s="134" t="s">
        <v>24</v>
      </c>
      <c r="EL252" s="301" t="s">
        <v>4920</v>
      </c>
      <c r="EM252" s="301" t="s">
        <v>2588</v>
      </c>
      <c r="EN252" s="277"/>
      <c r="EO252" s="134"/>
      <c r="EP252" s="134"/>
      <c r="EQ252" s="134"/>
      <c r="ER252" s="480"/>
      <c r="ES252" s="138"/>
      <c r="ET252" s="134"/>
      <c r="EU252" s="134"/>
      <c r="EV252" s="134"/>
      <c r="EW252" s="301"/>
      <c r="EX252" s="301"/>
      <c r="EY252" s="134"/>
      <c r="EZ252" s="134"/>
      <c r="FA252" s="134"/>
      <c r="FB252" s="480"/>
      <c r="FC252" s="134"/>
      <c r="FD252" s="134"/>
      <c r="FE252" s="134"/>
      <c r="FF252" s="134"/>
      <c r="FG252" s="135"/>
      <c r="FH252" s="135"/>
      <c r="FI252" s="134"/>
      <c r="FJ252" s="134"/>
      <c r="FK252" s="134"/>
      <c r="FL252" s="134"/>
      <c r="FM252" s="134"/>
      <c r="FN252" s="134"/>
      <c r="FO252" s="134"/>
      <c r="FP252" s="134"/>
      <c r="FQ252" s="135"/>
      <c r="FR252" s="135"/>
      <c r="FS252" s="134"/>
      <c r="FT252" s="134"/>
      <c r="FU252" s="134"/>
      <c r="FV252" s="134"/>
      <c r="FW252" s="134"/>
      <c r="FX252" s="134"/>
      <c r="FY252" s="134"/>
      <c r="FZ252" s="134"/>
      <c r="GA252" s="135"/>
      <c r="GB252" s="135"/>
      <c r="GC252" s="134"/>
      <c r="GD252" s="134"/>
      <c r="GE252" s="134"/>
      <c r="GF252" s="134"/>
      <c r="GG252" s="134"/>
      <c r="GH252" s="134"/>
      <c r="GI252" s="134"/>
      <c r="GJ252" s="134"/>
      <c r="GK252" s="135"/>
      <c r="GL252" s="135"/>
      <c r="GM252" s="134"/>
      <c r="GN252" s="134"/>
      <c r="GO252" s="134"/>
      <c r="GP252" s="134"/>
      <c r="GQ252" s="134"/>
      <c r="GR252" s="134"/>
      <c r="GS252" s="134"/>
      <c r="GT252" s="134"/>
      <c r="GU252" s="135"/>
      <c r="GV252" s="135"/>
      <c r="GW252" s="134"/>
      <c r="GX252" s="134"/>
      <c r="GY252" s="134"/>
      <c r="GZ252" s="134"/>
      <c r="HA252" s="134"/>
      <c r="HB252" s="134"/>
      <c r="HC252" s="134"/>
      <c r="HD252" s="134"/>
      <c r="HE252" s="135"/>
      <c r="HF252" s="135"/>
      <c r="HG252" s="134"/>
      <c r="HH252" s="134"/>
      <c r="HI252" s="134"/>
      <c r="HJ252" s="134"/>
      <c r="HK252" s="134"/>
      <c r="HL252" s="134"/>
      <c r="HM252" s="134"/>
      <c r="HN252" s="134"/>
      <c r="HO252" s="135"/>
      <c r="HP252" s="135"/>
      <c r="HQ252" s="134"/>
      <c r="HR252" s="134"/>
      <c r="HS252" s="134"/>
      <c r="HT252" s="134"/>
      <c r="HU252" s="134"/>
      <c r="HV252" s="134"/>
      <c r="HW252" s="134"/>
      <c r="HX252" s="134"/>
      <c r="HY252" s="135"/>
      <c r="HZ252" s="135"/>
      <c r="IA252" s="134"/>
      <c r="IB252" s="134"/>
      <c r="IC252" s="134"/>
      <c r="ID252" s="134"/>
      <c r="IE252" s="134"/>
      <c r="IF252" s="134"/>
      <c r="IG252" s="134"/>
      <c r="IH252" s="134"/>
      <c r="II252" s="135"/>
      <c r="IJ252" s="135"/>
      <c r="IK252" s="134"/>
      <c r="IL252" s="134"/>
      <c r="IM252" s="134"/>
      <c r="IN252" s="134"/>
      <c r="IO252" s="134"/>
      <c r="IP252" s="134"/>
      <c r="IQ252" s="134"/>
      <c r="IR252" s="134"/>
      <c r="IS252" s="135"/>
      <c r="IT252" s="135"/>
      <c r="IU252" s="134"/>
      <c r="IV252" s="134"/>
      <c r="IW252" s="134"/>
      <c r="IX252" s="134"/>
      <c r="IY252" s="134"/>
      <c r="IZ252" s="134"/>
      <c r="JA252" s="134"/>
      <c r="JB252" s="134"/>
      <c r="JC252" s="135"/>
      <c r="JD252" s="135"/>
    </row>
    <row r="253" spans="1:264" customFormat="1" ht="15" customHeight="1">
      <c r="A253" s="79" t="s">
        <v>1027</v>
      </c>
      <c r="B253" s="614">
        <v>23</v>
      </c>
      <c r="C253" s="614"/>
      <c r="D253" s="614"/>
      <c r="E253" s="604" t="s">
        <v>2087</v>
      </c>
      <c r="F253" s="124" t="s">
        <v>2342</v>
      </c>
      <c r="G253" s="125">
        <v>2015</v>
      </c>
      <c r="H253" s="79">
        <v>26650043</v>
      </c>
      <c r="I253" s="79">
        <v>1</v>
      </c>
      <c r="J253" s="126">
        <v>1</v>
      </c>
      <c r="K253" s="127"/>
      <c r="L253" s="79">
        <v>1</v>
      </c>
      <c r="M253" s="79"/>
      <c r="N253" s="79">
        <v>1</v>
      </c>
      <c r="O253" s="128">
        <v>2</v>
      </c>
      <c r="P253" s="79" t="s">
        <v>1401</v>
      </c>
      <c r="Q253" s="79" t="s">
        <v>1169</v>
      </c>
      <c r="R253" s="79" t="s">
        <v>1127</v>
      </c>
      <c r="S253" s="79"/>
      <c r="T253" s="79" t="s">
        <v>1487</v>
      </c>
      <c r="U253" s="79"/>
      <c r="V253" s="79"/>
      <c r="W253" s="79" t="s">
        <v>1676</v>
      </c>
      <c r="X253" s="79" t="s">
        <v>1402</v>
      </c>
      <c r="Y253" s="79"/>
      <c r="Z253" s="79"/>
      <c r="AA253" s="79"/>
      <c r="AB253" s="79"/>
      <c r="AC253" s="506"/>
      <c r="AD253" s="573">
        <v>1</v>
      </c>
      <c r="AE253" s="573">
        <v>2</v>
      </c>
      <c r="AF253" s="154">
        <v>1</v>
      </c>
      <c r="AG253" s="155"/>
      <c r="AH253" s="121">
        <v>4</v>
      </c>
      <c r="AI253" s="484"/>
      <c r="AJ253" s="202" t="s">
        <v>3030</v>
      </c>
      <c r="AK253" s="192">
        <v>0</v>
      </c>
      <c r="AL253" s="203">
        <v>1</v>
      </c>
      <c r="AM253" s="121" t="s">
        <v>3029</v>
      </c>
      <c r="AN253" s="121" t="s">
        <v>3028</v>
      </c>
      <c r="AO253" s="121" t="s">
        <v>3028</v>
      </c>
      <c r="AP253" s="121" t="s">
        <v>803</v>
      </c>
      <c r="AQ253" s="121" t="s">
        <v>803</v>
      </c>
      <c r="AR253" s="121" t="s">
        <v>24</v>
      </c>
      <c r="AS253" s="121" t="s">
        <v>24</v>
      </c>
      <c r="AT253" s="121" t="s">
        <v>24</v>
      </c>
      <c r="AU253" s="121" t="s">
        <v>24</v>
      </c>
      <c r="AV253" s="121" t="s">
        <v>2963</v>
      </c>
      <c r="AW253" s="121">
        <v>1</v>
      </c>
      <c r="AX253" s="121">
        <v>1</v>
      </c>
      <c r="AY253" s="121" t="s">
        <v>3004</v>
      </c>
      <c r="AZ253" s="121" t="s">
        <v>1130</v>
      </c>
      <c r="BA253" s="121" t="s">
        <v>3005</v>
      </c>
      <c r="BB253" s="594"/>
      <c r="BC253" s="594"/>
      <c r="BD253" s="156">
        <v>1</v>
      </c>
      <c r="BE253" s="156"/>
      <c r="BF253" s="156"/>
      <c r="BG253" s="156"/>
      <c r="BH253" s="156"/>
      <c r="BI253" s="156"/>
      <c r="BJ253" s="156"/>
      <c r="BK253" s="156"/>
      <c r="BL253" s="156"/>
      <c r="BM253" s="156"/>
      <c r="BN253" s="156"/>
      <c r="BO253" s="156"/>
      <c r="BP253" s="156"/>
      <c r="BQ253" s="595" t="s">
        <v>2999</v>
      </c>
      <c r="BR253" s="157" t="s">
        <v>6604</v>
      </c>
      <c r="BS253" s="660"/>
      <c r="BT253" s="134" t="s">
        <v>1876</v>
      </c>
      <c r="BU253" s="134" t="s">
        <v>2942</v>
      </c>
      <c r="BV253" s="134" t="s">
        <v>3006</v>
      </c>
      <c r="BW253" s="134" t="s">
        <v>2606</v>
      </c>
      <c r="BX253" s="134" t="s">
        <v>2659</v>
      </c>
      <c r="BY253" s="134" t="s">
        <v>2659</v>
      </c>
      <c r="BZ253" s="259" t="s">
        <v>3027</v>
      </c>
      <c r="CA253" s="454" t="s">
        <v>6627</v>
      </c>
      <c r="CB253" s="138" t="s">
        <v>3007</v>
      </c>
      <c r="CC253" s="134">
        <v>33.960299999999997</v>
      </c>
      <c r="CD253" s="134" t="s">
        <v>24</v>
      </c>
      <c r="CE253" s="134">
        <f>37.1059-Table668[[#This Row],[Data_Outcome1_M]]</f>
        <v>3.1456000000000017</v>
      </c>
      <c r="CF253" s="138" t="s">
        <v>3008</v>
      </c>
      <c r="CG253" s="134">
        <v>67.106700000000004</v>
      </c>
      <c r="CH253" s="134" t="s">
        <v>24</v>
      </c>
      <c r="CI253" s="134">
        <f>68.9045-Table668[[#This Row],[Data_Outcome2_M]]</f>
        <v>1.7977999999999952</v>
      </c>
      <c r="CJ253" s="288" t="s">
        <v>3015</v>
      </c>
      <c r="CK253" s="293" t="s">
        <v>3019</v>
      </c>
      <c r="CL253" s="138" t="s">
        <v>3009</v>
      </c>
      <c r="CM253" s="134">
        <v>34.791899999999998</v>
      </c>
      <c r="CN253" s="134" t="s">
        <v>24</v>
      </c>
      <c r="CO253" s="134">
        <f>37.1522-Table668[[#This Row],[Data_Outcome3_M]]</f>
        <v>2.3603000000000023</v>
      </c>
      <c r="CP253" s="138" t="s">
        <v>3010</v>
      </c>
      <c r="CQ253" s="134">
        <v>66.252300000000005</v>
      </c>
      <c r="CR253" s="134" t="s">
        <v>24</v>
      </c>
      <c r="CS253" s="134">
        <f>68.2748-Table668[[#This Row],[Data_Outcome4_M]]</f>
        <v>2.0224999999999937</v>
      </c>
      <c r="CT253" s="288" t="s">
        <v>3016</v>
      </c>
      <c r="CU253" s="293" t="s">
        <v>3020</v>
      </c>
      <c r="CV253" s="276" t="s">
        <v>3017</v>
      </c>
      <c r="CW253" s="308" t="s">
        <v>3018</v>
      </c>
      <c r="CX253" s="138" t="s">
        <v>3011</v>
      </c>
      <c r="CY253" s="134">
        <v>33.061500000000002</v>
      </c>
      <c r="CZ253" s="134" t="s">
        <v>24</v>
      </c>
      <c r="DA253" s="134">
        <f>35.3086-Table668[[#This Row],[Data_Outcome5_M]]</f>
        <v>2.2470999999999961</v>
      </c>
      <c r="DB253" s="138" t="s">
        <v>3012</v>
      </c>
      <c r="DC253" s="134">
        <v>64.409400000000005</v>
      </c>
      <c r="DD253" s="134" t="s">
        <v>24</v>
      </c>
      <c r="DE253" s="134">
        <f>68.2296-Table668[[#This Row],[Data_Outcome6_M]]</f>
        <v>3.8201999999999998</v>
      </c>
      <c r="DF253" s="300" t="s">
        <v>3023</v>
      </c>
      <c r="DG253" s="314" t="s">
        <v>3021</v>
      </c>
      <c r="DH253" s="138" t="s">
        <v>3013</v>
      </c>
      <c r="DI253" s="134">
        <v>37.150399999999998</v>
      </c>
      <c r="DJ253" s="134" t="s">
        <v>24</v>
      </c>
      <c r="DK253" s="134">
        <f>40.2965-Table668[[#This Row],[Data_Outcome7_M]]</f>
        <v>3.1461000000000041</v>
      </c>
      <c r="DL253" s="138" t="s">
        <v>3014</v>
      </c>
      <c r="DM253" s="134">
        <v>62.430599999999998</v>
      </c>
      <c r="DN253" s="134" t="s">
        <v>24</v>
      </c>
      <c r="DO253" s="134">
        <f>65.3519-Table668[[#This Row],[Data_Outcome8_M]]</f>
        <v>2.9213000000000022</v>
      </c>
      <c r="DP253" s="300" t="s">
        <v>3024</v>
      </c>
      <c r="DQ253" s="314" t="s">
        <v>3022</v>
      </c>
      <c r="DR253" s="276" t="s">
        <v>3025</v>
      </c>
      <c r="DS253" s="277" t="s">
        <v>3026</v>
      </c>
      <c r="DT253" s="134"/>
      <c r="DU253" s="134"/>
      <c r="DV253" s="134"/>
      <c r="DW253" s="134"/>
      <c r="DX253" s="138"/>
      <c r="DY253" s="134"/>
      <c r="DZ253" s="134"/>
      <c r="EA253" s="134"/>
      <c r="EB253" s="301"/>
      <c r="EC253" s="301"/>
      <c r="ED253" s="138"/>
      <c r="EE253" s="134"/>
      <c r="EF253" s="134"/>
      <c r="EG253" s="134"/>
      <c r="EH253" s="138"/>
      <c r="EI253" s="134"/>
      <c r="EJ253" s="134"/>
      <c r="EK253" s="134"/>
      <c r="EL253" s="301"/>
      <c r="EM253" s="301"/>
      <c r="EN253" s="277"/>
      <c r="EO253" s="134"/>
      <c r="EP253" s="134"/>
      <c r="EQ253" s="134"/>
      <c r="ER253" s="134"/>
      <c r="ES253" s="134"/>
      <c r="ET253" s="134"/>
      <c r="EU253" s="134"/>
      <c r="EV253" s="134"/>
      <c r="EW253" s="301"/>
      <c r="EX253" s="301"/>
      <c r="EY253" s="134"/>
      <c r="EZ253" s="134"/>
      <c r="FA253" s="134"/>
      <c r="FB253" s="134"/>
      <c r="FC253" s="134"/>
      <c r="FD253" s="134"/>
      <c r="FE253" s="134"/>
      <c r="FF253" s="134"/>
      <c r="FG253" s="135"/>
      <c r="FH253" s="135"/>
      <c r="FI253" s="134"/>
      <c r="FJ253" s="134"/>
      <c r="FK253" s="134"/>
      <c r="FL253" s="134"/>
      <c r="FM253" s="134"/>
      <c r="FN253" s="134"/>
      <c r="FO253" s="134"/>
      <c r="FP253" s="134"/>
      <c r="FQ253" s="135"/>
      <c r="FR253" s="135"/>
      <c r="FS253" s="134"/>
      <c r="FT253" s="134"/>
      <c r="FU253" s="134"/>
      <c r="FV253" s="134"/>
      <c r="FW253" s="134"/>
      <c r="FX253" s="134"/>
      <c r="FY253" s="134"/>
      <c r="FZ253" s="134"/>
      <c r="GA253" s="135"/>
      <c r="GB253" s="135"/>
      <c r="GC253" s="134"/>
      <c r="GD253" s="134"/>
      <c r="GE253" s="134"/>
      <c r="GF253" s="134"/>
      <c r="GG253" s="134"/>
      <c r="GH253" s="134"/>
      <c r="GI253" s="134"/>
      <c r="GJ253" s="134"/>
      <c r="GK253" s="135"/>
      <c r="GL253" s="135"/>
      <c r="GM253" s="134"/>
      <c r="GN253" s="134"/>
      <c r="GO253" s="134"/>
      <c r="GP253" s="134"/>
      <c r="GQ253" s="134"/>
      <c r="GR253" s="134"/>
      <c r="GS253" s="134"/>
      <c r="GT253" s="134"/>
      <c r="GU253" s="135"/>
      <c r="GV253" s="135"/>
      <c r="GW253" s="134"/>
      <c r="GX253" s="134"/>
      <c r="GY253" s="134"/>
      <c r="GZ253" s="134"/>
      <c r="HA253" s="134"/>
      <c r="HB253" s="134"/>
      <c r="HC253" s="134"/>
      <c r="HD253" s="134"/>
      <c r="HE253" s="135"/>
      <c r="HF253" s="135"/>
      <c r="HG253" s="134"/>
      <c r="HH253" s="134"/>
      <c r="HI253" s="134"/>
      <c r="HJ253" s="134"/>
      <c r="HK253" s="134"/>
      <c r="HL253" s="134"/>
      <c r="HM253" s="134"/>
      <c r="HN253" s="134"/>
      <c r="HO253" s="135"/>
      <c r="HP253" s="135"/>
      <c r="HQ253" s="134"/>
      <c r="HR253" s="134"/>
      <c r="HS253" s="134"/>
      <c r="HT253" s="134"/>
      <c r="HU253" s="134"/>
      <c r="HV253" s="134"/>
      <c r="HW253" s="134"/>
      <c r="HX253" s="134"/>
      <c r="HY253" s="135"/>
      <c r="HZ253" s="135"/>
      <c r="IA253" s="134"/>
      <c r="IB253" s="134"/>
      <c r="IC253" s="134"/>
      <c r="ID253" s="134"/>
      <c r="IE253" s="134"/>
      <c r="IF253" s="134"/>
      <c r="IG253" s="134"/>
      <c r="IH253" s="134"/>
      <c r="II253" s="135"/>
      <c r="IJ253" s="135"/>
      <c r="IK253" s="134"/>
      <c r="IL253" s="134"/>
      <c r="IM253" s="134"/>
      <c r="IN253" s="134"/>
      <c r="IO253" s="134"/>
      <c r="IP253" s="134"/>
      <c r="IQ253" s="134"/>
      <c r="IR253" s="134"/>
      <c r="IS253" s="135"/>
      <c r="IT253" s="135"/>
      <c r="IU253" s="134"/>
      <c r="IV253" s="134"/>
      <c r="IW253" s="134"/>
      <c r="IX253" s="134"/>
      <c r="IY253" s="134"/>
      <c r="IZ253" s="134"/>
      <c r="JA253" s="134"/>
      <c r="JB253" s="134"/>
      <c r="JC253" s="135"/>
      <c r="JD253" s="135"/>
    </row>
    <row r="254" spans="1:264" customFormat="1" ht="15" customHeight="1">
      <c r="A254" s="79" t="s">
        <v>208</v>
      </c>
      <c r="B254" s="362">
        <v>154</v>
      </c>
      <c r="C254" s="362">
        <v>49</v>
      </c>
      <c r="D254" s="362"/>
      <c r="E254" s="604" t="s">
        <v>1979</v>
      </c>
      <c r="F254" s="124" t="s">
        <v>2203</v>
      </c>
      <c r="G254" s="125">
        <v>2013</v>
      </c>
      <c r="H254" s="79">
        <v>23445934</v>
      </c>
      <c r="I254" s="79">
        <v>1</v>
      </c>
      <c r="J254" s="126"/>
      <c r="K254" s="127"/>
      <c r="L254" s="79">
        <v>1</v>
      </c>
      <c r="M254" s="79"/>
      <c r="N254" s="79">
        <v>1</v>
      </c>
      <c r="O254" s="128">
        <v>1</v>
      </c>
      <c r="P254" s="79" t="s">
        <v>596</v>
      </c>
      <c r="Q254" s="79" t="s">
        <v>1168</v>
      </c>
      <c r="R254" s="79" t="s">
        <v>594</v>
      </c>
      <c r="S254" s="79">
        <v>0</v>
      </c>
      <c r="T254" s="79"/>
      <c r="U254" s="79"/>
      <c r="V254" s="79"/>
      <c r="W254" s="79" t="s">
        <v>597</v>
      </c>
      <c r="X254" s="79" t="s">
        <v>595</v>
      </c>
      <c r="Y254" s="79"/>
      <c r="Z254" s="79"/>
      <c r="AA254" s="79"/>
      <c r="AB254" s="79"/>
      <c r="AC254" s="506"/>
      <c r="AD254" s="573">
        <v>1</v>
      </c>
      <c r="AE254" s="573">
        <v>2</v>
      </c>
      <c r="AF254" s="154">
        <v>1</v>
      </c>
      <c r="AG254" s="155"/>
      <c r="AH254" s="121">
        <v>0</v>
      </c>
      <c r="AI254" s="484" t="s">
        <v>4927</v>
      </c>
      <c r="AJ254" s="498" t="s">
        <v>4926</v>
      </c>
      <c r="AK254" s="192">
        <v>1</v>
      </c>
      <c r="AL254" s="203" t="s">
        <v>24</v>
      </c>
      <c r="AM254" s="121">
        <f>Table668[[#This Row],[Data_Subjects_n_ptsd]]+Table668[[#This Row],[Data_Subjects_n_control]]</f>
        <v>241</v>
      </c>
      <c r="AN254" s="121">
        <f>34+81+76+28</f>
        <v>219</v>
      </c>
      <c r="AO254" s="121">
        <v>22</v>
      </c>
      <c r="AP254" s="121" t="s">
        <v>4925</v>
      </c>
      <c r="AQ254" s="121" t="s">
        <v>4925</v>
      </c>
      <c r="AR254" s="121">
        <f>AVERAGE(58.3,55.5,50.7,50.7)</f>
        <v>53.8</v>
      </c>
      <c r="AS254" s="121">
        <f>AVERAGE(6.3, 6.5, 8, 6.3)</f>
        <v>6.7750000000000004</v>
      </c>
      <c r="AT254" s="121">
        <v>49.3</v>
      </c>
      <c r="AU254" s="121">
        <v>6</v>
      </c>
      <c r="AV254" s="121" t="s">
        <v>4987</v>
      </c>
      <c r="AW254" s="121" t="s">
        <v>24</v>
      </c>
      <c r="AX254" s="121" t="s">
        <v>24</v>
      </c>
      <c r="AY254" s="121" t="s">
        <v>4924</v>
      </c>
      <c r="AZ254" s="121" t="s">
        <v>4986</v>
      </c>
      <c r="BA254" s="121" t="s">
        <v>4928</v>
      </c>
      <c r="BB254" s="594"/>
      <c r="BC254" s="594"/>
      <c r="BD254" s="156"/>
      <c r="BE254" s="156"/>
      <c r="BF254" s="156"/>
      <c r="BG254" s="156"/>
      <c r="BH254" s="156"/>
      <c r="BI254" s="156"/>
      <c r="BJ254" s="156">
        <v>1</v>
      </c>
      <c r="BK254" s="156"/>
      <c r="BL254" s="156"/>
      <c r="BM254" s="156"/>
      <c r="BN254" s="156"/>
      <c r="BO254" s="156"/>
      <c r="BP254" s="156"/>
      <c r="BQ254" s="595" t="s">
        <v>4984</v>
      </c>
      <c r="BR254" s="157" t="s">
        <v>6609</v>
      </c>
      <c r="BS254" s="660"/>
      <c r="BT254" s="134" t="s">
        <v>1876</v>
      </c>
      <c r="BU254" s="134" t="s">
        <v>4931</v>
      </c>
      <c r="BV254" s="134" t="s">
        <v>4932</v>
      </c>
      <c r="BW254" s="134" t="s">
        <v>24</v>
      </c>
      <c r="BX254" s="134" t="s">
        <v>4934</v>
      </c>
      <c r="BY254" s="134"/>
      <c r="BZ254" s="259" t="s">
        <v>4983</v>
      </c>
      <c r="CA254" s="454" t="s">
        <v>24</v>
      </c>
      <c r="CB254" s="138" t="s">
        <v>4947</v>
      </c>
      <c r="CC254" s="134">
        <v>32.1</v>
      </c>
      <c r="CD254" s="134">
        <v>6.2</v>
      </c>
      <c r="CE254" s="134" t="s">
        <v>24</v>
      </c>
      <c r="CF254" s="138" t="s">
        <v>4948</v>
      </c>
      <c r="CG254" s="134">
        <v>27.5</v>
      </c>
      <c r="CH254" s="134">
        <v>8.6999999999999993</v>
      </c>
      <c r="CI254" s="134" t="s">
        <v>24</v>
      </c>
      <c r="CJ254" s="288" t="s">
        <v>4967</v>
      </c>
      <c r="CK254" s="289" t="s">
        <v>2555</v>
      </c>
      <c r="CL254" s="427" t="s">
        <v>4949</v>
      </c>
      <c r="CM254" s="134">
        <v>35.299999999999997</v>
      </c>
      <c r="CN254" s="134">
        <v>8.8000000000000007</v>
      </c>
      <c r="CO254" s="134" t="s">
        <v>24</v>
      </c>
      <c r="CP254" s="427" t="s">
        <v>4950</v>
      </c>
      <c r="CQ254" s="134">
        <v>32.1</v>
      </c>
      <c r="CR254" s="134">
        <v>3.7</v>
      </c>
      <c r="CS254" s="134" t="s">
        <v>24</v>
      </c>
      <c r="CT254" s="288" t="s">
        <v>4969</v>
      </c>
      <c r="CU254" s="289" t="s">
        <v>4968</v>
      </c>
      <c r="CV254" s="276" t="s">
        <v>4970</v>
      </c>
      <c r="CW254" s="308" t="s">
        <v>4971</v>
      </c>
      <c r="CX254" s="138" t="s">
        <v>4951</v>
      </c>
      <c r="CY254" s="134">
        <v>41.7</v>
      </c>
      <c r="CZ254" s="168">
        <v>5.4</v>
      </c>
      <c r="DA254" s="134" t="s">
        <v>24</v>
      </c>
      <c r="DB254" s="138" t="s">
        <v>4952</v>
      </c>
      <c r="DC254" s="134">
        <v>3.2</v>
      </c>
      <c r="DD254" s="134">
        <v>1.9</v>
      </c>
      <c r="DE254" s="134" t="s">
        <v>24</v>
      </c>
      <c r="DF254" s="300" t="s">
        <v>4972</v>
      </c>
      <c r="DG254" s="301" t="s">
        <v>2480</v>
      </c>
      <c r="DH254" s="138" t="s">
        <v>4953</v>
      </c>
      <c r="DI254" s="134">
        <v>3</v>
      </c>
      <c r="DJ254" s="134">
        <v>1.2</v>
      </c>
      <c r="DK254" s="134" t="s">
        <v>24</v>
      </c>
      <c r="DL254" s="427" t="s">
        <v>4954</v>
      </c>
      <c r="DM254" s="134">
        <v>3.8</v>
      </c>
      <c r="DN254" s="134">
        <v>1.4</v>
      </c>
      <c r="DO254" s="134" t="s">
        <v>24</v>
      </c>
      <c r="DP254" s="300" t="s">
        <v>4973</v>
      </c>
      <c r="DQ254" s="301" t="s">
        <v>2410</v>
      </c>
      <c r="DR254" s="276" t="s">
        <v>24</v>
      </c>
      <c r="DS254" s="277" t="s">
        <v>24</v>
      </c>
      <c r="DT254" s="427" t="s">
        <v>4955</v>
      </c>
      <c r="DU254" s="134">
        <v>3.8</v>
      </c>
      <c r="DV254" s="134">
        <v>0.9</v>
      </c>
      <c r="DW254" s="480" t="s">
        <v>24</v>
      </c>
      <c r="DX254" s="138" t="s">
        <v>4956</v>
      </c>
      <c r="DY254" s="134">
        <v>5</v>
      </c>
      <c r="DZ254" s="134">
        <v>1.2</v>
      </c>
      <c r="EA254" s="134" t="s">
        <v>24</v>
      </c>
      <c r="EB254" s="301" t="s">
        <v>4974</v>
      </c>
      <c r="EC254" s="301" t="s">
        <v>4975</v>
      </c>
      <c r="ED254" s="138" t="s">
        <v>4957</v>
      </c>
      <c r="EE254" s="134">
        <v>6.5</v>
      </c>
      <c r="EF254" s="134">
        <v>2.1</v>
      </c>
      <c r="EG254" s="134" t="s">
        <v>24</v>
      </c>
      <c r="EH254" s="138" t="s">
        <v>4958</v>
      </c>
      <c r="EI254" s="134">
        <v>5.0999999999999996</v>
      </c>
      <c r="EJ254" s="134">
        <v>1.8</v>
      </c>
      <c r="EK254" s="134" t="s">
        <v>24</v>
      </c>
      <c r="EL254" s="301" t="s">
        <v>4976</v>
      </c>
      <c r="EM254" s="301" t="s">
        <v>3526</v>
      </c>
      <c r="EN254" s="277" t="s">
        <v>24</v>
      </c>
      <c r="EO254" s="427" t="s">
        <v>4959</v>
      </c>
      <c r="EP254" s="134">
        <v>7</v>
      </c>
      <c r="EQ254" s="134">
        <v>2.4</v>
      </c>
      <c r="ER254" s="134" t="s">
        <v>24</v>
      </c>
      <c r="ES254" s="427" t="s">
        <v>4960</v>
      </c>
      <c r="ET254" s="134">
        <v>6.5</v>
      </c>
      <c r="EU254" s="134">
        <v>1.3</v>
      </c>
      <c r="EV254" s="134" t="s">
        <v>24</v>
      </c>
      <c r="EW254" s="301" t="s">
        <v>4977</v>
      </c>
      <c r="EX254" s="301" t="s">
        <v>4978</v>
      </c>
      <c r="EY254" s="138" t="s">
        <v>4961</v>
      </c>
      <c r="EZ254" s="134">
        <v>8.1999999999999993</v>
      </c>
      <c r="FA254" s="134">
        <v>1.8</v>
      </c>
      <c r="FB254" s="134" t="s">
        <v>24</v>
      </c>
      <c r="FC254" s="138" t="s">
        <v>4962</v>
      </c>
      <c r="FD254" s="134">
        <v>1.4</v>
      </c>
      <c r="FE254" s="134">
        <v>1.6</v>
      </c>
      <c r="FF254" s="134" t="s">
        <v>24</v>
      </c>
      <c r="FG254" s="135" t="s">
        <v>4979</v>
      </c>
      <c r="FH254" s="135" t="s">
        <v>2480</v>
      </c>
      <c r="FI254" s="138" t="s">
        <v>4963</v>
      </c>
      <c r="FJ254" s="134">
        <v>2</v>
      </c>
      <c r="FK254" s="134">
        <v>1.2</v>
      </c>
      <c r="FL254" s="134" t="s">
        <v>24</v>
      </c>
      <c r="FM254" s="427" t="s">
        <v>4964</v>
      </c>
      <c r="FN254" s="134">
        <v>1.9</v>
      </c>
      <c r="FO254" s="134">
        <v>1.7</v>
      </c>
      <c r="FP254" s="134" t="s">
        <v>24</v>
      </c>
      <c r="FQ254" s="135" t="s">
        <v>4980</v>
      </c>
      <c r="FR254" s="135" t="s">
        <v>2480</v>
      </c>
      <c r="FS254" s="427" t="s">
        <v>4965</v>
      </c>
      <c r="FT254" s="134">
        <v>2.7</v>
      </c>
      <c r="FU254" s="134">
        <v>0.6</v>
      </c>
      <c r="FV254" s="134" t="s">
        <v>24</v>
      </c>
      <c r="FW254" s="138" t="s">
        <v>4966</v>
      </c>
      <c r="FX254" s="134">
        <v>2.4</v>
      </c>
      <c r="FY254" s="134">
        <v>1.4</v>
      </c>
      <c r="FZ254" s="134" t="s">
        <v>24</v>
      </c>
      <c r="GA254" s="135" t="s">
        <v>4981</v>
      </c>
      <c r="GB254" s="135" t="s">
        <v>4982</v>
      </c>
      <c r="GC254" s="134" t="s">
        <v>24</v>
      </c>
      <c r="GD254" s="134" t="s">
        <v>24</v>
      </c>
      <c r="GE254" s="134" t="s">
        <v>24</v>
      </c>
      <c r="GF254" s="134" t="s">
        <v>24</v>
      </c>
      <c r="GG254" s="134"/>
      <c r="GH254" s="134"/>
      <c r="GI254" s="134"/>
      <c r="GJ254" s="134"/>
      <c r="GK254" s="135"/>
      <c r="GL254" s="135"/>
      <c r="GM254" s="134"/>
      <c r="GN254" s="134"/>
      <c r="GO254" s="134"/>
      <c r="GP254" s="134"/>
      <c r="GQ254" s="134"/>
      <c r="GR254" s="134"/>
      <c r="GS254" s="134"/>
      <c r="GT254" s="134"/>
      <c r="GU254" s="135"/>
      <c r="GV254" s="135"/>
      <c r="GW254" s="134"/>
      <c r="GX254" s="134"/>
      <c r="GY254" s="134"/>
      <c r="GZ254" s="134"/>
      <c r="HA254" s="134"/>
      <c r="HB254" s="134"/>
      <c r="HC254" s="134"/>
      <c r="HD254" s="134"/>
      <c r="HE254" s="135"/>
      <c r="HF254" s="135"/>
      <c r="HG254" s="134"/>
      <c r="HH254" s="134"/>
      <c r="HI254" s="134"/>
      <c r="HJ254" s="134"/>
      <c r="HK254" s="134"/>
      <c r="HL254" s="134"/>
      <c r="HM254" s="134"/>
      <c r="HN254" s="134"/>
      <c r="HO254" s="135"/>
      <c r="HP254" s="135"/>
      <c r="HQ254" s="134"/>
      <c r="HR254" s="134"/>
      <c r="HS254" s="134"/>
      <c r="HT254" s="134"/>
      <c r="HU254" s="134"/>
      <c r="HV254" s="134"/>
      <c r="HW254" s="134"/>
      <c r="HX254" s="134"/>
      <c r="HY254" s="135"/>
      <c r="HZ254" s="135"/>
      <c r="IA254" s="134"/>
      <c r="IB254" s="134"/>
      <c r="IC254" s="134"/>
      <c r="ID254" s="134"/>
      <c r="IE254" s="134"/>
      <c r="IF254" s="134"/>
      <c r="IG254" s="134"/>
      <c r="IH254" s="134"/>
      <c r="II254" s="135"/>
      <c r="IJ254" s="135"/>
      <c r="IK254" s="134"/>
      <c r="IL254" s="134"/>
      <c r="IM254" s="134"/>
      <c r="IN254" s="134"/>
      <c r="IO254" s="134"/>
      <c r="IP254" s="134"/>
      <c r="IQ254" s="134"/>
      <c r="IR254" s="134"/>
      <c r="IS254" s="135"/>
      <c r="IT254" s="135"/>
      <c r="IU254" s="134"/>
      <c r="IV254" s="134"/>
      <c r="IW254" s="134"/>
      <c r="IX254" s="134"/>
      <c r="IY254" s="134"/>
      <c r="IZ254" s="134"/>
      <c r="JA254" s="134"/>
      <c r="JB254" s="134"/>
      <c r="JC254" s="135"/>
      <c r="JD254" s="135"/>
    </row>
    <row r="255" spans="1:264" customFormat="1" ht="15" customHeight="1">
      <c r="A255" s="118" t="s">
        <v>208</v>
      </c>
      <c r="B255" s="616">
        <v>154</v>
      </c>
      <c r="C255" s="616">
        <v>49</v>
      </c>
      <c r="D255" s="616"/>
      <c r="E255" s="605" t="s">
        <v>1979</v>
      </c>
      <c r="F255" s="140" t="s">
        <v>2203</v>
      </c>
      <c r="G255" s="141">
        <v>2013</v>
      </c>
      <c r="H255" s="118">
        <v>23445934</v>
      </c>
      <c r="I255" s="118">
        <v>1</v>
      </c>
      <c r="J255" s="118"/>
      <c r="K255" s="118"/>
      <c r="L255" s="118">
        <v>1</v>
      </c>
      <c r="M255" s="118"/>
      <c r="N255" s="118">
        <v>1</v>
      </c>
      <c r="O255" s="142">
        <v>1</v>
      </c>
      <c r="P255" s="118" t="s">
        <v>596</v>
      </c>
      <c r="Q255" s="118" t="s">
        <v>1168</v>
      </c>
      <c r="R255" s="118" t="s">
        <v>594</v>
      </c>
      <c r="S255" s="118">
        <v>0</v>
      </c>
      <c r="T255" s="118"/>
      <c r="U255" s="118"/>
      <c r="V255" s="118"/>
      <c r="W255" s="118" t="s">
        <v>597</v>
      </c>
      <c r="X255" s="118" t="s">
        <v>595</v>
      </c>
      <c r="Y255" s="118"/>
      <c r="Z255" s="118"/>
      <c r="AA255" s="118"/>
      <c r="AB255" s="118"/>
      <c r="AC255" s="145"/>
      <c r="AD255" s="573">
        <v>1</v>
      </c>
      <c r="AE255" s="573">
        <v>2</v>
      </c>
      <c r="AF255" s="159">
        <v>1</v>
      </c>
      <c r="AG255" s="160"/>
      <c r="AH255" s="122">
        <v>0</v>
      </c>
      <c r="AI255" s="485" t="s">
        <v>4927</v>
      </c>
      <c r="AJ255" s="499" t="s">
        <v>4926</v>
      </c>
      <c r="AK255" s="192">
        <v>1</v>
      </c>
      <c r="AL255" s="205" t="s">
        <v>24</v>
      </c>
      <c r="AM255" s="122">
        <f>Table668[[#This Row],[Data_Subjects_n_ptsd]]+Table668[[#This Row],[Data_Subjects_n_control]]</f>
        <v>241</v>
      </c>
      <c r="AN255" s="122">
        <f>34+81+76+28</f>
        <v>219</v>
      </c>
      <c r="AO255" s="122">
        <v>22</v>
      </c>
      <c r="AP255" s="122" t="s">
        <v>4925</v>
      </c>
      <c r="AQ255" s="122" t="s">
        <v>4925</v>
      </c>
      <c r="AR255" s="122">
        <f>AVERAGE(58.3,55.5,50.7,50.7)</f>
        <v>53.8</v>
      </c>
      <c r="AS255" s="122">
        <f>AVERAGE(6.3, 6.5, 8, 6.3)</f>
        <v>6.7750000000000004</v>
      </c>
      <c r="AT255" s="122">
        <v>49.3</v>
      </c>
      <c r="AU255" s="122">
        <v>6</v>
      </c>
      <c r="AV255" s="122" t="s">
        <v>4987</v>
      </c>
      <c r="AW255" s="122" t="s">
        <v>24</v>
      </c>
      <c r="AX255" s="122" t="s">
        <v>24</v>
      </c>
      <c r="AY255" s="122" t="s">
        <v>4924</v>
      </c>
      <c r="AZ255" s="122" t="s">
        <v>4986</v>
      </c>
      <c r="BA255" s="122" t="s">
        <v>4928</v>
      </c>
      <c r="BB255" s="588"/>
      <c r="BC255" s="588"/>
      <c r="BD255" s="161"/>
      <c r="BE255" s="161"/>
      <c r="BF255" s="161" t="s">
        <v>4929</v>
      </c>
      <c r="BG255" s="161" t="s">
        <v>5716</v>
      </c>
      <c r="BH255" s="161"/>
      <c r="BI255" s="161"/>
      <c r="BJ255" s="161">
        <v>1</v>
      </c>
      <c r="BK255" s="161"/>
      <c r="BL255" s="161"/>
      <c r="BM255" s="161"/>
      <c r="BN255" s="161"/>
      <c r="BO255" s="161"/>
      <c r="BP255" s="161"/>
      <c r="BQ255" s="596" t="s">
        <v>4930</v>
      </c>
      <c r="BR255" s="162" t="s">
        <v>6619</v>
      </c>
      <c r="BS255" s="660"/>
      <c r="BT255" s="150" t="s">
        <v>1876</v>
      </c>
      <c r="BU255" s="150" t="s">
        <v>4931</v>
      </c>
      <c r="BV255" s="150" t="s">
        <v>6618</v>
      </c>
      <c r="BW255" s="150" t="s">
        <v>24</v>
      </c>
      <c r="BX255" s="150" t="s">
        <v>4935</v>
      </c>
      <c r="BY255" s="150"/>
      <c r="BZ255" s="258" t="s">
        <v>4946</v>
      </c>
      <c r="CA255" s="257" t="s">
        <v>24</v>
      </c>
      <c r="CB255" s="151" t="s">
        <v>4936</v>
      </c>
      <c r="CC255" s="150">
        <v>8.1999999999999993</v>
      </c>
      <c r="CD255" s="150">
        <v>4.3</v>
      </c>
      <c r="CE255" s="150" t="s">
        <v>24</v>
      </c>
      <c r="CF255" s="151" t="s">
        <v>4937</v>
      </c>
      <c r="CG255" s="150">
        <v>7.2</v>
      </c>
      <c r="CH255" s="150">
        <v>3.2</v>
      </c>
      <c r="CI255" s="150" t="s">
        <v>24</v>
      </c>
      <c r="CJ255" s="290" t="s">
        <v>4941</v>
      </c>
      <c r="CK255" s="291" t="s">
        <v>2480</v>
      </c>
      <c r="CL255" s="151" t="s">
        <v>4938</v>
      </c>
      <c r="CM255" s="150">
        <v>4.9000000000000004</v>
      </c>
      <c r="CN255" s="150">
        <v>2.9</v>
      </c>
      <c r="CO255" s="150" t="s">
        <v>24</v>
      </c>
      <c r="CP255" s="151" t="s">
        <v>4939</v>
      </c>
      <c r="CQ255" s="150">
        <v>2.7</v>
      </c>
      <c r="CR255" s="150">
        <v>2.2999999999999998</v>
      </c>
      <c r="CS255" s="150" t="s">
        <v>24</v>
      </c>
      <c r="CT255" s="290" t="s">
        <v>4942</v>
      </c>
      <c r="CU255" s="291" t="s">
        <v>4943</v>
      </c>
      <c r="CV255" s="278" t="s">
        <v>24</v>
      </c>
      <c r="CW255" s="285" t="s">
        <v>24</v>
      </c>
      <c r="CX255" s="167" t="s">
        <v>4940</v>
      </c>
      <c r="CY255" s="150">
        <v>1.9</v>
      </c>
      <c r="CZ255" s="228">
        <v>1.9</v>
      </c>
      <c r="DA255" s="150" t="s">
        <v>24</v>
      </c>
      <c r="DB255" s="150" t="s">
        <v>24</v>
      </c>
      <c r="DC255" s="150" t="s">
        <v>24</v>
      </c>
      <c r="DD255" s="150" t="s">
        <v>24</v>
      </c>
      <c r="DE255" s="150" t="s">
        <v>24</v>
      </c>
      <c r="DF255" s="302" t="s">
        <v>4944</v>
      </c>
      <c r="DG255" s="303" t="s">
        <v>4945</v>
      </c>
      <c r="DH255" s="150" t="s">
        <v>24</v>
      </c>
      <c r="DI255" s="150"/>
      <c r="DJ255" s="150"/>
      <c r="DK255" s="150"/>
      <c r="DL255" s="150"/>
      <c r="DM255" s="150"/>
      <c r="DN255" s="150"/>
      <c r="DO255" s="150"/>
      <c r="DP255" s="302"/>
      <c r="DQ255" s="303"/>
      <c r="DR255" s="278"/>
      <c r="DS255" s="279"/>
      <c r="DT255" s="150"/>
      <c r="DU255" s="150"/>
      <c r="DV255" s="150"/>
      <c r="DW255" s="555"/>
      <c r="DX255" s="150"/>
      <c r="DY255" s="150"/>
      <c r="DZ255" s="150"/>
      <c r="EA255" s="150"/>
      <c r="EB255" s="303"/>
      <c r="EC255" s="303"/>
      <c r="ED255" s="151"/>
      <c r="EE255" s="150"/>
      <c r="EF255" s="150"/>
      <c r="EG255" s="150"/>
      <c r="EH255" s="151"/>
      <c r="EI255" s="150"/>
      <c r="EJ255" s="150"/>
      <c r="EK255" s="150"/>
      <c r="EL255" s="303"/>
      <c r="EM255" s="303"/>
      <c r="EN255" s="279"/>
      <c r="EO255" s="150"/>
      <c r="EP255" s="150"/>
      <c r="EQ255" s="150"/>
      <c r="ER255" s="150"/>
      <c r="ES255" s="150"/>
      <c r="ET255" s="150"/>
      <c r="EU255" s="150"/>
      <c r="EV255" s="150"/>
      <c r="EW255" s="303"/>
      <c r="EX255" s="303"/>
      <c r="EY255" s="150"/>
      <c r="EZ255" s="150"/>
      <c r="FA255" s="150"/>
      <c r="FB255" s="150"/>
      <c r="FC255" s="150"/>
      <c r="FD255" s="150"/>
      <c r="FE255" s="150"/>
      <c r="FF255" s="150"/>
      <c r="FG255" s="152"/>
      <c r="FH255" s="152"/>
      <c r="FI255" s="150"/>
      <c r="FJ255" s="150"/>
      <c r="FK255" s="150"/>
      <c r="FL255" s="150"/>
      <c r="FM255" s="150"/>
      <c r="FN255" s="150"/>
      <c r="FO255" s="150"/>
      <c r="FP255" s="150"/>
      <c r="FQ255" s="152"/>
      <c r="FR255" s="152"/>
      <c r="FS255" s="150"/>
      <c r="FT255" s="150"/>
      <c r="FU255" s="150"/>
      <c r="FV255" s="150"/>
      <c r="FW255" s="150"/>
      <c r="FX255" s="150"/>
      <c r="FY255" s="150"/>
      <c r="FZ255" s="150"/>
      <c r="GA255" s="152"/>
      <c r="GB255" s="152"/>
      <c r="GC255" s="150"/>
      <c r="GD255" s="150"/>
      <c r="GE255" s="150"/>
      <c r="GF255" s="150"/>
      <c r="GG255" s="150"/>
      <c r="GH255" s="150"/>
      <c r="GI255" s="150"/>
      <c r="GJ255" s="150"/>
      <c r="GK255" s="152"/>
      <c r="GL255" s="152"/>
      <c r="GM255" s="150"/>
      <c r="GN255" s="150"/>
      <c r="GO255" s="150"/>
      <c r="GP255" s="150"/>
      <c r="GQ255" s="150"/>
      <c r="GR255" s="150"/>
      <c r="GS255" s="150"/>
      <c r="GT255" s="150"/>
      <c r="GU255" s="152"/>
      <c r="GV255" s="152"/>
      <c r="GW255" s="134"/>
      <c r="GX255" s="134"/>
      <c r="GY255" s="134"/>
      <c r="GZ255" s="134"/>
      <c r="HA255" s="134"/>
      <c r="HB255" s="134"/>
      <c r="HC255" s="134"/>
      <c r="HD255" s="134"/>
      <c r="HE255" s="135"/>
      <c r="HF255" s="135"/>
      <c r="HG255" s="134"/>
      <c r="HH255" s="134"/>
      <c r="HI255" s="134"/>
      <c r="HJ255" s="134"/>
      <c r="HK255" s="134"/>
      <c r="HL255" s="134"/>
      <c r="HM255" s="134"/>
      <c r="HN255" s="134"/>
      <c r="HO255" s="135"/>
      <c r="HP255" s="135"/>
      <c r="HQ255" s="134"/>
      <c r="HR255" s="134"/>
      <c r="HS255" s="134"/>
      <c r="HT255" s="134"/>
      <c r="HU255" s="134"/>
      <c r="HV255" s="134"/>
      <c r="HW255" s="134"/>
      <c r="HX255" s="134"/>
      <c r="HY255" s="135"/>
      <c r="HZ255" s="135"/>
      <c r="IA255" s="134"/>
      <c r="IB255" s="134"/>
      <c r="IC255" s="134"/>
      <c r="ID255" s="134"/>
      <c r="IE255" s="134"/>
      <c r="IF255" s="134"/>
      <c r="IG255" s="134"/>
      <c r="IH255" s="134"/>
      <c r="II255" s="135"/>
      <c r="IJ255" s="135"/>
      <c r="IK255" s="134"/>
      <c r="IL255" s="134"/>
      <c r="IM255" s="134"/>
      <c r="IN255" s="134"/>
      <c r="IO255" s="134"/>
      <c r="IP255" s="134"/>
      <c r="IQ255" s="134"/>
      <c r="IR255" s="134"/>
      <c r="IS255" s="135"/>
      <c r="IT255" s="135"/>
      <c r="IU255" s="134"/>
      <c r="IV255" s="134"/>
      <c r="IW255" s="134"/>
      <c r="IX255" s="134"/>
      <c r="IY255" s="134"/>
      <c r="IZ255" s="134"/>
      <c r="JA255" s="134"/>
      <c r="JB255" s="134"/>
      <c r="JC255" s="135"/>
      <c r="JD255" s="135"/>
    </row>
    <row r="256" spans="1:264" customFormat="1" ht="15" customHeight="1">
      <c r="A256" s="79" t="s">
        <v>1026</v>
      </c>
      <c r="B256" s="614">
        <v>24</v>
      </c>
      <c r="C256" s="614"/>
      <c r="D256" s="614"/>
      <c r="E256" s="608" t="s">
        <v>2088</v>
      </c>
      <c r="F256" s="181" t="s">
        <v>2343</v>
      </c>
      <c r="G256" s="182">
        <v>2012</v>
      </c>
      <c r="H256" s="79">
        <v>22176467</v>
      </c>
      <c r="I256" s="79">
        <v>1</v>
      </c>
      <c r="J256" s="79" t="s">
        <v>1855</v>
      </c>
      <c r="K256" s="79"/>
      <c r="L256" s="79">
        <v>0</v>
      </c>
      <c r="M256" s="79"/>
      <c r="N256" s="153">
        <v>0</v>
      </c>
      <c r="O256" s="128">
        <v>2</v>
      </c>
      <c r="P256" s="79" t="s">
        <v>1404</v>
      </c>
      <c r="Q256" s="79" t="s">
        <v>1212</v>
      </c>
      <c r="R256" s="79" t="s">
        <v>1127</v>
      </c>
      <c r="S256" s="79"/>
      <c r="T256" s="79" t="s">
        <v>1488</v>
      </c>
      <c r="U256" s="79" t="s">
        <v>803</v>
      </c>
      <c r="V256" s="79"/>
      <c r="W256" s="79" t="s">
        <v>1403</v>
      </c>
      <c r="X256" s="79"/>
      <c r="Y256" s="79"/>
      <c r="Z256" s="79"/>
      <c r="AA256" s="79"/>
      <c r="AB256" s="79"/>
      <c r="AC256" s="506"/>
      <c r="AD256" s="573">
        <v>1</v>
      </c>
      <c r="AE256" s="573">
        <v>2</v>
      </c>
      <c r="AF256" s="230" t="s">
        <v>3003</v>
      </c>
      <c r="AG256" s="231" t="s">
        <v>5328</v>
      </c>
      <c r="AH256" s="187">
        <v>4</v>
      </c>
      <c r="AI256" s="487"/>
      <c r="AJ256" s="240" t="s">
        <v>3049</v>
      </c>
      <c r="AK256" s="192">
        <v>1</v>
      </c>
      <c r="AL256" s="241">
        <v>0</v>
      </c>
      <c r="AM256" s="187" t="s">
        <v>3047</v>
      </c>
      <c r="AN256" s="187">
        <f>8+8</f>
        <v>16</v>
      </c>
      <c r="AO256" s="187" t="s">
        <v>24</v>
      </c>
      <c r="AP256" s="187" t="s">
        <v>803</v>
      </c>
      <c r="AQ256" s="187" t="s">
        <v>24</v>
      </c>
      <c r="AR256" s="187" t="s">
        <v>3031</v>
      </c>
      <c r="AS256" s="187" t="s">
        <v>24</v>
      </c>
      <c r="AT256" s="187" t="s">
        <v>24</v>
      </c>
      <c r="AU256" s="187" t="s">
        <v>24</v>
      </c>
      <c r="AV256" s="187" t="s">
        <v>3033</v>
      </c>
      <c r="AW256" s="187">
        <v>1</v>
      </c>
      <c r="AX256" s="187" t="s">
        <v>3331</v>
      </c>
      <c r="AY256" s="187" t="s">
        <v>24</v>
      </c>
      <c r="AZ256" s="187" t="s">
        <v>2730</v>
      </c>
      <c r="BA256" s="187" t="s">
        <v>3045</v>
      </c>
      <c r="BB256" s="598"/>
      <c r="BC256" s="598"/>
      <c r="BD256" s="184">
        <v>1</v>
      </c>
      <c r="BE256" s="184"/>
      <c r="BF256" s="184"/>
      <c r="BG256" s="184"/>
      <c r="BH256" s="184"/>
      <c r="BI256" s="184"/>
      <c r="BJ256" s="184"/>
      <c r="BK256" s="184"/>
      <c r="BL256" s="184"/>
      <c r="BM256" s="184"/>
      <c r="BN256" s="184"/>
      <c r="BO256" s="184"/>
      <c r="BP256" s="184"/>
      <c r="BQ256" s="600" t="s">
        <v>2977</v>
      </c>
      <c r="BR256" s="157" t="s">
        <v>6603</v>
      </c>
      <c r="BS256" s="660"/>
      <c r="BT256" s="186" t="s">
        <v>1876</v>
      </c>
      <c r="BU256" s="186" t="s">
        <v>3046</v>
      </c>
      <c r="BV256" s="186" t="s">
        <v>3053</v>
      </c>
      <c r="BW256" s="186" t="s">
        <v>2471</v>
      </c>
      <c r="BX256" s="186" t="s">
        <v>2659</v>
      </c>
      <c r="BY256" s="134" t="s">
        <v>2659</v>
      </c>
      <c r="BZ256" s="261" t="s">
        <v>3094</v>
      </c>
      <c r="CA256" s="620" t="s">
        <v>6627</v>
      </c>
      <c r="CB256" s="267" t="s">
        <v>3084</v>
      </c>
      <c r="CC256" s="186">
        <v>38.994799999999998</v>
      </c>
      <c r="CD256" s="186" t="s">
        <v>24</v>
      </c>
      <c r="CE256" s="186">
        <f>52.4035-Table668[[#This Row],[Data_Outcome1_M]]</f>
        <v>13.408700000000003</v>
      </c>
      <c r="CF256" s="267" t="s">
        <v>3085</v>
      </c>
      <c r="CG256" s="186">
        <v>78.896699999999996</v>
      </c>
      <c r="CH256" s="186" t="s">
        <v>24</v>
      </c>
      <c r="CI256" s="186">
        <f>86.1664-Table668[[#This Row],[Data_Outcome2_M]]</f>
        <v>7.2697000000000003</v>
      </c>
      <c r="CJ256" s="294"/>
      <c r="CK256" s="295"/>
      <c r="CL256" s="267" t="s">
        <v>3086</v>
      </c>
      <c r="CM256" s="186">
        <v>28.292400000000001</v>
      </c>
      <c r="CN256" s="272" t="s">
        <v>24</v>
      </c>
      <c r="CO256" s="186">
        <f>35.3994-Table668[[#This Row],[Data_Outcome3_M]]</f>
        <v>7.1069999999999993</v>
      </c>
      <c r="CP256" s="267" t="s">
        <v>3087</v>
      </c>
      <c r="CQ256" s="186">
        <v>64.316400000000002</v>
      </c>
      <c r="CR256" s="186" t="s">
        <v>24</v>
      </c>
      <c r="CS256" s="186">
        <f>76.5942-Table668[[#This Row],[Data_Outcome4_M]]</f>
        <v>12.277799999999999</v>
      </c>
      <c r="CT256" s="294"/>
      <c r="CU256" s="295"/>
      <c r="CV256" s="280"/>
      <c r="CW256" s="310"/>
      <c r="CX256" s="267" t="s">
        <v>3088</v>
      </c>
      <c r="CY256" s="186">
        <v>28.090699999999998</v>
      </c>
      <c r="CZ256" s="272" t="s">
        <v>24</v>
      </c>
      <c r="DA256" s="186">
        <f>33.2597-Table668[[#This Row],[Data_Outcome5_M]]</f>
        <v>5.169000000000004</v>
      </c>
      <c r="DB256" s="267" t="s">
        <v>3089</v>
      </c>
      <c r="DC256" s="186">
        <v>58.301400000000001</v>
      </c>
      <c r="DD256" s="186" t="s">
        <v>24</v>
      </c>
      <c r="DE256" s="186">
        <f>69.7702-Table668[[#This Row],[Data_Outcome6_M]]</f>
        <v>11.468800000000002</v>
      </c>
      <c r="DF256" s="305"/>
      <c r="DG256" s="315"/>
      <c r="DH256" s="267" t="s">
        <v>3090</v>
      </c>
      <c r="DI256" s="186">
        <v>13.6714</v>
      </c>
      <c r="DJ256" s="272" t="s">
        <v>24</v>
      </c>
      <c r="DK256" s="186">
        <f>17.5486-Table668[[#This Row],[Data_Outcome7_M]]</f>
        <v>3.8772000000000002</v>
      </c>
      <c r="DL256" s="267" t="s">
        <v>3091</v>
      </c>
      <c r="DM256" s="186">
        <v>44.365499999999997</v>
      </c>
      <c r="DN256" s="186" t="s">
        <v>24</v>
      </c>
      <c r="DO256" s="186">
        <f>54.8663-Table668[[#This Row],[Data_Outcome8_M]]</f>
        <v>10.500800000000005</v>
      </c>
      <c r="DP256" s="305"/>
      <c r="DQ256" s="315"/>
      <c r="DR256" s="280"/>
      <c r="DS256" s="281"/>
      <c r="DT256" s="267" t="s">
        <v>3092</v>
      </c>
      <c r="DU256" s="186">
        <v>9.4297699999999995</v>
      </c>
      <c r="DV256" s="186" t="s">
        <v>24</v>
      </c>
      <c r="DW256" s="186">
        <f>10.7234-Table668[[#This Row],[Data_Outcome9_M]]</f>
        <v>1.2936300000000003</v>
      </c>
      <c r="DX256" s="267" t="s">
        <v>3093</v>
      </c>
      <c r="DY256" s="186">
        <v>29.9467</v>
      </c>
      <c r="DZ256" s="186" t="s">
        <v>24</v>
      </c>
      <c r="EA256" s="186">
        <f>39.8019-Table668[[#This Row],[Data_Outcome10_M]]</f>
        <v>9.8552000000000035</v>
      </c>
      <c r="EB256" s="315"/>
      <c r="EC256" s="315"/>
      <c r="ED256" s="267" t="s">
        <v>24</v>
      </c>
      <c r="EE256" s="186"/>
      <c r="EF256" s="186"/>
      <c r="EG256" s="186"/>
      <c r="EH256" s="267"/>
      <c r="EI256" s="186"/>
      <c r="EJ256" s="186"/>
      <c r="EK256" s="186"/>
      <c r="EL256" s="315"/>
      <c r="EM256" s="315"/>
      <c r="EN256" s="281"/>
      <c r="EO256" s="186"/>
      <c r="EP256" s="186"/>
      <c r="EQ256" s="186"/>
      <c r="ER256" s="186"/>
      <c r="ES256" s="186"/>
      <c r="ET256" s="186"/>
      <c r="EU256" s="186"/>
      <c r="EV256" s="186"/>
      <c r="EW256" s="315"/>
      <c r="EX256" s="315"/>
      <c r="EY256" s="186"/>
      <c r="EZ256" s="186"/>
      <c r="FA256" s="186"/>
      <c r="FB256" s="186"/>
      <c r="FC256" s="134"/>
      <c r="FD256" s="134"/>
      <c r="FE256" s="134"/>
      <c r="FF256" s="134"/>
      <c r="FG256" s="135"/>
      <c r="FH256" s="135"/>
      <c r="FI256" s="134"/>
      <c r="FJ256" s="134"/>
      <c r="FK256" s="134"/>
      <c r="FL256" s="134"/>
      <c r="FM256" s="134"/>
      <c r="FN256" s="134"/>
      <c r="FO256" s="134"/>
      <c r="FP256" s="134"/>
      <c r="FQ256" s="135"/>
      <c r="FR256" s="135"/>
      <c r="FS256" s="134"/>
      <c r="FT256" s="134"/>
      <c r="FU256" s="134"/>
      <c r="FV256" s="134"/>
      <c r="FW256" s="134"/>
      <c r="FX256" s="134"/>
      <c r="FY256" s="134"/>
      <c r="FZ256" s="134"/>
      <c r="GA256" s="135"/>
      <c r="GB256" s="135"/>
      <c r="GC256" s="134"/>
      <c r="GD256" s="134"/>
      <c r="GE256" s="134"/>
      <c r="GF256" s="134"/>
      <c r="GG256" s="134"/>
      <c r="GH256" s="134"/>
      <c r="GI256" s="134"/>
      <c r="GJ256" s="134"/>
      <c r="GK256" s="135"/>
      <c r="GL256" s="135"/>
      <c r="GM256" s="134"/>
      <c r="GN256" s="134"/>
      <c r="GO256" s="134"/>
      <c r="GP256" s="134"/>
      <c r="GQ256" s="134"/>
      <c r="GR256" s="134"/>
      <c r="GS256" s="134"/>
      <c r="GT256" s="134"/>
      <c r="GU256" s="135"/>
      <c r="GV256" s="135"/>
      <c r="GW256" s="134"/>
      <c r="GX256" s="134"/>
      <c r="GY256" s="134"/>
      <c r="GZ256" s="134"/>
      <c r="HA256" s="134"/>
      <c r="HB256" s="134"/>
      <c r="HC256" s="134"/>
      <c r="HD256" s="134"/>
      <c r="HE256" s="135"/>
      <c r="HF256" s="135"/>
      <c r="HG256" s="134"/>
      <c r="HH256" s="134"/>
      <c r="HI256" s="134"/>
      <c r="HJ256" s="134"/>
      <c r="HK256" s="134"/>
      <c r="HL256" s="134"/>
      <c r="HM256" s="134"/>
      <c r="HN256" s="134"/>
      <c r="HO256" s="135"/>
      <c r="HP256" s="135"/>
      <c r="HQ256" s="134"/>
      <c r="HR256" s="134"/>
      <c r="HS256" s="134"/>
      <c r="HT256" s="134"/>
      <c r="HU256" s="134"/>
      <c r="HV256" s="134"/>
      <c r="HW256" s="134"/>
      <c r="HX256" s="134"/>
      <c r="HY256" s="135"/>
      <c r="HZ256" s="135"/>
      <c r="IA256" s="134"/>
      <c r="IB256" s="134"/>
      <c r="IC256" s="134"/>
      <c r="ID256" s="134"/>
      <c r="IE256" s="134"/>
      <c r="IF256" s="134"/>
      <c r="IG256" s="134"/>
      <c r="IH256" s="134"/>
      <c r="II256" s="135"/>
      <c r="IJ256" s="135"/>
      <c r="IK256" s="134"/>
      <c r="IL256" s="134"/>
      <c r="IM256" s="134"/>
      <c r="IN256" s="134"/>
      <c r="IO256" s="134"/>
      <c r="IP256" s="134"/>
      <c r="IQ256" s="134"/>
      <c r="IR256" s="134"/>
      <c r="IS256" s="135"/>
      <c r="IT256" s="135"/>
      <c r="IU256" s="134"/>
      <c r="IV256" s="134"/>
      <c r="IW256" s="134"/>
      <c r="IX256" s="134"/>
      <c r="IY256" s="134"/>
      <c r="IZ256" s="134"/>
      <c r="JA256" s="134"/>
      <c r="JB256" s="134"/>
      <c r="JC256" s="135"/>
      <c r="JD256" s="135"/>
    </row>
    <row r="257" spans="1:264" customFormat="1" ht="15" customHeight="1">
      <c r="A257" s="118" t="s">
        <v>1026</v>
      </c>
      <c r="B257" s="614">
        <v>24</v>
      </c>
      <c r="C257" s="614"/>
      <c r="D257" s="614"/>
      <c r="E257" s="605" t="s">
        <v>2088</v>
      </c>
      <c r="F257" s="140" t="s">
        <v>2343</v>
      </c>
      <c r="G257" s="141">
        <v>2012</v>
      </c>
      <c r="H257" s="118">
        <v>22176467</v>
      </c>
      <c r="I257" s="118">
        <v>1</v>
      </c>
      <c r="J257" s="118" t="s">
        <v>1855</v>
      </c>
      <c r="K257" s="118"/>
      <c r="L257" s="118">
        <v>0</v>
      </c>
      <c r="M257" s="118"/>
      <c r="N257" s="158">
        <v>0</v>
      </c>
      <c r="O257" s="142">
        <v>2</v>
      </c>
      <c r="P257" s="118" t="s">
        <v>1404</v>
      </c>
      <c r="Q257" s="118" t="s">
        <v>1212</v>
      </c>
      <c r="R257" s="118" t="s">
        <v>1127</v>
      </c>
      <c r="S257" s="118"/>
      <c r="T257" s="118" t="s">
        <v>1488</v>
      </c>
      <c r="U257" s="118" t="s">
        <v>803</v>
      </c>
      <c r="V257" s="118"/>
      <c r="W257" s="118" t="s">
        <v>1403</v>
      </c>
      <c r="X257" s="118"/>
      <c r="Y257" s="118"/>
      <c r="Z257" s="118"/>
      <c r="AA257" s="118"/>
      <c r="AB257" s="118"/>
      <c r="AC257" s="145"/>
      <c r="AD257" s="573">
        <v>1</v>
      </c>
      <c r="AE257" s="573">
        <v>2</v>
      </c>
      <c r="AF257" s="230" t="s">
        <v>3003</v>
      </c>
      <c r="AG257" s="231" t="s">
        <v>5329</v>
      </c>
      <c r="AH257" s="152">
        <v>4</v>
      </c>
      <c r="AI257" s="485"/>
      <c r="AJ257" s="242" t="s">
        <v>3051</v>
      </c>
      <c r="AK257" s="192">
        <v>1</v>
      </c>
      <c r="AL257" s="243">
        <v>0</v>
      </c>
      <c r="AM257" s="152" t="s">
        <v>3048</v>
      </c>
      <c r="AN257" s="152">
        <f>12+12</f>
        <v>24</v>
      </c>
      <c r="AO257" s="152" t="s">
        <v>24</v>
      </c>
      <c r="AP257" s="152" t="s">
        <v>803</v>
      </c>
      <c r="AQ257" s="152" t="s">
        <v>24</v>
      </c>
      <c r="AR257" s="152" t="s">
        <v>3031</v>
      </c>
      <c r="AS257" s="152" t="s">
        <v>24</v>
      </c>
      <c r="AT257" s="152" t="s">
        <v>24</v>
      </c>
      <c r="AU257" s="152" t="s">
        <v>24</v>
      </c>
      <c r="AV257" s="152" t="s">
        <v>3033</v>
      </c>
      <c r="AW257" s="152">
        <v>1</v>
      </c>
      <c r="AX257" s="187" t="s">
        <v>3331</v>
      </c>
      <c r="AY257" s="152" t="s">
        <v>24</v>
      </c>
      <c r="AZ257" s="152" t="s">
        <v>2730</v>
      </c>
      <c r="BA257" s="152" t="s">
        <v>3045</v>
      </c>
      <c r="BB257" s="588"/>
      <c r="BC257" s="588"/>
      <c r="BD257" s="161">
        <v>1</v>
      </c>
      <c r="BE257" s="161"/>
      <c r="BF257" s="161"/>
      <c r="BG257" s="161"/>
      <c r="BH257" s="161"/>
      <c r="BI257" s="161"/>
      <c r="BJ257" s="161"/>
      <c r="BK257" s="161"/>
      <c r="BL257" s="161"/>
      <c r="BM257" s="161"/>
      <c r="BN257" s="161"/>
      <c r="BO257" s="161"/>
      <c r="BP257" s="161"/>
      <c r="BQ257" s="596" t="s">
        <v>2977</v>
      </c>
      <c r="BR257" s="157" t="s">
        <v>6603</v>
      </c>
      <c r="BS257" s="660"/>
      <c r="BT257" s="150" t="s">
        <v>1876</v>
      </c>
      <c r="BU257" s="150" t="s">
        <v>3046</v>
      </c>
      <c r="BV257" s="150" t="s">
        <v>3054</v>
      </c>
      <c r="BW257" s="150" t="s">
        <v>2471</v>
      </c>
      <c r="BX257" s="150" t="s">
        <v>2659</v>
      </c>
      <c r="BY257" s="134" t="s">
        <v>2659</v>
      </c>
      <c r="BZ257" s="258" t="s">
        <v>3094</v>
      </c>
      <c r="CA257" s="257" t="s">
        <v>6627</v>
      </c>
      <c r="CB257" s="151" t="s">
        <v>3084</v>
      </c>
      <c r="CC257" s="150">
        <v>66.630300000000005</v>
      </c>
      <c r="CD257" s="150" t="s">
        <v>24</v>
      </c>
      <c r="CE257" s="150">
        <f>73.4839-Table668[[#This Row],[Data_Outcome1_M]]</f>
        <v>6.8536000000000001</v>
      </c>
      <c r="CF257" s="151" t="s">
        <v>3085</v>
      </c>
      <c r="CG257" s="150">
        <v>82.447500000000005</v>
      </c>
      <c r="CH257" s="150" t="s">
        <v>24</v>
      </c>
      <c r="CI257" s="150">
        <f>85.7864-Table668[[#This Row],[Data_Outcome2_M]]</f>
        <v>3.3388999999999953</v>
      </c>
      <c r="CJ257" s="290"/>
      <c r="CK257" s="291"/>
      <c r="CL257" s="151" t="s">
        <v>3086</v>
      </c>
      <c r="CM257" s="150">
        <v>45.409599999999998</v>
      </c>
      <c r="CN257" s="228" t="s">
        <v>24</v>
      </c>
      <c r="CO257" s="150">
        <f>52.4392-Table668[[#This Row],[Data_Outcome3_M]]</f>
        <v>7.0296000000000021</v>
      </c>
      <c r="CP257" s="151" t="s">
        <v>3087</v>
      </c>
      <c r="CQ257" s="150">
        <v>78.800899999999999</v>
      </c>
      <c r="CR257" s="150" t="s">
        <v>24</v>
      </c>
      <c r="CS257" s="150">
        <f>84.952-Table668[[#This Row],[Data_Outcome4_M]]</f>
        <v>6.1510999999999996</v>
      </c>
      <c r="CT257" s="290"/>
      <c r="CU257" s="291"/>
      <c r="CV257" s="278"/>
      <c r="CW257" s="285"/>
      <c r="CX257" s="151" t="s">
        <v>3088</v>
      </c>
      <c r="CY257" s="150">
        <v>35.787599999999998</v>
      </c>
      <c r="CZ257" s="228" t="s">
        <v>24</v>
      </c>
      <c r="DA257" s="150">
        <f>40.1812-Table668[[#This Row],[Data_Outcome5_M]]</f>
        <v>4.3935999999999993</v>
      </c>
      <c r="DB257" s="151" t="s">
        <v>3089</v>
      </c>
      <c r="DC257" s="150">
        <v>60.216299999999997</v>
      </c>
      <c r="DD257" s="150" t="s">
        <v>24</v>
      </c>
      <c r="DE257" s="150">
        <f>69.7061-Table668[[#This Row],[Data_Outcome6_M]]</f>
        <v>9.4898000000000096</v>
      </c>
      <c r="DF257" s="302"/>
      <c r="DG257" s="303"/>
      <c r="DH257" s="151" t="s">
        <v>3090</v>
      </c>
      <c r="DI257" s="150">
        <v>21.069199999999999</v>
      </c>
      <c r="DJ257" s="228" t="s">
        <v>24</v>
      </c>
      <c r="DK257" s="150">
        <f>23.7051-Table668[[#This Row],[Data_Outcome7_M]]</f>
        <v>2.635900000000003</v>
      </c>
      <c r="DL257" s="151" t="s">
        <v>3091</v>
      </c>
      <c r="DM257" s="150">
        <v>41.104300000000002</v>
      </c>
      <c r="DN257" s="150" t="s">
        <v>24</v>
      </c>
      <c r="DO257" s="150">
        <f>47.2554-Table668[[#This Row],[Data_Outcome8_M]]</f>
        <v>6.1510999999999996</v>
      </c>
      <c r="DP257" s="302"/>
      <c r="DQ257" s="303"/>
      <c r="DR257" s="278"/>
      <c r="DS257" s="279"/>
      <c r="DT257" s="151" t="s">
        <v>3092</v>
      </c>
      <c r="DU257" s="150">
        <v>17.775300000000001</v>
      </c>
      <c r="DV257" s="228" t="s">
        <v>24</v>
      </c>
      <c r="DW257" s="150">
        <f>20.7625-Table668[[#This Row],[Data_Outcome9_M]]</f>
        <v>2.9871999999999979</v>
      </c>
      <c r="DX257" s="151" t="s">
        <v>3093</v>
      </c>
      <c r="DY257" s="150">
        <v>24.804400000000001</v>
      </c>
      <c r="DZ257" s="150" t="s">
        <v>24</v>
      </c>
      <c r="EA257" s="150">
        <f>28.4951-Table668[[#This Row],[Data_Outcome10_M]]</f>
        <v>3.6906999999999996</v>
      </c>
      <c r="EB257" s="303"/>
      <c r="EC257" s="303"/>
      <c r="ED257" s="151" t="s">
        <v>24</v>
      </c>
      <c r="EE257" s="150"/>
      <c r="EF257" s="150"/>
      <c r="EG257" s="150"/>
      <c r="EH257" s="151"/>
      <c r="EI257" s="150"/>
      <c r="EJ257" s="150"/>
      <c r="EK257" s="150"/>
      <c r="EL257" s="303"/>
      <c r="EM257" s="303"/>
      <c r="EN257" s="279"/>
      <c r="EO257" s="150"/>
      <c r="EP257" s="150"/>
      <c r="EQ257" s="150"/>
      <c r="ER257" s="150"/>
      <c r="ES257" s="150"/>
      <c r="ET257" s="150"/>
      <c r="EU257" s="150"/>
      <c r="EV257" s="150"/>
      <c r="EW257" s="303"/>
      <c r="EX257" s="303"/>
      <c r="EY257" s="150"/>
      <c r="EZ257" s="150"/>
      <c r="FA257" s="150"/>
      <c r="FB257" s="150"/>
      <c r="FC257" s="134"/>
      <c r="FD257" s="134"/>
      <c r="FE257" s="134"/>
      <c r="FF257" s="134"/>
      <c r="FG257" s="135"/>
      <c r="FH257" s="135"/>
      <c r="FI257" s="134"/>
      <c r="FJ257" s="134"/>
      <c r="FK257" s="134"/>
      <c r="FL257" s="134"/>
      <c r="FM257" s="134"/>
      <c r="FN257" s="134"/>
      <c r="FO257" s="134"/>
      <c r="FP257" s="134"/>
      <c r="FQ257" s="135"/>
      <c r="FR257" s="135"/>
      <c r="FS257" s="134"/>
      <c r="FT257" s="134"/>
      <c r="FU257" s="134"/>
      <c r="FV257" s="134"/>
      <c r="FW257" s="134"/>
      <c r="FX257" s="134"/>
      <c r="FY257" s="134"/>
      <c r="FZ257" s="134"/>
      <c r="GA257" s="135"/>
      <c r="GB257" s="135"/>
      <c r="GC257" s="134"/>
      <c r="GD257" s="134"/>
      <c r="GE257" s="134"/>
      <c r="GF257" s="134"/>
      <c r="GG257" s="134"/>
      <c r="GH257" s="134"/>
      <c r="GI257" s="134"/>
      <c r="GJ257" s="134"/>
      <c r="GK257" s="135"/>
      <c r="GL257" s="135"/>
      <c r="GM257" s="134"/>
      <c r="GN257" s="134"/>
      <c r="GO257" s="134"/>
      <c r="GP257" s="134"/>
      <c r="GQ257" s="134"/>
      <c r="GR257" s="134"/>
      <c r="GS257" s="134"/>
      <c r="GT257" s="134"/>
      <c r="GU257" s="135"/>
      <c r="GV257" s="135"/>
      <c r="GW257" s="134"/>
      <c r="GX257" s="134"/>
      <c r="GY257" s="134"/>
      <c r="GZ257" s="134"/>
      <c r="HA257" s="134"/>
      <c r="HB257" s="134"/>
      <c r="HC257" s="134"/>
      <c r="HD257" s="134"/>
      <c r="HE257" s="135"/>
      <c r="HF257" s="135"/>
      <c r="HG257" s="134"/>
      <c r="HH257" s="134"/>
      <c r="HI257" s="134"/>
      <c r="HJ257" s="134"/>
      <c r="HK257" s="134"/>
      <c r="HL257" s="134"/>
      <c r="HM257" s="134"/>
      <c r="HN257" s="134"/>
      <c r="HO257" s="135"/>
      <c r="HP257" s="135"/>
      <c r="HQ257" s="134"/>
      <c r="HR257" s="134"/>
      <c r="HS257" s="134"/>
      <c r="HT257" s="134"/>
      <c r="HU257" s="134"/>
      <c r="HV257" s="134"/>
      <c r="HW257" s="134"/>
      <c r="HX257" s="134"/>
      <c r="HY257" s="135"/>
      <c r="HZ257" s="135"/>
      <c r="IA257" s="134"/>
      <c r="IB257" s="134"/>
      <c r="IC257" s="134"/>
      <c r="ID257" s="134"/>
      <c r="IE257" s="134"/>
      <c r="IF257" s="134"/>
      <c r="IG257" s="134"/>
      <c r="IH257" s="134"/>
      <c r="II257" s="135"/>
      <c r="IJ257" s="135"/>
      <c r="IK257" s="134"/>
      <c r="IL257" s="134"/>
      <c r="IM257" s="134"/>
      <c r="IN257" s="134"/>
      <c r="IO257" s="134"/>
      <c r="IP257" s="134"/>
      <c r="IQ257" s="134"/>
      <c r="IR257" s="134"/>
      <c r="IS257" s="135"/>
      <c r="IT257" s="135"/>
      <c r="IU257" s="134"/>
      <c r="IV257" s="134"/>
      <c r="IW257" s="134"/>
      <c r="IX257" s="134"/>
      <c r="IY257" s="134"/>
      <c r="IZ257" s="134"/>
      <c r="JA257" s="134"/>
      <c r="JB257" s="134"/>
      <c r="JC257" s="135"/>
      <c r="JD257" s="135"/>
    </row>
    <row r="258" spans="1:264" customFormat="1" ht="15" customHeight="1">
      <c r="A258" s="118" t="s">
        <v>1026</v>
      </c>
      <c r="B258" s="614">
        <v>24</v>
      </c>
      <c r="C258" s="614"/>
      <c r="D258" s="614"/>
      <c r="E258" s="605" t="s">
        <v>2088</v>
      </c>
      <c r="F258" s="140" t="s">
        <v>2343</v>
      </c>
      <c r="G258" s="141">
        <v>2012</v>
      </c>
      <c r="H258" s="118">
        <v>22176467</v>
      </c>
      <c r="I258" s="118">
        <v>1</v>
      </c>
      <c r="J258" s="118" t="s">
        <v>1855</v>
      </c>
      <c r="K258" s="118"/>
      <c r="L258" s="118">
        <v>0</v>
      </c>
      <c r="M258" s="118"/>
      <c r="N258" s="158">
        <v>0</v>
      </c>
      <c r="O258" s="142">
        <v>2</v>
      </c>
      <c r="P258" s="118" t="s">
        <v>1404</v>
      </c>
      <c r="Q258" s="118" t="s">
        <v>1212</v>
      </c>
      <c r="R258" s="118" t="s">
        <v>1127</v>
      </c>
      <c r="S258" s="118"/>
      <c r="T258" s="118" t="s">
        <v>1488</v>
      </c>
      <c r="U258" s="118" t="s">
        <v>803</v>
      </c>
      <c r="V258" s="118"/>
      <c r="W258" s="118" t="s">
        <v>1403</v>
      </c>
      <c r="X258" s="118"/>
      <c r="Y258" s="118"/>
      <c r="Z258" s="118"/>
      <c r="AA258" s="118"/>
      <c r="AB258" s="118"/>
      <c r="AC258" s="145"/>
      <c r="AD258" s="573">
        <v>1</v>
      </c>
      <c r="AE258" s="573">
        <v>2</v>
      </c>
      <c r="AF258" s="230" t="s">
        <v>1917</v>
      </c>
      <c r="AG258" s="231" t="s">
        <v>3333</v>
      </c>
      <c r="AH258" s="152">
        <v>4</v>
      </c>
      <c r="AI258" s="485"/>
      <c r="AJ258" s="242" t="s">
        <v>3050</v>
      </c>
      <c r="AK258" s="192">
        <v>1</v>
      </c>
      <c r="AL258" s="243">
        <v>0</v>
      </c>
      <c r="AM258" s="152">
        <f>Table668[[#This Row],[Data_Subjects_n_ptsd]]+Table668[[#This Row],[Data_Subjects_n_control]]</f>
        <v>15</v>
      </c>
      <c r="AN258" s="152">
        <v>7</v>
      </c>
      <c r="AO258" s="152">
        <v>8</v>
      </c>
      <c r="AP258" s="152" t="s">
        <v>803</v>
      </c>
      <c r="AQ258" s="152" t="s">
        <v>803</v>
      </c>
      <c r="AR258" s="152" t="s">
        <v>3031</v>
      </c>
      <c r="AS258" s="152" t="s">
        <v>24</v>
      </c>
      <c r="AT258" s="152" t="s">
        <v>3031</v>
      </c>
      <c r="AU258" s="152" t="s">
        <v>24</v>
      </c>
      <c r="AV258" s="152" t="s">
        <v>3033</v>
      </c>
      <c r="AW258" s="152">
        <v>1</v>
      </c>
      <c r="AX258" s="187" t="s">
        <v>3331</v>
      </c>
      <c r="AY258" s="152" t="s">
        <v>3032</v>
      </c>
      <c r="AZ258" s="152" t="s">
        <v>2730</v>
      </c>
      <c r="BA258" s="152" t="s">
        <v>2554</v>
      </c>
      <c r="BB258" s="588"/>
      <c r="BC258" s="588"/>
      <c r="BD258" s="161">
        <v>1</v>
      </c>
      <c r="BE258" s="161"/>
      <c r="BF258" s="161"/>
      <c r="BG258" s="161"/>
      <c r="BH258" s="161"/>
      <c r="BI258" s="161"/>
      <c r="BJ258" s="161"/>
      <c r="BK258" s="161"/>
      <c r="BL258" s="161"/>
      <c r="BM258" s="161"/>
      <c r="BN258" s="161"/>
      <c r="BO258" s="161"/>
      <c r="BP258" s="161"/>
      <c r="BQ258" s="596" t="s">
        <v>3039</v>
      </c>
      <c r="BR258" s="157" t="s">
        <v>6598</v>
      </c>
      <c r="BS258" s="660"/>
      <c r="BT258" s="150" t="s">
        <v>1876</v>
      </c>
      <c r="BU258" s="150" t="s">
        <v>3041</v>
      </c>
      <c r="BV258" s="150" t="s">
        <v>3034</v>
      </c>
      <c r="BW258" s="150" t="s">
        <v>2471</v>
      </c>
      <c r="BX258" s="150" t="s">
        <v>2659</v>
      </c>
      <c r="BY258" s="134" t="s">
        <v>2659</v>
      </c>
      <c r="BZ258" s="258" t="s">
        <v>3065</v>
      </c>
      <c r="CA258" s="257" t="s">
        <v>6627</v>
      </c>
      <c r="CB258" s="151" t="s">
        <v>3057</v>
      </c>
      <c r="CC258" s="150">
        <v>0.51838200000000001</v>
      </c>
      <c r="CD258" s="228" t="s">
        <v>24</v>
      </c>
      <c r="CE258" s="150">
        <f>1.01811-Table668[[#This Row],[Data_Outcome1_M]]</f>
        <v>0.49972800000000006</v>
      </c>
      <c r="CF258" s="151" t="s">
        <v>3058</v>
      </c>
      <c r="CG258" s="150">
        <v>11.914</v>
      </c>
      <c r="CH258" s="150" t="s">
        <v>24</v>
      </c>
      <c r="CI258" s="150">
        <f>15.7476-Table668[[#This Row],[Data_Outcome2_M]]</f>
        <v>3.8336000000000006</v>
      </c>
      <c r="CJ258" s="290" t="s">
        <v>3059</v>
      </c>
      <c r="CK258" s="291" t="s">
        <v>3060</v>
      </c>
      <c r="CL258" s="151" t="s">
        <v>3035</v>
      </c>
      <c r="CM258" s="150">
        <v>26.8781</v>
      </c>
      <c r="CN258" s="150" t="s">
        <v>24</v>
      </c>
      <c r="CO258" s="150">
        <f>33.2117-Table668[[#This Row],[Data_Outcome3_M]]</f>
        <v>6.3336000000000006</v>
      </c>
      <c r="CP258" s="151" t="s">
        <v>3036</v>
      </c>
      <c r="CQ258" s="150">
        <v>87.4405</v>
      </c>
      <c r="CR258" s="150" t="s">
        <v>24</v>
      </c>
      <c r="CS258" s="150">
        <f>89.1072-Table668[[#This Row],[Data_Outcome4_M]]</f>
        <v>1.6667000000000058</v>
      </c>
      <c r="CT258" s="290" t="s">
        <v>3061</v>
      </c>
      <c r="CU258" s="291" t="s">
        <v>3062</v>
      </c>
      <c r="CV258" s="278" t="s">
        <v>3064</v>
      </c>
      <c r="CW258" s="285"/>
      <c r="CX258" s="151" t="s">
        <v>3038</v>
      </c>
      <c r="CY258" s="150">
        <v>22.278099999999998</v>
      </c>
      <c r="CZ258" s="150" t="s">
        <v>24</v>
      </c>
      <c r="DA258" s="150">
        <f>30.1733-Table668[[#This Row],[Data_Outcome5_M]]</f>
        <v>7.8952000000000027</v>
      </c>
      <c r="DB258" s="151" t="s">
        <v>3037</v>
      </c>
      <c r="DC258" s="150">
        <v>83.581699999999998</v>
      </c>
      <c r="DD258" s="150" t="s">
        <v>24</v>
      </c>
      <c r="DE258" s="150">
        <f>87.1702-Table668[[#This Row],[Data_Outcome6_M]]</f>
        <v>3.5884999999999962</v>
      </c>
      <c r="DF258" s="302" t="s">
        <v>3063</v>
      </c>
      <c r="DG258" s="303" t="s">
        <v>3060</v>
      </c>
      <c r="DH258" s="150" t="s">
        <v>24</v>
      </c>
      <c r="DI258" s="150" t="s">
        <v>24</v>
      </c>
      <c r="DJ258" s="150" t="s">
        <v>24</v>
      </c>
      <c r="DK258" s="150" t="s">
        <v>24</v>
      </c>
      <c r="DL258" s="150"/>
      <c r="DM258" s="150"/>
      <c r="DN258" s="150"/>
      <c r="DO258" s="150"/>
      <c r="DP258" s="302"/>
      <c r="DQ258" s="303"/>
      <c r="DR258" s="278"/>
      <c r="DS258" s="279"/>
      <c r="DT258" s="150"/>
      <c r="DU258" s="150"/>
      <c r="DV258" s="150"/>
      <c r="DW258" s="150"/>
      <c r="DX258" s="151"/>
      <c r="DY258" s="150"/>
      <c r="DZ258" s="150"/>
      <c r="EA258" s="150"/>
      <c r="EB258" s="303"/>
      <c r="EC258" s="303"/>
      <c r="ED258" s="151"/>
      <c r="EE258" s="150"/>
      <c r="EF258" s="150"/>
      <c r="EG258" s="150"/>
      <c r="EH258" s="151"/>
      <c r="EI258" s="150"/>
      <c r="EJ258" s="150"/>
      <c r="EK258" s="150"/>
      <c r="EL258" s="303"/>
      <c r="EM258" s="303"/>
      <c r="EN258" s="279"/>
      <c r="EO258" s="150"/>
      <c r="EP258" s="150"/>
      <c r="EQ258" s="150"/>
      <c r="ER258" s="150"/>
      <c r="ES258" s="150"/>
      <c r="ET258" s="150"/>
      <c r="EU258" s="150"/>
      <c r="EV258" s="150"/>
      <c r="EW258" s="303"/>
      <c r="EX258" s="303"/>
      <c r="EY258" s="150"/>
      <c r="EZ258" s="150"/>
      <c r="FA258" s="150"/>
      <c r="FB258" s="150"/>
      <c r="FC258" s="134"/>
      <c r="FD258" s="134"/>
      <c r="FE258" s="134"/>
      <c r="FF258" s="134"/>
      <c r="FG258" s="135"/>
      <c r="FH258" s="135"/>
      <c r="FI258" s="134"/>
      <c r="FJ258" s="134"/>
      <c r="FK258" s="134"/>
      <c r="FL258" s="134"/>
      <c r="FM258" s="134"/>
      <c r="FN258" s="134"/>
      <c r="FO258" s="134"/>
      <c r="FP258" s="134"/>
      <c r="FQ258" s="135"/>
      <c r="FR258" s="135"/>
      <c r="FS258" s="134"/>
      <c r="FT258" s="134"/>
      <c r="FU258" s="134"/>
      <c r="FV258" s="134"/>
      <c r="FW258" s="134"/>
      <c r="FX258" s="134"/>
      <c r="FY258" s="134"/>
      <c r="FZ258" s="134"/>
      <c r="GA258" s="135"/>
      <c r="GB258" s="135"/>
      <c r="GC258" s="134"/>
      <c r="GD258" s="134"/>
      <c r="GE258" s="134"/>
      <c r="GF258" s="134"/>
      <c r="GG258" s="134"/>
      <c r="GH258" s="134"/>
      <c r="GI258" s="134"/>
      <c r="GJ258" s="134"/>
      <c r="GK258" s="135"/>
      <c r="GL258" s="135"/>
      <c r="GM258" s="134"/>
      <c r="GN258" s="134"/>
      <c r="GO258" s="134"/>
      <c r="GP258" s="134"/>
      <c r="GQ258" s="134"/>
      <c r="GR258" s="134"/>
      <c r="GS258" s="134"/>
      <c r="GT258" s="134"/>
      <c r="GU258" s="135"/>
      <c r="GV258" s="135"/>
      <c r="GW258" s="134"/>
      <c r="GX258" s="134"/>
      <c r="GY258" s="134"/>
      <c r="GZ258" s="134"/>
      <c r="HA258" s="134"/>
      <c r="HB258" s="134"/>
      <c r="HC258" s="134"/>
      <c r="HD258" s="134"/>
      <c r="HE258" s="135"/>
      <c r="HF258" s="135"/>
      <c r="HG258" s="134"/>
      <c r="HH258" s="134"/>
      <c r="HI258" s="134"/>
      <c r="HJ258" s="134"/>
      <c r="HK258" s="134"/>
      <c r="HL258" s="134"/>
      <c r="HM258" s="134"/>
      <c r="HN258" s="134"/>
      <c r="HO258" s="135"/>
      <c r="HP258" s="135"/>
      <c r="HQ258" s="134"/>
      <c r="HR258" s="134"/>
      <c r="HS258" s="134"/>
      <c r="HT258" s="134"/>
      <c r="HU258" s="134"/>
      <c r="HV258" s="134"/>
      <c r="HW258" s="134"/>
      <c r="HX258" s="134"/>
      <c r="HY258" s="135"/>
      <c r="HZ258" s="135"/>
      <c r="IA258" s="134"/>
      <c r="IB258" s="134"/>
      <c r="IC258" s="134"/>
      <c r="ID258" s="134"/>
      <c r="IE258" s="134"/>
      <c r="IF258" s="134"/>
      <c r="IG258" s="134"/>
      <c r="IH258" s="134"/>
      <c r="II258" s="135"/>
      <c r="IJ258" s="135"/>
      <c r="IK258" s="134"/>
      <c r="IL258" s="134"/>
      <c r="IM258" s="134"/>
      <c r="IN258" s="134"/>
      <c r="IO258" s="134"/>
      <c r="IP258" s="134"/>
      <c r="IQ258" s="134"/>
      <c r="IR258" s="134"/>
      <c r="IS258" s="135"/>
      <c r="IT258" s="135"/>
      <c r="IU258" s="134"/>
      <c r="IV258" s="134"/>
      <c r="IW258" s="134"/>
      <c r="IX258" s="134"/>
      <c r="IY258" s="134"/>
      <c r="IZ258" s="134"/>
      <c r="JA258" s="134"/>
      <c r="JB258" s="134"/>
      <c r="JC258" s="135"/>
      <c r="JD258" s="135"/>
    </row>
    <row r="259" spans="1:264" customFormat="1" ht="15" customHeight="1">
      <c r="A259" s="118" t="s">
        <v>1026</v>
      </c>
      <c r="B259" s="614">
        <v>24</v>
      </c>
      <c r="C259" s="614"/>
      <c r="D259" s="614"/>
      <c r="E259" s="605" t="s">
        <v>2088</v>
      </c>
      <c r="F259" s="140" t="s">
        <v>2343</v>
      </c>
      <c r="G259" s="141">
        <v>2012</v>
      </c>
      <c r="H259" s="118">
        <v>22176467</v>
      </c>
      <c r="I259" s="118">
        <v>1</v>
      </c>
      <c r="J259" s="118" t="s">
        <v>1855</v>
      </c>
      <c r="K259" s="118"/>
      <c r="L259" s="118">
        <v>0</v>
      </c>
      <c r="M259" s="118"/>
      <c r="N259" s="158">
        <v>0</v>
      </c>
      <c r="O259" s="142">
        <v>2</v>
      </c>
      <c r="P259" s="118" t="s">
        <v>1404</v>
      </c>
      <c r="Q259" s="118" t="s">
        <v>1212</v>
      </c>
      <c r="R259" s="118" t="s">
        <v>1127</v>
      </c>
      <c r="S259" s="118"/>
      <c r="T259" s="118" t="s">
        <v>1488</v>
      </c>
      <c r="U259" s="118" t="s">
        <v>803</v>
      </c>
      <c r="V259" s="118"/>
      <c r="W259" s="118" t="s">
        <v>1403</v>
      </c>
      <c r="X259" s="118"/>
      <c r="Y259" s="118"/>
      <c r="Z259" s="118"/>
      <c r="AA259" s="118"/>
      <c r="AB259" s="118"/>
      <c r="AC259" s="145"/>
      <c r="AD259" s="573">
        <v>1</v>
      </c>
      <c r="AE259" s="573">
        <v>2</v>
      </c>
      <c r="AF259" s="230" t="s">
        <v>1917</v>
      </c>
      <c r="AG259" s="231" t="s">
        <v>3334</v>
      </c>
      <c r="AH259" s="152">
        <v>4</v>
      </c>
      <c r="AI259" s="485"/>
      <c r="AJ259" s="242" t="s">
        <v>3052</v>
      </c>
      <c r="AK259" s="192">
        <v>1</v>
      </c>
      <c r="AL259" s="243">
        <v>0</v>
      </c>
      <c r="AM259" s="152">
        <f>Table668[[#This Row],[Data_Subjects_n_ptsd]]+Table668[[#This Row],[Data_Subjects_n_control]]</f>
        <v>24</v>
      </c>
      <c r="AN259" s="152">
        <v>12</v>
      </c>
      <c r="AO259" s="152">
        <v>12</v>
      </c>
      <c r="AP259" s="152" t="s">
        <v>803</v>
      </c>
      <c r="AQ259" s="152" t="s">
        <v>803</v>
      </c>
      <c r="AR259" s="152" t="s">
        <v>3031</v>
      </c>
      <c r="AS259" s="152" t="s">
        <v>24</v>
      </c>
      <c r="AT259" s="152" t="s">
        <v>3031</v>
      </c>
      <c r="AU259" s="152" t="s">
        <v>24</v>
      </c>
      <c r="AV259" s="152" t="s">
        <v>3033</v>
      </c>
      <c r="AW259" s="152">
        <v>1</v>
      </c>
      <c r="AX259" s="187" t="s">
        <v>3331</v>
      </c>
      <c r="AY259" s="152" t="s">
        <v>3032</v>
      </c>
      <c r="AZ259" s="152" t="s">
        <v>2730</v>
      </c>
      <c r="BA259" s="152" t="s">
        <v>2554</v>
      </c>
      <c r="BB259" s="588"/>
      <c r="BC259" s="588"/>
      <c r="BD259" s="161">
        <v>1</v>
      </c>
      <c r="BE259" s="161"/>
      <c r="BF259" s="161"/>
      <c r="BG259" s="161"/>
      <c r="BH259" s="161"/>
      <c r="BI259" s="161"/>
      <c r="BJ259" s="161"/>
      <c r="BK259" s="161"/>
      <c r="BL259" s="161"/>
      <c r="BM259" s="161"/>
      <c r="BN259" s="161"/>
      <c r="BO259" s="161"/>
      <c r="BP259" s="161"/>
      <c r="BQ259" s="596" t="s">
        <v>3043</v>
      </c>
      <c r="BR259" s="157" t="s">
        <v>6598</v>
      </c>
      <c r="BS259" s="660"/>
      <c r="BT259" s="150" t="s">
        <v>1876</v>
      </c>
      <c r="BU259" s="150" t="s">
        <v>3041</v>
      </c>
      <c r="BV259" s="150" t="s">
        <v>3056</v>
      </c>
      <c r="BW259" s="150" t="s">
        <v>2471</v>
      </c>
      <c r="BX259" s="150" t="s">
        <v>2659</v>
      </c>
      <c r="BY259" s="134" t="s">
        <v>2659</v>
      </c>
      <c r="BZ259" s="258" t="s">
        <v>3083</v>
      </c>
      <c r="CA259" s="257" t="s">
        <v>6627</v>
      </c>
      <c r="CB259" s="151" t="s">
        <v>3057</v>
      </c>
      <c r="CC259" s="150" t="s">
        <v>3078</v>
      </c>
      <c r="CD259" s="150" t="s">
        <v>24</v>
      </c>
      <c r="CE259" s="150" t="s">
        <v>3078</v>
      </c>
      <c r="CF259" s="151" t="s">
        <v>3058</v>
      </c>
      <c r="CG259" s="150">
        <v>3.4817499999999999</v>
      </c>
      <c r="CH259" s="150" t="s">
        <v>24</v>
      </c>
      <c r="CI259" s="150">
        <f>6.66587-Table668[[#This Row],[Data_Outcome2_M]]</f>
        <v>3.1841200000000001</v>
      </c>
      <c r="CJ259" s="290" t="s">
        <v>3079</v>
      </c>
      <c r="CK259" s="291" t="s">
        <v>24</v>
      </c>
      <c r="CL259" s="151" t="s">
        <v>3035</v>
      </c>
      <c r="CM259" s="150">
        <v>16.767199999999999</v>
      </c>
      <c r="CN259" s="150" t="s">
        <v>24</v>
      </c>
      <c r="CO259" s="150">
        <f>21.5434-Table668[[#This Row],[Data_Outcome3_M]]</f>
        <v>4.7761999999999993</v>
      </c>
      <c r="CP259" s="151" t="s">
        <v>3036</v>
      </c>
      <c r="CQ259" s="150">
        <v>67.587800000000001</v>
      </c>
      <c r="CR259" s="150" t="s">
        <v>24</v>
      </c>
      <c r="CS259" s="150">
        <f>75.7474-Table668[[#This Row],[Data_Outcome4_M]]</f>
        <v>8.1595999999999975</v>
      </c>
      <c r="CT259" s="290" t="s">
        <v>3080</v>
      </c>
      <c r="CU259" s="291" t="s">
        <v>3060</v>
      </c>
      <c r="CV259" s="278" t="s">
        <v>3081</v>
      </c>
      <c r="CW259" s="285" t="s">
        <v>3060</v>
      </c>
      <c r="CX259" s="151" t="s">
        <v>3038</v>
      </c>
      <c r="CY259" s="150">
        <v>16.545500000000001</v>
      </c>
      <c r="CZ259" s="150" t="s">
        <v>24</v>
      </c>
      <c r="DA259" s="150">
        <f>21.1383-Table668[[#This Row],[Data_Outcome5_M]]</f>
        <v>4.5928000000000004</v>
      </c>
      <c r="DB259" s="151" t="s">
        <v>3037</v>
      </c>
      <c r="DC259" s="150">
        <v>67.379199999999997</v>
      </c>
      <c r="DD259" s="150" t="s">
        <v>24</v>
      </c>
      <c r="DE259" s="150">
        <f>75.1041-Table668[[#This Row],[Data_Outcome6_M]]</f>
        <v>7.7249000000000052</v>
      </c>
      <c r="DF259" s="302" t="s">
        <v>3082</v>
      </c>
      <c r="DG259" s="303" t="s">
        <v>3060</v>
      </c>
      <c r="DH259" s="150"/>
      <c r="DI259" s="150"/>
      <c r="DJ259" s="150"/>
      <c r="DK259" s="150"/>
      <c r="DL259" s="150"/>
      <c r="DM259" s="150"/>
      <c r="DN259" s="150"/>
      <c r="DO259" s="150"/>
      <c r="DP259" s="302"/>
      <c r="DQ259" s="303"/>
      <c r="DR259" s="278"/>
      <c r="DS259" s="279"/>
      <c r="DT259" s="150"/>
      <c r="DU259" s="150"/>
      <c r="DV259" s="150"/>
      <c r="DW259" s="150"/>
      <c r="DX259" s="151"/>
      <c r="DY259" s="150"/>
      <c r="DZ259" s="150"/>
      <c r="EA259" s="150"/>
      <c r="EB259" s="303"/>
      <c r="EC259" s="303"/>
      <c r="ED259" s="151"/>
      <c r="EE259" s="150"/>
      <c r="EF259" s="150"/>
      <c r="EG259" s="150"/>
      <c r="EH259" s="151"/>
      <c r="EI259" s="150"/>
      <c r="EJ259" s="150"/>
      <c r="EK259" s="150"/>
      <c r="EL259" s="303"/>
      <c r="EM259" s="303"/>
      <c r="EN259" s="279"/>
      <c r="EO259" s="150"/>
      <c r="EP259" s="150"/>
      <c r="EQ259" s="150"/>
      <c r="ER259" s="150"/>
      <c r="ES259" s="150"/>
      <c r="ET259" s="150"/>
      <c r="EU259" s="150"/>
      <c r="EV259" s="150"/>
      <c r="EW259" s="303"/>
      <c r="EX259" s="303"/>
      <c r="EY259" s="150"/>
      <c r="EZ259" s="150"/>
      <c r="FA259" s="150"/>
      <c r="FB259" s="150"/>
      <c r="FC259" s="134"/>
      <c r="FD259" s="134"/>
      <c r="FE259" s="134"/>
      <c r="FF259" s="134"/>
      <c r="FG259" s="135"/>
      <c r="FH259" s="135"/>
      <c r="FI259" s="134"/>
      <c r="FJ259" s="134"/>
      <c r="FK259" s="134"/>
      <c r="FL259" s="134"/>
      <c r="FM259" s="134"/>
      <c r="FN259" s="134"/>
      <c r="FO259" s="134"/>
      <c r="FP259" s="134"/>
      <c r="FQ259" s="135"/>
      <c r="FR259" s="135"/>
      <c r="FS259" s="134"/>
      <c r="FT259" s="134"/>
      <c r="FU259" s="134"/>
      <c r="FV259" s="134"/>
      <c r="FW259" s="134"/>
      <c r="FX259" s="134"/>
      <c r="FY259" s="134"/>
      <c r="FZ259" s="134"/>
      <c r="GA259" s="135"/>
      <c r="GB259" s="135"/>
      <c r="GC259" s="134"/>
      <c r="GD259" s="134"/>
      <c r="GE259" s="134"/>
      <c r="GF259" s="134"/>
      <c r="GG259" s="134"/>
      <c r="GH259" s="134"/>
      <c r="GI259" s="134"/>
      <c r="GJ259" s="134"/>
      <c r="GK259" s="135"/>
      <c r="GL259" s="135"/>
      <c r="GM259" s="134"/>
      <c r="GN259" s="134"/>
      <c r="GO259" s="134"/>
      <c r="GP259" s="134"/>
      <c r="GQ259" s="134"/>
      <c r="GR259" s="134"/>
      <c r="GS259" s="134"/>
      <c r="GT259" s="134"/>
      <c r="GU259" s="135"/>
      <c r="GV259" s="135"/>
      <c r="GW259" s="134"/>
      <c r="GX259" s="134"/>
      <c r="GY259" s="134"/>
      <c r="GZ259" s="134"/>
      <c r="HA259" s="134"/>
      <c r="HB259" s="134"/>
      <c r="HC259" s="134"/>
      <c r="HD259" s="134"/>
      <c r="HE259" s="135"/>
      <c r="HF259" s="135"/>
      <c r="HG259" s="134"/>
      <c r="HH259" s="134"/>
      <c r="HI259" s="134"/>
      <c r="HJ259" s="134"/>
      <c r="HK259" s="134"/>
      <c r="HL259" s="134"/>
      <c r="HM259" s="134"/>
      <c r="HN259" s="134"/>
      <c r="HO259" s="135"/>
      <c r="HP259" s="135"/>
      <c r="HQ259" s="134"/>
      <c r="HR259" s="134"/>
      <c r="HS259" s="134"/>
      <c r="HT259" s="134"/>
      <c r="HU259" s="134"/>
      <c r="HV259" s="134"/>
      <c r="HW259" s="134"/>
      <c r="HX259" s="134"/>
      <c r="HY259" s="135"/>
      <c r="HZ259" s="135"/>
      <c r="IA259" s="134"/>
      <c r="IB259" s="134"/>
      <c r="IC259" s="134"/>
      <c r="ID259" s="134"/>
      <c r="IE259" s="134"/>
      <c r="IF259" s="134"/>
      <c r="IG259" s="134"/>
      <c r="IH259" s="134"/>
      <c r="II259" s="135"/>
      <c r="IJ259" s="135"/>
      <c r="IK259" s="134"/>
      <c r="IL259" s="134"/>
      <c r="IM259" s="134"/>
      <c r="IN259" s="134"/>
      <c r="IO259" s="134"/>
      <c r="IP259" s="134"/>
      <c r="IQ259" s="134"/>
      <c r="IR259" s="134"/>
      <c r="IS259" s="135"/>
      <c r="IT259" s="135"/>
      <c r="IU259" s="134"/>
      <c r="IV259" s="134"/>
      <c r="IW259" s="134"/>
      <c r="IX259" s="134"/>
      <c r="IY259" s="134"/>
      <c r="IZ259" s="134"/>
      <c r="JA259" s="134"/>
      <c r="JB259" s="134"/>
      <c r="JC259" s="135"/>
      <c r="JD259" s="135"/>
    </row>
    <row r="260" spans="1:264" customFormat="1" ht="15" customHeight="1">
      <c r="A260" s="118" t="s">
        <v>1026</v>
      </c>
      <c r="B260" s="614">
        <v>24</v>
      </c>
      <c r="C260" s="614"/>
      <c r="D260" s="614"/>
      <c r="E260" s="605" t="s">
        <v>2088</v>
      </c>
      <c r="F260" s="140" t="s">
        <v>2343</v>
      </c>
      <c r="G260" s="141">
        <v>2012</v>
      </c>
      <c r="H260" s="118">
        <v>22176467</v>
      </c>
      <c r="I260" s="118">
        <v>1</v>
      </c>
      <c r="J260" s="118" t="s">
        <v>1855</v>
      </c>
      <c r="K260" s="118"/>
      <c r="L260" s="118">
        <v>0</v>
      </c>
      <c r="M260" s="118"/>
      <c r="N260" s="158">
        <v>0</v>
      </c>
      <c r="O260" s="142">
        <v>2</v>
      </c>
      <c r="P260" s="118" t="s">
        <v>1404</v>
      </c>
      <c r="Q260" s="118" t="s">
        <v>1212</v>
      </c>
      <c r="R260" s="118" t="s">
        <v>1127</v>
      </c>
      <c r="S260" s="118"/>
      <c r="T260" s="118" t="s">
        <v>1488</v>
      </c>
      <c r="U260" s="118" t="s">
        <v>803</v>
      </c>
      <c r="V260" s="118"/>
      <c r="W260" s="118" t="s">
        <v>1403</v>
      </c>
      <c r="X260" s="118"/>
      <c r="Y260" s="118"/>
      <c r="Z260" s="118"/>
      <c r="AA260" s="118"/>
      <c r="AB260" s="118"/>
      <c r="AC260" s="145"/>
      <c r="AD260" s="573">
        <v>1</v>
      </c>
      <c r="AE260" s="573">
        <v>2</v>
      </c>
      <c r="AF260" s="230" t="s">
        <v>1917</v>
      </c>
      <c r="AG260" s="231" t="s">
        <v>3333</v>
      </c>
      <c r="AH260" s="152">
        <v>4</v>
      </c>
      <c r="AI260" s="485"/>
      <c r="AJ260" s="242" t="s">
        <v>3050</v>
      </c>
      <c r="AK260" s="192">
        <v>1</v>
      </c>
      <c r="AL260" s="243">
        <v>0</v>
      </c>
      <c r="AM260" s="152">
        <f>Table668[[#This Row],[Data_Subjects_n_ptsd]]+Table668[[#This Row],[Data_Subjects_n_control]]</f>
        <v>15</v>
      </c>
      <c r="AN260" s="152">
        <v>7</v>
      </c>
      <c r="AO260" s="152">
        <v>8</v>
      </c>
      <c r="AP260" s="152" t="s">
        <v>803</v>
      </c>
      <c r="AQ260" s="152" t="s">
        <v>803</v>
      </c>
      <c r="AR260" s="152" t="s">
        <v>3031</v>
      </c>
      <c r="AS260" s="152" t="s">
        <v>24</v>
      </c>
      <c r="AT260" s="152" t="s">
        <v>3031</v>
      </c>
      <c r="AU260" s="152" t="s">
        <v>24</v>
      </c>
      <c r="AV260" s="152" t="s">
        <v>3033</v>
      </c>
      <c r="AW260" s="152">
        <v>1</v>
      </c>
      <c r="AX260" s="187" t="s">
        <v>3331</v>
      </c>
      <c r="AY260" s="152" t="s">
        <v>3032</v>
      </c>
      <c r="AZ260" s="152" t="s">
        <v>2730</v>
      </c>
      <c r="BA260" s="152" t="s">
        <v>2554</v>
      </c>
      <c r="BB260" s="588"/>
      <c r="BC260" s="588"/>
      <c r="BD260" s="161">
        <v>1</v>
      </c>
      <c r="BE260" s="161"/>
      <c r="BF260" s="161"/>
      <c r="BG260" s="161"/>
      <c r="BH260" s="161"/>
      <c r="BI260" s="161"/>
      <c r="BJ260" s="161"/>
      <c r="BK260" s="161"/>
      <c r="BL260" s="161"/>
      <c r="BM260" s="161"/>
      <c r="BN260" s="161"/>
      <c r="BO260" s="161"/>
      <c r="BP260" s="161"/>
      <c r="BQ260" s="596" t="s">
        <v>3040</v>
      </c>
      <c r="BR260" s="157" t="s">
        <v>6595</v>
      </c>
      <c r="BS260" s="660"/>
      <c r="BT260" s="150" t="s">
        <v>1876</v>
      </c>
      <c r="BU260" s="150" t="s">
        <v>3041</v>
      </c>
      <c r="BV260" s="150" t="s">
        <v>3042</v>
      </c>
      <c r="BW260" s="150" t="s">
        <v>2471</v>
      </c>
      <c r="BX260" s="150" t="s">
        <v>2659</v>
      </c>
      <c r="BY260" s="134" t="s">
        <v>2659</v>
      </c>
      <c r="BZ260" s="258" t="s">
        <v>3073</v>
      </c>
      <c r="CA260" s="257" t="s">
        <v>6627</v>
      </c>
      <c r="CB260" s="151" t="s">
        <v>3066</v>
      </c>
      <c r="CC260" s="150">
        <v>19.359400000000001</v>
      </c>
      <c r="CD260" s="150" t="s">
        <v>24</v>
      </c>
      <c r="CE260" s="150">
        <f>26.9314-Table668[[#This Row],[Data_Outcome1_M]]</f>
        <v>7.5719999999999992</v>
      </c>
      <c r="CF260" s="151" t="s">
        <v>3067</v>
      </c>
      <c r="CG260" s="150">
        <v>79.832700000000003</v>
      </c>
      <c r="CH260" s="150" t="s">
        <v>24</v>
      </c>
      <c r="CI260" s="150">
        <f>90.6966-Table668[[#This Row],[Data_Outcome2_M]]</f>
        <v>10.863900000000001</v>
      </c>
      <c r="CJ260" s="290" t="s">
        <v>3070</v>
      </c>
      <c r="CK260" s="291" t="s">
        <v>2555</v>
      </c>
      <c r="CL260" s="151" t="s">
        <v>3068</v>
      </c>
      <c r="CM260" s="150">
        <v>4.7354900000000004</v>
      </c>
      <c r="CN260" s="150" t="s">
        <v>24</v>
      </c>
      <c r="CO260" s="150">
        <f>7.2049-Table668[[#This Row],[Data_Outcome3_M]]</f>
        <v>2.4694099999999999</v>
      </c>
      <c r="CP260" s="151" t="s">
        <v>3069</v>
      </c>
      <c r="CQ260" s="150">
        <v>70.147000000000006</v>
      </c>
      <c r="CR260" s="150" t="s">
        <v>24</v>
      </c>
      <c r="CS260" s="150">
        <f>74.7563-Table668[[#This Row],[Data_Outcome4_M]]</f>
        <v>4.6092999999999904</v>
      </c>
      <c r="CT260" s="290" t="s">
        <v>3071</v>
      </c>
      <c r="CU260" s="291" t="s">
        <v>3060</v>
      </c>
      <c r="CV260" s="278" t="s">
        <v>3072</v>
      </c>
      <c r="CW260" s="285"/>
      <c r="CX260" s="151" t="s">
        <v>24</v>
      </c>
      <c r="CY260" s="150" t="s">
        <v>24</v>
      </c>
      <c r="CZ260" s="150" t="s">
        <v>24</v>
      </c>
      <c r="DA260" s="150" t="s">
        <v>24</v>
      </c>
      <c r="DB260" s="150"/>
      <c r="DC260" s="150"/>
      <c r="DD260" s="150"/>
      <c r="DE260" s="150"/>
      <c r="DF260" s="302"/>
      <c r="DG260" s="303"/>
      <c r="DH260" s="150"/>
      <c r="DI260" s="150"/>
      <c r="DJ260" s="150"/>
      <c r="DK260" s="150"/>
      <c r="DL260" s="150"/>
      <c r="DM260" s="150"/>
      <c r="DN260" s="150"/>
      <c r="DO260" s="150"/>
      <c r="DP260" s="302"/>
      <c r="DQ260" s="303"/>
      <c r="DR260" s="278"/>
      <c r="DS260" s="279"/>
      <c r="DT260" s="150"/>
      <c r="DU260" s="150"/>
      <c r="DV260" s="150"/>
      <c r="DW260" s="150"/>
      <c r="DX260" s="151"/>
      <c r="DY260" s="150"/>
      <c r="DZ260" s="150"/>
      <c r="EA260" s="150"/>
      <c r="EB260" s="303"/>
      <c r="EC260" s="303"/>
      <c r="ED260" s="151"/>
      <c r="EE260" s="150"/>
      <c r="EF260" s="150"/>
      <c r="EG260" s="150"/>
      <c r="EH260" s="151"/>
      <c r="EI260" s="150"/>
      <c r="EJ260" s="150"/>
      <c r="EK260" s="150"/>
      <c r="EL260" s="303"/>
      <c r="EM260" s="303"/>
      <c r="EN260" s="279"/>
      <c r="EO260" s="150"/>
      <c r="EP260" s="150"/>
      <c r="EQ260" s="150"/>
      <c r="ER260" s="150"/>
      <c r="ES260" s="150"/>
      <c r="ET260" s="150"/>
      <c r="EU260" s="150"/>
      <c r="EV260" s="150"/>
      <c r="EW260" s="303"/>
      <c r="EX260" s="303"/>
      <c r="EY260" s="150"/>
      <c r="EZ260" s="150"/>
      <c r="FA260" s="150"/>
      <c r="FB260" s="150"/>
      <c r="FC260" s="134"/>
      <c r="FD260" s="134"/>
      <c r="FE260" s="134"/>
      <c r="FF260" s="134"/>
      <c r="FG260" s="135"/>
      <c r="FH260" s="135"/>
      <c r="FI260" s="134"/>
      <c r="FJ260" s="134"/>
      <c r="FK260" s="134"/>
      <c r="FL260" s="134"/>
      <c r="FM260" s="134"/>
      <c r="FN260" s="134"/>
      <c r="FO260" s="134"/>
      <c r="FP260" s="134"/>
      <c r="FQ260" s="135"/>
      <c r="FR260" s="135"/>
      <c r="FS260" s="134"/>
      <c r="FT260" s="134"/>
      <c r="FU260" s="134"/>
      <c r="FV260" s="134"/>
      <c r="FW260" s="134"/>
      <c r="FX260" s="134"/>
      <c r="FY260" s="134"/>
      <c r="FZ260" s="134"/>
      <c r="GA260" s="135"/>
      <c r="GB260" s="135"/>
      <c r="GC260" s="134"/>
      <c r="GD260" s="134"/>
      <c r="GE260" s="134"/>
      <c r="GF260" s="134"/>
      <c r="GG260" s="134"/>
      <c r="GH260" s="134"/>
      <c r="GI260" s="134"/>
      <c r="GJ260" s="134"/>
      <c r="GK260" s="135"/>
      <c r="GL260" s="135"/>
      <c r="GM260" s="134"/>
      <c r="GN260" s="134"/>
      <c r="GO260" s="134"/>
      <c r="GP260" s="134"/>
      <c r="GQ260" s="134"/>
      <c r="GR260" s="134"/>
      <c r="GS260" s="134"/>
      <c r="GT260" s="134"/>
      <c r="GU260" s="135"/>
      <c r="GV260" s="135"/>
      <c r="GW260" s="134"/>
      <c r="GX260" s="134"/>
      <c r="GY260" s="134"/>
      <c r="GZ260" s="134"/>
      <c r="HA260" s="134"/>
      <c r="HB260" s="134"/>
      <c r="HC260" s="134"/>
      <c r="HD260" s="134"/>
      <c r="HE260" s="135"/>
      <c r="HF260" s="135"/>
      <c r="HG260" s="134"/>
      <c r="HH260" s="134"/>
      <c r="HI260" s="134"/>
      <c r="HJ260" s="134"/>
      <c r="HK260" s="134"/>
      <c r="HL260" s="134"/>
      <c r="HM260" s="134"/>
      <c r="HN260" s="134"/>
      <c r="HO260" s="135"/>
      <c r="HP260" s="135"/>
      <c r="HQ260" s="134"/>
      <c r="HR260" s="134"/>
      <c r="HS260" s="134"/>
      <c r="HT260" s="134"/>
      <c r="HU260" s="134"/>
      <c r="HV260" s="134"/>
      <c r="HW260" s="134"/>
      <c r="HX260" s="134"/>
      <c r="HY260" s="135"/>
      <c r="HZ260" s="135"/>
      <c r="IA260" s="134"/>
      <c r="IB260" s="134"/>
      <c r="IC260" s="134"/>
      <c r="ID260" s="134"/>
      <c r="IE260" s="134"/>
      <c r="IF260" s="134"/>
      <c r="IG260" s="134"/>
      <c r="IH260" s="134"/>
      <c r="II260" s="135"/>
      <c r="IJ260" s="135"/>
      <c r="IK260" s="134"/>
      <c r="IL260" s="134"/>
      <c r="IM260" s="134"/>
      <c r="IN260" s="134"/>
      <c r="IO260" s="134"/>
      <c r="IP260" s="134"/>
      <c r="IQ260" s="134"/>
      <c r="IR260" s="134"/>
      <c r="IS260" s="135"/>
      <c r="IT260" s="135"/>
      <c r="IU260" s="134"/>
      <c r="IV260" s="134"/>
      <c r="IW260" s="134"/>
      <c r="IX260" s="134"/>
      <c r="IY260" s="134"/>
      <c r="IZ260" s="134"/>
      <c r="JA260" s="134"/>
      <c r="JB260" s="134"/>
      <c r="JC260" s="135"/>
      <c r="JD260" s="135"/>
    </row>
    <row r="261" spans="1:264" customFormat="1" ht="15" customHeight="1">
      <c r="A261" s="118" t="s">
        <v>1026</v>
      </c>
      <c r="B261" s="614">
        <v>24</v>
      </c>
      <c r="C261" s="614"/>
      <c r="D261" s="614"/>
      <c r="E261" s="605" t="s">
        <v>2088</v>
      </c>
      <c r="F261" s="140" t="s">
        <v>2343</v>
      </c>
      <c r="G261" s="141">
        <v>2012</v>
      </c>
      <c r="H261" s="118">
        <v>22176467</v>
      </c>
      <c r="I261" s="118">
        <v>1</v>
      </c>
      <c r="J261" s="118" t="s">
        <v>1855</v>
      </c>
      <c r="K261" s="118"/>
      <c r="L261" s="118">
        <v>0</v>
      </c>
      <c r="M261" s="118"/>
      <c r="N261" s="158">
        <v>0</v>
      </c>
      <c r="O261" s="142">
        <v>2</v>
      </c>
      <c r="P261" s="118" t="s">
        <v>1404</v>
      </c>
      <c r="Q261" s="118" t="s">
        <v>1212</v>
      </c>
      <c r="R261" s="118" t="s">
        <v>1127</v>
      </c>
      <c r="S261" s="118"/>
      <c r="T261" s="118" t="s">
        <v>1488</v>
      </c>
      <c r="U261" s="118" t="s">
        <v>803</v>
      </c>
      <c r="V261" s="118"/>
      <c r="W261" s="118" t="s">
        <v>1403</v>
      </c>
      <c r="X261" s="118"/>
      <c r="Y261" s="118"/>
      <c r="Z261" s="118"/>
      <c r="AA261" s="118"/>
      <c r="AB261" s="118"/>
      <c r="AC261" s="145"/>
      <c r="AD261" s="573">
        <v>1</v>
      </c>
      <c r="AE261" s="573">
        <v>2</v>
      </c>
      <c r="AF261" s="230" t="s">
        <v>1917</v>
      </c>
      <c r="AG261" s="231" t="s">
        <v>3334</v>
      </c>
      <c r="AH261" s="152">
        <v>4</v>
      </c>
      <c r="AI261" s="485"/>
      <c r="AJ261" s="242" t="s">
        <v>3052</v>
      </c>
      <c r="AK261" s="192">
        <v>1</v>
      </c>
      <c r="AL261" s="243">
        <v>0</v>
      </c>
      <c r="AM261" s="152">
        <f>Table668[[#This Row],[Data_Subjects_n_ptsd]]+Table668[[#This Row],[Data_Subjects_n_control]]</f>
        <v>24</v>
      </c>
      <c r="AN261" s="152">
        <v>12</v>
      </c>
      <c r="AO261" s="152">
        <v>12</v>
      </c>
      <c r="AP261" s="152" t="s">
        <v>803</v>
      </c>
      <c r="AQ261" s="152" t="s">
        <v>803</v>
      </c>
      <c r="AR261" s="152" t="s">
        <v>3031</v>
      </c>
      <c r="AS261" s="152" t="s">
        <v>24</v>
      </c>
      <c r="AT261" s="152" t="s">
        <v>3031</v>
      </c>
      <c r="AU261" s="152" t="s">
        <v>24</v>
      </c>
      <c r="AV261" s="152" t="s">
        <v>3033</v>
      </c>
      <c r="AW261" s="152">
        <v>1</v>
      </c>
      <c r="AX261" s="187" t="s">
        <v>3331</v>
      </c>
      <c r="AY261" s="152" t="s">
        <v>3032</v>
      </c>
      <c r="AZ261" s="152" t="s">
        <v>2730</v>
      </c>
      <c r="BA261" s="152" t="s">
        <v>2554</v>
      </c>
      <c r="BB261" s="588"/>
      <c r="BC261" s="588"/>
      <c r="BD261" s="161">
        <v>1</v>
      </c>
      <c r="BE261" s="161"/>
      <c r="BF261" s="161"/>
      <c r="BG261" s="161"/>
      <c r="BH261" s="161"/>
      <c r="BI261" s="161"/>
      <c r="BJ261" s="161"/>
      <c r="BK261" s="161"/>
      <c r="BL261" s="161"/>
      <c r="BM261" s="161"/>
      <c r="BN261" s="161"/>
      <c r="BO261" s="161"/>
      <c r="BP261" s="161"/>
      <c r="BQ261" s="596" t="s">
        <v>3044</v>
      </c>
      <c r="BR261" s="157" t="s">
        <v>6595</v>
      </c>
      <c r="BS261" s="660"/>
      <c r="BT261" s="150" t="s">
        <v>1876</v>
      </c>
      <c r="BU261" s="150" t="s">
        <v>3041</v>
      </c>
      <c r="BV261" s="150" t="s">
        <v>3055</v>
      </c>
      <c r="BW261" s="150" t="s">
        <v>2471</v>
      </c>
      <c r="BX261" s="150" t="s">
        <v>2659</v>
      </c>
      <c r="BY261" s="134" t="s">
        <v>2659</v>
      </c>
      <c r="BZ261" s="258" t="s">
        <v>3077</v>
      </c>
      <c r="CA261" s="257" t="s">
        <v>6627</v>
      </c>
      <c r="CB261" s="151" t="s">
        <v>3074</v>
      </c>
      <c r="CC261" s="150">
        <v>1.9553100000000001</v>
      </c>
      <c r="CD261" s="150" t="s">
        <v>24</v>
      </c>
      <c r="CE261" s="150">
        <f>2.70019-Table668[[#This Row],[Data_Outcome1_M]]</f>
        <v>0.74487999999999999</v>
      </c>
      <c r="CF261" s="151" t="s">
        <v>3075</v>
      </c>
      <c r="CG261" s="150">
        <v>67.877099999999999</v>
      </c>
      <c r="CH261" s="150" t="s">
        <v>24</v>
      </c>
      <c r="CI261" s="150">
        <f>78.6778-Table668[[#This Row],[Data_Outcome2_M]]</f>
        <v>10.800700000000006</v>
      </c>
      <c r="CJ261" s="290" t="s">
        <v>3076</v>
      </c>
      <c r="CK261" s="291" t="s">
        <v>3060</v>
      </c>
      <c r="CL261" s="151" t="s">
        <v>24</v>
      </c>
      <c r="CM261" s="150"/>
      <c r="CN261" s="150"/>
      <c r="CO261" s="150"/>
      <c r="CP261" s="151"/>
      <c r="CQ261" s="150"/>
      <c r="CR261" s="150"/>
      <c r="CS261" s="150"/>
      <c r="CT261" s="290"/>
      <c r="CU261" s="291"/>
      <c r="CV261" s="278"/>
      <c r="CW261" s="285"/>
      <c r="CX261" s="151" t="s">
        <v>24</v>
      </c>
      <c r="CY261" s="150" t="s">
        <v>24</v>
      </c>
      <c r="CZ261" s="150" t="s">
        <v>24</v>
      </c>
      <c r="DA261" s="150" t="s">
        <v>24</v>
      </c>
      <c r="DB261" s="150"/>
      <c r="DC261" s="150"/>
      <c r="DD261" s="150"/>
      <c r="DE261" s="150"/>
      <c r="DF261" s="302"/>
      <c r="DG261" s="303"/>
      <c r="DH261" s="150"/>
      <c r="DI261" s="150"/>
      <c r="DJ261" s="150"/>
      <c r="DK261" s="150"/>
      <c r="DL261" s="150"/>
      <c r="DM261" s="150"/>
      <c r="DN261" s="150"/>
      <c r="DO261" s="150"/>
      <c r="DP261" s="302"/>
      <c r="DQ261" s="303"/>
      <c r="DR261" s="278"/>
      <c r="DS261" s="279"/>
      <c r="DT261" s="150"/>
      <c r="DU261" s="150"/>
      <c r="DV261" s="150"/>
      <c r="DW261" s="150"/>
      <c r="DX261" s="151"/>
      <c r="DY261" s="150"/>
      <c r="DZ261" s="150"/>
      <c r="EA261" s="150"/>
      <c r="EB261" s="303"/>
      <c r="EC261" s="303"/>
      <c r="ED261" s="151"/>
      <c r="EE261" s="150"/>
      <c r="EF261" s="150"/>
      <c r="EG261" s="150"/>
      <c r="EH261" s="151"/>
      <c r="EI261" s="150"/>
      <c r="EJ261" s="150"/>
      <c r="EK261" s="150"/>
      <c r="EL261" s="303"/>
      <c r="EM261" s="303"/>
      <c r="EN261" s="279"/>
      <c r="EO261" s="150"/>
      <c r="EP261" s="150"/>
      <c r="EQ261" s="150"/>
      <c r="ER261" s="150"/>
      <c r="ES261" s="150"/>
      <c r="ET261" s="150"/>
      <c r="EU261" s="150"/>
      <c r="EV261" s="150"/>
      <c r="EW261" s="303"/>
      <c r="EX261" s="303"/>
      <c r="EY261" s="150"/>
      <c r="EZ261" s="150"/>
      <c r="FA261" s="150"/>
      <c r="FB261" s="150"/>
      <c r="FC261" s="134"/>
      <c r="FD261" s="134"/>
      <c r="FE261" s="134"/>
      <c r="FF261" s="134"/>
      <c r="FG261" s="135"/>
      <c r="FH261" s="135"/>
      <c r="FI261" s="134"/>
      <c r="FJ261" s="134"/>
      <c r="FK261" s="134"/>
      <c r="FL261" s="134"/>
      <c r="FM261" s="134"/>
      <c r="FN261" s="134"/>
      <c r="FO261" s="134"/>
      <c r="FP261" s="134"/>
      <c r="FQ261" s="135"/>
      <c r="FR261" s="135"/>
      <c r="FS261" s="134"/>
      <c r="FT261" s="134"/>
      <c r="FU261" s="134"/>
      <c r="FV261" s="134"/>
      <c r="FW261" s="134"/>
      <c r="FX261" s="134"/>
      <c r="FY261" s="134"/>
      <c r="FZ261" s="134"/>
      <c r="GA261" s="135"/>
      <c r="GB261" s="135"/>
      <c r="GC261" s="134"/>
      <c r="GD261" s="134"/>
      <c r="GE261" s="134"/>
      <c r="GF261" s="134"/>
      <c r="GG261" s="134"/>
      <c r="GH261" s="134"/>
      <c r="GI261" s="134"/>
      <c r="GJ261" s="134"/>
      <c r="GK261" s="135"/>
      <c r="GL261" s="135"/>
      <c r="GM261" s="134"/>
      <c r="GN261" s="134"/>
      <c r="GO261" s="134"/>
      <c r="GP261" s="134"/>
      <c r="GQ261" s="134"/>
      <c r="GR261" s="134"/>
      <c r="GS261" s="134"/>
      <c r="GT261" s="134"/>
      <c r="GU261" s="135"/>
      <c r="GV261" s="135"/>
      <c r="GW261" s="134"/>
      <c r="GX261" s="134"/>
      <c r="GY261" s="134"/>
      <c r="GZ261" s="134"/>
      <c r="HA261" s="134"/>
      <c r="HB261" s="134"/>
      <c r="HC261" s="134"/>
      <c r="HD261" s="134"/>
      <c r="HE261" s="135"/>
      <c r="HF261" s="135"/>
      <c r="HG261" s="134"/>
      <c r="HH261" s="134"/>
      <c r="HI261" s="134"/>
      <c r="HJ261" s="134"/>
      <c r="HK261" s="134"/>
      <c r="HL261" s="134"/>
      <c r="HM261" s="134"/>
      <c r="HN261" s="134"/>
      <c r="HO261" s="135"/>
      <c r="HP261" s="135"/>
      <c r="HQ261" s="134"/>
      <c r="HR261" s="134"/>
      <c r="HS261" s="134"/>
      <c r="HT261" s="134"/>
      <c r="HU261" s="134"/>
      <c r="HV261" s="134"/>
      <c r="HW261" s="134"/>
      <c r="HX261" s="134"/>
      <c r="HY261" s="135"/>
      <c r="HZ261" s="135"/>
      <c r="IA261" s="134"/>
      <c r="IB261" s="134"/>
      <c r="IC261" s="134"/>
      <c r="ID261" s="134"/>
      <c r="IE261" s="134"/>
      <c r="IF261" s="134"/>
      <c r="IG261" s="134"/>
      <c r="IH261" s="134"/>
      <c r="II261" s="135"/>
      <c r="IJ261" s="135"/>
      <c r="IK261" s="134"/>
      <c r="IL261" s="134"/>
      <c r="IM261" s="134"/>
      <c r="IN261" s="134"/>
      <c r="IO261" s="134"/>
      <c r="IP261" s="134"/>
      <c r="IQ261" s="134"/>
      <c r="IR261" s="134"/>
      <c r="IS261" s="135"/>
      <c r="IT261" s="135"/>
      <c r="IU261" s="134"/>
      <c r="IV261" s="134"/>
      <c r="IW261" s="134"/>
      <c r="IX261" s="134"/>
      <c r="IY261" s="134"/>
      <c r="IZ261" s="134"/>
      <c r="JA261" s="134"/>
      <c r="JB261" s="134"/>
      <c r="JC261" s="135"/>
      <c r="JD261" s="135"/>
    </row>
    <row r="262" spans="1:264" customFormat="1" ht="15" customHeight="1">
      <c r="A262" s="79" t="s">
        <v>1025</v>
      </c>
      <c r="B262" s="614">
        <v>25</v>
      </c>
      <c r="C262" s="614"/>
      <c r="D262" s="614"/>
      <c r="E262" s="604" t="s">
        <v>2089</v>
      </c>
      <c r="F262" s="124" t="s">
        <v>2344</v>
      </c>
      <c r="G262" s="125">
        <v>2001</v>
      </c>
      <c r="H262" s="79">
        <v>11331084</v>
      </c>
      <c r="I262" s="79">
        <v>1</v>
      </c>
      <c r="J262" s="126"/>
      <c r="K262" s="127"/>
      <c r="L262" s="79">
        <v>1</v>
      </c>
      <c r="M262" s="79"/>
      <c r="N262" s="164">
        <v>1</v>
      </c>
      <c r="O262" s="128">
        <v>2</v>
      </c>
      <c r="P262" s="79" t="s">
        <v>1405</v>
      </c>
      <c r="Q262" s="79" t="s">
        <v>1216</v>
      </c>
      <c r="R262" s="79" t="s">
        <v>1127</v>
      </c>
      <c r="S262" s="79"/>
      <c r="T262" s="79" t="s">
        <v>1498</v>
      </c>
      <c r="U262" s="79" t="s">
        <v>803</v>
      </c>
      <c r="V262" s="79" t="s">
        <v>23</v>
      </c>
      <c r="W262" s="79" t="s">
        <v>1406</v>
      </c>
      <c r="X262" s="79"/>
      <c r="Y262" s="79"/>
      <c r="Z262" s="79"/>
      <c r="AA262" s="79"/>
      <c r="AB262" s="79"/>
      <c r="AC262" s="506"/>
      <c r="AD262" s="573">
        <v>1</v>
      </c>
      <c r="AE262" s="573">
        <v>2</v>
      </c>
      <c r="AF262" s="165">
        <v>0</v>
      </c>
      <c r="AG262" s="166" t="s">
        <v>3335</v>
      </c>
      <c r="AH262" s="120">
        <v>4</v>
      </c>
      <c r="AI262" s="484"/>
      <c r="AJ262" s="206" t="s">
        <v>3098</v>
      </c>
      <c r="AK262" s="192">
        <v>0</v>
      </c>
      <c r="AL262" s="207"/>
      <c r="AM262" s="120" t="s">
        <v>3095</v>
      </c>
      <c r="AN262" s="120"/>
      <c r="AO262" s="120"/>
      <c r="AP262" s="120" t="s">
        <v>803</v>
      </c>
      <c r="AQ262" s="120"/>
      <c r="AR262" s="120" t="s">
        <v>3031</v>
      </c>
      <c r="AS262" s="120"/>
      <c r="AT262" s="120"/>
      <c r="AU262" s="120"/>
      <c r="AV262" s="120" t="s">
        <v>3096</v>
      </c>
      <c r="AW262" s="120">
        <v>1</v>
      </c>
      <c r="AX262" s="120"/>
      <c r="AY262" s="120" t="s">
        <v>3097</v>
      </c>
      <c r="AZ262" s="120" t="s">
        <v>1130</v>
      </c>
      <c r="BA262" s="120"/>
      <c r="BB262" s="594"/>
      <c r="BC262" s="594"/>
      <c r="BD262" s="156"/>
      <c r="BE262" s="156"/>
      <c r="BF262" s="156"/>
      <c r="BG262" s="156"/>
      <c r="BH262" s="156"/>
      <c r="BI262" s="156"/>
      <c r="BJ262" s="156"/>
      <c r="BK262" s="156"/>
      <c r="BL262" s="156"/>
      <c r="BM262" s="156"/>
      <c r="BN262" s="156"/>
      <c r="BO262" s="156"/>
      <c r="BP262" s="156"/>
      <c r="BQ262" s="595" t="s">
        <v>3100</v>
      </c>
      <c r="BR262" s="157"/>
      <c r="BS262" s="660"/>
      <c r="BT262" s="134"/>
      <c r="BU262" s="134" t="s">
        <v>1349</v>
      </c>
      <c r="BV262" s="134"/>
      <c r="BW262" s="134" t="s">
        <v>2471</v>
      </c>
      <c r="BX262" s="134"/>
      <c r="BY262" s="134"/>
      <c r="BZ262" s="259"/>
      <c r="CA262" s="454"/>
      <c r="CB262" s="138"/>
      <c r="CC262" s="134"/>
      <c r="CD262" s="134"/>
      <c r="CE262" s="134"/>
      <c r="CF262" s="138"/>
      <c r="CG262" s="134"/>
      <c r="CH262" s="134"/>
      <c r="CI262" s="134"/>
      <c r="CJ262" s="288"/>
      <c r="CK262" s="289"/>
      <c r="CL262" s="138"/>
      <c r="CM262" s="134"/>
      <c r="CN262" s="134"/>
      <c r="CO262" s="134"/>
      <c r="CP262" s="138"/>
      <c r="CQ262" s="134"/>
      <c r="CR262" s="134"/>
      <c r="CS262" s="134"/>
      <c r="CT262" s="288"/>
      <c r="CU262" s="289"/>
      <c r="CV262" s="276"/>
      <c r="CW262" s="308"/>
      <c r="CX262" s="138"/>
      <c r="CY262" s="134"/>
      <c r="CZ262" s="134"/>
      <c r="DA262" s="134"/>
      <c r="DB262" s="134"/>
      <c r="DC262" s="134"/>
      <c r="DD262" s="134"/>
      <c r="DE262" s="134"/>
      <c r="DF262" s="300"/>
      <c r="DG262" s="301"/>
      <c r="DH262" s="134"/>
      <c r="DI262" s="134"/>
      <c r="DJ262" s="134"/>
      <c r="DK262" s="134"/>
      <c r="DL262" s="134"/>
      <c r="DM262" s="134"/>
      <c r="DN262" s="134"/>
      <c r="DO262" s="134"/>
      <c r="DP262" s="300"/>
      <c r="DQ262" s="301"/>
      <c r="DR262" s="276"/>
      <c r="DS262" s="277"/>
      <c r="DT262" s="134"/>
      <c r="DU262" s="134"/>
      <c r="DV262" s="134"/>
      <c r="DW262" s="134"/>
      <c r="DX262" s="138"/>
      <c r="DY262" s="134"/>
      <c r="DZ262" s="134"/>
      <c r="EA262" s="134"/>
      <c r="EB262" s="301"/>
      <c r="EC262" s="301"/>
      <c r="ED262" s="138"/>
      <c r="EE262" s="134"/>
      <c r="EF262" s="134"/>
      <c r="EG262" s="134"/>
      <c r="EH262" s="138"/>
      <c r="EI262" s="134"/>
      <c r="EJ262" s="134"/>
      <c r="EK262" s="134"/>
      <c r="EL262" s="301"/>
      <c r="EM262" s="301"/>
      <c r="EN262" s="277"/>
      <c r="EO262" s="134"/>
      <c r="EP262" s="134"/>
      <c r="EQ262" s="134"/>
      <c r="ER262" s="134"/>
      <c r="ES262" s="134"/>
      <c r="ET262" s="134"/>
      <c r="EU262" s="134"/>
      <c r="EV262" s="134"/>
      <c r="EW262" s="301"/>
      <c r="EX262" s="301"/>
      <c r="EY262" s="134"/>
      <c r="EZ262" s="134"/>
      <c r="FA262" s="134"/>
      <c r="FB262" s="134"/>
      <c r="FC262" s="134"/>
      <c r="FD262" s="134"/>
      <c r="FE262" s="134"/>
      <c r="FF262" s="134"/>
      <c r="FG262" s="135"/>
      <c r="FH262" s="135"/>
      <c r="FI262" s="134"/>
      <c r="FJ262" s="134"/>
      <c r="FK262" s="134"/>
      <c r="FL262" s="134"/>
      <c r="FM262" s="134"/>
      <c r="FN262" s="134"/>
      <c r="FO262" s="134"/>
      <c r="FP262" s="134"/>
      <c r="FQ262" s="135"/>
      <c r="FR262" s="135"/>
      <c r="FS262" s="134"/>
      <c r="FT262" s="134"/>
      <c r="FU262" s="134"/>
      <c r="FV262" s="134"/>
      <c r="FW262" s="134"/>
      <c r="FX262" s="134"/>
      <c r="FY262" s="134"/>
      <c r="FZ262" s="134"/>
      <c r="GA262" s="135"/>
      <c r="GB262" s="135"/>
      <c r="GC262" s="134"/>
      <c r="GD262" s="134"/>
      <c r="GE262" s="134"/>
      <c r="GF262" s="134"/>
      <c r="GG262" s="134"/>
      <c r="GH262" s="134"/>
      <c r="GI262" s="134"/>
      <c r="GJ262" s="134"/>
      <c r="GK262" s="135"/>
      <c r="GL262" s="135"/>
      <c r="GM262" s="134"/>
      <c r="GN262" s="134"/>
      <c r="GO262" s="134"/>
      <c r="GP262" s="134"/>
      <c r="GQ262" s="134"/>
      <c r="GR262" s="134"/>
      <c r="GS262" s="134"/>
      <c r="GT262" s="134"/>
      <c r="GU262" s="135"/>
      <c r="GV262" s="135"/>
      <c r="GW262" s="134"/>
      <c r="GX262" s="134"/>
      <c r="GY262" s="134"/>
      <c r="GZ262" s="134"/>
      <c r="HA262" s="134"/>
      <c r="HB262" s="134"/>
      <c r="HC262" s="134"/>
      <c r="HD262" s="134"/>
      <c r="HE262" s="135"/>
      <c r="HF262" s="135"/>
      <c r="HG262" s="134"/>
      <c r="HH262" s="134"/>
      <c r="HI262" s="134"/>
      <c r="HJ262" s="134"/>
      <c r="HK262" s="134"/>
      <c r="HL262" s="134"/>
      <c r="HM262" s="134"/>
      <c r="HN262" s="134"/>
      <c r="HO262" s="135"/>
      <c r="HP262" s="135"/>
      <c r="HQ262" s="134"/>
      <c r="HR262" s="134"/>
      <c r="HS262" s="134"/>
      <c r="HT262" s="134"/>
      <c r="HU262" s="134"/>
      <c r="HV262" s="134"/>
      <c r="HW262" s="134"/>
      <c r="HX262" s="134"/>
      <c r="HY262" s="135"/>
      <c r="HZ262" s="135"/>
      <c r="IA262" s="134"/>
      <c r="IB262" s="134"/>
      <c r="IC262" s="134"/>
      <c r="ID262" s="134"/>
      <c r="IE262" s="134"/>
      <c r="IF262" s="134"/>
      <c r="IG262" s="134"/>
      <c r="IH262" s="134"/>
      <c r="II262" s="135"/>
      <c r="IJ262" s="135"/>
      <c r="IK262" s="134"/>
      <c r="IL262" s="134"/>
      <c r="IM262" s="134"/>
      <c r="IN262" s="134"/>
      <c r="IO262" s="134"/>
      <c r="IP262" s="134"/>
      <c r="IQ262" s="134"/>
      <c r="IR262" s="134"/>
      <c r="IS262" s="135"/>
      <c r="IT262" s="135"/>
      <c r="IU262" s="134"/>
      <c r="IV262" s="134"/>
      <c r="IW262" s="134"/>
      <c r="IX262" s="134"/>
      <c r="IY262" s="134"/>
      <c r="IZ262" s="134"/>
      <c r="JA262" s="134"/>
      <c r="JB262" s="134"/>
      <c r="JC262" s="135"/>
      <c r="JD262" s="135"/>
    </row>
    <row r="263" spans="1:264" customFormat="1" ht="15" customHeight="1">
      <c r="A263" s="79" t="s">
        <v>1023</v>
      </c>
      <c r="B263" s="362">
        <v>158</v>
      </c>
      <c r="C263" s="362">
        <v>50</v>
      </c>
      <c r="D263" s="362"/>
      <c r="E263" s="604" t="s">
        <v>2091</v>
      </c>
      <c r="F263" s="124" t="s">
        <v>2346</v>
      </c>
      <c r="G263" s="125">
        <v>2009</v>
      </c>
      <c r="H263" s="79">
        <v>17886167</v>
      </c>
      <c r="I263" s="79">
        <v>1</v>
      </c>
      <c r="J263" s="126"/>
      <c r="K263" s="127"/>
      <c r="L263" s="79">
        <v>1</v>
      </c>
      <c r="M263" s="79"/>
      <c r="N263" s="171">
        <v>1</v>
      </c>
      <c r="O263" s="128">
        <v>2</v>
      </c>
      <c r="P263" s="79" t="s">
        <v>1347</v>
      </c>
      <c r="Q263" s="79" t="s">
        <v>1216</v>
      </c>
      <c r="R263" s="79" t="s">
        <v>1127</v>
      </c>
      <c r="S263" s="79"/>
      <c r="T263" s="79" t="s">
        <v>1507</v>
      </c>
      <c r="U263" s="79" t="s">
        <v>1539</v>
      </c>
      <c r="V263" s="79"/>
      <c r="W263" s="79" t="s">
        <v>1409</v>
      </c>
      <c r="X263" s="79"/>
      <c r="Y263" s="79"/>
      <c r="Z263" s="79"/>
      <c r="AA263" s="79"/>
      <c r="AB263" s="79"/>
      <c r="AC263" s="506"/>
      <c r="AD263" s="573">
        <v>1</v>
      </c>
      <c r="AE263" s="573">
        <v>2</v>
      </c>
      <c r="AF263" s="154">
        <v>1</v>
      </c>
      <c r="AG263" s="155" t="s">
        <v>5006</v>
      </c>
      <c r="AH263" s="121">
        <v>4</v>
      </c>
      <c r="AI263" s="484" t="s">
        <v>5002</v>
      </c>
      <c r="AJ263" s="202" t="s">
        <v>4993</v>
      </c>
      <c r="AK263" s="192">
        <v>0</v>
      </c>
      <c r="AL263" s="203">
        <v>0</v>
      </c>
      <c r="AM263" s="121" t="s">
        <v>4990</v>
      </c>
      <c r="AN263" s="121">
        <f>6+7+6+6+20</f>
        <v>45</v>
      </c>
      <c r="AO263" s="121">
        <f>7+7+6+8+20</f>
        <v>48</v>
      </c>
      <c r="AP263" s="121" t="s">
        <v>4988</v>
      </c>
      <c r="AQ263" s="121" t="s">
        <v>4989</v>
      </c>
      <c r="AR263" s="121" t="s">
        <v>2494</v>
      </c>
      <c r="AS263" s="121" t="s">
        <v>24</v>
      </c>
      <c r="AT263" s="121" t="s">
        <v>2494</v>
      </c>
      <c r="AU263" s="121" t="s">
        <v>24</v>
      </c>
      <c r="AV263" s="121" t="s">
        <v>4991</v>
      </c>
      <c r="AW263" s="121">
        <v>1</v>
      </c>
      <c r="AX263" s="121">
        <v>1</v>
      </c>
      <c r="AY263" s="121" t="s">
        <v>4992</v>
      </c>
      <c r="AZ263" s="121" t="s">
        <v>3698</v>
      </c>
      <c r="BA263" s="121" t="s">
        <v>5001</v>
      </c>
      <c r="BB263" s="594"/>
      <c r="BC263" s="594"/>
      <c r="BD263" s="156"/>
      <c r="BE263" s="156"/>
      <c r="BF263" s="156"/>
      <c r="BG263" s="156"/>
      <c r="BH263" s="156"/>
      <c r="BI263" s="156"/>
      <c r="BJ263" s="156">
        <v>1</v>
      </c>
      <c r="BK263" s="156"/>
      <c r="BL263" s="156"/>
      <c r="BM263" s="156"/>
      <c r="BN263" s="156"/>
      <c r="BO263" s="156"/>
      <c r="BP263" s="156"/>
      <c r="BQ263" s="595" t="s">
        <v>3282</v>
      </c>
      <c r="BR263" s="157" t="s">
        <v>6617</v>
      </c>
      <c r="BS263" s="660"/>
      <c r="BT263" s="134" t="s">
        <v>1876</v>
      </c>
      <c r="BU263" s="134" t="s">
        <v>4996</v>
      </c>
      <c r="BV263" s="134" t="s">
        <v>4995</v>
      </c>
      <c r="BW263" s="134" t="s">
        <v>4985</v>
      </c>
      <c r="BX263" s="134" t="s">
        <v>4994</v>
      </c>
      <c r="BY263" s="134"/>
      <c r="BZ263" s="259" t="s">
        <v>5005</v>
      </c>
      <c r="CA263" s="454" t="s">
        <v>24</v>
      </c>
      <c r="CB263" s="138" t="s">
        <v>4997</v>
      </c>
      <c r="CC263" s="134">
        <v>68.334199999999996</v>
      </c>
      <c r="CD263" s="134" t="s">
        <v>24</v>
      </c>
      <c r="CE263" s="134">
        <f>75.0186-Table668[[#This Row],[Data_Outcome1_M]]</f>
        <v>6.6844000000000108</v>
      </c>
      <c r="CF263" s="138" t="s">
        <v>4998</v>
      </c>
      <c r="CG263" s="134">
        <v>62.056699999999999</v>
      </c>
      <c r="CH263" s="168" t="s">
        <v>24</v>
      </c>
      <c r="CI263" s="134">
        <f>68.4397-Table668[[#This Row],[Data_Outcome2_M]]</f>
        <v>6.3830000000000027</v>
      </c>
      <c r="CJ263" s="288" t="s">
        <v>24</v>
      </c>
      <c r="CK263" s="289" t="s">
        <v>24</v>
      </c>
      <c r="CL263" s="138" t="s">
        <v>4999</v>
      </c>
      <c r="CM263" s="134">
        <v>42.701500000000003</v>
      </c>
      <c r="CN263" s="134" t="s">
        <v>24</v>
      </c>
      <c r="CO263" s="134">
        <f>46.7121-Table668[[#This Row],[Data_Outcome3_M]]</f>
        <v>4.0105999999999966</v>
      </c>
      <c r="CP263" s="138" t="s">
        <v>5000</v>
      </c>
      <c r="CQ263" s="134">
        <v>66.666700000000006</v>
      </c>
      <c r="CR263" s="168" t="s">
        <v>24</v>
      </c>
      <c r="CS263" s="134">
        <f>70.5674-Table668[[#This Row],[Data_Outcome4_M]]</f>
        <v>3.9007000000000005</v>
      </c>
      <c r="CT263" s="288" t="s">
        <v>24</v>
      </c>
      <c r="CU263" s="289" t="s">
        <v>24</v>
      </c>
      <c r="CV263" s="276" t="s">
        <v>5003</v>
      </c>
      <c r="CW263" s="308" t="s">
        <v>5004</v>
      </c>
      <c r="CX263" s="137"/>
      <c r="CY263" s="134"/>
      <c r="CZ263" s="168"/>
      <c r="DA263" s="134"/>
      <c r="DB263" s="134"/>
      <c r="DC263" s="134"/>
      <c r="DD263" s="134"/>
      <c r="DE263" s="134"/>
      <c r="DF263" s="300"/>
      <c r="DG263" s="301"/>
      <c r="DH263" s="134"/>
      <c r="DI263" s="134"/>
      <c r="DJ263" s="134"/>
      <c r="DK263" s="134"/>
      <c r="DL263" s="134"/>
      <c r="DM263" s="134"/>
      <c r="DN263" s="134"/>
      <c r="DO263" s="134"/>
      <c r="DP263" s="300"/>
      <c r="DQ263" s="301"/>
      <c r="DR263" s="276"/>
      <c r="DS263" s="277"/>
      <c r="DT263" s="134"/>
      <c r="DU263" s="138"/>
      <c r="DV263" s="134"/>
      <c r="DW263" s="480"/>
      <c r="DX263" s="134"/>
      <c r="DY263" s="134"/>
      <c r="DZ263" s="134"/>
      <c r="EA263" s="134"/>
      <c r="EB263" s="301"/>
      <c r="EC263" s="301"/>
      <c r="ED263" s="134"/>
      <c r="EE263" s="134"/>
      <c r="EF263" s="134"/>
      <c r="EG263" s="480"/>
      <c r="EH263" s="134"/>
      <c r="EI263" s="134"/>
      <c r="EJ263" s="134"/>
      <c r="EK263" s="134"/>
      <c r="EL263" s="301"/>
      <c r="EM263" s="301"/>
      <c r="EN263" s="277"/>
      <c r="EO263" s="134"/>
      <c r="EP263" s="134"/>
      <c r="EQ263" s="134"/>
      <c r="ER263" s="480"/>
      <c r="ES263" s="134"/>
      <c r="ET263" s="134"/>
      <c r="EU263" s="134"/>
      <c r="EV263" s="134"/>
      <c r="EW263" s="301"/>
      <c r="EX263" s="301"/>
      <c r="EY263" s="134"/>
      <c r="EZ263" s="134"/>
      <c r="FA263" s="134"/>
      <c r="FB263" s="134"/>
      <c r="FC263" s="480"/>
      <c r="FD263" s="134"/>
      <c r="FE263" s="134"/>
      <c r="FF263" s="134"/>
      <c r="FG263" s="135"/>
      <c r="FH263" s="135"/>
      <c r="FI263" s="134"/>
      <c r="FJ263" s="134"/>
      <c r="FK263" s="134"/>
      <c r="FL263" s="134"/>
      <c r="FM263" s="134"/>
      <c r="FN263" s="134"/>
      <c r="FO263" s="134"/>
      <c r="FP263" s="134"/>
      <c r="FQ263" s="135"/>
      <c r="FR263" s="135"/>
      <c r="FS263" s="134"/>
      <c r="FT263" s="134"/>
      <c r="FU263" s="134"/>
      <c r="FV263" s="134"/>
      <c r="FW263" s="134"/>
      <c r="FX263" s="134"/>
      <c r="FY263" s="134"/>
      <c r="FZ263" s="134"/>
      <c r="GA263" s="135"/>
      <c r="GB263" s="135"/>
      <c r="GC263" s="134"/>
      <c r="GD263" s="134"/>
      <c r="GE263" s="134"/>
      <c r="GF263" s="134"/>
      <c r="GG263" s="134"/>
      <c r="GH263" s="134"/>
      <c r="GI263" s="134"/>
      <c r="GJ263" s="134"/>
      <c r="GK263" s="135"/>
      <c r="GL263" s="135"/>
      <c r="GM263" s="134"/>
      <c r="GN263" s="134"/>
      <c r="GO263" s="134"/>
      <c r="GP263" s="134"/>
      <c r="GQ263" s="134"/>
      <c r="GR263" s="134"/>
      <c r="GS263" s="134"/>
      <c r="GT263" s="134"/>
      <c r="GU263" s="135"/>
      <c r="GV263" s="135"/>
      <c r="GW263" s="134"/>
      <c r="GX263" s="134"/>
      <c r="GY263" s="134"/>
      <c r="GZ263" s="134"/>
      <c r="HA263" s="134"/>
      <c r="HB263" s="134"/>
      <c r="HC263" s="134"/>
      <c r="HD263" s="134"/>
      <c r="HE263" s="135"/>
      <c r="HF263" s="135"/>
      <c r="HG263" s="134"/>
      <c r="HH263" s="134"/>
      <c r="HI263" s="134"/>
      <c r="HJ263" s="134"/>
      <c r="HK263" s="134"/>
      <c r="HL263" s="134"/>
      <c r="HM263" s="134"/>
      <c r="HN263" s="134"/>
      <c r="HO263" s="135"/>
      <c r="HP263" s="135"/>
      <c r="HQ263" s="134"/>
      <c r="HR263" s="134"/>
      <c r="HS263" s="134"/>
      <c r="HT263" s="134"/>
      <c r="HU263" s="134"/>
      <c r="HV263" s="134"/>
      <c r="HW263" s="134"/>
      <c r="HX263" s="134"/>
      <c r="HY263" s="135"/>
      <c r="HZ263" s="135"/>
      <c r="IA263" s="134"/>
      <c r="IB263" s="134"/>
      <c r="IC263" s="134"/>
      <c r="ID263" s="134"/>
      <c r="IE263" s="134"/>
      <c r="IF263" s="134"/>
      <c r="IG263" s="134"/>
      <c r="IH263" s="134"/>
      <c r="II263" s="135"/>
      <c r="IJ263" s="135"/>
      <c r="IK263" s="134"/>
      <c r="IL263" s="134"/>
      <c r="IM263" s="134"/>
      <c r="IN263" s="134"/>
      <c r="IO263" s="134"/>
      <c r="IP263" s="134"/>
      <c r="IQ263" s="134"/>
      <c r="IR263" s="134"/>
      <c r="IS263" s="135"/>
      <c r="IT263" s="135"/>
      <c r="IU263" s="134"/>
      <c r="IV263" s="134"/>
      <c r="IW263" s="134"/>
      <c r="IX263" s="134"/>
      <c r="IY263" s="134"/>
      <c r="IZ263" s="134"/>
      <c r="JA263" s="134"/>
      <c r="JB263" s="134"/>
      <c r="JC263" s="135"/>
      <c r="JD263" s="135"/>
    </row>
    <row r="264" spans="1:264" customFormat="1" ht="15" customHeight="1">
      <c r="A264" s="79" t="s">
        <v>214</v>
      </c>
      <c r="B264" s="362">
        <v>159</v>
      </c>
      <c r="C264" s="362">
        <v>51</v>
      </c>
      <c r="D264" s="362"/>
      <c r="E264" s="604" t="s">
        <v>1982</v>
      </c>
      <c r="F264" s="124" t="s">
        <v>2206</v>
      </c>
      <c r="G264" s="125">
        <v>2013</v>
      </c>
      <c r="H264" s="79">
        <v>23877970</v>
      </c>
      <c r="I264" s="79">
        <v>1</v>
      </c>
      <c r="J264" s="126"/>
      <c r="K264" s="127"/>
      <c r="L264" s="79">
        <v>1</v>
      </c>
      <c r="M264" s="79"/>
      <c r="N264" s="79">
        <v>1</v>
      </c>
      <c r="O264" s="128">
        <v>1</v>
      </c>
      <c r="P264" s="79" t="s">
        <v>493</v>
      </c>
      <c r="Q264" s="79" t="s">
        <v>1147</v>
      </c>
      <c r="R264" s="79" t="s">
        <v>376</v>
      </c>
      <c r="S264" s="79">
        <v>1</v>
      </c>
      <c r="T264" s="79"/>
      <c r="U264" s="79"/>
      <c r="V264" s="79"/>
      <c r="W264" s="79" t="s">
        <v>606</v>
      </c>
      <c r="X264" s="79" t="s">
        <v>24</v>
      </c>
      <c r="Y264" s="79" t="s">
        <v>24</v>
      </c>
      <c r="Z264" s="79" t="s">
        <v>607</v>
      </c>
      <c r="AA264" s="79"/>
      <c r="AB264" s="79"/>
      <c r="AC264" s="506"/>
      <c r="AD264" s="573">
        <v>1</v>
      </c>
      <c r="AE264" s="573">
        <v>2</v>
      </c>
      <c r="AF264" s="165" t="s">
        <v>3003</v>
      </c>
      <c r="AG264" s="166" t="s">
        <v>5017</v>
      </c>
      <c r="AH264" s="120">
        <v>1</v>
      </c>
      <c r="AI264" s="120"/>
      <c r="AJ264" s="206" t="s">
        <v>5013</v>
      </c>
      <c r="AK264" s="372"/>
      <c r="AL264" s="207" t="s">
        <v>24</v>
      </c>
      <c r="AM264" s="120" t="s">
        <v>5009</v>
      </c>
      <c r="AN264" s="120">
        <v>89</v>
      </c>
      <c r="AO264" s="120">
        <v>125</v>
      </c>
      <c r="AP264" s="120" t="s">
        <v>5010</v>
      </c>
      <c r="AQ264" s="120" t="s">
        <v>5010</v>
      </c>
      <c r="AR264" s="120" t="s">
        <v>5014</v>
      </c>
      <c r="AS264" s="120" t="s">
        <v>5015</v>
      </c>
      <c r="AT264" s="120" t="s">
        <v>5014</v>
      </c>
      <c r="AU264" s="120" t="s">
        <v>5015</v>
      </c>
      <c r="AV264" s="120" t="s">
        <v>1874</v>
      </c>
      <c r="AW264" s="120" t="s">
        <v>24</v>
      </c>
      <c r="AX264" s="120" t="s">
        <v>24</v>
      </c>
      <c r="AY264" s="120" t="s">
        <v>2423</v>
      </c>
      <c r="AZ264" s="120" t="s">
        <v>5008</v>
      </c>
      <c r="BA264" s="509" t="s">
        <v>5007</v>
      </c>
      <c r="BB264" s="598"/>
      <c r="BC264" s="598"/>
      <c r="BD264" s="511"/>
      <c r="BE264" s="511"/>
      <c r="BF264" s="511"/>
      <c r="BG264" s="511"/>
      <c r="BH264" s="511"/>
      <c r="BI264" s="511"/>
      <c r="BJ264" s="511">
        <v>1</v>
      </c>
      <c r="BK264" s="511"/>
      <c r="BL264" s="511"/>
      <c r="BM264" s="511"/>
      <c r="BN264" s="511"/>
      <c r="BO264" s="511"/>
      <c r="BP264" s="511"/>
      <c r="BQ264" s="511" t="s">
        <v>5016</v>
      </c>
      <c r="BR264" s="510"/>
      <c r="BS264" s="660"/>
      <c r="BT264" s="134"/>
      <c r="BU264" s="134"/>
      <c r="BV264" s="134" t="s">
        <v>5011</v>
      </c>
      <c r="BW264" s="134" t="s">
        <v>24</v>
      </c>
      <c r="BX264" s="134" t="s">
        <v>5012</v>
      </c>
      <c r="BY264" s="134"/>
      <c r="BZ264" s="259"/>
      <c r="CA264" s="454"/>
      <c r="CB264" s="137"/>
      <c r="CC264" s="134"/>
      <c r="CD264" s="168"/>
      <c r="CE264" s="134"/>
      <c r="CF264" s="138"/>
      <c r="CG264" s="134"/>
      <c r="CH264" s="134"/>
      <c r="CI264" s="134"/>
      <c r="CJ264" s="288"/>
      <c r="CK264" s="289"/>
      <c r="CL264" s="134"/>
      <c r="CM264" s="134"/>
      <c r="CN264" s="168"/>
      <c r="CO264" s="134"/>
      <c r="CP264" s="134"/>
      <c r="CQ264" s="134"/>
      <c r="CR264" s="134"/>
      <c r="CS264" s="134"/>
      <c r="CT264" s="288"/>
      <c r="CU264" s="289"/>
      <c r="CV264" s="276"/>
      <c r="CW264" s="308"/>
      <c r="CX264" s="168"/>
      <c r="CY264" s="134"/>
      <c r="CZ264" s="168"/>
      <c r="DA264" s="134"/>
      <c r="DB264" s="168"/>
      <c r="DC264" s="134"/>
      <c r="DD264" s="134"/>
      <c r="DE264" s="134"/>
      <c r="DF264" s="300"/>
      <c r="DG264" s="301"/>
      <c r="DH264" s="134"/>
      <c r="DI264" s="134"/>
      <c r="DJ264" s="134"/>
      <c r="DK264" s="134"/>
      <c r="DL264" s="134"/>
      <c r="DM264" s="134"/>
      <c r="DN264" s="134"/>
      <c r="DO264" s="134"/>
      <c r="DP264" s="300"/>
      <c r="DQ264" s="301"/>
      <c r="DR264" s="276"/>
      <c r="DS264" s="277"/>
      <c r="DT264" s="134"/>
      <c r="DU264" s="134"/>
      <c r="DV264" s="134"/>
      <c r="DW264" s="480"/>
      <c r="DX264" s="134"/>
      <c r="DY264" s="134"/>
      <c r="DZ264" s="134"/>
      <c r="EA264" s="134"/>
      <c r="EB264" s="301"/>
      <c r="EC264" s="301"/>
      <c r="ED264" s="134"/>
      <c r="EE264" s="134"/>
      <c r="EF264" s="134"/>
      <c r="EG264" s="480"/>
      <c r="EH264" s="134"/>
      <c r="EI264" s="134"/>
      <c r="EJ264" s="134"/>
      <c r="EK264" s="134"/>
      <c r="EL264" s="301"/>
      <c r="EM264" s="301"/>
      <c r="EN264" s="277"/>
      <c r="EO264" s="134"/>
      <c r="EP264" s="134"/>
      <c r="EQ264" s="134"/>
      <c r="ER264" s="480"/>
      <c r="ES264" s="134"/>
      <c r="ET264" s="134"/>
      <c r="EU264" s="134"/>
      <c r="EV264" s="134"/>
      <c r="EW264" s="301"/>
      <c r="EX264" s="301"/>
      <c r="EY264" s="134"/>
      <c r="EZ264" s="134"/>
      <c r="FA264" s="134"/>
      <c r="FB264" s="480"/>
      <c r="FC264" s="134"/>
      <c r="FD264" s="134"/>
      <c r="FE264" s="134"/>
      <c r="FF264" s="134"/>
      <c r="FG264" s="135"/>
      <c r="FH264" s="135"/>
      <c r="FI264" s="134"/>
      <c r="FJ264" s="134"/>
      <c r="FK264" s="134"/>
      <c r="FL264" s="134"/>
      <c r="FM264" s="134"/>
      <c r="FN264" s="134"/>
      <c r="FO264" s="134"/>
      <c r="FP264" s="134"/>
      <c r="FQ264" s="135"/>
      <c r="FR264" s="135"/>
      <c r="FS264" s="134"/>
      <c r="FT264" s="134"/>
      <c r="FU264" s="134"/>
      <c r="FV264" s="480"/>
      <c r="FW264" s="134"/>
      <c r="FX264" s="134"/>
      <c r="FY264" s="134"/>
      <c r="FZ264" s="134"/>
      <c r="GA264" s="135"/>
      <c r="GB264" s="135"/>
      <c r="GC264" s="134"/>
      <c r="GD264" s="134"/>
      <c r="GE264" s="134"/>
      <c r="GF264" s="134"/>
      <c r="GG264" s="134"/>
      <c r="GH264" s="134"/>
      <c r="GI264" s="134"/>
      <c r="GJ264" s="134"/>
      <c r="GK264" s="135"/>
      <c r="GL264" s="135"/>
      <c r="GM264" s="134"/>
      <c r="GN264" s="134"/>
      <c r="GO264" s="134"/>
      <c r="GP264" s="134"/>
      <c r="GQ264" s="134"/>
      <c r="GR264" s="134"/>
      <c r="GS264" s="134"/>
      <c r="GT264" s="134"/>
      <c r="GU264" s="135"/>
      <c r="GV264" s="135"/>
      <c r="GW264" s="134"/>
      <c r="GX264" s="134"/>
      <c r="GY264" s="134"/>
      <c r="GZ264" s="134"/>
      <c r="HA264" s="134"/>
      <c r="HB264" s="134"/>
      <c r="HC264" s="134"/>
      <c r="HD264" s="134"/>
      <c r="HE264" s="135"/>
      <c r="HF264" s="135"/>
      <c r="HG264" s="134"/>
      <c r="HH264" s="134"/>
      <c r="HI264" s="134"/>
      <c r="HJ264" s="134"/>
      <c r="HK264" s="134"/>
      <c r="HL264" s="134"/>
      <c r="HM264" s="134"/>
      <c r="HN264" s="134"/>
      <c r="HO264" s="135"/>
      <c r="HP264" s="135"/>
      <c r="HQ264" s="134"/>
      <c r="HR264" s="134"/>
      <c r="HS264" s="134"/>
      <c r="HT264" s="134"/>
      <c r="HU264" s="134"/>
      <c r="HV264" s="134"/>
      <c r="HW264" s="134"/>
      <c r="HX264" s="134"/>
      <c r="HY264" s="135"/>
      <c r="HZ264" s="135"/>
      <c r="IA264" s="134"/>
      <c r="IB264" s="134"/>
      <c r="IC264" s="134"/>
      <c r="ID264" s="134"/>
      <c r="IE264" s="134"/>
      <c r="IF264" s="134"/>
      <c r="IG264" s="134"/>
      <c r="IH264" s="134"/>
      <c r="II264" s="135"/>
      <c r="IJ264" s="135"/>
      <c r="IK264" s="134"/>
      <c r="IL264" s="134"/>
      <c r="IM264" s="134"/>
      <c r="IN264" s="134"/>
      <c r="IO264" s="134"/>
      <c r="IP264" s="134"/>
      <c r="IQ264" s="134"/>
      <c r="IR264" s="134"/>
      <c r="IS264" s="135"/>
      <c r="IT264" s="135"/>
      <c r="IU264" s="134"/>
      <c r="IV264" s="134"/>
      <c r="IW264" s="134"/>
      <c r="IX264" s="134"/>
      <c r="IY264" s="134"/>
      <c r="IZ264" s="134"/>
      <c r="JA264" s="134"/>
      <c r="JB264" s="134"/>
      <c r="JC264" s="135"/>
      <c r="JD264" s="135"/>
    </row>
    <row r="265" spans="1:264" customFormat="1" ht="15" customHeight="1">
      <c r="A265" s="79" t="s">
        <v>217</v>
      </c>
      <c r="B265" s="362">
        <v>162</v>
      </c>
      <c r="C265" s="362">
        <v>52</v>
      </c>
      <c r="D265" s="362"/>
      <c r="E265" s="604" t="s">
        <v>1984</v>
      </c>
      <c r="F265" s="124" t="s">
        <v>2209</v>
      </c>
      <c r="G265" s="125">
        <v>2016</v>
      </c>
      <c r="H265" s="79">
        <v>26691304</v>
      </c>
      <c r="I265" s="79">
        <v>1</v>
      </c>
      <c r="J265" s="126"/>
      <c r="K265" s="127"/>
      <c r="L265" s="79">
        <v>1</v>
      </c>
      <c r="M265" s="79"/>
      <c r="N265" s="79">
        <v>1</v>
      </c>
      <c r="O265" s="128">
        <v>1</v>
      </c>
      <c r="P265" s="79" t="s">
        <v>612</v>
      </c>
      <c r="Q265" s="79" t="s">
        <v>1147</v>
      </c>
      <c r="R265" s="79" t="s">
        <v>376</v>
      </c>
      <c r="S265" s="79">
        <v>1</v>
      </c>
      <c r="T265" s="79"/>
      <c r="U265" s="79"/>
      <c r="V265" s="79"/>
      <c r="W265" s="79" t="s">
        <v>613</v>
      </c>
      <c r="X265" s="79"/>
      <c r="Y265" s="79"/>
      <c r="Z265" s="79"/>
      <c r="AA265" s="79"/>
      <c r="AB265" s="79"/>
      <c r="AC265" s="506"/>
      <c r="AD265" s="573">
        <v>1</v>
      </c>
      <c r="AE265" s="573">
        <v>2</v>
      </c>
      <c r="AF265" s="233" t="s">
        <v>3003</v>
      </c>
      <c r="AG265" s="234" t="s">
        <v>5020</v>
      </c>
      <c r="AH265" s="121">
        <v>2</v>
      </c>
      <c r="AI265" s="484"/>
      <c r="AJ265" s="202" t="s">
        <v>5019</v>
      </c>
      <c r="AK265" s="192">
        <v>0</v>
      </c>
      <c r="AL265" s="203" t="s">
        <v>24</v>
      </c>
      <c r="AM265" s="121">
        <v>40</v>
      </c>
      <c r="AN265" s="134"/>
      <c r="AO265" s="121"/>
      <c r="AP265" s="121"/>
      <c r="AQ265" s="121"/>
      <c r="AR265" s="121"/>
      <c r="AS265" s="121"/>
      <c r="AT265" s="121"/>
      <c r="AU265" s="121"/>
      <c r="AV265" s="121" t="s">
        <v>1874</v>
      </c>
      <c r="AW265" s="121" t="s">
        <v>24</v>
      </c>
      <c r="AX265" s="121" t="s">
        <v>24</v>
      </c>
      <c r="AY265" s="121"/>
      <c r="AZ265" s="121" t="s">
        <v>5116</v>
      </c>
      <c r="BA265" s="121" t="s">
        <v>5018</v>
      </c>
      <c r="BB265" s="594"/>
      <c r="BC265" s="594"/>
      <c r="BD265" s="156"/>
      <c r="BE265" s="156"/>
      <c r="BF265" s="156"/>
      <c r="BG265" s="156"/>
      <c r="BH265" s="156"/>
      <c r="BI265" s="156"/>
      <c r="BJ265" s="156">
        <v>1</v>
      </c>
      <c r="BK265" s="156"/>
      <c r="BL265" s="156"/>
      <c r="BM265" s="156"/>
      <c r="BN265" s="156"/>
      <c r="BO265" s="156"/>
      <c r="BP265" s="156"/>
      <c r="BQ265" s="599"/>
      <c r="BR265" s="374"/>
      <c r="BS265" s="660"/>
      <c r="BT265" s="134"/>
      <c r="BU265" s="134"/>
      <c r="BV265" s="134"/>
      <c r="BW265" s="134"/>
      <c r="BX265" s="134"/>
      <c r="BY265" s="134"/>
      <c r="BZ265" s="259"/>
      <c r="CA265" s="454"/>
      <c r="CB265" s="137"/>
      <c r="CC265" s="134"/>
      <c r="CD265" s="168"/>
      <c r="CE265" s="134"/>
      <c r="CF265" s="138"/>
      <c r="CG265" s="134"/>
      <c r="CH265" s="134"/>
      <c r="CI265" s="134"/>
      <c r="CJ265" s="288"/>
      <c r="CK265" s="289"/>
      <c r="CL265" s="134"/>
      <c r="CM265" s="134"/>
      <c r="CN265" s="168"/>
      <c r="CO265" s="134"/>
      <c r="CP265" s="134"/>
      <c r="CQ265" s="134"/>
      <c r="CR265" s="134"/>
      <c r="CS265" s="134"/>
      <c r="CT265" s="288"/>
      <c r="CU265" s="289"/>
      <c r="CV265" s="276"/>
      <c r="CW265" s="308"/>
      <c r="CX265" s="137"/>
      <c r="CY265" s="134"/>
      <c r="CZ265" s="168"/>
      <c r="DA265" s="134"/>
      <c r="DB265" s="168"/>
      <c r="DC265" s="134"/>
      <c r="DD265" s="134"/>
      <c r="DE265" s="134"/>
      <c r="DF265" s="300"/>
      <c r="DG265" s="301"/>
      <c r="DH265" s="134"/>
      <c r="DI265" s="134"/>
      <c r="DJ265" s="134"/>
      <c r="DK265" s="134"/>
      <c r="DL265" s="134"/>
      <c r="DM265" s="134"/>
      <c r="DN265" s="134"/>
      <c r="DO265" s="134"/>
      <c r="DP265" s="300"/>
      <c r="DQ265" s="301"/>
      <c r="DR265" s="276"/>
      <c r="DS265" s="277"/>
      <c r="DT265" s="134"/>
      <c r="DU265" s="134"/>
      <c r="DV265" s="134"/>
      <c r="DW265" s="480"/>
      <c r="DX265" s="134"/>
      <c r="DY265" s="134"/>
      <c r="DZ265" s="134"/>
      <c r="EA265" s="134"/>
      <c r="EB265" s="301"/>
      <c r="EC265" s="301"/>
      <c r="ED265" s="138"/>
      <c r="EE265" s="134"/>
      <c r="EF265" s="134"/>
      <c r="EG265" s="134"/>
      <c r="EH265" s="138"/>
      <c r="EI265" s="134"/>
      <c r="EJ265" s="134"/>
      <c r="EK265" s="134"/>
      <c r="EL265" s="301"/>
      <c r="EM265" s="301"/>
      <c r="EN265" s="277"/>
      <c r="EO265" s="134"/>
      <c r="EP265" s="134"/>
      <c r="EQ265" s="134"/>
      <c r="ER265" s="134"/>
      <c r="ES265" s="134"/>
      <c r="ET265" s="134"/>
      <c r="EU265" s="134"/>
      <c r="EV265" s="134"/>
      <c r="EW265" s="301"/>
      <c r="EX265" s="301"/>
      <c r="EY265" s="134"/>
      <c r="EZ265" s="134"/>
      <c r="FA265" s="134"/>
      <c r="FB265" s="134"/>
      <c r="FC265" s="134"/>
      <c r="FD265" s="134"/>
      <c r="FE265" s="134"/>
      <c r="FF265" s="134"/>
      <c r="FG265" s="135"/>
      <c r="FH265" s="135"/>
      <c r="FI265" s="134"/>
      <c r="FJ265" s="134"/>
      <c r="FK265" s="134"/>
      <c r="FL265" s="134"/>
      <c r="FM265" s="134"/>
      <c r="FN265" s="134"/>
      <c r="FO265" s="134"/>
      <c r="FP265" s="134"/>
      <c r="FQ265" s="135"/>
      <c r="FR265" s="135"/>
      <c r="FS265" s="134"/>
      <c r="FT265" s="134"/>
      <c r="FU265" s="134"/>
      <c r="FV265" s="134"/>
      <c r="FW265" s="134"/>
      <c r="FX265" s="134"/>
      <c r="FY265" s="134"/>
      <c r="FZ265" s="134"/>
      <c r="GA265" s="135"/>
      <c r="GB265" s="135"/>
      <c r="GC265" s="134"/>
      <c r="GD265" s="134"/>
      <c r="GE265" s="134"/>
      <c r="GF265" s="134"/>
      <c r="GG265" s="134"/>
      <c r="GH265" s="134"/>
      <c r="GI265" s="134"/>
      <c r="GJ265" s="134"/>
      <c r="GK265" s="135"/>
      <c r="GL265" s="135"/>
      <c r="GM265" s="134"/>
      <c r="GN265" s="134"/>
      <c r="GO265" s="134"/>
      <c r="GP265" s="134"/>
      <c r="GQ265" s="134"/>
      <c r="GR265" s="134"/>
      <c r="GS265" s="134"/>
      <c r="GT265" s="134"/>
      <c r="GU265" s="135"/>
      <c r="GV265" s="135"/>
      <c r="GW265" s="134"/>
      <c r="GX265" s="134"/>
      <c r="GY265" s="134"/>
      <c r="GZ265" s="134"/>
      <c r="HA265" s="134"/>
      <c r="HB265" s="134"/>
      <c r="HC265" s="134"/>
      <c r="HD265" s="134"/>
      <c r="HE265" s="135"/>
      <c r="HF265" s="135"/>
      <c r="HG265" s="134"/>
      <c r="HH265" s="134"/>
      <c r="HI265" s="134"/>
      <c r="HJ265" s="134"/>
      <c r="HK265" s="134"/>
      <c r="HL265" s="134"/>
      <c r="HM265" s="134"/>
      <c r="HN265" s="134"/>
      <c r="HO265" s="135"/>
      <c r="HP265" s="135"/>
      <c r="HQ265" s="134"/>
      <c r="HR265" s="134"/>
      <c r="HS265" s="134"/>
      <c r="HT265" s="134"/>
      <c r="HU265" s="134"/>
      <c r="HV265" s="134"/>
      <c r="HW265" s="134"/>
      <c r="HX265" s="134"/>
      <c r="HY265" s="135"/>
      <c r="HZ265" s="135"/>
      <c r="IA265" s="134"/>
      <c r="IB265" s="134"/>
      <c r="IC265" s="134"/>
      <c r="ID265" s="134"/>
      <c r="IE265" s="134"/>
      <c r="IF265" s="134"/>
      <c r="IG265" s="134"/>
      <c r="IH265" s="134"/>
      <c r="II265" s="135"/>
      <c r="IJ265" s="135"/>
      <c r="IK265" s="134"/>
      <c r="IL265" s="134"/>
      <c r="IM265" s="134"/>
      <c r="IN265" s="134"/>
      <c r="IO265" s="134"/>
      <c r="IP265" s="134"/>
      <c r="IQ265" s="134"/>
      <c r="IR265" s="134"/>
      <c r="IS265" s="135"/>
      <c r="IT265" s="135"/>
      <c r="IU265" s="134"/>
      <c r="IV265" s="134"/>
      <c r="IW265" s="134"/>
      <c r="IX265" s="134"/>
      <c r="IY265" s="134"/>
      <c r="IZ265" s="134"/>
      <c r="JA265" s="134"/>
      <c r="JB265" s="134"/>
      <c r="JC265" s="135"/>
      <c r="JD265" s="135"/>
    </row>
    <row r="266" spans="1:264" customFormat="1" ht="15" customHeight="1">
      <c r="A266" s="79" t="s">
        <v>218</v>
      </c>
      <c r="B266" s="614">
        <v>26</v>
      </c>
      <c r="C266" s="614"/>
      <c r="D266" s="614"/>
      <c r="E266" s="604" t="s">
        <v>1985</v>
      </c>
      <c r="F266" s="124" t="s">
        <v>2210</v>
      </c>
      <c r="G266" s="125">
        <v>2014</v>
      </c>
      <c r="H266" s="79">
        <v>24625622</v>
      </c>
      <c r="I266" s="79">
        <v>1</v>
      </c>
      <c r="J266" s="126"/>
      <c r="K266" s="127"/>
      <c r="L266" s="79">
        <v>1</v>
      </c>
      <c r="M266" s="79"/>
      <c r="N266" s="79">
        <v>1</v>
      </c>
      <c r="O266" s="128">
        <v>1</v>
      </c>
      <c r="P266" s="79" t="s">
        <v>614</v>
      </c>
      <c r="Q266" s="79" t="s">
        <v>1142</v>
      </c>
      <c r="R266" s="79" t="s">
        <v>615</v>
      </c>
      <c r="S266" s="79">
        <v>1</v>
      </c>
      <c r="T266" s="79"/>
      <c r="U266" s="79"/>
      <c r="V266" s="79"/>
      <c r="W266" s="79" t="s">
        <v>11</v>
      </c>
      <c r="X266" s="79"/>
      <c r="Y266" s="79" t="s">
        <v>13</v>
      </c>
      <c r="Z266" s="79"/>
      <c r="AA266" s="79"/>
      <c r="AB266" s="79"/>
      <c r="AC266" s="506"/>
      <c r="AD266" s="573">
        <v>1</v>
      </c>
      <c r="AE266" s="573">
        <v>2</v>
      </c>
      <c r="AF266" s="154">
        <v>1</v>
      </c>
      <c r="AG266" s="155"/>
      <c r="AH266" s="121">
        <v>1</v>
      </c>
      <c r="AI266" s="484"/>
      <c r="AJ266" s="202"/>
      <c r="AK266" s="192">
        <v>0</v>
      </c>
      <c r="AL266" s="203" t="s">
        <v>24</v>
      </c>
      <c r="AM266" s="121">
        <f>Table668[[#This Row],[Data_Subjects_n_ptsd]]+Table668[[#This Row],[Data_Subjects_n_control]]</f>
        <v>50</v>
      </c>
      <c r="AN266" s="121">
        <v>25</v>
      </c>
      <c r="AO266" s="121">
        <v>25</v>
      </c>
      <c r="AP266" s="121" t="s">
        <v>3101</v>
      </c>
      <c r="AQ266" s="121" t="s">
        <v>3102</v>
      </c>
      <c r="AR266" s="121">
        <v>37.299999999999997</v>
      </c>
      <c r="AS266" s="121" t="s">
        <v>3103</v>
      </c>
      <c r="AT266" s="121">
        <v>37.6</v>
      </c>
      <c r="AU266" s="121" t="s">
        <v>3104</v>
      </c>
      <c r="AV266" s="121" t="s">
        <v>1874</v>
      </c>
      <c r="AW266" s="121" t="s">
        <v>24</v>
      </c>
      <c r="AX266" s="121" t="s">
        <v>24</v>
      </c>
      <c r="AY266" s="121" t="s">
        <v>2423</v>
      </c>
      <c r="AZ266" s="121" t="s">
        <v>2605</v>
      </c>
      <c r="BA266" s="121" t="s">
        <v>1875</v>
      </c>
      <c r="BB266" s="594"/>
      <c r="BC266" s="594"/>
      <c r="BD266" s="156">
        <v>1</v>
      </c>
      <c r="BE266" s="156"/>
      <c r="BF266" s="156"/>
      <c r="BG266" s="156"/>
      <c r="BH266" s="156"/>
      <c r="BI266" s="156"/>
      <c r="BJ266" s="156"/>
      <c r="BK266" s="156"/>
      <c r="BL266" s="156"/>
      <c r="BM266" s="156"/>
      <c r="BN266" s="156"/>
      <c r="BO266" s="156"/>
      <c r="BP266" s="156"/>
      <c r="BQ266" s="595" t="s">
        <v>3107</v>
      </c>
      <c r="BR266" s="157" t="s">
        <v>6605</v>
      </c>
      <c r="BS266" s="660"/>
      <c r="BT266" s="134" t="s">
        <v>1876</v>
      </c>
      <c r="BU266" s="134" t="s">
        <v>3105</v>
      </c>
      <c r="BV266" s="134" t="s">
        <v>3106</v>
      </c>
      <c r="BW266" s="134" t="s">
        <v>2470</v>
      </c>
      <c r="BX266" s="134" t="s">
        <v>2400</v>
      </c>
      <c r="BY266" s="134" t="s">
        <v>6638</v>
      </c>
      <c r="BZ266" s="259" t="s">
        <v>3122</v>
      </c>
      <c r="CA266" s="454" t="s">
        <v>23</v>
      </c>
      <c r="CB266" s="138" t="s">
        <v>3108</v>
      </c>
      <c r="CC266" s="134">
        <v>58.22</v>
      </c>
      <c r="CD266" s="134" t="s">
        <v>24</v>
      </c>
      <c r="CE266" s="134">
        <v>3.86</v>
      </c>
      <c r="CF266" s="138" t="s">
        <v>3109</v>
      </c>
      <c r="CG266" s="134">
        <v>38.67</v>
      </c>
      <c r="CH266" s="134"/>
      <c r="CI266" s="134">
        <v>4.1100000000000003</v>
      </c>
      <c r="CJ266" s="288" t="s">
        <v>3113</v>
      </c>
      <c r="CK266" s="289" t="s">
        <v>3060</v>
      </c>
      <c r="CL266" s="138" t="s">
        <v>3112</v>
      </c>
      <c r="CM266" s="134">
        <v>46.22</v>
      </c>
      <c r="CN266" s="134" t="s">
        <v>24</v>
      </c>
      <c r="CO266" s="134" t="s">
        <v>3114</v>
      </c>
      <c r="CP266" s="138" t="s">
        <v>3111</v>
      </c>
      <c r="CQ266" s="134">
        <v>37.78</v>
      </c>
      <c r="CR266" s="134" t="s">
        <v>24</v>
      </c>
      <c r="CS266" s="134">
        <v>5.52</v>
      </c>
      <c r="CT266" s="288" t="s">
        <v>3115</v>
      </c>
      <c r="CU266" s="289" t="s">
        <v>2480</v>
      </c>
      <c r="CV266" s="276"/>
      <c r="CW266" s="308"/>
      <c r="CX266" s="138" t="s">
        <v>3110</v>
      </c>
      <c r="CY266" s="134">
        <v>53.33</v>
      </c>
      <c r="CZ266" s="134" t="s">
        <v>24</v>
      </c>
      <c r="DA266" s="134">
        <v>3.14</v>
      </c>
      <c r="DB266" s="138" t="s">
        <v>3116</v>
      </c>
      <c r="DC266" s="134">
        <v>44</v>
      </c>
      <c r="DD266" s="134" t="s">
        <v>24</v>
      </c>
      <c r="DE266" s="134">
        <v>4.78</v>
      </c>
      <c r="DF266" s="300" t="s">
        <v>3119</v>
      </c>
      <c r="DG266" s="301" t="s">
        <v>3120</v>
      </c>
      <c r="DH266" s="138" t="s">
        <v>3117</v>
      </c>
      <c r="DI266" s="134">
        <v>49.33</v>
      </c>
      <c r="DJ266" s="134" t="s">
        <v>24</v>
      </c>
      <c r="DK266" s="134">
        <v>5.63</v>
      </c>
      <c r="DL266" s="138" t="s">
        <v>3118</v>
      </c>
      <c r="DM266" s="134">
        <v>33.33</v>
      </c>
      <c r="DN266" s="134" t="s">
        <v>24</v>
      </c>
      <c r="DO266" s="134">
        <v>3.95</v>
      </c>
      <c r="DP266" s="300" t="s">
        <v>3121</v>
      </c>
      <c r="DQ266" s="301" t="s">
        <v>2415</v>
      </c>
      <c r="DR266" s="276"/>
      <c r="DS266" s="277"/>
      <c r="DT266" s="134"/>
      <c r="DU266" s="134"/>
      <c r="DV266" s="134"/>
      <c r="DW266" s="134"/>
      <c r="DX266" s="138"/>
      <c r="DY266" s="134"/>
      <c r="DZ266" s="134"/>
      <c r="EA266" s="134"/>
      <c r="EB266" s="301"/>
      <c r="EC266" s="301"/>
      <c r="ED266" s="138"/>
      <c r="EE266" s="134"/>
      <c r="EF266" s="134"/>
      <c r="EG266" s="134"/>
      <c r="EH266" s="138"/>
      <c r="EI266" s="134"/>
      <c r="EJ266" s="134"/>
      <c r="EK266" s="134"/>
      <c r="EL266" s="301"/>
      <c r="EM266" s="301"/>
      <c r="EN266" s="277"/>
      <c r="EO266" s="134"/>
      <c r="EP266" s="134"/>
      <c r="EQ266" s="134"/>
      <c r="ER266" s="134"/>
      <c r="ES266" s="134"/>
      <c r="ET266" s="134"/>
      <c r="EU266" s="134"/>
      <c r="EV266" s="134"/>
      <c r="EW266" s="301"/>
      <c r="EX266" s="301"/>
      <c r="EY266" s="134"/>
      <c r="EZ266" s="134"/>
      <c r="FA266" s="134"/>
      <c r="FB266" s="134"/>
      <c r="FC266" s="134"/>
      <c r="FD266" s="134"/>
      <c r="FE266" s="134"/>
      <c r="FF266" s="134"/>
      <c r="FG266" s="135"/>
      <c r="FH266" s="135"/>
      <c r="FI266" s="134"/>
      <c r="FJ266" s="134"/>
      <c r="FK266" s="134"/>
      <c r="FL266" s="134"/>
      <c r="FM266" s="134"/>
      <c r="FN266" s="134"/>
      <c r="FO266" s="134"/>
      <c r="FP266" s="134"/>
      <c r="FQ266" s="135"/>
      <c r="FR266" s="135"/>
      <c r="FS266" s="134"/>
      <c r="FT266" s="134"/>
      <c r="FU266" s="134"/>
      <c r="FV266" s="134"/>
      <c r="FW266" s="134"/>
      <c r="FX266" s="134"/>
      <c r="FY266" s="134"/>
      <c r="FZ266" s="134"/>
      <c r="GA266" s="135"/>
      <c r="GB266" s="135"/>
      <c r="GC266" s="134"/>
      <c r="GD266" s="134"/>
      <c r="GE266" s="134"/>
      <c r="GF266" s="134"/>
      <c r="GG266" s="134"/>
      <c r="GH266" s="134"/>
      <c r="GI266" s="134"/>
      <c r="GJ266" s="134"/>
      <c r="GK266" s="135"/>
      <c r="GL266" s="135"/>
      <c r="GM266" s="134"/>
      <c r="GN266" s="134"/>
      <c r="GO266" s="134"/>
      <c r="GP266" s="134"/>
      <c r="GQ266" s="134"/>
      <c r="GR266" s="134"/>
      <c r="GS266" s="134"/>
      <c r="GT266" s="134"/>
      <c r="GU266" s="135"/>
      <c r="GV266" s="135"/>
      <c r="GW266" s="134"/>
      <c r="GX266" s="134"/>
      <c r="GY266" s="134"/>
      <c r="GZ266" s="134"/>
      <c r="HA266" s="134"/>
      <c r="HB266" s="134"/>
      <c r="HC266" s="134"/>
      <c r="HD266" s="134"/>
      <c r="HE266" s="135"/>
      <c r="HF266" s="135"/>
      <c r="HG266" s="134"/>
      <c r="HH266" s="134"/>
      <c r="HI266" s="134"/>
      <c r="HJ266" s="134"/>
      <c r="HK266" s="134"/>
      <c r="HL266" s="134"/>
      <c r="HM266" s="134"/>
      <c r="HN266" s="134"/>
      <c r="HO266" s="135"/>
      <c r="HP266" s="135"/>
      <c r="HQ266" s="134"/>
      <c r="HR266" s="134"/>
      <c r="HS266" s="134"/>
      <c r="HT266" s="134"/>
      <c r="HU266" s="134"/>
      <c r="HV266" s="134"/>
      <c r="HW266" s="134"/>
      <c r="HX266" s="134"/>
      <c r="HY266" s="135"/>
      <c r="HZ266" s="135"/>
      <c r="IA266" s="134"/>
      <c r="IB266" s="134"/>
      <c r="IC266" s="134"/>
      <c r="ID266" s="134"/>
      <c r="IE266" s="134"/>
      <c r="IF266" s="134"/>
      <c r="IG266" s="134"/>
      <c r="IH266" s="134"/>
      <c r="II266" s="135"/>
      <c r="IJ266" s="135"/>
      <c r="IK266" s="134"/>
      <c r="IL266" s="134"/>
      <c r="IM266" s="134"/>
      <c r="IN266" s="134"/>
      <c r="IO266" s="134"/>
      <c r="IP266" s="134"/>
      <c r="IQ266" s="134"/>
      <c r="IR266" s="134"/>
      <c r="IS266" s="135"/>
      <c r="IT266" s="135"/>
      <c r="IU266" s="134"/>
      <c r="IV266" s="134"/>
      <c r="IW266" s="134"/>
      <c r="IX266" s="134"/>
      <c r="IY266" s="134"/>
      <c r="IZ266" s="134"/>
      <c r="JA266" s="134"/>
      <c r="JB266" s="134"/>
      <c r="JC266" s="135"/>
      <c r="JD266" s="135"/>
    </row>
    <row r="267" spans="1:264" customFormat="1" ht="15" customHeight="1">
      <c r="A267" s="79" t="s">
        <v>221</v>
      </c>
      <c r="B267" s="362">
        <v>163</v>
      </c>
      <c r="C267" s="362">
        <v>53</v>
      </c>
      <c r="D267" s="362"/>
      <c r="E267" s="604" t="s">
        <v>1986</v>
      </c>
      <c r="F267" s="124" t="s">
        <v>2211</v>
      </c>
      <c r="G267" s="125">
        <v>1990</v>
      </c>
      <c r="H267" s="79">
        <v>2266215</v>
      </c>
      <c r="I267" s="79">
        <v>1</v>
      </c>
      <c r="J267" s="126"/>
      <c r="K267" s="127"/>
      <c r="L267" s="79">
        <v>1</v>
      </c>
      <c r="M267" s="79"/>
      <c r="N267" s="79">
        <v>1</v>
      </c>
      <c r="O267" s="128">
        <v>1</v>
      </c>
      <c r="P267" s="79" t="s">
        <v>620</v>
      </c>
      <c r="Q267" s="79" t="s">
        <v>1163</v>
      </c>
      <c r="R267" s="79" t="s">
        <v>591</v>
      </c>
      <c r="S267" s="79">
        <v>1</v>
      </c>
      <c r="T267" s="79"/>
      <c r="U267" s="79"/>
      <c r="V267" s="79"/>
      <c r="W267" s="79" t="s">
        <v>619</v>
      </c>
      <c r="X267" s="79"/>
      <c r="Y267" s="79"/>
      <c r="Z267" s="79"/>
      <c r="AA267" s="79"/>
      <c r="AB267" s="79"/>
      <c r="AC267" s="506"/>
      <c r="AD267" s="573">
        <v>1</v>
      </c>
      <c r="AE267" s="573">
        <v>2</v>
      </c>
      <c r="AF267" s="154" t="s">
        <v>3840</v>
      </c>
      <c r="AG267" s="155" t="s">
        <v>5026</v>
      </c>
      <c r="AH267" s="121">
        <v>2</v>
      </c>
      <c r="AI267" s="484"/>
      <c r="AJ267" s="202" t="s">
        <v>5025</v>
      </c>
      <c r="AK267" s="192">
        <v>0</v>
      </c>
      <c r="AL267" s="203"/>
      <c r="AM267" s="121">
        <v>30</v>
      </c>
      <c r="AN267" s="121">
        <v>15</v>
      </c>
      <c r="AO267" s="121">
        <v>15</v>
      </c>
      <c r="AP267" s="121" t="s">
        <v>803</v>
      </c>
      <c r="AQ267" s="121" t="s">
        <v>803</v>
      </c>
      <c r="AR267" s="121">
        <v>40.07</v>
      </c>
      <c r="AS267" s="121">
        <v>1.83</v>
      </c>
      <c r="AT267" s="121">
        <v>43.4</v>
      </c>
      <c r="AU267" s="121">
        <v>3.74</v>
      </c>
      <c r="AV267" s="121" t="s">
        <v>3994</v>
      </c>
      <c r="AW267" s="121" t="s">
        <v>24</v>
      </c>
      <c r="AX267" s="121" t="s">
        <v>24</v>
      </c>
      <c r="AY267" s="121" t="s">
        <v>5021</v>
      </c>
      <c r="AZ267" s="121" t="s">
        <v>5116</v>
      </c>
      <c r="BA267" s="121" t="s">
        <v>5028</v>
      </c>
      <c r="BB267" s="594"/>
      <c r="BC267" s="594"/>
      <c r="BD267" s="156"/>
      <c r="BE267" s="156"/>
      <c r="BF267" s="156" t="s">
        <v>4727</v>
      </c>
      <c r="BG267" s="156">
        <v>1</v>
      </c>
      <c r="BH267" s="156"/>
      <c r="BI267" s="156"/>
      <c r="BJ267" s="156"/>
      <c r="BK267" s="156"/>
      <c r="BL267" s="156" t="s">
        <v>4727</v>
      </c>
      <c r="BM267" s="156"/>
      <c r="BN267" s="156"/>
      <c r="BO267" s="156"/>
      <c r="BP267" s="156"/>
      <c r="BQ267" s="595" t="s">
        <v>5024</v>
      </c>
      <c r="BR267" s="157"/>
      <c r="BS267" s="660"/>
      <c r="BT267" s="134"/>
      <c r="BU267" s="134"/>
      <c r="BV267" s="134" t="s">
        <v>5022</v>
      </c>
      <c r="BW267" s="134" t="s">
        <v>24</v>
      </c>
      <c r="BX267" s="134" t="s">
        <v>5023</v>
      </c>
      <c r="BY267" s="134"/>
      <c r="BZ267" s="259" t="s">
        <v>5027</v>
      </c>
      <c r="CA267" s="454"/>
      <c r="CB267" s="137"/>
      <c r="CC267" s="134"/>
      <c r="CD267" s="168"/>
      <c r="CE267" s="134"/>
      <c r="CF267" s="138"/>
      <c r="CG267" s="134"/>
      <c r="CH267" s="134"/>
      <c r="CI267" s="134"/>
      <c r="CJ267" s="288"/>
      <c r="CK267" s="289"/>
      <c r="CL267" s="134"/>
      <c r="CM267" s="134"/>
      <c r="CN267" s="168"/>
      <c r="CO267" s="134"/>
      <c r="CP267" s="134"/>
      <c r="CQ267" s="134"/>
      <c r="CR267" s="134"/>
      <c r="CS267" s="134"/>
      <c r="CT267" s="288"/>
      <c r="CU267" s="289"/>
      <c r="CV267" s="276"/>
      <c r="CW267" s="308"/>
      <c r="CX267" s="137"/>
      <c r="CY267" s="134"/>
      <c r="CZ267" s="168"/>
      <c r="DA267" s="134"/>
      <c r="DB267" s="168"/>
      <c r="DC267" s="134"/>
      <c r="DD267" s="134"/>
      <c r="DE267" s="134"/>
      <c r="DF267" s="300"/>
      <c r="DG267" s="301"/>
      <c r="DH267" s="134"/>
      <c r="DI267" s="134"/>
      <c r="DJ267" s="134"/>
      <c r="DK267" s="134"/>
      <c r="DL267" s="134"/>
      <c r="DM267" s="134"/>
      <c r="DN267" s="134"/>
      <c r="DO267" s="134"/>
      <c r="DP267" s="300"/>
      <c r="DQ267" s="301"/>
      <c r="DR267" s="276"/>
      <c r="DS267" s="277"/>
      <c r="DT267" s="134"/>
      <c r="DU267" s="134"/>
      <c r="DV267" s="134"/>
      <c r="DW267" s="134"/>
      <c r="DX267" s="138"/>
      <c r="DY267" s="134"/>
      <c r="DZ267" s="134"/>
      <c r="EA267" s="134"/>
      <c r="EB267" s="301"/>
      <c r="EC267" s="301"/>
      <c r="ED267" s="138"/>
      <c r="EE267" s="134"/>
      <c r="EF267" s="134"/>
      <c r="EG267" s="134"/>
      <c r="EH267" s="138"/>
      <c r="EI267" s="134"/>
      <c r="EJ267" s="134"/>
      <c r="EK267" s="134"/>
      <c r="EL267" s="301"/>
      <c r="EM267" s="301"/>
      <c r="EN267" s="277"/>
      <c r="EO267" s="134"/>
      <c r="EP267" s="134"/>
      <c r="EQ267" s="134"/>
      <c r="ER267" s="134"/>
      <c r="ES267" s="134"/>
      <c r="ET267" s="134"/>
      <c r="EU267" s="134"/>
      <c r="EV267" s="134"/>
      <c r="EW267" s="301"/>
      <c r="EX267" s="301"/>
      <c r="EY267" s="134"/>
      <c r="EZ267" s="134"/>
      <c r="FA267" s="134"/>
      <c r="FB267" s="134"/>
      <c r="FC267" s="134"/>
      <c r="FD267" s="134"/>
      <c r="FE267" s="134"/>
      <c r="FF267" s="134"/>
      <c r="FG267" s="135"/>
      <c r="FH267" s="135"/>
      <c r="FI267" s="134"/>
      <c r="FJ267" s="134"/>
      <c r="FK267" s="134"/>
      <c r="FL267" s="134"/>
      <c r="FM267" s="134"/>
      <c r="FN267" s="134"/>
      <c r="FO267" s="134"/>
      <c r="FP267" s="134"/>
      <c r="FQ267" s="135"/>
      <c r="FR267" s="135"/>
      <c r="FS267" s="134"/>
      <c r="FT267" s="134"/>
      <c r="FU267" s="134"/>
      <c r="FV267" s="134"/>
      <c r="FW267" s="134"/>
      <c r="FX267" s="134"/>
      <c r="FY267" s="134"/>
      <c r="FZ267" s="134"/>
      <c r="GA267" s="135"/>
      <c r="GB267" s="135"/>
      <c r="GC267" s="134"/>
      <c r="GD267" s="134"/>
      <c r="GE267" s="134"/>
      <c r="GF267" s="134"/>
      <c r="GG267" s="134"/>
      <c r="GH267" s="134"/>
      <c r="GI267" s="134"/>
      <c r="GJ267" s="134"/>
      <c r="GK267" s="135"/>
      <c r="GL267" s="135"/>
      <c r="GM267" s="134"/>
      <c r="GN267" s="134"/>
      <c r="GO267" s="134"/>
      <c r="GP267" s="134"/>
      <c r="GQ267" s="134"/>
      <c r="GR267" s="134"/>
      <c r="GS267" s="134"/>
      <c r="GT267" s="134"/>
      <c r="GU267" s="135"/>
      <c r="GV267" s="135"/>
      <c r="GW267" s="134"/>
      <c r="GX267" s="134"/>
      <c r="GY267" s="134"/>
      <c r="GZ267" s="134"/>
      <c r="HA267" s="134"/>
      <c r="HB267" s="134"/>
      <c r="HC267" s="134"/>
      <c r="HD267" s="134"/>
      <c r="HE267" s="135"/>
      <c r="HF267" s="135"/>
      <c r="HG267" s="134"/>
      <c r="HH267" s="134"/>
      <c r="HI267" s="134"/>
      <c r="HJ267" s="134"/>
      <c r="HK267" s="134"/>
      <c r="HL267" s="134"/>
      <c r="HM267" s="134"/>
      <c r="HN267" s="134"/>
      <c r="HO267" s="135"/>
      <c r="HP267" s="135"/>
      <c r="HQ267" s="134"/>
      <c r="HR267" s="134"/>
      <c r="HS267" s="134"/>
      <c r="HT267" s="134"/>
      <c r="HU267" s="134"/>
      <c r="HV267" s="134"/>
      <c r="HW267" s="134"/>
      <c r="HX267" s="134"/>
      <c r="HY267" s="135"/>
      <c r="HZ267" s="135"/>
      <c r="IA267" s="134"/>
      <c r="IB267" s="134"/>
      <c r="IC267" s="134"/>
      <c r="ID267" s="134"/>
      <c r="IE267" s="134"/>
      <c r="IF267" s="134"/>
      <c r="IG267" s="134"/>
      <c r="IH267" s="134"/>
      <c r="II267" s="135"/>
      <c r="IJ267" s="135"/>
      <c r="IK267" s="134"/>
      <c r="IL267" s="134"/>
      <c r="IM267" s="134"/>
      <c r="IN267" s="134"/>
      <c r="IO267" s="134"/>
      <c r="IP267" s="134"/>
      <c r="IQ267" s="134"/>
      <c r="IR267" s="134"/>
      <c r="IS267" s="135"/>
      <c r="IT267" s="135"/>
      <c r="IU267" s="134"/>
      <c r="IV267" s="134"/>
      <c r="IW267" s="134"/>
      <c r="IX267" s="134"/>
      <c r="IY267" s="134"/>
      <c r="IZ267" s="134"/>
      <c r="JA267" s="134"/>
      <c r="JB267" s="134"/>
      <c r="JC267" s="135"/>
      <c r="JD267" s="135"/>
    </row>
    <row r="268" spans="1:264" customFormat="1" ht="15" customHeight="1">
      <c r="A268" s="79" t="s">
        <v>222</v>
      </c>
      <c r="B268" s="362">
        <v>164</v>
      </c>
      <c r="C268" s="362">
        <v>54</v>
      </c>
      <c r="D268" s="362"/>
      <c r="E268" s="604" t="s">
        <v>1986</v>
      </c>
      <c r="F268" s="124" t="s">
        <v>2212</v>
      </c>
      <c r="G268" s="125">
        <v>1995</v>
      </c>
      <c r="H268" s="79">
        <v>7654154</v>
      </c>
      <c r="I268" s="79">
        <v>1</v>
      </c>
      <c r="J268" s="126"/>
      <c r="K268" s="127"/>
      <c r="L268" s="79">
        <v>1</v>
      </c>
      <c r="M268" s="79"/>
      <c r="N268" s="79">
        <v>1</v>
      </c>
      <c r="O268" s="128">
        <v>1</v>
      </c>
      <c r="P268" s="79" t="s">
        <v>621</v>
      </c>
      <c r="Q268" s="79" t="s">
        <v>1147</v>
      </c>
      <c r="R268" s="79" t="s">
        <v>25</v>
      </c>
      <c r="S268" s="79">
        <v>1</v>
      </c>
      <c r="T268" s="79"/>
      <c r="U268" s="79"/>
      <c r="V268" s="79"/>
      <c r="W268" s="79"/>
      <c r="X268" s="79"/>
      <c r="Y268" s="79"/>
      <c r="Z268" s="79"/>
      <c r="AA268" s="79"/>
      <c r="AB268" s="79"/>
      <c r="AC268" s="506"/>
      <c r="AD268" s="573">
        <v>1</v>
      </c>
      <c r="AE268" s="573">
        <v>2</v>
      </c>
      <c r="AF268" s="154">
        <v>1</v>
      </c>
      <c r="AG268" s="155" t="s">
        <v>5060</v>
      </c>
      <c r="AH268" s="121">
        <v>2</v>
      </c>
      <c r="AI268" s="484" t="s">
        <v>5052</v>
      </c>
      <c r="AJ268" s="202"/>
      <c r="AK268" s="192">
        <v>0</v>
      </c>
      <c r="AL268" s="203" t="s">
        <v>24</v>
      </c>
      <c r="AM268" s="121">
        <f>Table668[[#This Row],[Data_Subjects_n_ptsd]]+Table668[[#This Row],[Data_Subjects_n_control]]</f>
        <v>32</v>
      </c>
      <c r="AN268" s="121">
        <v>19</v>
      </c>
      <c r="AO268" s="121">
        <v>13</v>
      </c>
      <c r="AP268" s="121" t="s">
        <v>803</v>
      </c>
      <c r="AQ268" s="121" t="s">
        <v>803</v>
      </c>
      <c r="AR268" s="121">
        <v>46</v>
      </c>
      <c r="AS268" s="121">
        <v>2.2999999999999998</v>
      </c>
      <c r="AT268" s="121">
        <v>49</v>
      </c>
      <c r="AU268" s="121">
        <v>3.4</v>
      </c>
      <c r="AV268" s="121" t="s">
        <v>3994</v>
      </c>
      <c r="AW268" s="121" t="s">
        <v>24</v>
      </c>
      <c r="AX268" s="121" t="s">
        <v>24</v>
      </c>
      <c r="AY268" s="121" t="s">
        <v>5029</v>
      </c>
      <c r="AZ268" s="121" t="s">
        <v>5116</v>
      </c>
      <c r="BA268" s="121" t="s">
        <v>5030</v>
      </c>
      <c r="BB268" s="594"/>
      <c r="BC268" s="594"/>
      <c r="BD268" s="156"/>
      <c r="BE268" s="156"/>
      <c r="BF268" s="156"/>
      <c r="BG268" s="156"/>
      <c r="BH268" s="156"/>
      <c r="BI268" s="156"/>
      <c r="BJ268" s="156">
        <v>1</v>
      </c>
      <c r="BK268" s="156"/>
      <c r="BL268" s="156"/>
      <c r="BM268" s="156"/>
      <c r="BN268" s="156"/>
      <c r="BO268" s="156"/>
      <c r="BP268" s="156"/>
      <c r="BQ268" s="595" t="s">
        <v>5046</v>
      </c>
      <c r="BR268" s="157" t="s">
        <v>6609</v>
      </c>
      <c r="BS268" s="660"/>
      <c r="BT268" s="134" t="s">
        <v>1876</v>
      </c>
      <c r="BU268" s="134" t="s">
        <v>5059</v>
      </c>
      <c r="BV268" s="134" t="s">
        <v>5031</v>
      </c>
      <c r="BW268" s="134" t="s">
        <v>24</v>
      </c>
      <c r="BX268" s="134" t="s">
        <v>5032</v>
      </c>
      <c r="BY268" s="134"/>
      <c r="BZ268" s="259" t="s">
        <v>5081</v>
      </c>
      <c r="CA268" s="454" t="s">
        <v>24</v>
      </c>
      <c r="CB268" s="137" t="s">
        <v>5033</v>
      </c>
      <c r="CC268" s="134">
        <v>67</v>
      </c>
      <c r="CD268" s="168" t="s">
        <v>5047</v>
      </c>
      <c r="CE268" s="134" t="s">
        <v>24</v>
      </c>
      <c r="CF268" s="137" t="s">
        <v>5034</v>
      </c>
      <c r="CG268" s="134">
        <v>83</v>
      </c>
      <c r="CH268" s="168" t="s">
        <v>5047</v>
      </c>
      <c r="CI268" s="134" t="s">
        <v>24</v>
      </c>
      <c r="CJ268" s="288" t="s">
        <v>5044</v>
      </c>
      <c r="CK268" s="289" t="s">
        <v>5045</v>
      </c>
      <c r="CL268" s="137" t="s">
        <v>5036</v>
      </c>
      <c r="CM268" s="134">
        <v>67</v>
      </c>
      <c r="CN268" s="168">
        <f>72.8969-Table668[[#This Row],[Data_Outcome3_M]]</f>
        <v>5.8969000000000023</v>
      </c>
      <c r="CO268" s="134" t="s">
        <v>24</v>
      </c>
      <c r="CP268" s="137" t="s">
        <v>5037</v>
      </c>
      <c r="CQ268" s="134">
        <v>67</v>
      </c>
      <c r="CR268" s="134">
        <f>72.6734-Table668[[#This Row],[Data_Outcome4_M]]</f>
        <v>5.6734000000000009</v>
      </c>
      <c r="CS268" s="134" t="s">
        <v>24</v>
      </c>
      <c r="CT268" s="288" t="s">
        <v>5039</v>
      </c>
      <c r="CU268" s="289" t="s">
        <v>2643</v>
      </c>
      <c r="CV268" s="276" t="s">
        <v>5042</v>
      </c>
      <c r="CW268" s="308" t="s">
        <v>5043</v>
      </c>
      <c r="CX268" s="137" t="s">
        <v>5035</v>
      </c>
      <c r="CY268" s="134">
        <v>78</v>
      </c>
      <c r="CZ268" s="168">
        <f>82.4659-Table668[[#This Row],[Data_Outcome5_M]]</f>
        <v>4.4659000000000049</v>
      </c>
      <c r="DA268" s="134" t="s">
        <v>24</v>
      </c>
      <c r="DB268" s="137" t="s">
        <v>5038</v>
      </c>
      <c r="DC268" s="134">
        <v>89</v>
      </c>
      <c r="DD268" s="134">
        <f>91.6366-Table668[[#This Row],[Data_Outcome6_M]]</f>
        <v>2.6366000000000014</v>
      </c>
      <c r="DE268" s="134" t="s">
        <v>24</v>
      </c>
      <c r="DF268" s="300" t="s">
        <v>5040</v>
      </c>
      <c r="DG268" s="301" t="s">
        <v>5041</v>
      </c>
      <c r="DH268" s="134" t="s">
        <v>5048</v>
      </c>
      <c r="DI268" s="134">
        <v>29.977599999999999</v>
      </c>
      <c r="DJ268" s="134">
        <f>32.9515-Table668[[#This Row],[Data_Outcome7_M]]</f>
        <v>2.973900000000004</v>
      </c>
      <c r="DK268" s="134" t="s">
        <v>24</v>
      </c>
      <c r="DL268" s="134" t="s">
        <v>5049</v>
      </c>
      <c r="DM268" s="134">
        <v>27.090599999999998</v>
      </c>
      <c r="DN268" s="134">
        <f>30.0208-Table668[[#This Row],[Data_Outcome8_M]]</f>
        <v>2.9302000000000028</v>
      </c>
      <c r="DO268" s="134" t="s">
        <v>24</v>
      </c>
      <c r="DP268" s="300" t="s">
        <v>5057</v>
      </c>
      <c r="DQ268" s="301" t="s">
        <v>5058</v>
      </c>
      <c r="DR268" s="277" t="s">
        <v>5056</v>
      </c>
      <c r="DS268" s="277" t="s">
        <v>5053</v>
      </c>
      <c r="DT268" s="134" t="s">
        <v>5050</v>
      </c>
      <c r="DU268" s="134">
        <v>29.977599999999999</v>
      </c>
      <c r="DV268" s="134">
        <f>32.0332-Table668[[#This Row],[Data_Outcome9_M]]</f>
        <v>2.0556000000000019</v>
      </c>
      <c r="DW268" s="134" t="s">
        <v>24</v>
      </c>
      <c r="DX268" s="134" t="s">
        <v>5051</v>
      </c>
      <c r="DY268" s="134">
        <v>19.261800000000001</v>
      </c>
      <c r="DZ268" s="134">
        <f>20.9684-Table668[[#This Row],[Data_Outcome10_M]]</f>
        <v>1.7065999999999981</v>
      </c>
      <c r="EA268" s="134" t="s">
        <v>24</v>
      </c>
      <c r="EB268" s="301" t="s">
        <v>5054</v>
      </c>
      <c r="EC268" s="301" t="s">
        <v>5055</v>
      </c>
      <c r="ED268" s="134" t="s">
        <v>5069</v>
      </c>
      <c r="EE268" s="558">
        <v>50.0321</v>
      </c>
      <c r="EF268" s="558">
        <f>60.5756-Table668[[#This Row],[Data_Outcome11_M]]</f>
        <v>10.543500000000002</v>
      </c>
      <c r="EG268" s="480" t="s">
        <v>24</v>
      </c>
      <c r="EH268" s="134" t="s">
        <v>5070</v>
      </c>
      <c r="EI268" s="134">
        <v>77.879599999999996</v>
      </c>
      <c r="EJ268" s="134">
        <f>84.6188-Table668[[#This Row],[Data_Outcome12_M]]</f>
        <v>6.7391999999999967</v>
      </c>
      <c r="EK268" s="134" t="s">
        <v>24</v>
      </c>
      <c r="EL268" s="301"/>
      <c r="EM268" s="301"/>
      <c r="EN268" s="277"/>
      <c r="EO268" s="134" t="s">
        <v>5072</v>
      </c>
      <c r="EP268" s="134">
        <v>51.336100000000002</v>
      </c>
      <c r="EQ268" s="134">
        <f>58.7272-Table668[[#This Row],[Data_Outcome13_M]]</f>
        <v>7.3911000000000016</v>
      </c>
      <c r="ER268" s="480" t="s">
        <v>24</v>
      </c>
      <c r="ES268" s="134" t="s">
        <v>5071</v>
      </c>
      <c r="ET268" s="134">
        <v>76.031800000000004</v>
      </c>
      <c r="EU268" s="134">
        <f>83.3145-Table668[[#This Row],[Data_Outcome14_M]]</f>
        <v>7.2826999999999913</v>
      </c>
      <c r="EV268" s="134" t="s">
        <v>24</v>
      </c>
      <c r="EW268" s="301" t="s">
        <v>5080</v>
      </c>
      <c r="EX268" s="301" t="s">
        <v>5079</v>
      </c>
      <c r="EY268" s="138" t="s">
        <v>5073</v>
      </c>
      <c r="EZ268" s="134">
        <v>37.3979</v>
      </c>
      <c r="FA268" s="134">
        <f>40.9486-Table668[[#This Row],[Data_Outcome15_M]]</f>
        <v>3.5506999999999991</v>
      </c>
      <c r="FB268" s="134" t="s">
        <v>24</v>
      </c>
      <c r="FC268" s="138" t="s">
        <v>5074</v>
      </c>
      <c r="FD268" s="134">
        <v>25.709199999999999</v>
      </c>
      <c r="FE268" s="134">
        <f>Table668[[#This Row],[Data_Outcome16_M]]-21.999</f>
        <v>3.7102000000000004</v>
      </c>
      <c r="FF268" s="134" t="s">
        <v>24</v>
      </c>
      <c r="FG268" s="135" t="s">
        <v>24</v>
      </c>
      <c r="FH268" s="135" t="s">
        <v>24</v>
      </c>
      <c r="FI268" s="138" t="s">
        <v>5075</v>
      </c>
      <c r="FJ268" s="134">
        <v>35.442300000000003</v>
      </c>
      <c r="FK268" s="134">
        <f>39.434-Table668[[#This Row],[Data_Outcome17_M]]</f>
        <v>3.9916999999999945</v>
      </c>
      <c r="FL268" s="134" t="s">
        <v>24</v>
      </c>
      <c r="FM268" s="138" t="s">
        <v>5076</v>
      </c>
      <c r="FN268" s="134">
        <v>22.7562</v>
      </c>
      <c r="FO268" s="134">
        <f>26.3867-Table668[[#This Row],[Data_Outcome18_M]]</f>
        <v>3.6305000000000014</v>
      </c>
      <c r="FP268" s="134" t="s">
        <v>24</v>
      </c>
      <c r="FQ268" s="135" t="s">
        <v>5078</v>
      </c>
      <c r="FR268" s="135" t="s">
        <v>5077</v>
      </c>
      <c r="FS268" s="134" t="s">
        <v>24</v>
      </c>
      <c r="FT268" s="134"/>
      <c r="FU268" s="134"/>
      <c r="FV268" s="134"/>
      <c r="FW268" s="134"/>
      <c r="FX268" s="134"/>
      <c r="FY268" s="134"/>
      <c r="FZ268" s="134"/>
      <c r="GA268" s="135"/>
      <c r="GB268" s="135"/>
      <c r="GC268" s="134"/>
      <c r="GD268" s="134"/>
      <c r="GE268" s="134"/>
      <c r="GF268" s="134"/>
      <c r="GG268" s="134"/>
      <c r="GH268" s="134"/>
      <c r="GI268" s="134"/>
      <c r="GJ268" s="134"/>
      <c r="GK268" s="135"/>
      <c r="GL268" s="135"/>
      <c r="GM268" s="134"/>
      <c r="GN268" s="134"/>
      <c r="GO268" s="134"/>
      <c r="GP268" s="134"/>
      <c r="GQ268" s="134"/>
      <c r="GR268" s="134"/>
      <c r="GS268" s="134"/>
      <c r="GT268" s="134"/>
      <c r="GU268" s="135"/>
      <c r="GV268" s="135"/>
      <c r="GW268" s="134"/>
      <c r="GX268" s="134"/>
      <c r="GY268" s="134"/>
      <c r="GZ268" s="134"/>
      <c r="HA268" s="134"/>
      <c r="HB268" s="134"/>
      <c r="HC268" s="134"/>
      <c r="HD268" s="134"/>
      <c r="HE268" s="135"/>
      <c r="HF268" s="135"/>
      <c r="HG268" s="134"/>
      <c r="HH268" s="134"/>
      <c r="HI268" s="134"/>
      <c r="HJ268" s="134"/>
      <c r="HK268" s="134"/>
      <c r="HL268" s="134"/>
      <c r="HM268" s="134"/>
      <c r="HN268" s="134"/>
      <c r="HO268" s="135"/>
      <c r="HP268" s="135"/>
      <c r="HQ268" s="134"/>
      <c r="HR268" s="134"/>
      <c r="HS268" s="134"/>
      <c r="HT268" s="134"/>
      <c r="HU268" s="134"/>
      <c r="HV268" s="134"/>
      <c r="HW268" s="134"/>
      <c r="HX268" s="134"/>
      <c r="HY268" s="135"/>
      <c r="HZ268" s="135"/>
      <c r="IA268" s="134"/>
      <c r="IB268" s="134"/>
      <c r="IC268" s="134"/>
      <c r="ID268" s="134"/>
      <c r="IE268" s="134"/>
      <c r="IF268" s="134"/>
      <c r="IG268" s="134"/>
      <c r="IH268" s="134"/>
      <c r="II268" s="135"/>
      <c r="IJ268" s="135"/>
      <c r="IK268" s="134"/>
      <c r="IL268" s="134"/>
      <c r="IM268" s="134"/>
      <c r="IN268" s="134"/>
      <c r="IO268" s="134"/>
      <c r="IP268" s="134"/>
      <c r="IQ268" s="134"/>
      <c r="IR268" s="134"/>
      <c r="IS268" s="135"/>
      <c r="IT268" s="135"/>
      <c r="IU268" s="134"/>
      <c r="IV268" s="134"/>
      <c r="IW268" s="134"/>
      <c r="IX268" s="134"/>
      <c r="IY268" s="134"/>
      <c r="IZ268" s="134"/>
      <c r="JA268" s="134"/>
      <c r="JB268" s="134"/>
      <c r="JC268" s="135"/>
      <c r="JD268" s="135"/>
    </row>
    <row r="269" spans="1:264" customFormat="1" ht="15" customHeight="1">
      <c r="A269" s="79" t="s">
        <v>1021</v>
      </c>
      <c r="B269" s="614">
        <v>27</v>
      </c>
      <c r="C269" s="614"/>
      <c r="D269" s="614"/>
      <c r="E269" s="604" t="s">
        <v>2092</v>
      </c>
      <c r="F269" s="124" t="s">
        <v>2347</v>
      </c>
      <c r="G269" s="125">
        <v>2014</v>
      </c>
      <c r="H269" s="79">
        <v>24988461</v>
      </c>
      <c r="I269" s="79">
        <v>1</v>
      </c>
      <c r="J269" s="126">
        <v>1</v>
      </c>
      <c r="K269" s="127"/>
      <c r="L269" s="79">
        <v>1</v>
      </c>
      <c r="M269" s="79"/>
      <c r="N269" s="79">
        <v>1</v>
      </c>
      <c r="O269" s="128">
        <v>2</v>
      </c>
      <c r="P269" s="79" t="s">
        <v>1415</v>
      </c>
      <c r="Q269" s="79" t="s">
        <v>1224</v>
      </c>
      <c r="R269" s="79" t="s">
        <v>1127</v>
      </c>
      <c r="S269" s="79"/>
      <c r="T269" s="79" t="s">
        <v>1487</v>
      </c>
      <c r="U269" s="79" t="s">
        <v>803</v>
      </c>
      <c r="V269" s="79" t="s">
        <v>23</v>
      </c>
      <c r="W269" s="79" t="s">
        <v>1675</v>
      </c>
      <c r="X269" s="79"/>
      <c r="Y269" s="79"/>
      <c r="Z269" s="79"/>
      <c r="AA269" s="79"/>
      <c r="AB269" s="79"/>
      <c r="AC269" s="506"/>
      <c r="AD269" s="573">
        <v>1</v>
      </c>
      <c r="AE269" s="573">
        <v>2</v>
      </c>
      <c r="AF269" s="154">
        <v>1</v>
      </c>
      <c r="AG269" s="155"/>
      <c r="AH269" s="121">
        <v>4</v>
      </c>
      <c r="AI269" s="484"/>
      <c r="AJ269" s="202" t="s">
        <v>3129</v>
      </c>
      <c r="AK269" s="192">
        <v>0</v>
      </c>
      <c r="AL269" s="203">
        <v>1</v>
      </c>
      <c r="AM269" s="121">
        <v>20</v>
      </c>
      <c r="AN269" s="121">
        <v>10</v>
      </c>
      <c r="AO269" s="121">
        <v>10</v>
      </c>
      <c r="AP269" s="121" t="s">
        <v>803</v>
      </c>
      <c r="AQ269" s="121" t="s">
        <v>803</v>
      </c>
      <c r="AR269" s="121" t="s">
        <v>24</v>
      </c>
      <c r="AS269" s="121" t="s">
        <v>24</v>
      </c>
      <c r="AT269" s="121" t="s">
        <v>24</v>
      </c>
      <c r="AU269" s="121" t="s">
        <v>24</v>
      </c>
      <c r="AV269" s="121" t="s">
        <v>2963</v>
      </c>
      <c r="AW269" s="121">
        <v>1</v>
      </c>
      <c r="AX269" s="121">
        <v>1</v>
      </c>
      <c r="AY269" s="121"/>
      <c r="AZ269" s="121" t="s">
        <v>1130</v>
      </c>
      <c r="BA269" s="121" t="s">
        <v>2798</v>
      </c>
      <c r="BB269" s="594"/>
      <c r="BC269" s="594"/>
      <c r="BD269" s="156">
        <v>1</v>
      </c>
      <c r="BE269" s="156"/>
      <c r="BF269" s="156"/>
      <c r="BG269" s="156"/>
      <c r="BH269" s="156"/>
      <c r="BI269" s="156"/>
      <c r="BJ269" s="156"/>
      <c r="BK269" s="156"/>
      <c r="BL269" s="156"/>
      <c r="BM269" s="156"/>
      <c r="BN269" s="156"/>
      <c r="BO269" s="156"/>
      <c r="BP269" s="156"/>
      <c r="BQ269" s="595" t="s">
        <v>2879</v>
      </c>
      <c r="BR269" s="157" t="s">
        <v>6598</v>
      </c>
      <c r="BS269" s="660"/>
      <c r="BT269" s="134" t="s">
        <v>1876</v>
      </c>
      <c r="BU269" s="134" t="s">
        <v>3128</v>
      </c>
      <c r="BV269" s="134" t="s">
        <v>3127</v>
      </c>
      <c r="BW269" s="134" t="s">
        <v>23</v>
      </c>
      <c r="BX269" s="134" t="s">
        <v>2659</v>
      </c>
      <c r="BY269" s="134" t="s">
        <v>2659</v>
      </c>
      <c r="BZ269" s="259" t="s">
        <v>3126</v>
      </c>
      <c r="CA269" s="454" t="s">
        <v>6627</v>
      </c>
      <c r="CB269" s="138" t="s">
        <v>3124</v>
      </c>
      <c r="CC269" s="134">
        <v>21.870699999999999</v>
      </c>
      <c r="CD269" s="134" t="s">
        <v>24</v>
      </c>
      <c r="CE269" s="134">
        <f>27.2365-Table668[[#This Row],[Data_Outcome1_M]]</f>
        <v>5.3658000000000001</v>
      </c>
      <c r="CF269" s="138" t="s">
        <v>3123</v>
      </c>
      <c r="CG269" s="134">
        <v>56.833100000000002</v>
      </c>
      <c r="CH269" s="134" t="s">
        <v>24</v>
      </c>
      <c r="CI269" s="134">
        <f>66.4251-Table668[[#This Row],[Data_Outcome2_M]]</f>
        <v>9.5919999999999987</v>
      </c>
      <c r="CJ269" s="288" t="s">
        <v>3125</v>
      </c>
      <c r="CK269" s="289" t="s">
        <v>3060</v>
      </c>
      <c r="CL269" s="138" t="s">
        <v>24</v>
      </c>
      <c r="CM269" s="134"/>
      <c r="CN269" s="134"/>
      <c r="CO269" s="134"/>
      <c r="CP269" s="138"/>
      <c r="CQ269" s="134"/>
      <c r="CR269" s="134"/>
      <c r="CS269" s="134"/>
      <c r="CT269" s="288"/>
      <c r="CU269" s="289"/>
      <c r="CV269" s="276"/>
      <c r="CW269" s="308"/>
      <c r="CX269" s="138"/>
      <c r="CY269" s="134"/>
      <c r="CZ269" s="134"/>
      <c r="DA269" s="134"/>
      <c r="DB269" s="134"/>
      <c r="DC269" s="134"/>
      <c r="DD269" s="134"/>
      <c r="DE269" s="134"/>
      <c r="DF269" s="300"/>
      <c r="DG269" s="301"/>
      <c r="DH269" s="134"/>
      <c r="DI269" s="134"/>
      <c r="DJ269" s="134"/>
      <c r="DK269" s="134"/>
      <c r="DL269" s="134"/>
      <c r="DM269" s="134"/>
      <c r="DN269" s="134"/>
      <c r="DO269" s="134"/>
      <c r="DP269" s="300"/>
      <c r="DQ269" s="301"/>
      <c r="DR269" s="276"/>
      <c r="DS269" s="277"/>
      <c r="DT269" s="134"/>
      <c r="DU269" s="134"/>
      <c r="DV269" s="134"/>
      <c r="DW269" s="134"/>
      <c r="DX269" s="138"/>
      <c r="DY269" s="134"/>
      <c r="DZ269" s="134"/>
      <c r="EA269" s="134"/>
      <c r="EB269" s="301"/>
      <c r="EC269" s="301"/>
      <c r="ED269" s="138"/>
      <c r="EE269" s="134"/>
      <c r="EF269" s="134"/>
      <c r="EG269" s="134"/>
      <c r="EH269" s="138"/>
      <c r="EI269" s="134"/>
      <c r="EJ269" s="134"/>
      <c r="EK269" s="134"/>
      <c r="EL269" s="301"/>
      <c r="EM269" s="301"/>
      <c r="EN269" s="277"/>
      <c r="EO269" s="134"/>
      <c r="EP269" s="134"/>
      <c r="EQ269" s="134"/>
      <c r="ER269" s="134"/>
      <c r="ES269" s="134"/>
      <c r="ET269" s="134"/>
      <c r="EU269" s="134"/>
      <c r="EV269" s="134"/>
      <c r="EW269" s="301"/>
      <c r="EX269" s="301"/>
      <c r="EY269" s="134"/>
      <c r="EZ269" s="134"/>
      <c r="FA269" s="134"/>
      <c r="FB269" s="134"/>
      <c r="FC269" s="134"/>
      <c r="FD269" s="134"/>
      <c r="FE269" s="134"/>
      <c r="FF269" s="134"/>
      <c r="FG269" s="135"/>
      <c r="FH269" s="135"/>
      <c r="FI269" s="134"/>
      <c r="FJ269" s="134"/>
      <c r="FK269" s="134"/>
      <c r="FL269" s="134"/>
      <c r="FM269" s="134"/>
      <c r="FN269" s="134"/>
      <c r="FO269" s="134"/>
      <c r="FP269" s="134"/>
      <c r="FQ269" s="135"/>
      <c r="FR269" s="135"/>
      <c r="FS269" s="134"/>
      <c r="FT269" s="134"/>
      <c r="FU269" s="134"/>
      <c r="FV269" s="134"/>
      <c r="FW269" s="134"/>
      <c r="FX269" s="134"/>
      <c r="FY269" s="134"/>
      <c r="FZ269" s="134"/>
      <c r="GA269" s="135"/>
      <c r="GB269" s="135"/>
      <c r="GC269" s="134"/>
      <c r="GD269" s="134"/>
      <c r="GE269" s="134"/>
      <c r="GF269" s="134"/>
      <c r="GG269" s="134"/>
      <c r="GH269" s="134"/>
      <c r="GI269" s="134"/>
      <c r="GJ269" s="134"/>
      <c r="GK269" s="135"/>
      <c r="GL269" s="135"/>
      <c r="GM269" s="134"/>
      <c r="GN269" s="134"/>
      <c r="GO269" s="134"/>
      <c r="GP269" s="134"/>
      <c r="GQ269" s="134"/>
      <c r="GR269" s="134"/>
      <c r="GS269" s="134"/>
      <c r="GT269" s="134"/>
      <c r="GU269" s="135"/>
      <c r="GV269" s="135"/>
      <c r="GW269" s="134"/>
      <c r="GX269" s="134"/>
      <c r="GY269" s="134"/>
      <c r="GZ269" s="134"/>
      <c r="HA269" s="134"/>
      <c r="HB269" s="134"/>
      <c r="HC269" s="134"/>
      <c r="HD269" s="134"/>
      <c r="HE269" s="135"/>
      <c r="HF269" s="135"/>
      <c r="HG269" s="134"/>
      <c r="HH269" s="134"/>
      <c r="HI269" s="134"/>
      <c r="HJ269" s="134"/>
      <c r="HK269" s="134"/>
      <c r="HL269" s="134"/>
      <c r="HM269" s="134"/>
      <c r="HN269" s="134"/>
      <c r="HO269" s="135"/>
      <c r="HP269" s="135"/>
      <c r="HQ269" s="134"/>
      <c r="HR269" s="134"/>
      <c r="HS269" s="134"/>
      <c r="HT269" s="134"/>
      <c r="HU269" s="134"/>
      <c r="HV269" s="134"/>
      <c r="HW269" s="134"/>
      <c r="HX269" s="134"/>
      <c r="HY269" s="135"/>
      <c r="HZ269" s="135"/>
      <c r="IA269" s="134"/>
      <c r="IB269" s="134"/>
      <c r="IC269" s="134"/>
      <c r="ID269" s="134"/>
      <c r="IE269" s="134"/>
      <c r="IF269" s="134"/>
      <c r="IG269" s="134"/>
      <c r="IH269" s="134"/>
      <c r="II269" s="135"/>
      <c r="IJ269" s="135"/>
      <c r="IK269" s="134"/>
      <c r="IL269" s="134"/>
      <c r="IM269" s="134"/>
      <c r="IN269" s="134"/>
      <c r="IO269" s="134"/>
      <c r="IP269" s="134"/>
      <c r="IQ269" s="134"/>
      <c r="IR269" s="134"/>
      <c r="IS269" s="135"/>
      <c r="IT269" s="135"/>
      <c r="IU269" s="134"/>
      <c r="IV269" s="134"/>
      <c r="IW269" s="134"/>
      <c r="IX269" s="134"/>
      <c r="IY269" s="134"/>
      <c r="IZ269" s="134"/>
      <c r="JA269" s="134"/>
      <c r="JB269" s="134"/>
      <c r="JC269" s="135"/>
      <c r="JD269" s="135"/>
    </row>
    <row r="270" spans="1:264" customFormat="1" ht="15" customHeight="1">
      <c r="A270" s="79" t="s">
        <v>1020</v>
      </c>
      <c r="B270" s="362">
        <v>165</v>
      </c>
      <c r="C270" s="362">
        <v>55</v>
      </c>
      <c r="D270" s="362"/>
      <c r="E270" s="604" t="s">
        <v>2093</v>
      </c>
      <c r="F270" s="124" t="s">
        <v>2348</v>
      </c>
      <c r="G270" s="125">
        <v>2008</v>
      </c>
      <c r="H270" s="79">
        <v>18339410</v>
      </c>
      <c r="I270" s="79">
        <v>1</v>
      </c>
      <c r="J270" s="126">
        <v>1</v>
      </c>
      <c r="K270" s="127"/>
      <c r="L270" s="79">
        <v>1</v>
      </c>
      <c r="M270" s="79"/>
      <c r="N270" s="153">
        <v>1</v>
      </c>
      <c r="O270" s="128">
        <v>2</v>
      </c>
      <c r="P270" s="79" t="s">
        <v>1697</v>
      </c>
      <c r="Q270" s="79" t="s">
        <v>1417</v>
      </c>
      <c r="R270" s="79" t="s">
        <v>1127</v>
      </c>
      <c r="S270" s="79"/>
      <c r="T270" s="79" t="s">
        <v>1541</v>
      </c>
      <c r="U270" s="79"/>
      <c r="V270" s="79"/>
      <c r="W270" s="79" t="s">
        <v>1416</v>
      </c>
      <c r="X270" s="79"/>
      <c r="Y270" s="79"/>
      <c r="Z270" s="79"/>
      <c r="AA270" s="79"/>
      <c r="AB270" s="79"/>
      <c r="AC270" s="506"/>
      <c r="AD270" s="573">
        <v>1</v>
      </c>
      <c r="AE270" s="573">
        <v>2</v>
      </c>
      <c r="AF270" s="154">
        <v>1</v>
      </c>
      <c r="AG270" s="155"/>
      <c r="AH270" s="121">
        <v>4</v>
      </c>
      <c r="AI270" s="484"/>
      <c r="AJ270" s="202" t="s">
        <v>5064</v>
      </c>
      <c r="AK270" s="192" t="s">
        <v>5065</v>
      </c>
      <c r="AL270" s="203" t="s">
        <v>5061</v>
      </c>
      <c r="AM270" s="121">
        <f>Table668[[#This Row],[Data_Subjects_n_ptsd]]+Table668[[#This Row],[Data_Subjects_n_control]]</f>
        <v>16</v>
      </c>
      <c r="AN270" s="121">
        <v>8</v>
      </c>
      <c r="AO270" s="121">
        <v>8</v>
      </c>
      <c r="AP270" s="121" t="s">
        <v>803</v>
      </c>
      <c r="AQ270" s="121" t="s">
        <v>803</v>
      </c>
      <c r="AR270" s="121" t="s">
        <v>2468</v>
      </c>
      <c r="AS270" s="121" t="s">
        <v>24</v>
      </c>
      <c r="AT270" s="121" t="s">
        <v>2468</v>
      </c>
      <c r="AU270" s="121" t="s">
        <v>24</v>
      </c>
      <c r="AV270" s="121" t="s">
        <v>5067</v>
      </c>
      <c r="AW270" s="121">
        <v>1</v>
      </c>
      <c r="AX270" s="121" t="s">
        <v>5083</v>
      </c>
      <c r="AY270" s="121" t="s">
        <v>5068</v>
      </c>
      <c r="AZ270" s="121" t="s">
        <v>2912</v>
      </c>
      <c r="BA270" s="121" t="s">
        <v>5062</v>
      </c>
      <c r="BB270" s="594"/>
      <c r="BC270" s="594"/>
      <c r="BD270" s="156"/>
      <c r="BE270" s="156" t="s">
        <v>5086</v>
      </c>
      <c r="BF270" s="156"/>
      <c r="BG270" s="156"/>
      <c r="BH270" s="156"/>
      <c r="BI270" s="156"/>
      <c r="BJ270" s="156">
        <v>1</v>
      </c>
      <c r="BK270" s="156"/>
      <c r="BL270" s="156"/>
      <c r="BM270" s="156"/>
      <c r="BN270" s="156"/>
      <c r="BO270" s="156"/>
      <c r="BP270" s="156"/>
      <c r="BQ270" s="595" t="s">
        <v>5262</v>
      </c>
      <c r="BR270" s="157" t="s">
        <v>6616</v>
      </c>
      <c r="BS270" s="660"/>
      <c r="BT270" s="134" t="s">
        <v>1876</v>
      </c>
      <c r="BU270" s="134" t="s">
        <v>5087</v>
      </c>
      <c r="BV270" s="134" t="s">
        <v>5063</v>
      </c>
      <c r="BW270" s="134" t="s">
        <v>5066</v>
      </c>
      <c r="BX270" s="134" t="s">
        <v>5085</v>
      </c>
      <c r="BY270" s="134"/>
      <c r="BZ270" s="471" t="s">
        <v>5098</v>
      </c>
      <c r="CA270" s="624" t="s">
        <v>23</v>
      </c>
      <c r="CB270" s="138" t="s">
        <v>5089</v>
      </c>
      <c r="CC270" s="134">
        <v>35.900799999999997</v>
      </c>
      <c r="CD270" s="168" t="s">
        <v>24</v>
      </c>
      <c r="CE270" s="134">
        <f>42.9744-Table668[[#This Row],[Data_Outcome1_M]]</f>
        <v>7.0736000000000061</v>
      </c>
      <c r="CF270" s="138" t="s">
        <v>5090</v>
      </c>
      <c r="CG270" s="134">
        <v>13.1402</v>
      </c>
      <c r="CH270" s="168" t="s">
        <v>24</v>
      </c>
      <c r="CI270" s="134">
        <f>17.5191-Table668[[#This Row],[Data_Outcome2_M]]</f>
        <v>4.3789000000000016</v>
      </c>
      <c r="CJ270" s="288" t="s">
        <v>5095</v>
      </c>
      <c r="CK270" s="289" t="s">
        <v>5096</v>
      </c>
      <c r="CL270" s="138" t="s">
        <v>5093</v>
      </c>
      <c r="CM270" s="134">
        <v>78.872200000000007</v>
      </c>
      <c r="CN270" s="168" t="s">
        <v>24</v>
      </c>
      <c r="CO270" s="134">
        <f>80.7248-Table668[[#This Row],[Data_Outcome3_M]]</f>
        <v>1.8525999999999954</v>
      </c>
      <c r="CP270" s="138" t="s">
        <v>5094</v>
      </c>
      <c r="CQ270" s="134">
        <v>0</v>
      </c>
      <c r="CR270" s="134" t="s">
        <v>24</v>
      </c>
      <c r="CS270" s="134" t="s">
        <v>24</v>
      </c>
      <c r="CT270" s="288" t="s">
        <v>5099</v>
      </c>
      <c r="CU270" s="289" t="s">
        <v>5097</v>
      </c>
      <c r="CV270" s="276" t="s">
        <v>24</v>
      </c>
      <c r="CW270" s="308" t="s">
        <v>24</v>
      </c>
      <c r="CX270" s="138" t="s">
        <v>5091</v>
      </c>
      <c r="CY270" s="134">
        <v>25.6876</v>
      </c>
      <c r="CZ270" s="168" t="s">
        <v>24</v>
      </c>
      <c r="DA270" s="134">
        <f>34.6131-Table668[[#This Row],[Data_Outcome5_M]]</f>
        <v>8.9255000000000031</v>
      </c>
      <c r="DB270" s="138" t="s">
        <v>5092</v>
      </c>
      <c r="DC270" s="134">
        <v>43.852200000000003</v>
      </c>
      <c r="DD270" s="168" t="s">
        <v>24</v>
      </c>
      <c r="DE270" s="134">
        <f>48.5679-Table668[[#This Row],[Data_Outcome6_M]]</f>
        <v>4.7156999999999982</v>
      </c>
      <c r="DF270" s="300" t="s">
        <v>24</v>
      </c>
      <c r="DG270" s="301" t="s">
        <v>24</v>
      </c>
      <c r="DH270" s="134" t="s">
        <v>24</v>
      </c>
      <c r="DI270" s="134"/>
      <c r="DJ270" s="134"/>
      <c r="DK270" s="134"/>
      <c r="DL270" s="134"/>
      <c r="DM270" s="134"/>
      <c r="DN270" s="134"/>
      <c r="DO270" s="134"/>
      <c r="DP270" s="300"/>
      <c r="DQ270" s="301"/>
      <c r="DR270" s="276"/>
      <c r="DS270" s="277"/>
      <c r="DT270" s="134"/>
      <c r="DU270" s="134"/>
      <c r="DV270" s="134"/>
      <c r="DW270" s="134"/>
      <c r="DX270" s="138"/>
      <c r="DY270" s="134"/>
      <c r="DZ270" s="134"/>
      <c r="EA270" s="134"/>
      <c r="EB270" s="301"/>
      <c r="EC270" s="301"/>
      <c r="ED270" s="138"/>
      <c r="EE270" s="134"/>
      <c r="EF270" s="134"/>
      <c r="EG270" s="134"/>
      <c r="EH270" s="138"/>
      <c r="EI270" s="134"/>
      <c r="EJ270" s="134"/>
      <c r="EK270" s="134"/>
      <c r="EL270" s="301"/>
      <c r="EM270" s="301"/>
      <c r="EN270" s="277"/>
      <c r="EO270" s="134"/>
      <c r="EP270" s="134"/>
      <c r="EQ270" s="134"/>
      <c r="ER270" s="134"/>
      <c r="ES270" s="134"/>
      <c r="ET270" s="134"/>
      <c r="EU270" s="134"/>
      <c r="EV270" s="134"/>
      <c r="EW270" s="301"/>
      <c r="EX270" s="301"/>
      <c r="EY270" s="134"/>
      <c r="EZ270" s="134"/>
      <c r="FA270" s="134"/>
      <c r="FB270" s="134"/>
      <c r="FC270" s="134"/>
      <c r="FD270" s="134"/>
      <c r="FE270" s="134"/>
      <c r="FF270" s="134"/>
      <c r="FG270" s="135"/>
      <c r="FH270" s="135"/>
      <c r="FI270" s="134"/>
      <c r="FJ270" s="134"/>
      <c r="FK270" s="134"/>
      <c r="FL270" s="134"/>
      <c r="FM270" s="134"/>
      <c r="FN270" s="134"/>
      <c r="FO270" s="134"/>
      <c r="FP270" s="134"/>
      <c r="FQ270" s="135"/>
      <c r="FR270" s="135"/>
      <c r="FS270" s="134"/>
      <c r="FT270" s="134"/>
      <c r="FU270" s="134"/>
      <c r="FV270" s="134"/>
      <c r="FW270" s="134"/>
      <c r="FX270" s="134"/>
      <c r="FY270" s="134"/>
      <c r="FZ270" s="134"/>
      <c r="GA270" s="135"/>
      <c r="GB270" s="135"/>
      <c r="GC270" s="134"/>
      <c r="GD270" s="134"/>
      <c r="GE270" s="134"/>
      <c r="GF270" s="134"/>
      <c r="GG270" s="134"/>
      <c r="GH270" s="134"/>
      <c r="GI270" s="134"/>
      <c r="GJ270" s="134"/>
      <c r="GK270" s="135"/>
      <c r="GL270" s="135"/>
      <c r="GM270" s="134"/>
      <c r="GN270" s="134"/>
      <c r="GO270" s="134"/>
      <c r="GP270" s="134"/>
      <c r="GQ270" s="134"/>
      <c r="GR270" s="134"/>
      <c r="GS270" s="134"/>
      <c r="GT270" s="134"/>
      <c r="GU270" s="135"/>
      <c r="GV270" s="135"/>
      <c r="GW270" s="134"/>
      <c r="GX270" s="134"/>
      <c r="GY270" s="134"/>
      <c r="GZ270" s="134"/>
      <c r="HA270" s="134"/>
      <c r="HB270" s="134"/>
      <c r="HC270" s="134"/>
      <c r="HD270" s="134"/>
      <c r="HE270" s="135"/>
      <c r="HF270" s="135"/>
      <c r="HG270" s="134"/>
      <c r="HH270" s="134"/>
      <c r="HI270" s="134"/>
      <c r="HJ270" s="134"/>
      <c r="HK270" s="134"/>
      <c r="HL270" s="134"/>
      <c r="HM270" s="134"/>
      <c r="HN270" s="134"/>
      <c r="HO270" s="135"/>
      <c r="HP270" s="135"/>
      <c r="HQ270" s="134"/>
      <c r="HR270" s="134"/>
      <c r="HS270" s="134"/>
      <c r="HT270" s="134"/>
      <c r="HU270" s="134"/>
      <c r="HV270" s="134"/>
      <c r="HW270" s="134"/>
      <c r="HX270" s="134"/>
      <c r="HY270" s="135"/>
      <c r="HZ270" s="135"/>
      <c r="IA270" s="134"/>
      <c r="IB270" s="134"/>
      <c r="IC270" s="134"/>
      <c r="ID270" s="134"/>
      <c r="IE270" s="134"/>
      <c r="IF270" s="134"/>
      <c r="IG270" s="134"/>
      <c r="IH270" s="134"/>
      <c r="II270" s="135"/>
      <c r="IJ270" s="135"/>
      <c r="IK270" s="134"/>
      <c r="IL270" s="134"/>
      <c r="IM270" s="134"/>
      <c r="IN270" s="134"/>
      <c r="IO270" s="134"/>
      <c r="IP270" s="134"/>
      <c r="IQ270" s="134"/>
      <c r="IR270" s="134"/>
      <c r="IS270" s="135"/>
      <c r="IT270" s="135"/>
      <c r="IU270" s="134"/>
      <c r="IV270" s="134"/>
      <c r="IW270" s="134"/>
      <c r="IX270" s="134"/>
      <c r="IY270" s="134"/>
      <c r="IZ270" s="134"/>
      <c r="JA270" s="134"/>
      <c r="JB270" s="134"/>
      <c r="JC270" s="135"/>
      <c r="JD270" s="135"/>
    </row>
    <row r="271" spans="1:264" customFormat="1" ht="15" customHeight="1">
      <c r="A271" s="118" t="s">
        <v>1020</v>
      </c>
      <c r="B271" s="616">
        <v>165</v>
      </c>
      <c r="C271" s="616">
        <v>55</v>
      </c>
      <c r="D271" s="616"/>
      <c r="E271" s="605" t="s">
        <v>2093</v>
      </c>
      <c r="F271" s="140" t="s">
        <v>2348</v>
      </c>
      <c r="G271" s="141">
        <v>2008</v>
      </c>
      <c r="H271" s="118">
        <v>18339410</v>
      </c>
      <c r="I271" s="118">
        <v>1</v>
      </c>
      <c r="J271" s="118">
        <v>1</v>
      </c>
      <c r="K271" s="118"/>
      <c r="L271" s="118">
        <v>1</v>
      </c>
      <c r="M271" s="118"/>
      <c r="N271" s="158">
        <v>1</v>
      </c>
      <c r="O271" s="142">
        <v>2</v>
      </c>
      <c r="P271" s="118" t="s">
        <v>1697</v>
      </c>
      <c r="Q271" s="118" t="s">
        <v>1417</v>
      </c>
      <c r="R271" s="118" t="s">
        <v>1127</v>
      </c>
      <c r="S271" s="118"/>
      <c r="T271" s="118" t="s">
        <v>1541</v>
      </c>
      <c r="U271" s="118"/>
      <c r="V271" s="118"/>
      <c r="W271" s="118" t="s">
        <v>1416</v>
      </c>
      <c r="X271" s="118"/>
      <c r="Y271" s="118"/>
      <c r="Z271" s="118"/>
      <c r="AA271" s="118"/>
      <c r="AB271" s="118"/>
      <c r="AC271" s="145"/>
      <c r="AD271" s="573">
        <v>1</v>
      </c>
      <c r="AE271" s="573">
        <v>2</v>
      </c>
      <c r="AF271" s="159">
        <v>1</v>
      </c>
      <c r="AG271" s="160"/>
      <c r="AH271" s="122">
        <v>4</v>
      </c>
      <c r="AI271" s="485" t="s">
        <v>5108</v>
      </c>
      <c r="AJ271" s="204" t="s">
        <v>5144</v>
      </c>
      <c r="AK271" s="192" t="s">
        <v>5065</v>
      </c>
      <c r="AL271" s="205" t="s">
        <v>5061</v>
      </c>
      <c r="AM271" s="122">
        <f>Table668[[#This Row],[Data_Subjects_n_ptsd]]+Table668[[#This Row],[Data_Subjects_n_control]]</f>
        <v>20</v>
      </c>
      <c r="AN271" s="122">
        <v>10</v>
      </c>
      <c r="AO271" s="122">
        <v>10</v>
      </c>
      <c r="AP271" s="122" t="s">
        <v>803</v>
      </c>
      <c r="AQ271" s="122" t="s">
        <v>803</v>
      </c>
      <c r="AR271" s="122" t="s">
        <v>2468</v>
      </c>
      <c r="AS271" s="122" t="s">
        <v>24</v>
      </c>
      <c r="AT271" s="122" t="s">
        <v>2468</v>
      </c>
      <c r="AU271" s="122" t="s">
        <v>24</v>
      </c>
      <c r="AV271" s="122" t="s">
        <v>5082</v>
      </c>
      <c r="AW271" s="122">
        <v>1</v>
      </c>
      <c r="AX271" s="122" t="s">
        <v>5083</v>
      </c>
      <c r="AY271" s="122" t="s">
        <v>5068</v>
      </c>
      <c r="AZ271" s="122" t="s">
        <v>2912</v>
      </c>
      <c r="BA271" s="122" t="s">
        <v>5062</v>
      </c>
      <c r="BB271" s="588"/>
      <c r="BC271" s="588"/>
      <c r="BD271" s="161"/>
      <c r="BE271" s="161"/>
      <c r="BF271" s="161"/>
      <c r="BG271" s="161"/>
      <c r="BH271" s="161"/>
      <c r="BI271" s="161"/>
      <c r="BJ271" s="161">
        <v>1</v>
      </c>
      <c r="BK271" s="161"/>
      <c r="BL271" s="161"/>
      <c r="BM271" s="161"/>
      <c r="BN271" s="161"/>
      <c r="BO271" s="161"/>
      <c r="BP271" s="161"/>
      <c r="BQ271" s="596" t="s">
        <v>5263</v>
      </c>
      <c r="BR271" s="162" t="s">
        <v>6616</v>
      </c>
      <c r="BS271" s="660"/>
      <c r="BT271" s="150" t="s">
        <v>1876</v>
      </c>
      <c r="BU271" s="150" t="s">
        <v>5088</v>
      </c>
      <c r="BV271" s="150" t="s">
        <v>5084</v>
      </c>
      <c r="BW271" s="150" t="s">
        <v>5066</v>
      </c>
      <c r="BX271" s="150" t="s">
        <v>5085</v>
      </c>
      <c r="BY271" s="150"/>
      <c r="BZ271" s="258" t="s">
        <v>5111</v>
      </c>
      <c r="CA271" s="257" t="s">
        <v>23</v>
      </c>
      <c r="CB271" s="151" t="s">
        <v>5100</v>
      </c>
      <c r="CC271" s="150">
        <v>27.82</v>
      </c>
      <c r="CD271" s="150" t="s">
        <v>24</v>
      </c>
      <c r="CE271" s="150">
        <f>40.364-Table668[[#This Row],[Data_Outcome1_M]]</f>
        <v>12.543999999999997</v>
      </c>
      <c r="CF271" s="151" t="s">
        <v>5101</v>
      </c>
      <c r="CG271" s="150">
        <v>14.044499999999999</v>
      </c>
      <c r="CH271" s="150" t="s">
        <v>24</v>
      </c>
      <c r="CI271" s="150">
        <f>16.5821-Table668[[#This Row],[Data_Outcome2_M]]</f>
        <v>2.5376000000000012</v>
      </c>
      <c r="CJ271" s="290" t="s">
        <v>24</v>
      </c>
      <c r="CK271" s="291" t="s">
        <v>24</v>
      </c>
      <c r="CL271" s="151" t="s">
        <v>5102</v>
      </c>
      <c r="CM271" s="150">
        <v>77.073099999999997</v>
      </c>
      <c r="CN271" s="150" t="s">
        <v>24</v>
      </c>
      <c r="CO271" s="150">
        <f>79.6101-Table668[[#This Row],[Data_Outcome3_M]]</f>
        <v>2.5370000000000061</v>
      </c>
      <c r="CP271" s="151" t="s">
        <v>5103</v>
      </c>
      <c r="CQ271" s="150">
        <v>83.876099999999994</v>
      </c>
      <c r="CR271" s="150" t="s">
        <v>24</v>
      </c>
      <c r="CS271" s="150">
        <f>86.4124-Table668[[#This Row],[Data_Outcome4_M]]</f>
        <v>2.5363000000000113</v>
      </c>
      <c r="CT271" s="290"/>
      <c r="CU271" s="291"/>
      <c r="CV271" s="278"/>
      <c r="CW271" s="285"/>
      <c r="CX271" s="151" t="s">
        <v>5104</v>
      </c>
      <c r="CY271" s="150">
        <v>34.231900000000003</v>
      </c>
      <c r="CZ271" s="150" t="s">
        <v>24</v>
      </c>
      <c r="DA271" s="150">
        <f>43.5329-Table668[[#This Row],[Data_Outcome5_M]]</f>
        <v>9.3009999999999948</v>
      </c>
      <c r="DB271" s="151" t="s">
        <v>5105</v>
      </c>
      <c r="DC271" s="150">
        <v>45.124400000000001</v>
      </c>
      <c r="DD271" s="150" t="s">
        <v>24</v>
      </c>
      <c r="DE271" s="150">
        <f>54.8495-Table668[[#This Row],[Data_Outcome6_M]]</f>
        <v>9.7250999999999976</v>
      </c>
      <c r="DF271" s="302"/>
      <c r="DG271" s="303"/>
      <c r="DH271" s="151" t="s">
        <v>5106</v>
      </c>
      <c r="DI271" s="150"/>
      <c r="DJ271" s="150"/>
      <c r="DK271" s="150"/>
      <c r="DL271" s="151" t="s">
        <v>5107</v>
      </c>
      <c r="DM271" s="150"/>
      <c r="DN271" s="150"/>
      <c r="DO271" s="150"/>
      <c r="DP271" s="302"/>
      <c r="DQ271" s="303"/>
      <c r="DR271" s="278"/>
      <c r="DS271" s="279"/>
      <c r="DT271" s="150"/>
      <c r="DU271" s="150"/>
      <c r="DV271" s="150"/>
      <c r="DW271" s="150"/>
      <c r="DX271" s="151"/>
      <c r="DY271" s="150"/>
      <c r="DZ271" s="150"/>
      <c r="EA271" s="150"/>
      <c r="EB271" s="303"/>
      <c r="EC271" s="303"/>
      <c r="ED271" s="151"/>
      <c r="EE271" s="150"/>
      <c r="EF271" s="150"/>
      <c r="EG271" s="150"/>
      <c r="EH271" s="151"/>
      <c r="EI271" s="150"/>
      <c r="EJ271" s="150"/>
      <c r="EK271" s="150"/>
      <c r="EL271" s="303"/>
      <c r="EM271" s="303"/>
      <c r="EN271" s="279"/>
      <c r="EO271" s="150"/>
      <c r="EP271" s="150"/>
      <c r="EQ271" s="150"/>
      <c r="ER271" s="150"/>
      <c r="ES271" s="150"/>
      <c r="ET271" s="150"/>
      <c r="EU271" s="150"/>
      <c r="EV271" s="150"/>
      <c r="EW271" s="303"/>
      <c r="EX271" s="303"/>
      <c r="EY271" s="150"/>
      <c r="EZ271" s="150"/>
      <c r="FA271" s="150"/>
      <c r="FB271" s="150"/>
      <c r="FC271" s="150"/>
      <c r="FD271" s="150"/>
      <c r="FE271" s="150"/>
      <c r="FF271" s="150"/>
      <c r="FG271" s="152"/>
      <c r="FH271" s="152"/>
      <c r="FI271" s="150"/>
      <c r="FJ271" s="150"/>
      <c r="FK271" s="150"/>
      <c r="FL271" s="150"/>
      <c r="FM271" s="150"/>
      <c r="FN271" s="150"/>
      <c r="FO271" s="150"/>
      <c r="FP271" s="150"/>
      <c r="FQ271" s="152"/>
      <c r="FR271" s="152"/>
      <c r="FS271" s="150"/>
      <c r="FT271" s="150"/>
      <c r="FU271" s="150"/>
      <c r="FV271" s="150"/>
      <c r="FW271" s="150"/>
      <c r="FX271" s="150"/>
      <c r="FY271" s="150"/>
      <c r="FZ271" s="150"/>
      <c r="GA271" s="152"/>
      <c r="GB271" s="152"/>
      <c r="GC271" s="150"/>
      <c r="GD271" s="150"/>
      <c r="GE271" s="150"/>
      <c r="GF271" s="150"/>
      <c r="GG271" s="150"/>
      <c r="GH271" s="150"/>
      <c r="GI271" s="150"/>
      <c r="GJ271" s="150"/>
      <c r="GK271" s="152"/>
      <c r="GL271" s="152"/>
      <c r="GM271" s="150"/>
      <c r="GN271" s="150"/>
      <c r="GO271" s="150"/>
      <c r="GP271" s="150"/>
      <c r="GQ271" s="150"/>
      <c r="GR271" s="150"/>
      <c r="GS271" s="150"/>
      <c r="GT271" s="150"/>
      <c r="GU271" s="152"/>
      <c r="GV271" s="152"/>
      <c r="GW271" s="134"/>
      <c r="GX271" s="134"/>
      <c r="GY271" s="134"/>
      <c r="GZ271" s="134"/>
      <c r="HA271" s="134"/>
      <c r="HB271" s="134"/>
      <c r="HC271" s="134"/>
      <c r="HD271" s="134"/>
      <c r="HE271" s="135"/>
      <c r="HF271" s="135"/>
      <c r="HG271" s="134"/>
      <c r="HH271" s="134"/>
      <c r="HI271" s="134"/>
      <c r="HJ271" s="134"/>
      <c r="HK271" s="134"/>
      <c r="HL271" s="134"/>
      <c r="HM271" s="134"/>
      <c r="HN271" s="134"/>
      <c r="HO271" s="135"/>
      <c r="HP271" s="135"/>
      <c r="HQ271" s="134"/>
      <c r="HR271" s="134"/>
      <c r="HS271" s="134"/>
      <c r="HT271" s="134"/>
      <c r="HU271" s="134"/>
      <c r="HV271" s="134"/>
      <c r="HW271" s="134"/>
      <c r="HX271" s="134"/>
      <c r="HY271" s="135"/>
      <c r="HZ271" s="135"/>
      <c r="IA271" s="134"/>
      <c r="IB271" s="134"/>
      <c r="IC271" s="134"/>
      <c r="ID271" s="134"/>
      <c r="IE271" s="134"/>
      <c r="IF271" s="134"/>
      <c r="IG271" s="134"/>
      <c r="IH271" s="134"/>
      <c r="II271" s="135"/>
      <c r="IJ271" s="135"/>
      <c r="IK271" s="134"/>
      <c r="IL271" s="134"/>
      <c r="IM271" s="134"/>
      <c r="IN271" s="134"/>
      <c r="IO271" s="134"/>
      <c r="IP271" s="134"/>
      <c r="IQ271" s="134"/>
      <c r="IR271" s="134"/>
      <c r="IS271" s="135"/>
      <c r="IT271" s="135"/>
      <c r="IU271" s="134"/>
      <c r="IV271" s="134"/>
      <c r="IW271" s="134"/>
      <c r="IX271" s="134"/>
      <c r="IY271" s="134"/>
      <c r="IZ271" s="134"/>
      <c r="JA271" s="134"/>
      <c r="JB271" s="134"/>
      <c r="JC271" s="135"/>
      <c r="JD271" s="135"/>
    </row>
    <row r="272" spans="1:264" customFormat="1" ht="15" customHeight="1">
      <c r="A272" s="118" t="s">
        <v>225</v>
      </c>
      <c r="B272" s="614">
        <v>28</v>
      </c>
      <c r="C272" s="614"/>
      <c r="D272" s="614"/>
      <c r="E272" s="605" t="s">
        <v>1987</v>
      </c>
      <c r="F272" s="140" t="s">
        <v>2213</v>
      </c>
      <c r="G272" s="141">
        <v>2008</v>
      </c>
      <c r="H272" s="118">
        <v>18313695</v>
      </c>
      <c r="I272" s="118">
        <v>1</v>
      </c>
      <c r="J272" s="118"/>
      <c r="K272" s="118"/>
      <c r="L272" s="118">
        <v>1</v>
      </c>
      <c r="M272" s="118"/>
      <c r="N272" s="118">
        <v>1</v>
      </c>
      <c r="O272" s="142">
        <v>1</v>
      </c>
      <c r="P272" s="118" t="s">
        <v>627</v>
      </c>
      <c r="Q272" s="118" t="s">
        <v>1142</v>
      </c>
      <c r="R272" s="118" t="s">
        <v>628</v>
      </c>
      <c r="S272" s="118">
        <v>1</v>
      </c>
      <c r="T272" s="118"/>
      <c r="U272" s="118"/>
      <c r="V272" s="118"/>
      <c r="W272" s="118" t="s">
        <v>629</v>
      </c>
      <c r="X272" s="118" t="s">
        <v>24</v>
      </c>
      <c r="Y272" s="118" t="s">
        <v>630</v>
      </c>
      <c r="Z272" s="118"/>
      <c r="AA272" s="118"/>
      <c r="AB272" s="118" t="s">
        <v>631</v>
      </c>
      <c r="AC272" s="145"/>
      <c r="AD272" s="573">
        <v>1</v>
      </c>
      <c r="AE272" s="573">
        <v>2</v>
      </c>
      <c r="AF272" s="159">
        <v>1</v>
      </c>
      <c r="AG272" s="160" t="s">
        <v>3157</v>
      </c>
      <c r="AH272" s="122">
        <v>2</v>
      </c>
      <c r="AI272" s="485"/>
      <c r="AJ272" s="204"/>
      <c r="AK272" s="192">
        <v>1</v>
      </c>
      <c r="AL272" s="205" t="s">
        <v>24</v>
      </c>
      <c r="AM272" s="122" t="s">
        <v>3132</v>
      </c>
      <c r="AN272" s="122" t="s">
        <v>3130</v>
      </c>
      <c r="AO272" s="122" t="s">
        <v>3131</v>
      </c>
      <c r="AP272" s="122" t="s">
        <v>803</v>
      </c>
      <c r="AQ272" s="122" t="s">
        <v>803</v>
      </c>
      <c r="AR272" s="122" t="s">
        <v>3133</v>
      </c>
      <c r="AS272" s="122">
        <v>2.8</v>
      </c>
      <c r="AT272" s="122" t="s">
        <v>3134</v>
      </c>
      <c r="AU272" s="122">
        <v>2.5</v>
      </c>
      <c r="AV272" s="122" t="s">
        <v>1874</v>
      </c>
      <c r="AW272" s="122" t="s">
        <v>24</v>
      </c>
      <c r="AX272" s="122" t="s">
        <v>24</v>
      </c>
      <c r="AY272" s="122" t="s">
        <v>3135</v>
      </c>
      <c r="AZ272" s="122" t="s">
        <v>2875</v>
      </c>
      <c r="BA272" s="122" t="s">
        <v>1875</v>
      </c>
      <c r="BB272" s="588"/>
      <c r="BC272" s="588"/>
      <c r="BD272" s="161">
        <v>1</v>
      </c>
      <c r="BE272" s="161"/>
      <c r="BF272" s="161"/>
      <c r="BG272" s="161"/>
      <c r="BH272" s="161"/>
      <c r="BI272" s="161"/>
      <c r="BJ272" s="161"/>
      <c r="BK272" s="161"/>
      <c r="BL272" s="161"/>
      <c r="BM272" s="161"/>
      <c r="BN272" s="161"/>
      <c r="BO272" s="161"/>
      <c r="BP272" s="161"/>
      <c r="BQ272" s="596" t="s">
        <v>3155</v>
      </c>
      <c r="BR272" s="162" t="s">
        <v>6597</v>
      </c>
      <c r="BS272" s="660"/>
      <c r="BT272" s="150" t="s">
        <v>1876</v>
      </c>
      <c r="BU272" s="150" t="s">
        <v>3136</v>
      </c>
      <c r="BV272" s="150" t="s">
        <v>3137</v>
      </c>
      <c r="BW272" s="150" t="s">
        <v>2470</v>
      </c>
      <c r="BX272" s="150" t="s">
        <v>3138</v>
      </c>
      <c r="BY272" s="134" t="s">
        <v>630</v>
      </c>
      <c r="BZ272" s="258" t="s">
        <v>3169</v>
      </c>
      <c r="CA272" s="257">
        <v>0</v>
      </c>
      <c r="CB272" s="151" t="s">
        <v>3147</v>
      </c>
      <c r="CC272" s="150">
        <v>0.17238800000000001</v>
      </c>
      <c r="CD272" s="150" t="s">
        <v>24</v>
      </c>
      <c r="CE272" s="150">
        <f>0.266418-Table668[[#This Row],[Data_Outcome1_M]]</f>
        <v>9.4029999999999975E-2</v>
      </c>
      <c r="CF272" s="151" t="s">
        <v>3148</v>
      </c>
      <c r="CG272" s="150">
        <v>5.3171599999999999E-2</v>
      </c>
      <c r="CH272" s="150" t="s">
        <v>24</v>
      </c>
      <c r="CI272" s="150">
        <f>0.100187-Table668[[#This Row],[Data_Outcome2_M]]</f>
        <v>4.7015399999999999E-2</v>
      </c>
      <c r="CJ272" s="290" t="s">
        <v>3171</v>
      </c>
      <c r="CK272" s="291" t="s">
        <v>3172</v>
      </c>
      <c r="CL272" s="151" t="s">
        <v>3149</v>
      </c>
      <c r="CM272" s="150">
        <v>0.184142</v>
      </c>
      <c r="CN272" s="228" t="s">
        <v>24</v>
      </c>
      <c r="CO272" s="150">
        <f>0.274813-Table668[[#This Row],[Data_Outcome3_M]]</f>
        <v>9.0670999999999974E-2</v>
      </c>
      <c r="CP272" s="151" t="s">
        <v>3150</v>
      </c>
      <c r="CQ272" s="150">
        <v>0.12873100000000001</v>
      </c>
      <c r="CR272" s="150" t="s">
        <v>24</v>
      </c>
      <c r="CS272" s="150">
        <f>0.204291-Table668[[#This Row],[Data_Outcome4_M]]</f>
        <v>7.5559999999999988E-2</v>
      </c>
      <c r="CT272" s="290"/>
      <c r="CU272" s="291"/>
      <c r="CV272" s="278"/>
      <c r="CW272" s="285"/>
      <c r="CX272" s="151" t="s">
        <v>3151</v>
      </c>
      <c r="CY272" s="150">
        <v>9.1790999999999998E-2</v>
      </c>
      <c r="CZ272" s="150" t="s">
        <v>24</v>
      </c>
      <c r="DA272" s="150">
        <f>0.236194-Table668[[#This Row],[Data_Outcome5_M]]</f>
        <v>0.144403</v>
      </c>
      <c r="DB272" s="151" t="s">
        <v>3152</v>
      </c>
      <c r="DC272" s="150">
        <v>6.6604499999999997E-2</v>
      </c>
      <c r="DD272" s="150" t="s">
        <v>24</v>
      </c>
      <c r="DE272" s="150">
        <f>0.158955-Table668[[#This Row],[Data_Outcome6_M]]</f>
        <v>9.2350500000000016E-2</v>
      </c>
      <c r="DF272" s="302"/>
      <c r="DG272" s="303"/>
      <c r="DH272" s="151" t="s">
        <v>3153</v>
      </c>
      <c r="DI272" s="150">
        <v>0.15559700000000001</v>
      </c>
      <c r="DJ272" s="150" t="s">
        <v>24</v>
      </c>
      <c r="DK272" s="150">
        <f>0.279851-Table668[[#This Row],[Data_Outcome7_M]]</f>
        <v>0.124254</v>
      </c>
      <c r="DL272" s="151" t="s">
        <v>3154</v>
      </c>
      <c r="DM272" s="150">
        <v>0.108582</v>
      </c>
      <c r="DN272" s="150" t="s">
        <v>24</v>
      </c>
      <c r="DO272" s="150">
        <f>0.158955-Table668[[#This Row],[Data_Outcome8_M]]</f>
        <v>5.0373000000000015E-2</v>
      </c>
      <c r="DP272" s="302"/>
      <c r="DQ272" s="303"/>
      <c r="DR272" s="278"/>
      <c r="DS272" s="279"/>
      <c r="DT272" s="150" t="s">
        <v>24</v>
      </c>
      <c r="DU272" s="150"/>
      <c r="DV272" s="150"/>
      <c r="DW272" s="150"/>
      <c r="DX272" s="151"/>
      <c r="DY272" s="150"/>
      <c r="DZ272" s="150"/>
      <c r="EA272" s="150"/>
      <c r="EB272" s="303"/>
      <c r="EC272" s="303"/>
      <c r="ED272" s="151"/>
      <c r="EE272" s="150"/>
      <c r="EF272" s="150"/>
      <c r="EG272" s="150"/>
      <c r="EH272" s="151"/>
      <c r="EI272" s="150"/>
      <c r="EJ272" s="150"/>
      <c r="EK272" s="150"/>
      <c r="EL272" s="303"/>
      <c r="EM272" s="303"/>
      <c r="EN272" s="279"/>
      <c r="EO272" s="150"/>
      <c r="EP272" s="150"/>
      <c r="EQ272" s="150"/>
      <c r="ER272" s="150"/>
      <c r="ES272" s="150"/>
      <c r="ET272" s="150"/>
      <c r="EU272" s="150"/>
      <c r="EV272" s="150"/>
      <c r="EW272" s="303"/>
      <c r="EX272" s="303"/>
      <c r="EY272" s="150"/>
      <c r="EZ272" s="150"/>
      <c r="FA272" s="150"/>
      <c r="FB272" s="150"/>
      <c r="FC272" s="134"/>
      <c r="FD272" s="134"/>
      <c r="FE272" s="134"/>
      <c r="FF272" s="134"/>
      <c r="FG272" s="135"/>
      <c r="FH272" s="135"/>
      <c r="FI272" s="134"/>
      <c r="FJ272" s="134"/>
      <c r="FK272" s="134"/>
      <c r="FL272" s="134"/>
      <c r="FM272" s="134"/>
      <c r="FN272" s="134"/>
      <c r="FO272" s="134"/>
      <c r="FP272" s="134"/>
      <c r="FQ272" s="135"/>
      <c r="FR272" s="135"/>
      <c r="FS272" s="134"/>
      <c r="FT272" s="134"/>
      <c r="FU272" s="134"/>
      <c r="FV272" s="134"/>
      <c r="FW272" s="134"/>
      <c r="FX272" s="134"/>
      <c r="FY272" s="134"/>
      <c r="FZ272" s="134"/>
      <c r="GA272" s="135"/>
      <c r="GB272" s="135"/>
      <c r="GC272" s="134"/>
      <c r="GD272" s="134"/>
      <c r="GE272" s="134"/>
      <c r="GF272" s="134"/>
      <c r="GG272" s="134"/>
      <c r="GH272" s="134"/>
      <c r="GI272" s="134"/>
      <c r="GJ272" s="134"/>
      <c r="GK272" s="135"/>
      <c r="GL272" s="135"/>
      <c r="GM272" s="134"/>
      <c r="GN272" s="134"/>
      <c r="GO272" s="134"/>
      <c r="GP272" s="134"/>
      <c r="GQ272" s="134"/>
      <c r="GR272" s="134"/>
      <c r="GS272" s="134"/>
      <c r="GT272" s="134"/>
      <c r="GU272" s="135"/>
      <c r="GV272" s="135"/>
      <c r="GW272" s="134"/>
      <c r="GX272" s="134"/>
      <c r="GY272" s="134"/>
      <c r="GZ272" s="134"/>
      <c r="HA272" s="134"/>
      <c r="HB272" s="134"/>
      <c r="HC272" s="134"/>
      <c r="HD272" s="134"/>
      <c r="HE272" s="135"/>
      <c r="HF272" s="135"/>
      <c r="HG272" s="134"/>
      <c r="HH272" s="134"/>
      <c r="HI272" s="134"/>
      <c r="HJ272" s="134"/>
      <c r="HK272" s="134"/>
      <c r="HL272" s="134"/>
      <c r="HM272" s="134"/>
      <c r="HN272" s="134"/>
      <c r="HO272" s="135"/>
      <c r="HP272" s="135"/>
      <c r="HQ272" s="134"/>
      <c r="HR272" s="134"/>
      <c r="HS272" s="134"/>
      <c r="HT272" s="134"/>
      <c r="HU272" s="134"/>
      <c r="HV272" s="134"/>
      <c r="HW272" s="134"/>
      <c r="HX272" s="134"/>
      <c r="HY272" s="135"/>
      <c r="HZ272" s="135"/>
      <c r="IA272" s="134"/>
      <c r="IB272" s="134"/>
      <c r="IC272" s="134"/>
      <c r="ID272" s="134"/>
      <c r="IE272" s="134"/>
      <c r="IF272" s="134"/>
      <c r="IG272" s="134"/>
      <c r="IH272" s="134"/>
      <c r="II272" s="135"/>
      <c r="IJ272" s="135"/>
      <c r="IK272" s="134"/>
      <c r="IL272" s="134"/>
      <c r="IM272" s="134"/>
      <c r="IN272" s="134"/>
      <c r="IO272" s="134"/>
      <c r="IP272" s="134"/>
      <c r="IQ272" s="134"/>
      <c r="IR272" s="134"/>
      <c r="IS272" s="135"/>
      <c r="IT272" s="135"/>
      <c r="IU272" s="134"/>
      <c r="IV272" s="134"/>
      <c r="IW272" s="134"/>
      <c r="IX272" s="134"/>
      <c r="IY272" s="134"/>
      <c r="IZ272" s="134"/>
      <c r="JA272" s="134"/>
      <c r="JB272" s="134"/>
      <c r="JC272" s="135"/>
      <c r="JD272" s="135"/>
    </row>
    <row r="273" spans="1:264" customFormat="1" ht="15" customHeight="1">
      <c r="A273" s="118" t="s">
        <v>225</v>
      </c>
      <c r="B273" s="614">
        <v>28</v>
      </c>
      <c r="C273" s="614"/>
      <c r="D273" s="614"/>
      <c r="E273" s="605" t="s">
        <v>1987</v>
      </c>
      <c r="F273" s="140" t="s">
        <v>2213</v>
      </c>
      <c r="G273" s="141">
        <v>2008</v>
      </c>
      <c r="H273" s="118">
        <v>18313695</v>
      </c>
      <c r="I273" s="118">
        <v>1</v>
      </c>
      <c r="J273" s="118"/>
      <c r="K273" s="118"/>
      <c r="L273" s="118">
        <v>1</v>
      </c>
      <c r="M273" s="118"/>
      <c r="N273" s="118">
        <v>1</v>
      </c>
      <c r="O273" s="142">
        <v>1</v>
      </c>
      <c r="P273" s="118" t="s">
        <v>627</v>
      </c>
      <c r="Q273" s="118" t="s">
        <v>1142</v>
      </c>
      <c r="R273" s="118" t="s">
        <v>628</v>
      </c>
      <c r="S273" s="118">
        <v>1</v>
      </c>
      <c r="T273" s="118"/>
      <c r="U273" s="118"/>
      <c r="V273" s="118"/>
      <c r="W273" s="118" t="s">
        <v>629</v>
      </c>
      <c r="X273" s="118" t="s">
        <v>24</v>
      </c>
      <c r="Y273" s="118" t="s">
        <v>630</v>
      </c>
      <c r="Z273" s="118"/>
      <c r="AA273" s="118"/>
      <c r="AB273" s="118" t="s">
        <v>631</v>
      </c>
      <c r="AC273" s="145"/>
      <c r="AD273" s="573">
        <v>1</v>
      </c>
      <c r="AE273" s="573">
        <v>2</v>
      </c>
      <c r="AF273" s="159">
        <v>1</v>
      </c>
      <c r="AG273" s="160" t="s">
        <v>3157</v>
      </c>
      <c r="AH273" s="122">
        <v>2</v>
      </c>
      <c r="AI273" s="485"/>
      <c r="AJ273" s="204"/>
      <c r="AK273" s="192">
        <v>1</v>
      </c>
      <c r="AL273" s="205" t="s">
        <v>24</v>
      </c>
      <c r="AM273" s="122" t="s">
        <v>3132</v>
      </c>
      <c r="AN273" s="122" t="s">
        <v>3130</v>
      </c>
      <c r="AO273" s="122" t="s">
        <v>3131</v>
      </c>
      <c r="AP273" s="122" t="s">
        <v>803</v>
      </c>
      <c r="AQ273" s="122" t="s">
        <v>803</v>
      </c>
      <c r="AR273" s="122" t="s">
        <v>3133</v>
      </c>
      <c r="AS273" s="122">
        <v>2.8</v>
      </c>
      <c r="AT273" s="122" t="s">
        <v>3134</v>
      </c>
      <c r="AU273" s="122">
        <v>2.5</v>
      </c>
      <c r="AV273" s="122" t="s">
        <v>1874</v>
      </c>
      <c r="AW273" s="122" t="s">
        <v>24</v>
      </c>
      <c r="AX273" s="122" t="s">
        <v>24</v>
      </c>
      <c r="AY273" s="122" t="s">
        <v>3135</v>
      </c>
      <c r="AZ273" s="122" t="s">
        <v>2875</v>
      </c>
      <c r="BA273" s="122" t="s">
        <v>1875</v>
      </c>
      <c r="BB273" s="588"/>
      <c r="BC273" s="588"/>
      <c r="BD273" s="161">
        <v>1</v>
      </c>
      <c r="BE273" s="161"/>
      <c r="BF273" s="161"/>
      <c r="BG273" s="161"/>
      <c r="BH273" s="161"/>
      <c r="BI273" s="161"/>
      <c r="BJ273" s="161"/>
      <c r="BK273" s="161"/>
      <c r="BL273" s="161"/>
      <c r="BM273" s="161"/>
      <c r="BN273" s="161"/>
      <c r="BO273" s="161"/>
      <c r="BP273" s="161"/>
      <c r="BQ273" s="596" t="s">
        <v>3156</v>
      </c>
      <c r="BR273" s="162" t="s">
        <v>6597</v>
      </c>
      <c r="BS273" s="660"/>
      <c r="BT273" s="150" t="s">
        <v>1876</v>
      </c>
      <c r="BU273" s="150" t="s">
        <v>3136</v>
      </c>
      <c r="BV273" s="150" t="s">
        <v>3137</v>
      </c>
      <c r="BW273" s="150" t="s">
        <v>2470</v>
      </c>
      <c r="BX273" s="150" t="s">
        <v>3138</v>
      </c>
      <c r="BY273" s="134" t="s">
        <v>630</v>
      </c>
      <c r="BZ273" s="258" t="s">
        <v>3170</v>
      </c>
      <c r="CA273" s="257" t="s">
        <v>6627</v>
      </c>
      <c r="CB273" s="151" t="s">
        <v>3158</v>
      </c>
      <c r="CC273" s="150">
        <v>0.47966399999999998</v>
      </c>
      <c r="CD273" s="150" t="s">
        <v>24</v>
      </c>
      <c r="CE273" s="150">
        <f>0.553545-Table668[[#This Row],[Data_Outcome1_M]]</f>
        <v>7.3880999999999974E-2</v>
      </c>
      <c r="CF273" s="151" t="s">
        <v>3159</v>
      </c>
      <c r="CG273" s="150">
        <v>0.288246</v>
      </c>
      <c r="CH273" s="150" t="s">
        <v>24</v>
      </c>
      <c r="CI273" s="150">
        <f>0.385634-Table668[[#This Row],[Data_Outcome2_M]]</f>
        <v>9.7387999999999975E-2</v>
      </c>
      <c r="CJ273" s="290" t="s">
        <v>3174</v>
      </c>
      <c r="CK273" s="289" t="s">
        <v>3173</v>
      </c>
      <c r="CL273" s="151" t="s">
        <v>3160</v>
      </c>
      <c r="CM273" s="150">
        <v>0.27313399999999999</v>
      </c>
      <c r="CN273" s="228" t="s">
        <v>24</v>
      </c>
      <c r="CO273" s="150">
        <f>0.378918-Table668[[#This Row],[Data_Outcome3_M]]</f>
        <v>0.10578399999999999</v>
      </c>
      <c r="CP273" s="151" t="s">
        <v>3161</v>
      </c>
      <c r="CQ273" s="150">
        <v>6.9962700000000003E-2</v>
      </c>
      <c r="CR273" s="150" t="s">
        <v>24</v>
      </c>
      <c r="CS273" s="150">
        <f>0.162313-Table668[[#This Row],[Data_Outcome4_M]]</f>
        <v>9.235030000000001E-2</v>
      </c>
      <c r="CT273" s="290"/>
      <c r="CU273" s="291"/>
      <c r="CV273" s="278"/>
      <c r="CW273" s="285"/>
      <c r="CX273" s="151" t="s">
        <v>3162</v>
      </c>
      <c r="CY273" s="150">
        <v>0.25298500000000002</v>
      </c>
      <c r="CZ273" s="150" t="s">
        <v>24</v>
      </c>
      <c r="DA273" s="150">
        <f>0.338619-Table668[[#This Row],[Data_Outcome5_M]]</f>
        <v>8.5633999999999988E-2</v>
      </c>
      <c r="DB273" s="151" t="s">
        <v>3163</v>
      </c>
      <c r="DC273" s="150">
        <v>-2.7425399999999999E-2</v>
      </c>
      <c r="DD273" s="150" t="s">
        <v>24</v>
      </c>
      <c r="DE273" s="150">
        <f>-0.069403-Table668[[#This Row],[Data_Outcome6_M]]</f>
        <v>-4.1977600000000004E-2</v>
      </c>
      <c r="DF273" s="302"/>
      <c r="DG273" s="303"/>
      <c r="DH273" s="151" t="s">
        <v>3164</v>
      </c>
      <c r="DI273" s="150">
        <v>0.298321</v>
      </c>
      <c r="DJ273" s="150" t="s">
        <v>24</v>
      </c>
      <c r="DK273" s="150">
        <f>0.43097-Table668[[#This Row],[Data_Outcome7_M]]</f>
        <v>0.13264900000000002</v>
      </c>
      <c r="DL273" s="151" t="s">
        <v>3165</v>
      </c>
      <c r="DM273" s="150">
        <v>-2.0709000000000002E-2</v>
      </c>
      <c r="DN273" s="150" t="s">
        <v>24</v>
      </c>
      <c r="DO273" s="150">
        <f>-0.0777985-Table668[[#This Row],[Data_Outcome8_M]]</f>
        <v>-5.7089500000000001E-2</v>
      </c>
      <c r="DP273" s="302"/>
      <c r="DQ273" s="303"/>
      <c r="DR273" s="278"/>
      <c r="DS273" s="279"/>
      <c r="DT273" s="150" t="s">
        <v>24</v>
      </c>
      <c r="DU273" s="150"/>
      <c r="DV273" s="150"/>
      <c r="DW273" s="150"/>
      <c r="DX273" s="151"/>
      <c r="DY273" s="150"/>
      <c r="DZ273" s="150"/>
      <c r="EA273" s="150"/>
      <c r="EB273" s="303"/>
      <c r="EC273" s="303"/>
      <c r="ED273" s="151"/>
      <c r="EE273" s="150"/>
      <c r="EF273" s="150"/>
      <c r="EG273" s="150"/>
      <c r="EH273" s="151"/>
      <c r="EI273" s="150"/>
      <c r="EJ273" s="150"/>
      <c r="EK273" s="150"/>
      <c r="EL273" s="303"/>
      <c r="EM273" s="303"/>
      <c r="EN273" s="279"/>
      <c r="EO273" s="150"/>
      <c r="EP273" s="150"/>
      <c r="EQ273" s="150"/>
      <c r="ER273" s="150"/>
      <c r="ES273" s="150"/>
      <c r="ET273" s="150"/>
      <c r="EU273" s="150"/>
      <c r="EV273" s="150"/>
      <c r="EW273" s="303"/>
      <c r="EX273" s="303"/>
      <c r="EY273" s="150"/>
      <c r="EZ273" s="150"/>
      <c r="FA273" s="150"/>
      <c r="FB273" s="150"/>
      <c r="FC273" s="134"/>
      <c r="FD273" s="134"/>
      <c r="FE273" s="134"/>
      <c r="FF273" s="134"/>
      <c r="FG273" s="135"/>
      <c r="FH273" s="135"/>
      <c r="FI273" s="134"/>
      <c r="FJ273" s="134"/>
      <c r="FK273" s="134"/>
      <c r="FL273" s="134"/>
      <c r="FM273" s="134"/>
      <c r="FN273" s="134"/>
      <c r="FO273" s="134"/>
      <c r="FP273" s="134"/>
      <c r="FQ273" s="135"/>
      <c r="FR273" s="135"/>
      <c r="FS273" s="134"/>
      <c r="FT273" s="134"/>
      <c r="FU273" s="134"/>
      <c r="FV273" s="134"/>
      <c r="FW273" s="134"/>
      <c r="FX273" s="134"/>
      <c r="FY273" s="134"/>
      <c r="FZ273" s="134"/>
      <c r="GA273" s="135"/>
      <c r="GB273" s="135"/>
      <c r="GC273" s="134"/>
      <c r="GD273" s="134"/>
      <c r="GE273" s="134"/>
      <c r="GF273" s="134"/>
      <c r="GG273" s="134"/>
      <c r="GH273" s="134"/>
      <c r="GI273" s="134"/>
      <c r="GJ273" s="134"/>
      <c r="GK273" s="135"/>
      <c r="GL273" s="135"/>
      <c r="GM273" s="134"/>
      <c r="GN273" s="134"/>
      <c r="GO273" s="134"/>
      <c r="GP273" s="134"/>
      <c r="GQ273" s="134"/>
      <c r="GR273" s="134"/>
      <c r="GS273" s="134"/>
      <c r="GT273" s="134"/>
      <c r="GU273" s="135"/>
      <c r="GV273" s="135"/>
      <c r="GW273" s="134"/>
      <c r="GX273" s="134"/>
      <c r="GY273" s="134"/>
      <c r="GZ273" s="134"/>
      <c r="HA273" s="134"/>
      <c r="HB273" s="134"/>
      <c r="HC273" s="134"/>
      <c r="HD273" s="134"/>
      <c r="HE273" s="135"/>
      <c r="HF273" s="135"/>
      <c r="HG273" s="134"/>
      <c r="HH273" s="134"/>
      <c r="HI273" s="134"/>
      <c r="HJ273" s="134"/>
      <c r="HK273" s="134"/>
      <c r="HL273" s="134"/>
      <c r="HM273" s="134"/>
      <c r="HN273" s="134"/>
      <c r="HO273" s="135"/>
      <c r="HP273" s="135"/>
      <c r="HQ273" s="134"/>
      <c r="HR273" s="134"/>
      <c r="HS273" s="134"/>
      <c r="HT273" s="134"/>
      <c r="HU273" s="134"/>
      <c r="HV273" s="134"/>
      <c r="HW273" s="134"/>
      <c r="HX273" s="134"/>
      <c r="HY273" s="135"/>
      <c r="HZ273" s="135"/>
      <c r="IA273" s="134"/>
      <c r="IB273" s="134"/>
      <c r="IC273" s="134"/>
      <c r="ID273" s="134"/>
      <c r="IE273" s="134"/>
      <c r="IF273" s="134"/>
      <c r="IG273" s="134"/>
      <c r="IH273" s="134"/>
      <c r="II273" s="135"/>
      <c r="IJ273" s="135"/>
      <c r="IK273" s="134"/>
      <c r="IL273" s="134"/>
      <c r="IM273" s="134"/>
      <c r="IN273" s="134"/>
      <c r="IO273" s="134"/>
      <c r="IP273" s="134"/>
      <c r="IQ273" s="134"/>
      <c r="IR273" s="134"/>
      <c r="IS273" s="135"/>
      <c r="IT273" s="135"/>
      <c r="IU273" s="134"/>
      <c r="IV273" s="134"/>
      <c r="IW273" s="134"/>
      <c r="IX273" s="134"/>
      <c r="IY273" s="134"/>
      <c r="IZ273" s="134"/>
      <c r="JA273" s="134"/>
      <c r="JB273" s="134"/>
      <c r="JC273" s="135"/>
      <c r="JD273" s="135"/>
    </row>
    <row r="274" spans="1:264" customFormat="1" ht="15" customHeight="1">
      <c r="A274" s="79" t="s">
        <v>225</v>
      </c>
      <c r="B274" s="614">
        <v>28</v>
      </c>
      <c r="C274" s="614"/>
      <c r="D274" s="614"/>
      <c r="E274" s="604" t="s">
        <v>1987</v>
      </c>
      <c r="F274" s="124" t="s">
        <v>2213</v>
      </c>
      <c r="G274" s="125">
        <v>2008</v>
      </c>
      <c r="H274" s="79">
        <v>18313695</v>
      </c>
      <c r="I274" s="79">
        <v>1</v>
      </c>
      <c r="J274" s="126"/>
      <c r="K274" s="127"/>
      <c r="L274" s="79">
        <v>1</v>
      </c>
      <c r="M274" s="79"/>
      <c r="N274" s="79">
        <v>1</v>
      </c>
      <c r="O274" s="128">
        <v>1</v>
      </c>
      <c r="P274" s="79" t="s">
        <v>627</v>
      </c>
      <c r="Q274" s="79" t="s">
        <v>1142</v>
      </c>
      <c r="R274" s="79" t="s">
        <v>628</v>
      </c>
      <c r="S274" s="79">
        <v>1</v>
      </c>
      <c r="T274" s="79"/>
      <c r="U274" s="79"/>
      <c r="V274" s="79"/>
      <c r="W274" s="79" t="s">
        <v>629</v>
      </c>
      <c r="X274" s="79" t="s">
        <v>24</v>
      </c>
      <c r="Y274" s="79" t="s">
        <v>630</v>
      </c>
      <c r="Z274" s="79"/>
      <c r="AA274" s="79"/>
      <c r="AB274" s="79" t="s">
        <v>631</v>
      </c>
      <c r="AC274" s="506"/>
      <c r="AD274" s="573">
        <v>1</v>
      </c>
      <c r="AE274" s="573">
        <v>2</v>
      </c>
      <c r="AF274" s="154">
        <v>1</v>
      </c>
      <c r="AG274" s="155" t="s">
        <v>3157</v>
      </c>
      <c r="AH274" s="121">
        <v>2</v>
      </c>
      <c r="AI274" s="484"/>
      <c r="AJ274" s="202"/>
      <c r="AK274" s="192">
        <v>1</v>
      </c>
      <c r="AL274" s="203" t="s">
        <v>24</v>
      </c>
      <c r="AM274" s="121" t="s">
        <v>3132</v>
      </c>
      <c r="AN274" s="121" t="s">
        <v>3130</v>
      </c>
      <c r="AO274" s="121" t="s">
        <v>3131</v>
      </c>
      <c r="AP274" s="121" t="s">
        <v>803</v>
      </c>
      <c r="AQ274" s="121" t="s">
        <v>803</v>
      </c>
      <c r="AR274" s="121" t="s">
        <v>3133</v>
      </c>
      <c r="AS274" s="121">
        <v>2.8</v>
      </c>
      <c r="AT274" s="121" t="s">
        <v>3134</v>
      </c>
      <c r="AU274" s="121">
        <v>2.5</v>
      </c>
      <c r="AV274" s="121" t="s">
        <v>1874</v>
      </c>
      <c r="AW274" s="121" t="s">
        <v>24</v>
      </c>
      <c r="AX274" s="121" t="s">
        <v>24</v>
      </c>
      <c r="AY274" s="121" t="s">
        <v>3135</v>
      </c>
      <c r="AZ274" s="121" t="s">
        <v>2875</v>
      </c>
      <c r="BA274" s="121" t="s">
        <v>1875</v>
      </c>
      <c r="BB274" s="594"/>
      <c r="BC274" s="594"/>
      <c r="BD274" s="156">
        <v>1</v>
      </c>
      <c r="BE274" s="156"/>
      <c r="BF274" s="156"/>
      <c r="BG274" s="156"/>
      <c r="BH274" s="156"/>
      <c r="BI274" s="156"/>
      <c r="BJ274" s="156"/>
      <c r="BK274" s="156"/>
      <c r="BL274" s="156"/>
      <c r="BM274" s="156"/>
      <c r="BN274" s="156"/>
      <c r="BO274" s="156"/>
      <c r="BP274" s="156"/>
      <c r="BQ274" s="595" t="s">
        <v>1891</v>
      </c>
      <c r="BR274" s="157" t="s">
        <v>6596</v>
      </c>
      <c r="BS274" s="660"/>
      <c r="BT274" s="134" t="s">
        <v>1876</v>
      </c>
      <c r="BU274" s="134" t="s">
        <v>3136</v>
      </c>
      <c r="BV274" s="134" t="s">
        <v>3137</v>
      </c>
      <c r="BW274" s="134" t="s">
        <v>2470</v>
      </c>
      <c r="BX274" s="134" t="s">
        <v>3138</v>
      </c>
      <c r="BY274" s="134" t="s">
        <v>630</v>
      </c>
      <c r="BZ274" s="259" t="s">
        <v>3166</v>
      </c>
      <c r="CA274" s="454">
        <v>0</v>
      </c>
      <c r="CB274" s="138" t="s">
        <v>3139</v>
      </c>
      <c r="CC274" s="134">
        <v>0.39906700000000001</v>
      </c>
      <c r="CD274" s="134" t="s">
        <v>24</v>
      </c>
      <c r="CE274" s="134">
        <f>0.531716-Table668[[#This Row],[Data_Outcome1_M]]</f>
        <v>0.13264899999999996</v>
      </c>
      <c r="CF274" s="138" t="s">
        <v>3140</v>
      </c>
      <c r="CG274" s="134">
        <v>0.31679099999999999</v>
      </c>
      <c r="CH274" s="134" t="s">
        <v>24</v>
      </c>
      <c r="CI274" s="134">
        <f>0.425933-Table668[[#This Row],[Data_Outcome2_M]]</f>
        <v>0.10914200000000002</v>
      </c>
      <c r="CJ274" s="288" t="s">
        <v>3168</v>
      </c>
      <c r="CK274" s="291" t="s">
        <v>3167</v>
      </c>
      <c r="CL274" s="138" t="s">
        <v>3143</v>
      </c>
      <c r="CM274" s="134">
        <v>0.365485</v>
      </c>
      <c r="CN274" s="168" t="s">
        <v>24</v>
      </c>
      <c r="CO274" s="134">
        <f>0.481343-Table668[[#This Row],[Data_Outcome3_M]]</f>
        <v>0.11585800000000002</v>
      </c>
      <c r="CP274" s="138" t="s">
        <v>3144</v>
      </c>
      <c r="CQ274" s="134">
        <v>0.325187</v>
      </c>
      <c r="CR274" s="134" t="s">
        <v>24</v>
      </c>
      <c r="CS274" s="134">
        <f>0.419216-Table668[[#This Row],[Data_Outcome4_M]]</f>
        <v>9.4028999999999974E-2</v>
      </c>
      <c r="CT274" s="288"/>
      <c r="CU274" s="289"/>
      <c r="CV274" s="276"/>
      <c r="CW274" s="308"/>
      <c r="CX274" s="138" t="s">
        <v>3141</v>
      </c>
      <c r="CY274" s="134">
        <v>0.58209</v>
      </c>
      <c r="CZ274" s="134" t="s">
        <v>24</v>
      </c>
      <c r="DA274" s="134">
        <f>0.724813-Table668[[#This Row],[Data_Outcome5_M]]</f>
        <v>0.14272300000000004</v>
      </c>
      <c r="DB274" s="138" t="s">
        <v>3142</v>
      </c>
      <c r="DC274" s="134">
        <v>0.34533599999999998</v>
      </c>
      <c r="DD274" s="134" t="s">
        <v>24</v>
      </c>
      <c r="DE274" s="134">
        <f>0.483022-Table668[[#This Row],[Data_Outcome6_M]]</f>
        <v>0.13768600000000003</v>
      </c>
      <c r="DF274" s="300"/>
      <c r="DG274" s="301"/>
      <c r="DH274" s="138" t="s">
        <v>3145</v>
      </c>
      <c r="DI274" s="134">
        <v>0.55018699999999998</v>
      </c>
      <c r="DJ274" s="134" t="s">
        <v>24</v>
      </c>
      <c r="DK274" s="134">
        <f>0.627425-Table668[[#This Row],[Data_Outcome7_M]]</f>
        <v>7.7238000000000029E-2</v>
      </c>
      <c r="DL274" s="138" t="s">
        <v>3146</v>
      </c>
      <c r="DM274" s="134">
        <v>0.321828</v>
      </c>
      <c r="DN274" s="134" t="s">
        <v>24</v>
      </c>
      <c r="DO274" s="134">
        <f>0.437687-Table668[[#This Row],[Data_Outcome8_M]]</f>
        <v>0.11585899999999999</v>
      </c>
      <c r="DP274" s="300"/>
      <c r="DQ274" s="301"/>
      <c r="DR274" s="276"/>
      <c r="DS274" s="277"/>
      <c r="DT274" s="134" t="s">
        <v>24</v>
      </c>
      <c r="DU274" s="134"/>
      <c r="DV274" s="134"/>
      <c r="DW274" s="134"/>
      <c r="DX274" s="138"/>
      <c r="DY274" s="134"/>
      <c r="DZ274" s="134"/>
      <c r="EA274" s="134"/>
      <c r="EB274" s="301"/>
      <c r="EC274" s="301"/>
      <c r="ED274" s="138"/>
      <c r="EE274" s="134"/>
      <c r="EF274" s="134"/>
      <c r="EG274" s="134"/>
      <c r="EH274" s="138"/>
      <c r="EI274" s="134"/>
      <c r="EJ274" s="134"/>
      <c r="EK274" s="134"/>
      <c r="EL274" s="301"/>
      <c r="EM274" s="301"/>
      <c r="EN274" s="277"/>
      <c r="EO274" s="134"/>
      <c r="EP274" s="134"/>
      <c r="EQ274" s="134"/>
      <c r="ER274" s="134"/>
      <c r="ES274" s="134"/>
      <c r="ET274" s="134"/>
      <c r="EU274" s="134"/>
      <c r="EV274" s="134"/>
      <c r="EW274" s="301"/>
      <c r="EX274" s="301"/>
      <c r="EY274" s="134"/>
      <c r="EZ274" s="134"/>
      <c r="FA274" s="134"/>
      <c r="FB274" s="134"/>
      <c r="FC274" s="134"/>
      <c r="FD274" s="134"/>
      <c r="FE274" s="134"/>
      <c r="FF274" s="134"/>
      <c r="FG274" s="135"/>
      <c r="FH274" s="135"/>
      <c r="FI274" s="134"/>
      <c r="FJ274" s="134"/>
      <c r="FK274" s="134"/>
      <c r="FL274" s="134"/>
      <c r="FM274" s="134"/>
      <c r="FN274" s="134"/>
      <c r="FO274" s="134"/>
      <c r="FP274" s="134"/>
      <c r="FQ274" s="135"/>
      <c r="FR274" s="135"/>
      <c r="FS274" s="134"/>
      <c r="FT274" s="134"/>
      <c r="FU274" s="134"/>
      <c r="FV274" s="134"/>
      <c r="FW274" s="134"/>
      <c r="FX274" s="134"/>
      <c r="FY274" s="134"/>
      <c r="FZ274" s="134"/>
      <c r="GA274" s="135"/>
      <c r="GB274" s="135"/>
      <c r="GC274" s="134"/>
      <c r="GD274" s="134"/>
      <c r="GE274" s="134"/>
      <c r="GF274" s="134"/>
      <c r="GG274" s="134"/>
      <c r="GH274" s="134"/>
      <c r="GI274" s="134"/>
      <c r="GJ274" s="134"/>
      <c r="GK274" s="135"/>
      <c r="GL274" s="135"/>
      <c r="GM274" s="134"/>
      <c r="GN274" s="134"/>
      <c r="GO274" s="134"/>
      <c r="GP274" s="134"/>
      <c r="GQ274" s="134"/>
      <c r="GR274" s="134"/>
      <c r="GS274" s="134"/>
      <c r="GT274" s="134"/>
      <c r="GU274" s="135"/>
      <c r="GV274" s="135"/>
      <c r="GW274" s="134"/>
      <c r="GX274" s="134"/>
      <c r="GY274" s="134"/>
      <c r="GZ274" s="134"/>
      <c r="HA274" s="134"/>
      <c r="HB274" s="134"/>
      <c r="HC274" s="134"/>
      <c r="HD274" s="134"/>
      <c r="HE274" s="135"/>
      <c r="HF274" s="135"/>
      <c r="HG274" s="134"/>
      <c r="HH274" s="134"/>
      <c r="HI274" s="134"/>
      <c r="HJ274" s="134"/>
      <c r="HK274" s="134"/>
      <c r="HL274" s="134"/>
      <c r="HM274" s="134"/>
      <c r="HN274" s="134"/>
      <c r="HO274" s="135"/>
      <c r="HP274" s="135"/>
      <c r="HQ274" s="134"/>
      <c r="HR274" s="134"/>
      <c r="HS274" s="134"/>
      <c r="HT274" s="134"/>
      <c r="HU274" s="134"/>
      <c r="HV274" s="134"/>
      <c r="HW274" s="134"/>
      <c r="HX274" s="134"/>
      <c r="HY274" s="135"/>
      <c r="HZ274" s="135"/>
      <c r="IA274" s="134"/>
      <c r="IB274" s="134"/>
      <c r="IC274" s="134"/>
      <c r="ID274" s="134"/>
      <c r="IE274" s="134"/>
      <c r="IF274" s="134"/>
      <c r="IG274" s="134"/>
      <c r="IH274" s="134"/>
      <c r="II274" s="135"/>
      <c r="IJ274" s="135"/>
      <c r="IK274" s="134"/>
      <c r="IL274" s="134"/>
      <c r="IM274" s="134"/>
      <c r="IN274" s="134"/>
      <c r="IO274" s="134"/>
      <c r="IP274" s="134"/>
      <c r="IQ274" s="134"/>
      <c r="IR274" s="134"/>
      <c r="IS274" s="135"/>
      <c r="IT274" s="135"/>
      <c r="IU274" s="134"/>
      <c r="IV274" s="134"/>
      <c r="IW274" s="134"/>
      <c r="IX274" s="134"/>
      <c r="IY274" s="134"/>
      <c r="IZ274" s="134"/>
      <c r="JA274" s="134"/>
      <c r="JB274" s="134"/>
      <c r="JC274" s="135"/>
      <c r="JD274" s="135"/>
    </row>
    <row r="275" spans="1:264" customFormat="1" ht="15" customHeight="1">
      <c r="A275" s="79" t="s">
        <v>1019</v>
      </c>
      <c r="B275" s="614">
        <v>29</v>
      </c>
      <c r="C275" s="614"/>
      <c r="D275" s="614"/>
      <c r="E275" s="604" t="s">
        <v>2094</v>
      </c>
      <c r="F275" s="124" t="s">
        <v>2349</v>
      </c>
      <c r="G275" s="125">
        <v>2013</v>
      </c>
      <c r="H275" s="79">
        <v>23474020</v>
      </c>
      <c r="I275" s="79">
        <v>1</v>
      </c>
      <c r="J275" s="126"/>
      <c r="K275" s="127"/>
      <c r="L275" s="79">
        <v>1</v>
      </c>
      <c r="M275" s="79"/>
      <c r="N275" s="153">
        <v>1</v>
      </c>
      <c r="O275" s="128">
        <v>2</v>
      </c>
      <c r="P275" s="79" t="s">
        <v>1419</v>
      </c>
      <c r="Q275" s="79" t="s">
        <v>1216</v>
      </c>
      <c r="R275" s="79" t="s">
        <v>1127</v>
      </c>
      <c r="S275" s="79"/>
      <c r="T275" s="79" t="s">
        <v>1487</v>
      </c>
      <c r="U275" s="79"/>
      <c r="V275" s="79"/>
      <c r="W275" s="79" t="s">
        <v>1418</v>
      </c>
      <c r="X275" s="79"/>
      <c r="Y275" s="79"/>
      <c r="Z275" s="79"/>
      <c r="AA275" s="79" t="s">
        <v>1666</v>
      </c>
      <c r="AB275" s="79" t="s">
        <v>1665</v>
      </c>
      <c r="AC275" s="506"/>
      <c r="AD275" s="573">
        <v>1</v>
      </c>
      <c r="AE275" s="573">
        <v>2</v>
      </c>
      <c r="AF275" s="154">
        <v>1</v>
      </c>
      <c r="AG275" s="155" t="s">
        <v>3178</v>
      </c>
      <c r="AH275" s="121">
        <v>4</v>
      </c>
      <c r="AI275" s="484"/>
      <c r="AJ275" s="202" t="s">
        <v>3176</v>
      </c>
      <c r="AK275" s="192">
        <v>0</v>
      </c>
      <c r="AL275" s="203" t="s">
        <v>3203</v>
      </c>
      <c r="AM275" s="121" t="s">
        <v>3180</v>
      </c>
      <c r="AN275" s="121" t="s">
        <v>3179</v>
      </c>
      <c r="AO275" s="121" t="s">
        <v>3179</v>
      </c>
      <c r="AP275" s="121" t="s">
        <v>1878</v>
      </c>
      <c r="AQ275" s="121" t="s">
        <v>1878</v>
      </c>
      <c r="AR275" s="121" t="s">
        <v>24</v>
      </c>
      <c r="AS275" s="121" t="s">
        <v>24</v>
      </c>
      <c r="AT275" s="121" t="s">
        <v>24</v>
      </c>
      <c r="AU275" s="121" t="s">
        <v>24</v>
      </c>
      <c r="AV275" s="121" t="s">
        <v>2963</v>
      </c>
      <c r="AW275" s="121">
        <v>1</v>
      </c>
      <c r="AX275" s="121">
        <v>1</v>
      </c>
      <c r="AY275" s="121"/>
      <c r="AZ275" s="121" t="s">
        <v>2912</v>
      </c>
      <c r="BA275" s="121" t="s">
        <v>2798</v>
      </c>
      <c r="BB275" s="594"/>
      <c r="BC275" s="594"/>
      <c r="BD275" s="156">
        <v>1</v>
      </c>
      <c r="BE275" s="156"/>
      <c r="BF275" s="156"/>
      <c r="BG275" s="156"/>
      <c r="BH275" s="156"/>
      <c r="BI275" s="156"/>
      <c r="BJ275" s="156"/>
      <c r="BK275" s="156"/>
      <c r="BL275" s="156"/>
      <c r="BM275" s="156"/>
      <c r="BN275" s="156"/>
      <c r="BO275" s="156"/>
      <c r="BP275" s="156"/>
      <c r="BQ275" s="595" t="s">
        <v>3194</v>
      </c>
      <c r="BR275" s="157" t="s">
        <v>6598</v>
      </c>
      <c r="BS275" s="660"/>
      <c r="BT275" s="134" t="s">
        <v>1876</v>
      </c>
      <c r="BU275" s="134" t="s">
        <v>3177</v>
      </c>
      <c r="BV275" s="134" t="s">
        <v>3193</v>
      </c>
      <c r="BW275" s="134" t="s">
        <v>3175</v>
      </c>
      <c r="BX275" s="134" t="s">
        <v>2659</v>
      </c>
      <c r="BY275" s="134" t="s">
        <v>2659</v>
      </c>
      <c r="BZ275" s="259" t="s">
        <v>3202</v>
      </c>
      <c r="CA275" s="454" t="s">
        <v>6627</v>
      </c>
      <c r="CB275" s="138" t="s">
        <v>3181</v>
      </c>
      <c r="CC275" s="134">
        <v>58.611199999999997</v>
      </c>
      <c r="CD275" s="134" t="s">
        <v>24</v>
      </c>
      <c r="CE275" s="134">
        <f>61.3098-Table668[[#This Row],[Data_Outcome1_M]]</f>
        <v>2.6986000000000061</v>
      </c>
      <c r="CF275" s="138" t="s">
        <v>3182</v>
      </c>
      <c r="CG275" s="134">
        <v>32.091999999999999</v>
      </c>
      <c r="CH275" s="134" t="s">
        <v>24</v>
      </c>
      <c r="CI275" s="134">
        <f>33.9967-Table668[[#This Row],[Data_Outcome2_M]]</f>
        <v>1.9046999999999983</v>
      </c>
      <c r="CJ275" s="288" t="s">
        <v>3195</v>
      </c>
      <c r="CK275" s="289" t="s">
        <v>3060</v>
      </c>
      <c r="CL275" s="138" t="s">
        <v>3183</v>
      </c>
      <c r="CM275" s="134">
        <v>55.651400000000002</v>
      </c>
      <c r="CN275" s="134" t="s">
        <v>24</v>
      </c>
      <c r="CO275" s="134">
        <f>58.9847-Table668[[#This Row],[Data_Outcome3_M]]</f>
        <v>3.3332999999999942</v>
      </c>
      <c r="CP275" s="138" t="s">
        <v>3184</v>
      </c>
      <c r="CQ275" s="134">
        <v>33.735399999999998</v>
      </c>
      <c r="CR275" s="134" t="s">
        <v>24</v>
      </c>
      <c r="CS275" s="134">
        <f>35.9578-Table668[[#This Row],[Data_Outcome4_M]]</f>
        <v>2.2224000000000004</v>
      </c>
      <c r="CT275" s="288" t="s">
        <v>3196</v>
      </c>
      <c r="CU275" s="289" t="s">
        <v>3060</v>
      </c>
      <c r="CV275" s="276" t="s">
        <v>24</v>
      </c>
      <c r="CW275" s="308" t="s">
        <v>24</v>
      </c>
      <c r="CX275" s="138" t="s">
        <v>3185</v>
      </c>
      <c r="CY275" s="134">
        <v>51.581000000000003</v>
      </c>
      <c r="CZ275" s="134" t="s">
        <v>24</v>
      </c>
      <c r="DA275" s="134">
        <f>53.6445-Table668[[#This Row],[Data_Outcome5_M]]</f>
        <v>2.0634999999999977</v>
      </c>
      <c r="DB275" s="138" t="s">
        <v>3186</v>
      </c>
      <c r="DC275" s="134">
        <v>32.522100000000002</v>
      </c>
      <c r="DD275" s="134" t="s">
        <v>24</v>
      </c>
      <c r="DE275" s="134">
        <f>34.4269-Table668[[#This Row],[Data_Outcome6_M]]</f>
        <v>1.9048000000000016</v>
      </c>
      <c r="DF275" s="300" t="s">
        <v>3197</v>
      </c>
      <c r="DG275" s="301" t="s">
        <v>3060</v>
      </c>
      <c r="DH275" s="138" t="s">
        <v>3187</v>
      </c>
      <c r="DI275" s="134">
        <v>59.341299999999997</v>
      </c>
      <c r="DJ275" s="134" t="s">
        <v>24</v>
      </c>
      <c r="DK275" s="134">
        <f>61.4511-Table668[[#This Row],[Data_Outcome7_M]]</f>
        <v>2.1097999999999999</v>
      </c>
      <c r="DL275" s="138" t="s">
        <v>3188</v>
      </c>
      <c r="DM275" s="134">
        <v>57.733400000000003</v>
      </c>
      <c r="DN275" s="134" t="s">
        <v>24</v>
      </c>
      <c r="DO275" s="134">
        <f>59.8429-Table668[[#This Row],[Data_Outcome8_M]]</f>
        <v>2.109499999999997</v>
      </c>
      <c r="DP275" s="300" t="s">
        <v>3198</v>
      </c>
      <c r="DQ275" s="301" t="s">
        <v>2480</v>
      </c>
      <c r="DR275" s="276" t="s">
        <v>24</v>
      </c>
      <c r="DS275" s="277" t="s">
        <v>24</v>
      </c>
      <c r="DT275" s="138" t="s">
        <v>3189</v>
      </c>
      <c r="DU275" s="134">
        <v>65.444299999999998</v>
      </c>
      <c r="DV275" s="134" t="s">
        <v>24</v>
      </c>
      <c r="DW275" s="134">
        <f>67.2025-Table668[[#This Row],[Data_Outcome9_M]]</f>
        <v>1.7582000000000022</v>
      </c>
      <c r="DX275" s="138" t="s">
        <v>3190</v>
      </c>
      <c r="DY275" s="134">
        <v>43.616700000000002</v>
      </c>
      <c r="DZ275" s="134" t="s">
        <v>24</v>
      </c>
      <c r="EA275" s="134">
        <f>45.5508-Table668[[#This Row],[Data_Outcome10_M]]</f>
        <v>1.9341000000000008</v>
      </c>
      <c r="EB275" s="301" t="s">
        <v>3199</v>
      </c>
      <c r="EC275" s="301" t="s">
        <v>2410</v>
      </c>
      <c r="ED275" s="138" t="s">
        <v>3191</v>
      </c>
      <c r="EE275" s="134">
        <v>66.096400000000003</v>
      </c>
      <c r="EF275" s="134" t="s">
        <v>24</v>
      </c>
      <c r="EG275" s="134">
        <f>66.6243-Table668[[#This Row],[Data_Outcome11_M]]</f>
        <v>0.52790000000000248</v>
      </c>
      <c r="EH275" s="138" t="s">
        <v>3192</v>
      </c>
      <c r="EI275" s="134">
        <v>41.632199999999997</v>
      </c>
      <c r="EJ275" s="134" t="s">
        <v>24</v>
      </c>
      <c r="EK275" s="134">
        <f>44.0938-Table668[[#This Row],[Data_Outcome12_M]]</f>
        <v>2.4616000000000042</v>
      </c>
      <c r="EL275" s="301" t="s">
        <v>3200</v>
      </c>
      <c r="EM275" s="301" t="s">
        <v>2410</v>
      </c>
      <c r="EN275" s="277" t="s">
        <v>3201</v>
      </c>
      <c r="EO275" s="134" t="s">
        <v>24</v>
      </c>
      <c r="EP275" s="134"/>
      <c r="EQ275" s="134"/>
      <c r="ER275" s="134"/>
      <c r="ES275" s="134"/>
      <c r="ET275" s="134"/>
      <c r="EU275" s="134"/>
      <c r="EV275" s="134"/>
      <c r="EW275" s="301"/>
      <c r="EX275" s="301"/>
      <c r="EY275" s="134"/>
      <c r="EZ275" s="134"/>
      <c r="FA275" s="134"/>
      <c r="FB275" s="134"/>
      <c r="FC275" s="134"/>
      <c r="FD275" s="134"/>
      <c r="FE275" s="134"/>
      <c r="FF275" s="134"/>
      <c r="FG275" s="135"/>
      <c r="FH275" s="135"/>
      <c r="FI275" s="134"/>
      <c r="FJ275" s="134"/>
      <c r="FK275" s="134"/>
      <c r="FL275" s="134"/>
      <c r="FM275" s="134"/>
      <c r="FN275" s="134"/>
      <c r="FO275" s="134"/>
      <c r="FP275" s="134"/>
      <c r="FQ275" s="135"/>
      <c r="FR275" s="135"/>
      <c r="FS275" s="134"/>
      <c r="FT275" s="134"/>
      <c r="FU275" s="134"/>
      <c r="FV275" s="134"/>
      <c r="FW275" s="134"/>
      <c r="FX275" s="134"/>
      <c r="FY275" s="134"/>
      <c r="FZ275" s="134"/>
      <c r="GA275" s="135"/>
      <c r="GB275" s="135"/>
      <c r="GC275" s="134"/>
      <c r="GD275" s="134"/>
      <c r="GE275" s="134"/>
      <c r="GF275" s="134"/>
      <c r="GG275" s="134"/>
      <c r="GH275" s="134"/>
      <c r="GI275" s="134"/>
      <c r="GJ275" s="134"/>
      <c r="GK275" s="135"/>
      <c r="GL275" s="135"/>
      <c r="GM275" s="134"/>
      <c r="GN275" s="134"/>
      <c r="GO275" s="134"/>
      <c r="GP275" s="134"/>
      <c r="GQ275" s="134"/>
      <c r="GR275" s="134"/>
      <c r="GS275" s="134"/>
      <c r="GT275" s="134"/>
      <c r="GU275" s="135"/>
      <c r="GV275" s="135"/>
      <c r="GW275" s="134"/>
      <c r="GX275" s="134"/>
      <c r="GY275" s="134"/>
      <c r="GZ275" s="134"/>
      <c r="HA275" s="134"/>
      <c r="HB275" s="134"/>
      <c r="HC275" s="134"/>
      <c r="HD275" s="134"/>
      <c r="HE275" s="135"/>
      <c r="HF275" s="135"/>
      <c r="HG275" s="134"/>
      <c r="HH275" s="134"/>
      <c r="HI275" s="134"/>
      <c r="HJ275" s="134"/>
      <c r="HK275" s="134"/>
      <c r="HL275" s="134"/>
      <c r="HM275" s="134"/>
      <c r="HN275" s="134"/>
      <c r="HO275" s="135"/>
      <c r="HP275" s="135"/>
      <c r="HQ275" s="134"/>
      <c r="HR275" s="134"/>
      <c r="HS275" s="134"/>
      <c r="HT275" s="134"/>
      <c r="HU275" s="134"/>
      <c r="HV275" s="134"/>
      <c r="HW275" s="134"/>
      <c r="HX275" s="134"/>
      <c r="HY275" s="135"/>
      <c r="HZ275" s="135"/>
      <c r="IA275" s="134"/>
      <c r="IB275" s="134"/>
      <c r="IC275" s="134"/>
      <c r="ID275" s="134"/>
      <c r="IE275" s="134"/>
      <c r="IF275" s="134"/>
      <c r="IG275" s="134"/>
      <c r="IH275" s="134"/>
      <c r="II275" s="135"/>
      <c r="IJ275" s="135"/>
      <c r="IK275" s="134"/>
      <c r="IL275" s="134"/>
      <c r="IM275" s="134"/>
      <c r="IN275" s="134"/>
      <c r="IO275" s="134"/>
      <c r="IP275" s="134"/>
      <c r="IQ275" s="134"/>
      <c r="IR275" s="134"/>
      <c r="IS275" s="135"/>
      <c r="IT275" s="135"/>
      <c r="IU275" s="134"/>
      <c r="IV275" s="134"/>
      <c r="IW275" s="134"/>
      <c r="IX275" s="134"/>
      <c r="IY275" s="134"/>
      <c r="IZ275" s="134"/>
      <c r="JA275" s="134"/>
      <c r="JB275" s="134"/>
      <c r="JC275" s="135"/>
      <c r="JD275" s="135"/>
    </row>
    <row r="276" spans="1:264" customFormat="1" ht="15" customHeight="1">
      <c r="A276" s="79" t="s">
        <v>1017</v>
      </c>
      <c r="B276" s="614">
        <v>30</v>
      </c>
      <c r="C276" s="614"/>
      <c r="D276" s="614"/>
      <c r="E276" s="604" t="s">
        <v>2095</v>
      </c>
      <c r="F276" s="124" t="s">
        <v>2350</v>
      </c>
      <c r="G276" s="125">
        <v>2010</v>
      </c>
      <c r="H276" s="79">
        <v>20844476</v>
      </c>
      <c r="I276" s="79">
        <v>1</v>
      </c>
      <c r="J276" s="126">
        <v>1</v>
      </c>
      <c r="K276" s="127"/>
      <c r="L276" s="79">
        <v>1</v>
      </c>
      <c r="M276" s="79"/>
      <c r="N276" s="153">
        <v>1</v>
      </c>
      <c r="O276" s="128">
        <v>2</v>
      </c>
      <c r="P276" s="79" t="s">
        <v>1220</v>
      </c>
      <c r="Q276" s="79" t="s">
        <v>1422</v>
      </c>
      <c r="R276" s="79" t="s">
        <v>1127</v>
      </c>
      <c r="S276" s="79"/>
      <c r="T276" s="79" t="s">
        <v>1488</v>
      </c>
      <c r="U276" s="79"/>
      <c r="V276" s="79"/>
      <c r="W276" s="79" t="s">
        <v>1501</v>
      </c>
      <c r="X276" s="79"/>
      <c r="Y276" s="79" t="s">
        <v>1123</v>
      </c>
      <c r="Z276" s="79"/>
      <c r="AA276" s="79" t="s">
        <v>1423</v>
      </c>
      <c r="AB276" s="79"/>
      <c r="AC276" s="506"/>
      <c r="AD276" s="573">
        <v>1</v>
      </c>
      <c r="AE276" s="573">
        <v>2</v>
      </c>
      <c r="AF276" s="165" t="s">
        <v>3003</v>
      </c>
      <c r="AG276" s="166" t="s">
        <v>3205</v>
      </c>
      <c r="AH276" s="120">
        <v>4</v>
      </c>
      <c r="AI276" s="484"/>
      <c r="AJ276" s="206"/>
      <c r="AK276" s="192">
        <v>0</v>
      </c>
      <c r="AL276" s="207"/>
      <c r="AM276" s="120"/>
      <c r="AN276" s="120"/>
      <c r="AO276" s="120"/>
      <c r="AP276" s="120" t="s">
        <v>803</v>
      </c>
      <c r="AQ276" s="120" t="s">
        <v>803</v>
      </c>
      <c r="AR276" s="120" t="s">
        <v>24</v>
      </c>
      <c r="AS276" s="120" t="s">
        <v>24</v>
      </c>
      <c r="AT276" s="120" t="s">
        <v>24</v>
      </c>
      <c r="AU276" s="120" t="s">
        <v>24</v>
      </c>
      <c r="AV276" s="120"/>
      <c r="AW276" s="120"/>
      <c r="AX276" s="120"/>
      <c r="AY276" s="120"/>
      <c r="AZ276" s="120" t="s">
        <v>1130</v>
      </c>
      <c r="BA276" s="120"/>
      <c r="BB276" s="594"/>
      <c r="BC276" s="594"/>
      <c r="BD276" s="156">
        <v>1</v>
      </c>
      <c r="BE276" s="156"/>
      <c r="BF276" s="156"/>
      <c r="BG276" s="156"/>
      <c r="BH276" s="156"/>
      <c r="BI276" s="156"/>
      <c r="BJ276" s="156"/>
      <c r="BK276" s="156"/>
      <c r="BL276" s="156"/>
      <c r="BM276" s="156"/>
      <c r="BN276" s="156"/>
      <c r="BO276" s="156"/>
      <c r="BP276" s="156"/>
      <c r="BQ276" s="595" t="s">
        <v>3204</v>
      </c>
      <c r="BR276" s="157" t="s">
        <v>6600</v>
      </c>
      <c r="BS276" s="660"/>
      <c r="BT276" s="134"/>
      <c r="BU276" s="134"/>
      <c r="BV276" s="134"/>
      <c r="BW276" s="134" t="s">
        <v>2471</v>
      </c>
      <c r="BX276" s="134"/>
      <c r="BY276" s="134"/>
      <c r="BZ276" s="259" t="s">
        <v>24</v>
      </c>
      <c r="CA276" s="454"/>
      <c r="CB276" s="138"/>
      <c r="CC276" s="134"/>
      <c r="CD276" s="134"/>
      <c r="CE276" s="134"/>
      <c r="CF276" s="138"/>
      <c r="CG276" s="134"/>
      <c r="CH276" s="134"/>
      <c r="CI276" s="134"/>
      <c r="CJ276" s="288"/>
      <c r="CK276" s="289"/>
      <c r="CL276" s="138"/>
      <c r="CM276" s="134"/>
      <c r="CN276" s="134"/>
      <c r="CO276" s="134"/>
      <c r="CP276" s="138"/>
      <c r="CQ276" s="134"/>
      <c r="CR276" s="134"/>
      <c r="CS276" s="134"/>
      <c r="CT276" s="288"/>
      <c r="CU276" s="289"/>
      <c r="CV276" s="276"/>
      <c r="CW276" s="308"/>
      <c r="CX276" s="138"/>
      <c r="CY276" s="134"/>
      <c r="CZ276" s="134"/>
      <c r="DA276" s="134"/>
      <c r="DB276" s="134"/>
      <c r="DC276" s="134"/>
      <c r="DD276" s="134"/>
      <c r="DE276" s="134"/>
      <c r="DF276" s="300"/>
      <c r="DG276" s="301"/>
      <c r="DH276" s="134"/>
      <c r="DI276" s="134"/>
      <c r="DJ276" s="134"/>
      <c r="DK276" s="134"/>
      <c r="DL276" s="134"/>
      <c r="DM276" s="134"/>
      <c r="DN276" s="134"/>
      <c r="DO276" s="134"/>
      <c r="DP276" s="300"/>
      <c r="DQ276" s="301"/>
      <c r="DR276" s="276"/>
      <c r="DS276" s="277"/>
      <c r="DT276" s="134"/>
      <c r="DU276" s="134"/>
      <c r="DV276" s="134"/>
      <c r="DW276" s="134"/>
      <c r="DX276" s="138"/>
      <c r="DY276" s="134"/>
      <c r="DZ276" s="134"/>
      <c r="EA276" s="134"/>
      <c r="EB276" s="301"/>
      <c r="EC276" s="301"/>
      <c r="ED276" s="138"/>
      <c r="EE276" s="134"/>
      <c r="EF276" s="134"/>
      <c r="EG276" s="134"/>
      <c r="EH276" s="138"/>
      <c r="EI276" s="134"/>
      <c r="EJ276" s="134"/>
      <c r="EK276" s="134"/>
      <c r="EL276" s="301"/>
      <c r="EM276" s="301"/>
      <c r="EN276" s="277"/>
      <c r="EO276" s="134"/>
      <c r="EP276" s="134"/>
      <c r="EQ276" s="134"/>
      <c r="ER276" s="134"/>
      <c r="ES276" s="134"/>
      <c r="ET276" s="134"/>
      <c r="EU276" s="134"/>
      <c r="EV276" s="134"/>
      <c r="EW276" s="301"/>
      <c r="EX276" s="301"/>
      <c r="EY276" s="134"/>
      <c r="EZ276" s="134"/>
      <c r="FA276" s="134"/>
      <c r="FB276" s="134"/>
      <c r="FC276" s="134"/>
      <c r="FD276" s="134"/>
      <c r="FE276" s="134"/>
      <c r="FF276" s="134"/>
      <c r="FG276" s="135"/>
      <c r="FH276" s="135"/>
      <c r="FI276" s="134"/>
      <c r="FJ276" s="134"/>
      <c r="FK276" s="134"/>
      <c r="FL276" s="134"/>
      <c r="FM276" s="134"/>
      <c r="FN276" s="134"/>
      <c r="FO276" s="134"/>
      <c r="FP276" s="134"/>
      <c r="FQ276" s="135"/>
      <c r="FR276" s="135"/>
      <c r="FS276" s="134"/>
      <c r="FT276" s="134"/>
      <c r="FU276" s="134"/>
      <c r="FV276" s="134"/>
      <c r="FW276" s="134"/>
      <c r="FX276" s="134"/>
      <c r="FY276" s="134"/>
      <c r="FZ276" s="134"/>
      <c r="GA276" s="135"/>
      <c r="GB276" s="135"/>
      <c r="GC276" s="134"/>
      <c r="GD276" s="134"/>
      <c r="GE276" s="134"/>
      <c r="GF276" s="134"/>
      <c r="GG276" s="134"/>
      <c r="GH276" s="134"/>
      <c r="GI276" s="134"/>
      <c r="GJ276" s="134"/>
      <c r="GK276" s="135"/>
      <c r="GL276" s="135"/>
      <c r="GM276" s="134"/>
      <c r="GN276" s="134"/>
      <c r="GO276" s="134"/>
      <c r="GP276" s="134"/>
      <c r="GQ276" s="134"/>
      <c r="GR276" s="134"/>
      <c r="GS276" s="134"/>
      <c r="GT276" s="134"/>
      <c r="GU276" s="135"/>
      <c r="GV276" s="135"/>
      <c r="GW276" s="134"/>
      <c r="GX276" s="134"/>
      <c r="GY276" s="134"/>
      <c r="GZ276" s="134"/>
      <c r="HA276" s="134"/>
      <c r="HB276" s="134"/>
      <c r="HC276" s="134"/>
      <c r="HD276" s="134"/>
      <c r="HE276" s="135"/>
      <c r="HF276" s="135"/>
      <c r="HG276" s="134"/>
      <c r="HH276" s="134"/>
      <c r="HI276" s="134"/>
      <c r="HJ276" s="134"/>
      <c r="HK276" s="134"/>
      <c r="HL276" s="134"/>
      <c r="HM276" s="134"/>
      <c r="HN276" s="134"/>
      <c r="HO276" s="135"/>
      <c r="HP276" s="135"/>
      <c r="HQ276" s="134"/>
      <c r="HR276" s="134"/>
      <c r="HS276" s="134"/>
      <c r="HT276" s="134"/>
      <c r="HU276" s="134"/>
      <c r="HV276" s="134"/>
      <c r="HW276" s="134"/>
      <c r="HX276" s="134"/>
      <c r="HY276" s="135"/>
      <c r="HZ276" s="135"/>
      <c r="IA276" s="134"/>
      <c r="IB276" s="134"/>
      <c r="IC276" s="134"/>
      <c r="ID276" s="134"/>
      <c r="IE276" s="134"/>
      <c r="IF276" s="134"/>
      <c r="IG276" s="134"/>
      <c r="IH276" s="134"/>
      <c r="II276" s="135"/>
      <c r="IJ276" s="135"/>
      <c r="IK276" s="134"/>
      <c r="IL276" s="134"/>
      <c r="IM276" s="134"/>
      <c r="IN276" s="134"/>
      <c r="IO276" s="134"/>
      <c r="IP276" s="134"/>
      <c r="IQ276" s="134"/>
      <c r="IR276" s="134"/>
      <c r="IS276" s="135"/>
      <c r="IT276" s="135"/>
      <c r="IU276" s="134"/>
      <c r="IV276" s="134"/>
      <c r="IW276" s="134"/>
      <c r="IX276" s="134"/>
      <c r="IY276" s="134"/>
      <c r="IZ276" s="134"/>
      <c r="JA276" s="134"/>
      <c r="JB276" s="134"/>
      <c r="JC276" s="135"/>
      <c r="JD276" s="135"/>
    </row>
    <row r="277" spans="1:264" customFormat="1" ht="15" customHeight="1">
      <c r="A277" s="79" t="s">
        <v>1015</v>
      </c>
      <c r="B277" s="614">
        <v>31</v>
      </c>
      <c r="C277" s="614"/>
      <c r="D277" s="614"/>
      <c r="E277" s="604" t="s">
        <v>2096</v>
      </c>
      <c r="F277" s="124" t="s">
        <v>2351</v>
      </c>
      <c r="G277" s="125">
        <v>2015</v>
      </c>
      <c r="H277" s="79">
        <v>25430781</v>
      </c>
      <c r="I277" s="79">
        <v>1</v>
      </c>
      <c r="J277" s="126">
        <v>1</v>
      </c>
      <c r="K277" s="127"/>
      <c r="L277" s="79">
        <v>1</v>
      </c>
      <c r="M277" s="79"/>
      <c r="N277" s="153">
        <v>1</v>
      </c>
      <c r="O277" s="128">
        <v>2</v>
      </c>
      <c r="P277" s="79" t="s">
        <v>1426</v>
      </c>
      <c r="Q277" s="79" t="s">
        <v>1216</v>
      </c>
      <c r="R277" s="79" t="s">
        <v>1127</v>
      </c>
      <c r="S277" s="79"/>
      <c r="T277" s="79" t="s">
        <v>1488</v>
      </c>
      <c r="U277" s="79" t="s">
        <v>803</v>
      </c>
      <c r="V277" s="79" t="s">
        <v>23</v>
      </c>
      <c r="W277" s="79" t="s">
        <v>1427</v>
      </c>
      <c r="X277" s="79" t="s">
        <v>1428</v>
      </c>
      <c r="Y277" s="79"/>
      <c r="Z277" s="79"/>
      <c r="AA277" s="79" t="s">
        <v>1425</v>
      </c>
      <c r="AB277" s="79"/>
      <c r="AC277" s="506"/>
      <c r="AD277" s="573">
        <v>1</v>
      </c>
      <c r="AE277" s="573">
        <v>2</v>
      </c>
      <c r="AF277" s="165" t="s">
        <v>3003</v>
      </c>
      <c r="AG277" s="166" t="s">
        <v>3205</v>
      </c>
      <c r="AH277" s="120">
        <v>4</v>
      </c>
      <c r="AI277" s="484"/>
      <c r="AJ277" s="206"/>
      <c r="AK277" s="192">
        <v>0</v>
      </c>
      <c r="AL277" s="207"/>
      <c r="AM277" s="120"/>
      <c r="AN277" s="120"/>
      <c r="AO277" s="120"/>
      <c r="AP277" s="120"/>
      <c r="AQ277" s="120"/>
      <c r="AR277" s="120"/>
      <c r="AS277" s="120"/>
      <c r="AT277" s="120"/>
      <c r="AU277" s="120"/>
      <c r="AV277" s="120"/>
      <c r="AW277" s="120"/>
      <c r="AX277" s="120"/>
      <c r="AY277" s="120"/>
      <c r="AZ277" s="120"/>
      <c r="BA277" s="120"/>
      <c r="BB277" s="594"/>
      <c r="BC277" s="594"/>
      <c r="BD277" s="156">
        <v>1</v>
      </c>
      <c r="BE277" s="156"/>
      <c r="BF277" s="156"/>
      <c r="BG277" s="156"/>
      <c r="BH277" s="156"/>
      <c r="BI277" s="156"/>
      <c r="BJ277" s="156"/>
      <c r="BK277" s="156"/>
      <c r="BL277" s="156"/>
      <c r="BM277" s="156"/>
      <c r="BN277" s="156"/>
      <c r="BO277" s="156"/>
      <c r="BP277" s="156"/>
      <c r="BQ277" s="595"/>
      <c r="BR277" s="157"/>
      <c r="BS277" s="660"/>
      <c r="BT277" s="134"/>
      <c r="BU277" s="134"/>
      <c r="BV277" s="134"/>
      <c r="BW277" s="134"/>
      <c r="BX277" s="134"/>
      <c r="BY277" s="134"/>
      <c r="BZ277" s="259" t="s">
        <v>24</v>
      </c>
      <c r="CA277" s="454"/>
      <c r="CB277" s="138"/>
      <c r="CC277" s="134"/>
      <c r="CD277" s="134"/>
      <c r="CE277" s="134"/>
      <c r="CF277" s="138"/>
      <c r="CG277" s="134"/>
      <c r="CH277" s="134"/>
      <c r="CI277" s="134"/>
      <c r="CJ277" s="288"/>
      <c r="CK277" s="289"/>
      <c r="CL277" s="138"/>
      <c r="CM277" s="134"/>
      <c r="CN277" s="134"/>
      <c r="CO277" s="134"/>
      <c r="CP277" s="138"/>
      <c r="CQ277" s="134"/>
      <c r="CR277" s="134"/>
      <c r="CS277" s="134"/>
      <c r="CT277" s="288"/>
      <c r="CU277" s="289"/>
      <c r="CV277" s="276"/>
      <c r="CW277" s="308"/>
      <c r="CX277" s="138"/>
      <c r="CY277" s="134"/>
      <c r="CZ277" s="134"/>
      <c r="DA277" s="134"/>
      <c r="DB277" s="134"/>
      <c r="DC277" s="134"/>
      <c r="DD277" s="134"/>
      <c r="DE277" s="134"/>
      <c r="DF277" s="300"/>
      <c r="DG277" s="301"/>
      <c r="DH277" s="134"/>
      <c r="DI277" s="134"/>
      <c r="DJ277" s="134"/>
      <c r="DK277" s="134"/>
      <c r="DL277" s="134"/>
      <c r="DM277" s="134"/>
      <c r="DN277" s="134"/>
      <c r="DO277" s="134"/>
      <c r="DP277" s="300"/>
      <c r="DQ277" s="301"/>
      <c r="DR277" s="276"/>
      <c r="DS277" s="277"/>
      <c r="DT277" s="134"/>
      <c r="DU277" s="134"/>
      <c r="DV277" s="134"/>
      <c r="DW277" s="134"/>
      <c r="DX277" s="138"/>
      <c r="DY277" s="134"/>
      <c r="DZ277" s="134"/>
      <c r="EA277" s="134"/>
      <c r="EB277" s="301"/>
      <c r="EC277" s="301"/>
      <c r="ED277" s="138"/>
      <c r="EE277" s="134"/>
      <c r="EF277" s="134"/>
      <c r="EG277" s="134"/>
      <c r="EH277" s="138"/>
      <c r="EI277" s="134"/>
      <c r="EJ277" s="134"/>
      <c r="EK277" s="134"/>
      <c r="EL277" s="301"/>
      <c r="EM277" s="301"/>
      <c r="EN277" s="277"/>
      <c r="EO277" s="134"/>
      <c r="EP277" s="134"/>
      <c r="EQ277" s="134"/>
      <c r="ER277" s="134"/>
      <c r="ES277" s="134"/>
      <c r="ET277" s="134"/>
      <c r="EU277" s="134"/>
      <c r="EV277" s="134"/>
      <c r="EW277" s="301"/>
      <c r="EX277" s="301"/>
      <c r="EY277" s="134"/>
      <c r="EZ277" s="134"/>
      <c r="FA277" s="134"/>
      <c r="FB277" s="134"/>
      <c r="FC277" s="134"/>
      <c r="FD277" s="134"/>
      <c r="FE277" s="134"/>
      <c r="FF277" s="134"/>
      <c r="FG277" s="135"/>
      <c r="FH277" s="135"/>
      <c r="FI277" s="134"/>
      <c r="FJ277" s="134"/>
      <c r="FK277" s="134"/>
      <c r="FL277" s="134"/>
      <c r="FM277" s="134"/>
      <c r="FN277" s="134"/>
      <c r="FO277" s="134"/>
      <c r="FP277" s="134"/>
      <c r="FQ277" s="135"/>
      <c r="FR277" s="135"/>
      <c r="FS277" s="134"/>
      <c r="FT277" s="134"/>
      <c r="FU277" s="134"/>
      <c r="FV277" s="134"/>
      <c r="FW277" s="134"/>
      <c r="FX277" s="134"/>
      <c r="FY277" s="134"/>
      <c r="FZ277" s="134"/>
      <c r="GA277" s="135"/>
      <c r="GB277" s="135"/>
      <c r="GC277" s="134"/>
      <c r="GD277" s="134"/>
      <c r="GE277" s="134"/>
      <c r="GF277" s="134"/>
      <c r="GG277" s="134"/>
      <c r="GH277" s="134"/>
      <c r="GI277" s="134"/>
      <c r="GJ277" s="134"/>
      <c r="GK277" s="135"/>
      <c r="GL277" s="135"/>
      <c r="GM277" s="134"/>
      <c r="GN277" s="134"/>
      <c r="GO277" s="134"/>
      <c r="GP277" s="134"/>
      <c r="GQ277" s="134"/>
      <c r="GR277" s="134"/>
      <c r="GS277" s="134"/>
      <c r="GT277" s="134"/>
      <c r="GU277" s="135"/>
      <c r="GV277" s="135"/>
      <c r="GW277" s="134"/>
      <c r="GX277" s="134"/>
      <c r="GY277" s="134"/>
      <c r="GZ277" s="134"/>
      <c r="HA277" s="134"/>
      <c r="HB277" s="134"/>
      <c r="HC277" s="134"/>
      <c r="HD277" s="134"/>
      <c r="HE277" s="135"/>
      <c r="HF277" s="135"/>
      <c r="HG277" s="134"/>
      <c r="HH277" s="134"/>
      <c r="HI277" s="134"/>
      <c r="HJ277" s="134"/>
      <c r="HK277" s="134"/>
      <c r="HL277" s="134"/>
      <c r="HM277" s="134"/>
      <c r="HN277" s="134"/>
      <c r="HO277" s="135"/>
      <c r="HP277" s="135"/>
      <c r="HQ277" s="134"/>
      <c r="HR277" s="134"/>
      <c r="HS277" s="134"/>
      <c r="HT277" s="134"/>
      <c r="HU277" s="134"/>
      <c r="HV277" s="134"/>
      <c r="HW277" s="134"/>
      <c r="HX277" s="134"/>
      <c r="HY277" s="135"/>
      <c r="HZ277" s="135"/>
      <c r="IA277" s="134"/>
      <c r="IB277" s="134"/>
      <c r="IC277" s="134"/>
      <c r="ID277" s="134"/>
      <c r="IE277" s="134"/>
      <c r="IF277" s="134"/>
      <c r="IG277" s="134"/>
      <c r="IH277" s="134"/>
      <c r="II277" s="135"/>
      <c r="IJ277" s="135"/>
      <c r="IK277" s="134"/>
      <c r="IL277" s="134"/>
      <c r="IM277" s="134"/>
      <c r="IN277" s="134"/>
      <c r="IO277" s="134"/>
      <c r="IP277" s="134"/>
      <c r="IQ277" s="134"/>
      <c r="IR277" s="134"/>
      <c r="IS277" s="135"/>
      <c r="IT277" s="135"/>
      <c r="IU277" s="134"/>
      <c r="IV277" s="134"/>
      <c r="IW277" s="134"/>
      <c r="IX277" s="134"/>
      <c r="IY277" s="134"/>
      <c r="IZ277" s="134"/>
      <c r="JA277" s="134"/>
      <c r="JB277" s="134"/>
      <c r="JC277" s="135"/>
      <c r="JD277" s="135"/>
    </row>
    <row r="278" spans="1:264" customFormat="1" ht="15" customHeight="1">
      <c r="A278" s="79" t="s">
        <v>227</v>
      </c>
      <c r="B278" s="362">
        <v>166</v>
      </c>
      <c r="C278" s="362">
        <v>56</v>
      </c>
      <c r="D278" s="362"/>
      <c r="E278" s="604" t="s">
        <v>1988</v>
      </c>
      <c r="F278" s="124" t="s">
        <v>2214</v>
      </c>
      <c r="G278" s="125">
        <v>2008</v>
      </c>
      <c r="H278" s="79">
        <v>17853136</v>
      </c>
      <c r="I278" s="79">
        <v>1</v>
      </c>
      <c r="J278" s="126"/>
      <c r="K278" s="127"/>
      <c r="L278" s="79">
        <v>1</v>
      </c>
      <c r="M278" s="79"/>
      <c r="N278" s="79">
        <v>1</v>
      </c>
      <c r="O278" s="128">
        <v>1</v>
      </c>
      <c r="P278" s="79" t="s">
        <v>73</v>
      </c>
      <c r="Q278" s="79" t="s">
        <v>1147</v>
      </c>
      <c r="R278" s="79" t="s">
        <v>634</v>
      </c>
      <c r="S278" s="79">
        <v>1</v>
      </c>
      <c r="T278" s="79"/>
      <c r="U278" s="79"/>
      <c r="V278" s="79"/>
      <c r="W278" s="79" t="s">
        <v>635</v>
      </c>
      <c r="X278" s="79"/>
      <c r="Y278" s="79"/>
      <c r="Z278" s="79"/>
      <c r="AA278" s="79"/>
      <c r="AB278" s="79"/>
      <c r="AC278" s="506"/>
      <c r="AD278" s="573">
        <v>1</v>
      </c>
      <c r="AE278" s="573">
        <v>2</v>
      </c>
      <c r="AF278" s="165">
        <v>0</v>
      </c>
      <c r="AG278" s="166" t="s">
        <v>5113</v>
      </c>
      <c r="AH278" s="120">
        <v>2</v>
      </c>
      <c r="AI278" s="120"/>
      <c r="AJ278" s="206" t="s">
        <v>5114</v>
      </c>
      <c r="AK278" s="372"/>
      <c r="AL278" s="207"/>
      <c r="AM278" s="120">
        <v>37</v>
      </c>
      <c r="AN278" s="120"/>
      <c r="AO278" s="120"/>
      <c r="AP278" s="120"/>
      <c r="AQ278" s="120"/>
      <c r="AR278" s="120"/>
      <c r="AS278" s="120"/>
      <c r="AT278" s="120"/>
      <c r="AU278" s="120"/>
      <c r="AV278" s="120"/>
      <c r="AW278" s="120"/>
      <c r="AX278" s="120"/>
      <c r="AY278" s="120"/>
      <c r="AZ278" s="120"/>
      <c r="BA278" s="509"/>
      <c r="BB278" s="598"/>
      <c r="BC278" s="598"/>
      <c r="BD278" s="511"/>
      <c r="BE278" s="511"/>
      <c r="BF278" s="511"/>
      <c r="BG278" s="511"/>
      <c r="BH278" s="511"/>
      <c r="BI278" s="511"/>
      <c r="BJ278" s="511">
        <v>1</v>
      </c>
      <c r="BK278" s="511"/>
      <c r="BL278" s="511"/>
      <c r="BM278" s="511"/>
      <c r="BN278" s="511"/>
      <c r="BO278" s="511"/>
      <c r="BP278" s="511"/>
      <c r="BQ278" s="511"/>
      <c r="BR278" s="510"/>
      <c r="BS278" s="660"/>
      <c r="BT278" s="134"/>
      <c r="BU278" s="134"/>
      <c r="BV278" s="134"/>
      <c r="BW278" s="134"/>
      <c r="BX278" s="134"/>
      <c r="BY278" s="134"/>
      <c r="BZ278" s="375"/>
      <c r="CA278" s="380"/>
      <c r="CB278" s="138"/>
      <c r="CC278" s="134"/>
      <c r="CD278" s="134"/>
      <c r="CE278" s="134"/>
      <c r="CF278" s="138"/>
      <c r="CG278" s="134"/>
      <c r="CH278" s="134"/>
      <c r="CI278" s="134"/>
      <c r="CJ278" s="288"/>
      <c r="CK278" s="289"/>
      <c r="CL278" s="138"/>
      <c r="CM278" s="134"/>
      <c r="CN278" s="134"/>
      <c r="CO278" s="134"/>
      <c r="CP278" s="138"/>
      <c r="CQ278" s="134"/>
      <c r="CR278" s="134"/>
      <c r="CS278" s="134"/>
      <c r="CT278" s="288" t="s">
        <v>24</v>
      </c>
      <c r="CU278" s="289" t="s">
        <v>24</v>
      </c>
      <c r="CV278" s="276" t="s">
        <v>5109</v>
      </c>
      <c r="CW278" s="308" t="s">
        <v>5110</v>
      </c>
      <c r="CX278" s="138" t="s">
        <v>24</v>
      </c>
      <c r="CY278" s="134"/>
      <c r="CZ278" s="134"/>
      <c r="DA278" s="134"/>
      <c r="DB278" s="134"/>
      <c r="DC278" s="134"/>
      <c r="DD278" s="134"/>
      <c r="DE278" s="134"/>
      <c r="DF278" s="300"/>
      <c r="DG278" s="301"/>
      <c r="DH278" s="134"/>
      <c r="DI278" s="134"/>
      <c r="DJ278" s="134"/>
      <c r="DK278" s="134"/>
      <c r="DL278" s="134"/>
      <c r="DM278" s="134"/>
      <c r="DN278" s="134"/>
      <c r="DO278" s="134"/>
      <c r="DP278" s="300"/>
      <c r="DQ278" s="301"/>
      <c r="DR278" s="276"/>
      <c r="DS278" s="277"/>
      <c r="DT278" s="134"/>
      <c r="DU278" s="134"/>
      <c r="DV278" s="134"/>
      <c r="DW278" s="134"/>
      <c r="DX278" s="138"/>
      <c r="DY278" s="134"/>
      <c r="DZ278" s="134"/>
      <c r="EA278" s="134"/>
      <c r="EB278" s="301"/>
      <c r="EC278" s="301"/>
      <c r="ED278" s="138"/>
      <c r="EE278" s="134"/>
      <c r="EF278" s="134"/>
      <c r="EG278" s="134"/>
      <c r="EH278" s="138"/>
      <c r="EI278" s="134"/>
      <c r="EJ278" s="134"/>
      <c r="EK278" s="134"/>
      <c r="EL278" s="301"/>
      <c r="EM278" s="301"/>
      <c r="EN278" s="277"/>
      <c r="EO278" s="134"/>
      <c r="EP278" s="134"/>
      <c r="EQ278" s="134"/>
      <c r="ER278" s="134"/>
      <c r="ES278" s="134"/>
      <c r="ET278" s="134"/>
      <c r="EU278" s="134"/>
      <c r="EV278" s="134"/>
      <c r="EW278" s="301"/>
      <c r="EX278" s="301"/>
      <c r="EY278" s="134"/>
      <c r="EZ278" s="134"/>
      <c r="FA278" s="134"/>
      <c r="FB278" s="134"/>
      <c r="FC278" s="134"/>
      <c r="FD278" s="134"/>
      <c r="FE278" s="134"/>
      <c r="FF278" s="134"/>
      <c r="FG278" s="135"/>
      <c r="FH278" s="135"/>
      <c r="FI278" s="134"/>
      <c r="FJ278" s="134"/>
      <c r="FK278" s="134"/>
      <c r="FL278" s="134"/>
      <c r="FM278" s="134"/>
      <c r="FN278" s="134"/>
      <c r="FO278" s="134"/>
      <c r="FP278" s="134"/>
      <c r="FQ278" s="135"/>
      <c r="FR278" s="135"/>
      <c r="FS278" s="134"/>
      <c r="FT278" s="134"/>
      <c r="FU278" s="134"/>
      <c r="FV278" s="134"/>
      <c r="FW278" s="134"/>
      <c r="FX278" s="134"/>
      <c r="FY278" s="134"/>
      <c r="FZ278" s="134"/>
      <c r="GA278" s="135"/>
      <c r="GB278" s="135"/>
      <c r="GC278" s="134"/>
      <c r="GD278" s="134"/>
      <c r="GE278" s="134"/>
      <c r="GF278" s="134"/>
      <c r="GG278" s="134"/>
      <c r="GH278" s="134"/>
      <c r="GI278" s="134"/>
      <c r="GJ278" s="134"/>
      <c r="GK278" s="135"/>
      <c r="GL278" s="135"/>
      <c r="GM278" s="134"/>
      <c r="GN278" s="134"/>
      <c r="GO278" s="134"/>
      <c r="GP278" s="134"/>
      <c r="GQ278" s="134"/>
      <c r="GR278" s="134"/>
      <c r="GS278" s="134"/>
      <c r="GT278" s="134"/>
      <c r="GU278" s="135"/>
      <c r="GV278" s="135"/>
      <c r="GW278" s="134"/>
      <c r="GX278" s="134"/>
      <c r="GY278" s="134"/>
      <c r="GZ278" s="134"/>
      <c r="HA278" s="134"/>
      <c r="HB278" s="134"/>
      <c r="HC278" s="134"/>
      <c r="HD278" s="134"/>
      <c r="HE278" s="135"/>
      <c r="HF278" s="135"/>
      <c r="HG278" s="134"/>
      <c r="HH278" s="134"/>
      <c r="HI278" s="134"/>
      <c r="HJ278" s="134"/>
      <c r="HK278" s="134"/>
      <c r="HL278" s="134"/>
      <c r="HM278" s="134"/>
      <c r="HN278" s="134"/>
      <c r="HO278" s="135"/>
      <c r="HP278" s="135"/>
      <c r="HQ278" s="134"/>
      <c r="HR278" s="134"/>
      <c r="HS278" s="134"/>
      <c r="HT278" s="134"/>
      <c r="HU278" s="134"/>
      <c r="HV278" s="134"/>
      <c r="HW278" s="134"/>
      <c r="HX278" s="134"/>
      <c r="HY278" s="135"/>
      <c r="HZ278" s="135"/>
      <c r="IA278" s="134"/>
      <c r="IB278" s="134"/>
      <c r="IC278" s="134"/>
      <c r="ID278" s="134"/>
      <c r="IE278" s="134"/>
      <c r="IF278" s="134"/>
      <c r="IG278" s="134"/>
      <c r="IH278" s="134"/>
      <c r="II278" s="135"/>
      <c r="IJ278" s="135"/>
      <c r="IK278" s="134"/>
      <c r="IL278" s="134"/>
      <c r="IM278" s="134"/>
      <c r="IN278" s="134"/>
      <c r="IO278" s="134"/>
      <c r="IP278" s="134"/>
      <c r="IQ278" s="134"/>
      <c r="IR278" s="134"/>
      <c r="IS278" s="135"/>
      <c r="IT278" s="135"/>
      <c r="IU278" s="134"/>
      <c r="IV278" s="134"/>
      <c r="IW278" s="134"/>
      <c r="IX278" s="134"/>
      <c r="IY278" s="134"/>
      <c r="IZ278" s="134"/>
      <c r="JA278" s="134"/>
      <c r="JB278" s="134"/>
      <c r="JC278" s="135"/>
      <c r="JD278" s="135"/>
    </row>
    <row r="279" spans="1:264" customFormat="1" ht="15" customHeight="1">
      <c r="A279" s="79" t="s">
        <v>231</v>
      </c>
      <c r="B279" s="614">
        <v>32</v>
      </c>
      <c r="C279" s="614"/>
      <c r="D279" s="614"/>
      <c r="E279" s="604" t="s">
        <v>1990</v>
      </c>
      <c r="F279" s="124" t="s">
        <v>2218</v>
      </c>
      <c r="G279" s="125">
        <v>1995</v>
      </c>
      <c r="H279" s="79">
        <v>8547457</v>
      </c>
      <c r="I279" s="79">
        <v>1</v>
      </c>
      <c r="J279" s="126"/>
      <c r="K279" s="127"/>
      <c r="L279" s="79">
        <v>1</v>
      </c>
      <c r="M279" s="79"/>
      <c r="N279" s="79">
        <v>1</v>
      </c>
      <c r="O279" s="128">
        <v>1</v>
      </c>
      <c r="P279" s="79" t="s">
        <v>11</v>
      </c>
      <c r="Q279" s="79" t="s">
        <v>1142</v>
      </c>
      <c r="R279" s="79" t="s">
        <v>591</v>
      </c>
      <c r="S279" s="79">
        <v>1</v>
      </c>
      <c r="T279" s="79"/>
      <c r="U279" s="79"/>
      <c r="V279" s="79"/>
      <c r="W279" s="79" t="s">
        <v>11</v>
      </c>
      <c r="X279" s="79"/>
      <c r="Y279" s="79" t="s">
        <v>13</v>
      </c>
      <c r="Z279" s="79"/>
      <c r="AA279" s="79"/>
      <c r="AB279" s="79"/>
      <c r="AC279" s="506"/>
      <c r="AD279" s="573">
        <v>1</v>
      </c>
      <c r="AE279" s="573">
        <v>2</v>
      </c>
      <c r="AF279" s="154">
        <v>1</v>
      </c>
      <c r="AG279" s="155"/>
      <c r="AH279" s="121">
        <v>2</v>
      </c>
      <c r="AI279" s="484"/>
      <c r="AJ279" s="202"/>
      <c r="AK279" s="192">
        <v>0</v>
      </c>
      <c r="AL279" s="203" t="s">
        <v>24</v>
      </c>
      <c r="AM279" s="121">
        <f>Table668[[#This Row],[Data_Subjects_n_ptsd]]+Table668[[#This Row],[Data_Subjects_n_control]]</f>
        <v>19</v>
      </c>
      <c r="AN279" s="121">
        <v>9</v>
      </c>
      <c r="AO279" s="121">
        <v>10</v>
      </c>
      <c r="AP279" s="121" t="s">
        <v>803</v>
      </c>
      <c r="AQ279" s="121" t="s">
        <v>803</v>
      </c>
      <c r="AR279" s="121">
        <v>43</v>
      </c>
      <c r="AS279" s="121">
        <v>2</v>
      </c>
      <c r="AT279" s="121">
        <v>42</v>
      </c>
      <c r="AU279" s="121">
        <v>4</v>
      </c>
      <c r="AV279" s="121" t="s">
        <v>3206</v>
      </c>
      <c r="AW279" s="121" t="s">
        <v>24</v>
      </c>
      <c r="AX279" s="121" t="s">
        <v>24</v>
      </c>
      <c r="AY279" s="121" t="s">
        <v>3207</v>
      </c>
      <c r="AZ279" s="121" t="s">
        <v>2605</v>
      </c>
      <c r="BA279" s="121" t="s">
        <v>2876</v>
      </c>
      <c r="BB279" s="594"/>
      <c r="BC279" s="594"/>
      <c r="BD279" s="156">
        <v>1</v>
      </c>
      <c r="BE279" s="156"/>
      <c r="BF279" s="156"/>
      <c r="BG279" s="156"/>
      <c r="BH279" s="156"/>
      <c r="BI279" s="156"/>
      <c r="BJ279" s="156"/>
      <c r="BK279" s="156"/>
      <c r="BL279" s="156"/>
      <c r="BM279" s="156"/>
      <c r="BN279" s="156"/>
      <c r="BO279" s="156"/>
      <c r="BP279" s="156"/>
      <c r="BQ279" s="595" t="s">
        <v>1891</v>
      </c>
      <c r="BR279" s="157" t="s">
        <v>6596</v>
      </c>
      <c r="BS279" s="660"/>
      <c r="BT279" s="134" t="s">
        <v>1876</v>
      </c>
      <c r="BU279" s="134">
        <v>2</v>
      </c>
      <c r="BV279" s="134" t="s">
        <v>3209</v>
      </c>
      <c r="BW279" s="134" t="s">
        <v>2470</v>
      </c>
      <c r="BX279" s="134" t="s">
        <v>2400</v>
      </c>
      <c r="BY279" s="134" t="s">
        <v>6638</v>
      </c>
      <c r="BZ279" s="259" t="s">
        <v>3218</v>
      </c>
      <c r="CA279" s="454" t="s">
        <v>6627</v>
      </c>
      <c r="CB279" s="138" t="s">
        <v>3210</v>
      </c>
      <c r="CC279" s="134">
        <v>241.339</v>
      </c>
      <c r="CD279" s="134" t="s">
        <v>24</v>
      </c>
      <c r="CE279" s="134">
        <f>297.972-Table668[[#This Row],[Data_Outcome1_M]]</f>
        <v>56.632999999999981</v>
      </c>
      <c r="CF279" s="138" t="s">
        <v>3211</v>
      </c>
      <c r="CG279" s="134">
        <v>102.61</v>
      </c>
      <c r="CH279" s="134" t="s">
        <v>24</v>
      </c>
      <c r="CI279" s="134">
        <f>122.246-Table668[[#This Row],[Data_Outcome2_M]]</f>
        <v>19.635999999999996</v>
      </c>
      <c r="CJ279" s="288" t="s">
        <v>3214</v>
      </c>
      <c r="CK279" s="289" t="s">
        <v>24</v>
      </c>
      <c r="CL279" s="138" t="s">
        <v>3212</v>
      </c>
      <c r="CM279" s="134">
        <v>128.31</v>
      </c>
      <c r="CN279" s="134" t="s">
        <v>24</v>
      </c>
      <c r="CO279" s="134">
        <f>146.8-Table668[[#This Row],[Data_Outcome3_M]]</f>
        <v>18.490000000000009</v>
      </c>
      <c r="CP279" s="138" t="s">
        <v>3213</v>
      </c>
      <c r="CQ279" s="134">
        <v>41.027099999999997</v>
      </c>
      <c r="CR279" s="134" t="s">
        <v>24</v>
      </c>
      <c r="CS279" s="134">
        <f>51.431-Table668[[#This Row],[Data_Outcome4_M]]</f>
        <v>10.4039</v>
      </c>
      <c r="CT279" s="288" t="s">
        <v>3215</v>
      </c>
      <c r="CU279" s="289" t="s">
        <v>24</v>
      </c>
      <c r="CV279" s="276" t="s">
        <v>3216</v>
      </c>
      <c r="CW279" s="308" t="s">
        <v>3217</v>
      </c>
      <c r="CX279" s="138"/>
      <c r="CY279" s="134"/>
      <c r="CZ279" s="134"/>
      <c r="DA279" s="134"/>
      <c r="DB279" s="134"/>
      <c r="DC279" s="134"/>
      <c r="DD279" s="134"/>
      <c r="DE279" s="134"/>
      <c r="DF279" s="300"/>
      <c r="DG279" s="301"/>
      <c r="DH279" s="134"/>
      <c r="DI279" s="134"/>
      <c r="DJ279" s="134"/>
      <c r="DK279" s="134"/>
      <c r="DL279" s="134"/>
      <c r="DM279" s="134"/>
      <c r="DN279" s="134"/>
      <c r="DO279" s="134"/>
      <c r="DP279" s="300"/>
      <c r="DQ279" s="301"/>
      <c r="DR279" s="276"/>
      <c r="DS279" s="277"/>
      <c r="DT279" s="134"/>
      <c r="DU279" s="134"/>
      <c r="DV279" s="134"/>
      <c r="DW279" s="134"/>
      <c r="DX279" s="138"/>
      <c r="DY279" s="134"/>
      <c r="DZ279" s="134"/>
      <c r="EA279" s="134"/>
      <c r="EB279" s="301"/>
      <c r="EC279" s="301"/>
      <c r="ED279" s="138"/>
      <c r="EE279" s="134"/>
      <c r="EF279" s="134"/>
      <c r="EG279" s="134"/>
      <c r="EH279" s="138"/>
      <c r="EI279" s="134"/>
      <c r="EJ279" s="134"/>
      <c r="EK279" s="134"/>
      <c r="EL279" s="301"/>
      <c r="EM279" s="301"/>
      <c r="EN279" s="277"/>
      <c r="EO279" s="134"/>
      <c r="EP279" s="134"/>
      <c r="EQ279" s="134"/>
      <c r="ER279" s="134"/>
      <c r="ES279" s="134"/>
      <c r="ET279" s="134"/>
      <c r="EU279" s="134"/>
      <c r="EV279" s="134"/>
      <c r="EW279" s="301"/>
      <c r="EX279" s="301"/>
      <c r="EY279" s="134"/>
      <c r="EZ279" s="134"/>
      <c r="FA279" s="134"/>
      <c r="FB279" s="134"/>
      <c r="FC279" s="134"/>
      <c r="FD279" s="134"/>
      <c r="FE279" s="134"/>
      <c r="FF279" s="134"/>
      <c r="FG279" s="135"/>
      <c r="FH279" s="135"/>
      <c r="FI279" s="134"/>
      <c r="FJ279" s="134"/>
      <c r="FK279" s="134"/>
      <c r="FL279" s="134"/>
      <c r="FM279" s="134"/>
      <c r="FN279" s="134"/>
      <c r="FO279" s="134"/>
      <c r="FP279" s="134"/>
      <c r="FQ279" s="135"/>
      <c r="FR279" s="135"/>
      <c r="FS279" s="134"/>
      <c r="FT279" s="134"/>
      <c r="FU279" s="134"/>
      <c r="FV279" s="134"/>
      <c r="FW279" s="134"/>
      <c r="FX279" s="134"/>
      <c r="FY279" s="134"/>
      <c r="FZ279" s="134"/>
      <c r="GA279" s="135"/>
      <c r="GB279" s="135"/>
      <c r="GC279" s="134"/>
      <c r="GD279" s="134"/>
      <c r="GE279" s="134"/>
      <c r="GF279" s="134"/>
      <c r="GG279" s="134"/>
      <c r="GH279" s="134"/>
      <c r="GI279" s="134"/>
      <c r="GJ279" s="134"/>
      <c r="GK279" s="135"/>
      <c r="GL279" s="135"/>
      <c r="GM279" s="134"/>
      <c r="GN279" s="134"/>
      <c r="GO279" s="134"/>
      <c r="GP279" s="134"/>
      <c r="GQ279" s="134"/>
      <c r="GR279" s="134"/>
      <c r="GS279" s="134"/>
      <c r="GT279" s="134"/>
      <c r="GU279" s="135"/>
      <c r="GV279" s="135"/>
      <c r="GW279" s="134"/>
      <c r="GX279" s="134"/>
      <c r="GY279" s="134"/>
      <c r="GZ279" s="134"/>
      <c r="HA279" s="134"/>
      <c r="HB279" s="134"/>
      <c r="HC279" s="134"/>
      <c r="HD279" s="134"/>
      <c r="HE279" s="135"/>
      <c r="HF279" s="135"/>
      <c r="HG279" s="134"/>
      <c r="HH279" s="134"/>
      <c r="HI279" s="134"/>
      <c r="HJ279" s="134"/>
      <c r="HK279" s="134"/>
      <c r="HL279" s="134"/>
      <c r="HM279" s="134"/>
      <c r="HN279" s="134"/>
      <c r="HO279" s="135"/>
      <c r="HP279" s="135"/>
      <c r="HQ279" s="134"/>
      <c r="HR279" s="134"/>
      <c r="HS279" s="134"/>
      <c r="HT279" s="134"/>
      <c r="HU279" s="134"/>
      <c r="HV279" s="134"/>
      <c r="HW279" s="134"/>
      <c r="HX279" s="134"/>
      <c r="HY279" s="135"/>
      <c r="HZ279" s="135"/>
      <c r="IA279" s="134"/>
      <c r="IB279" s="134"/>
      <c r="IC279" s="134"/>
      <c r="ID279" s="134"/>
      <c r="IE279" s="134"/>
      <c r="IF279" s="134"/>
      <c r="IG279" s="134"/>
      <c r="IH279" s="134"/>
      <c r="II279" s="135"/>
      <c r="IJ279" s="135"/>
      <c r="IK279" s="134"/>
      <c r="IL279" s="134"/>
      <c r="IM279" s="134"/>
      <c r="IN279" s="134"/>
      <c r="IO279" s="134"/>
      <c r="IP279" s="134"/>
      <c r="IQ279" s="134"/>
      <c r="IR279" s="134"/>
      <c r="IS279" s="135"/>
      <c r="IT279" s="135"/>
      <c r="IU279" s="134"/>
      <c r="IV279" s="134"/>
      <c r="IW279" s="134"/>
      <c r="IX279" s="134"/>
      <c r="IY279" s="134"/>
      <c r="IZ279" s="134"/>
      <c r="JA279" s="134"/>
      <c r="JB279" s="134"/>
      <c r="JC279" s="135"/>
      <c r="JD279" s="135"/>
    </row>
    <row r="280" spans="1:264" customFormat="1" ht="15" customHeight="1">
      <c r="A280" s="79" t="s">
        <v>235</v>
      </c>
      <c r="B280" s="362">
        <v>171</v>
      </c>
      <c r="C280" s="362">
        <v>57</v>
      </c>
      <c r="D280" s="362"/>
      <c r="E280" s="604" t="s">
        <v>1992</v>
      </c>
      <c r="F280" s="124" t="s">
        <v>2220</v>
      </c>
      <c r="G280" s="125">
        <v>2013</v>
      </c>
      <c r="H280" s="79">
        <v>24015254</v>
      </c>
      <c r="I280" s="79">
        <v>1</v>
      </c>
      <c r="J280" s="126"/>
      <c r="K280" s="127"/>
      <c r="L280" s="79">
        <v>1</v>
      </c>
      <c r="M280" s="79"/>
      <c r="N280" s="79">
        <v>1</v>
      </c>
      <c r="O280" s="128">
        <v>1</v>
      </c>
      <c r="P280" s="79" t="s">
        <v>652</v>
      </c>
      <c r="Q280" s="79"/>
      <c r="R280" s="79" t="s">
        <v>591</v>
      </c>
      <c r="S280" s="79">
        <v>1</v>
      </c>
      <c r="T280" s="79"/>
      <c r="U280" s="79"/>
      <c r="V280" s="79"/>
      <c r="W280" s="79" t="s">
        <v>653</v>
      </c>
      <c r="X280" s="79" t="s">
        <v>24</v>
      </c>
      <c r="Y280" s="79"/>
      <c r="Z280" s="79"/>
      <c r="AA280" s="79"/>
      <c r="AB280" s="79"/>
      <c r="AC280" s="506"/>
      <c r="AD280" s="573">
        <v>1</v>
      </c>
      <c r="AE280" s="573">
        <v>2</v>
      </c>
      <c r="AF280" s="154" t="s">
        <v>7058</v>
      </c>
      <c r="AG280" s="155" t="s">
        <v>7059</v>
      </c>
      <c r="AH280" s="121">
        <v>2</v>
      </c>
      <c r="AI280" s="484"/>
      <c r="AJ280" s="202" t="s">
        <v>5138</v>
      </c>
      <c r="AK280" s="192">
        <v>0</v>
      </c>
      <c r="AL280" s="203" t="s">
        <v>24</v>
      </c>
      <c r="AM280" s="121">
        <f>Table668[[#This Row],[Data_Subjects_n_ptsd]]+Table668[[#This Row],[Data_Subjects_n_control]]</f>
        <v>87</v>
      </c>
      <c r="AN280" s="121">
        <v>48</v>
      </c>
      <c r="AO280" s="121">
        <v>39</v>
      </c>
      <c r="AP280" s="121" t="s">
        <v>803</v>
      </c>
      <c r="AQ280" s="121" t="s">
        <v>803</v>
      </c>
      <c r="AR280" s="121">
        <v>54</v>
      </c>
      <c r="AS280" s="121">
        <v>8.4</v>
      </c>
      <c r="AT280" s="121">
        <v>52.2</v>
      </c>
      <c r="AU280" s="121">
        <v>10.8</v>
      </c>
      <c r="AV280" s="121" t="s">
        <v>5117</v>
      </c>
      <c r="AW280" s="121" t="s">
        <v>24</v>
      </c>
      <c r="AX280" s="121" t="s">
        <v>24</v>
      </c>
      <c r="AY280" s="121" t="s">
        <v>5118</v>
      </c>
      <c r="AZ280" s="121" t="s">
        <v>5116</v>
      </c>
      <c r="BA280" s="121" t="s">
        <v>5115</v>
      </c>
      <c r="BB280" s="594"/>
      <c r="BC280" s="594"/>
      <c r="BD280" s="156"/>
      <c r="BE280" s="156"/>
      <c r="BF280" s="156"/>
      <c r="BG280" s="156"/>
      <c r="BH280" s="156"/>
      <c r="BI280" s="156"/>
      <c r="BJ280" s="156">
        <v>1</v>
      </c>
      <c r="BK280" s="156"/>
      <c r="BL280" s="156"/>
      <c r="BM280" s="156"/>
      <c r="BN280" s="156"/>
      <c r="BO280" s="156"/>
      <c r="BP280" s="156"/>
      <c r="BQ280" s="595" t="s">
        <v>5123</v>
      </c>
      <c r="BR280" s="157" t="s">
        <v>6620</v>
      </c>
      <c r="BS280" s="660"/>
      <c r="BT280" s="134" t="s">
        <v>1876</v>
      </c>
      <c r="BU280" s="134" t="s">
        <v>5119</v>
      </c>
      <c r="BV280" s="134" t="s">
        <v>5124</v>
      </c>
      <c r="BW280" s="134" t="s">
        <v>24</v>
      </c>
      <c r="BX280" s="134" t="s">
        <v>5125</v>
      </c>
      <c r="BY280" s="134"/>
      <c r="BZ280" s="259" t="s">
        <v>5137</v>
      </c>
      <c r="CA280" s="454" t="s">
        <v>6629</v>
      </c>
      <c r="CB280" s="138" t="s">
        <v>5121</v>
      </c>
      <c r="CC280" s="134">
        <v>704.89200000000005</v>
      </c>
      <c r="CD280" s="134" t="s">
        <v>24</v>
      </c>
      <c r="CE280" s="134">
        <f>759.936-Table668[[#This Row],[Data_Outcome1_M]]</f>
        <v>55.043999999999983</v>
      </c>
      <c r="CF280" s="138" t="s">
        <v>5122</v>
      </c>
      <c r="CG280" s="134">
        <v>512.23199999999997</v>
      </c>
      <c r="CH280" s="134" t="s">
        <v>24</v>
      </c>
      <c r="CI280" s="134">
        <f>547.706-Table668[[#This Row],[Data_Outcome2_M]]</f>
        <v>35.474000000000046</v>
      </c>
      <c r="CJ280" s="288" t="s">
        <v>5136</v>
      </c>
      <c r="CK280" s="289" t="s">
        <v>5120</v>
      </c>
      <c r="CL280" s="138" t="s">
        <v>5126</v>
      </c>
      <c r="CM280" s="134">
        <v>59.181100000000001</v>
      </c>
      <c r="CN280" s="134" t="s">
        <v>24</v>
      </c>
      <c r="CO280" s="134">
        <f>62.8919-Table668[[#This Row],[Data_Outcome3_M]]</f>
        <v>3.710799999999999</v>
      </c>
      <c r="CP280" s="138" t="s">
        <v>5127</v>
      </c>
      <c r="CQ280" s="134">
        <v>46.001300000000001</v>
      </c>
      <c r="CR280" s="134" t="s">
        <v>24</v>
      </c>
      <c r="CS280" s="134">
        <f>48.9443-Table668[[#This Row],[Data_Outcome4_M]]</f>
        <v>2.9429999999999978</v>
      </c>
      <c r="CT280" s="288" t="s">
        <v>5130</v>
      </c>
      <c r="CU280" s="289" t="s">
        <v>5131</v>
      </c>
      <c r="CV280" s="276" t="s">
        <v>5134</v>
      </c>
      <c r="CW280" s="308" t="s">
        <v>5133</v>
      </c>
      <c r="CX280" s="138" t="s">
        <v>5128</v>
      </c>
      <c r="CY280" s="134">
        <v>61.1004</v>
      </c>
      <c r="CZ280" s="134" t="s">
        <v>24</v>
      </c>
      <c r="DA280" s="134">
        <f>63.0198-Table668[[#This Row],[Data_Outcome5_M]]</f>
        <v>1.919399999999996</v>
      </c>
      <c r="DB280" s="138" t="s">
        <v>5129</v>
      </c>
      <c r="DC280" s="134">
        <v>59.564900000000002</v>
      </c>
      <c r="DD280" s="134" t="s">
        <v>24</v>
      </c>
      <c r="DE280" s="134">
        <f>61.7402-Table668[[#This Row],[Data_Outcome6_M]]</f>
        <v>2.1753</v>
      </c>
      <c r="DF280" s="300" t="s">
        <v>5132</v>
      </c>
      <c r="DG280" s="301" t="s">
        <v>5135</v>
      </c>
      <c r="DH280" s="134" t="s">
        <v>24</v>
      </c>
      <c r="DI280" s="134"/>
      <c r="DJ280" s="134"/>
      <c r="DK280" s="134"/>
      <c r="DL280" s="134"/>
      <c r="DM280" s="134"/>
      <c r="DN280" s="134"/>
      <c r="DO280" s="134"/>
      <c r="DP280" s="300"/>
      <c r="DQ280" s="301"/>
      <c r="DR280" s="276"/>
      <c r="DS280" s="277"/>
      <c r="DT280" s="134"/>
      <c r="DU280" s="134"/>
      <c r="DV280" s="134"/>
      <c r="DW280" s="134"/>
      <c r="DX280" s="138"/>
      <c r="DY280" s="134"/>
      <c r="DZ280" s="134"/>
      <c r="EA280" s="134"/>
      <c r="EB280" s="301"/>
      <c r="EC280" s="301"/>
      <c r="ED280" s="138"/>
      <c r="EE280" s="134"/>
      <c r="EF280" s="134"/>
      <c r="EG280" s="134"/>
      <c r="EH280" s="138"/>
      <c r="EI280" s="134"/>
      <c r="EJ280" s="134"/>
      <c r="EK280" s="134"/>
      <c r="EL280" s="301"/>
      <c r="EM280" s="301"/>
      <c r="EN280" s="277"/>
      <c r="EO280" s="134"/>
      <c r="EP280" s="134"/>
      <c r="EQ280" s="134"/>
      <c r="ER280" s="134"/>
      <c r="ES280" s="134"/>
      <c r="ET280" s="134"/>
      <c r="EU280" s="134"/>
      <c r="EV280" s="134"/>
      <c r="EW280" s="301"/>
      <c r="EX280" s="301"/>
      <c r="EY280" s="134"/>
      <c r="EZ280" s="134"/>
      <c r="FA280" s="134"/>
      <c r="FB280" s="134"/>
      <c r="FC280" s="134"/>
      <c r="FD280" s="134"/>
      <c r="FE280" s="134"/>
      <c r="FF280" s="134"/>
      <c r="FG280" s="135"/>
      <c r="FH280" s="135"/>
      <c r="FI280" s="134"/>
      <c r="FJ280" s="134"/>
      <c r="FK280" s="134"/>
      <c r="FL280" s="134"/>
      <c r="FM280" s="134"/>
      <c r="FN280" s="134"/>
      <c r="FO280" s="134"/>
      <c r="FP280" s="134"/>
      <c r="FQ280" s="135"/>
      <c r="FR280" s="135"/>
      <c r="FS280" s="134"/>
      <c r="FT280" s="134"/>
      <c r="FU280" s="134"/>
      <c r="FV280" s="134"/>
      <c r="FW280" s="134"/>
      <c r="FX280" s="134"/>
      <c r="FY280" s="134"/>
      <c r="FZ280" s="134"/>
      <c r="GA280" s="135"/>
      <c r="GB280" s="135"/>
      <c r="GC280" s="134"/>
      <c r="GD280" s="134"/>
      <c r="GE280" s="134"/>
      <c r="GF280" s="134"/>
      <c r="GG280" s="134"/>
      <c r="GH280" s="134"/>
      <c r="GI280" s="134"/>
      <c r="GJ280" s="134"/>
      <c r="GK280" s="135"/>
      <c r="GL280" s="135"/>
      <c r="GM280" s="134"/>
      <c r="GN280" s="134"/>
      <c r="GO280" s="134"/>
      <c r="GP280" s="134"/>
      <c r="GQ280" s="134"/>
      <c r="GR280" s="134"/>
      <c r="GS280" s="134"/>
      <c r="GT280" s="134"/>
      <c r="GU280" s="135"/>
      <c r="GV280" s="135"/>
      <c r="GW280" s="134"/>
      <c r="GX280" s="134"/>
      <c r="GY280" s="134"/>
      <c r="GZ280" s="134"/>
      <c r="HA280" s="134"/>
      <c r="HB280" s="134"/>
      <c r="HC280" s="134"/>
      <c r="HD280" s="134"/>
      <c r="HE280" s="135"/>
      <c r="HF280" s="135"/>
      <c r="HG280" s="134"/>
      <c r="HH280" s="134"/>
      <c r="HI280" s="134"/>
      <c r="HJ280" s="134"/>
      <c r="HK280" s="134"/>
      <c r="HL280" s="134"/>
      <c r="HM280" s="134"/>
      <c r="HN280" s="134"/>
      <c r="HO280" s="135"/>
      <c r="HP280" s="135"/>
      <c r="HQ280" s="134"/>
      <c r="HR280" s="134"/>
      <c r="HS280" s="134"/>
      <c r="HT280" s="134"/>
      <c r="HU280" s="134"/>
      <c r="HV280" s="134"/>
      <c r="HW280" s="134"/>
      <c r="HX280" s="134"/>
      <c r="HY280" s="135"/>
      <c r="HZ280" s="135"/>
      <c r="IA280" s="134"/>
      <c r="IB280" s="134"/>
      <c r="IC280" s="134"/>
      <c r="ID280" s="134"/>
      <c r="IE280" s="134"/>
      <c r="IF280" s="134"/>
      <c r="IG280" s="134"/>
      <c r="IH280" s="134"/>
      <c r="II280" s="135"/>
      <c r="IJ280" s="135"/>
      <c r="IK280" s="134"/>
      <c r="IL280" s="134"/>
      <c r="IM280" s="134"/>
      <c r="IN280" s="134"/>
      <c r="IO280" s="134"/>
      <c r="IP280" s="134"/>
      <c r="IQ280" s="134"/>
      <c r="IR280" s="134"/>
      <c r="IS280" s="135"/>
      <c r="IT280" s="135"/>
      <c r="IU280" s="134"/>
      <c r="IV280" s="134"/>
      <c r="IW280" s="134"/>
      <c r="IX280" s="134"/>
      <c r="IY280" s="134"/>
      <c r="IZ280" s="134"/>
      <c r="JA280" s="134"/>
      <c r="JB280" s="134"/>
      <c r="JC280" s="135"/>
      <c r="JD280" s="135"/>
    </row>
    <row r="281" spans="1:264" customFormat="1" ht="15" customHeight="1">
      <c r="A281" s="79" t="s">
        <v>237</v>
      </c>
      <c r="B281" s="362">
        <v>173</v>
      </c>
      <c r="C281" s="362">
        <v>58</v>
      </c>
      <c r="D281" s="362"/>
      <c r="E281" s="604" t="s">
        <v>1993</v>
      </c>
      <c r="F281" s="124" t="s">
        <v>2222</v>
      </c>
      <c r="G281" s="125">
        <v>2010</v>
      </c>
      <c r="H281" s="79">
        <v>20144193</v>
      </c>
      <c r="I281" s="79">
        <v>1</v>
      </c>
      <c r="J281" s="126"/>
      <c r="K281" s="127"/>
      <c r="L281" s="79">
        <v>1</v>
      </c>
      <c r="M281" s="79"/>
      <c r="N281" s="164">
        <v>1</v>
      </c>
      <c r="O281" s="128">
        <v>1</v>
      </c>
      <c r="P281" s="79" t="s">
        <v>23</v>
      </c>
      <c r="Q281" s="79"/>
      <c r="R281" s="79" t="s">
        <v>523</v>
      </c>
      <c r="S281" s="79">
        <v>0</v>
      </c>
      <c r="T281" s="79"/>
      <c r="U281" s="79"/>
      <c r="V281" s="79"/>
      <c r="W281" s="79" t="s">
        <v>654</v>
      </c>
      <c r="X281" s="79" t="s">
        <v>24</v>
      </c>
      <c r="Y281" s="79"/>
      <c r="Z281" s="79"/>
      <c r="AA281" s="79"/>
      <c r="AB281" s="79" t="s">
        <v>655</v>
      </c>
      <c r="AC281" s="506"/>
      <c r="AD281" s="573">
        <v>1</v>
      </c>
      <c r="AE281" s="573">
        <v>2</v>
      </c>
      <c r="AF281" s="165">
        <v>0</v>
      </c>
      <c r="AG281" s="166" t="s">
        <v>5141</v>
      </c>
      <c r="AH281" s="120">
        <v>3</v>
      </c>
      <c r="AI281" s="120"/>
      <c r="AJ281" s="206" t="s">
        <v>5142</v>
      </c>
      <c r="AK281" s="372"/>
      <c r="AL281" s="207"/>
      <c r="AM281" s="120"/>
      <c r="AN281" s="120"/>
      <c r="AO281" s="120"/>
      <c r="AP281" s="120"/>
      <c r="AQ281" s="120"/>
      <c r="AR281" s="120"/>
      <c r="AS281" s="120"/>
      <c r="AT281" s="120"/>
      <c r="AU281" s="120"/>
      <c r="AV281" s="120"/>
      <c r="AW281" s="120"/>
      <c r="AX281" s="120"/>
      <c r="AY281" s="120"/>
      <c r="AZ281" s="120" t="s">
        <v>5140</v>
      </c>
      <c r="BA281" s="509" t="s">
        <v>5139</v>
      </c>
      <c r="BB281" s="598"/>
      <c r="BC281" s="598"/>
      <c r="BD281" s="511"/>
      <c r="BE281" s="511"/>
      <c r="BF281" s="511"/>
      <c r="BG281" s="511"/>
      <c r="BH281" s="511"/>
      <c r="BI281" s="511"/>
      <c r="BJ281" s="511">
        <v>1</v>
      </c>
      <c r="BK281" s="511"/>
      <c r="BL281" s="511"/>
      <c r="BM281" s="511"/>
      <c r="BN281" s="511"/>
      <c r="BO281" s="511"/>
      <c r="BP281" s="511"/>
      <c r="BQ281" s="511"/>
      <c r="BR281" s="510"/>
      <c r="BS281" s="660"/>
      <c r="BT281" s="134"/>
      <c r="BU281" s="134"/>
      <c r="BV281" s="134"/>
      <c r="BW281" s="134"/>
      <c r="BX281" s="134"/>
      <c r="BY281" s="134"/>
      <c r="BZ281" s="375"/>
      <c r="CA281" s="380"/>
      <c r="CB281" s="138"/>
      <c r="CC281" s="134"/>
      <c r="CD281" s="134"/>
      <c r="CE281" s="134"/>
      <c r="CF281" s="138"/>
      <c r="CG281" s="134"/>
      <c r="CH281" s="134"/>
      <c r="CI281" s="134"/>
      <c r="CJ281" s="288"/>
      <c r="CK281" s="289"/>
      <c r="CL281" s="138"/>
      <c r="CM281" s="134"/>
      <c r="CN281" s="134"/>
      <c r="CO281" s="134"/>
      <c r="CP281" s="138"/>
      <c r="CQ281" s="134"/>
      <c r="CR281" s="134"/>
      <c r="CS281" s="134"/>
      <c r="CT281" s="288"/>
      <c r="CU281" s="289"/>
      <c r="CV281" s="276"/>
      <c r="CW281" s="308"/>
      <c r="CX281" s="138"/>
      <c r="CY281" s="134"/>
      <c r="CZ281" s="134"/>
      <c r="DA281" s="134"/>
      <c r="DB281" s="134"/>
      <c r="DC281" s="134"/>
      <c r="DD281" s="134"/>
      <c r="DE281" s="134"/>
      <c r="DF281" s="300"/>
      <c r="DG281" s="301"/>
      <c r="DH281" s="134"/>
      <c r="DI281" s="134"/>
      <c r="DJ281" s="134"/>
      <c r="DK281" s="134"/>
      <c r="DL281" s="134"/>
      <c r="DM281" s="134"/>
      <c r="DN281" s="134"/>
      <c r="DO281" s="134"/>
      <c r="DP281" s="300"/>
      <c r="DQ281" s="301"/>
      <c r="DR281" s="276"/>
      <c r="DS281" s="277"/>
      <c r="DT281" s="134"/>
      <c r="DU281" s="134"/>
      <c r="DV281" s="134"/>
      <c r="DW281" s="134"/>
      <c r="DX281" s="138"/>
      <c r="DY281" s="134"/>
      <c r="DZ281" s="134"/>
      <c r="EA281" s="134"/>
      <c r="EB281" s="301"/>
      <c r="EC281" s="301"/>
      <c r="ED281" s="138"/>
      <c r="EE281" s="134"/>
      <c r="EF281" s="134"/>
      <c r="EG281" s="134"/>
      <c r="EH281" s="138"/>
      <c r="EI281" s="134"/>
      <c r="EJ281" s="134"/>
      <c r="EK281" s="134"/>
      <c r="EL281" s="301"/>
      <c r="EM281" s="301"/>
      <c r="EN281" s="277"/>
      <c r="EO281" s="134"/>
      <c r="EP281" s="134"/>
      <c r="EQ281" s="134"/>
      <c r="ER281" s="134"/>
      <c r="ES281" s="134"/>
      <c r="ET281" s="134"/>
      <c r="EU281" s="134"/>
      <c r="EV281" s="134"/>
      <c r="EW281" s="301"/>
      <c r="EX281" s="301"/>
      <c r="EY281" s="134"/>
      <c r="EZ281" s="134"/>
      <c r="FA281" s="134"/>
      <c r="FB281" s="134"/>
      <c r="FC281" s="134"/>
      <c r="FD281" s="134"/>
      <c r="FE281" s="134"/>
      <c r="FF281" s="134"/>
      <c r="FG281" s="135"/>
      <c r="FH281" s="135"/>
      <c r="FI281" s="134"/>
      <c r="FJ281" s="134"/>
      <c r="FK281" s="134"/>
      <c r="FL281" s="134"/>
      <c r="FM281" s="134"/>
      <c r="FN281" s="134"/>
      <c r="FO281" s="134"/>
      <c r="FP281" s="134"/>
      <c r="FQ281" s="135"/>
      <c r="FR281" s="135"/>
      <c r="FS281" s="134"/>
      <c r="FT281" s="134"/>
      <c r="FU281" s="134"/>
      <c r="FV281" s="134"/>
      <c r="FW281" s="134"/>
      <c r="FX281" s="134"/>
      <c r="FY281" s="134"/>
      <c r="FZ281" s="134"/>
      <c r="GA281" s="135"/>
      <c r="GB281" s="135"/>
      <c r="GC281" s="134"/>
      <c r="GD281" s="134"/>
      <c r="GE281" s="134"/>
      <c r="GF281" s="134"/>
      <c r="GG281" s="134"/>
      <c r="GH281" s="134"/>
      <c r="GI281" s="134"/>
      <c r="GJ281" s="134"/>
      <c r="GK281" s="135"/>
      <c r="GL281" s="135"/>
      <c r="GM281" s="134"/>
      <c r="GN281" s="134"/>
      <c r="GO281" s="134"/>
      <c r="GP281" s="134"/>
      <c r="GQ281" s="134"/>
      <c r="GR281" s="134"/>
      <c r="GS281" s="134"/>
      <c r="GT281" s="134"/>
      <c r="GU281" s="135"/>
      <c r="GV281" s="135"/>
      <c r="GW281" s="134"/>
      <c r="GX281" s="134"/>
      <c r="GY281" s="134"/>
      <c r="GZ281" s="134"/>
      <c r="HA281" s="134"/>
      <c r="HB281" s="134"/>
      <c r="HC281" s="134"/>
      <c r="HD281" s="134"/>
      <c r="HE281" s="135"/>
      <c r="HF281" s="135"/>
      <c r="HG281" s="134"/>
      <c r="HH281" s="134"/>
      <c r="HI281" s="134"/>
      <c r="HJ281" s="134"/>
      <c r="HK281" s="134"/>
      <c r="HL281" s="134"/>
      <c r="HM281" s="134"/>
      <c r="HN281" s="134"/>
      <c r="HO281" s="135"/>
      <c r="HP281" s="135"/>
      <c r="HQ281" s="134"/>
      <c r="HR281" s="134"/>
      <c r="HS281" s="134"/>
      <c r="HT281" s="134"/>
      <c r="HU281" s="134"/>
      <c r="HV281" s="134"/>
      <c r="HW281" s="134"/>
      <c r="HX281" s="134"/>
      <c r="HY281" s="135"/>
      <c r="HZ281" s="135"/>
      <c r="IA281" s="134"/>
      <c r="IB281" s="134"/>
      <c r="IC281" s="134"/>
      <c r="ID281" s="134"/>
      <c r="IE281" s="134"/>
      <c r="IF281" s="134"/>
      <c r="IG281" s="134"/>
      <c r="IH281" s="134"/>
      <c r="II281" s="135"/>
      <c r="IJ281" s="135"/>
      <c r="IK281" s="134"/>
      <c r="IL281" s="134"/>
      <c r="IM281" s="134"/>
      <c r="IN281" s="134"/>
      <c r="IO281" s="134"/>
      <c r="IP281" s="134"/>
      <c r="IQ281" s="134"/>
      <c r="IR281" s="134"/>
      <c r="IS281" s="135"/>
      <c r="IT281" s="135"/>
      <c r="IU281" s="134"/>
      <c r="IV281" s="134"/>
      <c r="IW281" s="134"/>
      <c r="IX281" s="134"/>
      <c r="IY281" s="134"/>
      <c r="IZ281" s="134"/>
      <c r="JA281" s="134"/>
      <c r="JB281" s="134"/>
      <c r="JC281" s="135"/>
      <c r="JD281" s="135"/>
    </row>
    <row r="282" spans="1:264" customFormat="1" ht="15" customHeight="1">
      <c r="A282" s="79" t="s">
        <v>238</v>
      </c>
      <c r="B282" s="362">
        <v>174</v>
      </c>
      <c r="C282" s="362">
        <v>59</v>
      </c>
      <c r="D282" s="362"/>
      <c r="E282" s="604" t="s">
        <v>1993</v>
      </c>
      <c r="F282" s="124" t="s">
        <v>2223</v>
      </c>
      <c r="G282" s="125">
        <v>2009</v>
      </c>
      <c r="H282" s="79">
        <v>19756511</v>
      </c>
      <c r="I282" s="79">
        <v>1</v>
      </c>
      <c r="J282" s="126"/>
      <c r="K282" s="127"/>
      <c r="L282" s="79">
        <v>1</v>
      </c>
      <c r="M282" s="79"/>
      <c r="N282" s="164">
        <v>1</v>
      </c>
      <c r="O282" s="128">
        <v>1</v>
      </c>
      <c r="P282" s="79" t="s">
        <v>23</v>
      </c>
      <c r="Q282" s="79"/>
      <c r="R282" s="79" t="s">
        <v>523</v>
      </c>
      <c r="S282" s="79">
        <v>0</v>
      </c>
      <c r="T282" s="79"/>
      <c r="U282" s="79"/>
      <c r="V282" s="79"/>
      <c r="W282" s="79" t="s">
        <v>654</v>
      </c>
      <c r="X282" s="79" t="s">
        <v>24</v>
      </c>
      <c r="Y282" s="79"/>
      <c r="Z282" s="79"/>
      <c r="AA282" s="79"/>
      <c r="AB282" s="79" t="s">
        <v>656</v>
      </c>
      <c r="AC282" s="506"/>
      <c r="AD282" s="573">
        <v>1</v>
      </c>
      <c r="AE282" s="573">
        <v>2</v>
      </c>
      <c r="AF282" s="165">
        <v>0</v>
      </c>
      <c r="AG282" s="166" t="s">
        <v>5143</v>
      </c>
      <c r="AH282" s="120">
        <v>3</v>
      </c>
      <c r="AI282" s="120"/>
      <c r="AJ282" s="206"/>
      <c r="AK282" s="372"/>
      <c r="AL282" s="207"/>
      <c r="AM282" s="120"/>
      <c r="AN282" s="120"/>
      <c r="AO282" s="120"/>
      <c r="AP282" s="120"/>
      <c r="AQ282" s="120"/>
      <c r="AR282" s="120"/>
      <c r="AS282" s="120"/>
      <c r="AT282" s="120"/>
      <c r="AU282" s="120"/>
      <c r="AV282" s="120"/>
      <c r="AW282" s="120"/>
      <c r="AX282" s="120"/>
      <c r="AY282" s="120"/>
      <c r="AZ282" s="120"/>
      <c r="BA282" s="509"/>
      <c r="BB282" s="598"/>
      <c r="BC282" s="598"/>
      <c r="BD282" s="511"/>
      <c r="BE282" s="511"/>
      <c r="BF282" s="511"/>
      <c r="BG282" s="511"/>
      <c r="BH282" s="511"/>
      <c r="BI282" s="511"/>
      <c r="BJ282" s="511">
        <v>1</v>
      </c>
      <c r="BK282" s="511"/>
      <c r="BL282" s="511"/>
      <c r="BM282" s="511"/>
      <c r="BN282" s="511"/>
      <c r="BO282" s="511"/>
      <c r="BP282" s="511"/>
      <c r="BQ282" s="511"/>
      <c r="BR282" s="510"/>
      <c r="BS282" s="660"/>
      <c r="BT282" s="134"/>
      <c r="BU282" s="134"/>
      <c r="BV282" s="134"/>
      <c r="BW282" s="134"/>
      <c r="BX282" s="134"/>
      <c r="BY282" s="134"/>
      <c r="BZ282" s="375"/>
      <c r="CA282" s="380"/>
      <c r="CB282" s="138"/>
      <c r="CC282" s="134"/>
      <c r="CD282" s="134"/>
      <c r="CE282" s="134"/>
      <c r="CF282" s="138"/>
      <c r="CG282" s="134"/>
      <c r="CH282" s="134"/>
      <c r="CI282" s="134"/>
      <c r="CJ282" s="288"/>
      <c r="CK282" s="289"/>
      <c r="CL282" s="138"/>
      <c r="CM282" s="134"/>
      <c r="CN282" s="134"/>
      <c r="CO282" s="134"/>
      <c r="CP282" s="138"/>
      <c r="CQ282" s="134"/>
      <c r="CR282" s="134"/>
      <c r="CS282" s="134"/>
      <c r="CT282" s="288"/>
      <c r="CU282" s="289"/>
      <c r="CV282" s="276"/>
      <c r="CW282" s="308"/>
      <c r="CX282" s="138"/>
      <c r="CY282" s="134"/>
      <c r="CZ282" s="134"/>
      <c r="DA282" s="134"/>
      <c r="DB282" s="134"/>
      <c r="DC282" s="134"/>
      <c r="DD282" s="134"/>
      <c r="DE282" s="134"/>
      <c r="DF282" s="300"/>
      <c r="DG282" s="301"/>
      <c r="DH282" s="134"/>
      <c r="DI282" s="134"/>
      <c r="DJ282" s="134"/>
      <c r="DK282" s="134"/>
      <c r="DL282" s="134"/>
      <c r="DM282" s="134"/>
      <c r="DN282" s="134"/>
      <c r="DO282" s="134"/>
      <c r="DP282" s="300"/>
      <c r="DQ282" s="301"/>
      <c r="DR282" s="276"/>
      <c r="DS282" s="277"/>
      <c r="DT282" s="134"/>
      <c r="DU282" s="134"/>
      <c r="DV282" s="134"/>
      <c r="DW282" s="134"/>
      <c r="DX282" s="138"/>
      <c r="DY282" s="134"/>
      <c r="DZ282" s="134"/>
      <c r="EA282" s="134"/>
      <c r="EB282" s="301"/>
      <c r="EC282" s="301"/>
      <c r="ED282" s="138"/>
      <c r="EE282" s="134"/>
      <c r="EF282" s="134"/>
      <c r="EG282" s="134"/>
      <c r="EH282" s="138"/>
      <c r="EI282" s="134"/>
      <c r="EJ282" s="134"/>
      <c r="EK282" s="134"/>
      <c r="EL282" s="301"/>
      <c r="EM282" s="301"/>
      <c r="EN282" s="277"/>
      <c r="EO282" s="134"/>
      <c r="EP282" s="134"/>
      <c r="EQ282" s="134"/>
      <c r="ER282" s="134"/>
      <c r="ES282" s="134"/>
      <c r="ET282" s="134"/>
      <c r="EU282" s="134"/>
      <c r="EV282" s="134"/>
      <c r="EW282" s="301"/>
      <c r="EX282" s="301"/>
      <c r="EY282" s="134"/>
      <c r="EZ282" s="134"/>
      <c r="FA282" s="134"/>
      <c r="FB282" s="134"/>
      <c r="FC282" s="134"/>
      <c r="FD282" s="134"/>
      <c r="FE282" s="134"/>
      <c r="FF282" s="134"/>
      <c r="FG282" s="135"/>
      <c r="FH282" s="135"/>
      <c r="FI282" s="134"/>
      <c r="FJ282" s="134"/>
      <c r="FK282" s="134"/>
      <c r="FL282" s="134"/>
      <c r="FM282" s="134"/>
      <c r="FN282" s="134"/>
      <c r="FO282" s="134"/>
      <c r="FP282" s="134"/>
      <c r="FQ282" s="135"/>
      <c r="FR282" s="135"/>
      <c r="FS282" s="134"/>
      <c r="FT282" s="134"/>
      <c r="FU282" s="134"/>
      <c r="FV282" s="134"/>
      <c r="FW282" s="134"/>
      <c r="FX282" s="134"/>
      <c r="FY282" s="134"/>
      <c r="FZ282" s="134"/>
      <c r="GA282" s="135"/>
      <c r="GB282" s="135"/>
      <c r="GC282" s="134"/>
      <c r="GD282" s="134"/>
      <c r="GE282" s="134"/>
      <c r="GF282" s="134"/>
      <c r="GG282" s="134"/>
      <c r="GH282" s="134"/>
      <c r="GI282" s="134"/>
      <c r="GJ282" s="134"/>
      <c r="GK282" s="135"/>
      <c r="GL282" s="135"/>
      <c r="GM282" s="134"/>
      <c r="GN282" s="134"/>
      <c r="GO282" s="134"/>
      <c r="GP282" s="134"/>
      <c r="GQ282" s="134"/>
      <c r="GR282" s="134"/>
      <c r="GS282" s="134"/>
      <c r="GT282" s="134"/>
      <c r="GU282" s="135"/>
      <c r="GV282" s="135"/>
      <c r="GW282" s="134"/>
      <c r="GX282" s="134"/>
      <c r="GY282" s="134"/>
      <c r="GZ282" s="134"/>
      <c r="HA282" s="134"/>
      <c r="HB282" s="134"/>
      <c r="HC282" s="134"/>
      <c r="HD282" s="134"/>
      <c r="HE282" s="135"/>
      <c r="HF282" s="135"/>
      <c r="HG282" s="134"/>
      <c r="HH282" s="134"/>
      <c r="HI282" s="134"/>
      <c r="HJ282" s="134"/>
      <c r="HK282" s="134"/>
      <c r="HL282" s="134"/>
      <c r="HM282" s="134"/>
      <c r="HN282" s="134"/>
      <c r="HO282" s="135"/>
      <c r="HP282" s="135"/>
      <c r="HQ282" s="134"/>
      <c r="HR282" s="134"/>
      <c r="HS282" s="134"/>
      <c r="HT282" s="134"/>
      <c r="HU282" s="134"/>
      <c r="HV282" s="134"/>
      <c r="HW282" s="134"/>
      <c r="HX282" s="134"/>
      <c r="HY282" s="135"/>
      <c r="HZ282" s="135"/>
      <c r="IA282" s="134"/>
      <c r="IB282" s="134"/>
      <c r="IC282" s="134"/>
      <c r="ID282" s="134"/>
      <c r="IE282" s="134"/>
      <c r="IF282" s="134"/>
      <c r="IG282" s="134"/>
      <c r="IH282" s="134"/>
      <c r="II282" s="135"/>
      <c r="IJ282" s="135"/>
      <c r="IK282" s="134"/>
      <c r="IL282" s="134"/>
      <c r="IM282" s="134"/>
      <c r="IN282" s="134"/>
      <c r="IO282" s="134"/>
      <c r="IP282" s="134"/>
      <c r="IQ282" s="134"/>
      <c r="IR282" s="134"/>
      <c r="IS282" s="135"/>
      <c r="IT282" s="135"/>
      <c r="IU282" s="134"/>
      <c r="IV282" s="134"/>
      <c r="IW282" s="134"/>
      <c r="IX282" s="134"/>
      <c r="IY282" s="134"/>
      <c r="IZ282" s="134"/>
      <c r="JA282" s="134"/>
      <c r="JB282" s="134"/>
      <c r="JC282" s="135"/>
      <c r="JD282" s="135"/>
    </row>
    <row r="283" spans="1:264" customFormat="1" ht="15" customHeight="1">
      <c r="A283" s="79" t="s">
        <v>1013</v>
      </c>
      <c r="B283" s="362">
        <v>33</v>
      </c>
      <c r="C283" s="362"/>
      <c r="D283" s="362"/>
      <c r="E283" s="604" t="s">
        <v>2097</v>
      </c>
      <c r="F283" s="124" t="s">
        <v>2352</v>
      </c>
      <c r="G283" s="125">
        <v>2014</v>
      </c>
      <c r="H283" s="79">
        <v>24583372</v>
      </c>
      <c r="I283" s="79">
        <v>1</v>
      </c>
      <c r="J283" s="126"/>
      <c r="K283" s="127"/>
      <c r="L283" s="79">
        <v>1</v>
      </c>
      <c r="M283" s="79"/>
      <c r="N283" s="79">
        <v>1</v>
      </c>
      <c r="O283" s="128">
        <v>2</v>
      </c>
      <c r="P283" s="79" t="s">
        <v>1327</v>
      </c>
      <c r="Q283" s="79" t="s">
        <v>1216</v>
      </c>
      <c r="R283" s="79" t="s">
        <v>1433</v>
      </c>
      <c r="S283" s="79"/>
      <c r="T283" s="79" t="s">
        <v>1431</v>
      </c>
      <c r="U283" s="79" t="s">
        <v>803</v>
      </c>
      <c r="V283" s="79"/>
      <c r="W283" s="79" t="s">
        <v>1432</v>
      </c>
      <c r="X283" s="79" t="s">
        <v>1434</v>
      </c>
      <c r="Y283" s="79"/>
      <c r="Z283" s="79"/>
      <c r="AA283" s="79"/>
      <c r="AB283" s="79"/>
      <c r="AC283" s="506"/>
      <c r="AD283" s="573">
        <v>1</v>
      </c>
      <c r="AE283" s="573">
        <v>2</v>
      </c>
      <c r="AF283" s="154">
        <v>1</v>
      </c>
      <c r="AG283" s="155"/>
      <c r="AH283" s="121">
        <v>4</v>
      </c>
      <c r="AI283" s="484"/>
      <c r="AJ283" s="202" t="s">
        <v>3228</v>
      </c>
      <c r="AK283" s="192">
        <v>0</v>
      </c>
      <c r="AL283" s="203">
        <v>0</v>
      </c>
      <c r="AM283" s="121">
        <f>Table668[[#This Row],[Data_Subjects_n_ptsd]]+Table668[[#This Row],[Data_Subjects_n_control]]</f>
        <v>15</v>
      </c>
      <c r="AN283" s="121">
        <v>5</v>
      </c>
      <c r="AO283" s="121">
        <v>10</v>
      </c>
      <c r="AP283" s="121" t="s">
        <v>803</v>
      </c>
      <c r="AQ283" s="121" t="s">
        <v>803</v>
      </c>
      <c r="AR283" s="121" t="s">
        <v>3220</v>
      </c>
      <c r="AS283" s="121" t="s">
        <v>24</v>
      </c>
      <c r="AT283" s="121" t="s">
        <v>3220</v>
      </c>
      <c r="AU283" s="121" t="s">
        <v>24</v>
      </c>
      <c r="AV283" s="121" t="s">
        <v>3219</v>
      </c>
      <c r="AW283" s="121">
        <v>1</v>
      </c>
      <c r="AX283" s="121">
        <v>1</v>
      </c>
      <c r="AY283" s="121" t="s">
        <v>3221</v>
      </c>
      <c r="AZ283" s="121" t="s">
        <v>1130</v>
      </c>
      <c r="BA283" s="121" t="s">
        <v>3223</v>
      </c>
      <c r="BB283" s="594"/>
      <c r="BC283" s="594"/>
      <c r="BD283" s="156">
        <v>1</v>
      </c>
      <c r="BE283" s="156"/>
      <c r="BF283" s="156"/>
      <c r="BG283" s="156"/>
      <c r="BH283" s="156"/>
      <c r="BI283" s="156"/>
      <c r="BJ283" s="156"/>
      <c r="BK283" s="156"/>
      <c r="BL283" s="156"/>
      <c r="BM283" s="156"/>
      <c r="BN283" s="156"/>
      <c r="BO283" s="156"/>
      <c r="BP283" s="156"/>
      <c r="BQ283" s="595" t="s">
        <v>2879</v>
      </c>
      <c r="BR283" s="157" t="s">
        <v>1501</v>
      </c>
      <c r="BS283" s="660"/>
      <c r="BT283" s="134" t="s">
        <v>1876</v>
      </c>
      <c r="BU283" s="134">
        <v>2</v>
      </c>
      <c r="BV283" s="134" t="s">
        <v>3222</v>
      </c>
      <c r="BW283" s="134" t="s">
        <v>2471</v>
      </c>
      <c r="BX283" s="134" t="s">
        <v>3224</v>
      </c>
      <c r="BY283" s="134" t="s">
        <v>2659</v>
      </c>
      <c r="BZ283" s="259" t="s">
        <v>3225</v>
      </c>
      <c r="CA283" s="454">
        <v>0</v>
      </c>
      <c r="CB283" s="138" t="s">
        <v>3226</v>
      </c>
      <c r="CC283" s="134">
        <v>84.173900000000003</v>
      </c>
      <c r="CD283" s="134" t="s">
        <v>3228</v>
      </c>
      <c r="CE283" s="134">
        <f>88.575-Table668[[#This Row],[Data_Outcome1_M]]</f>
        <v>4.4010999999999996</v>
      </c>
      <c r="CF283" s="138" t="s">
        <v>3227</v>
      </c>
      <c r="CG283" s="134">
        <v>84.173000000000002</v>
      </c>
      <c r="CH283" s="134" t="s">
        <v>3228</v>
      </c>
      <c r="CI283" s="134">
        <f>90.9985-Table668[[#This Row],[Data_Outcome2_M]]</f>
        <v>6.8255000000000052</v>
      </c>
      <c r="CJ283" s="288" t="s">
        <v>3229</v>
      </c>
      <c r="CK283" s="289" t="s">
        <v>3230</v>
      </c>
      <c r="CL283" s="138"/>
      <c r="CM283" s="134"/>
      <c r="CN283" s="134"/>
      <c r="CO283" s="134"/>
      <c r="CP283" s="138"/>
      <c r="CQ283" s="134"/>
      <c r="CR283" s="134"/>
      <c r="CS283" s="134"/>
      <c r="CT283" s="288"/>
      <c r="CU283" s="289"/>
      <c r="CV283" s="276"/>
      <c r="CW283" s="308"/>
      <c r="CX283" s="138"/>
      <c r="CY283" s="134"/>
      <c r="CZ283" s="134"/>
      <c r="DA283" s="134"/>
      <c r="DB283" s="134"/>
      <c r="DC283" s="134"/>
      <c r="DD283" s="134"/>
      <c r="DE283" s="134"/>
      <c r="DF283" s="300"/>
      <c r="DG283" s="301"/>
      <c r="DH283" s="134"/>
      <c r="DI283" s="134"/>
      <c r="DJ283" s="134"/>
      <c r="DK283" s="134"/>
      <c r="DL283" s="134"/>
      <c r="DM283" s="134"/>
      <c r="DN283" s="134"/>
      <c r="DO283" s="134"/>
      <c r="DP283" s="300"/>
      <c r="DQ283" s="301"/>
      <c r="DR283" s="276"/>
      <c r="DS283" s="277"/>
      <c r="DT283" s="134"/>
      <c r="DU283" s="134"/>
      <c r="DV283" s="134"/>
      <c r="DW283" s="134"/>
      <c r="DX283" s="138"/>
      <c r="DY283" s="134"/>
      <c r="DZ283" s="134"/>
      <c r="EA283" s="134"/>
      <c r="EB283" s="301"/>
      <c r="EC283" s="301"/>
      <c r="ED283" s="138"/>
      <c r="EE283" s="134"/>
      <c r="EF283" s="134"/>
      <c r="EG283" s="134"/>
      <c r="EH283" s="138"/>
      <c r="EI283" s="134"/>
      <c r="EJ283" s="134"/>
      <c r="EK283" s="134"/>
      <c r="EL283" s="301"/>
      <c r="EM283" s="301"/>
      <c r="EN283" s="277"/>
      <c r="EO283" s="134"/>
      <c r="EP283" s="134"/>
      <c r="EQ283" s="134"/>
      <c r="ER283" s="134"/>
      <c r="ES283" s="134"/>
      <c r="ET283" s="134"/>
      <c r="EU283" s="134"/>
      <c r="EV283" s="134"/>
      <c r="EW283" s="301"/>
      <c r="EX283" s="301"/>
      <c r="EY283" s="134"/>
      <c r="EZ283" s="134"/>
      <c r="FA283" s="134"/>
      <c r="FB283" s="134"/>
      <c r="FC283" s="134"/>
      <c r="FD283" s="134"/>
      <c r="FE283" s="134"/>
      <c r="FF283" s="134"/>
      <c r="FG283" s="135"/>
      <c r="FH283" s="135"/>
      <c r="FI283" s="134"/>
      <c r="FJ283" s="134"/>
      <c r="FK283" s="134"/>
      <c r="FL283" s="134"/>
      <c r="FM283" s="134"/>
      <c r="FN283" s="134"/>
      <c r="FO283" s="134"/>
      <c r="FP283" s="134"/>
      <c r="FQ283" s="135"/>
      <c r="FR283" s="135"/>
      <c r="FS283" s="134"/>
      <c r="FT283" s="134"/>
      <c r="FU283" s="134"/>
      <c r="FV283" s="134"/>
      <c r="FW283" s="134"/>
      <c r="FX283" s="134"/>
      <c r="FY283" s="134"/>
      <c r="FZ283" s="134"/>
      <c r="GA283" s="135"/>
      <c r="GB283" s="135"/>
      <c r="GC283" s="134"/>
      <c r="GD283" s="134"/>
      <c r="GE283" s="134"/>
      <c r="GF283" s="134"/>
      <c r="GG283" s="134"/>
      <c r="GH283" s="134"/>
      <c r="GI283" s="134"/>
      <c r="GJ283" s="134"/>
      <c r="GK283" s="135"/>
      <c r="GL283" s="135"/>
      <c r="GM283" s="134"/>
      <c r="GN283" s="134"/>
      <c r="GO283" s="134"/>
      <c r="GP283" s="134"/>
      <c r="GQ283" s="134"/>
      <c r="GR283" s="134"/>
      <c r="GS283" s="134"/>
      <c r="GT283" s="134"/>
      <c r="GU283" s="135"/>
      <c r="GV283" s="135"/>
      <c r="GW283" s="134"/>
      <c r="GX283" s="134"/>
      <c r="GY283" s="134"/>
      <c r="GZ283" s="134"/>
      <c r="HA283" s="134"/>
      <c r="HB283" s="134"/>
      <c r="HC283" s="134"/>
      <c r="HD283" s="134"/>
      <c r="HE283" s="135"/>
      <c r="HF283" s="135"/>
      <c r="HG283" s="134"/>
      <c r="HH283" s="134"/>
      <c r="HI283" s="134"/>
      <c r="HJ283" s="134"/>
      <c r="HK283" s="134"/>
      <c r="HL283" s="134"/>
      <c r="HM283" s="134"/>
      <c r="HN283" s="134"/>
      <c r="HO283" s="135"/>
      <c r="HP283" s="135"/>
      <c r="HQ283" s="134"/>
      <c r="HR283" s="134"/>
      <c r="HS283" s="134"/>
      <c r="HT283" s="134"/>
      <c r="HU283" s="134"/>
      <c r="HV283" s="134"/>
      <c r="HW283" s="134"/>
      <c r="HX283" s="134"/>
      <c r="HY283" s="135"/>
      <c r="HZ283" s="135"/>
      <c r="IA283" s="134"/>
      <c r="IB283" s="134"/>
      <c r="IC283" s="134"/>
      <c r="ID283" s="134"/>
      <c r="IE283" s="134"/>
      <c r="IF283" s="134"/>
      <c r="IG283" s="134"/>
      <c r="IH283" s="134"/>
      <c r="II283" s="135"/>
      <c r="IJ283" s="135"/>
      <c r="IK283" s="134"/>
      <c r="IL283" s="134"/>
      <c r="IM283" s="134"/>
      <c r="IN283" s="134"/>
      <c r="IO283" s="134"/>
      <c r="IP283" s="134"/>
      <c r="IQ283" s="134"/>
      <c r="IR283" s="134"/>
      <c r="IS283" s="135"/>
      <c r="IT283" s="135"/>
      <c r="IU283" s="134"/>
      <c r="IV283" s="134"/>
      <c r="IW283" s="134"/>
      <c r="IX283" s="134"/>
      <c r="IY283" s="134"/>
      <c r="IZ283" s="134"/>
      <c r="JA283" s="134"/>
      <c r="JB283" s="134"/>
      <c r="JC283" s="135"/>
      <c r="JD283" s="135"/>
    </row>
    <row r="284" spans="1:264" customFormat="1" ht="15" customHeight="1">
      <c r="A284" s="79" t="s">
        <v>241</v>
      </c>
      <c r="B284" s="362">
        <v>176</v>
      </c>
      <c r="C284" s="362">
        <v>60</v>
      </c>
      <c r="D284" s="362"/>
      <c r="E284" s="604" t="s">
        <v>1995</v>
      </c>
      <c r="F284" s="124" t="s">
        <v>2225</v>
      </c>
      <c r="G284" s="125">
        <v>2012</v>
      </c>
      <c r="H284" s="79">
        <v>22687547</v>
      </c>
      <c r="I284" s="79">
        <v>1</v>
      </c>
      <c r="J284" s="126" t="s">
        <v>1779</v>
      </c>
      <c r="K284" s="127" t="s">
        <v>1745</v>
      </c>
      <c r="L284" s="164">
        <v>1</v>
      </c>
      <c r="M284" s="79" t="s">
        <v>1745</v>
      </c>
      <c r="N284" s="164">
        <v>0</v>
      </c>
      <c r="O284" s="128">
        <v>1</v>
      </c>
      <c r="P284" s="79" t="s">
        <v>661</v>
      </c>
      <c r="Q284" s="79"/>
      <c r="R284" s="79" t="s">
        <v>659</v>
      </c>
      <c r="S284" s="79">
        <v>1</v>
      </c>
      <c r="T284" s="79"/>
      <c r="U284" s="79"/>
      <c r="V284" s="79"/>
      <c r="W284" s="79" t="s">
        <v>492</v>
      </c>
      <c r="X284" s="79" t="s">
        <v>24</v>
      </c>
      <c r="Y284" s="79" t="s">
        <v>24</v>
      </c>
      <c r="Z284" s="79"/>
      <c r="AA284" s="79"/>
      <c r="AB284" s="79" t="s">
        <v>660</v>
      </c>
      <c r="AC284" s="506"/>
      <c r="AD284" s="573">
        <v>1</v>
      </c>
      <c r="AE284" s="573">
        <v>2</v>
      </c>
      <c r="AF284" s="165" t="s">
        <v>3003</v>
      </c>
      <c r="AG284" s="166" t="s">
        <v>5148</v>
      </c>
      <c r="AH284" s="120">
        <v>2</v>
      </c>
      <c r="AI284" s="120"/>
      <c r="AJ284" s="206" t="s">
        <v>5147</v>
      </c>
      <c r="AK284" s="372"/>
      <c r="AL284" s="207"/>
      <c r="AM284" s="120"/>
      <c r="AN284" s="120"/>
      <c r="AO284" s="120"/>
      <c r="AP284" s="120"/>
      <c r="AQ284" s="120"/>
      <c r="AR284" s="120"/>
      <c r="AS284" s="120"/>
      <c r="AT284" s="120"/>
      <c r="AU284" s="120"/>
      <c r="AV284" s="120"/>
      <c r="AW284" s="120"/>
      <c r="AX284" s="120"/>
      <c r="AY284" s="120"/>
      <c r="AZ284" s="120"/>
      <c r="BA284" s="509"/>
      <c r="BB284" s="598"/>
      <c r="BC284" s="598"/>
      <c r="BD284" s="511"/>
      <c r="BE284" s="511"/>
      <c r="BF284" s="511"/>
      <c r="BG284" s="511"/>
      <c r="BH284" s="511"/>
      <c r="BI284" s="511"/>
      <c r="BJ284" s="511">
        <v>1</v>
      </c>
      <c r="BK284" s="511"/>
      <c r="BL284" s="511"/>
      <c r="BM284" s="511"/>
      <c r="BN284" s="511"/>
      <c r="BO284" s="511"/>
      <c r="BP284" s="511"/>
      <c r="BQ284" s="511"/>
      <c r="BR284" s="510"/>
      <c r="BS284" s="660"/>
      <c r="BT284" s="134"/>
      <c r="BU284" s="134"/>
      <c r="BV284" s="134"/>
      <c r="BW284" s="134"/>
      <c r="BX284" s="134"/>
      <c r="BY284" s="134"/>
      <c r="BZ284" s="375"/>
      <c r="CA284" s="380"/>
      <c r="CB284" s="138"/>
      <c r="CC284" s="134"/>
      <c r="CD284" s="134"/>
      <c r="CE284" s="134"/>
      <c r="CF284" s="138"/>
      <c r="CG284" s="134"/>
      <c r="CH284" s="134"/>
      <c r="CI284" s="134"/>
      <c r="CJ284" s="288"/>
      <c r="CK284" s="289"/>
      <c r="CL284" s="138"/>
      <c r="CM284" s="134"/>
      <c r="CN284" s="134"/>
      <c r="CO284" s="134"/>
      <c r="CP284" s="138"/>
      <c r="CQ284" s="134"/>
      <c r="CR284" s="134"/>
      <c r="CS284" s="134"/>
      <c r="CT284" s="288"/>
      <c r="CU284" s="289"/>
      <c r="CV284" s="276"/>
      <c r="CW284" s="308"/>
      <c r="CX284" s="138"/>
      <c r="CY284" s="134"/>
      <c r="CZ284" s="134"/>
      <c r="DA284" s="134"/>
      <c r="DB284" s="134"/>
      <c r="DC284" s="134"/>
      <c r="DD284" s="134"/>
      <c r="DE284" s="134"/>
      <c r="DF284" s="300"/>
      <c r="DG284" s="301"/>
      <c r="DH284" s="134"/>
      <c r="DI284" s="134"/>
      <c r="DJ284" s="134"/>
      <c r="DK284" s="134"/>
      <c r="DL284" s="134"/>
      <c r="DM284" s="134"/>
      <c r="DN284" s="134"/>
      <c r="DO284" s="134"/>
      <c r="DP284" s="300"/>
      <c r="DQ284" s="301"/>
      <c r="DR284" s="276"/>
      <c r="DS284" s="277"/>
      <c r="DT284" s="134"/>
      <c r="DU284" s="134"/>
      <c r="DV284" s="134"/>
      <c r="DW284" s="134"/>
      <c r="DX284" s="138"/>
      <c r="DY284" s="134"/>
      <c r="DZ284" s="134"/>
      <c r="EA284" s="134"/>
      <c r="EB284" s="301"/>
      <c r="EC284" s="301"/>
      <c r="ED284" s="138"/>
      <c r="EE284" s="134"/>
      <c r="EF284" s="134"/>
      <c r="EG284" s="134"/>
      <c r="EH284" s="138"/>
      <c r="EI284" s="134"/>
      <c r="EJ284" s="134"/>
      <c r="EK284" s="134"/>
      <c r="EL284" s="301"/>
      <c r="EM284" s="301"/>
      <c r="EN284" s="277"/>
      <c r="EO284" s="134"/>
      <c r="EP284" s="134"/>
      <c r="EQ284" s="134"/>
      <c r="ER284" s="134"/>
      <c r="ES284" s="134"/>
      <c r="ET284" s="134"/>
      <c r="EU284" s="134"/>
      <c r="EV284" s="134"/>
      <c r="EW284" s="301"/>
      <c r="EX284" s="301"/>
      <c r="EY284" s="134"/>
      <c r="EZ284" s="134"/>
      <c r="FA284" s="134"/>
      <c r="FB284" s="134"/>
      <c r="FC284" s="134"/>
      <c r="FD284" s="134"/>
      <c r="FE284" s="134"/>
      <c r="FF284" s="134"/>
      <c r="FG284" s="135"/>
      <c r="FH284" s="135"/>
      <c r="FI284" s="134"/>
      <c r="FJ284" s="134"/>
      <c r="FK284" s="134"/>
      <c r="FL284" s="134"/>
      <c r="FM284" s="134"/>
      <c r="FN284" s="134"/>
      <c r="FO284" s="134"/>
      <c r="FP284" s="134"/>
      <c r="FQ284" s="135"/>
      <c r="FR284" s="135"/>
      <c r="FS284" s="134"/>
      <c r="FT284" s="134"/>
      <c r="FU284" s="134"/>
      <c r="FV284" s="134"/>
      <c r="FW284" s="134"/>
      <c r="FX284" s="134"/>
      <c r="FY284" s="134"/>
      <c r="FZ284" s="134"/>
      <c r="GA284" s="135"/>
      <c r="GB284" s="135"/>
      <c r="GC284" s="134"/>
      <c r="GD284" s="134"/>
      <c r="GE284" s="134"/>
      <c r="GF284" s="134"/>
      <c r="GG284" s="134"/>
      <c r="GH284" s="134"/>
      <c r="GI284" s="134"/>
      <c r="GJ284" s="134"/>
      <c r="GK284" s="135"/>
      <c r="GL284" s="135"/>
      <c r="GM284" s="134"/>
      <c r="GN284" s="134"/>
      <c r="GO284" s="134"/>
      <c r="GP284" s="134"/>
      <c r="GQ284" s="134"/>
      <c r="GR284" s="134"/>
      <c r="GS284" s="134"/>
      <c r="GT284" s="134"/>
      <c r="GU284" s="135"/>
      <c r="GV284" s="135"/>
      <c r="GW284" s="134"/>
      <c r="GX284" s="134"/>
      <c r="GY284" s="134"/>
      <c r="GZ284" s="134"/>
      <c r="HA284" s="134"/>
      <c r="HB284" s="134"/>
      <c r="HC284" s="134"/>
      <c r="HD284" s="134"/>
      <c r="HE284" s="135"/>
      <c r="HF284" s="135"/>
      <c r="HG284" s="134"/>
      <c r="HH284" s="134"/>
      <c r="HI284" s="134"/>
      <c r="HJ284" s="134"/>
      <c r="HK284" s="134"/>
      <c r="HL284" s="134"/>
      <c r="HM284" s="134"/>
      <c r="HN284" s="134"/>
      <c r="HO284" s="135"/>
      <c r="HP284" s="135"/>
      <c r="HQ284" s="134"/>
      <c r="HR284" s="134"/>
      <c r="HS284" s="134"/>
      <c r="HT284" s="134"/>
      <c r="HU284" s="134"/>
      <c r="HV284" s="134"/>
      <c r="HW284" s="134"/>
      <c r="HX284" s="134"/>
      <c r="HY284" s="135"/>
      <c r="HZ284" s="135"/>
      <c r="IA284" s="134"/>
      <c r="IB284" s="134"/>
      <c r="IC284" s="134"/>
      <c r="ID284" s="134"/>
      <c r="IE284" s="134"/>
      <c r="IF284" s="134"/>
      <c r="IG284" s="134"/>
      <c r="IH284" s="134"/>
      <c r="II284" s="135"/>
      <c r="IJ284" s="135"/>
      <c r="IK284" s="134"/>
      <c r="IL284" s="134"/>
      <c r="IM284" s="134"/>
      <c r="IN284" s="134"/>
      <c r="IO284" s="134"/>
      <c r="IP284" s="134"/>
      <c r="IQ284" s="134"/>
      <c r="IR284" s="134"/>
      <c r="IS284" s="135"/>
      <c r="IT284" s="135"/>
      <c r="IU284" s="134"/>
      <c r="IV284" s="134"/>
      <c r="IW284" s="134"/>
      <c r="IX284" s="134"/>
      <c r="IY284" s="134"/>
      <c r="IZ284" s="134"/>
      <c r="JA284" s="134"/>
      <c r="JB284" s="134"/>
      <c r="JC284" s="135"/>
      <c r="JD284" s="135"/>
    </row>
    <row r="285" spans="1:264" customFormat="1" ht="15" customHeight="1">
      <c r="A285" s="79" t="s">
        <v>243</v>
      </c>
      <c r="B285" s="362">
        <v>178</v>
      </c>
      <c r="C285" s="362">
        <v>61</v>
      </c>
      <c r="D285" s="362"/>
      <c r="E285" s="604" t="s">
        <v>1997</v>
      </c>
      <c r="F285" s="124" t="s">
        <v>2227</v>
      </c>
      <c r="G285" s="125">
        <v>2004</v>
      </c>
      <c r="H285" s="79">
        <v>15027792</v>
      </c>
      <c r="I285" s="79">
        <v>1</v>
      </c>
      <c r="J285" s="126"/>
      <c r="K285" s="127"/>
      <c r="L285" s="79">
        <v>1</v>
      </c>
      <c r="M285" s="79"/>
      <c r="N285" s="79">
        <v>1</v>
      </c>
      <c r="O285" s="128">
        <v>1</v>
      </c>
      <c r="P285" s="79" t="s">
        <v>662</v>
      </c>
      <c r="Q285" s="79" t="s">
        <v>1172</v>
      </c>
      <c r="R285" s="79" t="s">
        <v>1174</v>
      </c>
      <c r="S285" s="79">
        <v>1</v>
      </c>
      <c r="T285" s="79"/>
      <c r="U285" s="79"/>
      <c r="V285" s="79"/>
      <c r="W285" s="79" t="s">
        <v>665</v>
      </c>
      <c r="X285" s="79" t="s">
        <v>663</v>
      </c>
      <c r="Y285" s="79"/>
      <c r="Z285" s="79" t="s">
        <v>664</v>
      </c>
      <c r="AA285" s="79"/>
      <c r="AB285" s="79"/>
      <c r="AC285" s="506"/>
      <c r="AD285" s="573">
        <v>1</v>
      </c>
      <c r="AE285" s="573">
        <v>2</v>
      </c>
      <c r="AF285" s="154">
        <v>1</v>
      </c>
      <c r="AG285" s="155" t="s">
        <v>3157</v>
      </c>
      <c r="AH285" s="121">
        <v>2</v>
      </c>
      <c r="AI285" s="484" t="s">
        <v>5189</v>
      </c>
      <c r="AJ285" s="202" t="s">
        <v>5208</v>
      </c>
      <c r="AK285" s="192">
        <v>1</v>
      </c>
      <c r="AL285" s="203" t="s">
        <v>24</v>
      </c>
      <c r="AM285" s="121">
        <f>Table668[[#This Row],[Data_Subjects_n_ptsd]]+Table668[[#This Row],[Data_Subjects_n_control]]</f>
        <v>47</v>
      </c>
      <c r="AN285" s="121">
        <v>24</v>
      </c>
      <c r="AO285" s="121">
        <v>23</v>
      </c>
      <c r="AP285" s="121" t="s">
        <v>803</v>
      </c>
      <c r="AQ285" s="121" t="s">
        <v>803</v>
      </c>
      <c r="AR285" s="121">
        <v>51</v>
      </c>
      <c r="AS285" s="121">
        <v>2.5</v>
      </c>
      <c r="AT285" s="121">
        <v>52.4</v>
      </c>
      <c r="AU285" s="121">
        <v>3.1</v>
      </c>
      <c r="AV285" s="121" t="s">
        <v>5151</v>
      </c>
      <c r="AW285" s="121" t="s">
        <v>24</v>
      </c>
      <c r="AX285" s="121" t="s">
        <v>24</v>
      </c>
      <c r="AY285" s="121" t="s">
        <v>5150</v>
      </c>
      <c r="AZ285" s="121" t="s">
        <v>3835</v>
      </c>
      <c r="BA285" s="121" t="s">
        <v>5149</v>
      </c>
      <c r="BB285" s="594"/>
      <c r="BC285" s="594"/>
      <c r="BD285" s="156"/>
      <c r="BE285" s="156"/>
      <c r="BF285" s="156" t="s">
        <v>5207</v>
      </c>
      <c r="BG285" s="156"/>
      <c r="BH285" s="156"/>
      <c r="BI285" s="156"/>
      <c r="BJ285" s="156">
        <v>1</v>
      </c>
      <c r="BK285" s="156"/>
      <c r="BL285" s="156"/>
      <c r="BM285" s="156"/>
      <c r="BN285" s="156"/>
      <c r="BO285" s="156"/>
      <c r="BP285" s="156"/>
      <c r="BQ285" s="595" t="s">
        <v>5157</v>
      </c>
      <c r="BR285" s="157" t="s">
        <v>6611</v>
      </c>
      <c r="BS285" s="660"/>
      <c r="BT285" s="134" t="s">
        <v>1876</v>
      </c>
      <c r="BU285" s="134">
        <v>2</v>
      </c>
      <c r="BV285" s="134" t="s">
        <v>5158</v>
      </c>
      <c r="BW285" s="134" t="s">
        <v>24</v>
      </c>
      <c r="BX285" s="134" t="s">
        <v>5160</v>
      </c>
      <c r="BY285" s="134"/>
      <c r="BZ285" s="259" t="s">
        <v>5203</v>
      </c>
      <c r="CA285" s="454">
        <v>0</v>
      </c>
      <c r="CB285" s="138" t="s">
        <v>5152</v>
      </c>
      <c r="CC285" s="134">
        <v>6.6</v>
      </c>
      <c r="CD285" s="134">
        <v>1.6</v>
      </c>
      <c r="CE285" s="134" t="s">
        <v>24</v>
      </c>
      <c r="CF285" s="138" t="s">
        <v>5175</v>
      </c>
      <c r="CG285" s="134">
        <v>7.2</v>
      </c>
      <c r="CH285" s="134">
        <v>1.9</v>
      </c>
      <c r="CI285" s="134" t="s">
        <v>24</v>
      </c>
      <c r="CJ285" s="288" t="s">
        <v>3229</v>
      </c>
      <c r="CK285" s="289" t="s">
        <v>5190</v>
      </c>
      <c r="CL285" s="138" t="s">
        <v>5153</v>
      </c>
      <c r="CM285" s="134">
        <v>12.1</v>
      </c>
      <c r="CN285" s="134">
        <v>2.2999999999999998</v>
      </c>
      <c r="CO285" s="134" t="s">
        <v>24</v>
      </c>
      <c r="CP285" s="138" t="s">
        <v>5173</v>
      </c>
      <c r="CQ285" s="134">
        <v>12.1</v>
      </c>
      <c r="CR285" s="134">
        <v>2.2000000000000002</v>
      </c>
      <c r="CS285" s="134" t="s">
        <v>24</v>
      </c>
      <c r="CT285" s="288" t="s">
        <v>3229</v>
      </c>
      <c r="CU285" s="501" t="s">
        <v>5192</v>
      </c>
      <c r="CV285" s="276" t="s">
        <v>24</v>
      </c>
      <c r="CW285" s="308" t="s">
        <v>24</v>
      </c>
      <c r="CX285" s="138" t="s">
        <v>5154</v>
      </c>
      <c r="CY285" s="134">
        <v>50.7</v>
      </c>
      <c r="CZ285" s="134">
        <v>9.1999999999999993</v>
      </c>
      <c r="DA285" s="134" t="s">
        <v>24</v>
      </c>
      <c r="DB285" s="138" t="s">
        <v>5170</v>
      </c>
      <c r="DC285" s="134">
        <v>51</v>
      </c>
      <c r="DD285" s="134">
        <v>9.5</v>
      </c>
      <c r="DE285" s="134" t="s">
        <v>24</v>
      </c>
      <c r="DF285" s="435" t="s">
        <v>3229</v>
      </c>
      <c r="DG285" s="552" t="s">
        <v>5193</v>
      </c>
      <c r="DH285" s="134" t="s">
        <v>5155</v>
      </c>
      <c r="DI285" s="134">
        <v>6.1</v>
      </c>
      <c r="DJ285" s="134">
        <v>1.8</v>
      </c>
      <c r="DK285" s="134" t="s">
        <v>24</v>
      </c>
      <c r="DL285" s="134" t="s">
        <v>5172</v>
      </c>
      <c r="DM285" s="134">
        <v>6.3</v>
      </c>
      <c r="DN285" s="134">
        <v>2.1</v>
      </c>
      <c r="DO285" s="134" t="s">
        <v>24</v>
      </c>
      <c r="DP285" s="435" t="s">
        <v>3229</v>
      </c>
      <c r="DQ285" s="552" t="s">
        <v>5194</v>
      </c>
      <c r="DR285" s="276" t="s">
        <v>24</v>
      </c>
      <c r="DS285" s="277" t="s">
        <v>24</v>
      </c>
      <c r="DT285" s="134"/>
      <c r="DU285" s="134"/>
      <c r="DV285" s="134"/>
      <c r="DW285" s="134"/>
      <c r="DX285" s="138"/>
      <c r="DY285" s="134"/>
      <c r="DZ285" s="134"/>
      <c r="EA285" s="134"/>
      <c r="EB285" s="301"/>
      <c r="EC285" s="301"/>
      <c r="ED285" s="138"/>
      <c r="EE285" s="134"/>
      <c r="EF285" s="134"/>
      <c r="EG285" s="134"/>
      <c r="EH285" s="138"/>
      <c r="EI285" s="134"/>
      <c r="EJ285" s="134"/>
      <c r="EK285" s="134"/>
      <c r="EL285" s="301"/>
      <c r="EM285" s="301"/>
      <c r="EN285" s="277"/>
      <c r="EO285" s="134"/>
      <c r="EP285" s="134"/>
      <c r="EQ285" s="134"/>
      <c r="ER285" s="134"/>
      <c r="ES285" s="134"/>
      <c r="ET285" s="134"/>
      <c r="EU285" s="134"/>
      <c r="EV285" s="134"/>
      <c r="EW285" s="301"/>
      <c r="EX285" s="301"/>
      <c r="EY285" s="134"/>
      <c r="EZ285" s="134"/>
      <c r="FA285" s="134"/>
      <c r="FB285" s="134"/>
      <c r="FC285" s="134"/>
      <c r="FD285" s="134"/>
      <c r="FE285" s="134"/>
      <c r="FF285" s="134"/>
      <c r="FG285" s="135"/>
      <c r="FH285" s="135"/>
      <c r="FI285" s="134"/>
      <c r="FJ285" s="134"/>
      <c r="FK285" s="134"/>
      <c r="FL285" s="134"/>
      <c r="FM285" s="134"/>
      <c r="FN285" s="134"/>
      <c r="FO285" s="134"/>
      <c r="FP285" s="134"/>
      <c r="FQ285" s="135"/>
      <c r="FR285" s="135"/>
      <c r="FS285" s="134"/>
      <c r="FT285" s="134"/>
      <c r="FU285" s="134"/>
      <c r="FV285" s="134"/>
      <c r="FW285" s="134"/>
      <c r="FX285" s="134"/>
      <c r="FY285" s="134"/>
      <c r="FZ285" s="134"/>
      <c r="GA285" s="135"/>
      <c r="GB285" s="135"/>
      <c r="GC285" s="134"/>
      <c r="GD285" s="134"/>
      <c r="GE285" s="134"/>
      <c r="GF285" s="134"/>
      <c r="GG285" s="134"/>
      <c r="GH285" s="134"/>
      <c r="GI285" s="134"/>
      <c r="GJ285" s="134"/>
      <c r="GK285" s="135"/>
      <c r="GL285" s="135"/>
      <c r="GM285" s="134"/>
      <c r="GN285" s="134"/>
      <c r="GO285" s="134"/>
      <c r="GP285" s="134"/>
      <c r="GQ285" s="134"/>
      <c r="GR285" s="134"/>
      <c r="GS285" s="134"/>
      <c r="GT285" s="134"/>
      <c r="GU285" s="135"/>
      <c r="GV285" s="135"/>
      <c r="GW285" s="134"/>
      <c r="GX285" s="134"/>
      <c r="GY285" s="134"/>
      <c r="GZ285" s="134"/>
      <c r="HA285" s="134"/>
      <c r="HB285" s="134"/>
      <c r="HC285" s="134"/>
      <c r="HD285" s="134"/>
      <c r="HE285" s="135"/>
      <c r="HF285" s="135"/>
      <c r="HG285" s="134"/>
      <c r="HH285" s="134"/>
      <c r="HI285" s="134"/>
      <c r="HJ285" s="134"/>
      <c r="HK285" s="134"/>
      <c r="HL285" s="134"/>
      <c r="HM285" s="134"/>
      <c r="HN285" s="134"/>
      <c r="HO285" s="135"/>
      <c r="HP285" s="135"/>
      <c r="HQ285" s="134"/>
      <c r="HR285" s="134"/>
      <c r="HS285" s="134"/>
      <c r="HT285" s="134"/>
      <c r="HU285" s="134"/>
      <c r="HV285" s="134"/>
      <c r="HW285" s="134"/>
      <c r="HX285" s="134"/>
      <c r="HY285" s="135"/>
      <c r="HZ285" s="135"/>
      <c r="IA285" s="134"/>
      <c r="IB285" s="134"/>
      <c r="IC285" s="134"/>
      <c r="ID285" s="134"/>
      <c r="IE285" s="134"/>
      <c r="IF285" s="134"/>
      <c r="IG285" s="134"/>
      <c r="IH285" s="134"/>
      <c r="II285" s="135"/>
      <c r="IJ285" s="135"/>
      <c r="IK285" s="134"/>
      <c r="IL285" s="134"/>
      <c r="IM285" s="134"/>
      <c r="IN285" s="134"/>
      <c r="IO285" s="134"/>
      <c r="IP285" s="134"/>
      <c r="IQ285" s="134"/>
      <c r="IR285" s="134"/>
      <c r="IS285" s="135"/>
      <c r="IT285" s="135"/>
      <c r="IU285" s="134"/>
      <c r="IV285" s="134"/>
      <c r="IW285" s="134"/>
      <c r="IX285" s="134"/>
      <c r="IY285" s="134"/>
      <c r="IZ285" s="134"/>
      <c r="JA285" s="134"/>
      <c r="JB285" s="134"/>
      <c r="JC285" s="135"/>
      <c r="JD285" s="135"/>
    </row>
    <row r="286" spans="1:264" customFormat="1" ht="15" customHeight="1">
      <c r="A286" s="118" t="s">
        <v>243</v>
      </c>
      <c r="B286" s="616">
        <v>178</v>
      </c>
      <c r="C286" s="616">
        <v>61</v>
      </c>
      <c r="D286" s="616"/>
      <c r="E286" s="605" t="s">
        <v>1997</v>
      </c>
      <c r="F286" s="140" t="s">
        <v>2227</v>
      </c>
      <c r="G286" s="141">
        <v>2004</v>
      </c>
      <c r="H286" s="118">
        <v>15027792</v>
      </c>
      <c r="I286" s="118">
        <v>1</v>
      </c>
      <c r="J286" s="118"/>
      <c r="K286" s="118"/>
      <c r="L286" s="118">
        <v>1</v>
      </c>
      <c r="M286" s="118"/>
      <c r="N286" s="118">
        <v>1</v>
      </c>
      <c r="O286" s="142">
        <v>1</v>
      </c>
      <c r="P286" s="118" t="s">
        <v>662</v>
      </c>
      <c r="Q286" s="118" t="s">
        <v>1172</v>
      </c>
      <c r="R286" s="118" t="s">
        <v>1174</v>
      </c>
      <c r="S286" s="118">
        <v>1</v>
      </c>
      <c r="T286" s="118"/>
      <c r="U286" s="118"/>
      <c r="V286" s="118"/>
      <c r="W286" s="118" t="s">
        <v>665</v>
      </c>
      <c r="X286" s="118" t="s">
        <v>663</v>
      </c>
      <c r="Y286" s="118"/>
      <c r="Z286" s="118" t="s">
        <v>664</v>
      </c>
      <c r="AA286" s="118"/>
      <c r="AB286" s="118"/>
      <c r="AC286" s="145"/>
      <c r="AD286" s="573">
        <v>1</v>
      </c>
      <c r="AE286" s="573">
        <v>2</v>
      </c>
      <c r="AF286" s="159">
        <v>1</v>
      </c>
      <c r="AG286" s="160" t="s">
        <v>3157</v>
      </c>
      <c r="AH286" s="122">
        <v>2</v>
      </c>
      <c r="AI286" s="485" t="s">
        <v>5189</v>
      </c>
      <c r="AJ286" s="204" t="s">
        <v>5208</v>
      </c>
      <c r="AK286" s="192">
        <v>1</v>
      </c>
      <c r="AL286" s="205" t="s">
        <v>24</v>
      </c>
      <c r="AM286" s="122">
        <f>Table668[[#This Row],[Data_Subjects_n_ptsd]]+Table668[[#This Row],[Data_Subjects_n_control]]</f>
        <v>47</v>
      </c>
      <c r="AN286" s="122">
        <v>24</v>
      </c>
      <c r="AO286" s="122">
        <v>23</v>
      </c>
      <c r="AP286" s="122" t="s">
        <v>803</v>
      </c>
      <c r="AQ286" s="122" t="s">
        <v>803</v>
      </c>
      <c r="AR286" s="122">
        <v>51</v>
      </c>
      <c r="AS286" s="122">
        <v>2.5</v>
      </c>
      <c r="AT286" s="122">
        <v>52.4</v>
      </c>
      <c r="AU286" s="122">
        <v>3.1</v>
      </c>
      <c r="AV286" s="122" t="s">
        <v>5151</v>
      </c>
      <c r="AW286" s="122" t="s">
        <v>24</v>
      </c>
      <c r="AX286" s="122" t="s">
        <v>24</v>
      </c>
      <c r="AY286" s="122" t="s">
        <v>5150</v>
      </c>
      <c r="AZ286" s="122" t="s">
        <v>3835</v>
      </c>
      <c r="BA286" s="122" t="s">
        <v>5149</v>
      </c>
      <c r="BB286" s="588"/>
      <c r="BC286" s="588"/>
      <c r="BD286" s="161"/>
      <c r="BE286" s="161"/>
      <c r="BF286" s="161" t="s">
        <v>5207</v>
      </c>
      <c r="BG286" s="161"/>
      <c r="BH286" s="161"/>
      <c r="BI286" s="161"/>
      <c r="BJ286" s="161">
        <v>1</v>
      </c>
      <c r="BK286" s="161"/>
      <c r="BL286" s="161"/>
      <c r="BM286" s="161"/>
      <c r="BN286" s="161"/>
      <c r="BO286" s="161"/>
      <c r="BP286" s="161"/>
      <c r="BQ286" s="596" t="s">
        <v>5162</v>
      </c>
      <c r="BR286" s="162" t="s">
        <v>6611</v>
      </c>
      <c r="BS286" s="660"/>
      <c r="BT286" s="150" t="s">
        <v>1876</v>
      </c>
      <c r="BU286" s="150">
        <v>2</v>
      </c>
      <c r="BV286" s="150" t="s">
        <v>5158</v>
      </c>
      <c r="BW286" s="150" t="s">
        <v>24</v>
      </c>
      <c r="BX286" s="150" t="s">
        <v>5165</v>
      </c>
      <c r="BY286" s="150"/>
      <c r="BZ286" s="258" t="s">
        <v>5205</v>
      </c>
      <c r="CA286" s="257">
        <v>0</v>
      </c>
      <c r="CB286" s="151" t="s">
        <v>5177</v>
      </c>
      <c r="CC286" s="150">
        <v>10.9</v>
      </c>
      <c r="CD286" s="150">
        <v>2.5</v>
      </c>
      <c r="CE286" s="150" t="s">
        <v>24</v>
      </c>
      <c r="CF286" s="151" t="s">
        <v>5187</v>
      </c>
      <c r="CG286" s="150">
        <v>10.3</v>
      </c>
      <c r="CH286" s="150">
        <v>3.2</v>
      </c>
      <c r="CI286" s="150" t="s">
        <v>24</v>
      </c>
      <c r="CJ286" s="290" t="s">
        <v>3229</v>
      </c>
      <c r="CK286" s="291" t="s">
        <v>5198</v>
      </c>
      <c r="CL286" s="151" t="s">
        <v>5178</v>
      </c>
      <c r="CM286" s="150">
        <v>11.2</v>
      </c>
      <c r="CN286" s="150">
        <v>2.7</v>
      </c>
      <c r="CO286" s="150" t="s">
        <v>24</v>
      </c>
      <c r="CP286" s="151" t="s">
        <v>5183</v>
      </c>
      <c r="CQ286" s="150">
        <v>11.3</v>
      </c>
      <c r="CR286" s="150">
        <v>2.9</v>
      </c>
      <c r="CS286" s="150" t="s">
        <v>24</v>
      </c>
      <c r="CT286" s="290" t="s">
        <v>3229</v>
      </c>
      <c r="CU286" s="502" t="s">
        <v>5199</v>
      </c>
      <c r="CV286" s="278" t="s">
        <v>24</v>
      </c>
      <c r="CW286" s="285" t="s">
        <v>24</v>
      </c>
      <c r="CX286" s="151" t="s">
        <v>5179</v>
      </c>
      <c r="CY286" s="150">
        <v>3.7</v>
      </c>
      <c r="CZ286" s="150">
        <v>3.1</v>
      </c>
      <c r="DA286" s="150" t="s">
        <v>24</v>
      </c>
      <c r="DB286" s="151" t="s">
        <v>5185</v>
      </c>
      <c r="DC286" s="150">
        <v>4.3</v>
      </c>
      <c r="DD286" s="150">
        <v>4.3</v>
      </c>
      <c r="DE286" s="150" t="s">
        <v>24</v>
      </c>
      <c r="DF286" s="440" t="s">
        <v>3229</v>
      </c>
      <c r="DG286" s="553" t="s">
        <v>5200</v>
      </c>
      <c r="DH286" s="151" t="s">
        <v>5180</v>
      </c>
      <c r="DI286" s="150">
        <v>95.1</v>
      </c>
      <c r="DJ286" s="150">
        <v>4.3</v>
      </c>
      <c r="DK286" s="150" t="s">
        <v>24</v>
      </c>
      <c r="DL286" s="151" t="s">
        <v>5186</v>
      </c>
      <c r="DM286" s="150">
        <v>93.9</v>
      </c>
      <c r="DN286" s="150">
        <v>6.1</v>
      </c>
      <c r="DO286" s="150" t="s">
        <v>24</v>
      </c>
      <c r="DP286" s="440" t="s">
        <v>3229</v>
      </c>
      <c r="DQ286" s="553" t="s">
        <v>5201</v>
      </c>
      <c r="DR286" s="278" t="s">
        <v>24</v>
      </c>
      <c r="DS286" s="279" t="s">
        <v>24</v>
      </c>
      <c r="DT286" s="150"/>
      <c r="DU286" s="150"/>
      <c r="DV286" s="150"/>
      <c r="DW286" s="150"/>
      <c r="DX286" s="151"/>
      <c r="DY286" s="150"/>
      <c r="DZ286" s="150"/>
      <c r="EA286" s="150"/>
      <c r="EB286" s="303"/>
      <c r="EC286" s="303"/>
      <c r="ED286" s="151"/>
      <c r="EE286" s="150"/>
      <c r="EF286" s="150"/>
      <c r="EG286" s="150"/>
      <c r="EH286" s="151"/>
      <c r="EI286" s="150"/>
      <c r="EJ286" s="150"/>
      <c r="EK286" s="150"/>
      <c r="EL286" s="303"/>
      <c r="EM286" s="303"/>
      <c r="EN286" s="279"/>
      <c r="EO286" s="150"/>
      <c r="EP286" s="150"/>
      <c r="EQ286" s="150"/>
      <c r="ER286" s="150"/>
      <c r="ES286" s="150"/>
      <c r="ET286" s="150"/>
      <c r="EU286" s="150"/>
      <c r="EV286" s="150"/>
      <c r="EW286" s="303"/>
      <c r="EX286" s="303"/>
      <c r="EY286" s="150"/>
      <c r="EZ286" s="150"/>
      <c r="FA286" s="150"/>
      <c r="FB286" s="150"/>
      <c r="FC286" s="150"/>
      <c r="FD286" s="150"/>
      <c r="FE286" s="150"/>
      <c r="FF286" s="150"/>
      <c r="FG286" s="152"/>
      <c r="FH286" s="152"/>
      <c r="FI286" s="150"/>
      <c r="FJ286" s="150"/>
      <c r="FK286" s="150"/>
      <c r="FL286" s="150"/>
      <c r="FM286" s="150"/>
      <c r="FN286" s="150"/>
      <c r="FO286" s="150"/>
      <c r="FP286" s="150"/>
      <c r="FQ286" s="152"/>
      <c r="FR286" s="152"/>
      <c r="FS286" s="150"/>
      <c r="FT286" s="150"/>
      <c r="FU286" s="150"/>
      <c r="FV286" s="150"/>
      <c r="FW286" s="150"/>
      <c r="FX286" s="150"/>
      <c r="FY286" s="150"/>
      <c r="FZ286" s="150"/>
      <c r="GA286" s="152"/>
      <c r="GB286" s="152"/>
      <c r="GC286" s="150"/>
      <c r="GD286" s="150"/>
      <c r="GE286" s="150"/>
      <c r="GF286" s="150"/>
      <c r="GG286" s="150"/>
      <c r="GH286" s="150"/>
      <c r="GI286" s="150"/>
      <c r="GJ286" s="150"/>
      <c r="GK286" s="152"/>
      <c r="GL286" s="152"/>
      <c r="GM286" s="150"/>
      <c r="GN286" s="150"/>
      <c r="GO286" s="150"/>
      <c r="GP286" s="150"/>
      <c r="GQ286" s="150"/>
      <c r="GR286" s="150"/>
      <c r="GS286" s="150"/>
      <c r="GT286" s="150"/>
      <c r="GU286" s="152"/>
      <c r="GV286" s="152"/>
      <c r="GW286" s="134"/>
      <c r="GX286" s="134"/>
      <c r="GY286" s="134"/>
      <c r="GZ286" s="134"/>
      <c r="HA286" s="134"/>
      <c r="HB286" s="134"/>
      <c r="HC286" s="134"/>
      <c r="HD286" s="134"/>
      <c r="HE286" s="135"/>
      <c r="HF286" s="135"/>
      <c r="HG286" s="134"/>
      <c r="HH286" s="134"/>
      <c r="HI286" s="134"/>
      <c r="HJ286" s="134"/>
      <c r="HK286" s="134"/>
      <c r="HL286" s="134"/>
      <c r="HM286" s="134"/>
      <c r="HN286" s="134"/>
      <c r="HO286" s="135"/>
      <c r="HP286" s="135"/>
      <c r="HQ286" s="134"/>
      <c r="HR286" s="134"/>
      <c r="HS286" s="134"/>
      <c r="HT286" s="134"/>
      <c r="HU286" s="134"/>
      <c r="HV286" s="134"/>
      <c r="HW286" s="134"/>
      <c r="HX286" s="134"/>
      <c r="HY286" s="135"/>
      <c r="HZ286" s="135"/>
      <c r="IA286" s="134"/>
      <c r="IB286" s="134"/>
      <c r="IC286" s="134"/>
      <c r="ID286" s="134"/>
      <c r="IE286" s="134"/>
      <c r="IF286" s="134"/>
      <c r="IG286" s="134"/>
      <c r="IH286" s="134"/>
      <c r="II286" s="135"/>
      <c r="IJ286" s="135"/>
      <c r="IK286" s="134"/>
      <c r="IL286" s="134"/>
      <c r="IM286" s="134"/>
      <c r="IN286" s="134"/>
      <c r="IO286" s="134"/>
      <c r="IP286" s="134"/>
      <c r="IQ286" s="134"/>
      <c r="IR286" s="134"/>
      <c r="IS286" s="135"/>
      <c r="IT286" s="135"/>
      <c r="IU286" s="134"/>
      <c r="IV286" s="134"/>
      <c r="IW286" s="134"/>
      <c r="IX286" s="134"/>
      <c r="IY286" s="134"/>
      <c r="IZ286" s="134"/>
      <c r="JA286" s="134"/>
      <c r="JB286" s="134"/>
      <c r="JC286" s="135"/>
      <c r="JD286" s="135"/>
    </row>
    <row r="287" spans="1:264" customFormat="1" ht="15" customHeight="1">
      <c r="A287" s="118" t="s">
        <v>243</v>
      </c>
      <c r="B287" s="616">
        <v>178</v>
      </c>
      <c r="C287" s="616">
        <v>61</v>
      </c>
      <c r="D287" s="616"/>
      <c r="E287" s="605" t="s">
        <v>1997</v>
      </c>
      <c r="F287" s="140" t="s">
        <v>2227</v>
      </c>
      <c r="G287" s="141">
        <v>2004</v>
      </c>
      <c r="H287" s="118">
        <v>15027792</v>
      </c>
      <c r="I287" s="118">
        <v>1</v>
      </c>
      <c r="J287" s="118"/>
      <c r="K287" s="118"/>
      <c r="L287" s="118">
        <v>1</v>
      </c>
      <c r="M287" s="118"/>
      <c r="N287" s="118">
        <v>1</v>
      </c>
      <c r="O287" s="142">
        <v>1</v>
      </c>
      <c r="P287" s="118" t="s">
        <v>662</v>
      </c>
      <c r="Q287" s="118" t="s">
        <v>1172</v>
      </c>
      <c r="R287" s="118" t="s">
        <v>1174</v>
      </c>
      <c r="S287" s="118">
        <v>1</v>
      </c>
      <c r="T287" s="118"/>
      <c r="U287" s="118"/>
      <c r="V287" s="118"/>
      <c r="W287" s="118" t="s">
        <v>665</v>
      </c>
      <c r="X287" s="118" t="s">
        <v>663</v>
      </c>
      <c r="Y287" s="118"/>
      <c r="Z287" s="118" t="s">
        <v>664</v>
      </c>
      <c r="AA287" s="118"/>
      <c r="AB287" s="118"/>
      <c r="AC287" s="145"/>
      <c r="AD287" s="573">
        <v>1</v>
      </c>
      <c r="AE287" s="573">
        <v>2</v>
      </c>
      <c r="AF287" s="159">
        <v>1</v>
      </c>
      <c r="AG287" s="160" t="s">
        <v>3157</v>
      </c>
      <c r="AH287" s="122">
        <v>2</v>
      </c>
      <c r="AI287" s="485" t="s">
        <v>5189</v>
      </c>
      <c r="AJ287" s="204" t="s">
        <v>5208</v>
      </c>
      <c r="AK287" s="192">
        <v>1</v>
      </c>
      <c r="AL287" s="205" t="s">
        <v>24</v>
      </c>
      <c r="AM287" s="122">
        <f>Table668[[#This Row],[Data_Subjects_n_ptsd]]+Table668[[#This Row],[Data_Subjects_n_control]]</f>
        <v>47</v>
      </c>
      <c r="AN287" s="122">
        <v>24</v>
      </c>
      <c r="AO287" s="122">
        <v>23</v>
      </c>
      <c r="AP287" s="122" t="s">
        <v>803</v>
      </c>
      <c r="AQ287" s="122" t="s">
        <v>803</v>
      </c>
      <c r="AR287" s="122">
        <v>51</v>
      </c>
      <c r="AS287" s="122">
        <v>2.5</v>
      </c>
      <c r="AT287" s="122">
        <v>52.4</v>
      </c>
      <c r="AU287" s="122">
        <v>3.1</v>
      </c>
      <c r="AV287" s="122" t="s">
        <v>5151</v>
      </c>
      <c r="AW287" s="122" t="s">
        <v>24</v>
      </c>
      <c r="AX287" s="122" t="s">
        <v>24</v>
      </c>
      <c r="AY287" s="122" t="s">
        <v>5150</v>
      </c>
      <c r="AZ287" s="122" t="s">
        <v>3835</v>
      </c>
      <c r="BA287" s="122" t="s">
        <v>5149</v>
      </c>
      <c r="BB287" s="588"/>
      <c r="BC287" s="588"/>
      <c r="BD287" s="161"/>
      <c r="BE287" s="161"/>
      <c r="BF287" s="161" t="s">
        <v>5207</v>
      </c>
      <c r="BG287" s="161"/>
      <c r="BH287" s="161"/>
      <c r="BI287" s="161"/>
      <c r="BJ287" s="161">
        <v>1</v>
      </c>
      <c r="BK287" s="161"/>
      <c r="BL287" s="161"/>
      <c r="BM287" s="161"/>
      <c r="BN287" s="161"/>
      <c r="BO287" s="161"/>
      <c r="BP287" s="161"/>
      <c r="BQ287" s="596" t="s">
        <v>5156</v>
      </c>
      <c r="BR287" s="162" t="s">
        <v>6621</v>
      </c>
      <c r="BS287" s="660"/>
      <c r="BT287" s="150" t="s">
        <v>1876</v>
      </c>
      <c r="BU287" s="150">
        <v>2</v>
      </c>
      <c r="BV287" s="150" t="s">
        <v>5159</v>
      </c>
      <c r="BW287" s="150" t="s">
        <v>24</v>
      </c>
      <c r="BX287" s="150" t="s">
        <v>5161</v>
      </c>
      <c r="BY287" s="150"/>
      <c r="BZ287" s="258" t="s">
        <v>5204</v>
      </c>
      <c r="CA287" s="257">
        <v>0</v>
      </c>
      <c r="CB287" s="151" t="s">
        <v>5168</v>
      </c>
      <c r="CC287" s="150">
        <v>37.6</v>
      </c>
      <c r="CD287" s="150">
        <v>4.3</v>
      </c>
      <c r="CE287" s="150" t="s">
        <v>24</v>
      </c>
      <c r="CF287" s="151" t="s">
        <v>5176</v>
      </c>
      <c r="CG287" s="150">
        <v>37.9</v>
      </c>
      <c r="CH287" s="150">
        <v>3.6</v>
      </c>
      <c r="CI287" s="150" t="s">
        <v>24</v>
      </c>
      <c r="CJ287" s="290" t="s">
        <v>3229</v>
      </c>
      <c r="CK287" s="291" t="s">
        <v>5195</v>
      </c>
      <c r="CL287" s="151" t="s">
        <v>5167</v>
      </c>
      <c r="CM287" s="150">
        <v>43</v>
      </c>
      <c r="CN287" s="150">
        <v>8.5</v>
      </c>
      <c r="CO287" s="150" t="s">
        <v>24</v>
      </c>
      <c r="CP287" s="151" t="s">
        <v>5174</v>
      </c>
      <c r="CQ287" s="150">
        <v>42.7</v>
      </c>
      <c r="CR287" s="150">
        <v>10.3</v>
      </c>
      <c r="CS287" s="150" t="s">
        <v>24</v>
      </c>
      <c r="CT287" s="290" t="s">
        <v>3229</v>
      </c>
      <c r="CU287" s="502" t="s">
        <v>5196</v>
      </c>
      <c r="CV287" s="278" t="s">
        <v>24</v>
      </c>
      <c r="CW287" s="285" t="s">
        <v>24</v>
      </c>
      <c r="CX287" s="151" t="s">
        <v>5169</v>
      </c>
      <c r="CY287" s="150">
        <v>28.3</v>
      </c>
      <c r="CZ287" s="150">
        <v>3</v>
      </c>
      <c r="DA287" s="150" t="s">
        <v>24</v>
      </c>
      <c r="DB287" s="151" t="s">
        <v>5171</v>
      </c>
      <c r="DC287" s="150">
        <v>27.9</v>
      </c>
      <c r="DD287" s="150">
        <v>2.5</v>
      </c>
      <c r="DE287" s="150" t="s">
        <v>24</v>
      </c>
      <c r="DF287" s="440" t="s">
        <v>3229</v>
      </c>
      <c r="DG287" s="553" t="s">
        <v>5197</v>
      </c>
      <c r="DH287" s="150" t="s">
        <v>24</v>
      </c>
      <c r="DI287" s="150" t="s">
        <v>24</v>
      </c>
      <c r="DJ287" s="150" t="s">
        <v>24</v>
      </c>
      <c r="DK287" s="150" t="s">
        <v>24</v>
      </c>
      <c r="DL287" s="150" t="s">
        <v>24</v>
      </c>
      <c r="DM287" s="150" t="s">
        <v>24</v>
      </c>
      <c r="DN287" s="150" t="s">
        <v>24</v>
      </c>
      <c r="DO287" s="150" t="s">
        <v>24</v>
      </c>
      <c r="DP287" s="302" t="s">
        <v>24</v>
      </c>
      <c r="DQ287" s="303" t="s">
        <v>24</v>
      </c>
      <c r="DR287" s="278" t="s">
        <v>24</v>
      </c>
      <c r="DS287" s="279" t="s">
        <v>24</v>
      </c>
      <c r="DT287" s="150"/>
      <c r="DU287" s="150"/>
      <c r="DV287" s="150"/>
      <c r="DW287" s="150"/>
      <c r="DX287" s="151"/>
      <c r="DY287" s="150"/>
      <c r="DZ287" s="150"/>
      <c r="EA287" s="150"/>
      <c r="EB287" s="303"/>
      <c r="EC287" s="303"/>
      <c r="ED287" s="151"/>
      <c r="EE287" s="150"/>
      <c r="EF287" s="150"/>
      <c r="EG287" s="150"/>
      <c r="EH287" s="151"/>
      <c r="EI287" s="150"/>
      <c r="EJ287" s="150"/>
      <c r="EK287" s="150"/>
      <c r="EL287" s="303"/>
      <c r="EM287" s="303"/>
      <c r="EN287" s="279"/>
      <c r="EO287" s="150"/>
      <c r="EP287" s="150"/>
      <c r="EQ287" s="150"/>
      <c r="ER287" s="150"/>
      <c r="ES287" s="150"/>
      <c r="ET287" s="150"/>
      <c r="EU287" s="150"/>
      <c r="EV287" s="150"/>
      <c r="EW287" s="303"/>
      <c r="EX287" s="303"/>
      <c r="EY287" s="150"/>
      <c r="EZ287" s="150"/>
      <c r="FA287" s="150"/>
      <c r="FB287" s="150"/>
      <c r="FC287" s="150"/>
      <c r="FD287" s="150"/>
      <c r="FE287" s="150"/>
      <c r="FF287" s="150"/>
      <c r="FG287" s="152"/>
      <c r="FH287" s="152"/>
      <c r="FI287" s="150"/>
      <c r="FJ287" s="150"/>
      <c r="FK287" s="150"/>
      <c r="FL287" s="150"/>
      <c r="FM287" s="150"/>
      <c r="FN287" s="150"/>
      <c r="FO287" s="150"/>
      <c r="FP287" s="150"/>
      <c r="FQ287" s="152"/>
      <c r="FR287" s="152"/>
      <c r="FS287" s="150"/>
      <c r="FT287" s="150"/>
      <c r="FU287" s="150"/>
      <c r="FV287" s="150"/>
      <c r="FW287" s="150"/>
      <c r="FX287" s="150"/>
      <c r="FY287" s="150"/>
      <c r="FZ287" s="150"/>
      <c r="GA287" s="152"/>
      <c r="GB287" s="152"/>
      <c r="GC287" s="150"/>
      <c r="GD287" s="150"/>
      <c r="GE287" s="150"/>
      <c r="GF287" s="150"/>
      <c r="GG287" s="150"/>
      <c r="GH287" s="150"/>
      <c r="GI287" s="150"/>
      <c r="GJ287" s="150"/>
      <c r="GK287" s="152"/>
      <c r="GL287" s="152"/>
      <c r="GM287" s="150"/>
      <c r="GN287" s="150"/>
      <c r="GO287" s="150"/>
      <c r="GP287" s="150"/>
      <c r="GQ287" s="150"/>
      <c r="GR287" s="150"/>
      <c r="GS287" s="150"/>
      <c r="GT287" s="150"/>
      <c r="GU287" s="152"/>
      <c r="GV287" s="152"/>
      <c r="GW287" s="134"/>
      <c r="GX287" s="134"/>
      <c r="GY287" s="134"/>
      <c r="GZ287" s="134"/>
      <c r="HA287" s="134"/>
      <c r="HB287" s="134"/>
      <c r="HC287" s="134"/>
      <c r="HD287" s="134"/>
      <c r="HE287" s="135"/>
      <c r="HF287" s="135"/>
      <c r="HG287" s="134"/>
      <c r="HH287" s="134"/>
      <c r="HI287" s="134"/>
      <c r="HJ287" s="134"/>
      <c r="HK287" s="134"/>
      <c r="HL287" s="134"/>
      <c r="HM287" s="134"/>
      <c r="HN287" s="134"/>
      <c r="HO287" s="135"/>
      <c r="HP287" s="135"/>
      <c r="HQ287" s="134"/>
      <c r="HR287" s="134"/>
      <c r="HS287" s="134"/>
      <c r="HT287" s="134"/>
      <c r="HU287" s="134"/>
      <c r="HV287" s="134"/>
      <c r="HW287" s="134"/>
      <c r="HX287" s="134"/>
      <c r="HY287" s="135"/>
      <c r="HZ287" s="135"/>
      <c r="IA287" s="134"/>
      <c r="IB287" s="134"/>
      <c r="IC287" s="134"/>
      <c r="ID287" s="134"/>
      <c r="IE287" s="134"/>
      <c r="IF287" s="134"/>
      <c r="IG287" s="134"/>
      <c r="IH287" s="134"/>
      <c r="II287" s="135"/>
      <c r="IJ287" s="135"/>
      <c r="IK287" s="134"/>
      <c r="IL287" s="134"/>
      <c r="IM287" s="134"/>
      <c r="IN287" s="134"/>
      <c r="IO287" s="134"/>
      <c r="IP287" s="134"/>
      <c r="IQ287" s="134"/>
      <c r="IR287" s="134"/>
      <c r="IS287" s="135"/>
      <c r="IT287" s="135"/>
      <c r="IU287" s="134"/>
      <c r="IV287" s="134"/>
      <c r="IW287" s="134"/>
      <c r="IX287" s="134"/>
      <c r="IY287" s="134"/>
      <c r="IZ287" s="134"/>
      <c r="JA287" s="134"/>
      <c r="JB287" s="134"/>
      <c r="JC287" s="135"/>
      <c r="JD287" s="135"/>
    </row>
    <row r="288" spans="1:264" customFormat="1" ht="15" customHeight="1">
      <c r="A288" s="118" t="s">
        <v>243</v>
      </c>
      <c r="B288" s="616">
        <v>178</v>
      </c>
      <c r="C288" s="616">
        <v>61</v>
      </c>
      <c r="D288" s="616"/>
      <c r="E288" s="605" t="s">
        <v>1997</v>
      </c>
      <c r="F288" s="140" t="s">
        <v>2227</v>
      </c>
      <c r="G288" s="141">
        <v>2004</v>
      </c>
      <c r="H288" s="118">
        <v>15027792</v>
      </c>
      <c r="I288" s="118">
        <v>1</v>
      </c>
      <c r="J288" s="118"/>
      <c r="K288" s="118"/>
      <c r="L288" s="118">
        <v>1</v>
      </c>
      <c r="M288" s="118"/>
      <c r="N288" s="118">
        <v>1</v>
      </c>
      <c r="O288" s="142">
        <v>1</v>
      </c>
      <c r="P288" s="118" t="s">
        <v>662</v>
      </c>
      <c r="Q288" s="118" t="s">
        <v>1172</v>
      </c>
      <c r="R288" s="118" t="s">
        <v>1174</v>
      </c>
      <c r="S288" s="118">
        <v>1</v>
      </c>
      <c r="T288" s="118"/>
      <c r="U288" s="118"/>
      <c r="V288" s="118"/>
      <c r="W288" s="118" t="s">
        <v>665</v>
      </c>
      <c r="X288" s="118" t="s">
        <v>663</v>
      </c>
      <c r="Y288" s="118"/>
      <c r="Z288" s="118" t="s">
        <v>664</v>
      </c>
      <c r="AA288" s="118"/>
      <c r="AB288" s="118"/>
      <c r="AC288" s="145"/>
      <c r="AD288" s="573">
        <v>1</v>
      </c>
      <c r="AE288" s="573">
        <v>2</v>
      </c>
      <c r="AF288" s="159">
        <v>1</v>
      </c>
      <c r="AG288" s="160" t="s">
        <v>3157</v>
      </c>
      <c r="AH288" s="122">
        <v>2</v>
      </c>
      <c r="AI288" s="485" t="s">
        <v>5189</v>
      </c>
      <c r="AJ288" s="204" t="s">
        <v>5208</v>
      </c>
      <c r="AK288" s="192">
        <v>1</v>
      </c>
      <c r="AL288" s="205" t="s">
        <v>24</v>
      </c>
      <c r="AM288" s="122">
        <f>Table668[[#This Row],[Data_Subjects_n_ptsd]]+Table668[[#This Row],[Data_Subjects_n_control]]</f>
        <v>47</v>
      </c>
      <c r="AN288" s="122">
        <v>24</v>
      </c>
      <c r="AO288" s="122">
        <v>23</v>
      </c>
      <c r="AP288" s="122" t="s">
        <v>803</v>
      </c>
      <c r="AQ288" s="122" t="s">
        <v>803</v>
      </c>
      <c r="AR288" s="122">
        <v>51</v>
      </c>
      <c r="AS288" s="122">
        <v>2.5</v>
      </c>
      <c r="AT288" s="122">
        <v>52.4</v>
      </c>
      <c r="AU288" s="122">
        <v>3.1</v>
      </c>
      <c r="AV288" s="122" t="s">
        <v>5151</v>
      </c>
      <c r="AW288" s="122" t="s">
        <v>24</v>
      </c>
      <c r="AX288" s="122" t="s">
        <v>24</v>
      </c>
      <c r="AY288" s="122" t="s">
        <v>5150</v>
      </c>
      <c r="AZ288" s="122" t="s">
        <v>3835</v>
      </c>
      <c r="BA288" s="122" t="s">
        <v>5149</v>
      </c>
      <c r="BB288" s="588"/>
      <c r="BC288" s="588"/>
      <c r="BD288" s="161"/>
      <c r="BE288" s="161"/>
      <c r="BF288" s="161" t="s">
        <v>5207</v>
      </c>
      <c r="BG288" s="161"/>
      <c r="BH288" s="161"/>
      <c r="BI288" s="161"/>
      <c r="BJ288" s="161">
        <v>1</v>
      </c>
      <c r="BK288" s="161"/>
      <c r="BL288" s="161"/>
      <c r="BM288" s="161"/>
      <c r="BN288" s="161"/>
      <c r="BO288" s="161"/>
      <c r="BP288" s="161"/>
      <c r="BQ288" s="596" t="s">
        <v>5163</v>
      </c>
      <c r="BR288" s="162" t="s">
        <v>6621</v>
      </c>
      <c r="BS288" s="660"/>
      <c r="BT288" s="150" t="s">
        <v>1876</v>
      </c>
      <c r="BU288" s="150">
        <v>2</v>
      </c>
      <c r="BV288" s="150" t="s">
        <v>5164</v>
      </c>
      <c r="BW288" s="150" t="s">
        <v>24</v>
      </c>
      <c r="BX288" s="150" t="s">
        <v>5166</v>
      </c>
      <c r="BY288" s="150"/>
      <c r="BZ288" s="258" t="s">
        <v>5206</v>
      </c>
      <c r="CA288" s="257">
        <v>0</v>
      </c>
      <c r="CB288" s="151" t="s">
        <v>5181</v>
      </c>
      <c r="CC288" s="150">
        <v>38.299999999999997</v>
      </c>
      <c r="CD288" s="150">
        <v>3.1</v>
      </c>
      <c r="CE288" s="150" t="s">
        <v>24</v>
      </c>
      <c r="CF288" s="151" t="s">
        <v>5188</v>
      </c>
      <c r="CG288" s="150">
        <v>36.9</v>
      </c>
      <c r="CH288" s="150">
        <v>3.2</v>
      </c>
      <c r="CI288" s="150" t="s">
        <v>24</v>
      </c>
      <c r="CJ288" s="290" t="s">
        <v>3229</v>
      </c>
      <c r="CK288" s="291" t="s">
        <v>5191</v>
      </c>
      <c r="CL288" s="151" t="s">
        <v>5182</v>
      </c>
      <c r="CM288" s="150">
        <v>42.7</v>
      </c>
      <c r="CN288" s="150">
        <v>8.3000000000000007</v>
      </c>
      <c r="CO288" s="150" t="s">
        <v>24</v>
      </c>
      <c r="CP288" s="151" t="s">
        <v>5184</v>
      </c>
      <c r="CQ288" s="150">
        <v>43.1</v>
      </c>
      <c r="CR288" s="150">
        <v>9</v>
      </c>
      <c r="CS288" s="150" t="s">
        <v>24</v>
      </c>
      <c r="CT288" s="290" t="s">
        <v>3229</v>
      </c>
      <c r="CU288" s="502" t="s">
        <v>5202</v>
      </c>
      <c r="CV288" s="278" t="s">
        <v>24</v>
      </c>
      <c r="CW288" s="285" t="s">
        <v>24</v>
      </c>
      <c r="CX288" s="151" t="s">
        <v>24</v>
      </c>
      <c r="CY288" s="150" t="s">
        <v>24</v>
      </c>
      <c r="CZ288" s="150" t="s">
        <v>24</v>
      </c>
      <c r="DA288" s="150" t="s">
        <v>24</v>
      </c>
      <c r="DB288" s="150" t="s">
        <v>24</v>
      </c>
      <c r="DC288" s="150" t="s">
        <v>24</v>
      </c>
      <c r="DD288" s="150" t="s">
        <v>24</v>
      </c>
      <c r="DE288" s="150" t="s">
        <v>24</v>
      </c>
      <c r="DF288" s="302"/>
      <c r="DG288" s="303"/>
      <c r="DH288" s="150" t="s">
        <v>24</v>
      </c>
      <c r="DI288" s="150" t="s">
        <v>24</v>
      </c>
      <c r="DJ288" s="150" t="s">
        <v>24</v>
      </c>
      <c r="DK288" s="150" t="s">
        <v>24</v>
      </c>
      <c r="DL288" s="150" t="s">
        <v>24</v>
      </c>
      <c r="DM288" s="150" t="s">
        <v>24</v>
      </c>
      <c r="DN288" s="150" t="s">
        <v>24</v>
      </c>
      <c r="DO288" s="150" t="s">
        <v>24</v>
      </c>
      <c r="DP288" s="302"/>
      <c r="DQ288" s="303"/>
      <c r="DR288" s="278"/>
      <c r="DS288" s="279"/>
      <c r="DT288" s="150"/>
      <c r="DU288" s="150"/>
      <c r="DV288" s="150"/>
      <c r="DW288" s="150"/>
      <c r="DX288" s="151"/>
      <c r="DY288" s="150"/>
      <c r="DZ288" s="150"/>
      <c r="EA288" s="150"/>
      <c r="EB288" s="303"/>
      <c r="EC288" s="303"/>
      <c r="ED288" s="151"/>
      <c r="EE288" s="150"/>
      <c r="EF288" s="150"/>
      <c r="EG288" s="150"/>
      <c r="EH288" s="151"/>
      <c r="EI288" s="150"/>
      <c r="EJ288" s="150"/>
      <c r="EK288" s="150"/>
      <c r="EL288" s="303"/>
      <c r="EM288" s="303"/>
      <c r="EN288" s="279"/>
      <c r="EO288" s="150"/>
      <c r="EP288" s="150"/>
      <c r="EQ288" s="150"/>
      <c r="ER288" s="150"/>
      <c r="ES288" s="150"/>
      <c r="ET288" s="150"/>
      <c r="EU288" s="150"/>
      <c r="EV288" s="150"/>
      <c r="EW288" s="303"/>
      <c r="EX288" s="303"/>
      <c r="EY288" s="150"/>
      <c r="EZ288" s="150"/>
      <c r="FA288" s="150"/>
      <c r="FB288" s="150"/>
      <c r="FC288" s="150"/>
      <c r="FD288" s="150"/>
      <c r="FE288" s="150"/>
      <c r="FF288" s="150"/>
      <c r="FG288" s="152"/>
      <c r="FH288" s="152"/>
      <c r="FI288" s="150"/>
      <c r="FJ288" s="150"/>
      <c r="FK288" s="150"/>
      <c r="FL288" s="150"/>
      <c r="FM288" s="150"/>
      <c r="FN288" s="150"/>
      <c r="FO288" s="150"/>
      <c r="FP288" s="150"/>
      <c r="FQ288" s="152"/>
      <c r="FR288" s="152"/>
      <c r="FS288" s="150"/>
      <c r="FT288" s="150"/>
      <c r="FU288" s="150"/>
      <c r="FV288" s="150"/>
      <c r="FW288" s="150"/>
      <c r="FX288" s="150"/>
      <c r="FY288" s="150"/>
      <c r="FZ288" s="150"/>
      <c r="GA288" s="152"/>
      <c r="GB288" s="152"/>
      <c r="GC288" s="150"/>
      <c r="GD288" s="150"/>
      <c r="GE288" s="150"/>
      <c r="GF288" s="150"/>
      <c r="GG288" s="150"/>
      <c r="GH288" s="150"/>
      <c r="GI288" s="150"/>
      <c r="GJ288" s="150"/>
      <c r="GK288" s="152"/>
      <c r="GL288" s="152"/>
      <c r="GM288" s="150"/>
      <c r="GN288" s="150"/>
      <c r="GO288" s="150"/>
      <c r="GP288" s="150"/>
      <c r="GQ288" s="150"/>
      <c r="GR288" s="150"/>
      <c r="GS288" s="150"/>
      <c r="GT288" s="150"/>
      <c r="GU288" s="152"/>
      <c r="GV288" s="152"/>
      <c r="GW288" s="134"/>
      <c r="GX288" s="134"/>
      <c r="GY288" s="134"/>
      <c r="GZ288" s="134"/>
      <c r="HA288" s="134"/>
      <c r="HB288" s="134"/>
      <c r="HC288" s="134"/>
      <c r="HD288" s="134"/>
      <c r="HE288" s="135"/>
      <c r="HF288" s="135"/>
      <c r="HG288" s="134"/>
      <c r="HH288" s="134"/>
      <c r="HI288" s="134"/>
      <c r="HJ288" s="134"/>
      <c r="HK288" s="134"/>
      <c r="HL288" s="134"/>
      <c r="HM288" s="134"/>
      <c r="HN288" s="134"/>
      <c r="HO288" s="135"/>
      <c r="HP288" s="135"/>
      <c r="HQ288" s="134"/>
      <c r="HR288" s="134"/>
      <c r="HS288" s="134"/>
      <c r="HT288" s="134"/>
      <c r="HU288" s="134"/>
      <c r="HV288" s="134"/>
      <c r="HW288" s="134"/>
      <c r="HX288" s="134"/>
      <c r="HY288" s="135"/>
      <c r="HZ288" s="135"/>
      <c r="IA288" s="134"/>
      <c r="IB288" s="134"/>
      <c r="IC288" s="134"/>
      <c r="ID288" s="134"/>
      <c r="IE288" s="134"/>
      <c r="IF288" s="134"/>
      <c r="IG288" s="134"/>
      <c r="IH288" s="134"/>
      <c r="II288" s="135"/>
      <c r="IJ288" s="135"/>
      <c r="IK288" s="134"/>
      <c r="IL288" s="134"/>
      <c r="IM288" s="134"/>
      <c r="IN288" s="134"/>
      <c r="IO288" s="134"/>
      <c r="IP288" s="134"/>
      <c r="IQ288" s="134"/>
      <c r="IR288" s="134"/>
      <c r="IS288" s="135"/>
      <c r="IT288" s="135"/>
      <c r="IU288" s="134"/>
      <c r="IV288" s="134"/>
      <c r="IW288" s="134"/>
      <c r="IX288" s="134"/>
      <c r="IY288" s="134"/>
      <c r="IZ288" s="134"/>
      <c r="JA288" s="134"/>
      <c r="JB288" s="134"/>
      <c r="JC288" s="135"/>
      <c r="JD288" s="135"/>
    </row>
    <row r="289" spans="1:264" customFormat="1" ht="15" customHeight="1">
      <c r="A289" s="79" t="s">
        <v>1011</v>
      </c>
      <c r="B289" s="362">
        <v>34</v>
      </c>
      <c r="C289" s="362"/>
      <c r="D289" s="362"/>
      <c r="E289" s="604" t="s">
        <v>2098</v>
      </c>
      <c r="F289" s="124" t="s">
        <v>2353</v>
      </c>
      <c r="G289" s="125">
        <v>2010</v>
      </c>
      <c r="H289" s="79">
        <v>20599458</v>
      </c>
      <c r="I289" s="79">
        <v>1</v>
      </c>
      <c r="J289" s="126">
        <v>1</v>
      </c>
      <c r="K289" s="127"/>
      <c r="L289" s="79">
        <v>1</v>
      </c>
      <c r="M289" s="79"/>
      <c r="N289" s="153">
        <v>1</v>
      </c>
      <c r="O289" s="128">
        <v>2</v>
      </c>
      <c r="P289" s="79" t="s">
        <v>1220</v>
      </c>
      <c r="Q289" s="79" t="s">
        <v>1212</v>
      </c>
      <c r="R289" s="79" t="s">
        <v>1127</v>
      </c>
      <c r="S289" s="79"/>
      <c r="T289" s="79" t="s">
        <v>1501</v>
      </c>
      <c r="U289" s="79"/>
      <c r="V289" s="79"/>
      <c r="W289" s="79" t="s">
        <v>1438</v>
      </c>
      <c r="X289" s="79"/>
      <c r="Y289" s="79"/>
      <c r="Z289" s="79"/>
      <c r="AA289" s="79" t="s">
        <v>1439</v>
      </c>
      <c r="AB289" s="79"/>
      <c r="AC289" s="506"/>
      <c r="AD289" s="573">
        <v>1</v>
      </c>
      <c r="AE289" s="573">
        <v>2</v>
      </c>
      <c r="AF289" s="233" t="s">
        <v>3003</v>
      </c>
      <c r="AG289" s="234" t="s">
        <v>4678</v>
      </c>
      <c r="AH289" s="135">
        <v>4</v>
      </c>
      <c r="AI289" s="484"/>
      <c r="AJ289" s="235" t="s">
        <v>3238</v>
      </c>
      <c r="AK289" s="192">
        <v>2</v>
      </c>
      <c r="AL289" s="237" t="s">
        <v>3242</v>
      </c>
      <c r="AM289" s="135">
        <v>10</v>
      </c>
      <c r="AN289" s="135" t="s">
        <v>3235</v>
      </c>
      <c r="AO289" s="135" t="s">
        <v>24</v>
      </c>
      <c r="AP289" s="135" t="s">
        <v>803</v>
      </c>
      <c r="AQ289" s="135" t="s">
        <v>24</v>
      </c>
      <c r="AR289" s="135" t="s">
        <v>3234</v>
      </c>
      <c r="AS289" s="135" t="s">
        <v>24</v>
      </c>
      <c r="AT289" s="135" t="s">
        <v>24</v>
      </c>
      <c r="AU289" s="135" t="s">
        <v>24</v>
      </c>
      <c r="AV289" s="135" t="s">
        <v>3231</v>
      </c>
      <c r="AW289" s="135">
        <v>1</v>
      </c>
      <c r="AX289" s="135" t="s">
        <v>3336</v>
      </c>
      <c r="AY289" s="135" t="s">
        <v>24</v>
      </c>
      <c r="AZ289" s="135" t="s">
        <v>2912</v>
      </c>
      <c r="BA289" s="135" t="s">
        <v>3236</v>
      </c>
      <c r="BB289" s="594"/>
      <c r="BC289" s="594"/>
      <c r="BD289" s="156">
        <v>1</v>
      </c>
      <c r="BE289" s="156"/>
      <c r="BF289" s="156"/>
      <c r="BG289" s="156"/>
      <c r="BH289" s="156"/>
      <c r="BI289" s="156"/>
      <c r="BJ289" s="156"/>
      <c r="BK289" s="156"/>
      <c r="BL289" s="156"/>
      <c r="BM289" s="156"/>
      <c r="BN289" s="156"/>
      <c r="BO289" s="156"/>
      <c r="BP289" s="156"/>
      <c r="BQ289" s="595" t="s">
        <v>2529</v>
      </c>
      <c r="BR289" s="157" t="s">
        <v>6597</v>
      </c>
      <c r="BS289" s="660"/>
      <c r="BT289" s="134" t="s">
        <v>2789</v>
      </c>
      <c r="BU289" s="134" t="s">
        <v>3233</v>
      </c>
      <c r="BV289" s="134" t="s">
        <v>3232</v>
      </c>
      <c r="BW289" s="134" t="s">
        <v>2471</v>
      </c>
      <c r="BX289" s="134" t="s">
        <v>3237</v>
      </c>
      <c r="BY289" s="134" t="s">
        <v>6640</v>
      </c>
      <c r="BZ289" s="259" t="s">
        <v>3275</v>
      </c>
      <c r="CA289" s="454" t="s">
        <v>23</v>
      </c>
      <c r="CB289" s="138" t="s">
        <v>3246</v>
      </c>
      <c r="CC289" s="134">
        <v>175.61500000000001</v>
      </c>
      <c r="CD289" s="134" t="s">
        <v>24</v>
      </c>
      <c r="CE289" s="134">
        <f>203.637-Table668[[#This Row],[Data_Outcome1_M]]</f>
        <v>28.021999999999991</v>
      </c>
      <c r="CF289" s="432" t="s">
        <v>3251</v>
      </c>
      <c r="CG289" s="134">
        <v>98.436499999999995</v>
      </c>
      <c r="CH289" s="134" t="s">
        <v>24</v>
      </c>
      <c r="CI289" s="134">
        <f>119.039-Table668[[#This Row],[Data_Outcome2_M]]</f>
        <v>20.602500000000006</v>
      </c>
      <c r="CJ289" s="288" t="s">
        <v>24</v>
      </c>
      <c r="CK289" s="289" t="s">
        <v>24</v>
      </c>
      <c r="CL289" s="432" t="s">
        <v>3257</v>
      </c>
      <c r="CM289" s="134">
        <v>64.945300000000003</v>
      </c>
      <c r="CN289" s="134" t="s">
        <v>24</v>
      </c>
      <c r="CO289" s="134">
        <f>87.195-Table668[[#This Row],[Data_Outcome3_M]]</f>
        <v>22.24969999999999</v>
      </c>
      <c r="CP289" s="138" t="s">
        <v>24</v>
      </c>
      <c r="CQ289" s="134" t="s">
        <v>24</v>
      </c>
      <c r="CR289" s="134" t="s">
        <v>24</v>
      </c>
      <c r="CS289" s="134" t="s">
        <v>24</v>
      </c>
      <c r="CT289" s="288" t="s">
        <v>3263</v>
      </c>
      <c r="CU289" s="289" t="s">
        <v>3264</v>
      </c>
      <c r="CV289" s="276"/>
      <c r="CW289" s="308"/>
      <c r="CX289" s="138"/>
      <c r="CY289" s="134"/>
      <c r="CZ289" s="134"/>
      <c r="DA289" s="134"/>
      <c r="DB289" s="134"/>
      <c r="DC289" s="134"/>
      <c r="DD289" s="134"/>
      <c r="DE289" s="134"/>
      <c r="DF289" s="300"/>
      <c r="DG289" s="301"/>
      <c r="DH289" s="134"/>
      <c r="DI289" s="134"/>
      <c r="DJ289" s="134"/>
      <c r="DK289" s="134"/>
      <c r="DL289" s="134"/>
      <c r="DM289" s="134"/>
      <c r="DN289" s="134"/>
      <c r="DO289" s="134"/>
      <c r="DP289" s="300"/>
      <c r="DQ289" s="301"/>
      <c r="DR289" s="276"/>
      <c r="DS289" s="277"/>
      <c r="DT289" s="134"/>
      <c r="DU289" s="134"/>
      <c r="DV289" s="134"/>
      <c r="DW289" s="134"/>
      <c r="DX289" s="138"/>
      <c r="DY289" s="134"/>
      <c r="DZ289" s="134"/>
      <c r="EA289" s="134"/>
      <c r="EB289" s="301"/>
      <c r="EC289" s="301"/>
      <c r="ED289" s="138"/>
      <c r="EE289" s="134"/>
      <c r="EF289" s="134"/>
      <c r="EG289" s="134"/>
      <c r="EH289" s="138"/>
      <c r="EI289" s="134"/>
      <c r="EJ289" s="134"/>
      <c r="EK289" s="134"/>
      <c r="EL289" s="301"/>
      <c r="EM289" s="301"/>
      <c r="EN289" s="277"/>
      <c r="EO289" s="134"/>
      <c r="EP289" s="134"/>
      <c r="EQ289" s="134"/>
      <c r="ER289" s="134"/>
      <c r="ES289" s="134"/>
      <c r="ET289" s="134"/>
      <c r="EU289" s="134"/>
      <c r="EV289" s="134"/>
      <c r="EW289" s="301"/>
      <c r="EX289" s="301"/>
      <c r="EY289" s="134"/>
      <c r="EZ289" s="134"/>
      <c r="FA289" s="134"/>
      <c r="FB289" s="134"/>
      <c r="FC289" s="134"/>
      <c r="FD289" s="134"/>
      <c r="FE289" s="134"/>
      <c r="FF289" s="134"/>
      <c r="FG289" s="135"/>
      <c r="FH289" s="135"/>
      <c r="FI289" s="134"/>
      <c r="FJ289" s="134"/>
      <c r="FK289" s="134"/>
      <c r="FL289" s="134"/>
      <c r="FM289" s="134"/>
      <c r="FN289" s="134"/>
      <c r="FO289" s="134"/>
      <c r="FP289" s="134"/>
      <c r="FQ289" s="135"/>
      <c r="FR289" s="135"/>
      <c r="FS289" s="134"/>
      <c r="FT289" s="134"/>
      <c r="FU289" s="134"/>
      <c r="FV289" s="134"/>
      <c r="FW289" s="134"/>
      <c r="FX289" s="134"/>
      <c r="FY289" s="134"/>
      <c r="FZ289" s="134"/>
      <c r="GA289" s="135"/>
      <c r="GB289" s="135"/>
      <c r="GC289" s="134"/>
      <c r="GD289" s="134"/>
      <c r="GE289" s="134"/>
      <c r="GF289" s="134"/>
      <c r="GG289" s="134"/>
      <c r="GH289" s="134"/>
      <c r="GI289" s="134"/>
      <c r="GJ289" s="134"/>
      <c r="GK289" s="135"/>
      <c r="GL289" s="135"/>
      <c r="GM289" s="134"/>
      <c r="GN289" s="134"/>
      <c r="GO289" s="134"/>
      <c r="GP289" s="134"/>
      <c r="GQ289" s="134"/>
      <c r="GR289" s="134"/>
      <c r="GS289" s="134"/>
      <c r="GT289" s="134"/>
      <c r="GU289" s="135"/>
      <c r="GV289" s="135"/>
      <c r="GW289" s="134"/>
      <c r="GX289" s="134"/>
      <c r="GY289" s="134"/>
      <c r="GZ289" s="134"/>
      <c r="HA289" s="134"/>
      <c r="HB289" s="134"/>
      <c r="HC289" s="134"/>
      <c r="HD289" s="134"/>
      <c r="HE289" s="135"/>
      <c r="HF289" s="135"/>
      <c r="HG289" s="134"/>
      <c r="HH289" s="134"/>
      <c r="HI289" s="134"/>
      <c r="HJ289" s="134"/>
      <c r="HK289" s="134"/>
      <c r="HL289" s="134"/>
      <c r="HM289" s="134"/>
      <c r="HN289" s="134"/>
      <c r="HO289" s="135"/>
      <c r="HP289" s="135"/>
      <c r="HQ289" s="134"/>
      <c r="HR289" s="134"/>
      <c r="HS289" s="134"/>
      <c r="HT289" s="134"/>
      <c r="HU289" s="134"/>
      <c r="HV289" s="134"/>
      <c r="HW289" s="134"/>
      <c r="HX289" s="134"/>
      <c r="HY289" s="135"/>
      <c r="HZ289" s="135"/>
      <c r="IA289" s="134"/>
      <c r="IB289" s="134"/>
      <c r="IC289" s="134"/>
      <c r="ID289" s="134"/>
      <c r="IE289" s="134"/>
      <c r="IF289" s="134"/>
      <c r="IG289" s="134"/>
      <c r="IH289" s="134"/>
      <c r="II289" s="135"/>
      <c r="IJ289" s="135"/>
      <c r="IK289" s="134"/>
      <c r="IL289" s="134"/>
      <c r="IM289" s="134"/>
      <c r="IN289" s="134"/>
      <c r="IO289" s="134"/>
      <c r="IP289" s="134"/>
      <c r="IQ289" s="134"/>
      <c r="IR289" s="134"/>
      <c r="IS289" s="135"/>
      <c r="IT289" s="135"/>
      <c r="IU289" s="134"/>
      <c r="IV289" s="134"/>
      <c r="IW289" s="134"/>
      <c r="IX289" s="134"/>
      <c r="IY289" s="134"/>
      <c r="IZ289" s="134"/>
      <c r="JA289" s="134"/>
      <c r="JB289" s="134"/>
      <c r="JC289" s="135"/>
      <c r="JD289" s="135"/>
    </row>
    <row r="290" spans="1:264" customFormat="1" ht="15" customHeight="1">
      <c r="A290" s="118" t="s">
        <v>1011</v>
      </c>
      <c r="B290" s="362">
        <v>34</v>
      </c>
      <c r="C290" s="362"/>
      <c r="D290" s="362"/>
      <c r="E290" s="605" t="s">
        <v>2098</v>
      </c>
      <c r="F290" s="140" t="s">
        <v>2353</v>
      </c>
      <c r="G290" s="141">
        <v>2010</v>
      </c>
      <c r="H290" s="118">
        <v>20599458</v>
      </c>
      <c r="I290" s="118">
        <v>1</v>
      </c>
      <c r="J290" s="118">
        <v>1</v>
      </c>
      <c r="K290" s="118"/>
      <c r="L290" s="118">
        <v>1</v>
      </c>
      <c r="M290" s="118"/>
      <c r="N290" s="158">
        <v>1</v>
      </c>
      <c r="O290" s="142">
        <v>2</v>
      </c>
      <c r="P290" s="118" t="s">
        <v>1220</v>
      </c>
      <c r="Q290" s="118" t="s">
        <v>1212</v>
      </c>
      <c r="R290" s="118" t="s">
        <v>1127</v>
      </c>
      <c r="S290" s="118"/>
      <c r="T290" s="118" t="s">
        <v>1501</v>
      </c>
      <c r="U290" s="118"/>
      <c r="V290" s="118"/>
      <c r="W290" s="118" t="s">
        <v>1438</v>
      </c>
      <c r="X290" s="118"/>
      <c r="Y290" s="118"/>
      <c r="Z290" s="118"/>
      <c r="AA290" s="118" t="s">
        <v>1439</v>
      </c>
      <c r="AB290" s="118"/>
      <c r="AC290" s="145"/>
      <c r="AD290" s="573">
        <v>1</v>
      </c>
      <c r="AE290" s="573">
        <v>2</v>
      </c>
      <c r="AF290" s="233" t="s">
        <v>3003</v>
      </c>
      <c r="AG290" s="234" t="s">
        <v>4678</v>
      </c>
      <c r="AH290" s="152">
        <v>4</v>
      </c>
      <c r="AI290" s="485"/>
      <c r="AJ290" s="242" t="s">
        <v>3238</v>
      </c>
      <c r="AK290" s="192">
        <v>2</v>
      </c>
      <c r="AL290" s="243" t="s">
        <v>3241</v>
      </c>
      <c r="AM290" s="422" t="s">
        <v>3273</v>
      </c>
      <c r="AN290" s="152" t="s">
        <v>3271</v>
      </c>
      <c r="AO290" s="152" t="s">
        <v>24</v>
      </c>
      <c r="AP290" s="152" t="s">
        <v>803</v>
      </c>
      <c r="AQ290" s="152" t="s">
        <v>24</v>
      </c>
      <c r="AR290" s="152" t="s">
        <v>3234</v>
      </c>
      <c r="AS290" s="152" t="s">
        <v>24</v>
      </c>
      <c r="AT290" s="152" t="s">
        <v>24</v>
      </c>
      <c r="AU290" s="152" t="s">
        <v>24</v>
      </c>
      <c r="AV290" s="152" t="s">
        <v>3231</v>
      </c>
      <c r="AW290" s="152">
        <v>1</v>
      </c>
      <c r="AX290" s="135" t="s">
        <v>3336</v>
      </c>
      <c r="AY290" s="152" t="s">
        <v>24</v>
      </c>
      <c r="AZ290" s="152" t="s">
        <v>2912</v>
      </c>
      <c r="BA290" s="152" t="s">
        <v>3236</v>
      </c>
      <c r="BB290" s="588"/>
      <c r="BC290" s="588"/>
      <c r="BD290" s="161">
        <v>1</v>
      </c>
      <c r="BE290" s="161"/>
      <c r="BF290" s="161"/>
      <c r="BG290" s="161"/>
      <c r="BH290" s="161"/>
      <c r="BI290" s="161"/>
      <c r="BJ290" s="161"/>
      <c r="BK290" s="161"/>
      <c r="BL290" s="161"/>
      <c r="BM290" s="161"/>
      <c r="BN290" s="161"/>
      <c r="BO290" s="161"/>
      <c r="BP290" s="161"/>
      <c r="BQ290" s="596" t="s">
        <v>2529</v>
      </c>
      <c r="BR290" s="157" t="s">
        <v>6597</v>
      </c>
      <c r="BS290" s="660"/>
      <c r="BT290" s="150" t="s">
        <v>2789</v>
      </c>
      <c r="BU290" s="150" t="s">
        <v>3233</v>
      </c>
      <c r="BV290" s="150" t="s">
        <v>3232</v>
      </c>
      <c r="BW290" s="150" t="s">
        <v>2471</v>
      </c>
      <c r="BX290" s="150" t="s">
        <v>3237</v>
      </c>
      <c r="BY290" s="134" t="s">
        <v>6640</v>
      </c>
      <c r="BZ290" s="258" t="s">
        <v>3275</v>
      </c>
      <c r="CA290" s="454" t="s">
        <v>23</v>
      </c>
      <c r="CB290" s="151" t="s">
        <v>3245</v>
      </c>
      <c r="CC290" s="150">
        <v>223.06100000000001</v>
      </c>
      <c r="CD290" s="150" t="s">
        <v>24</v>
      </c>
      <c r="CE290" s="150">
        <f>241.429-Table668[[#This Row],[Data_Outcome1_M]]</f>
        <v>18.367999999999995</v>
      </c>
      <c r="CF290" s="431" t="s">
        <v>3252</v>
      </c>
      <c r="CG290" s="150">
        <v>178.571</v>
      </c>
      <c r="CH290" s="150" t="s">
        <v>24</v>
      </c>
      <c r="CI290" s="150">
        <f>200.204-Table668[[#This Row],[Data_Outcome2_M]]</f>
        <v>21.63300000000001</v>
      </c>
      <c r="CJ290" s="290" t="s">
        <v>24</v>
      </c>
      <c r="CK290" s="291" t="s">
        <v>24</v>
      </c>
      <c r="CL290" s="431" t="s">
        <v>3258</v>
      </c>
      <c r="CM290" s="150">
        <v>120.61199999999999</v>
      </c>
      <c r="CN290" s="150" t="s">
        <v>24</v>
      </c>
      <c r="CO290" s="150">
        <f>141.837-Table668[[#This Row],[Data_Outcome3_M]]</f>
        <v>21.224999999999994</v>
      </c>
      <c r="CP290" s="151" t="s">
        <v>24</v>
      </c>
      <c r="CQ290" s="150" t="s">
        <v>24</v>
      </c>
      <c r="CR290" s="150" t="s">
        <v>24</v>
      </c>
      <c r="CS290" s="150" t="s">
        <v>24</v>
      </c>
      <c r="CT290" s="290" t="s">
        <v>3263</v>
      </c>
      <c r="CU290" s="291" t="s">
        <v>3264</v>
      </c>
      <c r="CV290" s="278"/>
      <c r="CW290" s="285"/>
      <c r="CX290" s="151"/>
      <c r="CY290" s="150"/>
      <c r="CZ290" s="150"/>
      <c r="DA290" s="150"/>
      <c r="DB290" s="150"/>
      <c r="DC290" s="150"/>
      <c r="DD290" s="150"/>
      <c r="DE290" s="150"/>
      <c r="DF290" s="302"/>
      <c r="DG290" s="303"/>
      <c r="DH290" s="150"/>
      <c r="DI290" s="150"/>
      <c r="DJ290" s="150"/>
      <c r="DK290" s="150"/>
      <c r="DL290" s="150"/>
      <c r="DM290" s="150"/>
      <c r="DN290" s="150"/>
      <c r="DO290" s="150"/>
      <c r="DP290" s="302"/>
      <c r="DQ290" s="303"/>
      <c r="DR290" s="278"/>
      <c r="DS290" s="279"/>
      <c r="DT290" s="150"/>
      <c r="DU290" s="150"/>
      <c r="DV290" s="150"/>
      <c r="DW290" s="150"/>
      <c r="DX290" s="151"/>
      <c r="DY290" s="150"/>
      <c r="DZ290" s="150"/>
      <c r="EA290" s="150"/>
      <c r="EB290" s="303"/>
      <c r="EC290" s="303"/>
      <c r="ED290" s="151"/>
      <c r="EE290" s="150"/>
      <c r="EF290" s="150"/>
      <c r="EG290" s="150"/>
      <c r="EH290" s="151"/>
      <c r="EI290" s="150"/>
      <c r="EJ290" s="150"/>
      <c r="EK290" s="150"/>
      <c r="EL290" s="303"/>
      <c r="EM290" s="303"/>
      <c r="EN290" s="279"/>
      <c r="EO290" s="150"/>
      <c r="EP290" s="150"/>
      <c r="EQ290" s="150"/>
      <c r="ER290" s="150"/>
      <c r="ES290" s="150"/>
      <c r="ET290" s="150"/>
      <c r="EU290" s="150"/>
      <c r="EV290" s="150"/>
      <c r="EW290" s="303"/>
      <c r="EX290" s="303"/>
      <c r="EY290" s="150"/>
      <c r="EZ290" s="150"/>
      <c r="FA290" s="150"/>
      <c r="FB290" s="150"/>
      <c r="FC290" s="134"/>
      <c r="FD290" s="134"/>
      <c r="FE290" s="134"/>
      <c r="FF290" s="134"/>
      <c r="FG290" s="135"/>
      <c r="FH290" s="135"/>
      <c r="FI290" s="134"/>
      <c r="FJ290" s="134"/>
      <c r="FK290" s="134"/>
      <c r="FL290" s="134"/>
      <c r="FM290" s="134"/>
      <c r="FN290" s="134"/>
      <c r="FO290" s="134"/>
      <c r="FP290" s="134"/>
      <c r="FQ290" s="135"/>
      <c r="FR290" s="135"/>
      <c r="FS290" s="134"/>
      <c r="FT290" s="134"/>
      <c r="FU290" s="134"/>
      <c r="FV290" s="134"/>
      <c r="FW290" s="134"/>
      <c r="FX290" s="134"/>
      <c r="FY290" s="134"/>
      <c r="FZ290" s="134"/>
      <c r="GA290" s="135"/>
      <c r="GB290" s="135"/>
      <c r="GC290" s="134"/>
      <c r="GD290" s="134"/>
      <c r="GE290" s="134"/>
      <c r="GF290" s="134"/>
      <c r="GG290" s="134"/>
      <c r="GH290" s="134"/>
      <c r="GI290" s="134"/>
      <c r="GJ290" s="134"/>
      <c r="GK290" s="135"/>
      <c r="GL290" s="135"/>
      <c r="GM290" s="134"/>
      <c r="GN290" s="134"/>
      <c r="GO290" s="134"/>
      <c r="GP290" s="134"/>
      <c r="GQ290" s="134"/>
      <c r="GR290" s="134"/>
      <c r="GS290" s="134"/>
      <c r="GT290" s="134"/>
      <c r="GU290" s="135"/>
      <c r="GV290" s="135"/>
      <c r="GW290" s="134"/>
      <c r="GX290" s="134"/>
      <c r="GY290" s="134"/>
      <c r="GZ290" s="134"/>
      <c r="HA290" s="134"/>
      <c r="HB290" s="134"/>
      <c r="HC290" s="134"/>
      <c r="HD290" s="134"/>
      <c r="HE290" s="135"/>
      <c r="HF290" s="135"/>
      <c r="HG290" s="134"/>
      <c r="HH290" s="134"/>
      <c r="HI290" s="134"/>
      <c r="HJ290" s="134"/>
      <c r="HK290" s="134"/>
      <c r="HL290" s="134"/>
      <c r="HM290" s="134"/>
      <c r="HN290" s="134"/>
      <c r="HO290" s="135"/>
      <c r="HP290" s="135"/>
      <c r="HQ290" s="134"/>
      <c r="HR290" s="134"/>
      <c r="HS290" s="134"/>
      <c r="HT290" s="134"/>
      <c r="HU290" s="134"/>
      <c r="HV290" s="134"/>
      <c r="HW290" s="134"/>
      <c r="HX290" s="134"/>
      <c r="HY290" s="135"/>
      <c r="HZ290" s="135"/>
      <c r="IA290" s="134"/>
      <c r="IB290" s="134"/>
      <c r="IC290" s="134"/>
      <c r="ID290" s="134"/>
      <c r="IE290" s="134"/>
      <c r="IF290" s="134"/>
      <c r="IG290" s="134"/>
      <c r="IH290" s="134"/>
      <c r="II290" s="135"/>
      <c r="IJ290" s="135"/>
      <c r="IK290" s="134"/>
      <c r="IL290" s="134"/>
      <c r="IM290" s="134"/>
      <c r="IN290" s="134"/>
      <c r="IO290" s="134"/>
      <c r="IP290" s="134"/>
      <c r="IQ290" s="134"/>
      <c r="IR290" s="134"/>
      <c r="IS290" s="135"/>
      <c r="IT290" s="135"/>
      <c r="IU290" s="134"/>
      <c r="IV290" s="134"/>
      <c r="IW290" s="134"/>
      <c r="IX290" s="134"/>
      <c r="IY290" s="134"/>
      <c r="IZ290" s="134"/>
      <c r="JA290" s="134"/>
      <c r="JB290" s="134"/>
      <c r="JC290" s="135"/>
      <c r="JD290" s="135"/>
    </row>
    <row r="291" spans="1:264" customFormat="1" ht="15" customHeight="1">
      <c r="A291" s="118" t="s">
        <v>1011</v>
      </c>
      <c r="B291" s="362">
        <v>34</v>
      </c>
      <c r="C291" s="362"/>
      <c r="D291" s="362"/>
      <c r="E291" s="605" t="s">
        <v>2098</v>
      </c>
      <c r="F291" s="140" t="s">
        <v>2353</v>
      </c>
      <c r="G291" s="141">
        <v>2010</v>
      </c>
      <c r="H291" s="118">
        <v>20599458</v>
      </c>
      <c r="I291" s="118">
        <v>1</v>
      </c>
      <c r="J291" s="118">
        <v>1</v>
      </c>
      <c r="K291" s="118"/>
      <c r="L291" s="118">
        <v>1</v>
      </c>
      <c r="M291" s="118"/>
      <c r="N291" s="158">
        <v>1</v>
      </c>
      <c r="O291" s="142">
        <v>2</v>
      </c>
      <c r="P291" s="118" t="s">
        <v>1220</v>
      </c>
      <c r="Q291" s="118" t="s">
        <v>1212</v>
      </c>
      <c r="R291" s="118" t="s">
        <v>1127</v>
      </c>
      <c r="S291" s="118"/>
      <c r="T291" s="118" t="s">
        <v>1501</v>
      </c>
      <c r="U291" s="118"/>
      <c r="V291" s="118"/>
      <c r="W291" s="118" t="s">
        <v>1438</v>
      </c>
      <c r="X291" s="118"/>
      <c r="Y291" s="118"/>
      <c r="Z291" s="118"/>
      <c r="AA291" s="118" t="s">
        <v>1439</v>
      </c>
      <c r="AB291" s="118"/>
      <c r="AC291" s="145"/>
      <c r="AD291" s="573">
        <v>1</v>
      </c>
      <c r="AE291" s="573">
        <v>2</v>
      </c>
      <c r="AF291" s="233" t="s">
        <v>3003</v>
      </c>
      <c r="AG291" s="234" t="s">
        <v>4679</v>
      </c>
      <c r="AH291" s="152">
        <v>4</v>
      </c>
      <c r="AI291" s="485"/>
      <c r="AJ291" s="242" t="s">
        <v>3238</v>
      </c>
      <c r="AK291" s="192">
        <v>2</v>
      </c>
      <c r="AL291" s="243" t="s">
        <v>3240</v>
      </c>
      <c r="AM291" s="152">
        <v>10</v>
      </c>
      <c r="AN291" s="152" t="s">
        <v>3235</v>
      </c>
      <c r="AO291" s="152" t="s">
        <v>24</v>
      </c>
      <c r="AP291" s="152" t="s">
        <v>803</v>
      </c>
      <c r="AQ291" s="152" t="s">
        <v>24</v>
      </c>
      <c r="AR291" s="152" t="s">
        <v>3234</v>
      </c>
      <c r="AS291" s="152" t="s">
        <v>24</v>
      </c>
      <c r="AT291" s="152" t="s">
        <v>24</v>
      </c>
      <c r="AU291" s="152" t="s">
        <v>24</v>
      </c>
      <c r="AV291" s="152" t="s">
        <v>3231</v>
      </c>
      <c r="AW291" s="152">
        <v>1</v>
      </c>
      <c r="AX291" s="135" t="s">
        <v>3320</v>
      </c>
      <c r="AY291" s="152" t="s">
        <v>24</v>
      </c>
      <c r="AZ291" s="152" t="s">
        <v>2912</v>
      </c>
      <c r="BA291" s="152" t="s">
        <v>3236</v>
      </c>
      <c r="BB291" s="588"/>
      <c r="BC291" s="588"/>
      <c r="BD291" s="161">
        <v>1</v>
      </c>
      <c r="BE291" s="161"/>
      <c r="BF291" s="161"/>
      <c r="BG291" s="161"/>
      <c r="BH291" s="161"/>
      <c r="BI291" s="161"/>
      <c r="BJ291" s="161"/>
      <c r="BK291" s="161"/>
      <c r="BL291" s="161"/>
      <c r="BM291" s="161"/>
      <c r="BN291" s="161"/>
      <c r="BO291" s="161"/>
      <c r="BP291" s="161"/>
      <c r="BQ291" s="596" t="s">
        <v>2529</v>
      </c>
      <c r="BR291" s="157" t="s">
        <v>6597</v>
      </c>
      <c r="BS291" s="660"/>
      <c r="BT291" s="150" t="s">
        <v>2789</v>
      </c>
      <c r="BU291" s="150" t="s">
        <v>3233</v>
      </c>
      <c r="BV291" s="150" t="s">
        <v>3232</v>
      </c>
      <c r="BW291" s="150" t="s">
        <v>2471</v>
      </c>
      <c r="BX291" s="150" t="s">
        <v>3237</v>
      </c>
      <c r="BY291" s="134" t="s">
        <v>6640</v>
      </c>
      <c r="BZ291" s="258" t="s">
        <v>3275</v>
      </c>
      <c r="CA291" s="454" t="s">
        <v>23</v>
      </c>
      <c r="CB291" s="151" t="s">
        <v>3247</v>
      </c>
      <c r="CC291" s="150">
        <v>160.44399999999999</v>
      </c>
      <c r="CD291" s="150" t="s">
        <v>24</v>
      </c>
      <c r="CE291" s="150">
        <f>181.262-Table668[[#This Row],[Data_Outcome1_M]]</f>
        <v>20.818000000000012</v>
      </c>
      <c r="CF291" s="431" t="s">
        <v>3253</v>
      </c>
      <c r="CG291" s="150">
        <v>96.985200000000006</v>
      </c>
      <c r="CH291" s="150" t="s">
        <v>24</v>
      </c>
      <c r="CI291" s="150">
        <f>118.411-Table668[[#This Row],[Data_Outcome2_M]]</f>
        <v>21.425799999999995</v>
      </c>
      <c r="CJ291" s="290" t="s">
        <v>24</v>
      </c>
      <c r="CK291" s="291" t="s">
        <v>24</v>
      </c>
      <c r="CL291" s="431" t="s">
        <v>3259</v>
      </c>
      <c r="CM291" s="150">
        <v>88.628799999999998</v>
      </c>
      <c r="CN291" s="150" t="s">
        <v>24</v>
      </c>
      <c r="CO291" s="150">
        <f>110.056-Table668[[#This Row],[Data_Outcome3_M]]</f>
        <v>21.427199999999999</v>
      </c>
      <c r="CP291" s="151" t="s">
        <v>24</v>
      </c>
      <c r="CQ291" s="150" t="s">
        <v>24</v>
      </c>
      <c r="CR291" s="150" t="s">
        <v>24</v>
      </c>
      <c r="CS291" s="150" t="s">
        <v>24</v>
      </c>
      <c r="CT291" s="290" t="s">
        <v>3263</v>
      </c>
      <c r="CU291" s="291" t="s">
        <v>3264</v>
      </c>
      <c r="CV291" s="278"/>
      <c r="CW291" s="285"/>
      <c r="CX291" s="151"/>
      <c r="CY291" s="150"/>
      <c r="CZ291" s="150"/>
      <c r="DA291" s="150"/>
      <c r="DB291" s="150"/>
      <c r="DC291" s="150"/>
      <c r="DD291" s="150"/>
      <c r="DE291" s="150"/>
      <c r="DF291" s="302"/>
      <c r="DG291" s="303"/>
      <c r="DH291" s="150"/>
      <c r="DI291" s="150"/>
      <c r="DJ291" s="150"/>
      <c r="DK291" s="150"/>
      <c r="DL291" s="150"/>
      <c r="DM291" s="150"/>
      <c r="DN291" s="150"/>
      <c r="DO291" s="150"/>
      <c r="DP291" s="302"/>
      <c r="DQ291" s="303"/>
      <c r="DR291" s="278"/>
      <c r="DS291" s="279"/>
      <c r="DT291" s="150"/>
      <c r="DU291" s="150"/>
      <c r="DV291" s="150"/>
      <c r="DW291" s="150"/>
      <c r="DX291" s="151"/>
      <c r="DY291" s="150"/>
      <c r="DZ291" s="150"/>
      <c r="EA291" s="150"/>
      <c r="EB291" s="303"/>
      <c r="EC291" s="303"/>
      <c r="ED291" s="151"/>
      <c r="EE291" s="150"/>
      <c r="EF291" s="150"/>
      <c r="EG291" s="150"/>
      <c r="EH291" s="151"/>
      <c r="EI291" s="150"/>
      <c r="EJ291" s="150"/>
      <c r="EK291" s="150"/>
      <c r="EL291" s="303"/>
      <c r="EM291" s="303"/>
      <c r="EN291" s="279"/>
      <c r="EO291" s="150"/>
      <c r="EP291" s="150"/>
      <c r="EQ291" s="150"/>
      <c r="ER291" s="150"/>
      <c r="ES291" s="150"/>
      <c r="ET291" s="150"/>
      <c r="EU291" s="150"/>
      <c r="EV291" s="150"/>
      <c r="EW291" s="303"/>
      <c r="EX291" s="303"/>
      <c r="EY291" s="150"/>
      <c r="EZ291" s="150"/>
      <c r="FA291" s="150"/>
      <c r="FB291" s="150"/>
      <c r="FC291" s="134"/>
      <c r="FD291" s="134"/>
      <c r="FE291" s="134"/>
      <c r="FF291" s="134"/>
      <c r="FG291" s="135"/>
      <c r="FH291" s="135"/>
      <c r="FI291" s="134"/>
      <c r="FJ291" s="134"/>
      <c r="FK291" s="134"/>
      <c r="FL291" s="134"/>
      <c r="FM291" s="134"/>
      <c r="FN291" s="134"/>
      <c r="FO291" s="134"/>
      <c r="FP291" s="134"/>
      <c r="FQ291" s="135"/>
      <c r="FR291" s="135"/>
      <c r="FS291" s="134"/>
      <c r="FT291" s="134"/>
      <c r="FU291" s="134"/>
      <c r="FV291" s="134"/>
      <c r="FW291" s="134"/>
      <c r="FX291" s="134"/>
      <c r="FY291" s="134"/>
      <c r="FZ291" s="134"/>
      <c r="GA291" s="135"/>
      <c r="GB291" s="135"/>
      <c r="GC291" s="134"/>
      <c r="GD291" s="134"/>
      <c r="GE291" s="134"/>
      <c r="GF291" s="134"/>
      <c r="GG291" s="134"/>
      <c r="GH291" s="134"/>
      <c r="GI291" s="134"/>
      <c r="GJ291" s="134"/>
      <c r="GK291" s="135"/>
      <c r="GL291" s="135"/>
      <c r="GM291" s="134"/>
      <c r="GN291" s="134"/>
      <c r="GO291" s="134"/>
      <c r="GP291" s="134"/>
      <c r="GQ291" s="134"/>
      <c r="GR291" s="134"/>
      <c r="GS291" s="134"/>
      <c r="GT291" s="134"/>
      <c r="GU291" s="135"/>
      <c r="GV291" s="135"/>
      <c r="GW291" s="134"/>
      <c r="GX291" s="134"/>
      <c r="GY291" s="134"/>
      <c r="GZ291" s="134"/>
      <c r="HA291" s="134"/>
      <c r="HB291" s="134"/>
      <c r="HC291" s="134"/>
      <c r="HD291" s="134"/>
      <c r="HE291" s="135"/>
      <c r="HF291" s="135"/>
      <c r="HG291" s="134"/>
      <c r="HH291" s="134"/>
      <c r="HI291" s="134"/>
      <c r="HJ291" s="134"/>
      <c r="HK291" s="134"/>
      <c r="HL291" s="134"/>
      <c r="HM291" s="134"/>
      <c r="HN291" s="134"/>
      <c r="HO291" s="135"/>
      <c r="HP291" s="135"/>
      <c r="HQ291" s="134"/>
      <c r="HR291" s="134"/>
      <c r="HS291" s="134"/>
      <c r="HT291" s="134"/>
      <c r="HU291" s="134"/>
      <c r="HV291" s="134"/>
      <c r="HW291" s="134"/>
      <c r="HX291" s="134"/>
      <c r="HY291" s="135"/>
      <c r="HZ291" s="135"/>
      <c r="IA291" s="134"/>
      <c r="IB291" s="134"/>
      <c r="IC291" s="134"/>
      <c r="ID291" s="134"/>
      <c r="IE291" s="134"/>
      <c r="IF291" s="134"/>
      <c r="IG291" s="134"/>
      <c r="IH291" s="134"/>
      <c r="II291" s="135"/>
      <c r="IJ291" s="135"/>
      <c r="IK291" s="134"/>
      <c r="IL291" s="134"/>
      <c r="IM291" s="134"/>
      <c r="IN291" s="134"/>
      <c r="IO291" s="134"/>
      <c r="IP291" s="134"/>
      <c r="IQ291" s="134"/>
      <c r="IR291" s="134"/>
      <c r="IS291" s="135"/>
      <c r="IT291" s="135"/>
      <c r="IU291" s="134"/>
      <c r="IV291" s="134"/>
      <c r="IW291" s="134"/>
      <c r="IX291" s="134"/>
      <c r="IY291" s="134"/>
      <c r="IZ291" s="134"/>
      <c r="JA291" s="134"/>
      <c r="JB291" s="134"/>
      <c r="JC291" s="135"/>
      <c r="JD291" s="135"/>
    </row>
    <row r="292" spans="1:264" customFormat="1" ht="15" customHeight="1">
      <c r="A292" s="118" t="s">
        <v>1011</v>
      </c>
      <c r="B292" s="362">
        <v>34</v>
      </c>
      <c r="C292" s="362"/>
      <c r="D292" s="362"/>
      <c r="E292" s="605" t="s">
        <v>2098</v>
      </c>
      <c r="F292" s="140" t="s">
        <v>2353</v>
      </c>
      <c r="G292" s="141">
        <v>2010</v>
      </c>
      <c r="H292" s="118">
        <v>20599458</v>
      </c>
      <c r="I292" s="118">
        <v>1</v>
      </c>
      <c r="J292" s="118">
        <v>1</v>
      </c>
      <c r="K292" s="118"/>
      <c r="L292" s="118">
        <v>1</v>
      </c>
      <c r="M292" s="118"/>
      <c r="N292" s="158">
        <v>1</v>
      </c>
      <c r="O292" s="142">
        <v>2</v>
      </c>
      <c r="P292" s="118" t="s">
        <v>1220</v>
      </c>
      <c r="Q292" s="118" t="s">
        <v>1212</v>
      </c>
      <c r="R292" s="118" t="s">
        <v>1127</v>
      </c>
      <c r="S292" s="118"/>
      <c r="T292" s="118" t="s">
        <v>1501</v>
      </c>
      <c r="U292" s="118"/>
      <c r="V292" s="118"/>
      <c r="W292" s="118" t="s">
        <v>1438</v>
      </c>
      <c r="X292" s="118"/>
      <c r="Y292" s="118"/>
      <c r="Z292" s="118"/>
      <c r="AA292" s="118" t="s">
        <v>1439</v>
      </c>
      <c r="AB292" s="118"/>
      <c r="AC292" s="145"/>
      <c r="AD292" s="573">
        <v>1</v>
      </c>
      <c r="AE292" s="573">
        <v>2</v>
      </c>
      <c r="AF292" s="233" t="s">
        <v>3003</v>
      </c>
      <c r="AG292" s="234" t="s">
        <v>4679</v>
      </c>
      <c r="AH292" s="152">
        <v>4</v>
      </c>
      <c r="AI292" s="485"/>
      <c r="AJ292" s="242" t="s">
        <v>3238</v>
      </c>
      <c r="AK292" s="192">
        <v>2</v>
      </c>
      <c r="AL292" s="248" t="s">
        <v>3239</v>
      </c>
      <c r="AM292" s="152">
        <v>10</v>
      </c>
      <c r="AN292" s="152" t="s">
        <v>3235</v>
      </c>
      <c r="AO292" s="152" t="s">
        <v>24</v>
      </c>
      <c r="AP292" s="152" t="s">
        <v>803</v>
      </c>
      <c r="AQ292" s="152" t="s">
        <v>24</v>
      </c>
      <c r="AR292" s="152" t="s">
        <v>3234</v>
      </c>
      <c r="AS292" s="152" t="s">
        <v>24</v>
      </c>
      <c r="AT292" s="152" t="s">
        <v>24</v>
      </c>
      <c r="AU292" s="152" t="s">
        <v>24</v>
      </c>
      <c r="AV292" s="152" t="s">
        <v>3231</v>
      </c>
      <c r="AW292" s="152">
        <v>1</v>
      </c>
      <c r="AX292" s="135" t="s">
        <v>3336</v>
      </c>
      <c r="AY292" s="152" t="s">
        <v>24</v>
      </c>
      <c r="AZ292" s="152" t="s">
        <v>2912</v>
      </c>
      <c r="BA292" s="152" t="s">
        <v>3236</v>
      </c>
      <c r="BB292" s="588"/>
      <c r="BC292" s="588"/>
      <c r="BD292" s="161">
        <v>1</v>
      </c>
      <c r="BE292" s="161"/>
      <c r="BF292" s="161"/>
      <c r="BG292" s="161"/>
      <c r="BH292" s="161"/>
      <c r="BI292" s="161"/>
      <c r="BJ292" s="161"/>
      <c r="BK292" s="161"/>
      <c r="BL292" s="161"/>
      <c r="BM292" s="161"/>
      <c r="BN292" s="161"/>
      <c r="BO292" s="161"/>
      <c r="BP292" s="161"/>
      <c r="BQ292" s="596" t="s">
        <v>2529</v>
      </c>
      <c r="BR292" s="157" t="s">
        <v>6597</v>
      </c>
      <c r="BS292" s="660"/>
      <c r="BT292" s="150" t="s">
        <v>2789</v>
      </c>
      <c r="BU292" s="150" t="s">
        <v>3233</v>
      </c>
      <c r="BV292" s="150" t="s">
        <v>3232</v>
      </c>
      <c r="BW292" s="150" t="s">
        <v>2471</v>
      </c>
      <c r="BX292" s="150" t="s">
        <v>3237</v>
      </c>
      <c r="BY292" s="134" t="s">
        <v>6640</v>
      </c>
      <c r="BZ292" s="258" t="s">
        <v>3275</v>
      </c>
      <c r="CA292" s="454" t="s">
        <v>23</v>
      </c>
      <c r="CB292" s="151" t="s">
        <v>3248</v>
      </c>
      <c r="CC292" s="150">
        <v>243.60900000000001</v>
      </c>
      <c r="CD292" s="150" t="s">
        <v>24</v>
      </c>
      <c r="CE292" s="150">
        <f>275.51-Table668[[#This Row],[Data_Outcome1_M]]</f>
        <v>31.900999999999982</v>
      </c>
      <c r="CF292" s="431" t="s">
        <v>3254</v>
      </c>
      <c r="CG292" s="150">
        <v>192.291</v>
      </c>
      <c r="CH292" s="150" t="s">
        <v>24</v>
      </c>
      <c r="CI292" s="150">
        <f>218.67-Table668[[#This Row],[Data_Outcome2_M]]</f>
        <v>26.378999999999991</v>
      </c>
      <c r="CJ292" s="290" t="s">
        <v>24</v>
      </c>
      <c r="CK292" s="291" t="s">
        <v>24</v>
      </c>
      <c r="CL292" s="431" t="s">
        <v>3260</v>
      </c>
      <c r="CM292" s="150">
        <v>107.236</v>
      </c>
      <c r="CN292" s="150" t="s">
        <v>24</v>
      </c>
      <c r="CO292" s="150">
        <f>126.253-Table668[[#This Row],[Data_Outcome3_M]]</f>
        <v>19.016999999999996</v>
      </c>
      <c r="CP292" s="151" t="s">
        <v>24</v>
      </c>
      <c r="CQ292" s="150" t="s">
        <v>24</v>
      </c>
      <c r="CR292" s="150" t="s">
        <v>24</v>
      </c>
      <c r="CS292" s="150" t="s">
        <v>24</v>
      </c>
      <c r="CT292" s="290" t="s">
        <v>3265</v>
      </c>
      <c r="CU292" s="291" t="s">
        <v>3266</v>
      </c>
      <c r="CV292" s="278"/>
      <c r="CW292" s="285"/>
      <c r="CX292" s="151"/>
      <c r="CY292" s="150"/>
      <c r="CZ292" s="150"/>
      <c r="DA292" s="150"/>
      <c r="DB292" s="150"/>
      <c r="DC292" s="150"/>
      <c r="DD292" s="150"/>
      <c r="DE292" s="150"/>
      <c r="DF292" s="302"/>
      <c r="DG292" s="303"/>
      <c r="DH292" s="150"/>
      <c r="DI292" s="150"/>
      <c r="DJ292" s="150"/>
      <c r="DK292" s="150"/>
      <c r="DL292" s="150"/>
      <c r="DM292" s="150"/>
      <c r="DN292" s="150"/>
      <c r="DO292" s="150"/>
      <c r="DP292" s="302"/>
      <c r="DQ292" s="303"/>
      <c r="DR292" s="278"/>
      <c r="DS292" s="279"/>
      <c r="DT292" s="150"/>
      <c r="DU292" s="150"/>
      <c r="DV292" s="150"/>
      <c r="DW292" s="150"/>
      <c r="DX292" s="151"/>
      <c r="DY292" s="150"/>
      <c r="DZ292" s="150"/>
      <c r="EA292" s="150"/>
      <c r="EB292" s="303"/>
      <c r="EC292" s="303"/>
      <c r="ED292" s="151"/>
      <c r="EE292" s="150"/>
      <c r="EF292" s="150"/>
      <c r="EG292" s="150"/>
      <c r="EH292" s="151"/>
      <c r="EI292" s="150"/>
      <c r="EJ292" s="150"/>
      <c r="EK292" s="150"/>
      <c r="EL292" s="303"/>
      <c r="EM292" s="303"/>
      <c r="EN292" s="279"/>
      <c r="EO292" s="150"/>
      <c r="EP292" s="150"/>
      <c r="EQ292" s="150"/>
      <c r="ER292" s="150"/>
      <c r="ES292" s="150"/>
      <c r="ET292" s="150"/>
      <c r="EU292" s="150"/>
      <c r="EV292" s="150"/>
      <c r="EW292" s="303"/>
      <c r="EX292" s="303"/>
      <c r="EY292" s="150"/>
      <c r="EZ292" s="150"/>
      <c r="FA292" s="150"/>
      <c r="FB292" s="150"/>
      <c r="FC292" s="134"/>
      <c r="FD292" s="134"/>
      <c r="FE292" s="134"/>
      <c r="FF292" s="134"/>
      <c r="FG292" s="135"/>
      <c r="FH292" s="135"/>
      <c r="FI292" s="134"/>
      <c r="FJ292" s="134"/>
      <c r="FK292" s="134"/>
      <c r="FL292" s="134"/>
      <c r="FM292" s="134"/>
      <c r="FN292" s="134"/>
      <c r="FO292" s="134"/>
      <c r="FP292" s="134"/>
      <c r="FQ292" s="135"/>
      <c r="FR292" s="135"/>
      <c r="FS292" s="134"/>
      <c r="FT292" s="134"/>
      <c r="FU292" s="134"/>
      <c r="FV292" s="134"/>
      <c r="FW292" s="134"/>
      <c r="FX292" s="134"/>
      <c r="FY292" s="134"/>
      <c r="FZ292" s="134"/>
      <c r="GA292" s="135"/>
      <c r="GB292" s="135"/>
      <c r="GC292" s="134"/>
      <c r="GD292" s="134"/>
      <c r="GE292" s="134"/>
      <c r="GF292" s="134"/>
      <c r="GG292" s="134"/>
      <c r="GH292" s="134"/>
      <c r="GI292" s="134"/>
      <c r="GJ292" s="134"/>
      <c r="GK292" s="135"/>
      <c r="GL292" s="135"/>
      <c r="GM292" s="134"/>
      <c r="GN292" s="134"/>
      <c r="GO292" s="134"/>
      <c r="GP292" s="134"/>
      <c r="GQ292" s="134"/>
      <c r="GR292" s="134"/>
      <c r="GS292" s="134"/>
      <c r="GT292" s="134"/>
      <c r="GU292" s="135"/>
      <c r="GV292" s="135"/>
      <c r="GW292" s="134"/>
      <c r="GX292" s="134"/>
      <c r="GY292" s="134"/>
      <c r="GZ292" s="134"/>
      <c r="HA292" s="134"/>
      <c r="HB292" s="134"/>
      <c r="HC292" s="134"/>
      <c r="HD292" s="134"/>
      <c r="HE292" s="135"/>
      <c r="HF292" s="135"/>
      <c r="HG292" s="134"/>
      <c r="HH292" s="134"/>
      <c r="HI292" s="134"/>
      <c r="HJ292" s="134"/>
      <c r="HK292" s="134"/>
      <c r="HL292" s="134"/>
      <c r="HM292" s="134"/>
      <c r="HN292" s="134"/>
      <c r="HO292" s="135"/>
      <c r="HP292" s="135"/>
      <c r="HQ292" s="134"/>
      <c r="HR292" s="134"/>
      <c r="HS292" s="134"/>
      <c r="HT292" s="134"/>
      <c r="HU292" s="134"/>
      <c r="HV292" s="134"/>
      <c r="HW292" s="134"/>
      <c r="HX292" s="134"/>
      <c r="HY292" s="135"/>
      <c r="HZ292" s="135"/>
      <c r="IA292" s="134"/>
      <c r="IB292" s="134"/>
      <c r="IC292" s="134"/>
      <c r="ID292" s="134"/>
      <c r="IE292" s="134"/>
      <c r="IF292" s="134"/>
      <c r="IG292" s="134"/>
      <c r="IH292" s="134"/>
      <c r="II292" s="135"/>
      <c r="IJ292" s="135"/>
      <c r="IK292" s="134"/>
      <c r="IL292" s="134"/>
      <c r="IM292" s="134"/>
      <c r="IN292" s="134"/>
      <c r="IO292" s="134"/>
      <c r="IP292" s="134"/>
      <c r="IQ292" s="134"/>
      <c r="IR292" s="134"/>
      <c r="IS292" s="135"/>
      <c r="IT292" s="135"/>
      <c r="IU292" s="134"/>
      <c r="IV292" s="134"/>
      <c r="IW292" s="134"/>
      <c r="IX292" s="134"/>
      <c r="IY292" s="134"/>
      <c r="IZ292" s="134"/>
      <c r="JA292" s="134"/>
      <c r="JB292" s="134"/>
      <c r="JC292" s="135"/>
      <c r="JD292" s="135"/>
    </row>
    <row r="293" spans="1:264" customFormat="1" ht="15" customHeight="1">
      <c r="A293" s="118" t="s">
        <v>1011</v>
      </c>
      <c r="B293" s="362">
        <v>34</v>
      </c>
      <c r="C293" s="362"/>
      <c r="D293" s="362"/>
      <c r="E293" s="605" t="s">
        <v>2098</v>
      </c>
      <c r="F293" s="140" t="s">
        <v>2353</v>
      </c>
      <c r="G293" s="141">
        <v>2010</v>
      </c>
      <c r="H293" s="118">
        <v>20599458</v>
      </c>
      <c r="I293" s="118">
        <v>1</v>
      </c>
      <c r="J293" s="118">
        <v>1</v>
      </c>
      <c r="K293" s="118"/>
      <c r="L293" s="118">
        <v>1</v>
      </c>
      <c r="M293" s="118"/>
      <c r="N293" s="158">
        <v>1</v>
      </c>
      <c r="O293" s="142">
        <v>2</v>
      </c>
      <c r="P293" s="118" t="s">
        <v>1220</v>
      </c>
      <c r="Q293" s="118" t="s">
        <v>1212</v>
      </c>
      <c r="R293" s="118" t="s">
        <v>1127</v>
      </c>
      <c r="S293" s="118"/>
      <c r="T293" s="118" t="s">
        <v>1501</v>
      </c>
      <c r="U293" s="118"/>
      <c r="V293" s="118"/>
      <c r="W293" s="118" t="s">
        <v>1438</v>
      </c>
      <c r="X293" s="118"/>
      <c r="Y293" s="118"/>
      <c r="Z293" s="118"/>
      <c r="AA293" s="118" t="s">
        <v>1439</v>
      </c>
      <c r="AB293" s="118"/>
      <c r="AC293" s="145"/>
      <c r="AD293" s="573">
        <v>1</v>
      </c>
      <c r="AE293" s="573">
        <v>2</v>
      </c>
      <c r="AF293" s="233" t="s">
        <v>3003</v>
      </c>
      <c r="AG293" s="234" t="s">
        <v>4679</v>
      </c>
      <c r="AH293" s="152">
        <v>4</v>
      </c>
      <c r="AI293" s="485"/>
      <c r="AJ293" s="242" t="s">
        <v>3244</v>
      </c>
      <c r="AK293" s="192">
        <v>2</v>
      </c>
      <c r="AL293" s="248" t="s">
        <v>3272</v>
      </c>
      <c r="AM293" s="152">
        <v>10</v>
      </c>
      <c r="AN293" s="152" t="s">
        <v>3235</v>
      </c>
      <c r="AO293" s="152" t="s">
        <v>24</v>
      </c>
      <c r="AP293" s="152" t="s">
        <v>803</v>
      </c>
      <c r="AQ293" s="152" t="s">
        <v>24</v>
      </c>
      <c r="AR293" s="152" t="s">
        <v>3234</v>
      </c>
      <c r="AS293" s="152" t="s">
        <v>24</v>
      </c>
      <c r="AT293" s="152" t="s">
        <v>24</v>
      </c>
      <c r="AU293" s="152" t="s">
        <v>24</v>
      </c>
      <c r="AV293" s="152" t="s">
        <v>3231</v>
      </c>
      <c r="AW293" s="152">
        <v>1</v>
      </c>
      <c r="AX293" s="135" t="s">
        <v>3336</v>
      </c>
      <c r="AY293" s="152" t="s">
        <v>24</v>
      </c>
      <c r="AZ293" s="152" t="s">
        <v>2912</v>
      </c>
      <c r="BA293" s="152" t="s">
        <v>3236</v>
      </c>
      <c r="BB293" s="588"/>
      <c r="BC293" s="588"/>
      <c r="BD293" s="161">
        <v>1</v>
      </c>
      <c r="BE293" s="161"/>
      <c r="BF293" s="161"/>
      <c r="BG293" s="161"/>
      <c r="BH293" s="161"/>
      <c r="BI293" s="161"/>
      <c r="BJ293" s="161"/>
      <c r="BK293" s="161"/>
      <c r="BL293" s="161"/>
      <c r="BM293" s="161"/>
      <c r="BN293" s="161"/>
      <c r="BO293" s="161"/>
      <c r="BP293" s="161"/>
      <c r="BQ293" s="596" t="s">
        <v>2529</v>
      </c>
      <c r="BR293" s="157" t="s">
        <v>6597</v>
      </c>
      <c r="BS293" s="660"/>
      <c r="BT293" s="150" t="s">
        <v>2789</v>
      </c>
      <c r="BU293" s="150" t="s">
        <v>3233</v>
      </c>
      <c r="BV293" s="150" t="s">
        <v>3232</v>
      </c>
      <c r="BW293" s="150" t="s">
        <v>2471</v>
      </c>
      <c r="BX293" s="150" t="s">
        <v>3237</v>
      </c>
      <c r="BY293" s="134" t="s">
        <v>6640</v>
      </c>
      <c r="BZ293" s="258" t="s">
        <v>3276</v>
      </c>
      <c r="CA293" s="454" t="s">
        <v>23</v>
      </c>
      <c r="CB293" s="151" t="s">
        <v>3249</v>
      </c>
      <c r="CC293" s="150">
        <v>195.12200000000001</v>
      </c>
      <c r="CD293" s="150" t="s">
        <v>24</v>
      </c>
      <c r="CE293" s="150">
        <f>225-Table668[[#This Row],[Data_Outcome1_M]]</f>
        <v>29.877999999999986</v>
      </c>
      <c r="CF293" s="431" t="s">
        <v>3255</v>
      </c>
      <c r="CG293" s="150">
        <v>139.024</v>
      </c>
      <c r="CH293" s="150" t="s">
        <v>24</v>
      </c>
      <c r="CI293" s="150">
        <f>159.756-Table668[[#This Row],[Data_Outcome2_M]]</f>
        <v>20.731999999999999</v>
      </c>
      <c r="CJ293" s="290" t="s">
        <v>24</v>
      </c>
      <c r="CK293" s="291" t="s">
        <v>24</v>
      </c>
      <c r="CL293" s="431" t="s">
        <v>3261</v>
      </c>
      <c r="CM293" s="150">
        <v>85.9756</v>
      </c>
      <c r="CN293" s="150" t="s">
        <v>24</v>
      </c>
      <c r="CO293" s="150">
        <f>101.829-Table668[[#This Row],[Data_Outcome3_M]]</f>
        <v>15.853399999999993</v>
      </c>
      <c r="CP293" s="151" t="s">
        <v>24</v>
      </c>
      <c r="CQ293" s="150" t="s">
        <v>24</v>
      </c>
      <c r="CR293" s="150" t="s">
        <v>24</v>
      </c>
      <c r="CS293" s="150" t="s">
        <v>24</v>
      </c>
      <c r="CT293" s="290" t="s">
        <v>3267</v>
      </c>
      <c r="CU293" s="291" t="s">
        <v>3268</v>
      </c>
      <c r="CV293" s="278"/>
      <c r="CW293" s="285"/>
      <c r="CX293" s="151"/>
      <c r="CY293" s="150"/>
      <c r="CZ293" s="150"/>
      <c r="DA293" s="150"/>
      <c r="DB293" s="150"/>
      <c r="DC293" s="150"/>
      <c r="DD293" s="150"/>
      <c r="DE293" s="150"/>
      <c r="DF293" s="302"/>
      <c r="DG293" s="303"/>
      <c r="DH293" s="150"/>
      <c r="DI293" s="150"/>
      <c r="DJ293" s="150"/>
      <c r="DK293" s="150"/>
      <c r="DL293" s="150"/>
      <c r="DM293" s="150"/>
      <c r="DN293" s="150"/>
      <c r="DO293" s="150"/>
      <c r="DP293" s="302"/>
      <c r="DQ293" s="303"/>
      <c r="DR293" s="278"/>
      <c r="DS293" s="279"/>
      <c r="DT293" s="150"/>
      <c r="DU293" s="150"/>
      <c r="DV293" s="150"/>
      <c r="DW293" s="150"/>
      <c r="DX293" s="151"/>
      <c r="DY293" s="150"/>
      <c r="DZ293" s="150"/>
      <c r="EA293" s="150"/>
      <c r="EB293" s="303"/>
      <c r="EC293" s="303"/>
      <c r="ED293" s="151"/>
      <c r="EE293" s="150"/>
      <c r="EF293" s="150"/>
      <c r="EG293" s="150"/>
      <c r="EH293" s="151"/>
      <c r="EI293" s="150"/>
      <c r="EJ293" s="150"/>
      <c r="EK293" s="150"/>
      <c r="EL293" s="303"/>
      <c r="EM293" s="303"/>
      <c r="EN293" s="279"/>
      <c r="EO293" s="150"/>
      <c r="EP293" s="150"/>
      <c r="EQ293" s="150"/>
      <c r="ER293" s="150"/>
      <c r="ES293" s="150"/>
      <c r="ET293" s="150"/>
      <c r="EU293" s="150"/>
      <c r="EV293" s="150"/>
      <c r="EW293" s="303"/>
      <c r="EX293" s="303"/>
      <c r="EY293" s="150"/>
      <c r="EZ293" s="150"/>
      <c r="FA293" s="150"/>
      <c r="FB293" s="150"/>
      <c r="FC293" s="134"/>
      <c r="FD293" s="134"/>
      <c r="FE293" s="134"/>
      <c r="FF293" s="134"/>
      <c r="FG293" s="135"/>
      <c r="FH293" s="135"/>
      <c r="FI293" s="134"/>
      <c r="FJ293" s="134"/>
      <c r="FK293" s="134"/>
      <c r="FL293" s="134"/>
      <c r="FM293" s="134"/>
      <c r="FN293" s="134"/>
      <c r="FO293" s="134"/>
      <c r="FP293" s="134"/>
      <c r="FQ293" s="135"/>
      <c r="FR293" s="135"/>
      <c r="FS293" s="134"/>
      <c r="FT293" s="134"/>
      <c r="FU293" s="134"/>
      <c r="FV293" s="134"/>
      <c r="FW293" s="134"/>
      <c r="FX293" s="134"/>
      <c r="FY293" s="134"/>
      <c r="FZ293" s="134"/>
      <c r="GA293" s="135"/>
      <c r="GB293" s="135"/>
      <c r="GC293" s="134"/>
      <c r="GD293" s="134"/>
      <c r="GE293" s="134"/>
      <c r="GF293" s="134"/>
      <c r="GG293" s="134"/>
      <c r="GH293" s="134"/>
      <c r="GI293" s="134"/>
      <c r="GJ293" s="134"/>
      <c r="GK293" s="135"/>
      <c r="GL293" s="135"/>
      <c r="GM293" s="134"/>
      <c r="GN293" s="134"/>
      <c r="GO293" s="134"/>
      <c r="GP293" s="134"/>
      <c r="GQ293" s="134"/>
      <c r="GR293" s="134"/>
      <c r="GS293" s="134"/>
      <c r="GT293" s="134"/>
      <c r="GU293" s="135"/>
      <c r="GV293" s="135"/>
      <c r="GW293" s="134"/>
      <c r="GX293" s="134"/>
      <c r="GY293" s="134"/>
      <c r="GZ293" s="134"/>
      <c r="HA293" s="134"/>
      <c r="HB293" s="134"/>
      <c r="HC293" s="134"/>
      <c r="HD293" s="134"/>
      <c r="HE293" s="135"/>
      <c r="HF293" s="135"/>
      <c r="HG293" s="134"/>
      <c r="HH293" s="134"/>
      <c r="HI293" s="134"/>
      <c r="HJ293" s="134"/>
      <c r="HK293" s="134"/>
      <c r="HL293" s="134"/>
      <c r="HM293" s="134"/>
      <c r="HN293" s="134"/>
      <c r="HO293" s="135"/>
      <c r="HP293" s="135"/>
      <c r="HQ293" s="134"/>
      <c r="HR293" s="134"/>
      <c r="HS293" s="134"/>
      <c r="HT293" s="134"/>
      <c r="HU293" s="134"/>
      <c r="HV293" s="134"/>
      <c r="HW293" s="134"/>
      <c r="HX293" s="134"/>
      <c r="HY293" s="135"/>
      <c r="HZ293" s="135"/>
      <c r="IA293" s="134"/>
      <c r="IB293" s="134"/>
      <c r="IC293" s="134"/>
      <c r="ID293" s="134"/>
      <c r="IE293" s="134"/>
      <c r="IF293" s="134"/>
      <c r="IG293" s="134"/>
      <c r="IH293" s="134"/>
      <c r="II293" s="135"/>
      <c r="IJ293" s="135"/>
      <c r="IK293" s="134"/>
      <c r="IL293" s="134"/>
      <c r="IM293" s="134"/>
      <c r="IN293" s="134"/>
      <c r="IO293" s="134"/>
      <c r="IP293" s="134"/>
      <c r="IQ293" s="134"/>
      <c r="IR293" s="134"/>
      <c r="IS293" s="135"/>
      <c r="IT293" s="135"/>
      <c r="IU293" s="134"/>
      <c r="IV293" s="134"/>
      <c r="IW293" s="134"/>
      <c r="IX293" s="134"/>
      <c r="IY293" s="134"/>
      <c r="IZ293" s="134"/>
      <c r="JA293" s="134"/>
      <c r="JB293" s="134"/>
      <c r="JC293" s="135"/>
      <c r="JD293" s="135"/>
    </row>
    <row r="294" spans="1:264" customFormat="1" ht="15" customHeight="1">
      <c r="A294" s="118" t="s">
        <v>1011</v>
      </c>
      <c r="B294" s="362">
        <v>34</v>
      </c>
      <c r="C294" s="362"/>
      <c r="D294" s="362"/>
      <c r="E294" s="605" t="s">
        <v>2098</v>
      </c>
      <c r="F294" s="140" t="s">
        <v>2353</v>
      </c>
      <c r="G294" s="141">
        <v>2010</v>
      </c>
      <c r="H294" s="118">
        <v>20599458</v>
      </c>
      <c r="I294" s="118">
        <v>1</v>
      </c>
      <c r="J294" s="118">
        <v>1</v>
      </c>
      <c r="K294" s="118"/>
      <c r="L294" s="118">
        <v>1</v>
      </c>
      <c r="M294" s="118"/>
      <c r="N294" s="158">
        <v>1</v>
      </c>
      <c r="O294" s="142">
        <v>2</v>
      </c>
      <c r="P294" s="118" t="s">
        <v>1220</v>
      </c>
      <c r="Q294" s="118" t="s">
        <v>1212</v>
      </c>
      <c r="R294" s="118" t="s">
        <v>1127</v>
      </c>
      <c r="S294" s="118"/>
      <c r="T294" s="118" t="s">
        <v>1501</v>
      </c>
      <c r="U294" s="118"/>
      <c r="V294" s="118"/>
      <c r="W294" s="118" t="s">
        <v>1438</v>
      </c>
      <c r="X294" s="118"/>
      <c r="Y294" s="118"/>
      <c r="Z294" s="118"/>
      <c r="AA294" s="118" t="s">
        <v>1439</v>
      </c>
      <c r="AB294" s="118"/>
      <c r="AC294" s="145"/>
      <c r="AD294" s="573">
        <v>1</v>
      </c>
      <c r="AE294" s="573">
        <v>2</v>
      </c>
      <c r="AF294" s="233" t="s">
        <v>3003</v>
      </c>
      <c r="AG294" s="234" t="s">
        <v>4679</v>
      </c>
      <c r="AH294" s="152">
        <v>4</v>
      </c>
      <c r="AI294" s="485"/>
      <c r="AJ294" s="242" t="s">
        <v>3238</v>
      </c>
      <c r="AK294" s="192">
        <v>2</v>
      </c>
      <c r="AL294" s="248" t="s">
        <v>3243</v>
      </c>
      <c r="AM294" s="152" t="s">
        <v>3274</v>
      </c>
      <c r="AN294" s="152" t="s">
        <v>3270</v>
      </c>
      <c r="AO294" s="152" t="s">
        <v>24</v>
      </c>
      <c r="AP294" s="152" t="s">
        <v>803</v>
      </c>
      <c r="AQ294" s="152" t="s">
        <v>24</v>
      </c>
      <c r="AR294" s="152" t="s">
        <v>3234</v>
      </c>
      <c r="AS294" s="152" t="s">
        <v>24</v>
      </c>
      <c r="AT294" s="152" t="s">
        <v>24</v>
      </c>
      <c r="AU294" s="152" t="s">
        <v>24</v>
      </c>
      <c r="AV294" s="152" t="s">
        <v>3231</v>
      </c>
      <c r="AW294" s="152">
        <v>1</v>
      </c>
      <c r="AX294" s="135" t="s">
        <v>3336</v>
      </c>
      <c r="AY294" s="152" t="s">
        <v>24</v>
      </c>
      <c r="AZ294" s="152" t="s">
        <v>2912</v>
      </c>
      <c r="BA294" s="152" t="s">
        <v>3236</v>
      </c>
      <c r="BB294" s="588"/>
      <c r="BC294" s="588"/>
      <c r="BD294" s="161">
        <v>1</v>
      </c>
      <c r="BE294" s="161"/>
      <c r="BF294" s="161"/>
      <c r="BG294" s="161"/>
      <c r="BH294" s="161"/>
      <c r="BI294" s="161"/>
      <c r="BJ294" s="161"/>
      <c r="BK294" s="161"/>
      <c r="BL294" s="161"/>
      <c r="BM294" s="161"/>
      <c r="BN294" s="161"/>
      <c r="BO294" s="161"/>
      <c r="BP294" s="161"/>
      <c r="BQ294" s="596" t="s">
        <v>2529</v>
      </c>
      <c r="BR294" s="157" t="s">
        <v>6597</v>
      </c>
      <c r="BS294" s="660"/>
      <c r="BT294" s="150" t="s">
        <v>2789</v>
      </c>
      <c r="BU294" s="150" t="s">
        <v>3233</v>
      </c>
      <c r="BV294" s="150" t="s">
        <v>3232</v>
      </c>
      <c r="BW294" s="150" t="s">
        <v>2471</v>
      </c>
      <c r="BX294" s="150" t="s">
        <v>3237</v>
      </c>
      <c r="BY294" s="134" t="s">
        <v>6640</v>
      </c>
      <c r="BZ294" s="262" t="s">
        <v>3275</v>
      </c>
      <c r="CA294" s="454" t="s">
        <v>23</v>
      </c>
      <c r="CB294" s="151" t="s">
        <v>3250</v>
      </c>
      <c r="CC294" s="150">
        <v>151.52099999999999</v>
      </c>
      <c r="CD294" s="150" t="s">
        <v>24</v>
      </c>
      <c r="CE294" s="150">
        <f>159.432-Table668[[#This Row],[Data_Outcome1_M]]</f>
        <v>7.9110000000000014</v>
      </c>
      <c r="CF294" s="431" t="s">
        <v>3256</v>
      </c>
      <c r="CG294" s="150">
        <v>116.227</v>
      </c>
      <c r="CH294" s="150" t="s">
        <v>24</v>
      </c>
      <c r="CI294" s="150">
        <f>124.746-Table668[[#This Row],[Data_Outcome2_M]]</f>
        <v>8.5189999999999912</v>
      </c>
      <c r="CJ294" s="290" t="s">
        <v>24</v>
      </c>
      <c r="CK294" s="291" t="s">
        <v>24</v>
      </c>
      <c r="CL294" s="431" t="s">
        <v>3262</v>
      </c>
      <c r="CM294" s="150">
        <v>55.375300000000003</v>
      </c>
      <c r="CN294" s="150" t="s">
        <v>24</v>
      </c>
      <c r="CO294" s="150">
        <f>60.2434-Table668[[#This Row],[Data_Outcome3_M]]</f>
        <v>4.8680999999999983</v>
      </c>
      <c r="CP294" s="151" t="s">
        <v>24</v>
      </c>
      <c r="CQ294" s="150" t="s">
        <v>24</v>
      </c>
      <c r="CR294" s="150" t="s">
        <v>24</v>
      </c>
      <c r="CS294" s="150" t="s">
        <v>24</v>
      </c>
      <c r="CT294" s="290" t="s">
        <v>3263</v>
      </c>
      <c r="CU294" s="291" t="s">
        <v>3269</v>
      </c>
      <c r="CV294" s="278"/>
      <c r="CW294" s="285"/>
      <c r="CX294" s="151"/>
      <c r="CY294" s="150"/>
      <c r="CZ294" s="150"/>
      <c r="DA294" s="150"/>
      <c r="DB294" s="150"/>
      <c r="DC294" s="150"/>
      <c r="DD294" s="150"/>
      <c r="DE294" s="150"/>
      <c r="DF294" s="302"/>
      <c r="DG294" s="303"/>
      <c r="DH294" s="150"/>
      <c r="DI294" s="150"/>
      <c r="DJ294" s="150"/>
      <c r="DK294" s="150"/>
      <c r="DL294" s="150"/>
      <c r="DM294" s="150"/>
      <c r="DN294" s="150"/>
      <c r="DO294" s="150"/>
      <c r="DP294" s="302"/>
      <c r="DQ294" s="303"/>
      <c r="DR294" s="278"/>
      <c r="DS294" s="279"/>
      <c r="DT294" s="150"/>
      <c r="DU294" s="150"/>
      <c r="DV294" s="150"/>
      <c r="DW294" s="150"/>
      <c r="DX294" s="151"/>
      <c r="DY294" s="150"/>
      <c r="DZ294" s="150"/>
      <c r="EA294" s="150"/>
      <c r="EB294" s="303"/>
      <c r="EC294" s="303"/>
      <c r="ED294" s="151"/>
      <c r="EE294" s="150"/>
      <c r="EF294" s="150"/>
      <c r="EG294" s="150"/>
      <c r="EH294" s="151"/>
      <c r="EI294" s="150"/>
      <c r="EJ294" s="150"/>
      <c r="EK294" s="150"/>
      <c r="EL294" s="303"/>
      <c r="EM294" s="303"/>
      <c r="EN294" s="279"/>
      <c r="EO294" s="150"/>
      <c r="EP294" s="150"/>
      <c r="EQ294" s="150"/>
      <c r="ER294" s="150"/>
      <c r="ES294" s="150"/>
      <c r="ET294" s="150"/>
      <c r="EU294" s="150"/>
      <c r="EV294" s="150"/>
      <c r="EW294" s="303"/>
      <c r="EX294" s="303"/>
      <c r="EY294" s="150"/>
      <c r="EZ294" s="150"/>
      <c r="FA294" s="150"/>
      <c r="FB294" s="150"/>
      <c r="FC294" s="134"/>
      <c r="FD294" s="134"/>
      <c r="FE294" s="134"/>
      <c r="FF294" s="134"/>
      <c r="FG294" s="135"/>
      <c r="FH294" s="135"/>
      <c r="FI294" s="134"/>
      <c r="FJ294" s="134"/>
      <c r="FK294" s="134"/>
      <c r="FL294" s="134"/>
      <c r="FM294" s="134"/>
      <c r="FN294" s="134"/>
      <c r="FO294" s="134"/>
      <c r="FP294" s="134"/>
      <c r="FQ294" s="135"/>
      <c r="FR294" s="135"/>
      <c r="FS294" s="134"/>
      <c r="FT294" s="134"/>
      <c r="FU294" s="134"/>
      <c r="FV294" s="134"/>
      <c r="FW294" s="134"/>
      <c r="FX294" s="134"/>
      <c r="FY294" s="134"/>
      <c r="FZ294" s="134"/>
      <c r="GA294" s="135"/>
      <c r="GB294" s="135"/>
      <c r="GC294" s="134"/>
      <c r="GD294" s="134"/>
      <c r="GE294" s="134"/>
      <c r="GF294" s="134"/>
      <c r="GG294" s="134"/>
      <c r="GH294" s="134"/>
      <c r="GI294" s="134"/>
      <c r="GJ294" s="134"/>
      <c r="GK294" s="135"/>
      <c r="GL294" s="135"/>
      <c r="GM294" s="134"/>
      <c r="GN294" s="134"/>
      <c r="GO294" s="134"/>
      <c r="GP294" s="134"/>
      <c r="GQ294" s="134"/>
      <c r="GR294" s="134"/>
      <c r="GS294" s="134"/>
      <c r="GT294" s="134"/>
      <c r="GU294" s="135"/>
      <c r="GV294" s="135"/>
      <c r="GW294" s="134"/>
      <c r="GX294" s="134"/>
      <c r="GY294" s="134"/>
      <c r="GZ294" s="134"/>
      <c r="HA294" s="134"/>
      <c r="HB294" s="134"/>
      <c r="HC294" s="134"/>
      <c r="HD294" s="134"/>
      <c r="HE294" s="135"/>
      <c r="HF294" s="135"/>
      <c r="HG294" s="134"/>
      <c r="HH294" s="134"/>
      <c r="HI294" s="134"/>
      <c r="HJ294" s="134"/>
      <c r="HK294" s="134"/>
      <c r="HL294" s="134"/>
      <c r="HM294" s="134"/>
      <c r="HN294" s="134"/>
      <c r="HO294" s="135"/>
      <c r="HP294" s="135"/>
      <c r="HQ294" s="134"/>
      <c r="HR294" s="134"/>
      <c r="HS294" s="134"/>
      <c r="HT294" s="134"/>
      <c r="HU294" s="134"/>
      <c r="HV294" s="134"/>
      <c r="HW294" s="134"/>
      <c r="HX294" s="134"/>
      <c r="HY294" s="135"/>
      <c r="HZ294" s="135"/>
      <c r="IA294" s="134"/>
      <c r="IB294" s="134"/>
      <c r="IC294" s="134"/>
      <c r="ID294" s="134"/>
      <c r="IE294" s="134"/>
      <c r="IF294" s="134"/>
      <c r="IG294" s="134"/>
      <c r="IH294" s="134"/>
      <c r="II294" s="135"/>
      <c r="IJ294" s="135"/>
      <c r="IK294" s="134"/>
      <c r="IL294" s="134"/>
      <c r="IM294" s="134"/>
      <c r="IN294" s="134"/>
      <c r="IO294" s="134"/>
      <c r="IP294" s="134"/>
      <c r="IQ294" s="134"/>
      <c r="IR294" s="134"/>
      <c r="IS294" s="135"/>
      <c r="IT294" s="135"/>
      <c r="IU294" s="134"/>
      <c r="IV294" s="134"/>
      <c r="IW294" s="134"/>
      <c r="IX294" s="134"/>
      <c r="IY294" s="134"/>
      <c r="IZ294" s="134"/>
      <c r="JA294" s="134"/>
      <c r="JB294" s="134"/>
      <c r="JC294" s="135"/>
      <c r="JD294" s="135"/>
    </row>
    <row r="295" spans="1:264" customFormat="1" ht="15" customHeight="1">
      <c r="A295" s="79" t="s">
        <v>1010</v>
      </c>
      <c r="B295" s="362">
        <v>35</v>
      </c>
      <c r="C295" s="362"/>
      <c r="D295" s="362"/>
      <c r="E295" s="604" t="s">
        <v>2099</v>
      </c>
      <c r="F295" s="124" t="s">
        <v>2354</v>
      </c>
      <c r="G295" s="125">
        <v>2014</v>
      </c>
      <c r="H295" s="79">
        <v>25002839</v>
      </c>
      <c r="I295" s="79">
        <v>1</v>
      </c>
      <c r="J295" s="126"/>
      <c r="K295" s="127"/>
      <c r="L295" s="79">
        <v>1</v>
      </c>
      <c r="M295" s="79"/>
      <c r="N295" s="153">
        <v>1</v>
      </c>
      <c r="O295" s="128">
        <v>2</v>
      </c>
      <c r="P295" s="79" t="s">
        <v>1587</v>
      </c>
      <c r="Q295" s="79" t="s">
        <v>1216</v>
      </c>
      <c r="R295" s="79" t="s">
        <v>672</v>
      </c>
      <c r="S295" s="79"/>
      <c r="T295" s="79" t="s">
        <v>1504</v>
      </c>
      <c r="U295" s="79"/>
      <c r="V295" s="79"/>
      <c r="W295" s="79" t="s">
        <v>674</v>
      </c>
      <c r="X295" s="79"/>
      <c r="Y295" s="79" t="s">
        <v>1410</v>
      </c>
      <c r="Z295" s="79"/>
      <c r="AA295" s="79"/>
      <c r="AB295" s="79" t="s">
        <v>1410</v>
      </c>
      <c r="AC295" s="506"/>
      <c r="AD295" s="573">
        <v>1</v>
      </c>
      <c r="AE295" s="573">
        <v>2</v>
      </c>
      <c r="AF295" s="233" t="s">
        <v>1917</v>
      </c>
      <c r="AG295" s="234" t="s">
        <v>3342</v>
      </c>
      <c r="AH295" s="135">
        <v>5</v>
      </c>
      <c r="AI295" s="484"/>
      <c r="AJ295" s="235" t="s">
        <v>3281</v>
      </c>
      <c r="AK295" s="236">
        <v>1</v>
      </c>
      <c r="AL295" s="237">
        <v>0</v>
      </c>
      <c r="AM295" s="135" t="s">
        <v>3303</v>
      </c>
      <c r="AN295" s="135" t="s">
        <v>3278</v>
      </c>
      <c r="AO295" s="135" t="s">
        <v>3278</v>
      </c>
      <c r="AP295" s="135" t="s">
        <v>803</v>
      </c>
      <c r="AQ295" s="135" t="s">
        <v>803</v>
      </c>
      <c r="AR295" s="135" t="s">
        <v>3277</v>
      </c>
      <c r="AS295" s="135" t="s">
        <v>24</v>
      </c>
      <c r="AT295" s="423" t="s">
        <v>3277</v>
      </c>
      <c r="AU295" s="135" t="s">
        <v>24</v>
      </c>
      <c r="AV295" s="135" t="s">
        <v>3284</v>
      </c>
      <c r="AW295" s="135">
        <v>1</v>
      </c>
      <c r="AX295" s="135" t="s">
        <v>3344</v>
      </c>
      <c r="AY295" s="135"/>
      <c r="AZ295" s="135" t="s">
        <v>2668</v>
      </c>
      <c r="BA295" s="135" t="s">
        <v>3279</v>
      </c>
      <c r="BB295" s="594"/>
      <c r="BC295" s="594"/>
      <c r="BD295" s="156">
        <v>1</v>
      </c>
      <c r="BE295" s="156"/>
      <c r="BF295" s="156"/>
      <c r="BG295" s="156"/>
      <c r="BH295" s="156"/>
      <c r="BI295" s="156"/>
      <c r="BJ295" s="156"/>
      <c r="BK295" s="156"/>
      <c r="BL295" s="156"/>
      <c r="BM295" s="156"/>
      <c r="BN295" s="156"/>
      <c r="BO295" s="156"/>
      <c r="BP295" s="156"/>
      <c r="BQ295" s="595" t="s">
        <v>3285</v>
      </c>
      <c r="BR295" s="157" t="s">
        <v>6604</v>
      </c>
      <c r="BS295" s="660"/>
      <c r="BT295" s="134" t="s">
        <v>1876</v>
      </c>
      <c r="BU295" s="134" t="s">
        <v>3283</v>
      </c>
      <c r="BV295" s="134" t="s">
        <v>3300</v>
      </c>
      <c r="BW295" s="134" t="s">
        <v>3299</v>
      </c>
      <c r="BX295" s="134" t="s">
        <v>3297</v>
      </c>
      <c r="BY295" s="134" t="s">
        <v>2659</v>
      </c>
      <c r="BZ295" s="259" t="s">
        <v>3298</v>
      </c>
      <c r="CA295" s="454" t="s">
        <v>6627</v>
      </c>
      <c r="CB295" s="138" t="s">
        <v>3286</v>
      </c>
      <c r="CC295" s="134">
        <v>29.9331</v>
      </c>
      <c r="CD295" s="134" t="s">
        <v>24</v>
      </c>
      <c r="CE295" s="134">
        <f>34.1001-Table668[[#This Row],[Data_Outcome1_M]]</f>
        <v>4.166999999999998</v>
      </c>
      <c r="CF295" s="138" t="s">
        <v>3287</v>
      </c>
      <c r="CG295" s="134">
        <v>8.8148099999999996</v>
      </c>
      <c r="CH295" s="134" t="s">
        <v>24</v>
      </c>
      <c r="CI295" s="134">
        <f>11.4666-Table668[[#This Row],[Data_Outcome2_M]]</f>
        <v>2.6517900000000001</v>
      </c>
      <c r="CJ295" s="288" t="s">
        <v>3293</v>
      </c>
      <c r="CK295" s="289" t="s">
        <v>3294</v>
      </c>
      <c r="CL295" s="138" t="s">
        <v>3288</v>
      </c>
      <c r="CM295" s="134">
        <v>14.192600000000001</v>
      </c>
      <c r="CN295" s="168" t="s">
        <v>24</v>
      </c>
      <c r="CO295" s="134">
        <f>17.4612-Table668[[#This Row],[Data_Outcome3_M]]</f>
        <v>3.2686000000000011</v>
      </c>
      <c r="CP295" s="138" t="s">
        <v>3289</v>
      </c>
      <c r="CQ295" s="134">
        <v>7.35799</v>
      </c>
      <c r="CR295" s="134" t="s">
        <v>24</v>
      </c>
      <c r="CS295" s="134">
        <f>9.85729-Table668[[#This Row],[Data_Outcome3_M]]</f>
        <v>-4.3353099999999998</v>
      </c>
      <c r="CT295" s="288" t="s">
        <v>3295</v>
      </c>
      <c r="CU295" s="289" t="s">
        <v>24</v>
      </c>
      <c r="CV295" s="276" t="s">
        <v>24</v>
      </c>
      <c r="CW295" s="308" t="s">
        <v>24</v>
      </c>
      <c r="CX295" s="138" t="s">
        <v>3290</v>
      </c>
      <c r="CY295" s="134">
        <v>51.9467</v>
      </c>
      <c r="CZ295" s="134" t="s">
        <v>24</v>
      </c>
      <c r="DA295" s="134">
        <f>58.6775-Table668[[#This Row],[Data_Outcome5_M]]</f>
        <v>6.7308000000000021</v>
      </c>
      <c r="DB295" s="138" t="s">
        <v>3291</v>
      </c>
      <c r="DC295" s="134">
        <v>24.5379</v>
      </c>
      <c r="DD295" s="134" t="s">
        <v>24</v>
      </c>
      <c r="DE295" s="134">
        <f>30.6897-Table668[[#This Row],[Data_Outcome6_M]]</f>
        <v>6.1517999999999979</v>
      </c>
      <c r="DF295" s="300" t="s">
        <v>3292</v>
      </c>
      <c r="DG295" s="301" t="s">
        <v>3296</v>
      </c>
      <c r="DH295" s="134"/>
      <c r="DI295" s="134"/>
      <c r="DJ295" s="134"/>
      <c r="DK295" s="134"/>
      <c r="DL295" s="134"/>
      <c r="DM295" s="134"/>
      <c r="DN295" s="134"/>
      <c r="DO295" s="134"/>
      <c r="DP295" s="300"/>
      <c r="DQ295" s="301"/>
      <c r="DR295" s="276"/>
      <c r="DS295" s="277"/>
      <c r="DT295" s="134"/>
      <c r="DU295" s="134"/>
      <c r="DV295" s="134"/>
      <c r="DW295" s="134"/>
      <c r="DX295" s="138"/>
      <c r="DY295" s="134"/>
      <c r="DZ295" s="134"/>
      <c r="EA295" s="134"/>
      <c r="EB295" s="301"/>
      <c r="EC295" s="301"/>
      <c r="ED295" s="138"/>
      <c r="EE295" s="134"/>
      <c r="EF295" s="134"/>
      <c r="EG295" s="134"/>
      <c r="EH295" s="138"/>
      <c r="EI295" s="134"/>
      <c r="EJ295" s="134"/>
      <c r="EK295" s="134"/>
      <c r="EL295" s="301"/>
      <c r="EM295" s="301"/>
      <c r="EN295" s="277"/>
      <c r="EO295" s="134"/>
      <c r="EP295" s="134"/>
      <c r="EQ295" s="134"/>
      <c r="ER295" s="134"/>
      <c r="ES295" s="134"/>
      <c r="ET295" s="134"/>
      <c r="EU295" s="134"/>
      <c r="EV295" s="134"/>
      <c r="EW295" s="301"/>
      <c r="EX295" s="301"/>
      <c r="EY295" s="134"/>
      <c r="EZ295" s="134"/>
      <c r="FA295" s="134"/>
      <c r="FB295" s="134"/>
      <c r="FC295" s="134"/>
      <c r="FD295" s="134"/>
      <c r="FE295" s="134"/>
      <c r="FF295" s="134"/>
      <c r="FG295" s="135"/>
      <c r="FH295" s="135"/>
      <c r="FI295" s="134"/>
      <c r="FJ295" s="134"/>
      <c r="FK295" s="134"/>
      <c r="FL295" s="134"/>
      <c r="FM295" s="134"/>
      <c r="FN295" s="134"/>
      <c r="FO295" s="134"/>
      <c r="FP295" s="134"/>
      <c r="FQ295" s="135"/>
      <c r="FR295" s="135"/>
      <c r="FS295" s="134"/>
      <c r="FT295" s="134"/>
      <c r="FU295" s="134"/>
      <c r="FV295" s="134"/>
      <c r="FW295" s="134"/>
      <c r="FX295" s="134"/>
      <c r="FY295" s="134"/>
      <c r="FZ295" s="134"/>
      <c r="GA295" s="135"/>
      <c r="GB295" s="135"/>
      <c r="GC295" s="134"/>
      <c r="GD295" s="134"/>
      <c r="GE295" s="134"/>
      <c r="GF295" s="134"/>
      <c r="GG295" s="134"/>
      <c r="GH295" s="134"/>
      <c r="GI295" s="134"/>
      <c r="GJ295" s="134"/>
      <c r="GK295" s="135"/>
      <c r="GL295" s="135"/>
      <c r="GM295" s="134"/>
      <c r="GN295" s="134"/>
      <c r="GO295" s="134"/>
      <c r="GP295" s="134"/>
      <c r="GQ295" s="134"/>
      <c r="GR295" s="134"/>
      <c r="GS295" s="134"/>
      <c r="GT295" s="134"/>
      <c r="GU295" s="135"/>
      <c r="GV295" s="135"/>
      <c r="GW295" s="134"/>
      <c r="GX295" s="134"/>
      <c r="GY295" s="134"/>
      <c r="GZ295" s="134"/>
      <c r="HA295" s="134"/>
      <c r="HB295" s="134"/>
      <c r="HC295" s="134"/>
      <c r="HD295" s="134"/>
      <c r="HE295" s="135"/>
      <c r="HF295" s="135"/>
      <c r="HG295" s="134"/>
      <c r="HH295" s="134"/>
      <c r="HI295" s="134"/>
      <c r="HJ295" s="134"/>
      <c r="HK295" s="134"/>
      <c r="HL295" s="134"/>
      <c r="HM295" s="134"/>
      <c r="HN295" s="134"/>
      <c r="HO295" s="135"/>
      <c r="HP295" s="135"/>
      <c r="HQ295" s="134"/>
      <c r="HR295" s="134"/>
      <c r="HS295" s="134"/>
      <c r="HT295" s="134"/>
      <c r="HU295" s="134"/>
      <c r="HV295" s="134"/>
      <c r="HW295" s="134"/>
      <c r="HX295" s="134"/>
      <c r="HY295" s="135"/>
      <c r="HZ295" s="135"/>
      <c r="IA295" s="134"/>
      <c r="IB295" s="134"/>
      <c r="IC295" s="134"/>
      <c r="ID295" s="134"/>
      <c r="IE295" s="134"/>
      <c r="IF295" s="134"/>
      <c r="IG295" s="134"/>
      <c r="IH295" s="134"/>
      <c r="II295" s="135"/>
      <c r="IJ295" s="135"/>
      <c r="IK295" s="134"/>
      <c r="IL295" s="134"/>
      <c r="IM295" s="134"/>
      <c r="IN295" s="134"/>
      <c r="IO295" s="134"/>
      <c r="IP295" s="134"/>
      <c r="IQ295" s="134"/>
      <c r="IR295" s="134"/>
      <c r="IS295" s="135"/>
      <c r="IT295" s="135"/>
      <c r="IU295" s="134"/>
      <c r="IV295" s="134"/>
      <c r="IW295" s="134"/>
      <c r="IX295" s="134"/>
      <c r="IY295" s="134"/>
      <c r="IZ295" s="134"/>
      <c r="JA295" s="134"/>
      <c r="JB295" s="134"/>
      <c r="JC295" s="135"/>
      <c r="JD295" s="135"/>
    </row>
    <row r="296" spans="1:264" customFormat="1" ht="15" customHeight="1">
      <c r="A296" s="79" t="s">
        <v>1010</v>
      </c>
      <c r="B296" s="615">
        <v>35</v>
      </c>
      <c r="C296" s="362">
        <v>2</v>
      </c>
      <c r="D296" s="362"/>
      <c r="E296" s="604" t="s">
        <v>2099</v>
      </c>
      <c r="F296" s="124" t="s">
        <v>2354</v>
      </c>
      <c r="G296" s="125">
        <v>2014</v>
      </c>
      <c r="H296" s="79">
        <v>25002839</v>
      </c>
      <c r="I296" s="79">
        <v>1</v>
      </c>
      <c r="J296" s="126"/>
      <c r="K296" s="127"/>
      <c r="L296" s="79">
        <v>1</v>
      </c>
      <c r="M296" s="79"/>
      <c r="N296" s="153">
        <v>1</v>
      </c>
      <c r="O296" s="128">
        <v>2</v>
      </c>
      <c r="P296" s="79" t="s">
        <v>1587</v>
      </c>
      <c r="Q296" s="79" t="s">
        <v>1216</v>
      </c>
      <c r="R296" s="79" t="s">
        <v>672</v>
      </c>
      <c r="S296" s="79"/>
      <c r="T296" s="79" t="s">
        <v>1504</v>
      </c>
      <c r="U296" s="79"/>
      <c r="V296" s="79"/>
      <c r="W296" s="79" t="s">
        <v>674</v>
      </c>
      <c r="X296" s="79"/>
      <c r="Y296" s="79" t="s">
        <v>1410</v>
      </c>
      <c r="Z296" s="79"/>
      <c r="AA296" s="79"/>
      <c r="AB296" s="79" t="s">
        <v>1410</v>
      </c>
      <c r="AC296" s="506"/>
      <c r="AD296" s="573">
        <v>1</v>
      </c>
      <c r="AE296" s="573">
        <v>2</v>
      </c>
      <c r="AF296" s="233" t="s">
        <v>1917</v>
      </c>
      <c r="AG296" s="234" t="s">
        <v>3342</v>
      </c>
      <c r="AH296" s="135">
        <v>5</v>
      </c>
      <c r="AI296" s="484"/>
      <c r="AJ296" s="235" t="s">
        <v>3280</v>
      </c>
      <c r="AK296" s="236">
        <v>1</v>
      </c>
      <c r="AL296" s="237">
        <v>0</v>
      </c>
      <c r="AM296" s="135" t="s">
        <v>3303</v>
      </c>
      <c r="AN296" s="135" t="s">
        <v>3278</v>
      </c>
      <c r="AO296" s="135" t="s">
        <v>3278</v>
      </c>
      <c r="AP296" s="135" t="s">
        <v>803</v>
      </c>
      <c r="AQ296" s="135" t="s">
        <v>803</v>
      </c>
      <c r="AR296" s="135" t="s">
        <v>3277</v>
      </c>
      <c r="AS296" s="135" t="s">
        <v>24</v>
      </c>
      <c r="AT296" s="423" t="s">
        <v>3277</v>
      </c>
      <c r="AU296" s="135" t="s">
        <v>24</v>
      </c>
      <c r="AV296" s="135" t="s">
        <v>3284</v>
      </c>
      <c r="AW296" s="135">
        <v>1</v>
      </c>
      <c r="AX296" s="135" t="s">
        <v>3344</v>
      </c>
      <c r="AY296" s="135"/>
      <c r="AZ296" s="135" t="s">
        <v>2668</v>
      </c>
      <c r="BA296" s="135" t="s">
        <v>3279</v>
      </c>
      <c r="BB296" s="594"/>
      <c r="BC296" s="594"/>
      <c r="BD296" s="156"/>
      <c r="BE296" s="156"/>
      <c r="BF296" s="156"/>
      <c r="BG296" s="156"/>
      <c r="BH296" s="156"/>
      <c r="BI296" s="156"/>
      <c r="BJ296" s="156">
        <v>1</v>
      </c>
      <c r="BK296" s="156"/>
      <c r="BL296" s="156"/>
      <c r="BM296" s="156"/>
      <c r="BN296" s="156"/>
      <c r="BO296" s="156"/>
      <c r="BP296" s="156"/>
      <c r="BQ296" s="595" t="s">
        <v>3282</v>
      </c>
      <c r="BR296" s="157" t="s">
        <v>6617</v>
      </c>
      <c r="BS296" s="660"/>
      <c r="BT296" s="134" t="s">
        <v>1876</v>
      </c>
      <c r="BU296" s="134" t="s">
        <v>3283</v>
      </c>
      <c r="BV296" s="134" t="s">
        <v>3301</v>
      </c>
      <c r="BW296" s="134" t="s">
        <v>3299</v>
      </c>
      <c r="BX296" s="134" t="s">
        <v>3304</v>
      </c>
      <c r="BY296" s="134"/>
      <c r="BZ296" s="259" t="s">
        <v>3308</v>
      </c>
      <c r="CA296" s="454">
        <v>0</v>
      </c>
      <c r="CB296" s="138" t="s">
        <v>3305</v>
      </c>
      <c r="CC296" s="134">
        <v>0.20216600000000001</v>
      </c>
      <c r="CD296" s="134" t="s">
        <v>24</v>
      </c>
      <c r="CE296" s="134">
        <f>0.341155-Table668[[#This Row],[Data_Outcome1_M]]</f>
        <v>0.13898899999999997</v>
      </c>
      <c r="CF296" s="138" t="s">
        <v>3306</v>
      </c>
      <c r="CG296" s="134">
        <v>0.24007200000000001</v>
      </c>
      <c r="CH296" s="168" t="s">
        <v>24</v>
      </c>
      <c r="CI296" s="134">
        <f>0.290614-Table668[[#This Row],[Data_Outcome2_M]]</f>
        <v>5.0541999999999976E-2</v>
      </c>
      <c r="CJ296" s="288" t="s">
        <v>3307</v>
      </c>
      <c r="CK296" s="289" t="s">
        <v>2480</v>
      </c>
      <c r="CL296" s="138" t="s">
        <v>24</v>
      </c>
      <c r="CM296" s="134"/>
      <c r="CN296" s="134"/>
      <c r="CO296" s="134"/>
      <c r="CP296" s="138"/>
      <c r="CQ296" s="134"/>
      <c r="CR296" s="134"/>
      <c r="CS296" s="134"/>
      <c r="CT296" s="288"/>
      <c r="CU296" s="289"/>
      <c r="CV296" s="276"/>
      <c r="CW296" s="308"/>
      <c r="CX296" s="138"/>
      <c r="CY296" s="134"/>
      <c r="CZ296" s="134"/>
      <c r="DA296" s="134"/>
      <c r="DB296" s="134"/>
      <c r="DC296" s="134"/>
      <c r="DD296" s="134"/>
      <c r="DE296" s="134"/>
      <c r="DF296" s="300"/>
      <c r="DG296" s="301"/>
      <c r="DH296" s="134"/>
      <c r="DI296" s="134"/>
      <c r="DJ296" s="134"/>
      <c r="DK296" s="134"/>
      <c r="DL296" s="134"/>
      <c r="DM296" s="134"/>
      <c r="DN296" s="134"/>
      <c r="DO296" s="134"/>
      <c r="DP296" s="300"/>
      <c r="DQ296" s="301"/>
      <c r="DR296" s="276"/>
      <c r="DS296" s="277"/>
      <c r="DT296" s="134"/>
      <c r="DU296" s="134"/>
      <c r="DV296" s="134"/>
      <c r="DW296" s="134"/>
      <c r="DX296" s="138"/>
      <c r="DY296" s="134"/>
      <c r="DZ296" s="134"/>
      <c r="EA296" s="134"/>
      <c r="EB296" s="301"/>
      <c r="EC296" s="301"/>
      <c r="ED296" s="138"/>
      <c r="EE296" s="134"/>
      <c r="EF296" s="134"/>
      <c r="EG296" s="134"/>
      <c r="EH296" s="138"/>
      <c r="EI296" s="134"/>
      <c r="EJ296" s="134"/>
      <c r="EK296" s="134"/>
      <c r="EL296" s="301"/>
      <c r="EM296" s="301"/>
      <c r="EN296" s="277"/>
      <c r="EO296" s="134"/>
      <c r="EP296" s="134"/>
      <c r="EQ296" s="134"/>
      <c r="ER296" s="134"/>
      <c r="ES296" s="134"/>
      <c r="ET296" s="134"/>
      <c r="EU296" s="134"/>
      <c r="EV296" s="134"/>
      <c r="EW296" s="301"/>
      <c r="EX296" s="301"/>
      <c r="EY296" s="134"/>
      <c r="EZ296" s="134"/>
      <c r="FA296" s="134"/>
      <c r="FB296" s="134"/>
      <c r="FC296" s="134"/>
      <c r="FD296" s="134"/>
      <c r="FE296" s="134"/>
      <c r="FF296" s="134"/>
      <c r="FG296" s="135"/>
      <c r="FH296" s="135"/>
      <c r="FI296" s="134"/>
      <c r="FJ296" s="134"/>
      <c r="FK296" s="134"/>
      <c r="FL296" s="134"/>
      <c r="FM296" s="134"/>
      <c r="FN296" s="134"/>
      <c r="FO296" s="134"/>
      <c r="FP296" s="134"/>
      <c r="FQ296" s="135"/>
      <c r="FR296" s="135"/>
      <c r="FS296" s="134"/>
      <c r="FT296" s="134"/>
      <c r="FU296" s="134"/>
      <c r="FV296" s="134"/>
      <c r="FW296" s="134"/>
      <c r="FX296" s="134"/>
      <c r="FY296" s="134"/>
      <c r="FZ296" s="134"/>
      <c r="GA296" s="135"/>
      <c r="GB296" s="135"/>
      <c r="GC296" s="134"/>
      <c r="GD296" s="134"/>
      <c r="GE296" s="134"/>
      <c r="GF296" s="134"/>
      <c r="GG296" s="134"/>
      <c r="GH296" s="134"/>
      <c r="GI296" s="134"/>
      <c r="GJ296" s="134"/>
      <c r="GK296" s="135"/>
      <c r="GL296" s="135"/>
      <c r="GM296" s="134"/>
      <c r="GN296" s="134"/>
      <c r="GO296" s="134"/>
      <c r="GP296" s="134"/>
      <c r="GQ296" s="134"/>
      <c r="GR296" s="134"/>
      <c r="GS296" s="134"/>
      <c r="GT296" s="134"/>
      <c r="GU296" s="135"/>
      <c r="GV296" s="135"/>
      <c r="GW296" s="134"/>
      <c r="GX296" s="134"/>
      <c r="GY296" s="134"/>
      <c r="GZ296" s="134"/>
      <c r="HA296" s="134"/>
      <c r="HB296" s="134"/>
      <c r="HC296" s="134"/>
      <c r="HD296" s="134"/>
      <c r="HE296" s="135"/>
      <c r="HF296" s="135"/>
      <c r="HG296" s="134"/>
      <c r="HH296" s="134"/>
      <c r="HI296" s="134"/>
      <c r="HJ296" s="134"/>
      <c r="HK296" s="134"/>
      <c r="HL296" s="134"/>
      <c r="HM296" s="134"/>
      <c r="HN296" s="134"/>
      <c r="HO296" s="135"/>
      <c r="HP296" s="135"/>
      <c r="HQ296" s="134"/>
      <c r="HR296" s="134"/>
      <c r="HS296" s="134"/>
      <c r="HT296" s="134"/>
      <c r="HU296" s="134"/>
      <c r="HV296" s="134"/>
      <c r="HW296" s="134"/>
      <c r="HX296" s="134"/>
      <c r="HY296" s="135"/>
      <c r="HZ296" s="135"/>
      <c r="IA296" s="134"/>
      <c r="IB296" s="134"/>
      <c r="IC296" s="134"/>
      <c r="ID296" s="134"/>
      <c r="IE296" s="134"/>
      <c r="IF296" s="134"/>
      <c r="IG296" s="134"/>
      <c r="IH296" s="134"/>
      <c r="II296" s="135"/>
      <c r="IJ296" s="135"/>
      <c r="IK296" s="134"/>
      <c r="IL296" s="134"/>
      <c r="IM296" s="134"/>
      <c r="IN296" s="134"/>
      <c r="IO296" s="134"/>
      <c r="IP296" s="134"/>
      <c r="IQ296" s="134"/>
      <c r="IR296" s="134"/>
      <c r="IS296" s="135"/>
      <c r="IT296" s="135"/>
      <c r="IU296" s="134"/>
      <c r="IV296" s="134"/>
      <c r="IW296" s="134"/>
      <c r="IX296" s="134"/>
      <c r="IY296" s="134"/>
      <c r="IZ296" s="134"/>
      <c r="JA296" s="134"/>
      <c r="JB296" s="134"/>
      <c r="JC296" s="135"/>
      <c r="JD296" s="135"/>
    </row>
    <row r="297" spans="1:264" customFormat="1" ht="15" customHeight="1">
      <c r="A297" s="79" t="s">
        <v>252</v>
      </c>
      <c r="B297" s="362">
        <v>181</v>
      </c>
      <c r="C297" s="362">
        <v>62</v>
      </c>
      <c r="D297" s="362"/>
      <c r="E297" s="604" t="s">
        <v>1999</v>
      </c>
      <c r="F297" s="124" t="s">
        <v>2230</v>
      </c>
      <c r="G297" s="125">
        <v>2015</v>
      </c>
      <c r="H297" s="79">
        <v>25893970</v>
      </c>
      <c r="I297" s="79">
        <v>1</v>
      </c>
      <c r="J297" s="126" t="s">
        <v>1745</v>
      </c>
      <c r="K297" s="127" t="s">
        <v>1745</v>
      </c>
      <c r="L297" s="164">
        <v>1</v>
      </c>
      <c r="M297" s="79" t="s">
        <v>1748</v>
      </c>
      <c r="N297" s="79">
        <v>0</v>
      </c>
      <c r="O297" s="128">
        <v>1</v>
      </c>
      <c r="P297" s="79" t="s">
        <v>682</v>
      </c>
      <c r="Q297" s="79"/>
      <c r="R297" s="79" t="s">
        <v>514</v>
      </c>
      <c r="S297" s="79">
        <v>1</v>
      </c>
      <c r="T297" s="79"/>
      <c r="U297" s="79"/>
      <c r="V297" s="79"/>
      <c r="W297" s="79" t="s">
        <v>683</v>
      </c>
      <c r="X297" s="79" t="s">
        <v>24</v>
      </c>
      <c r="Y297" s="79" t="s">
        <v>24</v>
      </c>
      <c r="Z297" s="79"/>
      <c r="AA297" s="79"/>
      <c r="AB297" s="79" t="s">
        <v>684</v>
      </c>
      <c r="AC297" s="506"/>
      <c r="AD297" s="573">
        <v>1</v>
      </c>
      <c r="AE297" s="573">
        <v>2</v>
      </c>
      <c r="AF297" s="165" t="s">
        <v>3003</v>
      </c>
      <c r="AG297" s="166" t="s">
        <v>5210</v>
      </c>
      <c r="AH297" s="120">
        <v>2</v>
      </c>
      <c r="AI297" s="120"/>
      <c r="AJ297" s="206"/>
      <c r="AK297" s="372"/>
      <c r="AL297" s="207"/>
      <c r="AM297" s="120"/>
      <c r="AN297" s="120"/>
      <c r="AO297" s="120"/>
      <c r="AP297" s="120"/>
      <c r="AQ297" s="120"/>
      <c r="AR297" s="120"/>
      <c r="AS297" s="120"/>
      <c r="AT297" s="120"/>
      <c r="AU297" s="120"/>
      <c r="AV297" s="120"/>
      <c r="AW297" s="120"/>
      <c r="AX297" s="120"/>
      <c r="AY297" s="120"/>
      <c r="AZ297" s="120"/>
      <c r="BA297" s="509" t="s">
        <v>5209</v>
      </c>
      <c r="BB297" s="598"/>
      <c r="BC297" s="598"/>
      <c r="BD297" s="511"/>
      <c r="BE297" s="511"/>
      <c r="BF297" s="511"/>
      <c r="BG297" s="511"/>
      <c r="BH297" s="511"/>
      <c r="BI297" s="511"/>
      <c r="BJ297" s="511">
        <v>1</v>
      </c>
      <c r="BK297" s="511"/>
      <c r="BL297" s="511"/>
      <c r="BM297" s="511"/>
      <c r="BN297" s="511"/>
      <c r="BO297" s="511"/>
      <c r="BP297" s="511"/>
      <c r="BQ297" s="511"/>
      <c r="BR297" s="510"/>
      <c r="BS297" s="660"/>
      <c r="BT297" s="134"/>
      <c r="BU297" s="134"/>
      <c r="BV297" s="134"/>
      <c r="BW297" s="134"/>
      <c r="BX297" s="134"/>
      <c r="BY297" s="134"/>
      <c r="BZ297" s="375"/>
      <c r="CA297" s="380"/>
      <c r="CB297" s="138"/>
      <c r="CC297" s="134"/>
      <c r="CD297" s="134"/>
      <c r="CE297" s="134"/>
      <c r="CF297" s="138"/>
      <c r="CG297" s="134"/>
      <c r="CH297" s="134"/>
      <c r="CI297" s="134"/>
      <c r="CJ297" s="288"/>
      <c r="CK297" s="289"/>
      <c r="CL297" s="138"/>
      <c r="CM297" s="134"/>
      <c r="CN297" s="134"/>
      <c r="CO297" s="134"/>
      <c r="CP297" s="138"/>
      <c r="CQ297" s="134"/>
      <c r="CR297" s="134"/>
      <c r="CS297" s="134"/>
      <c r="CT297" s="288"/>
      <c r="CU297" s="289"/>
      <c r="CV297" s="276"/>
      <c r="CW297" s="308"/>
      <c r="CX297" s="138"/>
      <c r="CY297" s="134"/>
      <c r="CZ297" s="134"/>
      <c r="DA297" s="134"/>
      <c r="DB297" s="134"/>
      <c r="DC297" s="134"/>
      <c r="DD297" s="134"/>
      <c r="DE297" s="134"/>
      <c r="DF297" s="300"/>
      <c r="DG297" s="301"/>
      <c r="DH297" s="134"/>
      <c r="DI297" s="134"/>
      <c r="DJ297" s="134"/>
      <c r="DK297" s="134"/>
      <c r="DL297" s="134"/>
      <c r="DM297" s="134"/>
      <c r="DN297" s="134"/>
      <c r="DO297" s="134"/>
      <c r="DP297" s="300"/>
      <c r="DQ297" s="301"/>
      <c r="DR297" s="276"/>
      <c r="DS297" s="277"/>
      <c r="DT297" s="134"/>
      <c r="DU297" s="134"/>
      <c r="DV297" s="134"/>
      <c r="DW297" s="134"/>
      <c r="DX297" s="138"/>
      <c r="DY297" s="134"/>
      <c r="DZ297" s="134"/>
      <c r="EA297" s="134"/>
      <c r="EB297" s="301"/>
      <c r="EC297" s="301"/>
      <c r="ED297" s="138"/>
      <c r="EE297" s="134"/>
      <c r="EF297" s="134"/>
      <c r="EG297" s="134"/>
      <c r="EH297" s="138"/>
      <c r="EI297" s="134"/>
      <c r="EJ297" s="134"/>
      <c r="EK297" s="134"/>
      <c r="EL297" s="301"/>
      <c r="EM297" s="301"/>
      <c r="EN297" s="277"/>
      <c r="EO297" s="134"/>
      <c r="EP297" s="134"/>
      <c r="EQ297" s="134"/>
      <c r="ER297" s="134"/>
      <c r="ES297" s="134"/>
      <c r="ET297" s="134"/>
      <c r="EU297" s="134"/>
      <c r="EV297" s="134"/>
      <c r="EW297" s="301"/>
      <c r="EX297" s="301"/>
      <c r="EY297" s="134"/>
      <c r="EZ297" s="134"/>
      <c r="FA297" s="134"/>
      <c r="FB297" s="134"/>
      <c r="FC297" s="134"/>
      <c r="FD297" s="134"/>
      <c r="FE297" s="134"/>
      <c r="FF297" s="134"/>
      <c r="FG297" s="135"/>
      <c r="FH297" s="135"/>
      <c r="FI297" s="134"/>
      <c r="FJ297" s="134"/>
      <c r="FK297" s="134"/>
      <c r="FL297" s="134"/>
      <c r="FM297" s="134"/>
      <c r="FN297" s="134"/>
      <c r="FO297" s="134"/>
      <c r="FP297" s="134"/>
      <c r="FQ297" s="135"/>
      <c r="FR297" s="135"/>
      <c r="FS297" s="134"/>
      <c r="FT297" s="134"/>
      <c r="FU297" s="134"/>
      <c r="FV297" s="134"/>
      <c r="FW297" s="134"/>
      <c r="FX297" s="134"/>
      <c r="FY297" s="134"/>
      <c r="FZ297" s="134"/>
      <c r="GA297" s="135"/>
      <c r="GB297" s="135"/>
      <c r="GC297" s="134"/>
      <c r="GD297" s="134"/>
      <c r="GE297" s="134"/>
      <c r="GF297" s="134"/>
      <c r="GG297" s="134"/>
      <c r="GH297" s="134"/>
      <c r="GI297" s="134"/>
      <c r="GJ297" s="134"/>
      <c r="GK297" s="135"/>
      <c r="GL297" s="135"/>
      <c r="GM297" s="134"/>
      <c r="GN297" s="134"/>
      <c r="GO297" s="134"/>
      <c r="GP297" s="134"/>
      <c r="GQ297" s="134"/>
      <c r="GR297" s="134"/>
      <c r="GS297" s="134"/>
      <c r="GT297" s="134"/>
      <c r="GU297" s="135"/>
      <c r="GV297" s="135"/>
      <c r="GW297" s="134"/>
      <c r="GX297" s="134"/>
      <c r="GY297" s="134"/>
      <c r="GZ297" s="134"/>
      <c r="HA297" s="134"/>
      <c r="HB297" s="134"/>
      <c r="HC297" s="134"/>
      <c r="HD297" s="134"/>
      <c r="HE297" s="135"/>
      <c r="HF297" s="135"/>
      <c r="HG297" s="134"/>
      <c r="HH297" s="134"/>
      <c r="HI297" s="134"/>
      <c r="HJ297" s="134"/>
      <c r="HK297" s="134"/>
      <c r="HL297" s="134"/>
      <c r="HM297" s="134"/>
      <c r="HN297" s="134"/>
      <c r="HO297" s="135"/>
      <c r="HP297" s="135"/>
      <c r="HQ297" s="134"/>
      <c r="HR297" s="134"/>
      <c r="HS297" s="134"/>
      <c r="HT297" s="134"/>
      <c r="HU297" s="134"/>
      <c r="HV297" s="134"/>
      <c r="HW297" s="134"/>
      <c r="HX297" s="134"/>
      <c r="HY297" s="135"/>
      <c r="HZ297" s="135"/>
      <c r="IA297" s="134"/>
      <c r="IB297" s="134"/>
      <c r="IC297" s="134"/>
      <c r="ID297" s="134"/>
      <c r="IE297" s="134"/>
      <c r="IF297" s="134"/>
      <c r="IG297" s="134"/>
      <c r="IH297" s="134"/>
      <c r="II297" s="135"/>
      <c r="IJ297" s="135"/>
      <c r="IK297" s="134"/>
      <c r="IL297" s="134"/>
      <c r="IM297" s="134"/>
      <c r="IN297" s="134"/>
      <c r="IO297" s="134"/>
      <c r="IP297" s="134"/>
      <c r="IQ297" s="134"/>
      <c r="IR297" s="134"/>
      <c r="IS297" s="135"/>
      <c r="IT297" s="135"/>
      <c r="IU297" s="134"/>
      <c r="IV297" s="134"/>
      <c r="IW297" s="134"/>
      <c r="IX297" s="134"/>
      <c r="IY297" s="134"/>
      <c r="IZ297" s="134"/>
      <c r="JA297" s="134"/>
      <c r="JB297" s="134"/>
      <c r="JC297" s="135"/>
      <c r="JD297" s="135"/>
    </row>
    <row r="298" spans="1:264" customFormat="1" ht="15" customHeight="1">
      <c r="A298" s="79" t="s">
        <v>1005</v>
      </c>
      <c r="B298" s="362">
        <v>36</v>
      </c>
      <c r="C298" s="362"/>
      <c r="D298" s="362"/>
      <c r="E298" s="604" t="s">
        <v>2101</v>
      </c>
      <c r="F298" s="124" t="s">
        <v>2356</v>
      </c>
      <c r="G298" s="125">
        <v>2014</v>
      </c>
      <c r="H298" s="79">
        <v>24925360</v>
      </c>
      <c r="I298" s="79">
        <v>1</v>
      </c>
      <c r="J298" s="126">
        <v>1</v>
      </c>
      <c r="K298" s="127"/>
      <c r="L298" s="79">
        <v>1</v>
      </c>
      <c r="M298" s="79"/>
      <c r="N298" s="153">
        <v>1</v>
      </c>
      <c r="O298" s="128">
        <v>2</v>
      </c>
      <c r="P298" s="79" t="s">
        <v>1455</v>
      </c>
      <c r="Q298" s="79" t="s">
        <v>1216</v>
      </c>
      <c r="R298" s="79" t="s">
        <v>1127</v>
      </c>
      <c r="S298" s="79"/>
      <c r="T298" s="79" t="s">
        <v>1488</v>
      </c>
      <c r="U298" s="79" t="s">
        <v>803</v>
      </c>
      <c r="V298" s="79" t="s">
        <v>23</v>
      </c>
      <c r="W298" s="79" t="s">
        <v>1454</v>
      </c>
      <c r="X298" s="79" t="s">
        <v>1456</v>
      </c>
      <c r="Y298" s="79" t="s">
        <v>24</v>
      </c>
      <c r="Z298" s="79"/>
      <c r="AA298" s="79"/>
      <c r="AB298" s="79" t="s">
        <v>1457</v>
      </c>
      <c r="AC298" s="506"/>
      <c r="AD298" s="573">
        <v>1</v>
      </c>
      <c r="AE298" s="573">
        <v>2</v>
      </c>
      <c r="AF298" s="233" t="s">
        <v>3003</v>
      </c>
      <c r="AG298" s="234" t="s">
        <v>3346</v>
      </c>
      <c r="AH298" s="120">
        <v>4</v>
      </c>
      <c r="AI298" s="484"/>
      <c r="AJ298" s="206"/>
      <c r="AK298" s="192"/>
      <c r="AL298" s="207"/>
      <c r="AM298" s="120"/>
      <c r="AN298" s="120"/>
      <c r="AO298" s="120"/>
      <c r="AP298" s="120"/>
      <c r="AQ298" s="120"/>
      <c r="AR298" s="120"/>
      <c r="AS298" s="120"/>
      <c r="AT298" s="120"/>
      <c r="AU298" s="120"/>
      <c r="AV298" s="120"/>
      <c r="AW298" s="120"/>
      <c r="AX298" s="120" t="s">
        <v>3345</v>
      </c>
      <c r="AY298" s="120"/>
      <c r="AZ298" s="120"/>
      <c r="BA298" s="120"/>
      <c r="BB298" s="594"/>
      <c r="BC298" s="594"/>
      <c r="BD298" s="156">
        <v>1</v>
      </c>
      <c r="BE298" s="156"/>
      <c r="BF298" s="156"/>
      <c r="BG298" s="156"/>
      <c r="BH298" s="156"/>
      <c r="BI298" s="156"/>
      <c r="BJ298" s="156"/>
      <c r="BK298" s="156"/>
      <c r="BL298" s="156"/>
      <c r="BM298" s="156"/>
      <c r="BN298" s="156"/>
      <c r="BO298" s="156"/>
      <c r="BP298" s="156"/>
      <c r="BQ298" s="595"/>
      <c r="BR298" s="157"/>
      <c r="BS298" s="660"/>
      <c r="BT298" s="134"/>
      <c r="BU298" s="134"/>
      <c r="BV298" s="134"/>
      <c r="BW298" s="134"/>
      <c r="BX298" s="134"/>
      <c r="BY298" s="134"/>
      <c r="BZ298" s="259" t="s">
        <v>24</v>
      </c>
      <c r="CA298" s="454"/>
      <c r="CB298" s="138"/>
      <c r="CC298" s="134"/>
      <c r="CD298" s="134"/>
      <c r="CE298" s="134"/>
      <c r="CF298" s="138"/>
      <c r="CG298" s="134"/>
      <c r="CH298" s="134"/>
      <c r="CI298" s="134"/>
      <c r="CJ298" s="288"/>
      <c r="CK298" s="289"/>
      <c r="CL298" s="138"/>
      <c r="CM298" s="134"/>
      <c r="CN298" s="134"/>
      <c r="CO298" s="134"/>
      <c r="CP298" s="138"/>
      <c r="CQ298" s="134"/>
      <c r="CR298" s="134"/>
      <c r="CS298" s="134"/>
      <c r="CT298" s="288"/>
      <c r="CU298" s="289"/>
      <c r="CV298" s="276"/>
      <c r="CW298" s="308"/>
      <c r="CX298" s="138"/>
      <c r="CY298" s="134"/>
      <c r="CZ298" s="134"/>
      <c r="DA298" s="134"/>
      <c r="DB298" s="134"/>
      <c r="DC298" s="134"/>
      <c r="DD298" s="134"/>
      <c r="DE298" s="134"/>
      <c r="DF298" s="300"/>
      <c r="DG298" s="301"/>
      <c r="DH298" s="134"/>
      <c r="DI298" s="134"/>
      <c r="DJ298" s="134"/>
      <c r="DK298" s="134"/>
      <c r="DL298" s="134"/>
      <c r="DM298" s="134"/>
      <c r="DN298" s="134"/>
      <c r="DO298" s="134"/>
      <c r="DP298" s="300"/>
      <c r="DQ298" s="301"/>
      <c r="DR298" s="276"/>
      <c r="DS298" s="277"/>
      <c r="DT298" s="134"/>
      <c r="DU298" s="134"/>
      <c r="DV298" s="134"/>
      <c r="DW298" s="134"/>
      <c r="DX298" s="138"/>
      <c r="DY298" s="134"/>
      <c r="DZ298" s="134"/>
      <c r="EA298" s="134"/>
      <c r="EB298" s="301"/>
      <c r="EC298" s="301"/>
      <c r="ED298" s="138"/>
      <c r="EE298" s="134"/>
      <c r="EF298" s="134"/>
      <c r="EG298" s="134"/>
      <c r="EH298" s="138"/>
      <c r="EI298" s="134"/>
      <c r="EJ298" s="134"/>
      <c r="EK298" s="134"/>
      <c r="EL298" s="301"/>
      <c r="EM298" s="301"/>
      <c r="EN298" s="277"/>
      <c r="EO298" s="134"/>
      <c r="EP298" s="134"/>
      <c r="EQ298" s="134"/>
      <c r="ER298" s="134"/>
      <c r="ES298" s="134"/>
      <c r="ET298" s="134"/>
      <c r="EU298" s="134"/>
      <c r="EV298" s="134"/>
      <c r="EW298" s="301"/>
      <c r="EX298" s="301"/>
      <c r="EY298" s="134"/>
      <c r="EZ298" s="134"/>
      <c r="FA298" s="134"/>
      <c r="FB298" s="134"/>
      <c r="FC298" s="134"/>
      <c r="FD298" s="134"/>
      <c r="FE298" s="134"/>
      <c r="FF298" s="134"/>
      <c r="FG298" s="135"/>
      <c r="FH298" s="135"/>
      <c r="FI298" s="134"/>
      <c r="FJ298" s="134"/>
      <c r="FK298" s="134"/>
      <c r="FL298" s="134"/>
      <c r="FM298" s="134"/>
      <c r="FN298" s="134"/>
      <c r="FO298" s="134"/>
      <c r="FP298" s="134"/>
      <c r="FQ298" s="135"/>
      <c r="FR298" s="135"/>
      <c r="FS298" s="134"/>
      <c r="FT298" s="134"/>
      <c r="FU298" s="134"/>
      <c r="FV298" s="134"/>
      <c r="FW298" s="134"/>
      <c r="FX298" s="134"/>
      <c r="FY298" s="134"/>
      <c r="FZ298" s="134"/>
      <c r="GA298" s="135"/>
      <c r="GB298" s="135"/>
      <c r="GC298" s="134"/>
      <c r="GD298" s="134"/>
      <c r="GE298" s="134"/>
      <c r="GF298" s="134"/>
      <c r="GG298" s="134"/>
      <c r="GH298" s="134"/>
      <c r="GI298" s="134"/>
      <c r="GJ298" s="134"/>
      <c r="GK298" s="135"/>
      <c r="GL298" s="135"/>
      <c r="GM298" s="134"/>
      <c r="GN298" s="134"/>
      <c r="GO298" s="134"/>
      <c r="GP298" s="134"/>
      <c r="GQ298" s="134"/>
      <c r="GR298" s="134"/>
      <c r="GS298" s="134"/>
      <c r="GT298" s="134"/>
      <c r="GU298" s="135"/>
      <c r="GV298" s="135"/>
      <c r="GW298" s="134"/>
      <c r="GX298" s="134"/>
      <c r="GY298" s="134"/>
      <c r="GZ298" s="134"/>
      <c r="HA298" s="134"/>
      <c r="HB298" s="134"/>
      <c r="HC298" s="134"/>
      <c r="HD298" s="134"/>
      <c r="HE298" s="135"/>
      <c r="HF298" s="135"/>
      <c r="HG298" s="134"/>
      <c r="HH298" s="134"/>
      <c r="HI298" s="134"/>
      <c r="HJ298" s="134"/>
      <c r="HK298" s="134"/>
      <c r="HL298" s="134"/>
      <c r="HM298" s="134"/>
      <c r="HN298" s="134"/>
      <c r="HO298" s="135"/>
      <c r="HP298" s="135"/>
      <c r="HQ298" s="134"/>
      <c r="HR298" s="134"/>
      <c r="HS298" s="134"/>
      <c r="HT298" s="134"/>
      <c r="HU298" s="134"/>
      <c r="HV298" s="134"/>
      <c r="HW298" s="134"/>
      <c r="HX298" s="134"/>
      <c r="HY298" s="135"/>
      <c r="HZ298" s="135"/>
      <c r="IA298" s="134"/>
      <c r="IB298" s="134"/>
      <c r="IC298" s="134"/>
      <c r="ID298" s="134"/>
      <c r="IE298" s="134"/>
      <c r="IF298" s="134"/>
      <c r="IG298" s="134"/>
      <c r="IH298" s="134"/>
      <c r="II298" s="135"/>
      <c r="IJ298" s="135"/>
      <c r="IK298" s="134"/>
      <c r="IL298" s="134"/>
      <c r="IM298" s="134"/>
      <c r="IN298" s="134"/>
      <c r="IO298" s="134"/>
      <c r="IP298" s="134"/>
      <c r="IQ298" s="134"/>
      <c r="IR298" s="134"/>
      <c r="IS298" s="135"/>
      <c r="IT298" s="135"/>
      <c r="IU298" s="134"/>
      <c r="IV298" s="134"/>
      <c r="IW298" s="134"/>
      <c r="IX298" s="134"/>
      <c r="IY298" s="134"/>
      <c r="IZ298" s="134"/>
      <c r="JA298" s="134"/>
      <c r="JB298" s="134"/>
      <c r="JC298" s="135"/>
      <c r="JD298" s="135"/>
    </row>
    <row r="299" spans="1:264" customFormat="1" ht="15" customHeight="1">
      <c r="A299" s="79" t="s">
        <v>1004</v>
      </c>
      <c r="B299" s="362">
        <v>184</v>
      </c>
      <c r="C299" s="362">
        <v>63</v>
      </c>
      <c r="D299" s="362"/>
      <c r="E299" s="604" t="s">
        <v>2102</v>
      </c>
      <c r="F299" s="124" t="s">
        <v>2357</v>
      </c>
      <c r="G299" s="125">
        <v>2014</v>
      </c>
      <c r="H299" s="79">
        <v>24657739</v>
      </c>
      <c r="I299" s="79">
        <v>1</v>
      </c>
      <c r="J299" s="126"/>
      <c r="K299" s="127"/>
      <c r="L299" s="79">
        <v>1</v>
      </c>
      <c r="M299" s="79"/>
      <c r="N299" s="79">
        <v>1</v>
      </c>
      <c r="O299" s="128">
        <v>2</v>
      </c>
      <c r="P299" s="79" t="s">
        <v>1460</v>
      </c>
      <c r="Q299" s="79" t="s">
        <v>1216</v>
      </c>
      <c r="R299" s="79" t="s">
        <v>1229</v>
      </c>
      <c r="S299" s="79"/>
      <c r="T299" s="79" t="s">
        <v>1487</v>
      </c>
      <c r="U299" s="79" t="s">
        <v>803</v>
      </c>
      <c r="V299" s="79"/>
      <c r="W299" s="79" t="s">
        <v>1458</v>
      </c>
      <c r="X299" s="79"/>
      <c r="Y299" s="79" t="s">
        <v>1459</v>
      </c>
      <c r="Z299" s="79"/>
      <c r="AA299" s="79" t="s">
        <v>1461</v>
      </c>
      <c r="AB299" s="79"/>
      <c r="AC299" s="506"/>
      <c r="AD299" s="573">
        <v>1</v>
      </c>
      <c r="AE299" s="573">
        <v>2</v>
      </c>
      <c r="AF299" s="154">
        <v>1</v>
      </c>
      <c r="AG299" s="155"/>
      <c r="AH299" s="121">
        <v>4</v>
      </c>
      <c r="AI299" s="484"/>
      <c r="AJ299" s="202" t="s">
        <v>5227</v>
      </c>
      <c r="AK299" s="192">
        <v>0</v>
      </c>
      <c r="AL299" s="203">
        <v>0</v>
      </c>
      <c r="AM299" s="121">
        <v>20</v>
      </c>
      <c r="AN299" s="121">
        <v>10</v>
      </c>
      <c r="AO299" s="121">
        <v>10</v>
      </c>
      <c r="AP299" s="121" t="s">
        <v>803</v>
      </c>
      <c r="AQ299" s="121" t="s">
        <v>803</v>
      </c>
      <c r="AR299" s="121" t="s">
        <v>5212</v>
      </c>
      <c r="AS299" s="121" t="s">
        <v>24</v>
      </c>
      <c r="AT299" s="121" t="s">
        <v>5212</v>
      </c>
      <c r="AU299" s="121" t="s">
        <v>24</v>
      </c>
      <c r="AV299" s="121" t="s">
        <v>5211</v>
      </c>
      <c r="AW299" s="121">
        <v>1</v>
      </c>
      <c r="AX299" s="121">
        <v>1</v>
      </c>
      <c r="AY299" s="121" t="s">
        <v>5213</v>
      </c>
      <c r="AZ299" s="121" t="s">
        <v>2912</v>
      </c>
      <c r="BA299" s="121" t="s">
        <v>4508</v>
      </c>
      <c r="BB299" s="594"/>
      <c r="BC299" s="594"/>
      <c r="BD299" s="156"/>
      <c r="BE299" s="156"/>
      <c r="BF299" s="156"/>
      <c r="BG299" s="156"/>
      <c r="BH299" s="156"/>
      <c r="BI299" s="156"/>
      <c r="BJ299" s="156">
        <v>1</v>
      </c>
      <c r="BK299" s="156"/>
      <c r="BL299" s="156"/>
      <c r="BM299" s="156"/>
      <c r="BN299" s="156"/>
      <c r="BO299" s="156"/>
      <c r="BP299" s="156"/>
      <c r="BQ299" s="595" t="s">
        <v>5217</v>
      </c>
      <c r="BR299" s="157" t="s">
        <v>6617</v>
      </c>
      <c r="BS299" s="660"/>
      <c r="BT299" s="134" t="s">
        <v>1876</v>
      </c>
      <c r="BU299" s="134" t="s">
        <v>5214</v>
      </c>
      <c r="BV299" s="134" t="s">
        <v>5218</v>
      </c>
      <c r="BW299" s="134" t="s">
        <v>5215</v>
      </c>
      <c r="BX299" s="134" t="s">
        <v>5216</v>
      </c>
      <c r="BY299" s="134"/>
      <c r="BZ299" s="259" t="s">
        <v>5226</v>
      </c>
      <c r="CA299" s="454" t="s">
        <v>24</v>
      </c>
      <c r="CB299" s="138" t="s">
        <v>5219</v>
      </c>
      <c r="CC299" s="134">
        <v>4.5901399999999999</v>
      </c>
      <c r="CD299" s="134" t="s">
        <v>24</v>
      </c>
      <c r="CE299" s="134">
        <f>5.4944-Table668[[#This Row],[Data_Outcome1_M]]</f>
        <v>0.90425999999999984</v>
      </c>
      <c r="CF299" s="138" t="s">
        <v>5220</v>
      </c>
      <c r="CG299" s="134">
        <v>1.2724</v>
      </c>
      <c r="CH299" s="134" t="s">
        <v>24</v>
      </c>
      <c r="CI299" s="134">
        <f>1.78569-Table668[[#This Row],[Data_Outcome2_M]]</f>
        <v>0.51329000000000002</v>
      </c>
      <c r="CJ299" s="288" t="s">
        <v>5223</v>
      </c>
      <c r="CK299" s="289" t="s">
        <v>2555</v>
      </c>
      <c r="CL299" s="138" t="s">
        <v>5221</v>
      </c>
      <c r="CM299" s="134">
        <v>4.0004299999999997</v>
      </c>
      <c r="CN299" s="134" t="s">
        <v>24</v>
      </c>
      <c r="CO299" s="134">
        <f>4.96198-Table668[[#This Row],[Data_Outcome3_M]]</f>
        <v>0.9615499999999999</v>
      </c>
      <c r="CP299" s="138" t="s">
        <v>5222</v>
      </c>
      <c r="CQ299" s="134">
        <v>1.9053899999999999</v>
      </c>
      <c r="CR299" s="134" t="s">
        <v>24</v>
      </c>
      <c r="CS299" s="134">
        <f>2.55313-Table668[[#This Row],[Data_Outcome4_M]]</f>
        <v>0.64773999999999998</v>
      </c>
      <c r="CT299" s="288" t="s">
        <v>5224</v>
      </c>
      <c r="CU299" s="289" t="s">
        <v>2555</v>
      </c>
      <c r="CV299" s="276" t="s">
        <v>5225</v>
      </c>
      <c r="CW299" s="308" t="s">
        <v>3026</v>
      </c>
      <c r="CX299" s="138"/>
      <c r="CY299" s="134"/>
      <c r="CZ299" s="134"/>
      <c r="DA299" s="134"/>
      <c r="DB299" s="134"/>
      <c r="DC299" s="134"/>
      <c r="DD299" s="134"/>
      <c r="DE299" s="134"/>
      <c r="DF299" s="300"/>
      <c r="DG299" s="301"/>
      <c r="DH299" s="134"/>
      <c r="DI299" s="134"/>
      <c r="DJ299" s="134"/>
      <c r="DK299" s="134"/>
      <c r="DL299" s="134"/>
      <c r="DM299" s="134"/>
      <c r="DN299" s="134"/>
      <c r="DO299" s="134"/>
      <c r="DP299" s="300"/>
      <c r="DQ299" s="301"/>
      <c r="DR299" s="276"/>
      <c r="DS299" s="277"/>
      <c r="DT299" s="134"/>
      <c r="DU299" s="134"/>
      <c r="DV299" s="134"/>
      <c r="DW299" s="134"/>
      <c r="DX299" s="138"/>
      <c r="DY299" s="134"/>
      <c r="DZ299" s="134"/>
      <c r="EA299" s="134"/>
      <c r="EB299" s="301"/>
      <c r="EC299" s="301"/>
      <c r="ED299" s="138"/>
      <c r="EE299" s="134"/>
      <c r="EF299" s="134"/>
      <c r="EG299" s="134"/>
      <c r="EH299" s="138"/>
      <c r="EI299" s="134"/>
      <c r="EJ299" s="134"/>
      <c r="EK299" s="134"/>
      <c r="EL299" s="301"/>
      <c r="EM299" s="301"/>
      <c r="EN299" s="277"/>
      <c r="EO299" s="134"/>
      <c r="EP299" s="134"/>
      <c r="EQ299" s="134"/>
      <c r="ER299" s="134"/>
      <c r="ES299" s="134"/>
      <c r="ET299" s="134"/>
      <c r="EU299" s="134"/>
      <c r="EV299" s="134"/>
      <c r="EW299" s="301"/>
      <c r="EX299" s="301"/>
      <c r="EY299" s="134"/>
      <c r="EZ299" s="134"/>
      <c r="FA299" s="134"/>
      <c r="FB299" s="134"/>
      <c r="FC299" s="134"/>
      <c r="FD299" s="134"/>
      <c r="FE299" s="134"/>
      <c r="FF299" s="134"/>
      <c r="FG299" s="135"/>
      <c r="FH299" s="135"/>
      <c r="FI299" s="134"/>
      <c r="FJ299" s="134"/>
      <c r="FK299" s="134"/>
      <c r="FL299" s="134"/>
      <c r="FM299" s="134"/>
      <c r="FN299" s="134"/>
      <c r="FO299" s="134"/>
      <c r="FP299" s="134"/>
      <c r="FQ299" s="135"/>
      <c r="FR299" s="135"/>
      <c r="FS299" s="134"/>
      <c r="FT299" s="134"/>
      <c r="FU299" s="134"/>
      <c r="FV299" s="134"/>
      <c r="FW299" s="134"/>
      <c r="FX299" s="134"/>
      <c r="FY299" s="134"/>
      <c r="FZ299" s="134"/>
      <c r="GA299" s="135"/>
      <c r="GB299" s="135"/>
      <c r="GC299" s="134"/>
      <c r="GD299" s="134"/>
      <c r="GE299" s="134"/>
      <c r="GF299" s="134"/>
      <c r="GG299" s="134"/>
      <c r="GH299" s="134"/>
      <c r="GI299" s="134"/>
      <c r="GJ299" s="134"/>
      <c r="GK299" s="135"/>
      <c r="GL299" s="135"/>
      <c r="GM299" s="134"/>
      <c r="GN299" s="134"/>
      <c r="GO299" s="134"/>
      <c r="GP299" s="134"/>
      <c r="GQ299" s="134"/>
      <c r="GR299" s="134"/>
      <c r="GS299" s="134"/>
      <c r="GT299" s="134"/>
      <c r="GU299" s="135"/>
      <c r="GV299" s="135"/>
      <c r="GW299" s="134"/>
      <c r="GX299" s="134"/>
      <c r="GY299" s="134"/>
      <c r="GZ299" s="134"/>
      <c r="HA299" s="134"/>
      <c r="HB299" s="134"/>
      <c r="HC299" s="134"/>
      <c r="HD299" s="134"/>
      <c r="HE299" s="135"/>
      <c r="HF299" s="135"/>
      <c r="HG299" s="134"/>
      <c r="HH299" s="134"/>
      <c r="HI299" s="134"/>
      <c r="HJ299" s="134"/>
      <c r="HK299" s="134"/>
      <c r="HL299" s="134"/>
      <c r="HM299" s="134"/>
      <c r="HN299" s="134"/>
      <c r="HO299" s="135"/>
      <c r="HP299" s="135"/>
      <c r="HQ299" s="134"/>
      <c r="HR299" s="134"/>
      <c r="HS299" s="134"/>
      <c r="HT299" s="134"/>
      <c r="HU299" s="134"/>
      <c r="HV299" s="134"/>
      <c r="HW299" s="134"/>
      <c r="HX299" s="134"/>
      <c r="HY299" s="135"/>
      <c r="HZ299" s="135"/>
      <c r="IA299" s="134"/>
      <c r="IB299" s="134"/>
      <c r="IC299" s="134"/>
      <c r="ID299" s="134"/>
      <c r="IE299" s="134"/>
      <c r="IF299" s="134"/>
      <c r="IG299" s="134"/>
      <c r="IH299" s="134"/>
      <c r="II299" s="135"/>
      <c r="IJ299" s="135"/>
      <c r="IK299" s="134"/>
      <c r="IL299" s="134"/>
      <c r="IM299" s="134"/>
      <c r="IN299" s="134"/>
      <c r="IO299" s="134"/>
      <c r="IP299" s="134"/>
      <c r="IQ299" s="134"/>
      <c r="IR299" s="134"/>
      <c r="IS299" s="135"/>
      <c r="IT299" s="135"/>
      <c r="IU299" s="134"/>
      <c r="IV299" s="134"/>
      <c r="IW299" s="134"/>
      <c r="IX299" s="134"/>
      <c r="IY299" s="134"/>
      <c r="IZ299" s="134"/>
      <c r="JA299" s="134"/>
      <c r="JB299" s="134"/>
      <c r="JC299" s="135"/>
      <c r="JD299" s="135"/>
    </row>
    <row r="300" spans="1:264" customFormat="1" ht="15" customHeight="1">
      <c r="A300" s="79" t="s">
        <v>1003</v>
      </c>
      <c r="B300" s="362">
        <v>185</v>
      </c>
      <c r="C300" s="362">
        <v>64</v>
      </c>
      <c r="D300" s="362"/>
      <c r="E300" s="604" t="s">
        <v>2102</v>
      </c>
      <c r="F300" s="124" t="s">
        <v>2358</v>
      </c>
      <c r="G300" s="125">
        <v>2014</v>
      </c>
      <c r="H300" s="79">
        <v>24887568</v>
      </c>
      <c r="I300" s="79">
        <v>1</v>
      </c>
      <c r="J300" s="126"/>
      <c r="K300" s="127"/>
      <c r="L300" s="79">
        <v>1</v>
      </c>
      <c r="M300" s="79"/>
      <c r="N300" s="79">
        <v>1</v>
      </c>
      <c r="O300" s="128">
        <v>2</v>
      </c>
      <c r="P300" s="79" t="s">
        <v>1464</v>
      </c>
      <c r="Q300" s="79" t="s">
        <v>1216</v>
      </c>
      <c r="R300" s="79" t="s">
        <v>1127</v>
      </c>
      <c r="S300" s="79"/>
      <c r="T300" s="79" t="s">
        <v>1462</v>
      </c>
      <c r="U300" s="79" t="s">
        <v>803</v>
      </c>
      <c r="V300" s="79" t="s">
        <v>23</v>
      </c>
      <c r="W300" s="79" t="s">
        <v>1465</v>
      </c>
      <c r="X300" s="79"/>
      <c r="Y300" s="79" t="s">
        <v>1463</v>
      </c>
      <c r="Z300" s="79"/>
      <c r="AA300" s="79"/>
      <c r="AB300" s="79"/>
      <c r="AC300" s="506"/>
      <c r="AD300" s="573">
        <v>1</v>
      </c>
      <c r="AE300" s="573">
        <v>2</v>
      </c>
      <c r="AF300" s="154">
        <v>1</v>
      </c>
      <c r="AG300" s="155" t="s">
        <v>5228</v>
      </c>
      <c r="AH300" s="121">
        <v>4</v>
      </c>
      <c r="AI300" s="484"/>
      <c r="AJ300" s="202" t="s">
        <v>5233</v>
      </c>
      <c r="AK300" s="192" t="s">
        <v>5239</v>
      </c>
      <c r="AL300" s="203">
        <v>0</v>
      </c>
      <c r="AM300" s="121">
        <f>Table668[[#This Row],[Data_Subjects_n_ptsd]]+Table668[[#This Row],[Data_Subjects_n_control]]</f>
        <v>20</v>
      </c>
      <c r="AN300" s="121">
        <v>10</v>
      </c>
      <c r="AO300" s="121">
        <v>10</v>
      </c>
      <c r="AP300" s="121" t="s">
        <v>803</v>
      </c>
      <c r="AQ300" s="121" t="s">
        <v>803</v>
      </c>
      <c r="AR300" s="121" t="s">
        <v>5212</v>
      </c>
      <c r="AS300" s="121" t="s">
        <v>24</v>
      </c>
      <c r="AT300" s="424" t="s">
        <v>5212</v>
      </c>
      <c r="AU300" s="121" t="s">
        <v>24</v>
      </c>
      <c r="AV300" s="121" t="s">
        <v>5237</v>
      </c>
      <c r="AW300" s="121" t="s">
        <v>5231</v>
      </c>
      <c r="AX300" s="121" t="s">
        <v>5232</v>
      </c>
      <c r="AY300" s="121" t="s">
        <v>5234</v>
      </c>
      <c r="AZ300" s="121" t="s">
        <v>5230</v>
      </c>
      <c r="BA300" s="121" t="s">
        <v>4508</v>
      </c>
      <c r="BB300" s="594"/>
      <c r="BC300" s="594"/>
      <c r="BD300" s="156"/>
      <c r="BE300" s="156"/>
      <c r="BF300" s="156"/>
      <c r="BG300" s="156"/>
      <c r="BH300" s="156"/>
      <c r="BI300" s="156"/>
      <c r="BJ300" s="156">
        <v>1</v>
      </c>
      <c r="BK300" s="156"/>
      <c r="BL300" s="156"/>
      <c r="BM300" s="156"/>
      <c r="BN300" s="156"/>
      <c r="BO300" s="156"/>
      <c r="BP300" s="156"/>
      <c r="BQ300" s="595" t="s">
        <v>5217</v>
      </c>
      <c r="BR300" s="157" t="s">
        <v>6617</v>
      </c>
      <c r="BS300" s="660"/>
      <c r="BT300" s="134" t="s">
        <v>1876</v>
      </c>
      <c r="BU300" s="134" t="s">
        <v>5235</v>
      </c>
      <c r="BV300" s="134" t="s">
        <v>5236</v>
      </c>
      <c r="BW300" s="134" t="s">
        <v>5229</v>
      </c>
      <c r="BX300" s="134" t="s">
        <v>5241</v>
      </c>
      <c r="BY300" s="134"/>
      <c r="BZ300" s="259" t="s">
        <v>5255</v>
      </c>
      <c r="CA300" s="454">
        <v>0</v>
      </c>
      <c r="CB300" s="138" t="s">
        <v>5242</v>
      </c>
      <c r="CC300" s="134">
        <v>2.00528</v>
      </c>
      <c r="CD300" s="134" t="s">
        <v>24</v>
      </c>
      <c r="CE300" s="134">
        <f>3.68074-Table668[[#This Row],[Data_Outcome1_M]]</f>
        <v>1.6754600000000002</v>
      </c>
      <c r="CF300" s="138" t="s">
        <v>5244</v>
      </c>
      <c r="CG300" s="134">
        <v>1.7809999999999999</v>
      </c>
      <c r="CH300" s="134" t="s">
        <v>24</v>
      </c>
      <c r="CI300" s="134">
        <f>3.48285-Table668[[#This Row],[Data_Outcome2_M]]</f>
        <v>1.7018500000000001</v>
      </c>
      <c r="CJ300" s="288" t="s">
        <v>5254</v>
      </c>
      <c r="CK300" s="289" t="s">
        <v>3790</v>
      </c>
      <c r="CL300" s="138" t="s">
        <v>5246</v>
      </c>
      <c r="CM300" s="134">
        <v>3.5119600000000002</v>
      </c>
      <c r="CN300" s="134" t="s">
        <v>24</v>
      </c>
      <c r="CO300" s="134">
        <f>4.71617-Table668[[#This Row],[Data_Outcome3_M]]</f>
        <v>1.2042099999999998</v>
      </c>
      <c r="CP300" s="138" t="s">
        <v>5248</v>
      </c>
      <c r="CQ300" s="134">
        <v>0.76491399999999998</v>
      </c>
      <c r="CR300" s="134" t="s">
        <v>24</v>
      </c>
      <c r="CS300" s="134">
        <f>1.48484-Table668[[#This Row],[Data_Outcome4_M]]</f>
        <v>0.71992599999999995</v>
      </c>
      <c r="CT300" s="288" t="s">
        <v>5251</v>
      </c>
      <c r="CU300" s="289" t="s">
        <v>2555</v>
      </c>
      <c r="CV300" s="276" t="s">
        <v>5253</v>
      </c>
      <c r="CW300" s="276" t="s">
        <v>5252</v>
      </c>
      <c r="CX300" s="138"/>
      <c r="CY300" s="134"/>
      <c r="CZ300" s="134"/>
      <c r="DA300" s="134"/>
      <c r="DB300" s="134"/>
      <c r="DC300" s="134"/>
      <c r="DD300" s="134"/>
      <c r="DE300" s="134"/>
      <c r="DF300" s="300"/>
      <c r="DG300" s="301"/>
      <c r="DH300" s="134"/>
      <c r="DI300" s="134"/>
      <c r="DJ300" s="134"/>
      <c r="DK300" s="134"/>
      <c r="DL300" s="134"/>
      <c r="DM300" s="134"/>
      <c r="DN300" s="134"/>
      <c r="DO300" s="134"/>
      <c r="DP300" s="300"/>
      <c r="DQ300" s="301"/>
      <c r="DR300" s="276"/>
      <c r="DS300" s="277"/>
      <c r="DT300" s="134"/>
      <c r="DU300" s="134"/>
      <c r="DV300" s="134"/>
      <c r="DW300" s="134"/>
      <c r="DX300" s="138"/>
      <c r="DY300" s="134"/>
      <c r="DZ300" s="134"/>
      <c r="EA300" s="134"/>
      <c r="EB300" s="301"/>
      <c r="EC300" s="301"/>
      <c r="ED300" s="138"/>
      <c r="EE300" s="134"/>
      <c r="EF300" s="134"/>
      <c r="EG300" s="134"/>
      <c r="EH300" s="138"/>
      <c r="EI300" s="134"/>
      <c r="EJ300" s="134"/>
      <c r="EK300" s="134"/>
      <c r="EL300" s="301"/>
      <c r="EM300" s="301"/>
      <c r="EN300" s="277"/>
      <c r="EO300" s="134"/>
      <c r="EP300" s="134"/>
      <c r="EQ300" s="134"/>
      <c r="ER300" s="134"/>
      <c r="ES300" s="134"/>
      <c r="ET300" s="134"/>
      <c r="EU300" s="134"/>
      <c r="EV300" s="134"/>
      <c r="EW300" s="301"/>
      <c r="EX300" s="301"/>
      <c r="EY300" s="134"/>
      <c r="EZ300" s="134"/>
      <c r="FA300" s="134"/>
      <c r="FB300" s="134"/>
      <c r="FC300" s="134"/>
      <c r="FD300" s="134"/>
      <c r="FE300" s="134"/>
      <c r="FF300" s="134"/>
      <c r="FG300" s="135"/>
      <c r="FH300" s="135"/>
      <c r="FI300" s="134"/>
      <c r="FJ300" s="134"/>
      <c r="FK300" s="134"/>
      <c r="FL300" s="134"/>
      <c r="FM300" s="134"/>
      <c r="FN300" s="134"/>
      <c r="FO300" s="134"/>
      <c r="FP300" s="134"/>
      <c r="FQ300" s="135"/>
      <c r="FR300" s="135"/>
      <c r="FS300" s="134"/>
      <c r="FT300" s="134"/>
      <c r="FU300" s="134"/>
      <c r="FV300" s="134"/>
      <c r="FW300" s="134"/>
      <c r="FX300" s="134"/>
      <c r="FY300" s="134"/>
      <c r="FZ300" s="134"/>
      <c r="GA300" s="135"/>
      <c r="GB300" s="135"/>
      <c r="GC300" s="134"/>
      <c r="GD300" s="134"/>
      <c r="GE300" s="134"/>
      <c r="GF300" s="134"/>
      <c r="GG300" s="134"/>
      <c r="GH300" s="134"/>
      <c r="GI300" s="134"/>
      <c r="GJ300" s="134"/>
      <c r="GK300" s="135"/>
      <c r="GL300" s="135"/>
      <c r="GM300" s="134"/>
      <c r="GN300" s="134"/>
      <c r="GO300" s="134"/>
      <c r="GP300" s="134"/>
      <c r="GQ300" s="134"/>
      <c r="GR300" s="134"/>
      <c r="GS300" s="134"/>
      <c r="GT300" s="134"/>
      <c r="GU300" s="135"/>
      <c r="GV300" s="135"/>
      <c r="GW300" s="134"/>
      <c r="GX300" s="134"/>
      <c r="GY300" s="134"/>
      <c r="GZ300" s="134"/>
      <c r="HA300" s="134"/>
      <c r="HB300" s="134"/>
      <c r="HC300" s="134"/>
      <c r="HD300" s="134"/>
      <c r="HE300" s="135"/>
      <c r="HF300" s="135"/>
      <c r="HG300" s="134"/>
      <c r="HH300" s="134"/>
      <c r="HI300" s="134"/>
      <c r="HJ300" s="134"/>
      <c r="HK300" s="134"/>
      <c r="HL300" s="134"/>
      <c r="HM300" s="134"/>
      <c r="HN300" s="134"/>
      <c r="HO300" s="135"/>
      <c r="HP300" s="135"/>
      <c r="HQ300" s="134"/>
      <c r="HR300" s="134"/>
      <c r="HS300" s="134"/>
      <c r="HT300" s="134"/>
      <c r="HU300" s="134"/>
      <c r="HV300" s="134"/>
      <c r="HW300" s="134"/>
      <c r="HX300" s="134"/>
      <c r="HY300" s="135"/>
      <c r="HZ300" s="135"/>
      <c r="IA300" s="134"/>
      <c r="IB300" s="134"/>
      <c r="IC300" s="134"/>
      <c r="ID300" s="134"/>
      <c r="IE300" s="134"/>
      <c r="IF300" s="134"/>
      <c r="IG300" s="134"/>
      <c r="IH300" s="134"/>
      <c r="II300" s="135"/>
      <c r="IJ300" s="135"/>
      <c r="IK300" s="134"/>
      <c r="IL300" s="134"/>
      <c r="IM300" s="134"/>
      <c r="IN300" s="134"/>
      <c r="IO300" s="134"/>
      <c r="IP300" s="134"/>
      <c r="IQ300" s="134"/>
      <c r="IR300" s="134"/>
      <c r="IS300" s="135"/>
      <c r="IT300" s="135"/>
      <c r="IU300" s="134"/>
      <c r="IV300" s="134"/>
      <c r="IW300" s="134"/>
      <c r="IX300" s="134"/>
      <c r="IY300" s="134"/>
      <c r="IZ300" s="134"/>
      <c r="JA300" s="134"/>
      <c r="JB300" s="134"/>
      <c r="JC300" s="135"/>
      <c r="JD300" s="135"/>
    </row>
    <row r="301" spans="1:264" customFormat="1" ht="15" customHeight="1">
      <c r="A301" s="118" t="s">
        <v>1003</v>
      </c>
      <c r="B301" s="616">
        <v>185</v>
      </c>
      <c r="C301" s="616">
        <v>64</v>
      </c>
      <c r="D301" s="616"/>
      <c r="E301" s="605" t="s">
        <v>2102</v>
      </c>
      <c r="F301" s="140" t="s">
        <v>2358</v>
      </c>
      <c r="G301" s="141">
        <v>2014</v>
      </c>
      <c r="H301" s="118">
        <v>24887568</v>
      </c>
      <c r="I301" s="118">
        <v>1</v>
      </c>
      <c r="J301" s="118"/>
      <c r="K301" s="118"/>
      <c r="L301" s="118">
        <v>1</v>
      </c>
      <c r="M301" s="118"/>
      <c r="N301" s="118">
        <v>1</v>
      </c>
      <c r="O301" s="142">
        <v>2</v>
      </c>
      <c r="P301" s="118" t="s">
        <v>1464</v>
      </c>
      <c r="Q301" s="118" t="s">
        <v>1216</v>
      </c>
      <c r="R301" s="118" t="s">
        <v>1127</v>
      </c>
      <c r="S301" s="118"/>
      <c r="T301" s="118" t="s">
        <v>1462</v>
      </c>
      <c r="U301" s="118" t="s">
        <v>803</v>
      </c>
      <c r="V301" s="118" t="s">
        <v>23</v>
      </c>
      <c r="W301" s="118" t="s">
        <v>1465</v>
      </c>
      <c r="X301" s="118"/>
      <c r="Y301" s="118" t="s">
        <v>1463</v>
      </c>
      <c r="Z301" s="118"/>
      <c r="AA301" s="118"/>
      <c r="AB301" s="118"/>
      <c r="AC301" s="145"/>
      <c r="AD301" s="573">
        <v>1</v>
      </c>
      <c r="AE301" s="573">
        <v>2</v>
      </c>
      <c r="AF301" s="159">
        <v>1</v>
      </c>
      <c r="AG301" s="160" t="s">
        <v>5228</v>
      </c>
      <c r="AH301" s="122">
        <v>4</v>
      </c>
      <c r="AI301" s="485"/>
      <c r="AJ301" s="204" t="s">
        <v>5233</v>
      </c>
      <c r="AK301" s="192" t="s">
        <v>5240</v>
      </c>
      <c r="AL301" s="205">
        <v>0</v>
      </c>
      <c r="AM301" s="122">
        <f>Table668[[#This Row],[Data_Subjects_n_ptsd]]+Table668[[#This Row],[Data_Subjects_n_control]]</f>
        <v>20</v>
      </c>
      <c r="AN301" s="122">
        <v>10</v>
      </c>
      <c r="AO301" s="122">
        <v>10</v>
      </c>
      <c r="AP301" s="122" t="s">
        <v>803</v>
      </c>
      <c r="AQ301" s="122" t="s">
        <v>803</v>
      </c>
      <c r="AR301" s="122" t="s">
        <v>5212</v>
      </c>
      <c r="AS301" s="122" t="s">
        <v>24</v>
      </c>
      <c r="AT301" s="145" t="s">
        <v>5212</v>
      </c>
      <c r="AU301" s="122" t="s">
        <v>24</v>
      </c>
      <c r="AV301" s="122" t="s">
        <v>5238</v>
      </c>
      <c r="AW301" s="122" t="s">
        <v>5231</v>
      </c>
      <c r="AX301" s="122" t="s">
        <v>5232</v>
      </c>
      <c r="AY301" s="122" t="s">
        <v>5234</v>
      </c>
      <c r="AZ301" s="122" t="s">
        <v>5230</v>
      </c>
      <c r="BA301" s="122" t="s">
        <v>4508</v>
      </c>
      <c r="BB301" s="588"/>
      <c r="BC301" s="588"/>
      <c r="BD301" s="161"/>
      <c r="BE301" s="161"/>
      <c r="BF301" s="161"/>
      <c r="BG301" s="161"/>
      <c r="BH301" s="161"/>
      <c r="BI301" s="161"/>
      <c r="BJ301" s="161">
        <v>1</v>
      </c>
      <c r="BK301" s="161"/>
      <c r="BL301" s="161"/>
      <c r="BM301" s="161"/>
      <c r="BN301" s="161"/>
      <c r="BO301" s="161"/>
      <c r="BP301" s="161"/>
      <c r="BQ301" s="596" t="s">
        <v>5217</v>
      </c>
      <c r="BR301" s="162" t="s">
        <v>6617</v>
      </c>
      <c r="BS301" s="660"/>
      <c r="BT301" s="150" t="s">
        <v>1876</v>
      </c>
      <c r="BU301" s="150" t="s">
        <v>5235</v>
      </c>
      <c r="BV301" s="150" t="s">
        <v>5236</v>
      </c>
      <c r="BW301" s="150" t="s">
        <v>5229</v>
      </c>
      <c r="BX301" s="150" t="s">
        <v>5241</v>
      </c>
      <c r="BY301" s="150"/>
      <c r="BZ301" s="258" t="s">
        <v>5256</v>
      </c>
      <c r="CA301" s="257">
        <v>0</v>
      </c>
      <c r="CB301" s="151" t="s">
        <v>5243</v>
      </c>
      <c r="CC301" s="150">
        <v>3.0079199999999999</v>
      </c>
      <c r="CD301" s="150" t="s">
        <v>24</v>
      </c>
      <c r="CE301" s="150">
        <f>4.41953-Table668[[#This Row],[Data_Outcome1_M]]</f>
        <v>1.41161</v>
      </c>
      <c r="CF301" s="151" t="s">
        <v>5245</v>
      </c>
      <c r="CG301" s="150">
        <v>2.2559399999999998</v>
      </c>
      <c r="CH301" s="150" t="s">
        <v>24</v>
      </c>
      <c r="CI301" s="150">
        <f>3.89182-Table668[[#This Row],[Data_Outcome2_M]]</f>
        <v>1.6358800000000002</v>
      </c>
      <c r="CJ301" s="290" t="s">
        <v>5254</v>
      </c>
      <c r="CK301" s="291" t="s">
        <v>3790</v>
      </c>
      <c r="CL301" s="151" t="s">
        <v>5247</v>
      </c>
      <c r="CM301" s="150">
        <v>3.79664</v>
      </c>
      <c r="CN301" s="150" t="s">
        <v>24</v>
      </c>
      <c r="CO301" s="150">
        <f>4.73906-Table668[[#This Row],[Data_Outcome3_M]]</f>
        <v>0.94242000000000026</v>
      </c>
      <c r="CP301" s="151" t="s">
        <v>5249</v>
      </c>
      <c r="CQ301" s="150">
        <v>0.74854399999999999</v>
      </c>
      <c r="CR301" s="150" t="s">
        <v>24</v>
      </c>
      <c r="CS301" s="150">
        <f>1.49464-Table668[[#This Row],[Data_Outcome4_M]]</f>
        <v>0.74609599999999998</v>
      </c>
      <c r="CT301" s="290" t="s">
        <v>5250</v>
      </c>
      <c r="CU301" s="291" t="s">
        <v>2555</v>
      </c>
      <c r="CV301" s="278" t="s">
        <v>5253</v>
      </c>
      <c r="CW301" s="278" t="s">
        <v>5252</v>
      </c>
      <c r="CX301" s="151"/>
      <c r="CY301" s="150"/>
      <c r="CZ301" s="150"/>
      <c r="DA301" s="150"/>
      <c r="DB301" s="150"/>
      <c r="DC301" s="150"/>
      <c r="DD301" s="150"/>
      <c r="DE301" s="150"/>
      <c r="DF301" s="302"/>
      <c r="DG301" s="303"/>
      <c r="DH301" s="150"/>
      <c r="DI301" s="150"/>
      <c r="DJ301" s="150"/>
      <c r="DK301" s="150"/>
      <c r="DL301" s="150"/>
      <c r="DM301" s="150"/>
      <c r="DN301" s="150"/>
      <c r="DO301" s="150"/>
      <c r="DP301" s="302"/>
      <c r="DQ301" s="303"/>
      <c r="DR301" s="278"/>
      <c r="DS301" s="279"/>
      <c r="DT301" s="150"/>
      <c r="DU301" s="150"/>
      <c r="DV301" s="150"/>
      <c r="DW301" s="150"/>
      <c r="DX301" s="151"/>
      <c r="DY301" s="150"/>
      <c r="DZ301" s="150"/>
      <c r="EA301" s="150"/>
      <c r="EB301" s="303"/>
      <c r="EC301" s="303"/>
      <c r="ED301" s="151"/>
      <c r="EE301" s="150"/>
      <c r="EF301" s="150"/>
      <c r="EG301" s="150"/>
      <c r="EH301" s="151"/>
      <c r="EI301" s="150"/>
      <c r="EJ301" s="150"/>
      <c r="EK301" s="150"/>
      <c r="EL301" s="303"/>
      <c r="EM301" s="303"/>
      <c r="EN301" s="279"/>
      <c r="EO301" s="150"/>
      <c r="EP301" s="150"/>
      <c r="EQ301" s="150"/>
      <c r="ER301" s="150"/>
      <c r="ES301" s="150"/>
      <c r="ET301" s="150"/>
      <c r="EU301" s="150"/>
      <c r="EV301" s="150"/>
      <c r="EW301" s="303"/>
      <c r="EX301" s="303"/>
      <c r="EY301" s="150"/>
      <c r="EZ301" s="150"/>
      <c r="FA301" s="150"/>
      <c r="FB301" s="150"/>
      <c r="FC301" s="150"/>
      <c r="FD301" s="150"/>
      <c r="FE301" s="150"/>
      <c r="FF301" s="150"/>
      <c r="FG301" s="152"/>
      <c r="FH301" s="152"/>
      <c r="FI301" s="150"/>
      <c r="FJ301" s="150"/>
      <c r="FK301" s="150"/>
      <c r="FL301" s="150"/>
      <c r="FM301" s="150"/>
      <c r="FN301" s="150"/>
      <c r="FO301" s="150"/>
      <c r="FP301" s="150"/>
      <c r="FQ301" s="152"/>
      <c r="FR301" s="152"/>
      <c r="FS301" s="150"/>
      <c r="FT301" s="150"/>
      <c r="FU301" s="150"/>
      <c r="FV301" s="150"/>
      <c r="FW301" s="150"/>
      <c r="FX301" s="150"/>
      <c r="FY301" s="150"/>
      <c r="FZ301" s="150"/>
      <c r="GA301" s="152"/>
      <c r="GB301" s="152"/>
      <c r="GC301" s="150"/>
      <c r="GD301" s="150"/>
      <c r="GE301" s="150"/>
      <c r="GF301" s="150"/>
      <c r="GG301" s="150"/>
      <c r="GH301" s="150"/>
      <c r="GI301" s="150"/>
      <c r="GJ301" s="150"/>
      <c r="GK301" s="152"/>
      <c r="GL301" s="152"/>
      <c r="GM301" s="150"/>
      <c r="GN301" s="150"/>
      <c r="GO301" s="150"/>
      <c r="GP301" s="150"/>
      <c r="GQ301" s="150"/>
      <c r="GR301" s="150"/>
      <c r="GS301" s="150"/>
      <c r="GT301" s="150"/>
      <c r="GU301" s="152"/>
      <c r="GV301" s="152"/>
      <c r="GW301" s="134"/>
      <c r="GX301" s="134"/>
      <c r="GY301" s="134"/>
      <c r="GZ301" s="134"/>
      <c r="HA301" s="134"/>
      <c r="HB301" s="134"/>
      <c r="HC301" s="134"/>
      <c r="HD301" s="134"/>
      <c r="HE301" s="135"/>
      <c r="HF301" s="135"/>
      <c r="HG301" s="134"/>
      <c r="HH301" s="134"/>
      <c r="HI301" s="134"/>
      <c r="HJ301" s="134"/>
      <c r="HK301" s="134"/>
      <c r="HL301" s="134"/>
      <c r="HM301" s="134"/>
      <c r="HN301" s="134"/>
      <c r="HO301" s="135"/>
      <c r="HP301" s="135"/>
      <c r="HQ301" s="134"/>
      <c r="HR301" s="134"/>
      <c r="HS301" s="134"/>
      <c r="HT301" s="134"/>
      <c r="HU301" s="134"/>
      <c r="HV301" s="134"/>
      <c r="HW301" s="134"/>
      <c r="HX301" s="134"/>
      <c r="HY301" s="135"/>
      <c r="HZ301" s="135"/>
      <c r="IA301" s="134"/>
      <c r="IB301" s="134"/>
      <c r="IC301" s="134"/>
      <c r="ID301" s="134"/>
      <c r="IE301" s="134"/>
      <c r="IF301" s="134"/>
      <c r="IG301" s="134"/>
      <c r="IH301" s="134"/>
      <c r="II301" s="135"/>
      <c r="IJ301" s="135"/>
      <c r="IK301" s="134"/>
      <c r="IL301" s="134"/>
      <c r="IM301" s="134"/>
      <c r="IN301" s="134"/>
      <c r="IO301" s="134"/>
      <c r="IP301" s="134"/>
      <c r="IQ301" s="134"/>
      <c r="IR301" s="134"/>
      <c r="IS301" s="135"/>
      <c r="IT301" s="135"/>
      <c r="IU301" s="134"/>
      <c r="IV301" s="134"/>
      <c r="IW301" s="134"/>
      <c r="IX301" s="134"/>
      <c r="IY301" s="134"/>
      <c r="IZ301" s="134"/>
      <c r="JA301" s="134"/>
      <c r="JB301" s="134"/>
      <c r="JC301" s="135"/>
      <c r="JD301" s="135"/>
    </row>
    <row r="302" spans="1:264" customFormat="1" ht="15" customHeight="1">
      <c r="A302" s="79" t="s">
        <v>999</v>
      </c>
      <c r="B302" s="362">
        <v>186</v>
      </c>
      <c r="C302" s="362">
        <v>65</v>
      </c>
      <c r="D302" s="362"/>
      <c r="E302" s="604" t="s">
        <v>2103</v>
      </c>
      <c r="F302" s="124" t="s">
        <v>2359</v>
      </c>
      <c r="G302" s="125">
        <v>2015</v>
      </c>
      <c r="H302" s="79">
        <v>26066724</v>
      </c>
      <c r="I302" s="79">
        <v>1</v>
      </c>
      <c r="J302" s="126"/>
      <c r="K302" s="127"/>
      <c r="L302" s="79">
        <v>1</v>
      </c>
      <c r="M302" s="79"/>
      <c r="N302" s="79">
        <v>1</v>
      </c>
      <c r="O302" s="128">
        <v>2</v>
      </c>
      <c r="P302" s="79" t="s">
        <v>73</v>
      </c>
      <c r="Q302" s="79" t="s">
        <v>1216</v>
      </c>
      <c r="R302" s="79" t="s">
        <v>1138</v>
      </c>
      <c r="S302" s="79"/>
      <c r="T302" s="79" t="s">
        <v>1495</v>
      </c>
      <c r="U302" s="79" t="s">
        <v>803</v>
      </c>
      <c r="V302" s="79"/>
      <c r="W302" s="79" t="s">
        <v>1511</v>
      </c>
      <c r="X302" s="79"/>
      <c r="Y302" s="79"/>
      <c r="Z302" s="79"/>
      <c r="AA302" s="79"/>
      <c r="AB302" s="79"/>
      <c r="AC302" s="506"/>
      <c r="AD302" s="573">
        <v>1</v>
      </c>
      <c r="AE302" s="573">
        <v>2</v>
      </c>
      <c r="AF302" s="154">
        <v>1</v>
      </c>
      <c r="AG302" s="155"/>
      <c r="AH302" s="121">
        <v>5</v>
      </c>
      <c r="AI302" s="484"/>
      <c r="AJ302" s="213" t="s">
        <v>5297</v>
      </c>
      <c r="AK302" s="192">
        <v>0</v>
      </c>
      <c r="AL302" s="203"/>
      <c r="AM302" s="121" t="s">
        <v>5270</v>
      </c>
      <c r="AN302" s="121" t="s">
        <v>5268</v>
      </c>
      <c r="AO302" s="121" t="s">
        <v>5269</v>
      </c>
      <c r="AP302" s="121" t="s">
        <v>803</v>
      </c>
      <c r="AQ302" s="121" t="s">
        <v>803</v>
      </c>
      <c r="AR302" s="121" t="s">
        <v>5257</v>
      </c>
      <c r="AS302" s="121" t="s">
        <v>24</v>
      </c>
      <c r="AT302" s="121" t="s">
        <v>5257</v>
      </c>
      <c r="AU302" s="121" t="s">
        <v>24</v>
      </c>
      <c r="AV302" s="470" t="s">
        <v>5265</v>
      </c>
      <c r="AW302" s="121" t="s">
        <v>5259</v>
      </c>
      <c r="AX302" s="121" t="s">
        <v>5259</v>
      </c>
      <c r="AY302" s="121" t="s">
        <v>5266</v>
      </c>
      <c r="AZ302" s="121" t="s">
        <v>5258</v>
      </c>
      <c r="BA302" s="121" t="s">
        <v>5267</v>
      </c>
      <c r="BB302" s="594"/>
      <c r="BC302" s="594"/>
      <c r="BD302" s="156"/>
      <c r="BE302" s="156"/>
      <c r="BF302" s="156"/>
      <c r="BG302" s="156"/>
      <c r="BH302" s="156"/>
      <c r="BI302" s="156"/>
      <c r="BJ302" s="156">
        <v>1</v>
      </c>
      <c r="BK302" s="156"/>
      <c r="BL302" s="156"/>
      <c r="BM302" s="156"/>
      <c r="BN302" s="156"/>
      <c r="BO302" s="156"/>
      <c r="BP302" s="156"/>
      <c r="BQ302" s="595" t="s">
        <v>5271</v>
      </c>
      <c r="BR302" s="157" t="s">
        <v>6612</v>
      </c>
      <c r="BS302" s="660"/>
      <c r="BT302" s="134" t="s">
        <v>1876</v>
      </c>
      <c r="BU302" s="134" t="s">
        <v>5264</v>
      </c>
      <c r="BV302" s="134" t="s">
        <v>5261</v>
      </c>
      <c r="BW302" s="134" t="s">
        <v>5260</v>
      </c>
      <c r="BX302" s="134" t="s">
        <v>5279</v>
      </c>
      <c r="BY302" s="134"/>
      <c r="BZ302" s="259" t="s">
        <v>5296</v>
      </c>
      <c r="CA302" s="454" t="s">
        <v>24</v>
      </c>
      <c r="CB302" s="138" t="s">
        <v>5278</v>
      </c>
      <c r="CC302" s="134">
        <v>7.6808899999999998</v>
      </c>
      <c r="CD302" s="134" t="s">
        <v>24</v>
      </c>
      <c r="CE302" s="134">
        <f>9.36762-Table668[[#This Row],[Data_Outcome1_M]]</f>
        <v>1.6867300000000007</v>
      </c>
      <c r="CF302" s="138" t="s">
        <v>5277</v>
      </c>
      <c r="CG302" s="134">
        <v>13.120100000000001</v>
      </c>
      <c r="CH302" s="134" t="s">
        <v>24</v>
      </c>
      <c r="CI302" s="134">
        <f>14.9994-Table668[[#This Row],[Data_Outcome2_M]]</f>
        <v>1.8792999999999989</v>
      </c>
      <c r="CJ302" s="288" t="s">
        <v>5276</v>
      </c>
      <c r="CK302" s="289" t="s">
        <v>5295</v>
      </c>
      <c r="CL302" s="138" t="s">
        <v>5280</v>
      </c>
      <c r="CM302" s="134">
        <v>6.9801700000000002</v>
      </c>
      <c r="CN302" s="134" t="s">
        <v>24</v>
      </c>
      <c r="CO302" s="134">
        <f>8.76312-Table668[[#This Row],[Data_Outcome3_M]]</f>
        <v>1.7829500000000005</v>
      </c>
      <c r="CP302" s="138" t="s">
        <v>5281</v>
      </c>
      <c r="CQ302" s="134">
        <v>7.55159</v>
      </c>
      <c r="CR302" s="134" t="s">
        <v>24</v>
      </c>
      <c r="CS302" s="134">
        <f>8.94917-Table668[[#This Row],[Data_Outcome4_M]]</f>
        <v>1.3975800000000005</v>
      </c>
      <c r="CT302" s="288" t="s">
        <v>5286</v>
      </c>
      <c r="CU302" s="289" t="s">
        <v>5291</v>
      </c>
      <c r="CV302" s="276" t="s">
        <v>24</v>
      </c>
      <c r="CW302" s="308" t="s">
        <v>24</v>
      </c>
      <c r="CX302" s="138" t="s">
        <v>5282</v>
      </c>
      <c r="CY302" s="134">
        <v>7.7250500000000004</v>
      </c>
      <c r="CZ302" s="134" t="s">
        <v>24</v>
      </c>
      <c r="DA302" s="134">
        <f>9.84552-Table668[[#This Row],[Data_Outcome5_M]]</f>
        <v>2.1204700000000001</v>
      </c>
      <c r="DB302" s="138" t="s">
        <v>5283</v>
      </c>
      <c r="DC302" s="134">
        <v>13.983700000000001</v>
      </c>
      <c r="DD302" s="134" t="s">
        <v>24</v>
      </c>
      <c r="DE302" s="134">
        <f>16.9711-Table668[[#This Row],[Data_Outcome6_M]]</f>
        <v>2.9873999999999992</v>
      </c>
      <c r="DF302" s="300" t="s">
        <v>5287</v>
      </c>
      <c r="DG302" s="301" t="s">
        <v>5292</v>
      </c>
      <c r="DH302" s="138" t="s">
        <v>5284</v>
      </c>
      <c r="DI302" s="134">
        <v>8.6143400000000003</v>
      </c>
      <c r="DJ302" s="134" t="s">
        <v>24</v>
      </c>
      <c r="DK302" s="134">
        <f>11.0238-Table668[[#This Row],[Data_Outcome7_M]]</f>
        <v>2.4094599999999993</v>
      </c>
      <c r="DL302" s="138" t="s">
        <v>5285</v>
      </c>
      <c r="DM302" s="134">
        <v>15.4993</v>
      </c>
      <c r="DN302" s="168" t="s">
        <v>24</v>
      </c>
      <c r="DO302" s="134">
        <f>18.8726-Table668[[#This Row],[Data_Outcome8_M]]</f>
        <v>3.3732999999999986</v>
      </c>
      <c r="DP302" s="304" t="s">
        <v>5287</v>
      </c>
      <c r="DQ302" s="312" t="s">
        <v>5290</v>
      </c>
      <c r="DR302" s="276" t="s">
        <v>24</v>
      </c>
      <c r="DS302" s="277" t="s">
        <v>24</v>
      </c>
      <c r="DT302" s="134" t="s">
        <v>5272</v>
      </c>
      <c r="DU302" s="134">
        <v>0.65073999999999999</v>
      </c>
      <c r="DV302" s="134" t="s">
        <v>24</v>
      </c>
      <c r="DW302" s="134">
        <f>0.689821-Table668[[#This Row],[Data_Outcome9_M]]</f>
        <v>3.9081000000000032E-2</v>
      </c>
      <c r="DX302" s="134" t="s">
        <v>5273</v>
      </c>
      <c r="DY302" s="134">
        <v>0.51077499999999998</v>
      </c>
      <c r="DZ302" s="134" t="s">
        <v>24</v>
      </c>
      <c r="EA302" s="134">
        <f>0.559051-Table668[[#This Row],[Data_Outcome10_M]]</f>
        <v>4.8275999999999986E-2</v>
      </c>
      <c r="EB302" s="300" t="s">
        <v>5288</v>
      </c>
      <c r="EC302" s="301" t="s">
        <v>5294</v>
      </c>
      <c r="ED302" s="138" t="s">
        <v>5274</v>
      </c>
      <c r="EE302" s="134">
        <v>0.65127400000000002</v>
      </c>
      <c r="EF302" s="134" t="s">
        <v>24</v>
      </c>
      <c r="EG302" s="134">
        <f>0.680008-Table668[[#This Row],[Data_Outcome11_M]]</f>
        <v>2.8733999999999926E-2</v>
      </c>
      <c r="EH302" s="138" t="s">
        <v>5275</v>
      </c>
      <c r="EI302" s="134">
        <v>0.65038899999999999</v>
      </c>
      <c r="EJ302" s="134" t="s">
        <v>24</v>
      </c>
      <c r="EK302" s="134">
        <f>0.700965-Table668[[#This Row],[Data_Outcome12_M]]</f>
        <v>5.0575999999999954E-2</v>
      </c>
      <c r="EL302" s="301" t="s">
        <v>5289</v>
      </c>
      <c r="EM302" s="301" t="s">
        <v>5293</v>
      </c>
      <c r="EN302" s="277" t="s">
        <v>24</v>
      </c>
      <c r="EO302" s="134"/>
      <c r="EP302" s="134"/>
      <c r="EQ302" s="134"/>
      <c r="ER302" s="134"/>
      <c r="ES302" s="134"/>
      <c r="ET302" s="134"/>
      <c r="EU302" s="134"/>
      <c r="EV302" s="134"/>
      <c r="EW302" s="301"/>
      <c r="EX302" s="301"/>
      <c r="EY302" s="134"/>
      <c r="EZ302" s="134"/>
      <c r="FA302" s="134"/>
      <c r="FB302" s="134"/>
      <c r="FC302" s="134"/>
      <c r="FD302" s="134"/>
      <c r="FE302" s="134"/>
      <c r="FF302" s="134"/>
      <c r="FG302" s="135"/>
      <c r="FH302" s="135"/>
      <c r="FI302" s="134"/>
      <c r="FJ302" s="134"/>
      <c r="FK302" s="134"/>
      <c r="FL302" s="134"/>
      <c r="FM302" s="134"/>
      <c r="FN302" s="134"/>
      <c r="FO302" s="134"/>
      <c r="FP302" s="134"/>
      <c r="FQ302" s="135"/>
      <c r="FR302" s="135"/>
      <c r="FS302" s="134"/>
      <c r="FT302" s="134"/>
      <c r="FU302" s="134"/>
      <c r="FV302" s="134"/>
      <c r="FW302" s="134"/>
      <c r="FX302" s="134"/>
      <c r="FY302" s="134"/>
      <c r="FZ302" s="134"/>
      <c r="GA302" s="135"/>
      <c r="GB302" s="135"/>
      <c r="GC302" s="134"/>
      <c r="GD302" s="134"/>
      <c r="GE302" s="134"/>
      <c r="GF302" s="134"/>
      <c r="GG302" s="134"/>
      <c r="GH302" s="134"/>
      <c r="GI302" s="134"/>
      <c r="GJ302" s="134"/>
      <c r="GK302" s="135"/>
      <c r="GL302" s="135"/>
      <c r="GM302" s="134"/>
      <c r="GN302" s="134"/>
      <c r="GO302" s="134"/>
      <c r="GP302" s="134"/>
      <c r="GQ302" s="134"/>
      <c r="GR302" s="134"/>
      <c r="GS302" s="134"/>
      <c r="GT302" s="134"/>
      <c r="GU302" s="135"/>
      <c r="GV302" s="135"/>
      <c r="GW302" s="134"/>
      <c r="GX302" s="134"/>
      <c r="GY302" s="134"/>
      <c r="GZ302" s="134"/>
      <c r="HA302" s="134"/>
      <c r="HB302" s="134"/>
      <c r="HC302" s="134"/>
      <c r="HD302" s="134"/>
      <c r="HE302" s="135"/>
      <c r="HF302" s="135"/>
      <c r="HG302" s="134"/>
      <c r="HH302" s="134"/>
      <c r="HI302" s="134"/>
      <c r="HJ302" s="134"/>
      <c r="HK302" s="134"/>
      <c r="HL302" s="134"/>
      <c r="HM302" s="134"/>
      <c r="HN302" s="134"/>
      <c r="HO302" s="135"/>
      <c r="HP302" s="135"/>
      <c r="HQ302" s="134"/>
      <c r="HR302" s="134"/>
      <c r="HS302" s="134"/>
      <c r="HT302" s="134"/>
      <c r="HU302" s="134"/>
      <c r="HV302" s="134"/>
      <c r="HW302" s="134"/>
      <c r="HX302" s="134"/>
      <c r="HY302" s="135"/>
      <c r="HZ302" s="135"/>
      <c r="IA302" s="134"/>
      <c r="IB302" s="134"/>
      <c r="IC302" s="134"/>
      <c r="ID302" s="134"/>
      <c r="IE302" s="134"/>
      <c r="IF302" s="134"/>
      <c r="IG302" s="134"/>
      <c r="IH302" s="134"/>
      <c r="II302" s="135"/>
      <c r="IJ302" s="135"/>
      <c r="IK302" s="134"/>
      <c r="IL302" s="134"/>
      <c r="IM302" s="134"/>
      <c r="IN302" s="134"/>
      <c r="IO302" s="134"/>
      <c r="IP302" s="134"/>
      <c r="IQ302" s="134"/>
      <c r="IR302" s="134"/>
      <c r="IS302" s="135"/>
      <c r="IT302" s="135"/>
      <c r="IU302" s="134"/>
      <c r="IV302" s="134"/>
      <c r="IW302" s="134"/>
      <c r="IX302" s="134"/>
      <c r="IY302" s="134"/>
      <c r="IZ302" s="134"/>
      <c r="JA302" s="134"/>
      <c r="JB302" s="134"/>
      <c r="JC302" s="135"/>
      <c r="JD302" s="135"/>
    </row>
    <row r="303" spans="1:264" customFormat="1" ht="15" customHeight="1">
      <c r="A303" s="79" t="s">
        <v>1001</v>
      </c>
      <c r="B303" s="362">
        <v>37</v>
      </c>
      <c r="C303" s="362"/>
      <c r="D303" s="362"/>
      <c r="E303" s="604" t="s">
        <v>2103</v>
      </c>
      <c r="F303" s="124" t="s">
        <v>2360</v>
      </c>
      <c r="G303" s="125">
        <v>2011</v>
      </c>
      <c r="H303" s="79">
        <v>21377492</v>
      </c>
      <c r="I303" s="79">
        <v>1</v>
      </c>
      <c r="J303" s="126">
        <v>1</v>
      </c>
      <c r="K303" s="127"/>
      <c r="L303" s="79">
        <v>1</v>
      </c>
      <c r="M303" s="79"/>
      <c r="N303" s="79">
        <v>1</v>
      </c>
      <c r="O303" s="128">
        <v>2</v>
      </c>
      <c r="P303" s="79" t="s">
        <v>1303</v>
      </c>
      <c r="Q303" s="79" t="s">
        <v>1212</v>
      </c>
      <c r="R303" s="79" t="s">
        <v>1468</v>
      </c>
      <c r="S303" s="79"/>
      <c r="T303" s="79" t="s">
        <v>1498</v>
      </c>
      <c r="U303" s="79" t="s">
        <v>803</v>
      </c>
      <c r="V303" s="79"/>
      <c r="W303" s="79" t="s">
        <v>1469</v>
      </c>
      <c r="X303" s="79" t="s">
        <v>436</v>
      </c>
      <c r="Y303" s="79"/>
      <c r="Z303" s="79"/>
      <c r="AA303" s="79"/>
      <c r="AB303" s="79"/>
      <c r="AC303" s="506"/>
      <c r="AD303" s="573">
        <v>1</v>
      </c>
      <c r="AE303" s="573">
        <v>2</v>
      </c>
      <c r="AF303" s="154">
        <v>1</v>
      </c>
      <c r="AG303" s="155" t="s">
        <v>3365</v>
      </c>
      <c r="AH303" s="134">
        <v>5</v>
      </c>
      <c r="AI303" s="484"/>
      <c r="AJ303" s="213" t="s">
        <v>3366</v>
      </c>
      <c r="AK303" s="214">
        <v>2</v>
      </c>
      <c r="AL303" s="215">
        <v>0</v>
      </c>
      <c r="AM303" s="134">
        <f>Table668[[#This Row],[Data_Subjects_n_ptsd]]+Table668[[#This Row],[Data_Subjects_n_control]]</f>
        <v>13</v>
      </c>
      <c r="AN303" s="134">
        <v>7</v>
      </c>
      <c r="AO303" s="134">
        <v>6</v>
      </c>
      <c r="AP303" s="134" t="s">
        <v>803</v>
      </c>
      <c r="AQ303" s="134" t="s">
        <v>803</v>
      </c>
      <c r="AR303" s="134" t="s">
        <v>24</v>
      </c>
      <c r="AS303" s="134" t="s">
        <v>24</v>
      </c>
      <c r="AT303" s="134" t="s">
        <v>24</v>
      </c>
      <c r="AU303" s="134" t="s">
        <v>24</v>
      </c>
      <c r="AV303" s="134" t="s">
        <v>3349</v>
      </c>
      <c r="AW303" s="134">
        <v>1</v>
      </c>
      <c r="AX303" s="134" t="s">
        <v>3347</v>
      </c>
      <c r="AY303" s="134" t="s">
        <v>2975</v>
      </c>
      <c r="AZ303" s="134" t="s">
        <v>1468</v>
      </c>
      <c r="BA303" s="134" t="s">
        <v>3279</v>
      </c>
      <c r="BB303" s="594"/>
      <c r="BC303" s="594"/>
      <c r="BD303" s="156">
        <v>1</v>
      </c>
      <c r="BE303" s="156" t="s">
        <v>1917</v>
      </c>
      <c r="BF303" s="156"/>
      <c r="BG303" s="156"/>
      <c r="BH303" s="156"/>
      <c r="BI303" s="156"/>
      <c r="BJ303" s="156" t="s">
        <v>1917</v>
      </c>
      <c r="BK303" s="156"/>
      <c r="BL303" s="156"/>
      <c r="BM303" s="156"/>
      <c r="BN303" s="156"/>
      <c r="BO303" s="156"/>
      <c r="BP303" s="156"/>
      <c r="BQ303" s="595" t="s">
        <v>5547</v>
      </c>
      <c r="BR303" s="157" t="s">
        <v>6607</v>
      </c>
      <c r="BS303" s="660"/>
      <c r="BT303" s="134" t="s">
        <v>1876</v>
      </c>
      <c r="BU303" s="134" t="s">
        <v>3369</v>
      </c>
      <c r="BV303" s="134" t="s">
        <v>3351</v>
      </c>
      <c r="BW303" s="134" t="s">
        <v>2606</v>
      </c>
      <c r="BX303" s="134" t="s">
        <v>3350</v>
      </c>
      <c r="BY303" s="134" t="s">
        <v>6646</v>
      </c>
      <c r="BZ303" s="259" t="s">
        <v>3462</v>
      </c>
      <c r="CA303" s="454" t="s">
        <v>6627</v>
      </c>
      <c r="CB303" s="138" t="s">
        <v>3370</v>
      </c>
      <c r="CC303" s="222">
        <v>8.0335000000000001</v>
      </c>
      <c r="CD303" s="134" t="s">
        <v>24</v>
      </c>
      <c r="CE303" s="134">
        <f>11.1504-Table668[[#This Row],[Data_Outcome1_M]]</f>
        <v>3.1168999999999993</v>
      </c>
      <c r="CF303" s="138" t="s">
        <v>3378</v>
      </c>
      <c r="CG303" s="134">
        <v>62.875700000000002</v>
      </c>
      <c r="CH303" s="134" t="s">
        <v>24</v>
      </c>
      <c r="CI303" s="134">
        <f>81.5773-Table668[[#This Row],[Data_Outcome2_M]]</f>
        <v>18.701599999999992</v>
      </c>
      <c r="CJ303" s="288" t="s">
        <v>3386</v>
      </c>
      <c r="CK303" s="289" t="s">
        <v>2588</v>
      </c>
      <c r="CL303" s="138"/>
      <c r="CM303" s="134"/>
      <c r="CN303" s="134"/>
      <c r="CO303" s="134"/>
      <c r="CP303" s="138"/>
      <c r="CQ303" s="134"/>
      <c r="CR303" s="134"/>
      <c r="CS303" s="134"/>
      <c r="CT303" s="288"/>
      <c r="CU303" s="289"/>
      <c r="CV303" s="276"/>
      <c r="CW303" s="308"/>
      <c r="CX303" s="138"/>
      <c r="CY303" s="134"/>
      <c r="CZ303" s="134"/>
      <c r="DA303" s="134"/>
      <c r="DB303" s="134"/>
      <c r="DC303" s="134"/>
      <c r="DD303" s="134"/>
      <c r="DE303" s="134"/>
      <c r="DF303" s="300"/>
      <c r="DG303" s="301"/>
      <c r="DH303" s="134"/>
      <c r="DI303" s="134"/>
      <c r="DJ303" s="134"/>
      <c r="DK303" s="134"/>
      <c r="DL303" s="134"/>
      <c r="DM303" s="134"/>
      <c r="DN303" s="134"/>
      <c r="DO303" s="134"/>
      <c r="DP303" s="300"/>
      <c r="DQ303" s="301"/>
      <c r="DR303" s="276"/>
      <c r="DS303" s="277"/>
      <c r="DT303" s="134"/>
      <c r="DU303" s="134"/>
      <c r="DV303" s="134"/>
      <c r="DW303" s="134"/>
      <c r="DX303" s="138"/>
      <c r="DY303" s="134"/>
      <c r="DZ303" s="134"/>
      <c r="EA303" s="134"/>
      <c r="EB303" s="301"/>
      <c r="EC303" s="301"/>
      <c r="ED303" s="138"/>
      <c r="EE303" s="134"/>
      <c r="EF303" s="134"/>
      <c r="EG303" s="134"/>
      <c r="EH303" s="138"/>
      <c r="EI303" s="134"/>
      <c r="EJ303" s="134"/>
      <c r="EK303" s="134"/>
      <c r="EL303" s="301"/>
      <c r="EM303" s="301"/>
      <c r="EN303" s="277"/>
      <c r="EO303" s="134"/>
      <c r="EP303" s="134"/>
      <c r="EQ303" s="134"/>
      <c r="ER303" s="134"/>
      <c r="ES303" s="134"/>
      <c r="ET303" s="134"/>
      <c r="EU303" s="134"/>
      <c r="EV303" s="134"/>
      <c r="EW303" s="301"/>
      <c r="EX303" s="301"/>
      <c r="EY303" s="134"/>
      <c r="EZ303" s="134"/>
      <c r="FA303" s="134"/>
      <c r="FB303" s="134"/>
      <c r="FC303" s="134"/>
      <c r="FD303" s="134"/>
      <c r="FE303" s="134"/>
      <c r="FF303" s="134"/>
      <c r="FG303" s="135"/>
      <c r="FH303" s="135"/>
      <c r="FI303" s="134"/>
      <c r="FJ303" s="134"/>
      <c r="FK303" s="134"/>
      <c r="FL303" s="134"/>
      <c r="FM303" s="134"/>
      <c r="FN303" s="134"/>
      <c r="FO303" s="134"/>
      <c r="FP303" s="134"/>
      <c r="FQ303" s="135"/>
      <c r="FR303" s="135"/>
      <c r="FS303" s="134"/>
      <c r="FT303" s="134"/>
      <c r="FU303" s="134"/>
      <c r="FV303" s="134"/>
      <c r="FW303" s="134"/>
      <c r="FX303" s="134"/>
      <c r="FY303" s="134"/>
      <c r="FZ303" s="134"/>
      <c r="GA303" s="135"/>
      <c r="GB303" s="135"/>
      <c r="GC303" s="134"/>
      <c r="GD303" s="134"/>
      <c r="GE303" s="134"/>
      <c r="GF303" s="134"/>
      <c r="GG303" s="134"/>
      <c r="GH303" s="134"/>
      <c r="GI303" s="134"/>
      <c r="GJ303" s="134"/>
      <c r="GK303" s="135"/>
      <c r="GL303" s="135"/>
      <c r="GM303" s="134"/>
      <c r="GN303" s="134"/>
      <c r="GO303" s="134"/>
      <c r="GP303" s="134"/>
      <c r="GQ303" s="134"/>
      <c r="GR303" s="134"/>
      <c r="GS303" s="134"/>
      <c r="GT303" s="134"/>
      <c r="GU303" s="135"/>
      <c r="GV303" s="135"/>
      <c r="GW303" s="134"/>
      <c r="GX303" s="134"/>
      <c r="GY303" s="134"/>
      <c r="GZ303" s="134"/>
      <c r="HA303" s="134"/>
      <c r="HB303" s="134"/>
      <c r="HC303" s="134"/>
      <c r="HD303" s="134"/>
      <c r="HE303" s="135"/>
      <c r="HF303" s="135"/>
      <c r="HG303" s="134"/>
      <c r="HH303" s="134"/>
      <c r="HI303" s="134"/>
      <c r="HJ303" s="134"/>
      <c r="HK303" s="134"/>
      <c r="HL303" s="134"/>
      <c r="HM303" s="134"/>
      <c r="HN303" s="134"/>
      <c r="HO303" s="135"/>
      <c r="HP303" s="135"/>
      <c r="HQ303" s="134"/>
      <c r="HR303" s="134"/>
      <c r="HS303" s="134"/>
      <c r="HT303" s="134"/>
      <c r="HU303" s="134"/>
      <c r="HV303" s="134"/>
      <c r="HW303" s="134"/>
      <c r="HX303" s="134"/>
      <c r="HY303" s="135"/>
      <c r="HZ303" s="135"/>
      <c r="IA303" s="134"/>
      <c r="IB303" s="134"/>
      <c r="IC303" s="134"/>
      <c r="ID303" s="134"/>
      <c r="IE303" s="134"/>
      <c r="IF303" s="134"/>
      <c r="IG303" s="134"/>
      <c r="IH303" s="134"/>
      <c r="II303" s="135"/>
      <c r="IJ303" s="135"/>
      <c r="IK303" s="134"/>
      <c r="IL303" s="134"/>
      <c r="IM303" s="134"/>
      <c r="IN303" s="134"/>
      <c r="IO303" s="134"/>
      <c r="IP303" s="134"/>
      <c r="IQ303" s="134"/>
      <c r="IR303" s="134"/>
      <c r="IS303" s="135"/>
      <c r="IT303" s="135"/>
      <c r="IU303" s="134"/>
      <c r="IV303" s="134"/>
      <c r="IW303" s="134"/>
      <c r="IX303" s="134"/>
      <c r="IY303" s="134"/>
      <c r="IZ303" s="134"/>
      <c r="JA303" s="134"/>
      <c r="JB303" s="134"/>
      <c r="JC303" s="135"/>
      <c r="JD303" s="135"/>
    </row>
    <row r="304" spans="1:264" customFormat="1" ht="15" customHeight="1">
      <c r="A304" s="321" t="s">
        <v>1001</v>
      </c>
      <c r="B304" s="362">
        <v>37</v>
      </c>
      <c r="C304" s="362"/>
      <c r="D304" s="362"/>
      <c r="E304" s="609" t="s">
        <v>2103</v>
      </c>
      <c r="F304" s="323" t="s">
        <v>2360</v>
      </c>
      <c r="G304" s="324">
        <v>2011</v>
      </c>
      <c r="H304" s="321">
        <v>21377492</v>
      </c>
      <c r="I304" s="321">
        <v>1</v>
      </c>
      <c r="J304" s="321">
        <v>1</v>
      </c>
      <c r="K304" s="321"/>
      <c r="L304" s="321">
        <v>1</v>
      </c>
      <c r="M304" s="321"/>
      <c r="N304" s="321">
        <v>1</v>
      </c>
      <c r="O304" s="325">
        <v>2</v>
      </c>
      <c r="P304" s="321" t="s">
        <v>1303</v>
      </c>
      <c r="Q304" s="321" t="s">
        <v>1212</v>
      </c>
      <c r="R304" s="321" t="s">
        <v>1468</v>
      </c>
      <c r="S304" s="321"/>
      <c r="T304" s="321" t="s">
        <v>1498</v>
      </c>
      <c r="U304" s="321" t="s">
        <v>803</v>
      </c>
      <c r="V304" s="321"/>
      <c r="W304" s="321" t="s">
        <v>1469</v>
      </c>
      <c r="X304" s="321" t="s">
        <v>436</v>
      </c>
      <c r="Y304" s="321"/>
      <c r="Z304" s="321"/>
      <c r="AA304" s="321"/>
      <c r="AB304" s="321"/>
      <c r="AC304" s="574"/>
      <c r="AD304" s="573">
        <v>1</v>
      </c>
      <c r="AE304" s="573">
        <v>2</v>
      </c>
      <c r="AF304" s="154">
        <v>1</v>
      </c>
      <c r="AG304" s="155" t="s">
        <v>3365</v>
      </c>
      <c r="AH304" s="326">
        <v>5</v>
      </c>
      <c r="AI304" s="490"/>
      <c r="AJ304" s="213" t="s">
        <v>3366</v>
      </c>
      <c r="AK304" s="214">
        <v>2</v>
      </c>
      <c r="AL304" s="215">
        <v>0</v>
      </c>
      <c r="AM304" s="134">
        <f>Table668[[#This Row],[Data_Subjects_n_ptsd]]+Table668[[#This Row],[Data_Subjects_n_control]]</f>
        <v>13</v>
      </c>
      <c r="AN304" s="326">
        <v>7</v>
      </c>
      <c r="AO304" s="326">
        <v>6</v>
      </c>
      <c r="AP304" s="326" t="s">
        <v>803</v>
      </c>
      <c r="AQ304" s="326" t="s">
        <v>803</v>
      </c>
      <c r="AR304" s="326" t="s">
        <v>24</v>
      </c>
      <c r="AS304" s="326" t="s">
        <v>24</v>
      </c>
      <c r="AT304" s="326" t="s">
        <v>24</v>
      </c>
      <c r="AU304" s="326" t="s">
        <v>24</v>
      </c>
      <c r="AV304" s="326" t="s">
        <v>3349</v>
      </c>
      <c r="AW304" s="326">
        <v>1</v>
      </c>
      <c r="AX304" s="326" t="s">
        <v>3347</v>
      </c>
      <c r="AY304" s="326" t="s">
        <v>2975</v>
      </c>
      <c r="AZ304" s="326" t="s">
        <v>1468</v>
      </c>
      <c r="BA304" s="326" t="s">
        <v>3279</v>
      </c>
      <c r="BB304" s="601"/>
      <c r="BC304" s="601"/>
      <c r="BD304" s="328">
        <v>1</v>
      </c>
      <c r="BE304" s="328" t="s">
        <v>1917</v>
      </c>
      <c r="BF304" s="328"/>
      <c r="BG304" s="328"/>
      <c r="BH304" s="328"/>
      <c r="BI304" s="328"/>
      <c r="BJ304" s="156" t="s">
        <v>1917</v>
      </c>
      <c r="BK304" s="328"/>
      <c r="BL304" s="328"/>
      <c r="BM304" s="328"/>
      <c r="BN304" s="328"/>
      <c r="BO304" s="328"/>
      <c r="BP304" s="328"/>
      <c r="BQ304" s="602" t="s">
        <v>3357</v>
      </c>
      <c r="BR304" s="157" t="s">
        <v>6607</v>
      </c>
      <c r="BS304" s="660"/>
      <c r="BT304" s="326" t="s">
        <v>1876</v>
      </c>
      <c r="BU304" s="326">
        <v>2</v>
      </c>
      <c r="BV304" s="134" t="s">
        <v>3362</v>
      </c>
      <c r="BW304" s="326" t="s">
        <v>2606</v>
      </c>
      <c r="BX304" s="326" t="s">
        <v>3350</v>
      </c>
      <c r="BY304" s="134" t="s">
        <v>6646</v>
      </c>
      <c r="BZ304" s="259" t="s">
        <v>3394</v>
      </c>
      <c r="CA304" s="454" t="s">
        <v>6627</v>
      </c>
      <c r="CB304" s="138" t="s">
        <v>3374</v>
      </c>
      <c r="CC304" s="326">
        <v>38.189599999999999</v>
      </c>
      <c r="CD304" s="326" t="s">
        <v>24</v>
      </c>
      <c r="CE304" s="326">
        <f>51.6039-Table668[[#This Row],[Data_Outcome1_M]]</f>
        <v>13.414300000000004</v>
      </c>
      <c r="CF304" s="138" t="s">
        <v>3379</v>
      </c>
      <c r="CG304" s="326">
        <v>31.002400000000002</v>
      </c>
      <c r="CH304" s="326" t="s">
        <v>24</v>
      </c>
      <c r="CI304" s="326">
        <f>43.4809-Table668[[#This Row],[Data_Outcome2_M]]</f>
        <v>12.478499999999997</v>
      </c>
      <c r="CJ304" s="331" t="s">
        <v>3390</v>
      </c>
      <c r="CK304" s="332"/>
      <c r="CL304" s="330"/>
      <c r="CM304" s="326"/>
      <c r="CN304" s="326"/>
      <c r="CO304" s="326"/>
      <c r="CP304" s="330"/>
      <c r="CQ304" s="326"/>
      <c r="CR304" s="326"/>
      <c r="CS304" s="326"/>
      <c r="CT304" s="331"/>
      <c r="CU304" s="332"/>
      <c r="CV304" s="333"/>
      <c r="CW304" s="334"/>
      <c r="CX304" s="330"/>
      <c r="CY304" s="326"/>
      <c r="CZ304" s="326"/>
      <c r="DA304" s="326"/>
      <c r="DB304" s="326"/>
      <c r="DC304" s="326"/>
      <c r="DD304" s="326"/>
      <c r="DE304" s="326"/>
      <c r="DF304" s="335"/>
      <c r="DG304" s="336"/>
      <c r="DH304" s="326"/>
      <c r="DI304" s="326"/>
      <c r="DJ304" s="326"/>
      <c r="DK304" s="326"/>
      <c r="DL304" s="326"/>
      <c r="DM304" s="326"/>
      <c r="DN304" s="326"/>
      <c r="DO304" s="326"/>
      <c r="DP304" s="335"/>
      <c r="DQ304" s="336"/>
      <c r="DR304" s="333"/>
      <c r="DS304" s="337"/>
      <c r="DT304" s="326"/>
      <c r="DU304" s="326"/>
      <c r="DV304" s="326"/>
      <c r="DW304" s="326"/>
      <c r="DX304" s="330"/>
      <c r="DY304" s="326"/>
      <c r="DZ304" s="326"/>
      <c r="EA304" s="326"/>
      <c r="EB304" s="336"/>
      <c r="EC304" s="336"/>
      <c r="ED304" s="330"/>
      <c r="EE304" s="326"/>
      <c r="EF304" s="326"/>
      <c r="EG304" s="326"/>
      <c r="EH304" s="330"/>
      <c r="EI304" s="326"/>
      <c r="EJ304" s="326"/>
      <c r="EK304" s="326"/>
      <c r="EL304" s="336"/>
      <c r="EM304" s="336"/>
      <c r="EN304" s="337"/>
      <c r="EO304" s="326"/>
      <c r="EP304" s="326"/>
      <c r="EQ304" s="326"/>
      <c r="ER304" s="326"/>
      <c r="ES304" s="326"/>
      <c r="ET304" s="326"/>
      <c r="EU304" s="326"/>
      <c r="EV304" s="326"/>
      <c r="EW304" s="336"/>
      <c r="EX304" s="336"/>
      <c r="EY304" s="326"/>
      <c r="EZ304" s="326"/>
      <c r="FA304" s="326"/>
      <c r="FB304" s="326"/>
      <c r="FC304" s="134"/>
      <c r="FD304" s="134"/>
      <c r="FE304" s="134"/>
      <c r="FF304" s="134"/>
      <c r="FG304" s="135"/>
      <c r="FH304" s="135"/>
      <c r="FI304" s="134"/>
      <c r="FJ304" s="134"/>
      <c r="FK304" s="134"/>
      <c r="FL304" s="134"/>
      <c r="FM304" s="134"/>
      <c r="FN304" s="134"/>
      <c r="FO304" s="134"/>
      <c r="FP304" s="134"/>
      <c r="FQ304" s="135"/>
      <c r="FR304" s="135"/>
      <c r="FS304" s="134"/>
      <c r="FT304" s="134"/>
      <c r="FU304" s="134"/>
      <c r="FV304" s="134"/>
      <c r="FW304" s="134"/>
      <c r="FX304" s="134"/>
      <c r="FY304" s="134"/>
      <c r="FZ304" s="134"/>
      <c r="GA304" s="135"/>
      <c r="GB304" s="135"/>
      <c r="GC304" s="134"/>
      <c r="GD304" s="134"/>
      <c r="GE304" s="134"/>
      <c r="GF304" s="134"/>
      <c r="GG304" s="134"/>
      <c r="GH304" s="134"/>
      <c r="GI304" s="134"/>
      <c r="GJ304" s="134"/>
      <c r="GK304" s="135"/>
      <c r="GL304" s="135"/>
      <c r="GM304" s="134"/>
      <c r="GN304" s="134"/>
      <c r="GO304" s="134"/>
      <c r="GP304" s="134"/>
      <c r="GQ304" s="134"/>
      <c r="GR304" s="134"/>
      <c r="GS304" s="134"/>
      <c r="GT304" s="134"/>
      <c r="GU304" s="135"/>
      <c r="GV304" s="135"/>
      <c r="GW304" s="134"/>
      <c r="GX304" s="134"/>
      <c r="GY304" s="134"/>
      <c r="GZ304" s="134"/>
      <c r="HA304" s="134"/>
      <c r="HB304" s="134"/>
      <c r="HC304" s="134"/>
      <c r="HD304" s="134"/>
      <c r="HE304" s="135"/>
      <c r="HF304" s="135"/>
      <c r="HG304" s="134"/>
      <c r="HH304" s="134"/>
      <c r="HI304" s="134"/>
      <c r="HJ304" s="134"/>
      <c r="HK304" s="134"/>
      <c r="HL304" s="134"/>
      <c r="HM304" s="134"/>
      <c r="HN304" s="134"/>
      <c r="HO304" s="135"/>
      <c r="HP304" s="135"/>
      <c r="HQ304" s="134"/>
      <c r="HR304" s="134"/>
      <c r="HS304" s="134"/>
      <c r="HT304" s="134"/>
      <c r="HU304" s="134"/>
      <c r="HV304" s="134"/>
      <c r="HW304" s="134"/>
      <c r="HX304" s="134"/>
      <c r="HY304" s="135"/>
      <c r="HZ304" s="135"/>
      <c r="IA304" s="134"/>
      <c r="IB304" s="134"/>
      <c r="IC304" s="134"/>
      <c r="ID304" s="134"/>
      <c r="IE304" s="134"/>
      <c r="IF304" s="134"/>
      <c r="IG304" s="134"/>
      <c r="IH304" s="134"/>
      <c r="II304" s="135"/>
      <c r="IJ304" s="135"/>
      <c r="IK304" s="134"/>
      <c r="IL304" s="134"/>
      <c r="IM304" s="134"/>
      <c r="IN304" s="134"/>
      <c r="IO304" s="134"/>
      <c r="IP304" s="134"/>
      <c r="IQ304" s="134"/>
      <c r="IR304" s="134"/>
      <c r="IS304" s="135"/>
      <c r="IT304" s="135"/>
      <c r="IU304" s="134"/>
      <c r="IV304" s="134"/>
      <c r="IW304" s="134"/>
      <c r="IX304" s="134"/>
      <c r="IY304" s="134"/>
      <c r="IZ304" s="134"/>
      <c r="JA304" s="134"/>
      <c r="JB304" s="134"/>
      <c r="JC304" s="135"/>
      <c r="JD304" s="135"/>
    </row>
    <row r="305" spans="1:264" customFormat="1" ht="15" customHeight="1">
      <c r="A305" s="321" t="s">
        <v>1001</v>
      </c>
      <c r="B305" s="362">
        <v>37</v>
      </c>
      <c r="C305" s="362"/>
      <c r="D305" s="362"/>
      <c r="E305" s="609" t="s">
        <v>2103</v>
      </c>
      <c r="F305" s="323" t="s">
        <v>2360</v>
      </c>
      <c r="G305" s="324">
        <v>2011</v>
      </c>
      <c r="H305" s="321">
        <v>21377492</v>
      </c>
      <c r="I305" s="321">
        <v>1</v>
      </c>
      <c r="J305" s="321">
        <v>1</v>
      </c>
      <c r="K305" s="321"/>
      <c r="L305" s="321">
        <v>1</v>
      </c>
      <c r="M305" s="321"/>
      <c r="N305" s="321">
        <v>1</v>
      </c>
      <c r="O305" s="325">
        <v>2</v>
      </c>
      <c r="P305" s="321" t="s">
        <v>1303</v>
      </c>
      <c r="Q305" s="321" t="s">
        <v>1212</v>
      </c>
      <c r="R305" s="321" t="s">
        <v>1468</v>
      </c>
      <c r="S305" s="321"/>
      <c r="T305" s="321" t="s">
        <v>1498</v>
      </c>
      <c r="U305" s="321" t="s">
        <v>803</v>
      </c>
      <c r="V305" s="321"/>
      <c r="W305" s="321" t="s">
        <v>1469</v>
      </c>
      <c r="X305" s="321" t="s">
        <v>436</v>
      </c>
      <c r="Y305" s="321"/>
      <c r="Z305" s="321"/>
      <c r="AA305" s="321"/>
      <c r="AB305" s="321"/>
      <c r="AC305" s="574"/>
      <c r="AD305" s="573">
        <v>1</v>
      </c>
      <c r="AE305" s="573">
        <v>2</v>
      </c>
      <c r="AF305" s="154">
        <v>1</v>
      </c>
      <c r="AG305" s="155" t="s">
        <v>3365</v>
      </c>
      <c r="AH305" s="326">
        <v>5</v>
      </c>
      <c r="AI305" s="490"/>
      <c r="AJ305" s="213" t="s">
        <v>3366</v>
      </c>
      <c r="AK305" s="214">
        <v>2</v>
      </c>
      <c r="AL305" s="215">
        <v>0</v>
      </c>
      <c r="AM305" s="134">
        <f>Table668[[#This Row],[Data_Subjects_n_ptsd]]+Table668[[#This Row],[Data_Subjects_n_control]]</f>
        <v>14</v>
      </c>
      <c r="AN305" s="326">
        <v>7</v>
      </c>
      <c r="AO305" s="326">
        <v>7</v>
      </c>
      <c r="AP305" s="326" t="s">
        <v>803</v>
      </c>
      <c r="AQ305" s="326" t="s">
        <v>803</v>
      </c>
      <c r="AR305" s="326" t="s">
        <v>24</v>
      </c>
      <c r="AS305" s="326" t="s">
        <v>24</v>
      </c>
      <c r="AT305" s="326" t="s">
        <v>24</v>
      </c>
      <c r="AU305" s="326" t="s">
        <v>24</v>
      </c>
      <c r="AV305" s="326" t="s">
        <v>3349</v>
      </c>
      <c r="AW305" s="326">
        <v>1</v>
      </c>
      <c r="AX305" s="326" t="s">
        <v>3347</v>
      </c>
      <c r="AY305" s="326" t="s">
        <v>2975</v>
      </c>
      <c r="AZ305" s="326" t="s">
        <v>1468</v>
      </c>
      <c r="BA305" s="326" t="s">
        <v>3279</v>
      </c>
      <c r="BB305" s="601"/>
      <c r="BC305" s="601"/>
      <c r="BD305" s="328">
        <v>1</v>
      </c>
      <c r="BE305" s="328" t="s">
        <v>1917</v>
      </c>
      <c r="BF305" s="328"/>
      <c r="BG305" s="328"/>
      <c r="BH305" s="328"/>
      <c r="BI305" s="328"/>
      <c r="BJ305" s="156" t="s">
        <v>1917</v>
      </c>
      <c r="BK305" s="328"/>
      <c r="BL305" s="328"/>
      <c r="BM305" s="328"/>
      <c r="BN305" s="328"/>
      <c r="BO305" s="328"/>
      <c r="BP305" s="328"/>
      <c r="BQ305" s="602" t="s">
        <v>3358</v>
      </c>
      <c r="BR305" s="157" t="s">
        <v>6607</v>
      </c>
      <c r="BS305" s="660"/>
      <c r="BT305" s="326" t="s">
        <v>1876</v>
      </c>
      <c r="BU305" s="326">
        <v>2</v>
      </c>
      <c r="BV305" s="134" t="s">
        <v>3352</v>
      </c>
      <c r="BW305" s="326" t="s">
        <v>2606</v>
      </c>
      <c r="BX305" s="326" t="s">
        <v>3350</v>
      </c>
      <c r="BY305" s="134" t="s">
        <v>6646</v>
      </c>
      <c r="BZ305" s="259" t="s">
        <v>3394</v>
      </c>
      <c r="CA305" s="454" t="s">
        <v>6627</v>
      </c>
      <c r="CB305" s="138" t="s">
        <v>3372</v>
      </c>
      <c r="CC305" s="326">
        <v>9.5406499999999994</v>
      </c>
      <c r="CD305" s="326" t="s">
        <v>24</v>
      </c>
      <c r="CE305" s="326">
        <f>14.528-Table668[[#This Row],[Data_Outcome1_M]]</f>
        <v>4.9873500000000011</v>
      </c>
      <c r="CF305" s="138" t="s">
        <v>3380</v>
      </c>
      <c r="CG305" s="326">
        <v>38.823</v>
      </c>
      <c r="CH305" s="326" t="s">
        <v>24</v>
      </c>
      <c r="CI305" s="326">
        <f>53.3691-Table668[[#This Row],[Data_Outcome2_M]]</f>
        <v>14.546100000000003</v>
      </c>
      <c r="CJ305" s="331" t="s">
        <v>3387</v>
      </c>
      <c r="CK305" s="332" t="s">
        <v>2643</v>
      </c>
      <c r="CL305" s="330"/>
      <c r="CM305" s="326"/>
      <c r="CN305" s="326"/>
      <c r="CO305" s="326"/>
      <c r="CP305" s="330"/>
      <c r="CQ305" s="326"/>
      <c r="CR305" s="326"/>
      <c r="CS305" s="326"/>
      <c r="CT305" s="331"/>
      <c r="CU305" s="332"/>
      <c r="CV305" s="333"/>
      <c r="CW305" s="334"/>
      <c r="CX305" s="330"/>
      <c r="CY305" s="326"/>
      <c r="CZ305" s="326"/>
      <c r="DA305" s="326"/>
      <c r="DB305" s="326"/>
      <c r="DC305" s="326"/>
      <c r="DD305" s="326"/>
      <c r="DE305" s="326"/>
      <c r="DF305" s="335"/>
      <c r="DG305" s="336"/>
      <c r="DH305" s="326"/>
      <c r="DI305" s="326"/>
      <c r="DJ305" s="326"/>
      <c r="DK305" s="326"/>
      <c r="DL305" s="326"/>
      <c r="DM305" s="326"/>
      <c r="DN305" s="326"/>
      <c r="DO305" s="326"/>
      <c r="DP305" s="335"/>
      <c r="DQ305" s="336"/>
      <c r="DR305" s="333"/>
      <c r="DS305" s="337"/>
      <c r="DT305" s="326"/>
      <c r="DU305" s="326"/>
      <c r="DV305" s="326"/>
      <c r="DW305" s="326"/>
      <c r="DX305" s="330"/>
      <c r="DY305" s="326"/>
      <c r="DZ305" s="326"/>
      <c r="EA305" s="326"/>
      <c r="EB305" s="336"/>
      <c r="EC305" s="336"/>
      <c r="ED305" s="330"/>
      <c r="EE305" s="326"/>
      <c r="EF305" s="326"/>
      <c r="EG305" s="326"/>
      <c r="EH305" s="330"/>
      <c r="EI305" s="326"/>
      <c r="EJ305" s="326"/>
      <c r="EK305" s="326"/>
      <c r="EL305" s="336"/>
      <c r="EM305" s="336"/>
      <c r="EN305" s="337"/>
      <c r="EO305" s="326"/>
      <c r="EP305" s="326"/>
      <c r="EQ305" s="326"/>
      <c r="ER305" s="326"/>
      <c r="ES305" s="326"/>
      <c r="ET305" s="326"/>
      <c r="EU305" s="326"/>
      <c r="EV305" s="326"/>
      <c r="EW305" s="336"/>
      <c r="EX305" s="336"/>
      <c r="EY305" s="326"/>
      <c r="EZ305" s="326"/>
      <c r="FA305" s="326"/>
      <c r="FB305" s="326"/>
      <c r="FC305" s="134"/>
      <c r="FD305" s="134"/>
      <c r="FE305" s="134"/>
      <c r="FF305" s="134"/>
      <c r="FG305" s="135"/>
      <c r="FH305" s="135"/>
      <c r="FI305" s="134"/>
      <c r="FJ305" s="134"/>
      <c r="FK305" s="134"/>
      <c r="FL305" s="134"/>
      <c r="FM305" s="134"/>
      <c r="FN305" s="134"/>
      <c r="FO305" s="134"/>
      <c r="FP305" s="134"/>
      <c r="FQ305" s="135"/>
      <c r="FR305" s="135"/>
      <c r="FS305" s="134"/>
      <c r="FT305" s="134"/>
      <c r="FU305" s="134"/>
      <c r="FV305" s="134"/>
      <c r="FW305" s="134"/>
      <c r="FX305" s="134"/>
      <c r="FY305" s="134"/>
      <c r="FZ305" s="134"/>
      <c r="GA305" s="135"/>
      <c r="GB305" s="135"/>
      <c r="GC305" s="134"/>
      <c r="GD305" s="134"/>
      <c r="GE305" s="134"/>
      <c r="GF305" s="134"/>
      <c r="GG305" s="134"/>
      <c r="GH305" s="134"/>
      <c r="GI305" s="134"/>
      <c r="GJ305" s="134"/>
      <c r="GK305" s="135"/>
      <c r="GL305" s="135"/>
      <c r="GM305" s="134"/>
      <c r="GN305" s="134"/>
      <c r="GO305" s="134"/>
      <c r="GP305" s="134"/>
      <c r="GQ305" s="134"/>
      <c r="GR305" s="134"/>
      <c r="GS305" s="134"/>
      <c r="GT305" s="134"/>
      <c r="GU305" s="135"/>
      <c r="GV305" s="135"/>
      <c r="GW305" s="134"/>
      <c r="GX305" s="134"/>
      <c r="GY305" s="134"/>
      <c r="GZ305" s="134"/>
      <c r="HA305" s="134"/>
      <c r="HB305" s="134"/>
      <c r="HC305" s="134"/>
      <c r="HD305" s="134"/>
      <c r="HE305" s="135"/>
      <c r="HF305" s="135"/>
      <c r="HG305" s="134"/>
      <c r="HH305" s="134"/>
      <c r="HI305" s="134"/>
      <c r="HJ305" s="134"/>
      <c r="HK305" s="134"/>
      <c r="HL305" s="134"/>
      <c r="HM305" s="134"/>
      <c r="HN305" s="134"/>
      <c r="HO305" s="135"/>
      <c r="HP305" s="135"/>
      <c r="HQ305" s="134"/>
      <c r="HR305" s="134"/>
      <c r="HS305" s="134"/>
      <c r="HT305" s="134"/>
      <c r="HU305" s="134"/>
      <c r="HV305" s="134"/>
      <c r="HW305" s="134"/>
      <c r="HX305" s="134"/>
      <c r="HY305" s="135"/>
      <c r="HZ305" s="135"/>
      <c r="IA305" s="134"/>
      <c r="IB305" s="134"/>
      <c r="IC305" s="134"/>
      <c r="ID305" s="134"/>
      <c r="IE305" s="134"/>
      <c r="IF305" s="134"/>
      <c r="IG305" s="134"/>
      <c r="IH305" s="134"/>
      <c r="II305" s="135"/>
      <c r="IJ305" s="135"/>
      <c r="IK305" s="134"/>
      <c r="IL305" s="134"/>
      <c r="IM305" s="134"/>
      <c r="IN305" s="134"/>
      <c r="IO305" s="134"/>
      <c r="IP305" s="134"/>
      <c r="IQ305" s="134"/>
      <c r="IR305" s="134"/>
      <c r="IS305" s="135"/>
      <c r="IT305" s="135"/>
      <c r="IU305" s="134"/>
      <c r="IV305" s="134"/>
      <c r="IW305" s="134"/>
      <c r="IX305" s="134"/>
      <c r="IY305" s="134"/>
      <c r="IZ305" s="134"/>
      <c r="JA305" s="134"/>
      <c r="JB305" s="134"/>
      <c r="JC305" s="135"/>
      <c r="JD305" s="135"/>
    </row>
    <row r="306" spans="1:264" customFormat="1" ht="15" customHeight="1">
      <c r="A306" s="321" t="s">
        <v>1001</v>
      </c>
      <c r="B306" s="362">
        <v>37</v>
      </c>
      <c r="C306" s="362"/>
      <c r="D306" s="362"/>
      <c r="E306" s="609" t="s">
        <v>2103</v>
      </c>
      <c r="F306" s="323" t="s">
        <v>2360</v>
      </c>
      <c r="G306" s="324">
        <v>2011</v>
      </c>
      <c r="H306" s="321">
        <v>21377492</v>
      </c>
      <c r="I306" s="321">
        <v>1</v>
      </c>
      <c r="J306" s="321">
        <v>1</v>
      </c>
      <c r="K306" s="321"/>
      <c r="L306" s="321">
        <v>1</v>
      </c>
      <c r="M306" s="321"/>
      <c r="N306" s="321">
        <v>1</v>
      </c>
      <c r="O306" s="325">
        <v>2</v>
      </c>
      <c r="P306" s="321" t="s">
        <v>1303</v>
      </c>
      <c r="Q306" s="321" t="s">
        <v>1212</v>
      </c>
      <c r="R306" s="321" t="s">
        <v>1468</v>
      </c>
      <c r="S306" s="321"/>
      <c r="T306" s="321" t="s">
        <v>1498</v>
      </c>
      <c r="U306" s="321" t="s">
        <v>803</v>
      </c>
      <c r="V306" s="321"/>
      <c r="W306" s="321" t="s">
        <v>1469</v>
      </c>
      <c r="X306" s="321" t="s">
        <v>436</v>
      </c>
      <c r="Y306" s="321"/>
      <c r="Z306" s="321"/>
      <c r="AA306" s="321"/>
      <c r="AB306" s="321"/>
      <c r="AC306" s="574"/>
      <c r="AD306" s="573">
        <v>1</v>
      </c>
      <c r="AE306" s="573">
        <v>2</v>
      </c>
      <c r="AF306" s="154">
        <v>1</v>
      </c>
      <c r="AG306" s="155" t="s">
        <v>3365</v>
      </c>
      <c r="AH306" s="326">
        <v>5</v>
      </c>
      <c r="AI306" s="490"/>
      <c r="AJ306" s="213" t="s">
        <v>3366</v>
      </c>
      <c r="AK306" s="327">
        <v>2</v>
      </c>
      <c r="AL306" s="215">
        <v>0</v>
      </c>
      <c r="AM306" s="134">
        <f>Table668[[#This Row],[Data_Subjects_n_ptsd]]+Table668[[#This Row],[Data_Subjects_n_control]]</f>
        <v>14</v>
      </c>
      <c r="AN306" s="326">
        <v>8</v>
      </c>
      <c r="AO306" s="326">
        <v>6</v>
      </c>
      <c r="AP306" s="326" t="s">
        <v>803</v>
      </c>
      <c r="AQ306" s="326" t="s">
        <v>803</v>
      </c>
      <c r="AR306" s="326" t="s">
        <v>24</v>
      </c>
      <c r="AS306" s="326" t="s">
        <v>24</v>
      </c>
      <c r="AT306" s="326" t="s">
        <v>24</v>
      </c>
      <c r="AU306" s="326" t="s">
        <v>24</v>
      </c>
      <c r="AV306" s="326" t="s">
        <v>3349</v>
      </c>
      <c r="AW306" s="326">
        <v>1</v>
      </c>
      <c r="AX306" s="326" t="s">
        <v>3347</v>
      </c>
      <c r="AY306" s="326" t="s">
        <v>2975</v>
      </c>
      <c r="AZ306" s="326" t="s">
        <v>1468</v>
      </c>
      <c r="BA306" s="326" t="s">
        <v>3279</v>
      </c>
      <c r="BB306" s="601"/>
      <c r="BC306" s="601"/>
      <c r="BD306" s="328">
        <v>1</v>
      </c>
      <c r="BE306" s="328" t="s">
        <v>1917</v>
      </c>
      <c r="BF306" s="328"/>
      <c r="BG306" s="328"/>
      <c r="BH306" s="328"/>
      <c r="BI306" s="328"/>
      <c r="BJ306" s="156" t="s">
        <v>1917</v>
      </c>
      <c r="BK306" s="328"/>
      <c r="BL306" s="328"/>
      <c r="BM306" s="328"/>
      <c r="BN306" s="328"/>
      <c r="BO306" s="328"/>
      <c r="BP306" s="328"/>
      <c r="BQ306" s="602" t="s">
        <v>3358</v>
      </c>
      <c r="BR306" s="157" t="s">
        <v>6607</v>
      </c>
      <c r="BS306" s="660"/>
      <c r="BT306" s="326" t="s">
        <v>1876</v>
      </c>
      <c r="BU306" s="326">
        <v>2</v>
      </c>
      <c r="BV306" s="134" t="s">
        <v>3363</v>
      </c>
      <c r="BW306" s="326" t="s">
        <v>2606</v>
      </c>
      <c r="BX306" s="326" t="s">
        <v>3350</v>
      </c>
      <c r="BY306" s="134" t="s">
        <v>6646</v>
      </c>
      <c r="BZ306" s="259" t="s">
        <v>3394</v>
      </c>
      <c r="CA306" s="454" t="s">
        <v>6627</v>
      </c>
      <c r="CB306" s="138" t="s">
        <v>3375</v>
      </c>
      <c r="CC306" s="326">
        <v>8.1273900000000001</v>
      </c>
      <c r="CD306" s="326" t="s">
        <v>24</v>
      </c>
      <c r="CE306" s="326">
        <f>12.8066-Table668[[#This Row],[Data_Outcome1_M]]</f>
        <v>4.6792099999999994</v>
      </c>
      <c r="CF306" s="138" t="s">
        <v>3381</v>
      </c>
      <c r="CG306" s="326">
        <v>31.356300000000001</v>
      </c>
      <c r="CH306" s="326" t="s">
        <v>24</v>
      </c>
      <c r="CI306" s="326">
        <f>42.2741-Table668[[#This Row],[Data_Outcome2_M]]</f>
        <v>10.917799999999996</v>
      </c>
      <c r="CJ306" s="331" t="s">
        <v>3391</v>
      </c>
      <c r="CK306" s="332"/>
      <c r="CL306" s="330"/>
      <c r="CM306" s="326"/>
      <c r="CN306" s="326"/>
      <c r="CO306" s="326"/>
      <c r="CP306" s="330"/>
      <c r="CQ306" s="326"/>
      <c r="CR306" s="326"/>
      <c r="CS306" s="326"/>
      <c r="CT306" s="331"/>
      <c r="CU306" s="332"/>
      <c r="CV306" s="333"/>
      <c r="CW306" s="334"/>
      <c r="CX306" s="330"/>
      <c r="CY306" s="326"/>
      <c r="CZ306" s="326"/>
      <c r="DA306" s="326"/>
      <c r="DB306" s="326"/>
      <c r="DC306" s="326"/>
      <c r="DD306" s="326"/>
      <c r="DE306" s="326"/>
      <c r="DF306" s="335"/>
      <c r="DG306" s="336"/>
      <c r="DH306" s="326"/>
      <c r="DI306" s="326"/>
      <c r="DJ306" s="326"/>
      <c r="DK306" s="326"/>
      <c r="DL306" s="326"/>
      <c r="DM306" s="326"/>
      <c r="DN306" s="326"/>
      <c r="DO306" s="326"/>
      <c r="DP306" s="335"/>
      <c r="DQ306" s="336"/>
      <c r="DR306" s="333"/>
      <c r="DS306" s="337"/>
      <c r="DT306" s="326"/>
      <c r="DU306" s="326"/>
      <c r="DV306" s="326"/>
      <c r="DW306" s="326"/>
      <c r="DX306" s="330"/>
      <c r="DY306" s="326"/>
      <c r="DZ306" s="326"/>
      <c r="EA306" s="326"/>
      <c r="EB306" s="336"/>
      <c r="EC306" s="336"/>
      <c r="ED306" s="330"/>
      <c r="EE306" s="326"/>
      <c r="EF306" s="326"/>
      <c r="EG306" s="326"/>
      <c r="EH306" s="330"/>
      <c r="EI306" s="326"/>
      <c r="EJ306" s="326"/>
      <c r="EK306" s="326"/>
      <c r="EL306" s="336"/>
      <c r="EM306" s="336"/>
      <c r="EN306" s="337"/>
      <c r="EO306" s="326"/>
      <c r="EP306" s="326"/>
      <c r="EQ306" s="326"/>
      <c r="ER306" s="326"/>
      <c r="ES306" s="326"/>
      <c r="ET306" s="326"/>
      <c r="EU306" s="326"/>
      <c r="EV306" s="326"/>
      <c r="EW306" s="336"/>
      <c r="EX306" s="336"/>
      <c r="EY306" s="326"/>
      <c r="EZ306" s="326"/>
      <c r="FA306" s="326"/>
      <c r="FB306" s="326"/>
      <c r="FC306" s="134"/>
      <c r="FD306" s="134"/>
      <c r="FE306" s="134"/>
      <c r="FF306" s="134"/>
      <c r="FG306" s="135"/>
      <c r="FH306" s="135"/>
      <c r="FI306" s="134"/>
      <c r="FJ306" s="134"/>
      <c r="FK306" s="134"/>
      <c r="FL306" s="134"/>
      <c r="FM306" s="134"/>
      <c r="FN306" s="134"/>
      <c r="FO306" s="134"/>
      <c r="FP306" s="134"/>
      <c r="FQ306" s="135"/>
      <c r="FR306" s="135"/>
      <c r="FS306" s="134"/>
      <c r="FT306" s="134"/>
      <c r="FU306" s="134"/>
      <c r="FV306" s="134"/>
      <c r="FW306" s="134"/>
      <c r="FX306" s="134"/>
      <c r="FY306" s="134"/>
      <c r="FZ306" s="134"/>
      <c r="GA306" s="135"/>
      <c r="GB306" s="135"/>
      <c r="GC306" s="134"/>
      <c r="GD306" s="134"/>
      <c r="GE306" s="134"/>
      <c r="GF306" s="134"/>
      <c r="GG306" s="134"/>
      <c r="GH306" s="134"/>
      <c r="GI306" s="134"/>
      <c r="GJ306" s="134"/>
      <c r="GK306" s="135"/>
      <c r="GL306" s="135"/>
      <c r="GM306" s="134"/>
      <c r="GN306" s="134"/>
      <c r="GO306" s="134"/>
      <c r="GP306" s="134"/>
      <c r="GQ306" s="134"/>
      <c r="GR306" s="134"/>
      <c r="GS306" s="134"/>
      <c r="GT306" s="134"/>
      <c r="GU306" s="135"/>
      <c r="GV306" s="135"/>
      <c r="GW306" s="134"/>
      <c r="GX306" s="134"/>
      <c r="GY306" s="134"/>
      <c r="GZ306" s="134"/>
      <c r="HA306" s="134"/>
      <c r="HB306" s="134"/>
      <c r="HC306" s="134"/>
      <c r="HD306" s="134"/>
      <c r="HE306" s="135"/>
      <c r="HF306" s="135"/>
      <c r="HG306" s="134"/>
      <c r="HH306" s="134"/>
      <c r="HI306" s="134"/>
      <c r="HJ306" s="134"/>
      <c r="HK306" s="134"/>
      <c r="HL306" s="134"/>
      <c r="HM306" s="134"/>
      <c r="HN306" s="134"/>
      <c r="HO306" s="135"/>
      <c r="HP306" s="135"/>
      <c r="HQ306" s="134"/>
      <c r="HR306" s="134"/>
      <c r="HS306" s="134"/>
      <c r="HT306" s="134"/>
      <c r="HU306" s="134"/>
      <c r="HV306" s="134"/>
      <c r="HW306" s="134"/>
      <c r="HX306" s="134"/>
      <c r="HY306" s="135"/>
      <c r="HZ306" s="135"/>
      <c r="IA306" s="134"/>
      <c r="IB306" s="134"/>
      <c r="IC306" s="134"/>
      <c r="ID306" s="134"/>
      <c r="IE306" s="134"/>
      <c r="IF306" s="134"/>
      <c r="IG306" s="134"/>
      <c r="IH306" s="134"/>
      <c r="II306" s="135"/>
      <c r="IJ306" s="135"/>
      <c r="IK306" s="134"/>
      <c r="IL306" s="134"/>
      <c r="IM306" s="134"/>
      <c r="IN306" s="134"/>
      <c r="IO306" s="134"/>
      <c r="IP306" s="134"/>
      <c r="IQ306" s="134"/>
      <c r="IR306" s="134"/>
      <c r="IS306" s="135"/>
      <c r="IT306" s="135"/>
      <c r="IU306" s="134"/>
      <c r="IV306" s="134"/>
      <c r="IW306" s="134"/>
      <c r="IX306" s="134"/>
      <c r="IY306" s="134"/>
      <c r="IZ306" s="134"/>
      <c r="JA306" s="134"/>
      <c r="JB306" s="134"/>
      <c r="JC306" s="135"/>
      <c r="JD306" s="135"/>
    </row>
    <row r="307" spans="1:264" customFormat="1" ht="15" customHeight="1">
      <c r="A307" s="321" t="s">
        <v>1001</v>
      </c>
      <c r="B307" s="362">
        <v>37</v>
      </c>
      <c r="C307" s="362"/>
      <c r="D307" s="362"/>
      <c r="E307" s="609" t="s">
        <v>2103</v>
      </c>
      <c r="F307" s="323" t="s">
        <v>2360</v>
      </c>
      <c r="G307" s="324">
        <v>2011</v>
      </c>
      <c r="H307" s="321">
        <v>21377492</v>
      </c>
      <c r="I307" s="321">
        <v>1</v>
      </c>
      <c r="J307" s="321">
        <v>1</v>
      </c>
      <c r="K307" s="321"/>
      <c r="L307" s="321">
        <v>1</v>
      </c>
      <c r="M307" s="321"/>
      <c r="N307" s="321">
        <v>1</v>
      </c>
      <c r="O307" s="325">
        <v>2</v>
      </c>
      <c r="P307" s="321" t="s">
        <v>1303</v>
      </c>
      <c r="Q307" s="321" t="s">
        <v>1212</v>
      </c>
      <c r="R307" s="321" t="s">
        <v>1468</v>
      </c>
      <c r="S307" s="321"/>
      <c r="T307" s="321" t="s">
        <v>1498</v>
      </c>
      <c r="U307" s="321" t="s">
        <v>803</v>
      </c>
      <c r="V307" s="321"/>
      <c r="W307" s="321" t="s">
        <v>1469</v>
      </c>
      <c r="X307" s="321" t="s">
        <v>436</v>
      </c>
      <c r="Y307" s="321"/>
      <c r="Z307" s="321"/>
      <c r="AA307" s="321"/>
      <c r="AB307" s="321"/>
      <c r="AC307" s="574"/>
      <c r="AD307" s="573">
        <v>1</v>
      </c>
      <c r="AE307" s="573">
        <v>2</v>
      </c>
      <c r="AF307" s="154">
        <v>1</v>
      </c>
      <c r="AG307" s="155" t="s">
        <v>3365</v>
      </c>
      <c r="AH307" s="326">
        <v>5</v>
      </c>
      <c r="AI307" s="490"/>
      <c r="AJ307" s="213" t="s">
        <v>3366</v>
      </c>
      <c r="AK307" s="327">
        <v>2</v>
      </c>
      <c r="AL307" s="215">
        <v>0</v>
      </c>
      <c r="AM307" s="134">
        <f>Table668[[#This Row],[Data_Subjects_n_ptsd]]+Table668[[#This Row],[Data_Subjects_n_control]]</f>
        <v>14</v>
      </c>
      <c r="AN307" s="326">
        <v>7</v>
      </c>
      <c r="AO307" s="326">
        <v>7</v>
      </c>
      <c r="AP307" s="326" t="s">
        <v>803</v>
      </c>
      <c r="AQ307" s="326" t="s">
        <v>803</v>
      </c>
      <c r="AR307" s="326" t="s">
        <v>24</v>
      </c>
      <c r="AS307" s="326" t="s">
        <v>24</v>
      </c>
      <c r="AT307" s="326" t="s">
        <v>24</v>
      </c>
      <c r="AU307" s="326" t="s">
        <v>24</v>
      </c>
      <c r="AV307" s="326" t="s">
        <v>3349</v>
      </c>
      <c r="AW307" s="326">
        <v>1</v>
      </c>
      <c r="AX307" s="326" t="s">
        <v>3347</v>
      </c>
      <c r="AY307" s="326" t="s">
        <v>2975</v>
      </c>
      <c r="AZ307" s="326" t="s">
        <v>1468</v>
      </c>
      <c r="BA307" s="326" t="s">
        <v>3279</v>
      </c>
      <c r="BB307" s="601"/>
      <c r="BC307" s="601"/>
      <c r="BD307" s="328">
        <v>1</v>
      </c>
      <c r="BE307" s="328" t="s">
        <v>1917</v>
      </c>
      <c r="BF307" s="328"/>
      <c r="BG307" s="328"/>
      <c r="BH307" s="328"/>
      <c r="BI307" s="328"/>
      <c r="BJ307" s="156" t="s">
        <v>1917</v>
      </c>
      <c r="BK307" s="328"/>
      <c r="BL307" s="328"/>
      <c r="BM307" s="328"/>
      <c r="BN307" s="328"/>
      <c r="BO307" s="328"/>
      <c r="BP307" s="328"/>
      <c r="BQ307" s="602" t="s">
        <v>3359</v>
      </c>
      <c r="BR307" s="157" t="s">
        <v>6607</v>
      </c>
      <c r="BS307" s="660"/>
      <c r="BT307" s="326" t="s">
        <v>1876</v>
      </c>
      <c r="BU307" s="326">
        <v>2</v>
      </c>
      <c r="BV307" s="134" t="s">
        <v>3353</v>
      </c>
      <c r="BW307" s="326" t="s">
        <v>2606</v>
      </c>
      <c r="BX307" s="326" t="s">
        <v>3350</v>
      </c>
      <c r="BY307" s="134" t="s">
        <v>6646</v>
      </c>
      <c r="BZ307" s="259" t="s">
        <v>3394</v>
      </c>
      <c r="CA307" s="454" t="s">
        <v>6627</v>
      </c>
      <c r="CB307" s="138" t="s">
        <v>3373</v>
      </c>
      <c r="CC307" s="326">
        <v>1.9032899999999999</v>
      </c>
      <c r="CD307" s="326" t="s">
        <v>24</v>
      </c>
      <c r="CE307" s="326">
        <f>2.73446-Table668[[#This Row],[Data_Outcome1_M]]</f>
        <v>0.83116999999999996</v>
      </c>
      <c r="CF307" s="138" t="s">
        <v>3382</v>
      </c>
      <c r="CG307" s="326">
        <v>45.3172</v>
      </c>
      <c r="CH307" s="326" t="s">
        <v>24</v>
      </c>
      <c r="CI307" s="326">
        <f>58.2003-Table668[[#This Row],[Data_Outcome2_M]]</f>
        <v>12.883099999999999</v>
      </c>
      <c r="CJ307" s="341" t="s">
        <v>3386</v>
      </c>
      <c r="CK307" s="332" t="s">
        <v>3060</v>
      </c>
      <c r="CL307" s="330"/>
      <c r="CM307" s="326"/>
      <c r="CN307" s="326"/>
      <c r="CO307" s="326"/>
      <c r="CP307" s="330"/>
      <c r="CQ307" s="326"/>
      <c r="CR307" s="326"/>
      <c r="CS307" s="326"/>
      <c r="CT307" s="331"/>
      <c r="CU307" s="332"/>
      <c r="CV307" s="333"/>
      <c r="CW307" s="334"/>
      <c r="CX307" s="330"/>
      <c r="CY307" s="326"/>
      <c r="CZ307" s="326"/>
      <c r="DA307" s="326"/>
      <c r="DB307" s="326"/>
      <c r="DC307" s="326"/>
      <c r="DD307" s="326"/>
      <c r="DE307" s="326"/>
      <c r="DF307" s="335"/>
      <c r="DG307" s="336"/>
      <c r="DH307" s="326"/>
      <c r="DI307" s="326"/>
      <c r="DJ307" s="326"/>
      <c r="DK307" s="326"/>
      <c r="DL307" s="326"/>
      <c r="DM307" s="326"/>
      <c r="DN307" s="326"/>
      <c r="DO307" s="326"/>
      <c r="DP307" s="335"/>
      <c r="DQ307" s="336"/>
      <c r="DR307" s="333"/>
      <c r="DS307" s="337"/>
      <c r="DT307" s="326"/>
      <c r="DU307" s="326"/>
      <c r="DV307" s="326"/>
      <c r="DW307" s="326"/>
      <c r="DX307" s="330"/>
      <c r="DY307" s="326"/>
      <c r="DZ307" s="326"/>
      <c r="EA307" s="326"/>
      <c r="EB307" s="336"/>
      <c r="EC307" s="336"/>
      <c r="ED307" s="330"/>
      <c r="EE307" s="326"/>
      <c r="EF307" s="326"/>
      <c r="EG307" s="326"/>
      <c r="EH307" s="330"/>
      <c r="EI307" s="326"/>
      <c r="EJ307" s="326"/>
      <c r="EK307" s="326"/>
      <c r="EL307" s="336"/>
      <c r="EM307" s="336"/>
      <c r="EN307" s="337"/>
      <c r="EO307" s="326"/>
      <c r="EP307" s="326"/>
      <c r="EQ307" s="326"/>
      <c r="ER307" s="326"/>
      <c r="ES307" s="326"/>
      <c r="ET307" s="326"/>
      <c r="EU307" s="326"/>
      <c r="EV307" s="326"/>
      <c r="EW307" s="336"/>
      <c r="EX307" s="336"/>
      <c r="EY307" s="326"/>
      <c r="EZ307" s="326"/>
      <c r="FA307" s="326"/>
      <c r="FB307" s="326"/>
      <c r="FC307" s="134"/>
      <c r="FD307" s="134"/>
      <c r="FE307" s="134"/>
      <c r="FF307" s="134"/>
      <c r="FG307" s="135"/>
      <c r="FH307" s="135"/>
      <c r="FI307" s="134"/>
      <c r="FJ307" s="134"/>
      <c r="FK307" s="134"/>
      <c r="FL307" s="134"/>
      <c r="FM307" s="134"/>
      <c r="FN307" s="134"/>
      <c r="FO307" s="134"/>
      <c r="FP307" s="134"/>
      <c r="FQ307" s="135"/>
      <c r="FR307" s="135"/>
      <c r="FS307" s="134"/>
      <c r="FT307" s="134"/>
      <c r="FU307" s="134"/>
      <c r="FV307" s="134"/>
      <c r="FW307" s="134"/>
      <c r="FX307" s="134"/>
      <c r="FY307" s="134"/>
      <c r="FZ307" s="134"/>
      <c r="GA307" s="135"/>
      <c r="GB307" s="135"/>
      <c r="GC307" s="134"/>
      <c r="GD307" s="134"/>
      <c r="GE307" s="134"/>
      <c r="GF307" s="134"/>
      <c r="GG307" s="134"/>
      <c r="GH307" s="134"/>
      <c r="GI307" s="134"/>
      <c r="GJ307" s="134"/>
      <c r="GK307" s="135"/>
      <c r="GL307" s="135"/>
      <c r="GM307" s="134"/>
      <c r="GN307" s="134"/>
      <c r="GO307" s="134"/>
      <c r="GP307" s="134"/>
      <c r="GQ307" s="134"/>
      <c r="GR307" s="134"/>
      <c r="GS307" s="134"/>
      <c r="GT307" s="134"/>
      <c r="GU307" s="135"/>
      <c r="GV307" s="135"/>
      <c r="GW307" s="134"/>
      <c r="GX307" s="134"/>
      <c r="GY307" s="134"/>
      <c r="GZ307" s="134"/>
      <c r="HA307" s="134"/>
      <c r="HB307" s="134"/>
      <c r="HC307" s="134"/>
      <c r="HD307" s="134"/>
      <c r="HE307" s="135"/>
      <c r="HF307" s="135"/>
      <c r="HG307" s="134"/>
      <c r="HH307" s="134"/>
      <c r="HI307" s="134"/>
      <c r="HJ307" s="134"/>
      <c r="HK307" s="134"/>
      <c r="HL307" s="134"/>
      <c r="HM307" s="134"/>
      <c r="HN307" s="134"/>
      <c r="HO307" s="135"/>
      <c r="HP307" s="135"/>
      <c r="HQ307" s="134"/>
      <c r="HR307" s="134"/>
      <c r="HS307" s="134"/>
      <c r="HT307" s="134"/>
      <c r="HU307" s="134"/>
      <c r="HV307" s="134"/>
      <c r="HW307" s="134"/>
      <c r="HX307" s="134"/>
      <c r="HY307" s="135"/>
      <c r="HZ307" s="135"/>
      <c r="IA307" s="134"/>
      <c r="IB307" s="134"/>
      <c r="IC307" s="134"/>
      <c r="ID307" s="134"/>
      <c r="IE307" s="134"/>
      <c r="IF307" s="134"/>
      <c r="IG307" s="134"/>
      <c r="IH307" s="134"/>
      <c r="II307" s="135"/>
      <c r="IJ307" s="135"/>
      <c r="IK307" s="134"/>
      <c r="IL307" s="134"/>
      <c r="IM307" s="134"/>
      <c r="IN307" s="134"/>
      <c r="IO307" s="134"/>
      <c r="IP307" s="134"/>
      <c r="IQ307" s="134"/>
      <c r="IR307" s="134"/>
      <c r="IS307" s="135"/>
      <c r="IT307" s="135"/>
      <c r="IU307" s="134"/>
      <c r="IV307" s="134"/>
      <c r="IW307" s="134"/>
      <c r="IX307" s="134"/>
      <c r="IY307" s="134"/>
      <c r="IZ307" s="134"/>
      <c r="JA307" s="134"/>
      <c r="JB307" s="134"/>
      <c r="JC307" s="135"/>
      <c r="JD307" s="135"/>
    </row>
    <row r="308" spans="1:264" customFormat="1" ht="15" customHeight="1">
      <c r="A308" s="321" t="s">
        <v>1001</v>
      </c>
      <c r="B308" s="362">
        <v>37</v>
      </c>
      <c r="C308" s="362"/>
      <c r="D308" s="362"/>
      <c r="E308" s="609" t="s">
        <v>2103</v>
      </c>
      <c r="F308" s="323" t="s">
        <v>2360</v>
      </c>
      <c r="G308" s="324">
        <v>2011</v>
      </c>
      <c r="H308" s="321">
        <v>21377492</v>
      </c>
      <c r="I308" s="321">
        <v>1</v>
      </c>
      <c r="J308" s="321">
        <v>1</v>
      </c>
      <c r="K308" s="321"/>
      <c r="L308" s="321">
        <v>1</v>
      </c>
      <c r="M308" s="321"/>
      <c r="N308" s="321">
        <v>1</v>
      </c>
      <c r="O308" s="325">
        <v>2</v>
      </c>
      <c r="P308" s="321" t="s">
        <v>1303</v>
      </c>
      <c r="Q308" s="321" t="s">
        <v>1212</v>
      </c>
      <c r="R308" s="321" t="s">
        <v>1468</v>
      </c>
      <c r="S308" s="321"/>
      <c r="T308" s="321" t="s">
        <v>1498</v>
      </c>
      <c r="U308" s="321" t="s">
        <v>803</v>
      </c>
      <c r="V308" s="321"/>
      <c r="W308" s="321" t="s">
        <v>1469</v>
      </c>
      <c r="X308" s="321" t="s">
        <v>436</v>
      </c>
      <c r="Y308" s="321"/>
      <c r="Z308" s="321"/>
      <c r="AA308" s="321"/>
      <c r="AB308" s="321"/>
      <c r="AC308" s="574"/>
      <c r="AD308" s="573">
        <v>1</v>
      </c>
      <c r="AE308" s="573">
        <v>2</v>
      </c>
      <c r="AF308" s="154">
        <v>1</v>
      </c>
      <c r="AG308" s="155" t="s">
        <v>3365</v>
      </c>
      <c r="AH308" s="326">
        <v>5</v>
      </c>
      <c r="AI308" s="490"/>
      <c r="AJ308" s="213" t="s">
        <v>3366</v>
      </c>
      <c r="AK308" s="327">
        <v>2</v>
      </c>
      <c r="AL308" s="215">
        <v>0</v>
      </c>
      <c r="AM308" s="134">
        <f>Table668[[#This Row],[Data_Subjects_n_ptsd]]+Table668[[#This Row],[Data_Subjects_n_control]]</f>
        <v>14</v>
      </c>
      <c r="AN308" s="326">
        <v>7</v>
      </c>
      <c r="AO308" s="326">
        <v>7</v>
      </c>
      <c r="AP308" s="326" t="s">
        <v>803</v>
      </c>
      <c r="AQ308" s="326" t="s">
        <v>803</v>
      </c>
      <c r="AR308" s="326" t="s">
        <v>24</v>
      </c>
      <c r="AS308" s="326" t="s">
        <v>24</v>
      </c>
      <c r="AT308" s="326" t="s">
        <v>24</v>
      </c>
      <c r="AU308" s="326" t="s">
        <v>24</v>
      </c>
      <c r="AV308" s="326" t="s">
        <v>3349</v>
      </c>
      <c r="AW308" s="326">
        <v>1</v>
      </c>
      <c r="AX308" s="326" t="s">
        <v>3347</v>
      </c>
      <c r="AY308" s="326" t="s">
        <v>2975</v>
      </c>
      <c r="AZ308" s="326" t="s">
        <v>1468</v>
      </c>
      <c r="BA308" s="326" t="s">
        <v>3279</v>
      </c>
      <c r="BB308" s="601"/>
      <c r="BC308" s="601"/>
      <c r="BD308" s="328">
        <v>1</v>
      </c>
      <c r="BE308" s="328" t="s">
        <v>1917</v>
      </c>
      <c r="BF308" s="328"/>
      <c r="BG308" s="328"/>
      <c r="BH308" s="328"/>
      <c r="BI308" s="328"/>
      <c r="BJ308" s="156" t="s">
        <v>1917</v>
      </c>
      <c r="BK308" s="328"/>
      <c r="BL308" s="328"/>
      <c r="BM308" s="328"/>
      <c r="BN308" s="328"/>
      <c r="BO308" s="328"/>
      <c r="BP308" s="328"/>
      <c r="BQ308" s="602" t="s">
        <v>3359</v>
      </c>
      <c r="BR308" s="157" t="s">
        <v>6607</v>
      </c>
      <c r="BS308" s="660"/>
      <c r="BT308" s="326" t="s">
        <v>1876</v>
      </c>
      <c r="BU308" s="326">
        <v>2</v>
      </c>
      <c r="BV308" s="134" t="s">
        <v>3364</v>
      </c>
      <c r="BW308" s="326" t="s">
        <v>2606</v>
      </c>
      <c r="BX308" s="326" t="s">
        <v>3350</v>
      </c>
      <c r="BY308" s="134" t="s">
        <v>6646</v>
      </c>
      <c r="BZ308" s="259" t="s">
        <v>3394</v>
      </c>
      <c r="CA308" s="454" t="s">
        <v>6627</v>
      </c>
      <c r="CB308" s="427" t="s">
        <v>3376</v>
      </c>
      <c r="CC308" s="326">
        <v>9.2608499999999996</v>
      </c>
      <c r="CD308" s="326" t="s">
        <v>24</v>
      </c>
      <c r="CE308" s="326">
        <f>14.0964-Table668[[#This Row],[Data_Outcome1_M]]</f>
        <v>4.8355499999999996</v>
      </c>
      <c r="CF308" s="427" t="s">
        <v>3383</v>
      </c>
      <c r="CG308" s="326">
        <v>29.993500000000001</v>
      </c>
      <c r="CH308" s="326" t="s">
        <v>24</v>
      </c>
      <c r="CI308" s="326">
        <f>41.848-Table668[[#This Row],[Data_Outcome2_M]]</f>
        <v>11.854499999999998</v>
      </c>
      <c r="CJ308" s="331" t="s">
        <v>3391</v>
      </c>
      <c r="CK308" s="332"/>
      <c r="CL308" s="330"/>
      <c r="CM308" s="326"/>
      <c r="CN308" s="326"/>
      <c r="CO308" s="326"/>
      <c r="CP308" s="330"/>
      <c r="CQ308" s="326"/>
      <c r="CR308" s="326"/>
      <c r="CS308" s="326"/>
      <c r="CT308" s="331"/>
      <c r="CU308" s="332"/>
      <c r="CV308" s="333"/>
      <c r="CW308" s="334"/>
      <c r="CX308" s="330"/>
      <c r="CY308" s="326"/>
      <c r="CZ308" s="326"/>
      <c r="DA308" s="326"/>
      <c r="DB308" s="326"/>
      <c r="DC308" s="326"/>
      <c r="DD308" s="326"/>
      <c r="DE308" s="326"/>
      <c r="DF308" s="335"/>
      <c r="DG308" s="336"/>
      <c r="DH308" s="326"/>
      <c r="DI308" s="326"/>
      <c r="DJ308" s="326"/>
      <c r="DK308" s="326"/>
      <c r="DL308" s="326"/>
      <c r="DM308" s="326"/>
      <c r="DN308" s="326"/>
      <c r="DO308" s="326"/>
      <c r="DP308" s="335"/>
      <c r="DQ308" s="336"/>
      <c r="DR308" s="333"/>
      <c r="DS308" s="337"/>
      <c r="DT308" s="326"/>
      <c r="DU308" s="326"/>
      <c r="DV308" s="326"/>
      <c r="DW308" s="326"/>
      <c r="DX308" s="330"/>
      <c r="DY308" s="326"/>
      <c r="DZ308" s="326"/>
      <c r="EA308" s="326"/>
      <c r="EB308" s="336"/>
      <c r="EC308" s="336"/>
      <c r="ED308" s="330"/>
      <c r="EE308" s="326"/>
      <c r="EF308" s="326"/>
      <c r="EG308" s="326"/>
      <c r="EH308" s="330"/>
      <c r="EI308" s="326"/>
      <c r="EJ308" s="326"/>
      <c r="EK308" s="326"/>
      <c r="EL308" s="336"/>
      <c r="EM308" s="336"/>
      <c r="EN308" s="337"/>
      <c r="EO308" s="326"/>
      <c r="EP308" s="326"/>
      <c r="EQ308" s="326"/>
      <c r="ER308" s="326"/>
      <c r="ES308" s="326"/>
      <c r="ET308" s="326"/>
      <c r="EU308" s="326"/>
      <c r="EV308" s="326"/>
      <c r="EW308" s="336"/>
      <c r="EX308" s="336"/>
      <c r="EY308" s="326"/>
      <c r="EZ308" s="326"/>
      <c r="FA308" s="326"/>
      <c r="FB308" s="326"/>
      <c r="FC308" s="134"/>
      <c r="FD308" s="134"/>
      <c r="FE308" s="134"/>
      <c r="FF308" s="134"/>
      <c r="FG308" s="135"/>
      <c r="FH308" s="135"/>
      <c r="FI308" s="134"/>
      <c r="FJ308" s="134"/>
      <c r="FK308" s="134"/>
      <c r="FL308" s="134"/>
      <c r="FM308" s="134"/>
      <c r="FN308" s="134"/>
      <c r="FO308" s="134"/>
      <c r="FP308" s="134"/>
      <c r="FQ308" s="135"/>
      <c r="FR308" s="135"/>
      <c r="FS308" s="134"/>
      <c r="FT308" s="134"/>
      <c r="FU308" s="134"/>
      <c r="FV308" s="134"/>
      <c r="FW308" s="134"/>
      <c r="FX308" s="134"/>
      <c r="FY308" s="134"/>
      <c r="FZ308" s="134"/>
      <c r="GA308" s="135"/>
      <c r="GB308" s="135"/>
      <c r="GC308" s="134"/>
      <c r="GD308" s="134"/>
      <c r="GE308" s="134"/>
      <c r="GF308" s="134"/>
      <c r="GG308" s="134"/>
      <c r="GH308" s="134"/>
      <c r="GI308" s="134"/>
      <c r="GJ308" s="134"/>
      <c r="GK308" s="135"/>
      <c r="GL308" s="135"/>
      <c r="GM308" s="134"/>
      <c r="GN308" s="134"/>
      <c r="GO308" s="134"/>
      <c r="GP308" s="134"/>
      <c r="GQ308" s="134"/>
      <c r="GR308" s="134"/>
      <c r="GS308" s="134"/>
      <c r="GT308" s="134"/>
      <c r="GU308" s="135"/>
      <c r="GV308" s="135"/>
      <c r="GW308" s="134"/>
      <c r="GX308" s="134"/>
      <c r="GY308" s="134"/>
      <c r="GZ308" s="134"/>
      <c r="HA308" s="134"/>
      <c r="HB308" s="134"/>
      <c r="HC308" s="134"/>
      <c r="HD308" s="134"/>
      <c r="HE308" s="135"/>
      <c r="HF308" s="135"/>
      <c r="HG308" s="134"/>
      <c r="HH308" s="134"/>
      <c r="HI308" s="134"/>
      <c r="HJ308" s="134"/>
      <c r="HK308" s="134"/>
      <c r="HL308" s="134"/>
      <c r="HM308" s="134"/>
      <c r="HN308" s="134"/>
      <c r="HO308" s="135"/>
      <c r="HP308" s="135"/>
      <c r="HQ308" s="134"/>
      <c r="HR308" s="134"/>
      <c r="HS308" s="134"/>
      <c r="HT308" s="134"/>
      <c r="HU308" s="134"/>
      <c r="HV308" s="134"/>
      <c r="HW308" s="134"/>
      <c r="HX308" s="134"/>
      <c r="HY308" s="135"/>
      <c r="HZ308" s="135"/>
      <c r="IA308" s="134"/>
      <c r="IB308" s="134"/>
      <c r="IC308" s="134"/>
      <c r="ID308" s="134"/>
      <c r="IE308" s="134"/>
      <c r="IF308" s="134"/>
      <c r="IG308" s="134"/>
      <c r="IH308" s="134"/>
      <c r="II308" s="135"/>
      <c r="IJ308" s="135"/>
      <c r="IK308" s="134"/>
      <c r="IL308" s="134"/>
      <c r="IM308" s="134"/>
      <c r="IN308" s="134"/>
      <c r="IO308" s="134"/>
      <c r="IP308" s="134"/>
      <c r="IQ308" s="134"/>
      <c r="IR308" s="134"/>
      <c r="IS308" s="135"/>
      <c r="IT308" s="135"/>
      <c r="IU308" s="134"/>
      <c r="IV308" s="134"/>
      <c r="IW308" s="134"/>
      <c r="IX308" s="134"/>
      <c r="IY308" s="134"/>
      <c r="IZ308" s="134"/>
      <c r="JA308" s="134"/>
      <c r="JB308" s="134"/>
      <c r="JC308" s="135"/>
      <c r="JD308" s="135"/>
    </row>
    <row r="309" spans="1:264" customFormat="1" ht="15" customHeight="1">
      <c r="A309" s="321" t="s">
        <v>1001</v>
      </c>
      <c r="B309" s="362">
        <v>37</v>
      </c>
      <c r="C309" s="362"/>
      <c r="D309" s="362"/>
      <c r="E309" s="609" t="s">
        <v>2103</v>
      </c>
      <c r="F309" s="323" t="s">
        <v>2360</v>
      </c>
      <c r="G309" s="324">
        <v>2011</v>
      </c>
      <c r="H309" s="321">
        <v>21377492</v>
      </c>
      <c r="I309" s="321">
        <v>1</v>
      </c>
      <c r="J309" s="321">
        <v>1</v>
      </c>
      <c r="K309" s="321"/>
      <c r="L309" s="321">
        <v>1</v>
      </c>
      <c r="M309" s="321"/>
      <c r="N309" s="321">
        <v>1</v>
      </c>
      <c r="O309" s="325">
        <v>2</v>
      </c>
      <c r="P309" s="321" t="s">
        <v>1303</v>
      </c>
      <c r="Q309" s="321" t="s">
        <v>1212</v>
      </c>
      <c r="R309" s="321" t="s">
        <v>1468</v>
      </c>
      <c r="S309" s="321"/>
      <c r="T309" s="321" t="s">
        <v>1498</v>
      </c>
      <c r="U309" s="321" t="s">
        <v>803</v>
      </c>
      <c r="V309" s="321"/>
      <c r="W309" s="321" t="s">
        <v>1469</v>
      </c>
      <c r="X309" s="321" t="s">
        <v>436</v>
      </c>
      <c r="Y309" s="321"/>
      <c r="Z309" s="321"/>
      <c r="AA309" s="321"/>
      <c r="AB309" s="321"/>
      <c r="AC309" s="574"/>
      <c r="AD309" s="573">
        <v>1</v>
      </c>
      <c r="AE309" s="573">
        <v>2</v>
      </c>
      <c r="AF309" s="154">
        <v>1</v>
      </c>
      <c r="AG309" s="155" t="s">
        <v>3365</v>
      </c>
      <c r="AH309" s="326">
        <v>5</v>
      </c>
      <c r="AI309" s="490"/>
      <c r="AJ309" s="213" t="s">
        <v>3366</v>
      </c>
      <c r="AK309" s="327">
        <v>2</v>
      </c>
      <c r="AL309" s="215">
        <v>0</v>
      </c>
      <c r="AM309" s="134">
        <f>Table668[[#This Row],[Data_Subjects_n_ptsd]]+Table668[[#This Row],[Data_Subjects_n_control]]</f>
        <v>13</v>
      </c>
      <c r="AN309" s="326">
        <v>6</v>
      </c>
      <c r="AO309" s="326">
        <v>7</v>
      </c>
      <c r="AP309" s="326" t="s">
        <v>803</v>
      </c>
      <c r="AQ309" s="326" t="s">
        <v>803</v>
      </c>
      <c r="AR309" s="326" t="s">
        <v>24</v>
      </c>
      <c r="AS309" s="326" t="s">
        <v>24</v>
      </c>
      <c r="AT309" s="326" t="s">
        <v>24</v>
      </c>
      <c r="AU309" s="326" t="s">
        <v>24</v>
      </c>
      <c r="AV309" s="326" t="s">
        <v>3349</v>
      </c>
      <c r="AW309" s="326">
        <v>1</v>
      </c>
      <c r="AX309" s="326" t="s">
        <v>3347</v>
      </c>
      <c r="AY309" s="326" t="s">
        <v>2975</v>
      </c>
      <c r="AZ309" s="326" t="s">
        <v>1468</v>
      </c>
      <c r="BA309" s="326" t="s">
        <v>3279</v>
      </c>
      <c r="BB309" s="601"/>
      <c r="BC309" s="601"/>
      <c r="BD309" s="328">
        <v>1</v>
      </c>
      <c r="BE309" s="328" t="s">
        <v>1917</v>
      </c>
      <c r="BF309" s="328"/>
      <c r="BG309" s="328"/>
      <c r="BH309" s="328"/>
      <c r="BI309" s="328"/>
      <c r="BJ309" s="156" t="s">
        <v>1917</v>
      </c>
      <c r="BK309" s="328"/>
      <c r="BL309" s="328"/>
      <c r="BM309" s="328"/>
      <c r="BN309" s="328"/>
      <c r="BO309" s="328"/>
      <c r="BP309" s="328"/>
      <c r="BQ309" s="602" t="s">
        <v>3360</v>
      </c>
      <c r="BR309" s="157" t="s">
        <v>6607</v>
      </c>
      <c r="BS309" s="660"/>
      <c r="BT309" s="326" t="s">
        <v>1876</v>
      </c>
      <c r="BU309" s="326">
        <v>2</v>
      </c>
      <c r="BV309" s="424" t="s">
        <v>3354</v>
      </c>
      <c r="BW309" s="326" t="s">
        <v>2606</v>
      </c>
      <c r="BX309" s="326" t="s">
        <v>3350</v>
      </c>
      <c r="BY309" s="134" t="s">
        <v>6646</v>
      </c>
      <c r="BZ309" s="259" t="s">
        <v>3394</v>
      </c>
      <c r="CA309" s="454" t="s">
        <v>6627</v>
      </c>
      <c r="CB309" s="138" t="s">
        <v>3371</v>
      </c>
      <c r="CC309" s="326">
        <v>0.761154</v>
      </c>
      <c r="CD309" s="326" t="s">
        <v>24</v>
      </c>
      <c r="CE309" s="326">
        <f>1.38429-Table668[[#This Row],[Data_Outcome1_M]]</f>
        <v>0.62313600000000002</v>
      </c>
      <c r="CF309" s="138" t="s">
        <v>3384</v>
      </c>
      <c r="CG309" s="326">
        <v>85.264700000000005</v>
      </c>
      <c r="CH309" s="326" t="s">
        <v>24</v>
      </c>
      <c r="CI309" s="326">
        <f>105.629-Table668[[#This Row],[Data_Outcome2_M]]</f>
        <v>20.3643</v>
      </c>
      <c r="CJ309" s="341" t="s">
        <v>3386</v>
      </c>
      <c r="CK309" s="332" t="s">
        <v>3060</v>
      </c>
      <c r="CL309" s="330"/>
      <c r="CM309" s="326"/>
      <c r="CN309" s="326"/>
      <c r="CO309" s="326"/>
      <c r="CP309" s="330"/>
      <c r="CQ309" s="326"/>
      <c r="CR309" s="326"/>
      <c r="CS309" s="326"/>
      <c r="CT309" s="331"/>
      <c r="CU309" s="332"/>
      <c r="CV309" s="333"/>
      <c r="CW309" s="334"/>
      <c r="CX309" s="330"/>
      <c r="CY309" s="326"/>
      <c r="CZ309" s="326"/>
      <c r="DA309" s="326"/>
      <c r="DB309" s="326"/>
      <c r="DC309" s="326"/>
      <c r="DD309" s="326"/>
      <c r="DE309" s="326"/>
      <c r="DF309" s="335"/>
      <c r="DG309" s="336"/>
      <c r="DH309" s="326"/>
      <c r="DI309" s="326"/>
      <c r="DJ309" s="326"/>
      <c r="DK309" s="326"/>
      <c r="DL309" s="326"/>
      <c r="DM309" s="326"/>
      <c r="DN309" s="326"/>
      <c r="DO309" s="326"/>
      <c r="DP309" s="335"/>
      <c r="DQ309" s="336"/>
      <c r="DR309" s="333"/>
      <c r="DS309" s="337"/>
      <c r="DT309" s="326"/>
      <c r="DU309" s="326"/>
      <c r="DV309" s="326"/>
      <c r="DW309" s="326"/>
      <c r="DX309" s="330"/>
      <c r="DY309" s="326"/>
      <c r="DZ309" s="326"/>
      <c r="EA309" s="326"/>
      <c r="EB309" s="336"/>
      <c r="EC309" s="336"/>
      <c r="ED309" s="330"/>
      <c r="EE309" s="326"/>
      <c r="EF309" s="326"/>
      <c r="EG309" s="326"/>
      <c r="EH309" s="330"/>
      <c r="EI309" s="326"/>
      <c r="EJ309" s="326"/>
      <c r="EK309" s="326"/>
      <c r="EL309" s="336"/>
      <c r="EM309" s="336"/>
      <c r="EN309" s="337"/>
      <c r="EO309" s="326"/>
      <c r="EP309" s="326"/>
      <c r="EQ309" s="326"/>
      <c r="ER309" s="326"/>
      <c r="ES309" s="326"/>
      <c r="ET309" s="326"/>
      <c r="EU309" s="326"/>
      <c r="EV309" s="326"/>
      <c r="EW309" s="336"/>
      <c r="EX309" s="336"/>
      <c r="EY309" s="326"/>
      <c r="EZ309" s="326"/>
      <c r="FA309" s="326"/>
      <c r="FB309" s="326"/>
      <c r="FC309" s="134"/>
      <c r="FD309" s="134"/>
      <c r="FE309" s="134"/>
      <c r="FF309" s="134"/>
      <c r="FG309" s="135"/>
      <c r="FH309" s="135"/>
      <c r="FI309" s="134"/>
      <c r="FJ309" s="134"/>
      <c r="FK309" s="134"/>
      <c r="FL309" s="134"/>
      <c r="FM309" s="134"/>
      <c r="FN309" s="134"/>
      <c r="FO309" s="134"/>
      <c r="FP309" s="134"/>
      <c r="FQ309" s="135"/>
      <c r="FR309" s="135"/>
      <c r="FS309" s="134"/>
      <c r="FT309" s="134"/>
      <c r="FU309" s="134"/>
      <c r="FV309" s="134"/>
      <c r="FW309" s="134"/>
      <c r="FX309" s="134"/>
      <c r="FY309" s="134"/>
      <c r="FZ309" s="134"/>
      <c r="GA309" s="135"/>
      <c r="GB309" s="135"/>
      <c r="GC309" s="134"/>
      <c r="GD309" s="134"/>
      <c r="GE309" s="134"/>
      <c r="GF309" s="134"/>
      <c r="GG309" s="134"/>
      <c r="GH309" s="134"/>
      <c r="GI309" s="134"/>
      <c r="GJ309" s="134"/>
      <c r="GK309" s="135"/>
      <c r="GL309" s="135"/>
      <c r="GM309" s="134"/>
      <c r="GN309" s="134"/>
      <c r="GO309" s="134"/>
      <c r="GP309" s="134"/>
      <c r="GQ309" s="134"/>
      <c r="GR309" s="134"/>
      <c r="GS309" s="134"/>
      <c r="GT309" s="134"/>
      <c r="GU309" s="135"/>
      <c r="GV309" s="135"/>
      <c r="GW309" s="134"/>
      <c r="GX309" s="134"/>
      <c r="GY309" s="134"/>
      <c r="GZ309" s="134"/>
      <c r="HA309" s="134"/>
      <c r="HB309" s="134"/>
      <c r="HC309" s="134"/>
      <c r="HD309" s="134"/>
      <c r="HE309" s="135"/>
      <c r="HF309" s="135"/>
      <c r="HG309" s="134"/>
      <c r="HH309" s="134"/>
      <c r="HI309" s="134"/>
      <c r="HJ309" s="134"/>
      <c r="HK309" s="134"/>
      <c r="HL309" s="134"/>
      <c r="HM309" s="134"/>
      <c r="HN309" s="134"/>
      <c r="HO309" s="135"/>
      <c r="HP309" s="135"/>
      <c r="HQ309" s="134"/>
      <c r="HR309" s="134"/>
      <c r="HS309" s="134"/>
      <c r="HT309" s="134"/>
      <c r="HU309" s="134"/>
      <c r="HV309" s="134"/>
      <c r="HW309" s="134"/>
      <c r="HX309" s="134"/>
      <c r="HY309" s="135"/>
      <c r="HZ309" s="135"/>
      <c r="IA309" s="134"/>
      <c r="IB309" s="134"/>
      <c r="IC309" s="134"/>
      <c r="ID309" s="134"/>
      <c r="IE309" s="134"/>
      <c r="IF309" s="134"/>
      <c r="IG309" s="134"/>
      <c r="IH309" s="134"/>
      <c r="II309" s="135"/>
      <c r="IJ309" s="135"/>
      <c r="IK309" s="134"/>
      <c r="IL309" s="134"/>
      <c r="IM309" s="134"/>
      <c r="IN309" s="134"/>
      <c r="IO309" s="134"/>
      <c r="IP309" s="134"/>
      <c r="IQ309" s="134"/>
      <c r="IR309" s="134"/>
      <c r="IS309" s="135"/>
      <c r="IT309" s="135"/>
      <c r="IU309" s="134"/>
      <c r="IV309" s="134"/>
      <c r="IW309" s="134"/>
      <c r="IX309" s="134"/>
      <c r="IY309" s="134"/>
      <c r="IZ309" s="134"/>
      <c r="JA309" s="134"/>
      <c r="JB309" s="134"/>
      <c r="JC309" s="135"/>
      <c r="JD309" s="135"/>
    </row>
    <row r="310" spans="1:264" customFormat="1" ht="15" customHeight="1">
      <c r="A310" s="321" t="s">
        <v>1001</v>
      </c>
      <c r="B310" s="362">
        <v>37</v>
      </c>
      <c r="C310" s="362"/>
      <c r="D310" s="362"/>
      <c r="E310" s="609" t="s">
        <v>2103</v>
      </c>
      <c r="F310" s="323" t="s">
        <v>2360</v>
      </c>
      <c r="G310" s="324">
        <v>2011</v>
      </c>
      <c r="H310" s="321">
        <v>21377492</v>
      </c>
      <c r="I310" s="321">
        <v>1</v>
      </c>
      <c r="J310" s="321">
        <v>1</v>
      </c>
      <c r="K310" s="321"/>
      <c r="L310" s="321">
        <v>1</v>
      </c>
      <c r="M310" s="321"/>
      <c r="N310" s="321">
        <v>1</v>
      </c>
      <c r="O310" s="325">
        <v>2</v>
      </c>
      <c r="P310" s="321" t="s">
        <v>1303</v>
      </c>
      <c r="Q310" s="321" t="s">
        <v>1212</v>
      </c>
      <c r="R310" s="321" t="s">
        <v>1468</v>
      </c>
      <c r="S310" s="321"/>
      <c r="T310" s="321" t="s">
        <v>1498</v>
      </c>
      <c r="U310" s="321" t="s">
        <v>803</v>
      </c>
      <c r="V310" s="321"/>
      <c r="W310" s="321" t="s">
        <v>1469</v>
      </c>
      <c r="X310" s="321" t="s">
        <v>436</v>
      </c>
      <c r="Y310" s="321"/>
      <c r="Z310" s="321"/>
      <c r="AA310" s="321"/>
      <c r="AB310" s="321"/>
      <c r="AC310" s="574"/>
      <c r="AD310" s="573">
        <v>1</v>
      </c>
      <c r="AE310" s="573">
        <v>2</v>
      </c>
      <c r="AF310" s="154">
        <v>1</v>
      </c>
      <c r="AG310" s="155" t="s">
        <v>3365</v>
      </c>
      <c r="AH310" s="326">
        <v>5</v>
      </c>
      <c r="AI310" s="490"/>
      <c r="AJ310" s="213" t="s">
        <v>3366</v>
      </c>
      <c r="AK310" s="327">
        <v>2</v>
      </c>
      <c r="AL310" s="215">
        <v>0</v>
      </c>
      <c r="AM310" s="134">
        <f>Table668[[#This Row],[Data_Subjects_n_ptsd]]+Table668[[#This Row],[Data_Subjects_n_control]]</f>
        <v>14</v>
      </c>
      <c r="AN310" s="326">
        <v>7</v>
      </c>
      <c r="AO310" s="326">
        <v>7</v>
      </c>
      <c r="AP310" s="326" t="s">
        <v>803</v>
      </c>
      <c r="AQ310" s="326" t="s">
        <v>803</v>
      </c>
      <c r="AR310" s="326" t="s">
        <v>24</v>
      </c>
      <c r="AS310" s="326" t="s">
        <v>24</v>
      </c>
      <c r="AT310" s="326" t="s">
        <v>24</v>
      </c>
      <c r="AU310" s="326" t="s">
        <v>24</v>
      </c>
      <c r="AV310" s="326" t="s">
        <v>3349</v>
      </c>
      <c r="AW310" s="326">
        <v>1</v>
      </c>
      <c r="AX310" s="326" t="s">
        <v>3347</v>
      </c>
      <c r="AY310" s="326" t="s">
        <v>2975</v>
      </c>
      <c r="AZ310" s="326" t="s">
        <v>1468</v>
      </c>
      <c r="BA310" s="326" t="s">
        <v>3279</v>
      </c>
      <c r="BB310" s="601"/>
      <c r="BC310" s="601"/>
      <c r="BD310" s="328">
        <v>1</v>
      </c>
      <c r="BE310" s="328" t="s">
        <v>1917</v>
      </c>
      <c r="BF310" s="328"/>
      <c r="BG310" s="328"/>
      <c r="BH310" s="328"/>
      <c r="BI310" s="328"/>
      <c r="BJ310" s="156" t="s">
        <v>1917</v>
      </c>
      <c r="BK310" s="328"/>
      <c r="BL310" s="328"/>
      <c r="BM310" s="328"/>
      <c r="BN310" s="328"/>
      <c r="BO310" s="328"/>
      <c r="BP310" s="328"/>
      <c r="BQ310" s="602" t="s">
        <v>3360</v>
      </c>
      <c r="BR310" s="157" t="s">
        <v>6607</v>
      </c>
      <c r="BS310" s="660"/>
      <c r="BT310" s="326" t="s">
        <v>1876</v>
      </c>
      <c r="BU310" s="326">
        <v>2</v>
      </c>
      <c r="BV310" s="424" t="s">
        <v>3367</v>
      </c>
      <c r="BW310" s="326" t="s">
        <v>2606</v>
      </c>
      <c r="BX310" s="326" t="s">
        <v>3350</v>
      </c>
      <c r="BY310" s="134" t="s">
        <v>6646</v>
      </c>
      <c r="BZ310" s="259" t="s">
        <v>3394</v>
      </c>
      <c r="CA310" s="454" t="s">
        <v>6627</v>
      </c>
      <c r="CB310" s="427" t="s">
        <v>3377</v>
      </c>
      <c r="CC310" s="326">
        <v>3.5308299999999999</v>
      </c>
      <c r="CD310" s="326" t="s">
        <v>24</v>
      </c>
      <c r="CE310" s="326">
        <f>5.87052-Table668[[#This Row],[Data_Outcome1_M]]</f>
        <v>2.33969</v>
      </c>
      <c r="CF310" s="427" t="s">
        <v>3385</v>
      </c>
      <c r="CG310" s="326">
        <v>43.761200000000002</v>
      </c>
      <c r="CH310" s="326" t="s">
        <v>24</v>
      </c>
      <c r="CI310" s="326">
        <f>61.2309-Table668[[#This Row],[Data_Outcome2_M]]</f>
        <v>17.469699999999996</v>
      </c>
      <c r="CJ310" s="341" t="s">
        <v>3386</v>
      </c>
      <c r="CK310" s="332" t="s">
        <v>2588</v>
      </c>
      <c r="CL310" s="330"/>
      <c r="CM310" s="326"/>
      <c r="CN310" s="326"/>
      <c r="CO310" s="326"/>
      <c r="CP310" s="330"/>
      <c r="CQ310" s="326"/>
      <c r="CR310" s="326"/>
      <c r="CS310" s="326"/>
      <c r="CT310" s="331"/>
      <c r="CU310" s="332"/>
      <c r="CV310" s="333"/>
      <c r="CW310" s="334"/>
      <c r="CX310" s="330"/>
      <c r="CY310" s="326"/>
      <c r="CZ310" s="326"/>
      <c r="DA310" s="326"/>
      <c r="DB310" s="326"/>
      <c r="DC310" s="326"/>
      <c r="DD310" s="326"/>
      <c r="DE310" s="326"/>
      <c r="DF310" s="335"/>
      <c r="DG310" s="336"/>
      <c r="DH310" s="326"/>
      <c r="DI310" s="326"/>
      <c r="DJ310" s="326"/>
      <c r="DK310" s="326"/>
      <c r="DL310" s="326"/>
      <c r="DM310" s="326"/>
      <c r="DN310" s="326"/>
      <c r="DO310" s="326"/>
      <c r="DP310" s="335"/>
      <c r="DQ310" s="336"/>
      <c r="DR310" s="333"/>
      <c r="DS310" s="337"/>
      <c r="DT310" s="326"/>
      <c r="DU310" s="326"/>
      <c r="DV310" s="326"/>
      <c r="DW310" s="326"/>
      <c r="DX310" s="330"/>
      <c r="DY310" s="326"/>
      <c r="DZ310" s="326"/>
      <c r="EA310" s="326"/>
      <c r="EB310" s="336"/>
      <c r="EC310" s="336"/>
      <c r="ED310" s="330"/>
      <c r="EE310" s="326"/>
      <c r="EF310" s="326"/>
      <c r="EG310" s="326"/>
      <c r="EH310" s="330"/>
      <c r="EI310" s="326"/>
      <c r="EJ310" s="326"/>
      <c r="EK310" s="326"/>
      <c r="EL310" s="336"/>
      <c r="EM310" s="336"/>
      <c r="EN310" s="337"/>
      <c r="EO310" s="326"/>
      <c r="EP310" s="326"/>
      <c r="EQ310" s="326"/>
      <c r="ER310" s="326"/>
      <c r="ES310" s="326"/>
      <c r="ET310" s="326"/>
      <c r="EU310" s="326"/>
      <c r="EV310" s="326"/>
      <c r="EW310" s="336"/>
      <c r="EX310" s="336"/>
      <c r="EY310" s="326"/>
      <c r="EZ310" s="326"/>
      <c r="FA310" s="326"/>
      <c r="FB310" s="326"/>
      <c r="FC310" s="134"/>
      <c r="FD310" s="134"/>
      <c r="FE310" s="134"/>
      <c r="FF310" s="134"/>
      <c r="FG310" s="135"/>
      <c r="FH310" s="135"/>
      <c r="FI310" s="134"/>
      <c r="FJ310" s="134"/>
      <c r="FK310" s="134"/>
      <c r="FL310" s="134"/>
      <c r="FM310" s="134"/>
      <c r="FN310" s="134"/>
      <c r="FO310" s="134"/>
      <c r="FP310" s="134"/>
      <c r="FQ310" s="135"/>
      <c r="FR310" s="135"/>
      <c r="FS310" s="134"/>
      <c r="FT310" s="134"/>
      <c r="FU310" s="134"/>
      <c r="FV310" s="134"/>
      <c r="FW310" s="134"/>
      <c r="FX310" s="134"/>
      <c r="FY310" s="134"/>
      <c r="FZ310" s="134"/>
      <c r="GA310" s="135"/>
      <c r="GB310" s="135"/>
      <c r="GC310" s="134"/>
      <c r="GD310" s="134"/>
      <c r="GE310" s="134"/>
      <c r="GF310" s="134"/>
      <c r="GG310" s="134"/>
      <c r="GH310" s="134"/>
      <c r="GI310" s="134"/>
      <c r="GJ310" s="134"/>
      <c r="GK310" s="135"/>
      <c r="GL310" s="135"/>
      <c r="GM310" s="134"/>
      <c r="GN310" s="134"/>
      <c r="GO310" s="134"/>
      <c r="GP310" s="134"/>
      <c r="GQ310" s="134"/>
      <c r="GR310" s="134"/>
      <c r="GS310" s="134"/>
      <c r="GT310" s="134"/>
      <c r="GU310" s="135"/>
      <c r="GV310" s="135"/>
      <c r="GW310" s="134"/>
      <c r="GX310" s="134"/>
      <c r="GY310" s="134"/>
      <c r="GZ310" s="134"/>
      <c r="HA310" s="134"/>
      <c r="HB310" s="134"/>
      <c r="HC310" s="134"/>
      <c r="HD310" s="134"/>
      <c r="HE310" s="135"/>
      <c r="HF310" s="135"/>
      <c r="HG310" s="134"/>
      <c r="HH310" s="134"/>
      <c r="HI310" s="134"/>
      <c r="HJ310" s="134"/>
      <c r="HK310" s="134"/>
      <c r="HL310" s="134"/>
      <c r="HM310" s="134"/>
      <c r="HN310" s="134"/>
      <c r="HO310" s="135"/>
      <c r="HP310" s="135"/>
      <c r="HQ310" s="134"/>
      <c r="HR310" s="134"/>
      <c r="HS310" s="134"/>
      <c r="HT310" s="134"/>
      <c r="HU310" s="134"/>
      <c r="HV310" s="134"/>
      <c r="HW310" s="134"/>
      <c r="HX310" s="134"/>
      <c r="HY310" s="135"/>
      <c r="HZ310" s="135"/>
      <c r="IA310" s="134"/>
      <c r="IB310" s="134"/>
      <c r="IC310" s="134"/>
      <c r="ID310" s="134"/>
      <c r="IE310" s="134"/>
      <c r="IF310" s="134"/>
      <c r="IG310" s="134"/>
      <c r="IH310" s="134"/>
      <c r="II310" s="135"/>
      <c r="IJ310" s="135"/>
      <c r="IK310" s="134"/>
      <c r="IL310" s="134"/>
      <c r="IM310" s="134"/>
      <c r="IN310" s="134"/>
      <c r="IO310" s="134"/>
      <c r="IP310" s="134"/>
      <c r="IQ310" s="134"/>
      <c r="IR310" s="134"/>
      <c r="IS310" s="135"/>
      <c r="IT310" s="135"/>
      <c r="IU310" s="134"/>
      <c r="IV310" s="134"/>
      <c r="IW310" s="134"/>
      <c r="IX310" s="134"/>
      <c r="IY310" s="134"/>
      <c r="IZ310" s="134"/>
      <c r="JA310" s="134"/>
      <c r="JB310" s="134"/>
      <c r="JC310" s="135"/>
      <c r="JD310" s="135"/>
    </row>
    <row r="311" spans="1:264" customFormat="1" ht="15" customHeight="1">
      <c r="A311" s="321" t="s">
        <v>1001</v>
      </c>
      <c r="B311" s="362">
        <v>37</v>
      </c>
      <c r="C311" s="362"/>
      <c r="D311" s="362"/>
      <c r="E311" s="609" t="s">
        <v>2103</v>
      </c>
      <c r="F311" s="323" t="s">
        <v>2360</v>
      </c>
      <c r="G311" s="324">
        <v>2011</v>
      </c>
      <c r="H311" s="321">
        <v>21377492</v>
      </c>
      <c r="I311" s="321">
        <v>1</v>
      </c>
      <c r="J311" s="321">
        <v>1</v>
      </c>
      <c r="K311" s="321"/>
      <c r="L311" s="321">
        <v>1</v>
      </c>
      <c r="M311" s="321"/>
      <c r="N311" s="321">
        <v>1</v>
      </c>
      <c r="O311" s="325">
        <v>2</v>
      </c>
      <c r="P311" s="321" t="s">
        <v>1303</v>
      </c>
      <c r="Q311" s="321" t="s">
        <v>1212</v>
      </c>
      <c r="R311" s="321" t="s">
        <v>1468</v>
      </c>
      <c r="S311" s="321"/>
      <c r="T311" s="321" t="s">
        <v>1498</v>
      </c>
      <c r="U311" s="321" t="s">
        <v>803</v>
      </c>
      <c r="V311" s="321"/>
      <c r="W311" s="321" t="s">
        <v>1469</v>
      </c>
      <c r="X311" s="321" t="s">
        <v>436</v>
      </c>
      <c r="Y311" s="321"/>
      <c r="Z311" s="321"/>
      <c r="AA311" s="321"/>
      <c r="AB311" s="321"/>
      <c r="AC311" s="574"/>
      <c r="AD311" s="573">
        <v>1</v>
      </c>
      <c r="AE311" s="573">
        <v>2</v>
      </c>
      <c r="AF311" s="154">
        <v>1</v>
      </c>
      <c r="AG311" s="155" t="s">
        <v>3365</v>
      </c>
      <c r="AH311" s="326">
        <v>5</v>
      </c>
      <c r="AI311" s="490"/>
      <c r="AJ311" s="213" t="s">
        <v>3366</v>
      </c>
      <c r="AK311" s="327">
        <v>2</v>
      </c>
      <c r="AL311" s="215">
        <v>0</v>
      </c>
      <c r="AM311" s="134">
        <f>Table668[[#This Row],[Data_Subjects_n_ptsd]]+Table668[[#This Row],[Data_Subjects_n_control]]</f>
        <v>18</v>
      </c>
      <c r="AN311" s="326">
        <v>9</v>
      </c>
      <c r="AO311" s="326">
        <v>9</v>
      </c>
      <c r="AP311" s="326" t="s">
        <v>803</v>
      </c>
      <c r="AQ311" s="326" t="s">
        <v>803</v>
      </c>
      <c r="AR311" s="326" t="s">
        <v>24</v>
      </c>
      <c r="AS311" s="326" t="s">
        <v>24</v>
      </c>
      <c r="AT311" s="326" t="s">
        <v>24</v>
      </c>
      <c r="AU311" s="326" t="s">
        <v>24</v>
      </c>
      <c r="AV311" s="326" t="s">
        <v>3349</v>
      </c>
      <c r="AW311" s="326">
        <v>1</v>
      </c>
      <c r="AX311" s="326" t="s">
        <v>3347</v>
      </c>
      <c r="AY311" s="326" t="s">
        <v>2975</v>
      </c>
      <c r="AZ311" s="326" t="s">
        <v>1468</v>
      </c>
      <c r="BA311" s="326" t="s">
        <v>3279</v>
      </c>
      <c r="BB311" s="601"/>
      <c r="BC311" s="601"/>
      <c r="BD311" s="328">
        <v>1</v>
      </c>
      <c r="BE311" s="328" t="s">
        <v>1917</v>
      </c>
      <c r="BF311" s="328"/>
      <c r="BG311" s="328"/>
      <c r="BH311" s="328"/>
      <c r="BI311" s="328"/>
      <c r="BJ311" s="156" t="s">
        <v>1917</v>
      </c>
      <c r="BK311" s="328"/>
      <c r="BL311" s="328"/>
      <c r="BM311" s="328"/>
      <c r="BN311" s="328"/>
      <c r="BO311" s="328"/>
      <c r="BP311" s="328"/>
      <c r="BQ311" s="602" t="s">
        <v>3361</v>
      </c>
      <c r="BR311" s="157" t="s">
        <v>6607</v>
      </c>
      <c r="BS311" s="660"/>
      <c r="BT311" s="326" t="s">
        <v>1876</v>
      </c>
      <c r="BU311" s="326">
        <v>2</v>
      </c>
      <c r="BV311" s="424" t="s">
        <v>3355</v>
      </c>
      <c r="BW311" s="326" t="s">
        <v>2606</v>
      </c>
      <c r="BX311" s="326" t="s">
        <v>3350</v>
      </c>
      <c r="BY311" s="134" t="s">
        <v>6646</v>
      </c>
      <c r="BZ311" s="259" t="s">
        <v>3394</v>
      </c>
      <c r="CA311" s="454" t="s">
        <v>6627</v>
      </c>
      <c r="CB311" s="138" t="s">
        <v>3392</v>
      </c>
      <c r="CC311" s="326">
        <v>2.9942799999999998</v>
      </c>
      <c r="CD311" s="326" t="s">
        <v>24</v>
      </c>
      <c r="CE311" s="326">
        <f>4.55273-Table668[[#This Row],[Data_Outcome1_M]]</f>
        <v>1.5584500000000006</v>
      </c>
      <c r="CF311" s="138" t="s">
        <v>3388</v>
      </c>
      <c r="CG311" s="326">
        <v>36.018099999999997</v>
      </c>
      <c r="CH311" s="326" t="s">
        <v>24</v>
      </c>
      <c r="CI311" s="326">
        <f>45.0564-Table668[[#This Row],[Data_Outcome2_M]]</f>
        <v>9.0382999999999996</v>
      </c>
      <c r="CJ311" s="341" t="s">
        <v>3386</v>
      </c>
      <c r="CK311" s="332" t="s">
        <v>3060</v>
      </c>
      <c r="CL311" s="330"/>
      <c r="CM311" s="326"/>
      <c r="CN311" s="326"/>
      <c r="CO311" s="326"/>
      <c r="CP311" s="330"/>
      <c r="CQ311" s="326"/>
      <c r="CR311" s="326"/>
      <c r="CS311" s="326"/>
      <c r="CT311" s="331"/>
      <c r="CU311" s="332"/>
      <c r="CV311" s="333"/>
      <c r="CW311" s="334"/>
      <c r="CX311" s="330"/>
      <c r="CY311" s="326"/>
      <c r="CZ311" s="326"/>
      <c r="DA311" s="326"/>
      <c r="DB311" s="326"/>
      <c r="DC311" s="326"/>
      <c r="DD311" s="326"/>
      <c r="DE311" s="326"/>
      <c r="DF311" s="335"/>
      <c r="DG311" s="336"/>
      <c r="DH311" s="326"/>
      <c r="DI311" s="326"/>
      <c r="DJ311" s="326"/>
      <c r="DK311" s="326"/>
      <c r="DL311" s="326"/>
      <c r="DM311" s="326"/>
      <c r="DN311" s="326"/>
      <c r="DO311" s="326"/>
      <c r="DP311" s="335"/>
      <c r="DQ311" s="336"/>
      <c r="DR311" s="333"/>
      <c r="DS311" s="337"/>
      <c r="DT311" s="326"/>
      <c r="DU311" s="326"/>
      <c r="DV311" s="326"/>
      <c r="DW311" s="326"/>
      <c r="DX311" s="330"/>
      <c r="DY311" s="326"/>
      <c r="DZ311" s="326"/>
      <c r="EA311" s="326"/>
      <c r="EB311" s="336"/>
      <c r="EC311" s="336"/>
      <c r="ED311" s="330"/>
      <c r="EE311" s="326"/>
      <c r="EF311" s="326"/>
      <c r="EG311" s="326"/>
      <c r="EH311" s="330"/>
      <c r="EI311" s="326"/>
      <c r="EJ311" s="326"/>
      <c r="EK311" s="326"/>
      <c r="EL311" s="336"/>
      <c r="EM311" s="336"/>
      <c r="EN311" s="337"/>
      <c r="EO311" s="326"/>
      <c r="EP311" s="326"/>
      <c r="EQ311" s="326"/>
      <c r="ER311" s="326"/>
      <c r="ES311" s="326"/>
      <c r="ET311" s="326"/>
      <c r="EU311" s="326"/>
      <c r="EV311" s="326"/>
      <c r="EW311" s="336"/>
      <c r="EX311" s="336"/>
      <c r="EY311" s="326"/>
      <c r="EZ311" s="326"/>
      <c r="FA311" s="326"/>
      <c r="FB311" s="326"/>
      <c r="FC311" s="134"/>
      <c r="FD311" s="134"/>
      <c r="FE311" s="134"/>
      <c r="FF311" s="134"/>
      <c r="FG311" s="135"/>
      <c r="FH311" s="135"/>
      <c r="FI311" s="134"/>
      <c r="FJ311" s="134"/>
      <c r="FK311" s="134"/>
      <c r="FL311" s="134"/>
      <c r="FM311" s="134"/>
      <c r="FN311" s="134"/>
      <c r="FO311" s="134"/>
      <c r="FP311" s="134"/>
      <c r="FQ311" s="135"/>
      <c r="FR311" s="135"/>
      <c r="FS311" s="134"/>
      <c r="FT311" s="134"/>
      <c r="FU311" s="134"/>
      <c r="FV311" s="134"/>
      <c r="FW311" s="134"/>
      <c r="FX311" s="134"/>
      <c r="FY311" s="134"/>
      <c r="FZ311" s="134"/>
      <c r="GA311" s="135"/>
      <c r="GB311" s="135"/>
      <c r="GC311" s="134"/>
      <c r="GD311" s="134"/>
      <c r="GE311" s="134"/>
      <c r="GF311" s="134"/>
      <c r="GG311" s="134"/>
      <c r="GH311" s="134"/>
      <c r="GI311" s="134"/>
      <c r="GJ311" s="134"/>
      <c r="GK311" s="135"/>
      <c r="GL311" s="135"/>
      <c r="GM311" s="134"/>
      <c r="GN311" s="134"/>
      <c r="GO311" s="134"/>
      <c r="GP311" s="134"/>
      <c r="GQ311" s="134"/>
      <c r="GR311" s="134"/>
      <c r="GS311" s="134"/>
      <c r="GT311" s="134"/>
      <c r="GU311" s="135"/>
      <c r="GV311" s="135"/>
      <c r="GW311" s="134"/>
      <c r="GX311" s="134"/>
      <c r="GY311" s="134"/>
      <c r="GZ311" s="134"/>
      <c r="HA311" s="134"/>
      <c r="HB311" s="134"/>
      <c r="HC311" s="134"/>
      <c r="HD311" s="134"/>
      <c r="HE311" s="135"/>
      <c r="HF311" s="135"/>
      <c r="HG311" s="134"/>
      <c r="HH311" s="134"/>
      <c r="HI311" s="134"/>
      <c r="HJ311" s="134"/>
      <c r="HK311" s="134"/>
      <c r="HL311" s="134"/>
      <c r="HM311" s="134"/>
      <c r="HN311" s="134"/>
      <c r="HO311" s="135"/>
      <c r="HP311" s="135"/>
      <c r="HQ311" s="134"/>
      <c r="HR311" s="134"/>
      <c r="HS311" s="134"/>
      <c r="HT311" s="134"/>
      <c r="HU311" s="134"/>
      <c r="HV311" s="134"/>
      <c r="HW311" s="134"/>
      <c r="HX311" s="134"/>
      <c r="HY311" s="135"/>
      <c r="HZ311" s="135"/>
      <c r="IA311" s="134"/>
      <c r="IB311" s="134"/>
      <c r="IC311" s="134"/>
      <c r="ID311" s="134"/>
      <c r="IE311" s="134"/>
      <c r="IF311" s="134"/>
      <c r="IG311" s="134"/>
      <c r="IH311" s="134"/>
      <c r="II311" s="135"/>
      <c r="IJ311" s="135"/>
      <c r="IK311" s="134"/>
      <c r="IL311" s="134"/>
      <c r="IM311" s="134"/>
      <c r="IN311" s="134"/>
      <c r="IO311" s="134"/>
      <c r="IP311" s="134"/>
      <c r="IQ311" s="134"/>
      <c r="IR311" s="134"/>
      <c r="IS311" s="135"/>
      <c r="IT311" s="135"/>
      <c r="IU311" s="134"/>
      <c r="IV311" s="134"/>
      <c r="IW311" s="134"/>
      <c r="IX311" s="134"/>
      <c r="IY311" s="134"/>
      <c r="IZ311" s="134"/>
      <c r="JA311" s="134"/>
      <c r="JB311" s="134"/>
      <c r="JC311" s="135"/>
      <c r="JD311" s="135"/>
    </row>
    <row r="312" spans="1:264" customFormat="1" ht="15" customHeight="1">
      <c r="A312" s="321" t="s">
        <v>1001</v>
      </c>
      <c r="B312" s="362">
        <v>37</v>
      </c>
      <c r="C312" s="362"/>
      <c r="D312" s="362"/>
      <c r="E312" s="609" t="s">
        <v>2103</v>
      </c>
      <c r="F312" s="323" t="s">
        <v>2360</v>
      </c>
      <c r="G312" s="324">
        <v>2011</v>
      </c>
      <c r="H312" s="321">
        <v>21377492</v>
      </c>
      <c r="I312" s="321">
        <v>1</v>
      </c>
      <c r="J312" s="321">
        <v>1</v>
      </c>
      <c r="K312" s="321"/>
      <c r="L312" s="321">
        <v>1</v>
      </c>
      <c r="M312" s="321"/>
      <c r="N312" s="321">
        <v>1</v>
      </c>
      <c r="O312" s="325">
        <v>2</v>
      </c>
      <c r="P312" s="321" t="s">
        <v>1303</v>
      </c>
      <c r="Q312" s="321" t="s">
        <v>1212</v>
      </c>
      <c r="R312" s="321" t="s">
        <v>1468</v>
      </c>
      <c r="S312" s="321"/>
      <c r="T312" s="321" t="s">
        <v>1498</v>
      </c>
      <c r="U312" s="321" t="s">
        <v>803</v>
      </c>
      <c r="V312" s="321"/>
      <c r="W312" s="321" t="s">
        <v>1469</v>
      </c>
      <c r="X312" s="321" t="s">
        <v>436</v>
      </c>
      <c r="Y312" s="321"/>
      <c r="Z312" s="321"/>
      <c r="AA312" s="321"/>
      <c r="AB312" s="321"/>
      <c r="AC312" s="574"/>
      <c r="AD312" s="573">
        <v>1</v>
      </c>
      <c r="AE312" s="573">
        <v>2</v>
      </c>
      <c r="AF312" s="154">
        <v>1</v>
      </c>
      <c r="AG312" s="155" t="s">
        <v>3365</v>
      </c>
      <c r="AH312" s="326">
        <v>5</v>
      </c>
      <c r="AI312" s="490"/>
      <c r="AJ312" s="213" t="s">
        <v>3366</v>
      </c>
      <c r="AK312" s="327">
        <v>2</v>
      </c>
      <c r="AL312" s="215">
        <v>0</v>
      </c>
      <c r="AM312" s="134">
        <f>Table668[[#This Row],[Data_Subjects_n_ptsd]]+Table668[[#This Row],[Data_Subjects_n_control]]</f>
        <v>15</v>
      </c>
      <c r="AN312" s="326">
        <v>8</v>
      </c>
      <c r="AO312" s="326">
        <v>7</v>
      </c>
      <c r="AP312" s="326" t="s">
        <v>803</v>
      </c>
      <c r="AQ312" s="326" t="s">
        <v>803</v>
      </c>
      <c r="AR312" s="326" t="s">
        <v>24</v>
      </c>
      <c r="AS312" s="326" t="s">
        <v>24</v>
      </c>
      <c r="AT312" s="326" t="s">
        <v>24</v>
      </c>
      <c r="AU312" s="326" t="s">
        <v>24</v>
      </c>
      <c r="AV312" s="326" t="s">
        <v>3349</v>
      </c>
      <c r="AW312" s="326">
        <v>1</v>
      </c>
      <c r="AX312" s="326" t="s">
        <v>3347</v>
      </c>
      <c r="AY312" s="326" t="s">
        <v>2975</v>
      </c>
      <c r="AZ312" s="326" t="s">
        <v>1468</v>
      </c>
      <c r="BA312" s="326" t="s">
        <v>3279</v>
      </c>
      <c r="BB312" s="601"/>
      <c r="BC312" s="601"/>
      <c r="BD312" s="328">
        <v>1</v>
      </c>
      <c r="BE312" s="328" t="s">
        <v>1917</v>
      </c>
      <c r="BF312" s="328"/>
      <c r="BG312" s="328"/>
      <c r="BH312" s="328"/>
      <c r="BI312" s="328"/>
      <c r="BJ312" s="156" t="s">
        <v>1917</v>
      </c>
      <c r="BK312" s="328"/>
      <c r="BL312" s="328"/>
      <c r="BM312" s="328"/>
      <c r="BN312" s="328"/>
      <c r="BO312" s="328"/>
      <c r="BP312" s="328"/>
      <c r="BQ312" s="602" t="s">
        <v>3361</v>
      </c>
      <c r="BR312" s="157" t="s">
        <v>6607</v>
      </c>
      <c r="BS312" s="660"/>
      <c r="BT312" s="326" t="s">
        <v>1876</v>
      </c>
      <c r="BU312" s="326">
        <v>2</v>
      </c>
      <c r="BV312" s="424" t="s">
        <v>3368</v>
      </c>
      <c r="BW312" s="326" t="s">
        <v>2606</v>
      </c>
      <c r="BX312" s="326" t="s">
        <v>3350</v>
      </c>
      <c r="BY312" s="134" t="s">
        <v>6646</v>
      </c>
      <c r="BZ312" s="259" t="s">
        <v>3394</v>
      </c>
      <c r="CA312" s="454" t="s">
        <v>6627</v>
      </c>
      <c r="CB312" s="138" t="s">
        <v>3393</v>
      </c>
      <c r="CC312" s="326">
        <v>5.5999800000000004</v>
      </c>
      <c r="CD312" s="326" t="s">
        <v>24</v>
      </c>
      <c r="CE312" s="326">
        <f>9.34368-Table668[[#This Row],[Data_Outcome1_M]]</f>
        <v>3.7437000000000005</v>
      </c>
      <c r="CF312" s="427" t="s">
        <v>3389</v>
      </c>
      <c r="CG312" s="326">
        <v>53.161200000000001</v>
      </c>
      <c r="CH312" s="326" t="s">
        <v>24</v>
      </c>
      <c r="CI312" s="326">
        <f>66.1078-Table668[[#This Row],[Data_Outcome2_M]]</f>
        <v>12.946599999999997</v>
      </c>
      <c r="CJ312" s="341" t="s">
        <v>3386</v>
      </c>
      <c r="CK312" s="332" t="s">
        <v>3060</v>
      </c>
      <c r="CL312" s="330"/>
      <c r="CM312" s="326"/>
      <c r="CN312" s="326"/>
      <c r="CO312" s="326"/>
      <c r="CP312" s="330"/>
      <c r="CQ312" s="326"/>
      <c r="CR312" s="326"/>
      <c r="CS312" s="326"/>
      <c r="CT312" s="331"/>
      <c r="CU312" s="332"/>
      <c r="CV312" s="333"/>
      <c r="CW312" s="334"/>
      <c r="CX312" s="330"/>
      <c r="CY312" s="326"/>
      <c r="CZ312" s="326"/>
      <c r="DA312" s="326"/>
      <c r="DB312" s="326"/>
      <c r="DC312" s="326"/>
      <c r="DD312" s="326"/>
      <c r="DE312" s="326"/>
      <c r="DF312" s="335"/>
      <c r="DG312" s="336"/>
      <c r="DH312" s="326"/>
      <c r="DI312" s="326"/>
      <c r="DJ312" s="326"/>
      <c r="DK312" s="326"/>
      <c r="DL312" s="326"/>
      <c r="DM312" s="326"/>
      <c r="DN312" s="326"/>
      <c r="DO312" s="326"/>
      <c r="DP312" s="335"/>
      <c r="DQ312" s="336"/>
      <c r="DR312" s="333"/>
      <c r="DS312" s="337"/>
      <c r="DT312" s="326"/>
      <c r="DU312" s="326"/>
      <c r="DV312" s="326"/>
      <c r="DW312" s="326"/>
      <c r="DX312" s="330"/>
      <c r="DY312" s="326"/>
      <c r="DZ312" s="326"/>
      <c r="EA312" s="326"/>
      <c r="EB312" s="336"/>
      <c r="EC312" s="336"/>
      <c r="ED312" s="330"/>
      <c r="EE312" s="326"/>
      <c r="EF312" s="326"/>
      <c r="EG312" s="326"/>
      <c r="EH312" s="330"/>
      <c r="EI312" s="326"/>
      <c r="EJ312" s="326"/>
      <c r="EK312" s="326"/>
      <c r="EL312" s="336"/>
      <c r="EM312" s="336"/>
      <c r="EN312" s="337"/>
      <c r="EO312" s="326"/>
      <c r="EP312" s="326"/>
      <c r="EQ312" s="326"/>
      <c r="ER312" s="326"/>
      <c r="ES312" s="326"/>
      <c r="ET312" s="326"/>
      <c r="EU312" s="326"/>
      <c r="EV312" s="326"/>
      <c r="EW312" s="336"/>
      <c r="EX312" s="336"/>
      <c r="EY312" s="326"/>
      <c r="EZ312" s="326"/>
      <c r="FA312" s="326"/>
      <c r="FB312" s="326"/>
      <c r="FC312" s="134"/>
      <c r="FD312" s="134"/>
      <c r="FE312" s="134"/>
      <c r="FF312" s="134"/>
      <c r="FG312" s="135"/>
      <c r="FH312" s="135"/>
      <c r="FI312" s="134"/>
      <c r="FJ312" s="134"/>
      <c r="FK312" s="134"/>
      <c r="FL312" s="134"/>
      <c r="FM312" s="134"/>
      <c r="FN312" s="134"/>
      <c r="FO312" s="134"/>
      <c r="FP312" s="134"/>
      <c r="FQ312" s="135"/>
      <c r="FR312" s="135"/>
      <c r="FS312" s="134"/>
      <c r="FT312" s="134"/>
      <c r="FU312" s="134"/>
      <c r="FV312" s="134"/>
      <c r="FW312" s="134"/>
      <c r="FX312" s="134"/>
      <c r="FY312" s="134"/>
      <c r="FZ312" s="134"/>
      <c r="GA312" s="135"/>
      <c r="GB312" s="135"/>
      <c r="GC312" s="134"/>
      <c r="GD312" s="134"/>
      <c r="GE312" s="134"/>
      <c r="GF312" s="134"/>
      <c r="GG312" s="134"/>
      <c r="GH312" s="134"/>
      <c r="GI312" s="134"/>
      <c r="GJ312" s="134"/>
      <c r="GK312" s="135"/>
      <c r="GL312" s="135"/>
      <c r="GM312" s="134"/>
      <c r="GN312" s="134"/>
      <c r="GO312" s="134"/>
      <c r="GP312" s="134"/>
      <c r="GQ312" s="134"/>
      <c r="GR312" s="134"/>
      <c r="GS312" s="134"/>
      <c r="GT312" s="134"/>
      <c r="GU312" s="135"/>
      <c r="GV312" s="135"/>
      <c r="GW312" s="134"/>
      <c r="GX312" s="134"/>
      <c r="GY312" s="134"/>
      <c r="GZ312" s="134"/>
      <c r="HA312" s="134"/>
      <c r="HB312" s="134"/>
      <c r="HC312" s="134"/>
      <c r="HD312" s="134"/>
      <c r="HE312" s="135"/>
      <c r="HF312" s="135"/>
      <c r="HG312" s="134"/>
      <c r="HH312" s="134"/>
      <c r="HI312" s="134"/>
      <c r="HJ312" s="134"/>
      <c r="HK312" s="134"/>
      <c r="HL312" s="134"/>
      <c r="HM312" s="134"/>
      <c r="HN312" s="134"/>
      <c r="HO312" s="135"/>
      <c r="HP312" s="135"/>
      <c r="HQ312" s="134"/>
      <c r="HR312" s="134"/>
      <c r="HS312" s="134"/>
      <c r="HT312" s="134"/>
      <c r="HU312" s="134"/>
      <c r="HV312" s="134"/>
      <c r="HW312" s="134"/>
      <c r="HX312" s="134"/>
      <c r="HY312" s="135"/>
      <c r="HZ312" s="135"/>
      <c r="IA312" s="134"/>
      <c r="IB312" s="134"/>
      <c r="IC312" s="134"/>
      <c r="ID312" s="134"/>
      <c r="IE312" s="134"/>
      <c r="IF312" s="134"/>
      <c r="IG312" s="134"/>
      <c r="IH312" s="134"/>
      <c r="II312" s="135"/>
      <c r="IJ312" s="135"/>
      <c r="IK312" s="134"/>
      <c r="IL312" s="134"/>
      <c r="IM312" s="134"/>
      <c r="IN312" s="134"/>
      <c r="IO312" s="134"/>
      <c r="IP312" s="134"/>
      <c r="IQ312" s="134"/>
      <c r="IR312" s="134"/>
      <c r="IS312" s="135"/>
      <c r="IT312" s="135"/>
      <c r="IU312" s="134"/>
      <c r="IV312" s="134"/>
      <c r="IW312" s="134"/>
      <c r="IX312" s="134"/>
      <c r="IY312" s="134"/>
      <c r="IZ312" s="134"/>
      <c r="JA312" s="134"/>
      <c r="JB312" s="134"/>
      <c r="JC312" s="135"/>
      <c r="JD312" s="135"/>
    </row>
    <row r="313" spans="1:264" customFormat="1" ht="15" customHeight="1">
      <c r="A313" s="79" t="s">
        <v>1000</v>
      </c>
      <c r="B313" s="362">
        <v>187</v>
      </c>
      <c r="C313" s="362">
        <v>66</v>
      </c>
      <c r="D313" s="362"/>
      <c r="E313" s="604" t="s">
        <v>2103</v>
      </c>
      <c r="F313" s="124" t="s">
        <v>2361</v>
      </c>
      <c r="G313" s="125">
        <v>2012</v>
      </c>
      <c r="H313" s="79">
        <v>22659580</v>
      </c>
      <c r="I313" s="79">
        <v>1</v>
      </c>
      <c r="J313" s="126"/>
      <c r="K313" s="127"/>
      <c r="L313" s="79">
        <v>1</v>
      </c>
      <c r="M313" s="79"/>
      <c r="N313" s="79">
        <v>1</v>
      </c>
      <c r="O313" s="128">
        <v>2</v>
      </c>
      <c r="P313" s="79" t="s">
        <v>1470</v>
      </c>
      <c r="Q313" s="79" t="s">
        <v>1147</v>
      </c>
      <c r="R313" s="79" t="s">
        <v>1138</v>
      </c>
      <c r="S313" s="79"/>
      <c r="T313" s="79" t="s">
        <v>1498</v>
      </c>
      <c r="U313" s="79" t="s">
        <v>803</v>
      </c>
      <c r="V313" s="79"/>
      <c r="W313" s="79" t="s">
        <v>1511</v>
      </c>
      <c r="X313" s="79"/>
      <c r="Y313" s="79" t="s">
        <v>1374</v>
      </c>
      <c r="Z313" s="79"/>
      <c r="AA313" s="79" t="s">
        <v>1471</v>
      </c>
      <c r="AB313" s="79"/>
      <c r="AC313" s="506"/>
      <c r="AD313" s="573">
        <v>1</v>
      </c>
      <c r="AE313" s="573">
        <v>2</v>
      </c>
      <c r="AF313" s="233" t="s">
        <v>1917</v>
      </c>
      <c r="AG313" s="234" t="s">
        <v>5318</v>
      </c>
      <c r="AH313" s="121">
        <v>5</v>
      </c>
      <c r="AI313" s="484" t="s">
        <v>5317</v>
      </c>
      <c r="AJ313" s="202" t="s">
        <v>5302</v>
      </c>
      <c r="AK313" s="192">
        <v>0</v>
      </c>
      <c r="AL313" s="203" t="s">
        <v>5298</v>
      </c>
      <c r="AM313" s="121" t="s">
        <v>5315</v>
      </c>
      <c r="AN313" s="121" t="s">
        <v>5314</v>
      </c>
      <c r="AO313" s="121" t="s">
        <v>5314</v>
      </c>
      <c r="AP313" s="121" t="s">
        <v>803</v>
      </c>
      <c r="AQ313" s="121" t="s">
        <v>803</v>
      </c>
      <c r="AR313" s="121" t="s">
        <v>5212</v>
      </c>
      <c r="AS313" s="121" t="s">
        <v>24</v>
      </c>
      <c r="AT313" s="121" t="s">
        <v>5212</v>
      </c>
      <c r="AU313" s="121" t="s">
        <v>24</v>
      </c>
      <c r="AV313" s="121" t="s">
        <v>5299</v>
      </c>
      <c r="AW313" s="121">
        <v>1</v>
      </c>
      <c r="AX313" s="121" t="s">
        <v>5316</v>
      </c>
      <c r="AY313" s="121" t="s">
        <v>5300</v>
      </c>
      <c r="AZ313" s="121" t="s">
        <v>1468</v>
      </c>
      <c r="BA313" s="121" t="s">
        <v>4508</v>
      </c>
      <c r="BB313" s="594"/>
      <c r="BC313" s="594"/>
      <c r="BD313" s="156"/>
      <c r="BE313" s="156"/>
      <c r="BF313" s="156"/>
      <c r="BG313" s="156"/>
      <c r="BH313" s="156"/>
      <c r="BI313" s="156"/>
      <c r="BJ313" s="156">
        <v>1</v>
      </c>
      <c r="BK313" s="156"/>
      <c r="BL313" s="156"/>
      <c r="BM313" s="156"/>
      <c r="BN313" s="156"/>
      <c r="BO313" s="156"/>
      <c r="BP313" s="156"/>
      <c r="BQ313" s="595" t="s">
        <v>5323</v>
      </c>
      <c r="BR313" s="157" t="s">
        <v>6612</v>
      </c>
      <c r="BS313" s="660"/>
      <c r="BT313" s="134" t="s">
        <v>1876</v>
      </c>
      <c r="BU313" s="134" t="s">
        <v>5319</v>
      </c>
      <c r="BV313" s="134" t="s">
        <v>5303</v>
      </c>
      <c r="BW313" s="134" t="s">
        <v>5301</v>
      </c>
      <c r="BX313" s="503" t="s">
        <v>5304</v>
      </c>
      <c r="BY313" s="503"/>
      <c r="BZ313" s="259" t="s">
        <v>5324</v>
      </c>
      <c r="CA313" s="454" t="s">
        <v>24</v>
      </c>
      <c r="CB313" s="138" t="s">
        <v>5305</v>
      </c>
      <c r="CC313" s="134">
        <v>8.2514800000000008</v>
      </c>
      <c r="CD313" s="134" t="s">
        <v>24</v>
      </c>
      <c r="CE313" s="134">
        <f>9.3229-Table668[[#This Row],[Data_Outcome1_M]]</f>
        <v>1.0714199999999998</v>
      </c>
      <c r="CF313" s="138" t="s">
        <v>5306</v>
      </c>
      <c r="CG313" s="134">
        <v>7.1835300000000002</v>
      </c>
      <c r="CH313" s="134" t="s">
        <v>24</v>
      </c>
      <c r="CI313" s="134">
        <f>8.12103-Table668[[#This Row],[Data_Outcome2_M]]</f>
        <v>0.93749999999999911</v>
      </c>
      <c r="CJ313" s="288" t="s">
        <v>5309</v>
      </c>
      <c r="CK313" s="289" t="s">
        <v>5322</v>
      </c>
      <c r="CL313" s="138" t="s">
        <v>5307</v>
      </c>
      <c r="CM313" s="134">
        <v>6.9681499999999996</v>
      </c>
      <c r="CN313" s="134" t="s">
        <v>24</v>
      </c>
      <c r="CO313" s="134">
        <f>7.861-Table668[[#This Row],[Data_Outcome3_M]]</f>
        <v>0.89285000000000014</v>
      </c>
      <c r="CP313" s="138" t="s">
        <v>5308</v>
      </c>
      <c r="CQ313" s="134">
        <v>14.962400000000001</v>
      </c>
      <c r="CR313" s="134" t="s">
        <v>24</v>
      </c>
      <c r="CS313" s="134">
        <f>16.9714-Table668[[#This Row],[Data_Outcome4_M]]</f>
        <v>2.0089999999999986</v>
      </c>
      <c r="CT313" s="288" t="s">
        <v>5310</v>
      </c>
      <c r="CU313" s="289" t="s">
        <v>5321</v>
      </c>
      <c r="CV313" s="276" t="s">
        <v>24</v>
      </c>
      <c r="CW313" s="308" t="s">
        <v>24</v>
      </c>
      <c r="CX313" s="138" t="s">
        <v>5311</v>
      </c>
      <c r="CY313" s="134">
        <v>0.48230499999999998</v>
      </c>
      <c r="CZ313" s="134" t="s">
        <v>24</v>
      </c>
      <c r="DA313" s="134">
        <f>0.52274-Table668[[#This Row],[Data_Outcome5_M]]</f>
        <v>4.0434999999999999E-2</v>
      </c>
      <c r="DB313" s="138" t="s">
        <v>5312</v>
      </c>
      <c r="DC313" s="134">
        <v>0.67094600000000004</v>
      </c>
      <c r="DD313" s="134" t="s">
        <v>24</v>
      </c>
      <c r="DE313" s="134">
        <f>0.70225-Table668[[#This Row],[Data_Outcome6_M]]</f>
        <v>3.1303999999999998E-2</v>
      </c>
      <c r="DF313" s="300" t="s">
        <v>5313</v>
      </c>
      <c r="DG313" s="301" t="s">
        <v>5320</v>
      </c>
      <c r="DH313" s="134" t="s">
        <v>24</v>
      </c>
      <c r="DI313" s="134" t="s">
        <v>24</v>
      </c>
      <c r="DJ313" s="134" t="s">
        <v>24</v>
      </c>
      <c r="DK313" s="134" t="s">
        <v>24</v>
      </c>
      <c r="DL313" s="134"/>
      <c r="DM313" s="134"/>
      <c r="DN313" s="134"/>
      <c r="DO313" s="134"/>
      <c r="DP313" s="300"/>
      <c r="DQ313" s="301"/>
      <c r="DR313" s="276"/>
      <c r="DS313" s="277"/>
      <c r="DT313" s="134"/>
      <c r="DU313" s="134"/>
      <c r="DV313" s="134"/>
      <c r="DW313" s="480"/>
      <c r="DX313" s="134"/>
      <c r="DY313" s="134"/>
      <c r="DZ313" s="134"/>
      <c r="EA313" s="480"/>
      <c r="EB313" s="301"/>
      <c r="EC313" s="301"/>
      <c r="ED313" s="138"/>
      <c r="EE313" s="134"/>
      <c r="EF313" s="134"/>
      <c r="EG313" s="134"/>
      <c r="EH313" s="138"/>
      <c r="EI313" s="134"/>
      <c r="EJ313" s="134"/>
      <c r="EK313" s="134"/>
      <c r="EL313" s="301"/>
      <c r="EM313" s="301"/>
      <c r="EN313" s="277"/>
      <c r="EO313" s="134"/>
      <c r="EP313" s="134"/>
      <c r="EQ313" s="134"/>
      <c r="ER313" s="134"/>
      <c r="ES313" s="134"/>
      <c r="ET313" s="134"/>
      <c r="EU313" s="134"/>
      <c r="EV313" s="134"/>
      <c r="EW313" s="301"/>
      <c r="EX313" s="301"/>
      <c r="EY313" s="134"/>
      <c r="EZ313" s="134"/>
      <c r="FA313" s="134"/>
      <c r="FB313" s="134"/>
      <c r="FC313" s="134"/>
      <c r="FD313" s="134"/>
      <c r="FE313" s="134"/>
      <c r="FF313" s="134"/>
      <c r="FG313" s="135"/>
      <c r="FH313" s="135"/>
      <c r="FI313" s="134"/>
      <c r="FJ313" s="134"/>
      <c r="FK313" s="134"/>
      <c r="FL313" s="134"/>
      <c r="FM313" s="134"/>
      <c r="FN313" s="134"/>
      <c r="FO313" s="134"/>
      <c r="FP313" s="134"/>
      <c r="FQ313" s="135"/>
      <c r="FR313" s="135"/>
      <c r="FS313" s="134"/>
      <c r="FT313" s="134"/>
      <c r="FU313" s="134"/>
      <c r="FV313" s="134"/>
      <c r="FW313" s="134"/>
      <c r="FX313" s="134"/>
      <c r="FY313" s="134"/>
      <c r="FZ313" s="134"/>
      <c r="GA313" s="135"/>
      <c r="GB313" s="135"/>
      <c r="GC313" s="134"/>
      <c r="GD313" s="134"/>
      <c r="GE313" s="134"/>
      <c r="GF313" s="134"/>
      <c r="GG313" s="134"/>
      <c r="GH313" s="134"/>
      <c r="GI313" s="134"/>
      <c r="GJ313" s="134"/>
      <c r="GK313" s="135"/>
      <c r="GL313" s="135"/>
      <c r="GM313" s="134"/>
      <c r="GN313" s="134"/>
      <c r="GO313" s="134"/>
      <c r="GP313" s="134"/>
      <c r="GQ313" s="134"/>
      <c r="GR313" s="134"/>
      <c r="GS313" s="134"/>
      <c r="GT313" s="134"/>
      <c r="GU313" s="135"/>
      <c r="GV313" s="135"/>
      <c r="GW313" s="134"/>
      <c r="GX313" s="134"/>
      <c r="GY313" s="134"/>
      <c r="GZ313" s="134"/>
      <c r="HA313" s="134"/>
      <c r="HB313" s="134"/>
      <c r="HC313" s="134"/>
      <c r="HD313" s="134"/>
      <c r="HE313" s="135"/>
      <c r="HF313" s="135"/>
      <c r="HG313" s="134"/>
      <c r="HH313" s="134"/>
      <c r="HI313" s="134"/>
      <c r="HJ313" s="134"/>
      <c r="HK313" s="134"/>
      <c r="HL313" s="134"/>
      <c r="HM313" s="134"/>
      <c r="HN313" s="134"/>
      <c r="HO313" s="135"/>
      <c r="HP313" s="135"/>
      <c r="HQ313" s="134"/>
      <c r="HR313" s="134"/>
      <c r="HS313" s="134"/>
      <c r="HT313" s="134"/>
      <c r="HU313" s="134"/>
      <c r="HV313" s="134"/>
      <c r="HW313" s="134"/>
      <c r="HX313" s="134"/>
      <c r="HY313" s="135"/>
      <c r="HZ313" s="135"/>
      <c r="IA313" s="134"/>
      <c r="IB313" s="134"/>
      <c r="IC313" s="134"/>
      <c r="ID313" s="134"/>
      <c r="IE313" s="134"/>
      <c r="IF313" s="134"/>
      <c r="IG313" s="134"/>
      <c r="IH313" s="134"/>
      <c r="II313" s="135"/>
      <c r="IJ313" s="135"/>
      <c r="IK313" s="134"/>
      <c r="IL313" s="134"/>
      <c r="IM313" s="134"/>
      <c r="IN313" s="134"/>
      <c r="IO313" s="134"/>
      <c r="IP313" s="134"/>
      <c r="IQ313" s="134"/>
      <c r="IR313" s="134"/>
      <c r="IS313" s="135"/>
      <c r="IT313" s="135"/>
      <c r="IU313" s="134"/>
      <c r="IV313" s="134"/>
      <c r="IW313" s="134"/>
      <c r="IX313" s="134"/>
      <c r="IY313" s="134"/>
      <c r="IZ313" s="134"/>
      <c r="JA313" s="134"/>
      <c r="JB313" s="134"/>
      <c r="JC313" s="135"/>
      <c r="JD313" s="135"/>
    </row>
    <row r="314" spans="1:264" customFormat="1" ht="15" customHeight="1">
      <c r="A314" s="118" t="s">
        <v>997</v>
      </c>
      <c r="B314" s="362">
        <v>38</v>
      </c>
      <c r="C314" s="362"/>
      <c r="D314" s="362"/>
      <c r="E314" s="605" t="s">
        <v>2105</v>
      </c>
      <c r="F314" s="140" t="s">
        <v>2363</v>
      </c>
      <c r="G314" s="141">
        <v>2008</v>
      </c>
      <c r="H314" s="118">
        <v>18391192</v>
      </c>
      <c r="I314" s="118">
        <v>1</v>
      </c>
      <c r="J314" s="118">
        <v>1</v>
      </c>
      <c r="K314" s="118"/>
      <c r="L314" s="118">
        <v>1</v>
      </c>
      <c r="M314" s="118"/>
      <c r="N314" s="158">
        <v>1</v>
      </c>
      <c r="O314" s="142">
        <v>2</v>
      </c>
      <c r="P314" s="118" t="s">
        <v>1475</v>
      </c>
      <c r="Q314" s="118" t="s">
        <v>1216</v>
      </c>
      <c r="R314" s="118" t="s">
        <v>1138</v>
      </c>
      <c r="S314" s="118"/>
      <c r="T314" s="118" t="s">
        <v>1489</v>
      </c>
      <c r="U314" s="118"/>
      <c r="V314" s="118"/>
      <c r="W314" s="118" t="s">
        <v>1501</v>
      </c>
      <c r="X314" s="118"/>
      <c r="Y314" s="118"/>
      <c r="Z314" s="118"/>
      <c r="AA314" s="118"/>
      <c r="AB314" s="118"/>
      <c r="AC314" s="145"/>
      <c r="AD314" s="573">
        <v>1</v>
      </c>
      <c r="AE314" s="573">
        <v>2</v>
      </c>
      <c r="AF314" s="159">
        <v>1</v>
      </c>
      <c r="AG314" s="160" t="s">
        <v>3429</v>
      </c>
      <c r="AH314" s="122">
        <v>5</v>
      </c>
      <c r="AI314" s="485"/>
      <c r="AJ314" s="226" t="s">
        <v>3366</v>
      </c>
      <c r="AK314" s="192">
        <v>2</v>
      </c>
      <c r="AL314" s="349">
        <v>0</v>
      </c>
      <c r="AM314" s="122">
        <f>Table668[[#This Row],[Data_Subjects_n_ptsd]]+Table668[[#This Row],[Data_Subjects_n_control]]</f>
        <v>10</v>
      </c>
      <c r="AN314" s="122">
        <v>5</v>
      </c>
      <c r="AO314" s="122">
        <v>5</v>
      </c>
      <c r="AP314" s="122" t="s">
        <v>803</v>
      </c>
      <c r="AQ314" s="122" t="s">
        <v>803</v>
      </c>
      <c r="AR314" s="344" t="s">
        <v>3403</v>
      </c>
      <c r="AS314" s="150" t="s">
        <v>24</v>
      </c>
      <c r="AT314" s="344" t="s">
        <v>3403</v>
      </c>
      <c r="AU314" s="150" t="s">
        <v>24</v>
      </c>
      <c r="AV314" s="122" t="s">
        <v>3311</v>
      </c>
      <c r="AW314" s="122">
        <v>1</v>
      </c>
      <c r="AX314" s="122" t="s">
        <v>3348</v>
      </c>
      <c r="AY314" s="122" t="s">
        <v>3398</v>
      </c>
      <c r="AZ314" s="122" t="s">
        <v>3397</v>
      </c>
      <c r="BA314" s="122" t="s">
        <v>3395</v>
      </c>
      <c r="BB314" s="588"/>
      <c r="BC314" s="588"/>
      <c r="BD314" s="161">
        <v>1</v>
      </c>
      <c r="BE314" s="161"/>
      <c r="BF314" s="161"/>
      <c r="BG314" s="161"/>
      <c r="BH314" s="161"/>
      <c r="BI314" s="161"/>
      <c r="BJ314" s="161"/>
      <c r="BK314" s="161"/>
      <c r="BL314" s="161"/>
      <c r="BM314" s="161"/>
      <c r="BN314" s="161"/>
      <c r="BO314" s="161"/>
      <c r="BP314" s="161"/>
      <c r="BQ314" s="596" t="s">
        <v>3402</v>
      </c>
      <c r="BR314" s="185" t="s">
        <v>6603</v>
      </c>
      <c r="BS314" s="660"/>
      <c r="BT314" s="150" t="s">
        <v>1876</v>
      </c>
      <c r="BU314" s="150">
        <v>2</v>
      </c>
      <c r="BV314" s="145" t="s">
        <v>3405</v>
      </c>
      <c r="BW314" s="150" t="s">
        <v>23</v>
      </c>
      <c r="BX314" s="150" t="s">
        <v>3406</v>
      </c>
      <c r="BY314" s="134" t="s">
        <v>6640</v>
      </c>
      <c r="BZ314" s="354" t="s">
        <v>3464</v>
      </c>
      <c r="CA314" s="630" t="s">
        <v>6627</v>
      </c>
      <c r="CB314" s="429" t="s">
        <v>3450</v>
      </c>
      <c r="CC314" s="150">
        <v>115.23</v>
      </c>
      <c r="CD314" s="150" t="s">
        <v>24</v>
      </c>
      <c r="CE314" s="150">
        <f>Table668[[#This Row],[Data_Outcome1_M]]-104.152</f>
        <v>11.078000000000003</v>
      </c>
      <c r="CF314" s="429" t="s">
        <v>3451</v>
      </c>
      <c r="CG314" s="150">
        <v>70.930700000000002</v>
      </c>
      <c r="CH314" s="150" t="s">
        <v>24</v>
      </c>
      <c r="CI314" s="150">
        <f>80.1688-Table668[[#This Row],[Data_Outcome2_M]]</f>
        <v>9.2381000000000029</v>
      </c>
      <c r="CJ314" s="290" t="s">
        <v>3463</v>
      </c>
      <c r="CK314" s="291" t="s">
        <v>2588</v>
      </c>
      <c r="CL314" s="429" t="s">
        <v>3452</v>
      </c>
      <c r="CM314" s="150">
        <v>93.375399999999999</v>
      </c>
      <c r="CN314" s="150" t="s">
        <v>24</v>
      </c>
      <c r="CO314" s="150">
        <f>103.992-Table668[[#This Row],[Data_Outcome3_M]]</f>
        <v>10.616600000000005</v>
      </c>
      <c r="CP314" s="429" t="s">
        <v>3453</v>
      </c>
      <c r="CQ314" s="150">
        <v>34.304900000000004</v>
      </c>
      <c r="CR314" s="150" t="s">
        <v>24</v>
      </c>
      <c r="CS314" s="150">
        <f>46.3126-Table668[[#This Row],[Data_Outcome4_M]]</f>
        <v>12.0077</v>
      </c>
      <c r="CT314" s="290" t="s">
        <v>3463</v>
      </c>
      <c r="CU314" s="291" t="s">
        <v>2588</v>
      </c>
      <c r="CV314" s="278"/>
      <c r="CW314" s="285"/>
      <c r="CX314" s="429" t="s">
        <v>3454</v>
      </c>
      <c r="CY314" s="145">
        <v>49.370699999999999</v>
      </c>
      <c r="CZ314" s="145" t="s">
        <v>24</v>
      </c>
      <c r="DA314" s="145">
        <f>60.9104-Table668[[#This Row],[Data_Outcome5_M]]</f>
        <v>11.539700000000003</v>
      </c>
      <c r="DB314" s="429" t="s">
        <v>3455</v>
      </c>
      <c r="DC314" s="150">
        <v>18.918700000000001</v>
      </c>
      <c r="DD314" s="150" t="s">
        <v>24</v>
      </c>
      <c r="DE314" s="150">
        <f>25.3809-Table668[[#This Row],[Data_Outcome6_M]]</f>
        <v>6.4621999999999993</v>
      </c>
      <c r="DF314" s="440" t="s">
        <v>3463</v>
      </c>
      <c r="DG314" s="442" t="s">
        <v>2588</v>
      </c>
      <c r="DH314" s="429" t="s">
        <v>3456</v>
      </c>
      <c r="DI314" s="145">
        <v>37.215499999999999</v>
      </c>
      <c r="DJ314" s="145" t="s">
        <v>24</v>
      </c>
      <c r="DK314" s="145">
        <f>41.8378-Table668[[#This Row],[Data_Outcome7_M]]</f>
        <v>4.6223000000000027</v>
      </c>
      <c r="DL314" s="429" t="s">
        <v>3457</v>
      </c>
      <c r="DM314" s="150">
        <v>14.1554</v>
      </c>
      <c r="DN314" s="150" t="s">
        <v>24</v>
      </c>
      <c r="DO314" s="150">
        <f>21.5472-Table668[[#This Row],[Data_Outcome8_M]]</f>
        <v>7.3917999999999999</v>
      </c>
      <c r="DP314" s="440" t="s">
        <v>3463</v>
      </c>
      <c r="DQ314" s="442" t="s">
        <v>2588</v>
      </c>
      <c r="DR314" s="278"/>
      <c r="DS314" s="279"/>
      <c r="DT314" s="429" t="s">
        <v>3458</v>
      </c>
      <c r="DU314" s="145">
        <v>32.458599999999997</v>
      </c>
      <c r="DV314" s="145" t="s">
        <v>24</v>
      </c>
      <c r="DW314" s="145">
        <f>37.0745-Table668[[#This Row],[Data_Outcome9_M]]</f>
        <v>4.6159000000000034</v>
      </c>
      <c r="DX314" s="429" t="s">
        <v>3459</v>
      </c>
      <c r="DY314" s="150">
        <v>13.995100000000001</v>
      </c>
      <c r="DZ314" s="150" t="s">
        <v>24</v>
      </c>
      <c r="EA314" s="150">
        <f>21.8485-Table668[[#This Row],[Data_Outcome10_M]]</f>
        <v>7.8534000000000006</v>
      </c>
      <c r="EB314" s="440" t="s">
        <v>3463</v>
      </c>
      <c r="EC314" s="442" t="s">
        <v>2588</v>
      </c>
      <c r="ED314" s="429" t="s">
        <v>3460</v>
      </c>
      <c r="EE314" s="145">
        <v>33.689500000000002</v>
      </c>
      <c r="EF314" s="145" t="s">
        <v>24</v>
      </c>
      <c r="EG314" s="145">
        <f>43.9213-Table668[[#This Row],[Data_Outcome11_M]]</f>
        <v>10.2318</v>
      </c>
      <c r="EH314" s="429" t="s">
        <v>3461</v>
      </c>
      <c r="EI314" s="150">
        <v>14.7644</v>
      </c>
      <c r="EJ314" s="150" t="s">
        <v>24</v>
      </c>
      <c r="EK314" s="150">
        <f>22.1498-Table668[[#This Row],[Data_Outcome12_M]]</f>
        <v>7.3853999999999989</v>
      </c>
      <c r="EL314" s="440" t="s">
        <v>3463</v>
      </c>
      <c r="EM314" s="442" t="s">
        <v>2588</v>
      </c>
      <c r="EN314" s="279"/>
      <c r="EO314" s="150"/>
      <c r="EP314" s="150"/>
      <c r="EQ314" s="150"/>
      <c r="ER314" s="150"/>
      <c r="ES314" s="150"/>
      <c r="ET314" s="150"/>
      <c r="EU314" s="150"/>
      <c r="EV314" s="150"/>
      <c r="EW314" s="303"/>
      <c r="EX314" s="303"/>
      <c r="EY314" s="150"/>
      <c r="EZ314" s="150"/>
      <c r="FA314" s="150"/>
      <c r="FB314" s="150"/>
      <c r="FC314" s="134"/>
      <c r="FD314" s="134"/>
      <c r="FE314" s="134"/>
      <c r="FF314" s="134"/>
      <c r="FG314" s="135"/>
      <c r="FH314" s="135"/>
      <c r="FI314" s="134"/>
      <c r="FJ314" s="134"/>
      <c r="FK314" s="134"/>
      <c r="FL314" s="134"/>
      <c r="FM314" s="134"/>
      <c r="FN314" s="134"/>
      <c r="FO314" s="134"/>
      <c r="FP314" s="134"/>
      <c r="FQ314" s="135"/>
      <c r="FR314" s="135"/>
      <c r="FS314" s="134"/>
      <c r="FT314" s="134"/>
      <c r="FU314" s="134"/>
      <c r="FV314" s="134"/>
      <c r="FW314" s="134"/>
      <c r="FX314" s="134"/>
      <c r="FY314" s="134"/>
      <c r="FZ314" s="134"/>
      <c r="GA314" s="135"/>
      <c r="GB314" s="135"/>
      <c r="GC314" s="134"/>
      <c r="GD314" s="134"/>
      <c r="GE314" s="134"/>
      <c r="GF314" s="134"/>
      <c r="GG314" s="134"/>
      <c r="GH314" s="134"/>
      <c r="GI314" s="134"/>
      <c r="GJ314" s="134"/>
      <c r="GK314" s="135"/>
      <c r="GL314" s="135"/>
      <c r="GM314" s="134"/>
      <c r="GN314" s="134"/>
      <c r="GO314" s="134"/>
      <c r="GP314" s="134"/>
      <c r="GQ314" s="134"/>
      <c r="GR314" s="134"/>
      <c r="GS314" s="134"/>
      <c r="GT314" s="134"/>
      <c r="GU314" s="135"/>
      <c r="GV314" s="135"/>
      <c r="GW314" s="134"/>
      <c r="GX314" s="134"/>
      <c r="GY314" s="134"/>
      <c r="GZ314" s="134"/>
      <c r="HA314" s="134"/>
      <c r="HB314" s="134"/>
      <c r="HC314" s="134"/>
      <c r="HD314" s="134"/>
      <c r="HE314" s="135"/>
      <c r="HF314" s="135"/>
      <c r="HG314" s="134"/>
      <c r="HH314" s="134"/>
      <c r="HI314" s="134"/>
      <c r="HJ314" s="134"/>
      <c r="HK314" s="134"/>
      <c r="HL314" s="134"/>
      <c r="HM314" s="134"/>
      <c r="HN314" s="134"/>
      <c r="HO314" s="135"/>
      <c r="HP314" s="135"/>
      <c r="HQ314" s="134"/>
      <c r="HR314" s="134"/>
      <c r="HS314" s="134"/>
      <c r="HT314" s="134"/>
      <c r="HU314" s="134"/>
      <c r="HV314" s="134"/>
      <c r="HW314" s="134"/>
      <c r="HX314" s="134"/>
      <c r="HY314" s="135"/>
      <c r="HZ314" s="135"/>
      <c r="IA314" s="134"/>
      <c r="IB314" s="134"/>
      <c r="IC314" s="134"/>
      <c r="ID314" s="134"/>
      <c r="IE314" s="134"/>
      <c r="IF314" s="134"/>
      <c r="IG314" s="134"/>
      <c r="IH314" s="134"/>
      <c r="II314" s="135"/>
      <c r="IJ314" s="135"/>
      <c r="IK314" s="134"/>
      <c r="IL314" s="134"/>
      <c r="IM314" s="134"/>
      <c r="IN314" s="134"/>
      <c r="IO314" s="134"/>
      <c r="IP314" s="134"/>
      <c r="IQ314" s="134"/>
      <c r="IR314" s="134"/>
      <c r="IS314" s="135"/>
      <c r="IT314" s="135"/>
      <c r="IU314" s="134"/>
      <c r="IV314" s="134"/>
      <c r="IW314" s="134"/>
      <c r="IX314" s="134"/>
      <c r="IY314" s="134"/>
      <c r="IZ314" s="134"/>
      <c r="JA314" s="134"/>
      <c r="JB314" s="134"/>
      <c r="JC314" s="135"/>
      <c r="JD314" s="135"/>
    </row>
    <row r="315" spans="1:264" customFormat="1" ht="15" customHeight="1">
      <c r="A315" s="118" t="s">
        <v>997</v>
      </c>
      <c r="B315" s="362">
        <v>38</v>
      </c>
      <c r="C315" s="362"/>
      <c r="D315" s="362"/>
      <c r="E315" s="605" t="s">
        <v>2105</v>
      </c>
      <c r="F315" s="140" t="s">
        <v>2363</v>
      </c>
      <c r="G315" s="141">
        <v>2008</v>
      </c>
      <c r="H315" s="118">
        <v>18391192</v>
      </c>
      <c r="I315" s="118">
        <v>1</v>
      </c>
      <c r="J315" s="118">
        <v>1</v>
      </c>
      <c r="K315" s="118"/>
      <c r="L315" s="118">
        <v>1</v>
      </c>
      <c r="M315" s="118"/>
      <c r="N315" s="158">
        <v>1</v>
      </c>
      <c r="O315" s="142">
        <v>2</v>
      </c>
      <c r="P315" s="118" t="s">
        <v>1475</v>
      </c>
      <c r="Q315" s="118" t="s">
        <v>1216</v>
      </c>
      <c r="R315" s="118" t="s">
        <v>1138</v>
      </c>
      <c r="S315" s="118"/>
      <c r="T315" s="118" t="s">
        <v>1489</v>
      </c>
      <c r="U315" s="118"/>
      <c r="V315" s="118"/>
      <c r="W315" s="118" t="s">
        <v>1501</v>
      </c>
      <c r="X315" s="118"/>
      <c r="Y315" s="118"/>
      <c r="Z315" s="118"/>
      <c r="AA315" s="118"/>
      <c r="AB315" s="118"/>
      <c r="AC315" s="145"/>
      <c r="AD315" s="573">
        <v>1</v>
      </c>
      <c r="AE315" s="573">
        <v>2</v>
      </c>
      <c r="AF315" s="159">
        <v>1</v>
      </c>
      <c r="AG315" s="160" t="s">
        <v>3429</v>
      </c>
      <c r="AH315" s="122">
        <v>5</v>
      </c>
      <c r="AI315" s="485"/>
      <c r="AJ315" s="226" t="s">
        <v>3366</v>
      </c>
      <c r="AK315" s="348">
        <v>2</v>
      </c>
      <c r="AL315" s="349">
        <v>0</v>
      </c>
      <c r="AM315" s="122">
        <f>Table668[[#This Row],[Data_Subjects_n_ptsd]]+Table668[[#This Row],[Data_Subjects_n_control]]</f>
        <v>10</v>
      </c>
      <c r="AN315" s="122">
        <v>5</v>
      </c>
      <c r="AO315" s="122">
        <v>5</v>
      </c>
      <c r="AP315" s="122" t="s">
        <v>803</v>
      </c>
      <c r="AQ315" s="122" t="s">
        <v>803</v>
      </c>
      <c r="AR315" s="344" t="s">
        <v>3403</v>
      </c>
      <c r="AS315" s="150" t="s">
        <v>24</v>
      </c>
      <c r="AT315" s="344" t="s">
        <v>3403</v>
      </c>
      <c r="AU315" s="150" t="s">
        <v>24</v>
      </c>
      <c r="AV315" s="122" t="s">
        <v>3311</v>
      </c>
      <c r="AW315" s="122">
        <v>1</v>
      </c>
      <c r="AX315" s="122" t="s">
        <v>3348</v>
      </c>
      <c r="AY315" s="122" t="s">
        <v>3398</v>
      </c>
      <c r="AZ315" s="122" t="s">
        <v>3397</v>
      </c>
      <c r="BA315" s="122" t="s">
        <v>3395</v>
      </c>
      <c r="BB315" s="588"/>
      <c r="BC315" s="588"/>
      <c r="BD315" s="161">
        <v>1</v>
      </c>
      <c r="BE315" s="161"/>
      <c r="BF315" s="161"/>
      <c r="BG315" s="161"/>
      <c r="BH315" s="161"/>
      <c r="BI315" s="161"/>
      <c r="BJ315" s="161"/>
      <c r="BK315" s="161"/>
      <c r="BL315" s="161"/>
      <c r="BM315" s="161"/>
      <c r="BN315" s="161"/>
      <c r="BO315" s="161"/>
      <c r="BP315" s="161"/>
      <c r="BQ315" s="596" t="s">
        <v>3400</v>
      </c>
      <c r="BR315" s="185" t="s">
        <v>6595</v>
      </c>
      <c r="BS315" s="660"/>
      <c r="BT315" s="150" t="s">
        <v>1876</v>
      </c>
      <c r="BU315" s="150">
        <v>2</v>
      </c>
      <c r="BV315" s="150" t="s">
        <v>3407</v>
      </c>
      <c r="BW315" s="150" t="s">
        <v>23</v>
      </c>
      <c r="BX315" s="150" t="s">
        <v>3406</v>
      </c>
      <c r="BY315" s="134" t="s">
        <v>6640</v>
      </c>
      <c r="BZ315" s="258" t="s">
        <v>3448</v>
      </c>
      <c r="CA315" s="257" t="s">
        <v>6627</v>
      </c>
      <c r="CB315" s="151" t="s">
        <v>3411</v>
      </c>
      <c r="CC315" s="150">
        <v>60</v>
      </c>
      <c r="CD315" s="150" t="s">
        <v>24</v>
      </c>
      <c r="CE315" s="150">
        <v>1.1000000000000001</v>
      </c>
      <c r="CF315" s="151" t="s">
        <v>3415</v>
      </c>
      <c r="CG315" s="150">
        <v>37</v>
      </c>
      <c r="CH315" s="150" t="s">
        <v>24</v>
      </c>
      <c r="CI315" s="150">
        <v>9.6999999999999993</v>
      </c>
      <c r="CJ315" s="290" t="s">
        <v>3418</v>
      </c>
      <c r="CK315" s="291" t="s">
        <v>3417</v>
      </c>
      <c r="CL315" s="151"/>
      <c r="CM315" s="150"/>
      <c r="CN315" s="150"/>
      <c r="CO315" s="150"/>
      <c r="CP315" s="151"/>
      <c r="CQ315" s="150"/>
      <c r="CR315" s="150"/>
      <c r="CS315" s="150"/>
      <c r="CT315" s="290"/>
      <c r="CU315" s="291"/>
      <c r="CV315" s="278"/>
      <c r="CW315" s="285"/>
      <c r="CX315" s="151"/>
      <c r="CY315" s="150"/>
      <c r="CZ315" s="150"/>
      <c r="DA315" s="150"/>
      <c r="DB315" s="150"/>
      <c r="DC315" s="150"/>
      <c r="DD315" s="150"/>
      <c r="DE315" s="150"/>
      <c r="DF315" s="302"/>
      <c r="DG315" s="303"/>
      <c r="DH315" s="150"/>
      <c r="DI315" s="150"/>
      <c r="DJ315" s="150"/>
      <c r="DK315" s="150"/>
      <c r="DL315" s="150"/>
      <c r="DM315" s="150"/>
      <c r="DN315" s="150"/>
      <c r="DO315" s="150"/>
      <c r="DP315" s="302"/>
      <c r="DQ315" s="303"/>
      <c r="DR315" s="278"/>
      <c r="DS315" s="279"/>
      <c r="DT315" s="150"/>
      <c r="DU315" s="150"/>
      <c r="DV315" s="150"/>
      <c r="DW315" s="150"/>
      <c r="DX315" s="151"/>
      <c r="DY315" s="150"/>
      <c r="DZ315" s="150"/>
      <c r="EA315" s="150"/>
      <c r="EB315" s="303"/>
      <c r="EC315" s="303"/>
      <c r="ED315" s="151"/>
      <c r="EE315" s="150"/>
      <c r="EF315" s="150"/>
      <c r="EG315" s="150"/>
      <c r="EH315" s="151"/>
      <c r="EI315" s="150"/>
      <c r="EJ315" s="150"/>
      <c r="EK315" s="150"/>
      <c r="EL315" s="303"/>
      <c r="EM315" s="303"/>
      <c r="EN315" s="279"/>
      <c r="EO315" s="150"/>
      <c r="EP315" s="150"/>
      <c r="EQ315" s="150"/>
      <c r="ER315" s="150"/>
      <c r="ES315" s="150"/>
      <c r="ET315" s="150"/>
      <c r="EU315" s="150"/>
      <c r="EV315" s="150"/>
      <c r="EW315" s="303"/>
      <c r="EX315" s="303"/>
      <c r="EY315" s="150"/>
      <c r="EZ315" s="150"/>
      <c r="FA315" s="150"/>
      <c r="FB315" s="150"/>
      <c r="FC315" s="134"/>
      <c r="FD315" s="134"/>
      <c r="FE315" s="134"/>
      <c r="FF315" s="134"/>
      <c r="FG315" s="135"/>
      <c r="FH315" s="135"/>
      <c r="FI315" s="134"/>
      <c r="FJ315" s="134"/>
      <c r="FK315" s="134"/>
      <c r="FL315" s="134"/>
      <c r="FM315" s="134"/>
      <c r="FN315" s="134"/>
      <c r="FO315" s="134"/>
      <c r="FP315" s="134"/>
      <c r="FQ315" s="135"/>
      <c r="FR315" s="135"/>
      <c r="FS315" s="134"/>
      <c r="FT315" s="134"/>
      <c r="FU315" s="134"/>
      <c r="FV315" s="134"/>
      <c r="FW315" s="134"/>
      <c r="FX315" s="134"/>
      <c r="FY315" s="134"/>
      <c r="FZ315" s="134"/>
      <c r="GA315" s="135"/>
      <c r="GB315" s="135"/>
      <c r="GC315" s="134"/>
      <c r="GD315" s="134"/>
      <c r="GE315" s="134"/>
      <c r="GF315" s="134"/>
      <c r="GG315" s="134"/>
      <c r="GH315" s="134"/>
      <c r="GI315" s="134"/>
      <c r="GJ315" s="134"/>
      <c r="GK315" s="135"/>
      <c r="GL315" s="135"/>
      <c r="GM315" s="134"/>
      <c r="GN315" s="134"/>
      <c r="GO315" s="134"/>
      <c r="GP315" s="134"/>
      <c r="GQ315" s="134"/>
      <c r="GR315" s="134"/>
      <c r="GS315" s="134"/>
      <c r="GT315" s="134"/>
      <c r="GU315" s="135"/>
      <c r="GV315" s="135"/>
      <c r="GW315" s="134"/>
      <c r="GX315" s="134"/>
      <c r="GY315" s="134"/>
      <c r="GZ315" s="134"/>
      <c r="HA315" s="134"/>
      <c r="HB315" s="134"/>
      <c r="HC315" s="134"/>
      <c r="HD315" s="134"/>
      <c r="HE315" s="135"/>
      <c r="HF315" s="135"/>
      <c r="HG315" s="134"/>
      <c r="HH315" s="134"/>
      <c r="HI315" s="134"/>
      <c r="HJ315" s="134"/>
      <c r="HK315" s="134"/>
      <c r="HL315" s="134"/>
      <c r="HM315" s="134"/>
      <c r="HN315" s="134"/>
      <c r="HO315" s="135"/>
      <c r="HP315" s="135"/>
      <c r="HQ315" s="134"/>
      <c r="HR315" s="134"/>
      <c r="HS315" s="134"/>
      <c r="HT315" s="134"/>
      <c r="HU315" s="134"/>
      <c r="HV315" s="134"/>
      <c r="HW315" s="134"/>
      <c r="HX315" s="134"/>
      <c r="HY315" s="135"/>
      <c r="HZ315" s="135"/>
      <c r="IA315" s="134"/>
      <c r="IB315" s="134"/>
      <c r="IC315" s="134"/>
      <c r="ID315" s="134"/>
      <c r="IE315" s="134"/>
      <c r="IF315" s="134"/>
      <c r="IG315" s="134"/>
      <c r="IH315" s="134"/>
      <c r="II315" s="135"/>
      <c r="IJ315" s="135"/>
      <c r="IK315" s="134"/>
      <c r="IL315" s="134"/>
      <c r="IM315" s="134"/>
      <c r="IN315" s="134"/>
      <c r="IO315" s="134"/>
      <c r="IP315" s="134"/>
      <c r="IQ315" s="134"/>
      <c r="IR315" s="134"/>
      <c r="IS315" s="135"/>
      <c r="IT315" s="135"/>
      <c r="IU315" s="134"/>
      <c r="IV315" s="134"/>
      <c r="IW315" s="134"/>
      <c r="IX315" s="134"/>
      <c r="IY315" s="134"/>
      <c r="IZ315" s="134"/>
      <c r="JA315" s="134"/>
      <c r="JB315" s="134"/>
      <c r="JC315" s="135"/>
      <c r="JD315" s="135"/>
    </row>
    <row r="316" spans="1:264" customFormat="1" ht="15" customHeight="1">
      <c r="A316" s="118" t="s">
        <v>997</v>
      </c>
      <c r="B316" s="362">
        <v>38</v>
      </c>
      <c r="C316" s="362"/>
      <c r="D316" s="362"/>
      <c r="E316" s="605" t="s">
        <v>2105</v>
      </c>
      <c r="F316" s="140" t="s">
        <v>2363</v>
      </c>
      <c r="G316" s="141">
        <v>2008</v>
      </c>
      <c r="H316" s="118">
        <v>18391192</v>
      </c>
      <c r="I316" s="118">
        <v>1</v>
      </c>
      <c r="J316" s="118">
        <v>1</v>
      </c>
      <c r="K316" s="118"/>
      <c r="L316" s="118">
        <v>1</v>
      </c>
      <c r="M316" s="118"/>
      <c r="N316" s="158">
        <v>1</v>
      </c>
      <c r="O316" s="142">
        <v>2</v>
      </c>
      <c r="P316" s="118" t="s">
        <v>1475</v>
      </c>
      <c r="Q316" s="118" t="s">
        <v>1216</v>
      </c>
      <c r="R316" s="118" t="s">
        <v>1138</v>
      </c>
      <c r="S316" s="118"/>
      <c r="T316" s="118" t="s">
        <v>1489</v>
      </c>
      <c r="U316" s="118"/>
      <c r="V316" s="118"/>
      <c r="W316" s="118" t="s">
        <v>1501</v>
      </c>
      <c r="X316" s="118"/>
      <c r="Y316" s="118"/>
      <c r="Z316" s="118"/>
      <c r="AA316" s="118"/>
      <c r="AB316" s="118"/>
      <c r="AC316" s="145"/>
      <c r="AD316" s="573">
        <v>1</v>
      </c>
      <c r="AE316" s="573">
        <v>2</v>
      </c>
      <c r="AF316" s="159">
        <v>1</v>
      </c>
      <c r="AG316" s="160" t="s">
        <v>3429</v>
      </c>
      <c r="AH316" s="122">
        <v>5</v>
      </c>
      <c r="AI316" s="485"/>
      <c r="AJ316" s="226" t="s">
        <v>3366</v>
      </c>
      <c r="AK316" s="192">
        <v>2</v>
      </c>
      <c r="AL316" s="349">
        <v>0</v>
      </c>
      <c r="AM316" s="122">
        <f>Table668[[#This Row],[Data_Subjects_n_ptsd]]+Table668[[#This Row],[Data_Subjects_n_control]]</f>
        <v>10</v>
      </c>
      <c r="AN316" s="122">
        <v>5</v>
      </c>
      <c r="AO316" s="122">
        <v>5</v>
      </c>
      <c r="AP316" s="122" t="s">
        <v>803</v>
      </c>
      <c r="AQ316" s="122" t="s">
        <v>803</v>
      </c>
      <c r="AR316" s="344" t="s">
        <v>3403</v>
      </c>
      <c r="AS316" s="150" t="s">
        <v>24</v>
      </c>
      <c r="AT316" s="344" t="s">
        <v>3403</v>
      </c>
      <c r="AU316" s="150" t="s">
        <v>24</v>
      </c>
      <c r="AV316" s="122" t="s">
        <v>3311</v>
      </c>
      <c r="AW316" s="122">
        <v>1</v>
      </c>
      <c r="AX316" s="122" t="s">
        <v>3348</v>
      </c>
      <c r="AY316" s="122" t="s">
        <v>3398</v>
      </c>
      <c r="AZ316" s="122" t="s">
        <v>3397</v>
      </c>
      <c r="BA316" s="122" t="s">
        <v>3395</v>
      </c>
      <c r="BB316" s="588"/>
      <c r="BC316" s="588"/>
      <c r="BD316" s="161">
        <v>1</v>
      </c>
      <c r="BE316" s="161"/>
      <c r="BF316" s="161"/>
      <c r="BG316" s="161"/>
      <c r="BH316" s="161"/>
      <c r="BI316" s="161"/>
      <c r="BJ316" s="161"/>
      <c r="BK316" s="161"/>
      <c r="BL316" s="161"/>
      <c r="BM316" s="161"/>
      <c r="BN316" s="161"/>
      <c r="BO316" s="161"/>
      <c r="BP316" s="161"/>
      <c r="BQ316" s="596" t="s">
        <v>3400</v>
      </c>
      <c r="BR316" s="185" t="s">
        <v>6595</v>
      </c>
      <c r="BS316" s="660"/>
      <c r="BT316" s="150" t="s">
        <v>1876</v>
      </c>
      <c r="BU316" s="150">
        <v>2</v>
      </c>
      <c r="BV316" s="150" t="s">
        <v>3409</v>
      </c>
      <c r="BW316" s="150" t="s">
        <v>23</v>
      </c>
      <c r="BX316" s="150" t="s">
        <v>3406</v>
      </c>
      <c r="BY316" s="134" t="s">
        <v>6640</v>
      </c>
      <c r="BZ316" s="258" t="s">
        <v>3448</v>
      </c>
      <c r="CA316" s="257" t="s">
        <v>6627</v>
      </c>
      <c r="CB316" s="151" t="s">
        <v>3412</v>
      </c>
      <c r="CC316" s="150">
        <v>121</v>
      </c>
      <c r="CD316" s="150" t="s">
        <v>24</v>
      </c>
      <c r="CE316" s="150">
        <v>5.6</v>
      </c>
      <c r="CF316" s="151" t="s">
        <v>3414</v>
      </c>
      <c r="CG316" s="150">
        <v>68</v>
      </c>
      <c r="CH316" s="150" t="s">
        <v>24</v>
      </c>
      <c r="CI316" s="150">
        <v>9.9</v>
      </c>
      <c r="CJ316" s="290" t="s">
        <v>3418</v>
      </c>
      <c r="CK316" s="291" t="s">
        <v>3417</v>
      </c>
      <c r="CL316" s="151"/>
      <c r="CM316" s="150"/>
      <c r="CN316" s="150"/>
      <c r="CO316" s="150"/>
      <c r="CP316" s="151"/>
      <c r="CQ316" s="150"/>
      <c r="CR316" s="150"/>
      <c r="CS316" s="150"/>
      <c r="CT316" s="290"/>
      <c r="CU316" s="291"/>
      <c r="CV316" s="278"/>
      <c r="CW316" s="285"/>
      <c r="CX316" s="151"/>
      <c r="CY316" s="150"/>
      <c r="CZ316" s="150"/>
      <c r="DA316" s="150"/>
      <c r="DB316" s="150"/>
      <c r="DC316" s="150"/>
      <c r="DD316" s="150"/>
      <c r="DE316" s="150"/>
      <c r="DF316" s="302"/>
      <c r="DG316" s="303"/>
      <c r="DH316" s="150"/>
      <c r="DI316" s="150"/>
      <c r="DJ316" s="150"/>
      <c r="DK316" s="150"/>
      <c r="DL316" s="150"/>
      <c r="DM316" s="150"/>
      <c r="DN316" s="150"/>
      <c r="DO316" s="150"/>
      <c r="DP316" s="302"/>
      <c r="DQ316" s="303"/>
      <c r="DR316" s="278"/>
      <c r="DS316" s="279"/>
      <c r="DT316" s="150"/>
      <c r="DU316" s="150"/>
      <c r="DV316" s="150"/>
      <c r="DW316" s="150"/>
      <c r="DX316" s="151"/>
      <c r="DY316" s="150"/>
      <c r="DZ316" s="150"/>
      <c r="EA316" s="150"/>
      <c r="EB316" s="303"/>
      <c r="EC316" s="303"/>
      <c r="ED316" s="151"/>
      <c r="EE316" s="150"/>
      <c r="EF316" s="150"/>
      <c r="EG316" s="150"/>
      <c r="EH316" s="151"/>
      <c r="EI316" s="150"/>
      <c r="EJ316" s="150"/>
      <c r="EK316" s="150"/>
      <c r="EL316" s="303"/>
      <c r="EM316" s="303"/>
      <c r="EN316" s="279"/>
      <c r="EO316" s="150"/>
      <c r="EP316" s="150"/>
      <c r="EQ316" s="150"/>
      <c r="ER316" s="150"/>
      <c r="ES316" s="150"/>
      <c r="ET316" s="150"/>
      <c r="EU316" s="150"/>
      <c r="EV316" s="150"/>
      <c r="EW316" s="303"/>
      <c r="EX316" s="303"/>
      <c r="EY316" s="150"/>
      <c r="EZ316" s="150"/>
      <c r="FA316" s="150"/>
      <c r="FB316" s="150"/>
      <c r="FC316" s="134"/>
      <c r="FD316" s="134"/>
      <c r="FE316" s="134"/>
      <c r="FF316" s="134"/>
      <c r="FG316" s="135"/>
      <c r="FH316" s="135"/>
      <c r="FI316" s="134"/>
      <c r="FJ316" s="134"/>
      <c r="FK316" s="134"/>
      <c r="FL316" s="134"/>
      <c r="FM316" s="134"/>
      <c r="FN316" s="134"/>
      <c r="FO316" s="134"/>
      <c r="FP316" s="134"/>
      <c r="FQ316" s="135"/>
      <c r="FR316" s="135"/>
      <c r="FS316" s="134"/>
      <c r="FT316" s="134"/>
      <c r="FU316" s="134"/>
      <c r="FV316" s="134"/>
      <c r="FW316" s="134"/>
      <c r="FX316" s="134"/>
      <c r="FY316" s="134"/>
      <c r="FZ316" s="134"/>
      <c r="GA316" s="135"/>
      <c r="GB316" s="135"/>
      <c r="GC316" s="134"/>
      <c r="GD316" s="134"/>
      <c r="GE316" s="134"/>
      <c r="GF316" s="134"/>
      <c r="GG316" s="134"/>
      <c r="GH316" s="134"/>
      <c r="GI316" s="134"/>
      <c r="GJ316" s="134"/>
      <c r="GK316" s="135"/>
      <c r="GL316" s="135"/>
      <c r="GM316" s="134"/>
      <c r="GN316" s="134"/>
      <c r="GO316" s="134"/>
      <c r="GP316" s="134"/>
      <c r="GQ316" s="134"/>
      <c r="GR316" s="134"/>
      <c r="GS316" s="134"/>
      <c r="GT316" s="134"/>
      <c r="GU316" s="135"/>
      <c r="GV316" s="135"/>
      <c r="GW316" s="134"/>
      <c r="GX316" s="134"/>
      <c r="GY316" s="134"/>
      <c r="GZ316" s="134"/>
      <c r="HA316" s="134"/>
      <c r="HB316" s="134"/>
      <c r="HC316" s="134"/>
      <c r="HD316" s="134"/>
      <c r="HE316" s="135"/>
      <c r="HF316" s="135"/>
      <c r="HG316" s="134"/>
      <c r="HH316" s="134"/>
      <c r="HI316" s="134"/>
      <c r="HJ316" s="134"/>
      <c r="HK316" s="134"/>
      <c r="HL316" s="134"/>
      <c r="HM316" s="134"/>
      <c r="HN316" s="134"/>
      <c r="HO316" s="135"/>
      <c r="HP316" s="135"/>
      <c r="HQ316" s="134"/>
      <c r="HR316" s="134"/>
      <c r="HS316" s="134"/>
      <c r="HT316" s="134"/>
      <c r="HU316" s="134"/>
      <c r="HV316" s="134"/>
      <c r="HW316" s="134"/>
      <c r="HX316" s="134"/>
      <c r="HY316" s="135"/>
      <c r="HZ316" s="135"/>
      <c r="IA316" s="134"/>
      <c r="IB316" s="134"/>
      <c r="IC316" s="134"/>
      <c r="ID316" s="134"/>
      <c r="IE316" s="134"/>
      <c r="IF316" s="134"/>
      <c r="IG316" s="134"/>
      <c r="IH316" s="134"/>
      <c r="II316" s="135"/>
      <c r="IJ316" s="135"/>
      <c r="IK316" s="134"/>
      <c r="IL316" s="134"/>
      <c r="IM316" s="134"/>
      <c r="IN316" s="134"/>
      <c r="IO316" s="134"/>
      <c r="IP316" s="134"/>
      <c r="IQ316" s="134"/>
      <c r="IR316" s="134"/>
      <c r="IS316" s="135"/>
      <c r="IT316" s="135"/>
      <c r="IU316" s="134"/>
      <c r="IV316" s="134"/>
      <c r="IW316" s="134"/>
      <c r="IX316" s="134"/>
      <c r="IY316" s="134"/>
      <c r="IZ316" s="134"/>
      <c r="JA316" s="134"/>
      <c r="JB316" s="134"/>
      <c r="JC316" s="135"/>
      <c r="JD316" s="135"/>
    </row>
    <row r="317" spans="1:264" customFormat="1" ht="15" customHeight="1">
      <c r="A317" s="118" t="s">
        <v>997</v>
      </c>
      <c r="B317" s="362">
        <v>38</v>
      </c>
      <c r="C317" s="362"/>
      <c r="D317" s="362"/>
      <c r="E317" s="605" t="s">
        <v>2105</v>
      </c>
      <c r="F317" s="140" t="s">
        <v>2363</v>
      </c>
      <c r="G317" s="141">
        <v>2008</v>
      </c>
      <c r="H317" s="118">
        <v>18391192</v>
      </c>
      <c r="I317" s="118">
        <v>1</v>
      </c>
      <c r="J317" s="118">
        <v>1</v>
      </c>
      <c r="K317" s="118"/>
      <c r="L317" s="118">
        <v>1</v>
      </c>
      <c r="M317" s="118"/>
      <c r="N317" s="158">
        <v>1</v>
      </c>
      <c r="O317" s="142">
        <v>2</v>
      </c>
      <c r="P317" s="118" t="s">
        <v>1475</v>
      </c>
      <c r="Q317" s="118" t="s">
        <v>1216</v>
      </c>
      <c r="R317" s="118" t="s">
        <v>1138</v>
      </c>
      <c r="S317" s="118"/>
      <c r="T317" s="118" t="s">
        <v>1489</v>
      </c>
      <c r="U317" s="118"/>
      <c r="V317" s="118"/>
      <c r="W317" s="118" t="s">
        <v>1501</v>
      </c>
      <c r="X317" s="118"/>
      <c r="Y317" s="118"/>
      <c r="Z317" s="118"/>
      <c r="AA317" s="118"/>
      <c r="AB317" s="118"/>
      <c r="AC317" s="145"/>
      <c r="AD317" s="573">
        <v>1</v>
      </c>
      <c r="AE317" s="573">
        <v>2</v>
      </c>
      <c r="AF317" s="159">
        <v>1</v>
      </c>
      <c r="AG317" s="160" t="s">
        <v>3429</v>
      </c>
      <c r="AH317" s="122">
        <v>5</v>
      </c>
      <c r="AI317" s="485"/>
      <c r="AJ317" s="226" t="s">
        <v>3366</v>
      </c>
      <c r="AK317" s="192">
        <v>2</v>
      </c>
      <c r="AL317" s="349">
        <v>0</v>
      </c>
      <c r="AM317" s="122">
        <f>Table668[[#This Row],[Data_Subjects_n_ptsd]]+Table668[[#This Row],[Data_Subjects_n_control]]</f>
        <v>10</v>
      </c>
      <c r="AN317" s="122">
        <v>5</v>
      </c>
      <c r="AO317" s="122">
        <v>5</v>
      </c>
      <c r="AP317" s="122" t="s">
        <v>803</v>
      </c>
      <c r="AQ317" s="122" t="s">
        <v>803</v>
      </c>
      <c r="AR317" s="344" t="s">
        <v>3403</v>
      </c>
      <c r="AS317" s="150" t="s">
        <v>24</v>
      </c>
      <c r="AT317" s="344" t="s">
        <v>3403</v>
      </c>
      <c r="AU317" s="150" t="s">
        <v>24</v>
      </c>
      <c r="AV317" s="122" t="s">
        <v>3311</v>
      </c>
      <c r="AW317" s="122">
        <v>1</v>
      </c>
      <c r="AX317" s="122" t="s">
        <v>3348</v>
      </c>
      <c r="AY317" s="122" t="s">
        <v>3398</v>
      </c>
      <c r="AZ317" s="122" t="s">
        <v>3397</v>
      </c>
      <c r="BA317" s="122" t="s">
        <v>3395</v>
      </c>
      <c r="BB317" s="588"/>
      <c r="BC317" s="588"/>
      <c r="BD317" s="161">
        <v>1</v>
      </c>
      <c r="BE317" s="161"/>
      <c r="BF317" s="161"/>
      <c r="BG317" s="161"/>
      <c r="BH317" s="161"/>
      <c r="BI317" s="161"/>
      <c r="BJ317" s="161"/>
      <c r="BK317" s="161"/>
      <c r="BL317" s="161"/>
      <c r="BM317" s="161"/>
      <c r="BN317" s="161"/>
      <c r="BO317" s="161"/>
      <c r="BP317" s="161"/>
      <c r="BQ317" s="596" t="s">
        <v>3401</v>
      </c>
      <c r="BR317" s="185" t="s">
        <v>6597</v>
      </c>
      <c r="BS317" s="660"/>
      <c r="BT317" s="150" t="s">
        <v>1876</v>
      </c>
      <c r="BU317" s="150">
        <v>2</v>
      </c>
      <c r="BV317" s="145" t="s">
        <v>3404</v>
      </c>
      <c r="BW317" s="150" t="s">
        <v>23</v>
      </c>
      <c r="BX317" s="150" t="s">
        <v>3406</v>
      </c>
      <c r="BY317" s="134" t="s">
        <v>6640</v>
      </c>
      <c r="BZ317" s="258" t="s">
        <v>3446</v>
      </c>
      <c r="CA317" s="257">
        <v>0</v>
      </c>
      <c r="CB317" s="429" t="s">
        <v>3435</v>
      </c>
      <c r="CC317" s="150">
        <v>205.28100000000001</v>
      </c>
      <c r="CD317" s="150" t="s">
        <v>24</v>
      </c>
      <c r="CE317" s="150">
        <f>Table668[[#This Row],[Data_Outcome1_M]]-181.349</f>
        <v>23.932000000000016</v>
      </c>
      <c r="CF317" s="429" t="s">
        <v>3438</v>
      </c>
      <c r="CG317" s="150">
        <v>216.82900000000001</v>
      </c>
      <c r="CH317" s="228" t="s">
        <v>24</v>
      </c>
      <c r="CI317" s="150">
        <f>234.976-Table668[[#This Row],[Data_Outcome2_M]]</f>
        <v>18.146999999999991</v>
      </c>
      <c r="CJ317" s="290" t="s">
        <v>3441</v>
      </c>
      <c r="CK317" s="291" t="s">
        <v>2480</v>
      </c>
      <c r="CL317" s="429" t="s">
        <v>3436</v>
      </c>
      <c r="CM317" s="150">
        <v>152.14599999999999</v>
      </c>
      <c r="CN317" s="150" t="s">
        <v>24</v>
      </c>
      <c r="CO317" s="150">
        <f>174.245-Table668[[#This Row],[Data_Outcome3_M]]</f>
        <v>22.099000000000018</v>
      </c>
      <c r="CP317" s="429" t="s">
        <v>3439</v>
      </c>
      <c r="CQ317" s="150">
        <v>139.767</v>
      </c>
      <c r="CR317" s="150" t="s">
        <v>24</v>
      </c>
      <c r="CS317" s="150">
        <f>Table668[[#This Row],[Data_Outcome4_M]]-121.616</f>
        <v>18.150999999999996</v>
      </c>
      <c r="CT317" s="290" t="s">
        <v>3442</v>
      </c>
      <c r="CU317" s="291" t="s">
        <v>3443</v>
      </c>
      <c r="CV317" s="278"/>
      <c r="CW317" s="285"/>
      <c r="CX317" s="429" t="s">
        <v>3437</v>
      </c>
      <c r="CY317" s="150">
        <v>99.837999999999994</v>
      </c>
      <c r="CZ317" s="150" t="s">
        <v>24</v>
      </c>
      <c r="DA317" s="150">
        <f>Table668[[#This Row],[Data_Outcome5_M]]-79.2089</f>
        <v>20.629099999999994</v>
      </c>
      <c r="DB317" s="429" t="s">
        <v>3440</v>
      </c>
      <c r="DC317" s="150">
        <v>110.56100000000001</v>
      </c>
      <c r="DD317" s="150" t="s">
        <v>24</v>
      </c>
      <c r="DE317" s="150">
        <f>122.11-Table668[[#This Row],[Data_Outcome6_M]]</f>
        <v>11.548999999999992</v>
      </c>
      <c r="DF317" s="302" t="s">
        <v>3444</v>
      </c>
      <c r="DG317" s="303" t="s">
        <v>3445</v>
      </c>
      <c r="DH317" s="228"/>
      <c r="DI317" s="150"/>
      <c r="DJ317" s="150"/>
      <c r="DK317" s="150"/>
      <c r="DL317" s="150"/>
      <c r="DM317" s="150"/>
      <c r="DN317" s="150"/>
      <c r="DO317" s="150"/>
      <c r="DP317" s="302"/>
      <c r="DQ317" s="303"/>
      <c r="DR317" s="278"/>
      <c r="DS317" s="279"/>
      <c r="DT317" s="150"/>
      <c r="DU317" s="150"/>
      <c r="DV317" s="150"/>
      <c r="DW317" s="150"/>
      <c r="DX317" s="151"/>
      <c r="DY317" s="150"/>
      <c r="DZ317" s="150"/>
      <c r="EA317" s="150"/>
      <c r="EB317" s="303"/>
      <c r="EC317" s="303"/>
      <c r="ED317" s="151"/>
      <c r="EE317" s="150"/>
      <c r="EF317" s="150"/>
      <c r="EG317" s="150"/>
      <c r="EH317" s="151"/>
      <c r="EI317" s="150"/>
      <c r="EJ317" s="150"/>
      <c r="EK317" s="150"/>
      <c r="EL317" s="303"/>
      <c r="EM317" s="303"/>
      <c r="EN317" s="279"/>
      <c r="EO317" s="150"/>
      <c r="EP317" s="150"/>
      <c r="EQ317" s="150"/>
      <c r="ER317" s="150"/>
      <c r="ES317" s="150"/>
      <c r="ET317" s="150"/>
      <c r="EU317" s="150"/>
      <c r="EV317" s="150"/>
      <c r="EW317" s="303"/>
      <c r="EX317" s="303"/>
      <c r="EY317" s="150"/>
      <c r="EZ317" s="150"/>
      <c r="FA317" s="150"/>
      <c r="FB317" s="150"/>
      <c r="FC317" s="134"/>
      <c r="FD317" s="134"/>
      <c r="FE317" s="134"/>
      <c r="FF317" s="134"/>
      <c r="FG317" s="135"/>
      <c r="FH317" s="135"/>
      <c r="FI317" s="134"/>
      <c r="FJ317" s="134"/>
      <c r="FK317" s="134"/>
      <c r="FL317" s="134"/>
      <c r="FM317" s="134"/>
      <c r="FN317" s="134"/>
      <c r="FO317" s="134"/>
      <c r="FP317" s="134"/>
      <c r="FQ317" s="135"/>
      <c r="FR317" s="135"/>
      <c r="FS317" s="134"/>
      <c r="FT317" s="134"/>
      <c r="FU317" s="134"/>
      <c r="FV317" s="134"/>
      <c r="FW317" s="134"/>
      <c r="FX317" s="134"/>
      <c r="FY317" s="134"/>
      <c r="FZ317" s="134"/>
      <c r="GA317" s="135"/>
      <c r="GB317" s="135"/>
      <c r="GC317" s="134"/>
      <c r="GD317" s="134"/>
      <c r="GE317" s="134"/>
      <c r="GF317" s="134"/>
      <c r="GG317" s="134"/>
      <c r="GH317" s="134"/>
      <c r="GI317" s="134"/>
      <c r="GJ317" s="134"/>
      <c r="GK317" s="135"/>
      <c r="GL317" s="135"/>
      <c r="GM317" s="134"/>
      <c r="GN317" s="134"/>
      <c r="GO317" s="134"/>
      <c r="GP317" s="134"/>
      <c r="GQ317" s="134"/>
      <c r="GR317" s="134"/>
      <c r="GS317" s="134"/>
      <c r="GT317" s="134"/>
      <c r="GU317" s="135"/>
      <c r="GV317" s="135"/>
      <c r="GW317" s="134"/>
      <c r="GX317" s="134"/>
      <c r="GY317" s="134"/>
      <c r="GZ317" s="134"/>
      <c r="HA317" s="134"/>
      <c r="HB317" s="134"/>
      <c r="HC317" s="134"/>
      <c r="HD317" s="134"/>
      <c r="HE317" s="135"/>
      <c r="HF317" s="135"/>
      <c r="HG317" s="134"/>
      <c r="HH317" s="134"/>
      <c r="HI317" s="134"/>
      <c r="HJ317" s="134"/>
      <c r="HK317" s="134"/>
      <c r="HL317" s="134"/>
      <c r="HM317" s="134"/>
      <c r="HN317" s="134"/>
      <c r="HO317" s="135"/>
      <c r="HP317" s="135"/>
      <c r="HQ317" s="134"/>
      <c r="HR317" s="134"/>
      <c r="HS317" s="134"/>
      <c r="HT317" s="134"/>
      <c r="HU317" s="134"/>
      <c r="HV317" s="134"/>
      <c r="HW317" s="134"/>
      <c r="HX317" s="134"/>
      <c r="HY317" s="135"/>
      <c r="HZ317" s="135"/>
      <c r="IA317" s="134"/>
      <c r="IB317" s="134"/>
      <c r="IC317" s="134"/>
      <c r="ID317" s="134"/>
      <c r="IE317" s="134"/>
      <c r="IF317" s="134"/>
      <c r="IG317" s="134"/>
      <c r="IH317" s="134"/>
      <c r="II317" s="135"/>
      <c r="IJ317" s="135"/>
      <c r="IK317" s="134"/>
      <c r="IL317" s="134"/>
      <c r="IM317" s="134"/>
      <c r="IN317" s="134"/>
      <c r="IO317" s="134"/>
      <c r="IP317" s="134"/>
      <c r="IQ317" s="134"/>
      <c r="IR317" s="134"/>
      <c r="IS317" s="135"/>
      <c r="IT317" s="135"/>
      <c r="IU317" s="134"/>
      <c r="IV317" s="134"/>
      <c r="IW317" s="134"/>
      <c r="IX317" s="134"/>
      <c r="IY317" s="134"/>
      <c r="IZ317" s="134"/>
      <c r="JA317" s="134"/>
      <c r="JB317" s="134"/>
      <c r="JC317" s="135"/>
      <c r="JD317" s="135"/>
    </row>
    <row r="318" spans="1:264" customFormat="1" ht="15" customHeight="1">
      <c r="A318" s="79" t="s">
        <v>997</v>
      </c>
      <c r="B318" s="362">
        <v>38</v>
      </c>
      <c r="C318" s="362"/>
      <c r="D318" s="362"/>
      <c r="E318" s="608" t="s">
        <v>2105</v>
      </c>
      <c r="F318" s="181" t="s">
        <v>2363</v>
      </c>
      <c r="G318" s="182">
        <v>2008</v>
      </c>
      <c r="H318" s="79">
        <v>18391192</v>
      </c>
      <c r="I318" s="79">
        <v>1</v>
      </c>
      <c r="J318" s="79">
        <v>1</v>
      </c>
      <c r="K318" s="79"/>
      <c r="L318" s="79">
        <v>1</v>
      </c>
      <c r="M318" s="79"/>
      <c r="N318" s="153">
        <v>1</v>
      </c>
      <c r="O318" s="128">
        <v>2</v>
      </c>
      <c r="P318" s="79" t="s">
        <v>1475</v>
      </c>
      <c r="Q318" s="79" t="s">
        <v>1216</v>
      </c>
      <c r="R318" s="79" t="s">
        <v>1138</v>
      </c>
      <c r="S318" s="79"/>
      <c r="T318" s="79" t="s">
        <v>1489</v>
      </c>
      <c r="U318" s="79"/>
      <c r="V318" s="79"/>
      <c r="W318" s="79" t="s">
        <v>1501</v>
      </c>
      <c r="X318" s="79"/>
      <c r="Y318" s="79"/>
      <c r="Z318" s="79"/>
      <c r="AA318" s="79"/>
      <c r="AB318" s="79"/>
      <c r="AC318" s="506"/>
      <c r="AD318" s="573">
        <v>1</v>
      </c>
      <c r="AE318" s="573">
        <v>2</v>
      </c>
      <c r="AF318" s="352">
        <v>1</v>
      </c>
      <c r="AG318" s="353" t="s">
        <v>3429</v>
      </c>
      <c r="AH318" s="346">
        <v>5</v>
      </c>
      <c r="AI318" s="487"/>
      <c r="AJ318" s="347" t="s">
        <v>3396</v>
      </c>
      <c r="AK318" s="348">
        <v>2</v>
      </c>
      <c r="AL318" s="349">
        <v>0</v>
      </c>
      <c r="AM318" s="346">
        <f>Table668[[#This Row],[Data_Subjects_n_ptsd]]+Table668[[#This Row],[Data_Subjects_n_control]]</f>
        <v>10</v>
      </c>
      <c r="AN318" s="346">
        <v>5</v>
      </c>
      <c r="AO318" s="346">
        <v>5</v>
      </c>
      <c r="AP318" s="346" t="s">
        <v>803</v>
      </c>
      <c r="AQ318" s="346" t="s">
        <v>803</v>
      </c>
      <c r="AR318" s="350" t="s">
        <v>3403</v>
      </c>
      <c r="AS318" s="186" t="s">
        <v>24</v>
      </c>
      <c r="AT318" s="350" t="s">
        <v>3403</v>
      </c>
      <c r="AU318" s="186" t="s">
        <v>24</v>
      </c>
      <c r="AV318" s="346" t="s">
        <v>3311</v>
      </c>
      <c r="AW318" s="346">
        <v>1</v>
      </c>
      <c r="AX318" s="346" t="s">
        <v>3348</v>
      </c>
      <c r="AY318" s="346" t="s">
        <v>3398</v>
      </c>
      <c r="AZ318" s="346" t="s">
        <v>3397</v>
      </c>
      <c r="BA318" s="346" t="s">
        <v>3395</v>
      </c>
      <c r="BB318" s="598"/>
      <c r="BC318" s="598"/>
      <c r="BD318" s="184">
        <v>1</v>
      </c>
      <c r="BE318" s="184"/>
      <c r="BF318" s="184"/>
      <c r="BG318" s="184"/>
      <c r="BH318" s="184"/>
      <c r="BI318" s="184"/>
      <c r="BJ318" s="184"/>
      <c r="BK318" s="184"/>
      <c r="BL318" s="184"/>
      <c r="BM318" s="184"/>
      <c r="BN318" s="184"/>
      <c r="BO318" s="184"/>
      <c r="BP318" s="184"/>
      <c r="BQ318" s="600" t="s">
        <v>2528</v>
      </c>
      <c r="BR318" s="185" t="s">
        <v>6596</v>
      </c>
      <c r="BS318" s="660"/>
      <c r="BT318" s="186" t="s">
        <v>1876</v>
      </c>
      <c r="BU318" s="186">
        <v>2</v>
      </c>
      <c r="BV318" s="186" t="s">
        <v>3419</v>
      </c>
      <c r="BW318" s="186" t="s">
        <v>23</v>
      </c>
      <c r="BX318" s="186" t="s">
        <v>3406</v>
      </c>
      <c r="BY318" s="134" t="s">
        <v>6640</v>
      </c>
      <c r="BZ318" s="261" t="s">
        <v>3447</v>
      </c>
      <c r="CA318" s="620">
        <v>0</v>
      </c>
      <c r="CB318" s="267" t="s">
        <v>3422</v>
      </c>
      <c r="CC318" s="186">
        <v>12.8</v>
      </c>
      <c r="CD318" s="186" t="s">
        <v>24</v>
      </c>
      <c r="CE318" s="186">
        <v>1.7</v>
      </c>
      <c r="CF318" s="267" t="s">
        <v>3425</v>
      </c>
      <c r="CG318" s="186">
        <v>15</v>
      </c>
      <c r="CH318" s="186" t="s">
        <v>24</v>
      </c>
      <c r="CI318" s="186">
        <v>3.3</v>
      </c>
      <c r="CJ318" s="294" t="s">
        <v>3428</v>
      </c>
      <c r="CK318" s="295" t="s">
        <v>2480</v>
      </c>
      <c r="CL318" s="267"/>
      <c r="CM318" s="186"/>
      <c r="CN318" s="186"/>
      <c r="CO318" s="186"/>
      <c r="CP318" s="267"/>
      <c r="CQ318" s="186"/>
      <c r="CR318" s="186"/>
      <c r="CS318" s="186"/>
      <c r="CT318" s="294"/>
      <c r="CU318" s="295"/>
      <c r="CV318" s="280"/>
      <c r="CW318" s="310"/>
      <c r="CX318" s="267"/>
      <c r="CY318" s="186"/>
      <c r="CZ318" s="186"/>
      <c r="DA318" s="186"/>
      <c r="DB318" s="186"/>
      <c r="DC318" s="186"/>
      <c r="DD318" s="186"/>
      <c r="DE318" s="186"/>
      <c r="DF318" s="305"/>
      <c r="DG318" s="315"/>
      <c r="DH318" s="186"/>
      <c r="DI318" s="186"/>
      <c r="DJ318" s="186"/>
      <c r="DK318" s="186"/>
      <c r="DL318" s="186"/>
      <c r="DM318" s="186"/>
      <c r="DN318" s="186"/>
      <c r="DO318" s="186"/>
      <c r="DP318" s="305"/>
      <c r="DQ318" s="315"/>
      <c r="DR318" s="280"/>
      <c r="DS318" s="281"/>
      <c r="DT318" s="186"/>
      <c r="DU318" s="186"/>
      <c r="DV318" s="186"/>
      <c r="DW318" s="186"/>
      <c r="DX318" s="267"/>
      <c r="DY318" s="186"/>
      <c r="DZ318" s="186"/>
      <c r="EA318" s="186"/>
      <c r="EB318" s="315"/>
      <c r="EC318" s="315"/>
      <c r="ED318" s="267"/>
      <c r="EE318" s="186"/>
      <c r="EF318" s="186"/>
      <c r="EG318" s="186"/>
      <c r="EH318" s="267"/>
      <c r="EI318" s="186"/>
      <c r="EJ318" s="186"/>
      <c r="EK318" s="186"/>
      <c r="EL318" s="315"/>
      <c r="EM318" s="315"/>
      <c r="EN318" s="281"/>
      <c r="EO318" s="186"/>
      <c r="EP318" s="186"/>
      <c r="EQ318" s="186"/>
      <c r="ER318" s="186"/>
      <c r="ES318" s="186"/>
      <c r="ET318" s="186"/>
      <c r="EU318" s="186"/>
      <c r="EV318" s="186"/>
      <c r="EW318" s="315"/>
      <c r="EX318" s="315"/>
      <c r="EY318" s="186"/>
      <c r="EZ318" s="186"/>
      <c r="FA318" s="186"/>
      <c r="FB318" s="186"/>
      <c r="FC318" s="134"/>
      <c r="FD318" s="134"/>
      <c r="FE318" s="134"/>
      <c r="FF318" s="134"/>
      <c r="FG318" s="135"/>
      <c r="FH318" s="135"/>
      <c r="FI318" s="134"/>
      <c r="FJ318" s="134"/>
      <c r="FK318" s="134"/>
      <c r="FL318" s="134"/>
      <c r="FM318" s="134"/>
      <c r="FN318" s="134"/>
      <c r="FO318" s="134"/>
      <c r="FP318" s="134"/>
      <c r="FQ318" s="135"/>
      <c r="FR318" s="135"/>
      <c r="FS318" s="134"/>
      <c r="FT318" s="134"/>
      <c r="FU318" s="134"/>
      <c r="FV318" s="134"/>
      <c r="FW318" s="134"/>
      <c r="FX318" s="134"/>
      <c r="FY318" s="134"/>
      <c r="FZ318" s="134"/>
      <c r="GA318" s="135"/>
      <c r="GB318" s="135"/>
      <c r="GC318" s="134"/>
      <c r="GD318" s="134"/>
      <c r="GE318" s="134"/>
      <c r="GF318" s="134"/>
      <c r="GG318" s="134"/>
      <c r="GH318" s="134"/>
      <c r="GI318" s="134"/>
      <c r="GJ318" s="134"/>
      <c r="GK318" s="135"/>
      <c r="GL318" s="135"/>
      <c r="GM318" s="134"/>
      <c r="GN318" s="134"/>
      <c r="GO318" s="134"/>
      <c r="GP318" s="134"/>
      <c r="GQ318" s="134"/>
      <c r="GR318" s="134"/>
      <c r="GS318" s="134"/>
      <c r="GT318" s="134"/>
      <c r="GU318" s="135"/>
      <c r="GV318" s="135"/>
      <c r="GW318" s="134"/>
      <c r="GX318" s="134"/>
      <c r="GY318" s="134"/>
      <c r="GZ318" s="134"/>
      <c r="HA318" s="134"/>
      <c r="HB318" s="134"/>
      <c r="HC318" s="134"/>
      <c r="HD318" s="134"/>
      <c r="HE318" s="135"/>
      <c r="HF318" s="135"/>
      <c r="HG318" s="134"/>
      <c r="HH318" s="134"/>
      <c r="HI318" s="134"/>
      <c r="HJ318" s="134"/>
      <c r="HK318" s="134"/>
      <c r="HL318" s="134"/>
      <c r="HM318" s="134"/>
      <c r="HN318" s="134"/>
      <c r="HO318" s="135"/>
      <c r="HP318" s="135"/>
      <c r="HQ318" s="134"/>
      <c r="HR318" s="134"/>
      <c r="HS318" s="134"/>
      <c r="HT318" s="134"/>
      <c r="HU318" s="134"/>
      <c r="HV318" s="134"/>
      <c r="HW318" s="134"/>
      <c r="HX318" s="134"/>
      <c r="HY318" s="135"/>
      <c r="HZ318" s="135"/>
      <c r="IA318" s="134"/>
      <c r="IB318" s="134"/>
      <c r="IC318" s="134"/>
      <c r="ID318" s="134"/>
      <c r="IE318" s="134"/>
      <c r="IF318" s="134"/>
      <c r="IG318" s="134"/>
      <c r="IH318" s="134"/>
      <c r="II318" s="135"/>
      <c r="IJ318" s="135"/>
      <c r="IK318" s="134"/>
      <c r="IL318" s="134"/>
      <c r="IM318" s="134"/>
      <c r="IN318" s="134"/>
      <c r="IO318" s="134"/>
      <c r="IP318" s="134"/>
      <c r="IQ318" s="134"/>
      <c r="IR318" s="134"/>
      <c r="IS318" s="135"/>
      <c r="IT318" s="135"/>
      <c r="IU318" s="134"/>
      <c r="IV318" s="134"/>
      <c r="IW318" s="134"/>
      <c r="IX318" s="134"/>
      <c r="IY318" s="134"/>
      <c r="IZ318" s="134"/>
      <c r="JA318" s="134"/>
      <c r="JB318" s="134"/>
      <c r="JC318" s="135"/>
      <c r="JD318" s="135"/>
    </row>
    <row r="319" spans="1:264" customFormat="1" ht="15" customHeight="1">
      <c r="A319" s="118" t="s">
        <v>997</v>
      </c>
      <c r="B319" s="362">
        <v>38</v>
      </c>
      <c r="C319" s="362"/>
      <c r="D319" s="362"/>
      <c r="E319" s="605" t="s">
        <v>2105</v>
      </c>
      <c r="F319" s="140" t="s">
        <v>2363</v>
      </c>
      <c r="G319" s="141">
        <v>2008</v>
      </c>
      <c r="H319" s="118">
        <v>18391192</v>
      </c>
      <c r="I319" s="118">
        <v>1</v>
      </c>
      <c r="J319" s="118">
        <v>1</v>
      </c>
      <c r="K319" s="118"/>
      <c r="L319" s="118">
        <v>1</v>
      </c>
      <c r="M319" s="118"/>
      <c r="N319" s="158">
        <v>1</v>
      </c>
      <c r="O319" s="142">
        <v>2</v>
      </c>
      <c r="P319" s="118" t="s">
        <v>1475</v>
      </c>
      <c r="Q319" s="118" t="s">
        <v>1216</v>
      </c>
      <c r="R319" s="118" t="s">
        <v>1138</v>
      </c>
      <c r="S319" s="118"/>
      <c r="T319" s="118" t="s">
        <v>1489</v>
      </c>
      <c r="U319" s="118"/>
      <c r="V319" s="118"/>
      <c r="W319" s="118" t="s">
        <v>1501</v>
      </c>
      <c r="X319" s="118"/>
      <c r="Y319" s="118"/>
      <c r="Z319" s="118"/>
      <c r="AA319" s="118"/>
      <c r="AB319" s="118"/>
      <c r="AC319" s="145"/>
      <c r="AD319" s="573">
        <v>1</v>
      </c>
      <c r="AE319" s="573">
        <v>2</v>
      </c>
      <c r="AF319" s="159">
        <v>1</v>
      </c>
      <c r="AG319" s="160" t="s">
        <v>3429</v>
      </c>
      <c r="AH319" s="122">
        <v>5</v>
      </c>
      <c r="AI319" s="485"/>
      <c r="AJ319" s="226" t="s">
        <v>3366</v>
      </c>
      <c r="AK319" s="348">
        <v>2</v>
      </c>
      <c r="AL319" s="349">
        <v>0</v>
      </c>
      <c r="AM319" s="122">
        <f>Table668[[#This Row],[Data_Subjects_n_ptsd]]+Table668[[#This Row],[Data_Subjects_n_control]]</f>
        <v>10</v>
      </c>
      <c r="AN319" s="122">
        <v>5</v>
      </c>
      <c r="AO319" s="122">
        <v>5</v>
      </c>
      <c r="AP319" s="122" t="s">
        <v>803</v>
      </c>
      <c r="AQ319" s="122" t="s">
        <v>803</v>
      </c>
      <c r="AR319" s="344" t="s">
        <v>3403</v>
      </c>
      <c r="AS319" s="150" t="s">
        <v>24</v>
      </c>
      <c r="AT319" s="344" t="s">
        <v>3403</v>
      </c>
      <c r="AU319" s="150" t="s">
        <v>24</v>
      </c>
      <c r="AV319" s="122" t="s">
        <v>3311</v>
      </c>
      <c r="AW319" s="122">
        <v>1</v>
      </c>
      <c r="AX319" s="122" t="s">
        <v>3348</v>
      </c>
      <c r="AY319" s="122" t="s">
        <v>3398</v>
      </c>
      <c r="AZ319" s="122" t="s">
        <v>3397</v>
      </c>
      <c r="BA319" s="122" t="s">
        <v>3395</v>
      </c>
      <c r="BB319" s="588"/>
      <c r="BC319" s="588"/>
      <c r="BD319" s="161">
        <v>1</v>
      </c>
      <c r="BE319" s="161"/>
      <c r="BF319" s="161"/>
      <c r="BG319" s="161"/>
      <c r="BH319" s="161"/>
      <c r="BI319" s="161"/>
      <c r="BJ319" s="161"/>
      <c r="BK319" s="161"/>
      <c r="BL319" s="161"/>
      <c r="BM319" s="161"/>
      <c r="BN319" s="161"/>
      <c r="BO319" s="161"/>
      <c r="BP319" s="161"/>
      <c r="BQ319" s="596" t="s">
        <v>2528</v>
      </c>
      <c r="BR319" s="185" t="s">
        <v>6596</v>
      </c>
      <c r="BS319" s="660"/>
      <c r="BT319" s="150" t="s">
        <v>1876</v>
      </c>
      <c r="BU319" s="150">
        <v>2</v>
      </c>
      <c r="BV319" s="150" t="s">
        <v>3420</v>
      </c>
      <c r="BW319" s="150" t="s">
        <v>23</v>
      </c>
      <c r="BX319" s="150" t="s">
        <v>3406</v>
      </c>
      <c r="BY319" s="134" t="s">
        <v>6640</v>
      </c>
      <c r="BZ319" s="261" t="s">
        <v>3447</v>
      </c>
      <c r="CA319" s="620">
        <v>0</v>
      </c>
      <c r="CB319" s="151" t="s">
        <v>3423</v>
      </c>
      <c r="CC319" s="150">
        <v>33.200000000000003</v>
      </c>
      <c r="CD319" s="150" t="s">
        <v>24</v>
      </c>
      <c r="CE319" s="150">
        <v>1.9</v>
      </c>
      <c r="CF319" s="151" t="s">
        <v>3426</v>
      </c>
      <c r="CG319" s="150">
        <v>38.299999999999997</v>
      </c>
      <c r="CH319" s="150" t="s">
        <v>24</v>
      </c>
      <c r="CI319" s="150">
        <v>7.1</v>
      </c>
      <c r="CJ319" s="290" t="s">
        <v>3428</v>
      </c>
      <c r="CK319" s="291" t="s">
        <v>2480</v>
      </c>
      <c r="CL319" s="151"/>
      <c r="CM319" s="150"/>
      <c r="CN319" s="150"/>
      <c r="CO319" s="150"/>
      <c r="CP319" s="151"/>
      <c r="CQ319" s="150"/>
      <c r="CR319" s="150"/>
      <c r="CS319" s="150"/>
      <c r="CT319" s="290"/>
      <c r="CU319" s="291"/>
      <c r="CV319" s="278"/>
      <c r="CW319" s="285"/>
      <c r="CX319" s="151"/>
      <c r="CY319" s="150"/>
      <c r="CZ319" s="150"/>
      <c r="DA319" s="150"/>
      <c r="DB319" s="150"/>
      <c r="DC319" s="150"/>
      <c r="DD319" s="150"/>
      <c r="DE319" s="150"/>
      <c r="DF319" s="302"/>
      <c r="DG319" s="303"/>
      <c r="DH319" s="150"/>
      <c r="DI319" s="150"/>
      <c r="DJ319" s="150"/>
      <c r="DK319" s="150"/>
      <c r="DL319" s="150"/>
      <c r="DM319" s="150"/>
      <c r="DN319" s="150"/>
      <c r="DO319" s="150"/>
      <c r="DP319" s="302"/>
      <c r="DQ319" s="303"/>
      <c r="DR319" s="278"/>
      <c r="DS319" s="279"/>
      <c r="DT319" s="150"/>
      <c r="DU319" s="150"/>
      <c r="DV319" s="150"/>
      <c r="DW319" s="150"/>
      <c r="DX319" s="151"/>
      <c r="DY319" s="150"/>
      <c r="DZ319" s="150"/>
      <c r="EA319" s="150"/>
      <c r="EB319" s="303"/>
      <c r="EC319" s="303"/>
      <c r="ED319" s="151"/>
      <c r="EE319" s="150"/>
      <c r="EF319" s="150"/>
      <c r="EG319" s="150"/>
      <c r="EH319" s="151"/>
      <c r="EI319" s="150"/>
      <c r="EJ319" s="150"/>
      <c r="EK319" s="150"/>
      <c r="EL319" s="303"/>
      <c r="EM319" s="303"/>
      <c r="EN319" s="279"/>
      <c r="EO319" s="150"/>
      <c r="EP319" s="150"/>
      <c r="EQ319" s="150"/>
      <c r="ER319" s="150"/>
      <c r="ES319" s="150"/>
      <c r="ET319" s="150"/>
      <c r="EU319" s="150"/>
      <c r="EV319" s="150"/>
      <c r="EW319" s="303"/>
      <c r="EX319" s="303"/>
      <c r="EY319" s="150"/>
      <c r="EZ319" s="150"/>
      <c r="FA319" s="150"/>
      <c r="FB319" s="150"/>
      <c r="FC319" s="134"/>
      <c r="FD319" s="134"/>
      <c r="FE319" s="134"/>
      <c r="FF319" s="134"/>
      <c r="FG319" s="135"/>
      <c r="FH319" s="135"/>
      <c r="FI319" s="134"/>
      <c r="FJ319" s="134"/>
      <c r="FK319" s="134"/>
      <c r="FL319" s="134"/>
      <c r="FM319" s="134"/>
      <c r="FN319" s="134"/>
      <c r="FO319" s="134"/>
      <c r="FP319" s="134"/>
      <c r="FQ319" s="135"/>
      <c r="FR319" s="135"/>
      <c r="FS319" s="134"/>
      <c r="FT319" s="134"/>
      <c r="FU319" s="134"/>
      <c r="FV319" s="134"/>
      <c r="FW319" s="134"/>
      <c r="FX319" s="134"/>
      <c r="FY319" s="134"/>
      <c r="FZ319" s="134"/>
      <c r="GA319" s="135"/>
      <c r="GB319" s="135"/>
      <c r="GC319" s="134"/>
      <c r="GD319" s="134"/>
      <c r="GE319" s="134"/>
      <c r="GF319" s="134"/>
      <c r="GG319" s="134"/>
      <c r="GH319" s="134"/>
      <c r="GI319" s="134"/>
      <c r="GJ319" s="134"/>
      <c r="GK319" s="135"/>
      <c r="GL319" s="135"/>
      <c r="GM319" s="134"/>
      <c r="GN319" s="134"/>
      <c r="GO319" s="134"/>
      <c r="GP319" s="134"/>
      <c r="GQ319" s="134"/>
      <c r="GR319" s="134"/>
      <c r="GS319" s="134"/>
      <c r="GT319" s="134"/>
      <c r="GU319" s="135"/>
      <c r="GV319" s="135"/>
      <c r="GW319" s="134"/>
      <c r="GX319" s="134"/>
      <c r="GY319" s="134"/>
      <c r="GZ319" s="134"/>
      <c r="HA319" s="134"/>
      <c r="HB319" s="134"/>
      <c r="HC319" s="134"/>
      <c r="HD319" s="134"/>
      <c r="HE319" s="135"/>
      <c r="HF319" s="135"/>
      <c r="HG319" s="134"/>
      <c r="HH319" s="134"/>
      <c r="HI319" s="134"/>
      <c r="HJ319" s="134"/>
      <c r="HK319" s="134"/>
      <c r="HL319" s="134"/>
      <c r="HM319" s="134"/>
      <c r="HN319" s="134"/>
      <c r="HO319" s="135"/>
      <c r="HP319" s="135"/>
      <c r="HQ319" s="134"/>
      <c r="HR319" s="134"/>
      <c r="HS319" s="134"/>
      <c r="HT319" s="134"/>
      <c r="HU319" s="134"/>
      <c r="HV319" s="134"/>
      <c r="HW319" s="134"/>
      <c r="HX319" s="134"/>
      <c r="HY319" s="135"/>
      <c r="HZ319" s="135"/>
      <c r="IA319" s="134"/>
      <c r="IB319" s="134"/>
      <c r="IC319" s="134"/>
      <c r="ID319" s="134"/>
      <c r="IE319" s="134"/>
      <c r="IF319" s="134"/>
      <c r="IG319" s="134"/>
      <c r="IH319" s="134"/>
      <c r="II319" s="135"/>
      <c r="IJ319" s="135"/>
      <c r="IK319" s="134"/>
      <c r="IL319" s="134"/>
      <c r="IM319" s="134"/>
      <c r="IN319" s="134"/>
      <c r="IO319" s="134"/>
      <c r="IP319" s="134"/>
      <c r="IQ319" s="134"/>
      <c r="IR319" s="134"/>
      <c r="IS319" s="135"/>
      <c r="IT319" s="135"/>
      <c r="IU319" s="134"/>
      <c r="IV319" s="134"/>
      <c r="IW319" s="134"/>
      <c r="IX319" s="134"/>
      <c r="IY319" s="134"/>
      <c r="IZ319" s="134"/>
      <c r="JA319" s="134"/>
      <c r="JB319" s="134"/>
      <c r="JC319" s="135"/>
      <c r="JD319" s="135"/>
    </row>
    <row r="320" spans="1:264" customFormat="1" ht="15" customHeight="1">
      <c r="A320" s="118" t="s">
        <v>997</v>
      </c>
      <c r="B320" s="362">
        <v>38</v>
      </c>
      <c r="C320" s="362"/>
      <c r="D320" s="362"/>
      <c r="E320" s="605" t="s">
        <v>2105</v>
      </c>
      <c r="F320" s="140" t="s">
        <v>2363</v>
      </c>
      <c r="G320" s="141">
        <v>2008</v>
      </c>
      <c r="H320" s="118">
        <v>18391192</v>
      </c>
      <c r="I320" s="118">
        <v>1</v>
      </c>
      <c r="J320" s="118">
        <v>1</v>
      </c>
      <c r="K320" s="118"/>
      <c r="L320" s="118">
        <v>1</v>
      </c>
      <c r="M320" s="118"/>
      <c r="N320" s="158">
        <v>1</v>
      </c>
      <c r="O320" s="142">
        <v>2</v>
      </c>
      <c r="P320" s="118" t="s">
        <v>1475</v>
      </c>
      <c r="Q320" s="118" t="s">
        <v>1216</v>
      </c>
      <c r="R320" s="118" t="s">
        <v>1138</v>
      </c>
      <c r="S320" s="118"/>
      <c r="T320" s="118" t="s">
        <v>1489</v>
      </c>
      <c r="U320" s="118"/>
      <c r="V320" s="118"/>
      <c r="W320" s="118" t="s">
        <v>1501</v>
      </c>
      <c r="X320" s="118"/>
      <c r="Y320" s="118"/>
      <c r="Z320" s="118"/>
      <c r="AA320" s="118"/>
      <c r="AB320" s="118"/>
      <c r="AC320" s="145"/>
      <c r="AD320" s="573">
        <v>1</v>
      </c>
      <c r="AE320" s="573">
        <v>2</v>
      </c>
      <c r="AF320" s="159">
        <v>1</v>
      </c>
      <c r="AG320" s="160" t="s">
        <v>3429</v>
      </c>
      <c r="AH320" s="122">
        <v>5</v>
      </c>
      <c r="AI320" s="485"/>
      <c r="AJ320" s="226" t="s">
        <v>3366</v>
      </c>
      <c r="AK320" s="348">
        <v>2</v>
      </c>
      <c r="AL320" s="349">
        <v>0</v>
      </c>
      <c r="AM320" s="122">
        <f>Table668[[#This Row],[Data_Subjects_n_ptsd]]+Table668[[#This Row],[Data_Subjects_n_control]]</f>
        <v>10</v>
      </c>
      <c r="AN320" s="122">
        <v>5</v>
      </c>
      <c r="AO320" s="122">
        <v>5</v>
      </c>
      <c r="AP320" s="122" t="s">
        <v>803</v>
      </c>
      <c r="AQ320" s="122" t="s">
        <v>803</v>
      </c>
      <c r="AR320" s="344" t="s">
        <v>3403</v>
      </c>
      <c r="AS320" s="150" t="s">
        <v>24</v>
      </c>
      <c r="AT320" s="344" t="s">
        <v>3403</v>
      </c>
      <c r="AU320" s="150" t="s">
        <v>24</v>
      </c>
      <c r="AV320" s="122" t="s">
        <v>3311</v>
      </c>
      <c r="AW320" s="122">
        <v>1</v>
      </c>
      <c r="AX320" s="122" t="s">
        <v>3348</v>
      </c>
      <c r="AY320" s="122" t="s">
        <v>3398</v>
      </c>
      <c r="AZ320" s="122" t="s">
        <v>3397</v>
      </c>
      <c r="BA320" s="122" t="s">
        <v>3395</v>
      </c>
      <c r="BB320" s="588"/>
      <c r="BC320" s="588"/>
      <c r="BD320" s="161">
        <v>1</v>
      </c>
      <c r="BE320" s="161"/>
      <c r="BF320" s="161"/>
      <c r="BG320" s="161"/>
      <c r="BH320" s="161"/>
      <c r="BI320" s="161"/>
      <c r="BJ320" s="161"/>
      <c r="BK320" s="161"/>
      <c r="BL320" s="161"/>
      <c r="BM320" s="161"/>
      <c r="BN320" s="161"/>
      <c r="BO320" s="161"/>
      <c r="BP320" s="161"/>
      <c r="BQ320" s="596" t="s">
        <v>2528</v>
      </c>
      <c r="BR320" s="185" t="s">
        <v>6596</v>
      </c>
      <c r="BS320" s="660"/>
      <c r="BT320" s="150" t="s">
        <v>1876</v>
      </c>
      <c r="BU320" s="150">
        <v>2</v>
      </c>
      <c r="BV320" s="150" t="s">
        <v>3421</v>
      </c>
      <c r="BW320" s="150" t="s">
        <v>23</v>
      </c>
      <c r="BX320" s="150" t="s">
        <v>3406</v>
      </c>
      <c r="BY320" s="134" t="s">
        <v>6640</v>
      </c>
      <c r="BZ320" s="261" t="s">
        <v>3447</v>
      </c>
      <c r="CA320" s="620">
        <v>0</v>
      </c>
      <c r="CB320" s="429" t="s">
        <v>3424</v>
      </c>
      <c r="CC320" s="150">
        <v>138</v>
      </c>
      <c r="CD320" s="150" t="s">
        <v>24</v>
      </c>
      <c r="CE320" s="150">
        <v>14</v>
      </c>
      <c r="CF320" s="429" t="s">
        <v>3427</v>
      </c>
      <c r="CG320" s="150">
        <v>137</v>
      </c>
      <c r="CH320" s="150" t="s">
        <v>24</v>
      </c>
      <c r="CI320" s="150">
        <v>20</v>
      </c>
      <c r="CJ320" s="290" t="s">
        <v>3428</v>
      </c>
      <c r="CK320" s="291" t="s">
        <v>2480</v>
      </c>
      <c r="CL320" s="151"/>
      <c r="CM320" s="150"/>
      <c r="CN320" s="150"/>
      <c r="CO320" s="150"/>
      <c r="CP320" s="151"/>
      <c r="CQ320" s="150"/>
      <c r="CR320" s="150"/>
      <c r="CS320" s="150"/>
      <c r="CT320" s="290"/>
      <c r="CU320" s="291"/>
      <c r="CV320" s="278"/>
      <c r="CW320" s="285"/>
      <c r="CX320" s="151"/>
      <c r="CY320" s="150"/>
      <c r="CZ320" s="150"/>
      <c r="DA320" s="150"/>
      <c r="DB320" s="150"/>
      <c r="DC320" s="150"/>
      <c r="DD320" s="150"/>
      <c r="DE320" s="150"/>
      <c r="DF320" s="302"/>
      <c r="DG320" s="303"/>
      <c r="DH320" s="150"/>
      <c r="DI320" s="150"/>
      <c r="DJ320" s="150"/>
      <c r="DK320" s="150"/>
      <c r="DL320" s="150"/>
      <c r="DM320" s="150"/>
      <c r="DN320" s="150"/>
      <c r="DO320" s="150"/>
      <c r="DP320" s="302"/>
      <c r="DQ320" s="303"/>
      <c r="DR320" s="278"/>
      <c r="DS320" s="279"/>
      <c r="DT320" s="150"/>
      <c r="DU320" s="150"/>
      <c r="DV320" s="150"/>
      <c r="DW320" s="150"/>
      <c r="DX320" s="151"/>
      <c r="DY320" s="150"/>
      <c r="DZ320" s="150"/>
      <c r="EA320" s="150"/>
      <c r="EB320" s="303"/>
      <c r="EC320" s="303"/>
      <c r="ED320" s="151"/>
      <c r="EE320" s="150"/>
      <c r="EF320" s="150"/>
      <c r="EG320" s="150"/>
      <c r="EH320" s="151"/>
      <c r="EI320" s="150"/>
      <c r="EJ320" s="150"/>
      <c r="EK320" s="150"/>
      <c r="EL320" s="303"/>
      <c r="EM320" s="303"/>
      <c r="EN320" s="279"/>
      <c r="EO320" s="150"/>
      <c r="EP320" s="150"/>
      <c r="EQ320" s="150"/>
      <c r="ER320" s="150"/>
      <c r="ES320" s="150"/>
      <c r="ET320" s="150"/>
      <c r="EU320" s="150"/>
      <c r="EV320" s="150"/>
      <c r="EW320" s="303"/>
      <c r="EX320" s="303"/>
      <c r="EY320" s="150"/>
      <c r="EZ320" s="150"/>
      <c r="FA320" s="150"/>
      <c r="FB320" s="150"/>
      <c r="FC320" s="134"/>
      <c r="FD320" s="134"/>
      <c r="FE320" s="134"/>
      <c r="FF320" s="134"/>
      <c r="FG320" s="135"/>
      <c r="FH320" s="135"/>
      <c r="FI320" s="134"/>
      <c r="FJ320" s="134"/>
      <c r="FK320" s="134"/>
      <c r="FL320" s="134"/>
      <c r="FM320" s="134"/>
      <c r="FN320" s="134"/>
      <c r="FO320" s="134"/>
      <c r="FP320" s="134"/>
      <c r="FQ320" s="135"/>
      <c r="FR320" s="135"/>
      <c r="FS320" s="134"/>
      <c r="FT320" s="134"/>
      <c r="FU320" s="134"/>
      <c r="FV320" s="134"/>
      <c r="FW320" s="134"/>
      <c r="FX320" s="134"/>
      <c r="FY320" s="134"/>
      <c r="FZ320" s="134"/>
      <c r="GA320" s="135"/>
      <c r="GB320" s="135"/>
      <c r="GC320" s="134"/>
      <c r="GD320" s="134"/>
      <c r="GE320" s="134"/>
      <c r="GF320" s="134"/>
      <c r="GG320" s="134"/>
      <c r="GH320" s="134"/>
      <c r="GI320" s="134"/>
      <c r="GJ320" s="134"/>
      <c r="GK320" s="135"/>
      <c r="GL320" s="135"/>
      <c r="GM320" s="134"/>
      <c r="GN320" s="134"/>
      <c r="GO320" s="134"/>
      <c r="GP320" s="134"/>
      <c r="GQ320" s="134"/>
      <c r="GR320" s="134"/>
      <c r="GS320" s="134"/>
      <c r="GT320" s="134"/>
      <c r="GU320" s="135"/>
      <c r="GV320" s="135"/>
      <c r="GW320" s="134"/>
      <c r="GX320" s="134"/>
      <c r="GY320" s="134"/>
      <c r="GZ320" s="134"/>
      <c r="HA320" s="134"/>
      <c r="HB320" s="134"/>
      <c r="HC320" s="134"/>
      <c r="HD320" s="134"/>
      <c r="HE320" s="135"/>
      <c r="HF320" s="135"/>
      <c r="HG320" s="134"/>
      <c r="HH320" s="134"/>
      <c r="HI320" s="134"/>
      <c r="HJ320" s="134"/>
      <c r="HK320" s="134"/>
      <c r="HL320" s="134"/>
      <c r="HM320" s="134"/>
      <c r="HN320" s="134"/>
      <c r="HO320" s="135"/>
      <c r="HP320" s="135"/>
      <c r="HQ320" s="134"/>
      <c r="HR320" s="134"/>
      <c r="HS320" s="134"/>
      <c r="HT320" s="134"/>
      <c r="HU320" s="134"/>
      <c r="HV320" s="134"/>
      <c r="HW320" s="134"/>
      <c r="HX320" s="134"/>
      <c r="HY320" s="135"/>
      <c r="HZ320" s="135"/>
      <c r="IA320" s="134"/>
      <c r="IB320" s="134"/>
      <c r="IC320" s="134"/>
      <c r="ID320" s="134"/>
      <c r="IE320" s="134"/>
      <c r="IF320" s="134"/>
      <c r="IG320" s="134"/>
      <c r="IH320" s="134"/>
      <c r="II320" s="135"/>
      <c r="IJ320" s="135"/>
      <c r="IK320" s="134"/>
      <c r="IL320" s="134"/>
      <c r="IM320" s="134"/>
      <c r="IN320" s="134"/>
      <c r="IO320" s="134"/>
      <c r="IP320" s="134"/>
      <c r="IQ320" s="134"/>
      <c r="IR320" s="134"/>
      <c r="IS320" s="135"/>
      <c r="IT320" s="135"/>
      <c r="IU320" s="134"/>
      <c r="IV320" s="134"/>
      <c r="IW320" s="134"/>
      <c r="IX320" s="134"/>
      <c r="IY320" s="134"/>
      <c r="IZ320" s="134"/>
      <c r="JA320" s="134"/>
      <c r="JB320" s="134"/>
      <c r="JC320" s="135"/>
      <c r="JD320" s="135"/>
    </row>
    <row r="321" spans="1:264" customFormat="1" ht="15" customHeight="1">
      <c r="A321" s="118" t="s">
        <v>997</v>
      </c>
      <c r="B321" s="362">
        <v>38</v>
      </c>
      <c r="C321" s="362"/>
      <c r="D321" s="362"/>
      <c r="E321" s="605" t="s">
        <v>2105</v>
      </c>
      <c r="F321" s="140" t="s">
        <v>2363</v>
      </c>
      <c r="G321" s="141">
        <v>2008</v>
      </c>
      <c r="H321" s="118">
        <v>18391192</v>
      </c>
      <c r="I321" s="118">
        <v>1</v>
      </c>
      <c r="J321" s="118">
        <v>1</v>
      </c>
      <c r="K321" s="118"/>
      <c r="L321" s="118">
        <v>1</v>
      </c>
      <c r="M321" s="118"/>
      <c r="N321" s="158">
        <v>1</v>
      </c>
      <c r="O321" s="142">
        <v>2</v>
      </c>
      <c r="P321" s="118" t="s">
        <v>1475</v>
      </c>
      <c r="Q321" s="118" t="s">
        <v>1216</v>
      </c>
      <c r="R321" s="118" t="s">
        <v>1138</v>
      </c>
      <c r="S321" s="118"/>
      <c r="T321" s="118" t="s">
        <v>1489</v>
      </c>
      <c r="U321" s="118"/>
      <c r="V321" s="118"/>
      <c r="W321" s="118" t="s">
        <v>1501</v>
      </c>
      <c r="X321" s="118"/>
      <c r="Y321" s="118"/>
      <c r="Z321" s="118"/>
      <c r="AA321" s="118"/>
      <c r="AB321" s="118"/>
      <c r="AC321" s="145"/>
      <c r="AD321" s="573">
        <v>1</v>
      </c>
      <c r="AE321" s="573">
        <v>2</v>
      </c>
      <c r="AF321" s="159">
        <v>1</v>
      </c>
      <c r="AG321" s="160" t="s">
        <v>3429</v>
      </c>
      <c r="AH321" s="122">
        <v>5</v>
      </c>
      <c r="AI321" s="485"/>
      <c r="AJ321" s="226" t="s">
        <v>3366</v>
      </c>
      <c r="AK321" s="348">
        <v>2</v>
      </c>
      <c r="AL321" s="349">
        <v>0</v>
      </c>
      <c r="AM321" s="122">
        <f>Table668[[#This Row],[Data_Subjects_n_ptsd]]+Table668[[#This Row],[Data_Subjects_n_control]]</f>
        <v>10</v>
      </c>
      <c r="AN321" s="122">
        <v>5</v>
      </c>
      <c r="AO321" s="122">
        <v>5</v>
      </c>
      <c r="AP321" s="122" t="s">
        <v>803</v>
      </c>
      <c r="AQ321" s="122" t="s">
        <v>803</v>
      </c>
      <c r="AR321" s="344" t="s">
        <v>3403</v>
      </c>
      <c r="AS321" s="150" t="s">
        <v>24</v>
      </c>
      <c r="AT321" s="344" t="s">
        <v>3403</v>
      </c>
      <c r="AU321" s="150" t="s">
        <v>24</v>
      </c>
      <c r="AV321" s="122" t="s">
        <v>3311</v>
      </c>
      <c r="AW321" s="122">
        <v>1</v>
      </c>
      <c r="AX321" s="122" t="s">
        <v>3348</v>
      </c>
      <c r="AY321" s="122" t="s">
        <v>3398</v>
      </c>
      <c r="AZ321" s="122" t="s">
        <v>3397</v>
      </c>
      <c r="BA321" s="122" t="s">
        <v>3395</v>
      </c>
      <c r="BB321" s="588"/>
      <c r="BC321" s="588"/>
      <c r="BD321" s="161">
        <v>1</v>
      </c>
      <c r="BE321" s="161"/>
      <c r="BF321" s="161"/>
      <c r="BG321" s="161"/>
      <c r="BH321" s="161"/>
      <c r="BI321" s="161"/>
      <c r="BJ321" s="161"/>
      <c r="BK321" s="161"/>
      <c r="BL321" s="161"/>
      <c r="BM321" s="161"/>
      <c r="BN321" s="161"/>
      <c r="BO321" s="161"/>
      <c r="BP321" s="161"/>
      <c r="BQ321" s="596" t="s">
        <v>3399</v>
      </c>
      <c r="BR321" s="185" t="s">
        <v>6601</v>
      </c>
      <c r="BS321" s="660"/>
      <c r="BT321" s="150" t="s">
        <v>1876</v>
      </c>
      <c r="BU321" s="150">
        <v>2</v>
      </c>
      <c r="BV321" s="150" t="s">
        <v>3408</v>
      </c>
      <c r="BW321" s="150" t="s">
        <v>23</v>
      </c>
      <c r="BX321" s="150" t="s">
        <v>3406</v>
      </c>
      <c r="BY321" s="134" t="s">
        <v>6640</v>
      </c>
      <c r="BZ321" s="258" t="s">
        <v>3449</v>
      </c>
      <c r="CA321" s="257">
        <v>0</v>
      </c>
      <c r="CB321" s="151" t="s">
        <v>3430</v>
      </c>
      <c r="CC321" s="150">
        <v>18.899999999999999</v>
      </c>
      <c r="CD321" s="228" t="s">
        <v>3433</v>
      </c>
      <c r="CE321" s="150" t="s">
        <v>24</v>
      </c>
      <c r="CF321" s="151" t="s">
        <v>3431</v>
      </c>
      <c r="CG321" s="150">
        <v>20.100000000000001</v>
      </c>
      <c r="CH321" s="150" t="s">
        <v>3432</v>
      </c>
      <c r="CI321" s="150" t="s">
        <v>24</v>
      </c>
      <c r="CJ321" s="290" t="s">
        <v>3434</v>
      </c>
      <c r="CK321" s="291" t="s">
        <v>2480</v>
      </c>
      <c r="CL321" s="151"/>
      <c r="CM321" s="150"/>
      <c r="CN321" s="150"/>
      <c r="CO321" s="150"/>
      <c r="CP321" s="151"/>
      <c r="CQ321" s="150"/>
      <c r="CR321" s="150"/>
      <c r="CS321" s="150"/>
      <c r="CT321" s="290"/>
      <c r="CU321" s="291"/>
      <c r="CV321" s="278"/>
      <c r="CW321" s="285"/>
      <c r="CX321" s="151"/>
      <c r="CY321" s="150"/>
      <c r="CZ321" s="150"/>
      <c r="DA321" s="150"/>
      <c r="DB321" s="150"/>
      <c r="DC321" s="150"/>
      <c r="DD321" s="150"/>
      <c r="DE321" s="150"/>
      <c r="DF321" s="302"/>
      <c r="DG321" s="303"/>
      <c r="DH321" s="150"/>
      <c r="DI321" s="150"/>
      <c r="DJ321" s="150"/>
      <c r="DK321" s="150"/>
      <c r="DL321" s="150"/>
      <c r="DM321" s="150"/>
      <c r="DN321" s="150"/>
      <c r="DO321" s="150"/>
      <c r="DP321" s="302"/>
      <c r="DQ321" s="303"/>
      <c r="DR321" s="278"/>
      <c r="DS321" s="279"/>
      <c r="DT321" s="150"/>
      <c r="DU321" s="150"/>
      <c r="DV321" s="150"/>
      <c r="DW321" s="150"/>
      <c r="DX321" s="151"/>
      <c r="DY321" s="150"/>
      <c r="DZ321" s="150"/>
      <c r="EA321" s="150"/>
      <c r="EB321" s="303"/>
      <c r="EC321" s="303"/>
      <c r="ED321" s="151"/>
      <c r="EE321" s="150"/>
      <c r="EF321" s="150"/>
      <c r="EG321" s="150"/>
      <c r="EH321" s="151"/>
      <c r="EI321" s="150"/>
      <c r="EJ321" s="150"/>
      <c r="EK321" s="150"/>
      <c r="EL321" s="303"/>
      <c r="EM321" s="303"/>
      <c r="EN321" s="279"/>
      <c r="EO321" s="150"/>
      <c r="EP321" s="150"/>
      <c r="EQ321" s="150"/>
      <c r="ER321" s="150"/>
      <c r="ES321" s="150"/>
      <c r="ET321" s="150"/>
      <c r="EU321" s="150"/>
      <c r="EV321" s="150"/>
      <c r="EW321" s="303"/>
      <c r="EX321" s="303"/>
      <c r="EY321" s="150"/>
      <c r="EZ321" s="150"/>
      <c r="FA321" s="150"/>
      <c r="FB321" s="150"/>
      <c r="FC321" s="134"/>
      <c r="FD321" s="134"/>
      <c r="FE321" s="134"/>
      <c r="FF321" s="134"/>
      <c r="FG321" s="135"/>
      <c r="FH321" s="135"/>
      <c r="FI321" s="134"/>
      <c r="FJ321" s="134"/>
      <c r="FK321" s="134"/>
      <c r="FL321" s="134"/>
      <c r="FM321" s="134"/>
      <c r="FN321" s="134"/>
      <c r="FO321" s="134"/>
      <c r="FP321" s="134"/>
      <c r="FQ321" s="135"/>
      <c r="FR321" s="135"/>
      <c r="FS321" s="134"/>
      <c r="FT321" s="134"/>
      <c r="FU321" s="134"/>
      <c r="FV321" s="134"/>
      <c r="FW321" s="134"/>
      <c r="FX321" s="134"/>
      <c r="FY321" s="134"/>
      <c r="FZ321" s="134"/>
      <c r="GA321" s="135"/>
      <c r="GB321" s="135"/>
      <c r="GC321" s="134"/>
      <c r="GD321" s="134"/>
      <c r="GE321" s="134"/>
      <c r="GF321" s="134"/>
      <c r="GG321" s="134"/>
      <c r="GH321" s="134"/>
      <c r="GI321" s="134"/>
      <c r="GJ321" s="134"/>
      <c r="GK321" s="135"/>
      <c r="GL321" s="135"/>
      <c r="GM321" s="134"/>
      <c r="GN321" s="134"/>
      <c r="GO321" s="134"/>
      <c r="GP321" s="134"/>
      <c r="GQ321" s="134"/>
      <c r="GR321" s="134"/>
      <c r="GS321" s="134"/>
      <c r="GT321" s="134"/>
      <c r="GU321" s="135"/>
      <c r="GV321" s="135"/>
      <c r="GW321" s="134"/>
      <c r="GX321" s="134"/>
      <c r="GY321" s="134"/>
      <c r="GZ321" s="134"/>
      <c r="HA321" s="134"/>
      <c r="HB321" s="134"/>
      <c r="HC321" s="134"/>
      <c r="HD321" s="134"/>
      <c r="HE321" s="135"/>
      <c r="HF321" s="135"/>
      <c r="HG321" s="134"/>
      <c r="HH321" s="134"/>
      <c r="HI321" s="134"/>
      <c r="HJ321" s="134"/>
      <c r="HK321" s="134"/>
      <c r="HL321" s="134"/>
      <c r="HM321" s="134"/>
      <c r="HN321" s="134"/>
      <c r="HO321" s="135"/>
      <c r="HP321" s="135"/>
      <c r="HQ321" s="134"/>
      <c r="HR321" s="134"/>
      <c r="HS321" s="134"/>
      <c r="HT321" s="134"/>
      <c r="HU321" s="134"/>
      <c r="HV321" s="134"/>
      <c r="HW321" s="134"/>
      <c r="HX321" s="134"/>
      <c r="HY321" s="135"/>
      <c r="HZ321" s="135"/>
      <c r="IA321" s="134"/>
      <c r="IB321" s="134"/>
      <c r="IC321" s="134"/>
      <c r="ID321" s="134"/>
      <c r="IE321" s="134"/>
      <c r="IF321" s="134"/>
      <c r="IG321" s="134"/>
      <c r="IH321" s="134"/>
      <c r="II321" s="135"/>
      <c r="IJ321" s="135"/>
      <c r="IK321" s="134"/>
      <c r="IL321" s="134"/>
      <c r="IM321" s="134"/>
      <c r="IN321" s="134"/>
      <c r="IO321" s="134"/>
      <c r="IP321" s="134"/>
      <c r="IQ321" s="134"/>
      <c r="IR321" s="134"/>
      <c r="IS321" s="135"/>
      <c r="IT321" s="135"/>
      <c r="IU321" s="134"/>
      <c r="IV321" s="134"/>
      <c r="IW321" s="134"/>
      <c r="IX321" s="134"/>
      <c r="IY321" s="134"/>
      <c r="IZ321" s="134"/>
      <c r="JA321" s="134"/>
      <c r="JB321" s="134"/>
      <c r="JC321" s="135"/>
      <c r="JD321" s="135"/>
    </row>
    <row r="322" spans="1:264" customFormat="1" ht="15" customHeight="1">
      <c r="A322" s="118" t="s">
        <v>997</v>
      </c>
      <c r="B322" s="362">
        <v>38</v>
      </c>
      <c r="C322" s="362"/>
      <c r="D322" s="362"/>
      <c r="E322" s="605" t="s">
        <v>2105</v>
      </c>
      <c r="F322" s="140" t="s">
        <v>2363</v>
      </c>
      <c r="G322" s="141">
        <v>2008</v>
      </c>
      <c r="H322" s="118">
        <v>18391192</v>
      </c>
      <c r="I322" s="118">
        <v>1</v>
      </c>
      <c r="J322" s="118">
        <v>1</v>
      </c>
      <c r="K322" s="118"/>
      <c r="L322" s="118">
        <v>1</v>
      </c>
      <c r="M322" s="118"/>
      <c r="N322" s="158">
        <v>1</v>
      </c>
      <c r="O322" s="142">
        <v>2</v>
      </c>
      <c r="P322" s="118" t="s">
        <v>1475</v>
      </c>
      <c r="Q322" s="118" t="s">
        <v>1216</v>
      </c>
      <c r="R322" s="118" t="s">
        <v>1138</v>
      </c>
      <c r="S322" s="118"/>
      <c r="T322" s="118" t="s">
        <v>1489</v>
      </c>
      <c r="U322" s="118"/>
      <c r="V322" s="118"/>
      <c r="W322" s="118" t="s">
        <v>1501</v>
      </c>
      <c r="X322" s="118"/>
      <c r="Y322" s="118"/>
      <c r="Z322" s="118"/>
      <c r="AA322" s="118"/>
      <c r="AB322" s="118"/>
      <c r="AC322" s="145"/>
      <c r="AD322" s="573">
        <v>1</v>
      </c>
      <c r="AE322" s="573">
        <v>2</v>
      </c>
      <c r="AF322" s="159">
        <v>1</v>
      </c>
      <c r="AG322" s="160" t="s">
        <v>3429</v>
      </c>
      <c r="AH322" s="122">
        <v>5</v>
      </c>
      <c r="AI322" s="485"/>
      <c r="AJ322" s="226" t="s">
        <v>3366</v>
      </c>
      <c r="AK322" s="192">
        <v>2</v>
      </c>
      <c r="AL322" s="349">
        <v>0</v>
      </c>
      <c r="AM322" s="122">
        <f>Table668[[#This Row],[Data_Subjects_n_ptsd]]+Table668[[#This Row],[Data_Subjects_n_control]]</f>
        <v>10</v>
      </c>
      <c r="AN322" s="122">
        <v>5</v>
      </c>
      <c r="AO322" s="122">
        <v>5</v>
      </c>
      <c r="AP322" s="122" t="s">
        <v>803</v>
      </c>
      <c r="AQ322" s="122" t="s">
        <v>803</v>
      </c>
      <c r="AR322" s="344" t="s">
        <v>3403</v>
      </c>
      <c r="AS322" s="150" t="s">
        <v>24</v>
      </c>
      <c r="AT322" s="344" t="s">
        <v>3403</v>
      </c>
      <c r="AU322" s="150" t="s">
        <v>24</v>
      </c>
      <c r="AV322" s="122" t="s">
        <v>3311</v>
      </c>
      <c r="AW322" s="122">
        <v>1</v>
      </c>
      <c r="AX322" s="122" t="s">
        <v>3348</v>
      </c>
      <c r="AY322" s="122" t="s">
        <v>3398</v>
      </c>
      <c r="AZ322" s="122" t="s">
        <v>3397</v>
      </c>
      <c r="BA322" s="122" t="s">
        <v>3395</v>
      </c>
      <c r="BB322" s="588"/>
      <c r="BC322" s="588"/>
      <c r="BD322" s="161">
        <v>1</v>
      </c>
      <c r="BE322" s="161"/>
      <c r="BF322" s="161"/>
      <c r="BG322" s="161"/>
      <c r="BH322" s="161"/>
      <c r="BI322" s="161"/>
      <c r="BJ322" s="161"/>
      <c r="BK322" s="161"/>
      <c r="BL322" s="161"/>
      <c r="BM322" s="161"/>
      <c r="BN322" s="161"/>
      <c r="BO322" s="161"/>
      <c r="BP322" s="161"/>
      <c r="BQ322" s="596" t="s">
        <v>3400</v>
      </c>
      <c r="BR322" s="185" t="s">
        <v>6601</v>
      </c>
      <c r="BS322" s="660"/>
      <c r="BT322" s="150" t="s">
        <v>1876</v>
      </c>
      <c r="BU322" s="150">
        <v>2</v>
      </c>
      <c r="BV322" s="145" t="s">
        <v>3410</v>
      </c>
      <c r="BW322" s="150" t="s">
        <v>23</v>
      </c>
      <c r="BX322" s="150" t="s">
        <v>3406</v>
      </c>
      <c r="BY322" s="134" t="s">
        <v>6640</v>
      </c>
      <c r="BZ322" s="258" t="s">
        <v>3448</v>
      </c>
      <c r="CA322" s="257" t="s">
        <v>6627</v>
      </c>
      <c r="CB322" s="429" t="s">
        <v>3413</v>
      </c>
      <c r="CC322" s="150">
        <v>161</v>
      </c>
      <c r="CD322" s="150" t="s">
        <v>24</v>
      </c>
      <c r="CE322" s="150">
        <v>9.6</v>
      </c>
      <c r="CF322" s="429" t="s">
        <v>3416</v>
      </c>
      <c r="CG322" s="150">
        <v>94</v>
      </c>
      <c r="CH322" s="150" t="s">
        <v>24</v>
      </c>
      <c r="CI322" s="150">
        <v>9.3000000000000007</v>
      </c>
      <c r="CJ322" s="290" t="s">
        <v>3418</v>
      </c>
      <c r="CK322" s="291" t="s">
        <v>3417</v>
      </c>
      <c r="CL322" s="151"/>
      <c r="CM322" s="150"/>
      <c r="CN322" s="150"/>
      <c r="CO322" s="150"/>
      <c r="CP322" s="151"/>
      <c r="CQ322" s="150"/>
      <c r="CR322" s="150"/>
      <c r="CS322" s="150"/>
      <c r="CT322" s="290"/>
      <c r="CU322" s="291"/>
      <c r="CV322" s="278"/>
      <c r="CW322" s="285"/>
      <c r="CX322" s="151"/>
      <c r="CY322" s="150"/>
      <c r="CZ322" s="150"/>
      <c r="DA322" s="150"/>
      <c r="DB322" s="150"/>
      <c r="DC322" s="150"/>
      <c r="DD322" s="150"/>
      <c r="DE322" s="150"/>
      <c r="DF322" s="302"/>
      <c r="DG322" s="303"/>
      <c r="DH322" s="150"/>
      <c r="DI322" s="150"/>
      <c r="DJ322" s="150"/>
      <c r="DK322" s="150"/>
      <c r="DL322" s="150"/>
      <c r="DM322" s="150"/>
      <c r="DN322" s="150"/>
      <c r="DO322" s="150"/>
      <c r="DP322" s="302"/>
      <c r="DQ322" s="303"/>
      <c r="DR322" s="278"/>
      <c r="DS322" s="279"/>
      <c r="DT322" s="150"/>
      <c r="DU322" s="150"/>
      <c r="DV322" s="150"/>
      <c r="DW322" s="150"/>
      <c r="DX322" s="151"/>
      <c r="DY322" s="150"/>
      <c r="DZ322" s="150"/>
      <c r="EA322" s="150"/>
      <c r="EB322" s="303"/>
      <c r="EC322" s="303"/>
      <c r="ED322" s="151"/>
      <c r="EE322" s="150"/>
      <c r="EF322" s="150"/>
      <c r="EG322" s="150"/>
      <c r="EH322" s="151"/>
      <c r="EI322" s="150"/>
      <c r="EJ322" s="150"/>
      <c r="EK322" s="150"/>
      <c r="EL322" s="303"/>
      <c r="EM322" s="303"/>
      <c r="EN322" s="279"/>
      <c r="EO322" s="150"/>
      <c r="EP322" s="150"/>
      <c r="EQ322" s="150"/>
      <c r="ER322" s="150"/>
      <c r="ES322" s="150"/>
      <c r="ET322" s="150"/>
      <c r="EU322" s="150"/>
      <c r="EV322" s="150"/>
      <c r="EW322" s="303"/>
      <c r="EX322" s="303"/>
      <c r="EY322" s="150"/>
      <c r="EZ322" s="150"/>
      <c r="FA322" s="150"/>
      <c r="FB322" s="150"/>
      <c r="FC322" s="134"/>
      <c r="FD322" s="134"/>
      <c r="FE322" s="134"/>
      <c r="FF322" s="134"/>
      <c r="FG322" s="135"/>
      <c r="FH322" s="135"/>
      <c r="FI322" s="134"/>
      <c r="FJ322" s="134"/>
      <c r="FK322" s="134"/>
      <c r="FL322" s="134"/>
      <c r="FM322" s="134"/>
      <c r="FN322" s="134"/>
      <c r="FO322" s="134"/>
      <c r="FP322" s="134"/>
      <c r="FQ322" s="135"/>
      <c r="FR322" s="135"/>
      <c r="FS322" s="134"/>
      <c r="FT322" s="134"/>
      <c r="FU322" s="134"/>
      <c r="FV322" s="134"/>
      <c r="FW322" s="134"/>
      <c r="FX322" s="134"/>
      <c r="FY322" s="134"/>
      <c r="FZ322" s="134"/>
      <c r="GA322" s="135"/>
      <c r="GB322" s="135"/>
      <c r="GC322" s="134"/>
      <c r="GD322" s="134"/>
      <c r="GE322" s="134"/>
      <c r="GF322" s="134"/>
      <c r="GG322" s="134"/>
      <c r="GH322" s="134"/>
      <c r="GI322" s="134"/>
      <c r="GJ322" s="134"/>
      <c r="GK322" s="135"/>
      <c r="GL322" s="135"/>
      <c r="GM322" s="134"/>
      <c r="GN322" s="134"/>
      <c r="GO322" s="134"/>
      <c r="GP322" s="134"/>
      <c r="GQ322" s="134"/>
      <c r="GR322" s="134"/>
      <c r="GS322" s="134"/>
      <c r="GT322" s="134"/>
      <c r="GU322" s="135"/>
      <c r="GV322" s="135"/>
      <c r="GW322" s="134"/>
      <c r="GX322" s="134"/>
      <c r="GY322" s="134"/>
      <c r="GZ322" s="134"/>
      <c r="HA322" s="134"/>
      <c r="HB322" s="134"/>
      <c r="HC322" s="134"/>
      <c r="HD322" s="134"/>
      <c r="HE322" s="135"/>
      <c r="HF322" s="135"/>
      <c r="HG322" s="134"/>
      <c r="HH322" s="134"/>
      <c r="HI322" s="134"/>
      <c r="HJ322" s="134"/>
      <c r="HK322" s="134"/>
      <c r="HL322" s="134"/>
      <c r="HM322" s="134"/>
      <c r="HN322" s="134"/>
      <c r="HO322" s="135"/>
      <c r="HP322" s="135"/>
      <c r="HQ322" s="134"/>
      <c r="HR322" s="134"/>
      <c r="HS322" s="134"/>
      <c r="HT322" s="134"/>
      <c r="HU322" s="134"/>
      <c r="HV322" s="134"/>
      <c r="HW322" s="134"/>
      <c r="HX322" s="134"/>
      <c r="HY322" s="135"/>
      <c r="HZ322" s="135"/>
      <c r="IA322" s="134"/>
      <c r="IB322" s="134"/>
      <c r="IC322" s="134"/>
      <c r="ID322" s="134"/>
      <c r="IE322" s="134"/>
      <c r="IF322" s="134"/>
      <c r="IG322" s="134"/>
      <c r="IH322" s="134"/>
      <c r="II322" s="135"/>
      <c r="IJ322" s="135"/>
      <c r="IK322" s="134"/>
      <c r="IL322" s="134"/>
      <c r="IM322" s="134"/>
      <c r="IN322" s="134"/>
      <c r="IO322" s="134"/>
      <c r="IP322" s="134"/>
      <c r="IQ322" s="134"/>
      <c r="IR322" s="134"/>
      <c r="IS322" s="135"/>
      <c r="IT322" s="135"/>
      <c r="IU322" s="134"/>
      <c r="IV322" s="134"/>
      <c r="IW322" s="134"/>
      <c r="IX322" s="134"/>
      <c r="IY322" s="134"/>
      <c r="IZ322" s="134"/>
      <c r="JA322" s="134"/>
      <c r="JB322" s="134"/>
      <c r="JC322" s="135"/>
      <c r="JD322" s="135"/>
    </row>
    <row r="323" spans="1:264" customFormat="1" ht="15" customHeight="1">
      <c r="A323" s="79" t="s">
        <v>996</v>
      </c>
      <c r="B323" s="362">
        <v>39</v>
      </c>
      <c r="C323" s="362"/>
      <c r="D323" s="362"/>
      <c r="E323" s="604" t="s">
        <v>2106</v>
      </c>
      <c r="F323" s="124" t="s">
        <v>2364</v>
      </c>
      <c r="G323" s="125">
        <v>2009</v>
      </c>
      <c r="H323" s="79">
        <v>19167702</v>
      </c>
      <c r="I323" s="79">
        <v>1</v>
      </c>
      <c r="J323" s="126" t="s">
        <v>1848</v>
      </c>
      <c r="K323" s="127"/>
      <c r="L323" s="79">
        <v>1</v>
      </c>
      <c r="M323" s="79"/>
      <c r="N323" s="153">
        <v>1</v>
      </c>
      <c r="O323" s="128">
        <v>2</v>
      </c>
      <c r="P323" s="79" t="s">
        <v>22</v>
      </c>
      <c r="Q323" s="79" t="s">
        <v>1142</v>
      </c>
      <c r="R323" s="79" t="s">
        <v>1127</v>
      </c>
      <c r="S323" s="79"/>
      <c r="T323" s="79" t="s">
        <v>1488</v>
      </c>
      <c r="U323" s="79"/>
      <c r="V323" s="79"/>
      <c r="W323" s="79"/>
      <c r="X323" s="79"/>
      <c r="Y323" s="79"/>
      <c r="Z323" s="79"/>
      <c r="AA323" s="79"/>
      <c r="AB323" s="79" t="s">
        <v>424</v>
      </c>
      <c r="AC323" s="506"/>
      <c r="AD323" s="573">
        <v>1</v>
      </c>
      <c r="AE323" s="573">
        <v>2</v>
      </c>
      <c r="AF323" s="233" t="s">
        <v>3003</v>
      </c>
      <c r="AG323" s="234" t="s">
        <v>4680</v>
      </c>
      <c r="AH323" s="135">
        <v>4</v>
      </c>
      <c r="AI323" s="484"/>
      <c r="AJ323" s="235" t="s">
        <v>3468</v>
      </c>
      <c r="AK323" s="192">
        <v>0</v>
      </c>
      <c r="AL323" s="203">
        <v>0</v>
      </c>
      <c r="AM323" s="121">
        <f>((10+15)/2)*4</f>
        <v>50</v>
      </c>
      <c r="AN323" s="121" t="s">
        <v>3480</v>
      </c>
      <c r="AO323" s="135" t="s">
        <v>24</v>
      </c>
      <c r="AP323" s="121" t="s">
        <v>803</v>
      </c>
      <c r="AQ323" s="121" t="s">
        <v>24</v>
      </c>
      <c r="AR323" s="121" t="s">
        <v>24</v>
      </c>
      <c r="AS323" s="121" t="s">
        <v>24</v>
      </c>
      <c r="AT323" s="121" t="s">
        <v>24</v>
      </c>
      <c r="AU323" s="121" t="s">
        <v>24</v>
      </c>
      <c r="AV323" s="121" t="s">
        <v>3465</v>
      </c>
      <c r="AW323" s="121">
        <v>1</v>
      </c>
      <c r="AX323" s="121" t="s">
        <v>3467</v>
      </c>
      <c r="AY323" s="121" t="s">
        <v>24</v>
      </c>
      <c r="AZ323" s="121" t="s">
        <v>2730</v>
      </c>
      <c r="BA323" s="121" t="s">
        <v>3466</v>
      </c>
      <c r="BB323" s="594"/>
      <c r="BC323" s="594"/>
      <c r="BD323" s="156">
        <v>1</v>
      </c>
      <c r="BE323" s="156"/>
      <c r="BF323" s="156"/>
      <c r="BG323" s="156"/>
      <c r="BH323" s="156"/>
      <c r="BI323" s="156"/>
      <c r="BJ323" s="156"/>
      <c r="BK323" s="156"/>
      <c r="BL323" s="156"/>
      <c r="BM323" s="156"/>
      <c r="BN323" s="156"/>
      <c r="BO323" s="156"/>
      <c r="BP323" s="156"/>
      <c r="BQ323" s="595" t="s">
        <v>3399</v>
      </c>
      <c r="BR323" s="185" t="s">
        <v>6601</v>
      </c>
      <c r="BS323" s="660"/>
      <c r="BT323" s="134" t="s">
        <v>1876</v>
      </c>
      <c r="BU323" s="134"/>
      <c r="BV323" s="134" t="s">
        <v>3470</v>
      </c>
      <c r="BW323" s="134"/>
      <c r="BX323" s="134" t="s">
        <v>3469</v>
      </c>
      <c r="BY323" s="134" t="s">
        <v>6641</v>
      </c>
      <c r="BZ323" s="259" t="s">
        <v>3478</v>
      </c>
      <c r="CA323" s="454"/>
      <c r="CB323" s="138" t="s">
        <v>3471</v>
      </c>
      <c r="CC323" s="134">
        <v>0.13535900000000001</v>
      </c>
      <c r="CD323" s="134" t="s">
        <v>24</v>
      </c>
      <c r="CE323" s="134">
        <f>0.180642-Table668[[#This Row],[Data_Outcome1_M]]</f>
        <v>4.528299999999999E-2</v>
      </c>
      <c r="CF323" s="138" t="s">
        <v>3472</v>
      </c>
      <c r="CG323" s="134">
        <v>0.20613200000000001</v>
      </c>
      <c r="CH323" s="134" t="s">
        <v>24</v>
      </c>
      <c r="CI323" s="134">
        <f>0.236321-Table668[[#This Row],[Data_Outcome2_M]]</f>
        <v>3.0188999999999994E-2</v>
      </c>
      <c r="CJ323" s="288" t="s">
        <v>3475</v>
      </c>
      <c r="CK323" s="289" t="s">
        <v>2480</v>
      </c>
      <c r="CL323" s="427" t="s">
        <v>3473</v>
      </c>
      <c r="CM323" s="134">
        <v>0.47309499999999999</v>
      </c>
      <c r="CN323" s="134" t="s">
        <v>24</v>
      </c>
      <c r="CO323" s="134">
        <f>0.537255-Table668[[#This Row],[Data_Outcome3_M]]</f>
        <v>6.416000000000005E-2</v>
      </c>
      <c r="CP323" s="427" t="s">
        <v>3474</v>
      </c>
      <c r="CQ323" s="134">
        <v>0.43444300000000002</v>
      </c>
      <c r="CR323" s="134" t="s">
        <v>24</v>
      </c>
      <c r="CS323" s="134">
        <f>0.4835-Table668[[#This Row],[Data_Outcome4_M]]</f>
        <v>4.9056999999999962E-2</v>
      </c>
      <c r="CT323" s="288" t="s">
        <v>3476</v>
      </c>
      <c r="CU323" s="289" t="s">
        <v>3477</v>
      </c>
      <c r="CV323" s="276"/>
      <c r="CW323" s="308"/>
      <c r="CX323" s="138"/>
      <c r="CY323" s="134"/>
      <c r="CZ323" s="134"/>
      <c r="DA323" s="134"/>
      <c r="DB323" s="134"/>
      <c r="DC323" s="134"/>
      <c r="DD323" s="134"/>
      <c r="DE323" s="134"/>
      <c r="DF323" s="300"/>
      <c r="DG323" s="301"/>
      <c r="DH323" s="134"/>
      <c r="DI323" s="134"/>
      <c r="DJ323" s="134"/>
      <c r="DK323" s="134"/>
      <c r="DL323" s="134"/>
      <c r="DM323" s="134"/>
      <c r="DN323" s="134"/>
      <c r="DO323" s="134"/>
      <c r="DP323" s="300"/>
      <c r="DQ323" s="301"/>
      <c r="DR323" s="276"/>
      <c r="DS323" s="277"/>
      <c r="DT323" s="134"/>
      <c r="DU323" s="134"/>
      <c r="DV323" s="134"/>
      <c r="DW323" s="134"/>
      <c r="DX323" s="138"/>
      <c r="DY323" s="134"/>
      <c r="DZ323" s="134"/>
      <c r="EA323" s="134"/>
      <c r="EB323" s="301"/>
      <c r="EC323" s="301"/>
      <c r="ED323" s="138"/>
      <c r="EE323" s="134"/>
      <c r="EF323" s="134"/>
      <c r="EG323" s="134"/>
      <c r="EH323" s="138"/>
      <c r="EI323" s="134"/>
      <c r="EJ323" s="134"/>
      <c r="EK323" s="134"/>
      <c r="EL323" s="301"/>
      <c r="EM323" s="301"/>
      <c r="EN323" s="277"/>
      <c r="EO323" s="134"/>
      <c r="EP323" s="134"/>
      <c r="EQ323" s="134"/>
      <c r="ER323" s="134"/>
      <c r="ES323" s="134"/>
      <c r="ET323" s="134"/>
      <c r="EU323" s="134"/>
      <c r="EV323" s="134"/>
      <c r="EW323" s="301"/>
      <c r="EX323" s="301"/>
      <c r="EY323" s="134"/>
      <c r="EZ323" s="134"/>
      <c r="FA323" s="134"/>
      <c r="FB323" s="134"/>
      <c r="FC323" s="134"/>
      <c r="FD323" s="134"/>
      <c r="FE323" s="134"/>
      <c r="FF323" s="134"/>
      <c r="FG323" s="135"/>
      <c r="FH323" s="135"/>
      <c r="FI323" s="134"/>
      <c r="FJ323" s="134"/>
      <c r="FK323" s="134"/>
      <c r="FL323" s="134"/>
      <c r="FM323" s="134"/>
      <c r="FN323" s="134"/>
      <c r="FO323" s="134"/>
      <c r="FP323" s="134"/>
      <c r="FQ323" s="135"/>
      <c r="FR323" s="135"/>
      <c r="FS323" s="134"/>
      <c r="FT323" s="134"/>
      <c r="FU323" s="134"/>
      <c r="FV323" s="134"/>
      <c r="FW323" s="134"/>
      <c r="FX323" s="134"/>
      <c r="FY323" s="134"/>
      <c r="FZ323" s="134"/>
      <c r="GA323" s="135"/>
      <c r="GB323" s="135"/>
      <c r="GC323" s="134"/>
      <c r="GD323" s="134"/>
      <c r="GE323" s="134"/>
      <c r="GF323" s="134"/>
      <c r="GG323" s="134"/>
      <c r="GH323" s="134"/>
      <c r="GI323" s="134"/>
      <c r="GJ323" s="134"/>
      <c r="GK323" s="135"/>
      <c r="GL323" s="135"/>
      <c r="GM323" s="134"/>
      <c r="GN323" s="134"/>
      <c r="GO323" s="134"/>
      <c r="GP323" s="134"/>
      <c r="GQ323" s="134"/>
      <c r="GR323" s="134"/>
      <c r="GS323" s="134"/>
      <c r="GT323" s="134"/>
      <c r="GU323" s="135"/>
      <c r="GV323" s="135"/>
      <c r="GW323" s="134"/>
      <c r="GX323" s="134"/>
      <c r="GY323" s="134"/>
      <c r="GZ323" s="134"/>
      <c r="HA323" s="134"/>
      <c r="HB323" s="134"/>
      <c r="HC323" s="134"/>
      <c r="HD323" s="134"/>
      <c r="HE323" s="135"/>
      <c r="HF323" s="135"/>
      <c r="HG323" s="134"/>
      <c r="HH323" s="134"/>
      <c r="HI323" s="134"/>
      <c r="HJ323" s="134"/>
      <c r="HK323" s="134"/>
      <c r="HL323" s="134"/>
      <c r="HM323" s="134"/>
      <c r="HN323" s="134"/>
      <c r="HO323" s="135"/>
      <c r="HP323" s="135"/>
      <c r="HQ323" s="134"/>
      <c r="HR323" s="134"/>
      <c r="HS323" s="134"/>
      <c r="HT323" s="134"/>
      <c r="HU323" s="134"/>
      <c r="HV323" s="134"/>
      <c r="HW323" s="134"/>
      <c r="HX323" s="134"/>
      <c r="HY323" s="135"/>
      <c r="HZ323" s="135"/>
      <c r="IA323" s="134"/>
      <c r="IB323" s="134"/>
      <c r="IC323" s="134"/>
      <c r="ID323" s="134"/>
      <c r="IE323" s="134"/>
      <c r="IF323" s="134"/>
      <c r="IG323" s="134"/>
      <c r="IH323" s="134"/>
      <c r="II323" s="135"/>
      <c r="IJ323" s="135"/>
      <c r="IK323" s="134"/>
      <c r="IL323" s="134"/>
      <c r="IM323" s="134"/>
      <c r="IN323" s="134"/>
      <c r="IO323" s="134"/>
      <c r="IP323" s="134"/>
      <c r="IQ323" s="134"/>
      <c r="IR323" s="134"/>
      <c r="IS323" s="135"/>
      <c r="IT323" s="135"/>
      <c r="IU323" s="134"/>
      <c r="IV323" s="134"/>
      <c r="IW323" s="134"/>
      <c r="IX323" s="134"/>
      <c r="IY323" s="134"/>
      <c r="IZ323" s="134"/>
      <c r="JA323" s="134"/>
      <c r="JB323" s="134"/>
      <c r="JC323" s="135"/>
      <c r="JD323" s="135"/>
    </row>
    <row r="324" spans="1:264" customFormat="1" ht="15" customHeight="1">
      <c r="A324" s="118" t="s">
        <v>995</v>
      </c>
      <c r="B324" s="362">
        <v>40</v>
      </c>
      <c r="C324" s="362"/>
      <c r="D324" s="362"/>
      <c r="E324" s="605" t="s">
        <v>2107</v>
      </c>
      <c r="F324" s="140" t="s">
        <v>2365</v>
      </c>
      <c r="G324" s="141">
        <v>2014</v>
      </c>
      <c r="H324" s="118">
        <v>25309317</v>
      </c>
      <c r="I324" s="118">
        <v>1</v>
      </c>
      <c r="J324" s="118"/>
      <c r="K324" s="118"/>
      <c r="L324" s="118">
        <v>1</v>
      </c>
      <c r="M324" s="118"/>
      <c r="N324" s="118">
        <v>1</v>
      </c>
      <c r="O324" s="142">
        <v>2</v>
      </c>
      <c r="P324" s="118" t="s">
        <v>1478</v>
      </c>
      <c r="Q324" s="118" t="s">
        <v>1216</v>
      </c>
      <c r="R324" s="118" t="s">
        <v>1138</v>
      </c>
      <c r="S324" s="118"/>
      <c r="T324" s="118" t="s">
        <v>1489</v>
      </c>
      <c r="U324" s="118"/>
      <c r="V324" s="118"/>
      <c r="W324" s="118" t="s">
        <v>1477</v>
      </c>
      <c r="X324" s="118" t="s">
        <v>1476</v>
      </c>
      <c r="Y324" s="118"/>
      <c r="Z324" s="118"/>
      <c r="AA324" s="118"/>
      <c r="AB324" s="118"/>
      <c r="AC324" s="145"/>
      <c r="AD324" s="573">
        <v>1</v>
      </c>
      <c r="AE324" s="573">
        <v>2</v>
      </c>
      <c r="AF324" s="159">
        <v>1</v>
      </c>
      <c r="AG324" s="160"/>
      <c r="AH324" s="122">
        <v>5</v>
      </c>
      <c r="AI324" s="485"/>
      <c r="AJ324" s="204" t="s">
        <v>3280</v>
      </c>
      <c r="AK324" s="192">
        <v>1</v>
      </c>
      <c r="AL324" s="205">
        <v>1</v>
      </c>
      <c r="AM324" s="122">
        <f>((10+12)/2)*2</f>
        <v>22</v>
      </c>
      <c r="AN324" s="357" t="s">
        <v>3501</v>
      </c>
      <c r="AO324" s="357" t="s">
        <v>3501</v>
      </c>
      <c r="AP324" s="122" t="s">
        <v>803</v>
      </c>
      <c r="AQ324" s="122" t="s">
        <v>803</v>
      </c>
      <c r="AR324" s="358" t="s">
        <v>3403</v>
      </c>
      <c r="AS324" s="122" t="s">
        <v>24</v>
      </c>
      <c r="AT324" s="358" t="s">
        <v>3403</v>
      </c>
      <c r="AU324" s="122" t="s">
        <v>24</v>
      </c>
      <c r="AV324" s="122" t="s">
        <v>3311</v>
      </c>
      <c r="AW324" s="122">
        <v>1</v>
      </c>
      <c r="AX324" s="122" t="s">
        <v>3348</v>
      </c>
      <c r="AY324" s="122" t="s">
        <v>3398</v>
      </c>
      <c r="AZ324" s="122" t="s">
        <v>3397</v>
      </c>
      <c r="BA324" s="122" t="s">
        <v>3395</v>
      </c>
      <c r="BB324" s="588"/>
      <c r="BC324" s="588"/>
      <c r="BD324" s="161">
        <v>1</v>
      </c>
      <c r="BE324" s="161"/>
      <c r="BF324" s="161"/>
      <c r="BG324" s="161"/>
      <c r="BH324" s="161"/>
      <c r="BI324" s="161"/>
      <c r="BJ324" s="161"/>
      <c r="BK324" s="161"/>
      <c r="BL324" s="161"/>
      <c r="BM324" s="161"/>
      <c r="BN324" s="161"/>
      <c r="BO324" s="161"/>
      <c r="BP324" s="161"/>
      <c r="BQ324" s="596" t="s">
        <v>2977</v>
      </c>
      <c r="BR324" s="162" t="s">
        <v>6603</v>
      </c>
      <c r="BS324" s="660"/>
      <c r="BT324" s="150" t="s">
        <v>1876</v>
      </c>
      <c r="BU324" s="150">
        <v>2</v>
      </c>
      <c r="BV324" s="150" t="s">
        <v>3483</v>
      </c>
      <c r="BW324" s="150" t="s">
        <v>3481</v>
      </c>
      <c r="BX324" s="150" t="s">
        <v>3406</v>
      </c>
      <c r="BY324" s="134" t="s">
        <v>6640</v>
      </c>
      <c r="BZ324" s="258" t="s">
        <v>3506</v>
      </c>
      <c r="CA324" s="257" t="s">
        <v>24</v>
      </c>
      <c r="CB324" s="151" t="s">
        <v>3489</v>
      </c>
      <c r="CC324" s="150">
        <v>89.333299999999994</v>
      </c>
      <c r="CD324" s="150" t="s">
        <v>24</v>
      </c>
      <c r="CE324" s="150">
        <f>102.667-Table668[[#This Row],[Data_Outcome1_M]]</f>
        <v>13.333700000000007</v>
      </c>
      <c r="CF324" s="151" t="s">
        <v>3486</v>
      </c>
      <c r="CG324" s="150">
        <v>53.333300000000001</v>
      </c>
      <c r="CH324" s="150" t="s">
        <v>24</v>
      </c>
      <c r="CI324" s="150">
        <f>63.2-Table668[[#This Row],[Data_Outcome2_M]]</f>
        <v>9.8667000000000016</v>
      </c>
      <c r="CJ324" s="290" t="s">
        <v>3503</v>
      </c>
      <c r="CK324" s="291" t="s">
        <v>3508</v>
      </c>
      <c r="CL324" s="151" t="s">
        <v>3490</v>
      </c>
      <c r="CM324" s="150">
        <v>92.533299999999997</v>
      </c>
      <c r="CN324" s="228" t="s">
        <v>24</v>
      </c>
      <c r="CO324" s="150">
        <f>106.133-Table668[[#This Row],[Data_Outcome3_M]]</f>
        <v>13.599699999999999</v>
      </c>
      <c r="CP324" s="151" t="s">
        <v>3488</v>
      </c>
      <c r="CQ324" s="150">
        <v>57.866700000000002</v>
      </c>
      <c r="CR324" s="150" t="s">
        <v>24</v>
      </c>
      <c r="CS324" s="150">
        <f>66.6667-Table668[[#This Row],[Data_Outcome4_M]]</f>
        <v>8.8000000000000043</v>
      </c>
      <c r="CT324" s="290"/>
      <c r="CU324" s="291"/>
      <c r="CV324" s="278"/>
      <c r="CW324" s="285"/>
      <c r="CX324" s="151" t="s">
        <v>3491</v>
      </c>
      <c r="CY324" s="150">
        <v>63.2</v>
      </c>
      <c r="CZ324" s="150" t="s">
        <v>24</v>
      </c>
      <c r="DA324" s="150">
        <f>73.0667-Table668[[#This Row],[Data_Outcome5_M]]</f>
        <v>9.8666999999999945</v>
      </c>
      <c r="DB324" s="151" t="s">
        <v>3492</v>
      </c>
      <c r="DC324" s="150">
        <v>41.6</v>
      </c>
      <c r="DD324" s="150" t="s">
        <v>24</v>
      </c>
      <c r="DE324" s="150" t="s">
        <v>3510</v>
      </c>
      <c r="DF324" s="302"/>
      <c r="DG324" s="303"/>
      <c r="DH324" s="429" t="s">
        <v>3493</v>
      </c>
      <c r="DI324" s="145">
        <v>52.533299999999997</v>
      </c>
      <c r="DJ324" s="145" t="s">
        <v>24</v>
      </c>
      <c r="DK324" s="145">
        <f>61.3333-Table668[[#This Row],[Data_Outcome7_M]]</f>
        <v>8.8000000000000043</v>
      </c>
      <c r="DL324" s="429" t="s">
        <v>3494</v>
      </c>
      <c r="DM324" s="150">
        <v>35.200000000000003</v>
      </c>
      <c r="DN324" s="150" t="s">
        <v>24</v>
      </c>
      <c r="DO324" s="150" t="s">
        <v>3510</v>
      </c>
      <c r="DP324" s="302"/>
      <c r="DQ324" s="303"/>
      <c r="DR324" s="278"/>
      <c r="DS324" s="279"/>
      <c r="DT324" s="429" t="s">
        <v>3495</v>
      </c>
      <c r="DU324" s="145">
        <v>40</v>
      </c>
      <c r="DV324" s="145" t="s">
        <v>24</v>
      </c>
      <c r="DW324" s="145">
        <f>48-Table668[[#This Row],[Data_Outcome9_M]]</f>
        <v>8</v>
      </c>
      <c r="DX324" s="429" t="s">
        <v>3496</v>
      </c>
      <c r="DY324" s="150">
        <v>28.667000000000002</v>
      </c>
      <c r="DZ324" s="150" t="s">
        <v>24</v>
      </c>
      <c r="EA324" s="150">
        <f>Table668[[#This Row],[Data_Outcome10_M]]-21.6</f>
        <v>7.0670000000000002</v>
      </c>
      <c r="EB324" s="303"/>
      <c r="EC324" s="303"/>
      <c r="ED324" s="151" t="s">
        <v>24</v>
      </c>
      <c r="EE324" s="150"/>
      <c r="EF324" s="150"/>
      <c r="EG324" s="150"/>
      <c r="EH324" s="151"/>
      <c r="EI324" s="150"/>
      <c r="EJ324" s="150"/>
      <c r="EK324" s="150"/>
      <c r="EL324" s="303"/>
      <c r="EM324" s="303"/>
      <c r="EN324" s="279"/>
      <c r="EO324" s="150"/>
      <c r="EP324" s="150"/>
      <c r="EQ324" s="150"/>
      <c r="ER324" s="150"/>
      <c r="ES324" s="150"/>
      <c r="ET324" s="150"/>
      <c r="EU324" s="150"/>
      <c r="EV324" s="150"/>
      <c r="EW324" s="303"/>
      <c r="EX324" s="303"/>
      <c r="EY324" s="150"/>
      <c r="EZ324" s="150"/>
      <c r="FA324" s="150"/>
      <c r="FB324" s="150"/>
      <c r="FC324" s="134"/>
      <c r="FD324" s="134"/>
      <c r="FE324" s="134"/>
      <c r="FF324" s="134"/>
      <c r="FG324" s="135"/>
      <c r="FH324" s="135"/>
      <c r="FI324" s="134"/>
      <c r="FJ324" s="134"/>
      <c r="FK324" s="134"/>
      <c r="FL324" s="134"/>
      <c r="FM324" s="134"/>
      <c r="FN324" s="134"/>
      <c r="FO324" s="134"/>
      <c r="FP324" s="134"/>
      <c r="FQ324" s="135"/>
      <c r="FR324" s="135"/>
      <c r="FS324" s="134"/>
      <c r="FT324" s="134"/>
      <c r="FU324" s="134"/>
      <c r="FV324" s="134"/>
      <c r="FW324" s="134"/>
      <c r="FX324" s="134"/>
      <c r="FY324" s="134"/>
      <c r="FZ324" s="134"/>
      <c r="GA324" s="135"/>
      <c r="GB324" s="135"/>
      <c r="GC324" s="134"/>
      <c r="GD324" s="134"/>
      <c r="GE324" s="134"/>
      <c r="GF324" s="134"/>
      <c r="GG324" s="134"/>
      <c r="GH324" s="134"/>
      <c r="GI324" s="134"/>
      <c r="GJ324" s="134"/>
      <c r="GK324" s="135"/>
      <c r="GL324" s="135"/>
      <c r="GM324" s="134"/>
      <c r="GN324" s="134"/>
      <c r="GO324" s="134"/>
      <c r="GP324" s="134"/>
      <c r="GQ324" s="134"/>
      <c r="GR324" s="134"/>
      <c r="GS324" s="134"/>
      <c r="GT324" s="134"/>
      <c r="GU324" s="135"/>
      <c r="GV324" s="135"/>
      <c r="GW324" s="134"/>
      <c r="GX324" s="134"/>
      <c r="GY324" s="134"/>
      <c r="GZ324" s="134"/>
      <c r="HA324" s="134"/>
      <c r="HB324" s="134"/>
      <c r="HC324" s="134"/>
      <c r="HD324" s="134"/>
      <c r="HE324" s="135"/>
      <c r="HF324" s="135"/>
      <c r="HG324" s="134"/>
      <c r="HH324" s="134"/>
      <c r="HI324" s="134"/>
      <c r="HJ324" s="134"/>
      <c r="HK324" s="134"/>
      <c r="HL324" s="134"/>
      <c r="HM324" s="134"/>
      <c r="HN324" s="134"/>
      <c r="HO324" s="135"/>
      <c r="HP324" s="135"/>
      <c r="HQ324" s="134"/>
      <c r="HR324" s="134"/>
      <c r="HS324" s="134"/>
      <c r="HT324" s="134"/>
      <c r="HU324" s="134"/>
      <c r="HV324" s="134"/>
      <c r="HW324" s="134"/>
      <c r="HX324" s="134"/>
      <c r="HY324" s="135"/>
      <c r="HZ324" s="135"/>
      <c r="IA324" s="134"/>
      <c r="IB324" s="134"/>
      <c r="IC324" s="134"/>
      <c r="ID324" s="134"/>
      <c r="IE324" s="134"/>
      <c r="IF324" s="134"/>
      <c r="IG324" s="134"/>
      <c r="IH324" s="134"/>
      <c r="II324" s="135"/>
      <c r="IJ324" s="135"/>
      <c r="IK324" s="134"/>
      <c r="IL324" s="134"/>
      <c r="IM324" s="134"/>
      <c r="IN324" s="134"/>
      <c r="IO324" s="134"/>
      <c r="IP324" s="134"/>
      <c r="IQ324" s="134"/>
      <c r="IR324" s="134"/>
      <c r="IS324" s="135"/>
      <c r="IT324" s="135"/>
      <c r="IU324" s="134"/>
      <c r="IV324" s="134"/>
      <c r="IW324" s="134"/>
      <c r="IX324" s="134"/>
      <c r="IY324" s="134"/>
      <c r="IZ324" s="134"/>
      <c r="JA324" s="134"/>
      <c r="JB324" s="134"/>
      <c r="JC324" s="135"/>
      <c r="JD324" s="135"/>
    </row>
    <row r="325" spans="1:264" customFormat="1" ht="15" customHeight="1">
      <c r="A325" s="79" t="s">
        <v>995</v>
      </c>
      <c r="B325" s="362">
        <v>40</v>
      </c>
      <c r="C325" s="362"/>
      <c r="D325" s="362"/>
      <c r="E325" s="604" t="s">
        <v>2107</v>
      </c>
      <c r="F325" s="124" t="s">
        <v>2365</v>
      </c>
      <c r="G325" s="125">
        <v>2014</v>
      </c>
      <c r="H325" s="79">
        <v>25309317</v>
      </c>
      <c r="I325" s="79">
        <v>1</v>
      </c>
      <c r="J325" s="126"/>
      <c r="K325" s="127"/>
      <c r="L325" s="79">
        <v>1</v>
      </c>
      <c r="M325" s="79"/>
      <c r="N325" s="79">
        <v>1</v>
      </c>
      <c r="O325" s="128">
        <v>2</v>
      </c>
      <c r="P325" s="79" t="s">
        <v>1478</v>
      </c>
      <c r="Q325" s="79" t="s">
        <v>1216</v>
      </c>
      <c r="R325" s="79" t="s">
        <v>1138</v>
      </c>
      <c r="S325" s="79"/>
      <c r="T325" s="79" t="s">
        <v>1489</v>
      </c>
      <c r="U325" s="79"/>
      <c r="V325" s="79"/>
      <c r="W325" s="79" t="s">
        <v>1477</v>
      </c>
      <c r="X325" s="79" t="s">
        <v>1476</v>
      </c>
      <c r="Y325" s="79"/>
      <c r="Z325" s="79"/>
      <c r="AA325" s="79"/>
      <c r="AB325" s="79"/>
      <c r="AC325" s="506"/>
      <c r="AD325" s="573">
        <v>1</v>
      </c>
      <c r="AE325" s="573">
        <v>2</v>
      </c>
      <c r="AF325" s="154">
        <v>1</v>
      </c>
      <c r="AG325" s="155"/>
      <c r="AH325" s="121">
        <v>5</v>
      </c>
      <c r="AI325" s="484"/>
      <c r="AJ325" s="202" t="s">
        <v>3280</v>
      </c>
      <c r="AK325" s="192">
        <v>1</v>
      </c>
      <c r="AL325" s="203" t="s">
        <v>3500</v>
      </c>
      <c r="AM325" s="121">
        <f>((10+12)/2)*2</f>
        <v>22</v>
      </c>
      <c r="AN325" s="356" t="s">
        <v>3501</v>
      </c>
      <c r="AO325" s="356" t="s">
        <v>3501</v>
      </c>
      <c r="AP325" s="121" t="s">
        <v>803</v>
      </c>
      <c r="AQ325" s="121" t="s">
        <v>803</v>
      </c>
      <c r="AR325" s="355" t="s">
        <v>3403</v>
      </c>
      <c r="AS325" s="121" t="s">
        <v>24</v>
      </c>
      <c r="AT325" s="355" t="s">
        <v>3403</v>
      </c>
      <c r="AU325" s="121" t="s">
        <v>24</v>
      </c>
      <c r="AV325" s="121" t="s">
        <v>3311</v>
      </c>
      <c r="AW325" s="121">
        <v>1</v>
      </c>
      <c r="AX325" s="122" t="s">
        <v>3348</v>
      </c>
      <c r="AY325" s="121" t="s">
        <v>3398</v>
      </c>
      <c r="AZ325" s="121" t="s">
        <v>3397</v>
      </c>
      <c r="BA325" s="121" t="s">
        <v>3395</v>
      </c>
      <c r="BB325" s="594"/>
      <c r="BC325" s="594"/>
      <c r="BD325" s="156">
        <v>1</v>
      </c>
      <c r="BE325" s="156"/>
      <c r="BF325" s="156"/>
      <c r="BG325" s="156"/>
      <c r="BH325" s="156"/>
      <c r="BI325" s="156"/>
      <c r="BJ325" s="156"/>
      <c r="BK325" s="156"/>
      <c r="BL325" s="156"/>
      <c r="BM325" s="156"/>
      <c r="BN325" s="156"/>
      <c r="BO325" s="156"/>
      <c r="BP325" s="156"/>
      <c r="BQ325" s="595" t="s">
        <v>2493</v>
      </c>
      <c r="BR325" s="157" t="s">
        <v>6595</v>
      </c>
      <c r="BS325" s="660"/>
      <c r="BT325" s="134" t="s">
        <v>1876</v>
      </c>
      <c r="BU325" s="134">
        <v>2</v>
      </c>
      <c r="BV325" s="134" t="s">
        <v>3499</v>
      </c>
      <c r="BW325" s="134" t="s">
        <v>3481</v>
      </c>
      <c r="BX325" s="134" t="s">
        <v>3406</v>
      </c>
      <c r="BY325" s="134" t="s">
        <v>6640</v>
      </c>
      <c r="BZ325" s="259" t="s">
        <v>3505</v>
      </c>
      <c r="CA325" s="454" t="s">
        <v>6627</v>
      </c>
      <c r="CB325" s="138" t="s">
        <v>3485</v>
      </c>
      <c r="CC325" s="134">
        <v>98.933300000000003</v>
      </c>
      <c r="CD325" s="168" t="s">
        <v>24</v>
      </c>
      <c r="CE325" s="134">
        <f>109.333-Table668[[#This Row],[Data_Outcome1_M]]</f>
        <v>10.399699999999996</v>
      </c>
      <c r="CF325" s="138" t="s">
        <v>3487</v>
      </c>
      <c r="CG325" s="134">
        <v>60.533299999999997</v>
      </c>
      <c r="CH325" s="134" t="s">
        <v>24</v>
      </c>
      <c r="CI325" s="134">
        <f>70.6667-Table668[[#This Row],[Data_Outcome2_M]]</f>
        <v>10.133400000000009</v>
      </c>
      <c r="CJ325" s="288" t="s">
        <v>3502</v>
      </c>
      <c r="CK325" s="289" t="s">
        <v>3509</v>
      </c>
      <c r="CL325" s="138" t="s">
        <v>24</v>
      </c>
      <c r="CM325" s="134"/>
      <c r="CN325" s="168"/>
      <c r="CO325" s="134"/>
      <c r="CP325" s="138" t="s">
        <v>24</v>
      </c>
      <c r="CQ325" s="134"/>
      <c r="CR325" s="134"/>
      <c r="CS325" s="134"/>
      <c r="CT325" s="288"/>
      <c r="CU325" s="289"/>
      <c r="CV325" s="276"/>
      <c r="CW325" s="308"/>
      <c r="CX325" s="138"/>
      <c r="CY325" s="134"/>
      <c r="CZ325" s="134"/>
      <c r="DA325" s="134"/>
      <c r="DB325" s="134"/>
      <c r="DC325" s="134"/>
      <c r="DD325" s="134"/>
      <c r="DE325" s="134"/>
      <c r="DF325" s="300"/>
      <c r="DG325" s="301"/>
      <c r="DH325" s="134"/>
      <c r="DI325" s="134"/>
      <c r="DJ325" s="134"/>
      <c r="DK325" s="134"/>
      <c r="DL325" s="134"/>
      <c r="DM325" s="134"/>
      <c r="DN325" s="134"/>
      <c r="DO325" s="134"/>
      <c r="DP325" s="300"/>
      <c r="DQ325" s="301"/>
      <c r="DR325" s="276"/>
      <c r="DS325" s="277"/>
      <c r="DT325" s="134"/>
      <c r="DU325" s="134"/>
      <c r="DV325" s="134"/>
      <c r="DW325" s="134"/>
      <c r="DX325" s="138"/>
      <c r="DY325" s="134"/>
      <c r="DZ325" s="134"/>
      <c r="EA325" s="134"/>
      <c r="EB325" s="301"/>
      <c r="EC325" s="301"/>
      <c r="ED325" s="138"/>
      <c r="EE325" s="134"/>
      <c r="EF325" s="134"/>
      <c r="EG325" s="134"/>
      <c r="EH325" s="138"/>
      <c r="EI325" s="134"/>
      <c r="EJ325" s="134"/>
      <c r="EK325" s="134"/>
      <c r="EL325" s="301"/>
      <c r="EM325" s="301"/>
      <c r="EN325" s="277"/>
      <c r="EO325" s="134"/>
      <c r="EP325" s="134"/>
      <c r="EQ325" s="134"/>
      <c r="ER325" s="134"/>
      <c r="ES325" s="134"/>
      <c r="ET325" s="134"/>
      <c r="EU325" s="134"/>
      <c r="EV325" s="134"/>
      <c r="EW325" s="301"/>
      <c r="EX325" s="301"/>
      <c r="EY325" s="134"/>
      <c r="EZ325" s="134"/>
      <c r="FA325" s="134"/>
      <c r="FB325" s="134"/>
      <c r="FC325" s="134"/>
      <c r="FD325" s="134"/>
      <c r="FE325" s="134"/>
      <c r="FF325" s="134"/>
      <c r="FG325" s="135"/>
      <c r="FH325" s="135"/>
      <c r="FI325" s="134"/>
      <c r="FJ325" s="134"/>
      <c r="FK325" s="134"/>
      <c r="FL325" s="134"/>
      <c r="FM325" s="134"/>
      <c r="FN325" s="134"/>
      <c r="FO325" s="134"/>
      <c r="FP325" s="134"/>
      <c r="FQ325" s="135"/>
      <c r="FR325" s="135"/>
      <c r="FS325" s="134"/>
      <c r="FT325" s="134"/>
      <c r="FU325" s="134"/>
      <c r="FV325" s="134"/>
      <c r="FW325" s="134"/>
      <c r="FX325" s="134"/>
      <c r="FY325" s="134"/>
      <c r="FZ325" s="134"/>
      <c r="GA325" s="135"/>
      <c r="GB325" s="135"/>
      <c r="GC325" s="134"/>
      <c r="GD325" s="134"/>
      <c r="GE325" s="134"/>
      <c r="GF325" s="134"/>
      <c r="GG325" s="134"/>
      <c r="GH325" s="134"/>
      <c r="GI325" s="134"/>
      <c r="GJ325" s="134"/>
      <c r="GK325" s="135"/>
      <c r="GL325" s="135"/>
      <c r="GM325" s="134"/>
      <c r="GN325" s="134"/>
      <c r="GO325" s="134"/>
      <c r="GP325" s="134"/>
      <c r="GQ325" s="134"/>
      <c r="GR325" s="134"/>
      <c r="GS325" s="134"/>
      <c r="GT325" s="134"/>
      <c r="GU325" s="135"/>
      <c r="GV325" s="135"/>
      <c r="GW325" s="134"/>
      <c r="GX325" s="134"/>
      <c r="GY325" s="134"/>
      <c r="GZ325" s="134"/>
      <c r="HA325" s="134"/>
      <c r="HB325" s="134"/>
      <c r="HC325" s="134"/>
      <c r="HD325" s="134"/>
      <c r="HE325" s="135"/>
      <c r="HF325" s="135"/>
      <c r="HG325" s="134"/>
      <c r="HH325" s="134"/>
      <c r="HI325" s="134"/>
      <c r="HJ325" s="134"/>
      <c r="HK325" s="134"/>
      <c r="HL325" s="134"/>
      <c r="HM325" s="134"/>
      <c r="HN325" s="134"/>
      <c r="HO325" s="135"/>
      <c r="HP325" s="135"/>
      <c r="HQ325" s="134"/>
      <c r="HR325" s="134"/>
      <c r="HS325" s="134"/>
      <c r="HT325" s="134"/>
      <c r="HU325" s="134"/>
      <c r="HV325" s="134"/>
      <c r="HW325" s="134"/>
      <c r="HX325" s="134"/>
      <c r="HY325" s="135"/>
      <c r="HZ325" s="135"/>
      <c r="IA325" s="134"/>
      <c r="IB325" s="134"/>
      <c r="IC325" s="134"/>
      <c r="ID325" s="134"/>
      <c r="IE325" s="134"/>
      <c r="IF325" s="134"/>
      <c r="IG325" s="134"/>
      <c r="IH325" s="134"/>
      <c r="II325" s="135"/>
      <c r="IJ325" s="135"/>
      <c r="IK325" s="134"/>
      <c r="IL325" s="134"/>
      <c r="IM325" s="134"/>
      <c r="IN325" s="134"/>
      <c r="IO325" s="134"/>
      <c r="IP325" s="134"/>
      <c r="IQ325" s="134"/>
      <c r="IR325" s="134"/>
      <c r="IS325" s="135"/>
      <c r="IT325" s="135"/>
      <c r="IU325" s="134"/>
      <c r="IV325" s="134"/>
      <c r="IW325" s="134"/>
      <c r="IX325" s="134"/>
      <c r="IY325" s="134"/>
      <c r="IZ325" s="134"/>
      <c r="JA325" s="134"/>
      <c r="JB325" s="134"/>
      <c r="JC325" s="135"/>
      <c r="JD325" s="135"/>
    </row>
    <row r="326" spans="1:264" customFormat="1" ht="15" customHeight="1">
      <c r="A326" s="118" t="s">
        <v>995</v>
      </c>
      <c r="B326" s="362">
        <v>40</v>
      </c>
      <c r="C326" s="362"/>
      <c r="D326" s="362"/>
      <c r="E326" s="605" t="s">
        <v>2107</v>
      </c>
      <c r="F326" s="140" t="s">
        <v>2365</v>
      </c>
      <c r="G326" s="141">
        <v>2014</v>
      </c>
      <c r="H326" s="118">
        <v>25309317</v>
      </c>
      <c r="I326" s="118">
        <v>1</v>
      </c>
      <c r="J326" s="118"/>
      <c r="K326" s="118"/>
      <c r="L326" s="118">
        <v>1</v>
      </c>
      <c r="M326" s="118"/>
      <c r="N326" s="118">
        <v>1</v>
      </c>
      <c r="O326" s="142">
        <v>2</v>
      </c>
      <c r="P326" s="118" t="s">
        <v>1478</v>
      </c>
      <c r="Q326" s="118" t="s">
        <v>1216</v>
      </c>
      <c r="R326" s="118" t="s">
        <v>1138</v>
      </c>
      <c r="S326" s="118"/>
      <c r="T326" s="118" t="s">
        <v>1489</v>
      </c>
      <c r="U326" s="118"/>
      <c r="V326" s="118"/>
      <c r="W326" s="118" t="s">
        <v>1477</v>
      </c>
      <c r="X326" s="118" t="s">
        <v>1476</v>
      </c>
      <c r="Y326" s="118"/>
      <c r="Z326" s="118"/>
      <c r="AA326" s="118"/>
      <c r="AB326" s="118"/>
      <c r="AC326" s="145"/>
      <c r="AD326" s="573">
        <v>1</v>
      </c>
      <c r="AE326" s="573">
        <v>2</v>
      </c>
      <c r="AF326" s="159">
        <v>1</v>
      </c>
      <c r="AG326" s="160"/>
      <c r="AH326" s="122">
        <v>5</v>
      </c>
      <c r="AI326" s="485"/>
      <c r="AJ326" s="204" t="s">
        <v>3280</v>
      </c>
      <c r="AK326" s="192">
        <v>1</v>
      </c>
      <c r="AL326" s="205">
        <v>1</v>
      </c>
      <c r="AM326" s="122">
        <f>((10+12)/2)*2</f>
        <v>22</v>
      </c>
      <c r="AN326" s="357" t="s">
        <v>3501</v>
      </c>
      <c r="AO326" s="357" t="s">
        <v>3501</v>
      </c>
      <c r="AP326" s="122" t="s">
        <v>803</v>
      </c>
      <c r="AQ326" s="122" t="s">
        <v>803</v>
      </c>
      <c r="AR326" s="358" t="s">
        <v>3403</v>
      </c>
      <c r="AS326" s="122" t="s">
        <v>24</v>
      </c>
      <c r="AT326" s="358" t="s">
        <v>3403</v>
      </c>
      <c r="AU326" s="122" t="s">
        <v>24</v>
      </c>
      <c r="AV326" s="122" t="s">
        <v>3311</v>
      </c>
      <c r="AW326" s="122">
        <v>1</v>
      </c>
      <c r="AX326" s="122" t="s">
        <v>3348</v>
      </c>
      <c r="AY326" s="122" t="s">
        <v>3398</v>
      </c>
      <c r="AZ326" s="122" t="s">
        <v>3397</v>
      </c>
      <c r="BA326" s="122" t="s">
        <v>3395</v>
      </c>
      <c r="BB326" s="588"/>
      <c r="BC326" s="588"/>
      <c r="BD326" s="161">
        <v>1</v>
      </c>
      <c r="BE326" s="161"/>
      <c r="BF326" s="161"/>
      <c r="BG326" s="161"/>
      <c r="BH326" s="161"/>
      <c r="BI326" s="161"/>
      <c r="BJ326" s="161"/>
      <c r="BK326" s="161"/>
      <c r="BL326" s="161"/>
      <c r="BM326" s="161"/>
      <c r="BN326" s="161"/>
      <c r="BO326" s="161"/>
      <c r="BP326" s="161"/>
      <c r="BQ326" s="596" t="s">
        <v>3482</v>
      </c>
      <c r="BR326" s="162" t="s">
        <v>6595</v>
      </c>
      <c r="BS326" s="660"/>
      <c r="BT326" s="150" t="s">
        <v>1876</v>
      </c>
      <c r="BU326" s="150">
        <v>2</v>
      </c>
      <c r="BV326" s="150" t="s">
        <v>3484</v>
      </c>
      <c r="BW326" s="150" t="s">
        <v>3481</v>
      </c>
      <c r="BX326" s="150" t="s">
        <v>3406</v>
      </c>
      <c r="BY326" s="134" t="s">
        <v>6640</v>
      </c>
      <c r="BZ326" s="258" t="s">
        <v>3507</v>
      </c>
      <c r="CA326" s="257" t="s">
        <v>23</v>
      </c>
      <c r="CB326" s="151" t="s">
        <v>3497</v>
      </c>
      <c r="CC326" s="150">
        <v>100.267</v>
      </c>
      <c r="CD326" s="150" t="s">
        <v>24</v>
      </c>
      <c r="CE326" s="150">
        <f>Table668[[#This Row],[Data_Outcome1_M]]-89.3333</f>
        <v>10.933700000000002</v>
      </c>
      <c r="CF326" s="151" t="s">
        <v>3498</v>
      </c>
      <c r="CG326" s="150">
        <v>38.666699999999999</v>
      </c>
      <c r="CH326" s="150" t="s">
        <v>24</v>
      </c>
      <c r="CI326" s="150">
        <f>Table668[[#This Row],[Data_Outcome2_M]]-30.9333</f>
        <v>7.7333999999999996</v>
      </c>
      <c r="CJ326" s="290" t="s">
        <v>3504</v>
      </c>
      <c r="CK326" s="291" t="s">
        <v>3508</v>
      </c>
      <c r="CL326" s="151"/>
      <c r="CM326" s="150"/>
      <c r="CN326" s="228"/>
      <c r="CO326" s="150"/>
      <c r="CP326" s="151"/>
      <c r="CQ326" s="150"/>
      <c r="CR326" s="150"/>
      <c r="CS326" s="150"/>
      <c r="CT326" s="290"/>
      <c r="CU326" s="291"/>
      <c r="CV326" s="278"/>
      <c r="CW326" s="285"/>
      <c r="CX326" s="151"/>
      <c r="CY326" s="150"/>
      <c r="CZ326" s="150"/>
      <c r="DA326" s="150"/>
      <c r="DB326" s="150"/>
      <c r="DC326" s="150"/>
      <c r="DD326" s="150"/>
      <c r="DE326" s="150"/>
      <c r="DF326" s="302"/>
      <c r="DG326" s="303"/>
      <c r="DH326" s="150"/>
      <c r="DI326" s="150"/>
      <c r="DJ326" s="150"/>
      <c r="DK326" s="150"/>
      <c r="DL326" s="150"/>
      <c r="DM326" s="150"/>
      <c r="DN326" s="150"/>
      <c r="DO326" s="150"/>
      <c r="DP326" s="302"/>
      <c r="DQ326" s="303"/>
      <c r="DR326" s="278"/>
      <c r="DS326" s="279"/>
      <c r="DT326" s="150"/>
      <c r="DU326" s="150"/>
      <c r="DV326" s="150"/>
      <c r="DW326" s="150"/>
      <c r="DX326" s="151"/>
      <c r="DY326" s="150"/>
      <c r="DZ326" s="150"/>
      <c r="EA326" s="150"/>
      <c r="EB326" s="303"/>
      <c r="EC326" s="303"/>
      <c r="ED326" s="151"/>
      <c r="EE326" s="150"/>
      <c r="EF326" s="150"/>
      <c r="EG326" s="150"/>
      <c r="EH326" s="151"/>
      <c r="EI326" s="150"/>
      <c r="EJ326" s="150"/>
      <c r="EK326" s="150"/>
      <c r="EL326" s="303"/>
      <c r="EM326" s="303"/>
      <c r="EN326" s="279"/>
      <c r="EO326" s="150"/>
      <c r="EP326" s="150"/>
      <c r="EQ326" s="150"/>
      <c r="ER326" s="150"/>
      <c r="ES326" s="150"/>
      <c r="ET326" s="150"/>
      <c r="EU326" s="150"/>
      <c r="EV326" s="150"/>
      <c r="EW326" s="303"/>
      <c r="EX326" s="303"/>
      <c r="EY326" s="150"/>
      <c r="EZ326" s="150"/>
      <c r="FA326" s="150"/>
      <c r="FB326" s="150"/>
      <c r="FC326" s="134"/>
      <c r="FD326" s="134"/>
      <c r="FE326" s="134"/>
      <c r="FF326" s="134"/>
      <c r="FG326" s="135"/>
      <c r="FH326" s="135"/>
      <c r="FI326" s="134"/>
      <c r="FJ326" s="134"/>
      <c r="FK326" s="134"/>
      <c r="FL326" s="134"/>
      <c r="FM326" s="134"/>
      <c r="FN326" s="134"/>
      <c r="FO326" s="134"/>
      <c r="FP326" s="134"/>
      <c r="FQ326" s="135"/>
      <c r="FR326" s="135"/>
      <c r="FS326" s="134"/>
      <c r="FT326" s="134"/>
      <c r="FU326" s="134"/>
      <c r="FV326" s="134"/>
      <c r="FW326" s="134"/>
      <c r="FX326" s="134"/>
      <c r="FY326" s="134"/>
      <c r="FZ326" s="134"/>
      <c r="GA326" s="135"/>
      <c r="GB326" s="135"/>
      <c r="GC326" s="134"/>
      <c r="GD326" s="134"/>
      <c r="GE326" s="134"/>
      <c r="GF326" s="134"/>
      <c r="GG326" s="134"/>
      <c r="GH326" s="134"/>
      <c r="GI326" s="134"/>
      <c r="GJ326" s="134"/>
      <c r="GK326" s="135"/>
      <c r="GL326" s="135"/>
      <c r="GM326" s="134"/>
      <c r="GN326" s="134"/>
      <c r="GO326" s="134"/>
      <c r="GP326" s="134"/>
      <c r="GQ326" s="134"/>
      <c r="GR326" s="134"/>
      <c r="GS326" s="134"/>
      <c r="GT326" s="134"/>
      <c r="GU326" s="135"/>
      <c r="GV326" s="135"/>
      <c r="GW326" s="134"/>
      <c r="GX326" s="134"/>
      <c r="GY326" s="134"/>
      <c r="GZ326" s="134"/>
      <c r="HA326" s="134"/>
      <c r="HB326" s="134"/>
      <c r="HC326" s="134"/>
      <c r="HD326" s="134"/>
      <c r="HE326" s="135"/>
      <c r="HF326" s="135"/>
      <c r="HG326" s="134"/>
      <c r="HH326" s="134"/>
      <c r="HI326" s="134"/>
      <c r="HJ326" s="134"/>
      <c r="HK326" s="134"/>
      <c r="HL326" s="134"/>
      <c r="HM326" s="134"/>
      <c r="HN326" s="134"/>
      <c r="HO326" s="135"/>
      <c r="HP326" s="135"/>
      <c r="HQ326" s="134"/>
      <c r="HR326" s="134"/>
      <c r="HS326" s="134"/>
      <c r="HT326" s="134"/>
      <c r="HU326" s="134"/>
      <c r="HV326" s="134"/>
      <c r="HW326" s="134"/>
      <c r="HX326" s="134"/>
      <c r="HY326" s="135"/>
      <c r="HZ326" s="135"/>
      <c r="IA326" s="134"/>
      <c r="IB326" s="134"/>
      <c r="IC326" s="134"/>
      <c r="ID326" s="134"/>
      <c r="IE326" s="134"/>
      <c r="IF326" s="134"/>
      <c r="IG326" s="134"/>
      <c r="IH326" s="134"/>
      <c r="II326" s="135"/>
      <c r="IJ326" s="135"/>
      <c r="IK326" s="134"/>
      <c r="IL326" s="134"/>
      <c r="IM326" s="134"/>
      <c r="IN326" s="134"/>
      <c r="IO326" s="134"/>
      <c r="IP326" s="134"/>
      <c r="IQ326" s="134"/>
      <c r="IR326" s="134"/>
      <c r="IS326" s="135"/>
      <c r="IT326" s="135"/>
      <c r="IU326" s="134"/>
      <c r="IV326" s="134"/>
      <c r="IW326" s="134"/>
      <c r="IX326" s="134"/>
      <c r="IY326" s="134"/>
      <c r="IZ326" s="134"/>
      <c r="JA326" s="134"/>
      <c r="JB326" s="134"/>
      <c r="JC326" s="135"/>
      <c r="JD326" s="135"/>
    </row>
    <row r="327" spans="1:264" customFormat="1" ht="15" customHeight="1">
      <c r="A327" s="79" t="s">
        <v>259</v>
      </c>
      <c r="B327" s="362">
        <v>190</v>
      </c>
      <c r="C327" s="362">
        <v>67</v>
      </c>
      <c r="D327" s="362"/>
      <c r="E327" s="604" t="s">
        <v>2002</v>
      </c>
      <c r="F327" s="124" t="s">
        <v>2233</v>
      </c>
      <c r="G327" s="125">
        <v>2012</v>
      </c>
      <c r="H327" s="79">
        <v>22468823</v>
      </c>
      <c r="I327" s="79">
        <v>1</v>
      </c>
      <c r="J327" s="126" t="s">
        <v>1745</v>
      </c>
      <c r="K327" s="127" t="s">
        <v>1745</v>
      </c>
      <c r="L327" s="164">
        <v>1</v>
      </c>
      <c r="M327" s="79" t="s">
        <v>1748</v>
      </c>
      <c r="N327" s="164">
        <v>1</v>
      </c>
      <c r="O327" s="128">
        <v>1</v>
      </c>
      <c r="P327" s="79" t="s">
        <v>695</v>
      </c>
      <c r="Q327" s="79" t="s">
        <v>1172</v>
      </c>
      <c r="R327" s="79" t="s">
        <v>27</v>
      </c>
      <c r="S327" s="79">
        <v>0</v>
      </c>
      <c r="T327" s="79"/>
      <c r="U327" s="79"/>
      <c r="V327" s="79"/>
      <c r="W327" s="79" t="s">
        <v>694</v>
      </c>
      <c r="X327" s="79"/>
      <c r="Y327" s="79"/>
      <c r="Z327" s="79"/>
      <c r="AA327" s="79"/>
      <c r="AB327" s="79" t="s">
        <v>696</v>
      </c>
      <c r="AC327" s="506"/>
      <c r="AD327" s="573">
        <v>1</v>
      </c>
      <c r="AE327" s="573">
        <v>2</v>
      </c>
      <c r="AF327" s="165" t="s">
        <v>3003</v>
      </c>
      <c r="AG327" s="166" t="s">
        <v>5326</v>
      </c>
      <c r="AH327" s="120">
        <v>3</v>
      </c>
      <c r="AI327" s="120"/>
      <c r="AJ327" s="206"/>
      <c r="AK327" s="372"/>
      <c r="AL327" s="207"/>
      <c r="AM327" s="120"/>
      <c r="AN327" s="120"/>
      <c r="AO327" s="120"/>
      <c r="AP327" s="120"/>
      <c r="AQ327" s="120"/>
      <c r="AR327" s="120"/>
      <c r="AS327" s="120"/>
      <c r="AT327" s="120"/>
      <c r="AU327" s="120"/>
      <c r="AV327" s="120"/>
      <c r="AW327" s="120"/>
      <c r="AX327" s="120"/>
      <c r="AY327" s="120"/>
      <c r="AZ327" s="120"/>
      <c r="BA327" s="509"/>
      <c r="BB327" s="598"/>
      <c r="BC327" s="598"/>
      <c r="BD327" s="511"/>
      <c r="BE327" s="511"/>
      <c r="BF327" s="511">
        <v>1</v>
      </c>
      <c r="BG327" s="511"/>
      <c r="BH327" s="511"/>
      <c r="BI327" s="511"/>
      <c r="BJ327" s="511">
        <v>1</v>
      </c>
      <c r="BK327" s="511"/>
      <c r="BL327" s="511"/>
      <c r="BM327" s="511"/>
      <c r="BN327" s="511"/>
      <c r="BO327" s="511"/>
      <c r="BP327" s="511"/>
      <c r="BQ327" s="511"/>
      <c r="BR327" s="510"/>
      <c r="BS327" s="660"/>
      <c r="BT327" s="134"/>
      <c r="BU327" s="134"/>
      <c r="BV327" s="134"/>
      <c r="BW327" s="134"/>
      <c r="BX327" s="134"/>
      <c r="BY327" s="134"/>
      <c r="BZ327" s="375"/>
      <c r="CA327" s="380"/>
      <c r="CB327" s="138"/>
      <c r="CC327" s="134"/>
      <c r="CD327" s="134"/>
      <c r="CE327" s="134"/>
      <c r="CF327" s="138"/>
      <c r="CG327" s="134"/>
      <c r="CH327" s="134"/>
      <c r="CI327" s="134"/>
      <c r="CJ327" s="288"/>
      <c r="CK327" s="289"/>
      <c r="CL327" s="427" t="s">
        <v>24</v>
      </c>
      <c r="CM327" s="424" t="s">
        <v>24</v>
      </c>
      <c r="CN327" s="424" t="s">
        <v>24</v>
      </c>
      <c r="CO327" s="424" t="s">
        <v>24</v>
      </c>
      <c r="CP327" s="424" t="s">
        <v>24</v>
      </c>
      <c r="CQ327" s="424" t="s">
        <v>24</v>
      </c>
      <c r="CR327" s="424" t="s">
        <v>24</v>
      </c>
      <c r="CS327" s="424" t="s">
        <v>24</v>
      </c>
      <c r="CT327" s="288"/>
      <c r="CU327" s="289"/>
      <c r="CV327" s="276"/>
      <c r="CW327" s="308"/>
      <c r="CX327" s="138"/>
      <c r="CY327" s="134"/>
      <c r="CZ327" s="134"/>
      <c r="DA327" s="134"/>
      <c r="DB327" s="134"/>
      <c r="DC327" s="134"/>
      <c r="DD327" s="134"/>
      <c r="DE327" s="134"/>
      <c r="DF327" s="300"/>
      <c r="DG327" s="301"/>
      <c r="DH327" s="134"/>
      <c r="DI327" s="134"/>
      <c r="DJ327" s="134"/>
      <c r="DK327" s="134"/>
      <c r="DL327" s="134"/>
      <c r="DM327" s="134"/>
      <c r="DN327" s="134"/>
      <c r="DO327" s="134"/>
      <c r="DP327" s="300"/>
      <c r="DQ327" s="301"/>
      <c r="DR327" s="276"/>
      <c r="DS327" s="277"/>
      <c r="DT327" s="134"/>
      <c r="DU327" s="134"/>
      <c r="DV327" s="134"/>
      <c r="DW327" s="134"/>
      <c r="DX327" s="138"/>
      <c r="DY327" s="134"/>
      <c r="DZ327" s="134"/>
      <c r="EA327" s="134"/>
      <c r="EB327" s="301"/>
      <c r="EC327" s="301"/>
      <c r="ED327" s="138"/>
      <c r="EE327" s="134"/>
      <c r="EF327" s="134"/>
      <c r="EG327" s="134"/>
      <c r="EH327" s="138"/>
      <c r="EI327" s="134"/>
      <c r="EJ327" s="134"/>
      <c r="EK327" s="134"/>
      <c r="EL327" s="301"/>
      <c r="EM327" s="301"/>
      <c r="EN327" s="277"/>
      <c r="EO327" s="134"/>
      <c r="EP327" s="134"/>
      <c r="EQ327" s="134"/>
      <c r="ER327" s="134"/>
      <c r="ES327" s="134"/>
      <c r="ET327" s="134"/>
      <c r="EU327" s="134"/>
      <c r="EV327" s="134"/>
      <c r="EW327" s="301"/>
      <c r="EX327" s="301"/>
      <c r="EY327" s="134"/>
      <c r="EZ327" s="134"/>
      <c r="FA327" s="134"/>
      <c r="FB327" s="134"/>
      <c r="FC327" s="134"/>
      <c r="FD327" s="134"/>
      <c r="FE327" s="134"/>
      <c r="FF327" s="134"/>
      <c r="FG327" s="135"/>
      <c r="FH327" s="135"/>
      <c r="FI327" s="134"/>
      <c r="FJ327" s="134"/>
      <c r="FK327" s="134"/>
      <c r="FL327" s="134"/>
      <c r="FM327" s="134"/>
      <c r="FN327" s="134"/>
      <c r="FO327" s="134"/>
      <c r="FP327" s="134"/>
      <c r="FQ327" s="135"/>
      <c r="FR327" s="135"/>
      <c r="FS327" s="134"/>
      <c r="FT327" s="134"/>
      <c r="FU327" s="134"/>
      <c r="FV327" s="134"/>
      <c r="FW327" s="134"/>
      <c r="FX327" s="134"/>
      <c r="FY327" s="134"/>
      <c r="FZ327" s="134"/>
      <c r="GA327" s="135"/>
      <c r="GB327" s="135"/>
      <c r="GC327" s="134"/>
      <c r="GD327" s="134"/>
      <c r="GE327" s="134"/>
      <c r="GF327" s="134"/>
      <c r="GG327" s="134"/>
      <c r="GH327" s="134"/>
      <c r="GI327" s="134"/>
      <c r="GJ327" s="134"/>
      <c r="GK327" s="135"/>
      <c r="GL327" s="135"/>
      <c r="GM327" s="134"/>
      <c r="GN327" s="134"/>
      <c r="GO327" s="134"/>
      <c r="GP327" s="134"/>
      <c r="GQ327" s="134"/>
      <c r="GR327" s="134"/>
      <c r="GS327" s="134"/>
      <c r="GT327" s="134"/>
      <c r="GU327" s="135"/>
      <c r="GV327" s="135"/>
      <c r="GW327" s="134"/>
      <c r="GX327" s="134"/>
      <c r="GY327" s="134"/>
      <c r="GZ327" s="134"/>
      <c r="HA327" s="134"/>
      <c r="HB327" s="134"/>
      <c r="HC327" s="134"/>
      <c r="HD327" s="134"/>
      <c r="HE327" s="135"/>
      <c r="HF327" s="135"/>
      <c r="HG327" s="134"/>
      <c r="HH327" s="134"/>
      <c r="HI327" s="134"/>
      <c r="HJ327" s="134"/>
      <c r="HK327" s="134"/>
      <c r="HL327" s="134"/>
      <c r="HM327" s="134"/>
      <c r="HN327" s="134"/>
      <c r="HO327" s="135"/>
      <c r="HP327" s="135"/>
      <c r="HQ327" s="134"/>
      <c r="HR327" s="134"/>
      <c r="HS327" s="134"/>
      <c r="HT327" s="134"/>
      <c r="HU327" s="134"/>
      <c r="HV327" s="134"/>
      <c r="HW327" s="134"/>
      <c r="HX327" s="134"/>
      <c r="HY327" s="135"/>
      <c r="HZ327" s="135"/>
      <c r="IA327" s="134"/>
      <c r="IB327" s="134"/>
      <c r="IC327" s="134"/>
      <c r="ID327" s="134"/>
      <c r="IE327" s="134"/>
      <c r="IF327" s="134"/>
      <c r="IG327" s="134"/>
      <c r="IH327" s="134"/>
      <c r="II327" s="135"/>
      <c r="IJ327" s="135"/>
      <c r="IK327" s="134"/>
      <c r="IL327" s="134"/>
      <c r="IM327" s="134"/>
      <c r="IN327" s="134"/>
      <c r="IO327" s="134"/>
      <c r="IP327" s="134"/>
      <c r="IQ327" s="134"/>
      <c r="IR327" s="134"/>
      <c r="IS327" s="135"/>
      <c r="IT327" s="135"/>
      <c r="IU327" s="134"/>
      <c r="IV327" s="134"/>
      <c r="IW327" s="134"/>
      <c r="IX327" s="134"/>
      <c r="IY327" s="134"/>
      <c r="IZ327" s="134"/>
      <c r="JA327" s="134"/>
      <c r="JB327" s="134"/>
      <c r="JC327" s="135"/>
      <c r="JD327" s="135"/>
    </row>
    <row r="328" spans="1:264" customFormat="1" ht="15" customHeight="1">
      <c r="A328" s="153" t="s">
        <v>994</v>
      </c>
      <c r="B328" s="618">
        <v>41</v>
      </c>
      <c r="C328" s="618"/>
      <c r="D328" s="618"/>
      <c r="E328" s="610" t="s">
        <v>2108</v>
      </c>
      <c r="F328" s="368" t="s">
        <v>2366</v>
      </c>
      <c r="G328" s="369">
        <v>2010</v>
      </c>
      <c r="H328" s="153">
        <v>20838777</v>
      </c>
      <c r="I328" s="153">
        <v>1</v>
      </c>
      <c r="J328" s="370">
        <v>1</v>
      </c>
      <c r="K328" s="371"/>
      <c r="L328" s="153">
        <v>1</v>
      </c>
      <c r="M328" s="153"/>
      <c r="N328" s="153">
        <v>1</v>
      </c>
      <c r="O328" s="153">
        <v>2</v>
      </c>
      <c r="P328" s="153" t="s">
        <v>1481</v>
      </c>
      <c r="Q328" s="153" t="s">
        <v>1482</v>
      </c>
      <c r="R328" s="153" t="s">
        <v>1479</v>
      </c>
      <c r="S328" s="153"/>
      <c r="T328" s="153" t="s">
        <v>1488</v>
      </c>
      <c r="U328" s="153" t="s">
        <v>1539</v>
      </c>
      <c r="V328" s="153"/>
      <c r="W328" s="153" t="s">
        <v>1239</v>
      </c>
      <c r="X328" s="153"/>
      <c r="Y328" s="153" t="s">
        <v>1123</v>
      </c>
      <c r="Z328" s="153"/>
      <c r="AA328" s="153" t="s">
        <v>1480</v>
      </c>
      <c r="AB328" s="153"/>
      <c r="AC328" s="536"/>
      <c r="AD328" s="573">
        <v>1</v>
      </c>
      <c r="AE328" s="573">
        <v>2</v>
      </c>
      <c r="AF328" s="165">
        <v>0</v>
      </c>
      <c r="AG328" s="166" t="s">
        <v>3511</v>
      </c>
      <c r="AH328" s="120">
        <v>5</v>
      </c>
      <c r="AI328" s="484"/>
      <c r="AJ328" s="206"/>
      <c r="AK328" s="372"/>
      <c r="AL328" s="207"/>
      <c r="AM328" s="120"/>
      <c r="AN328" s="120"/>
      <c r="AO328" s="120"/>
      <c r="AP328" s="120"/>
      <c r="AQ328" s="120"/>
      <c r="AR328" s="120"/>
      <c r="AS328" s="120"/>
      <c r="AT328" s="120"/>
      <c r="AU328" s="120"/>
      <c r="AV328" s="120"/>
      <c r="AW328" s="120"/>
      <c r="AX328" s="120"/>
      <c r="AY328" s="120"/>
      <c r="AZ328" s="120"/>
      <c r="BA328" s="120"/>
      <c r="BB328" s="594"/>
      <c r="BC328" s="594"/>
      <c r="BD328" s="373">
        <v>1</v>
      </c>
      <c r="BE328" s="373"/>
      <c r="BF328" s="373"/>
      <c r="BG328" s="373"/>
      <c r="BH328" s="373"/>
      <c r="BI328" s="373"/>
      <c r="BJ328" s="373"/>
      <c r="BK328" s="373"/>
      <c r="BL328" s="373"/>
      <c r="BM328" s="373"/>
      <c r="BN328" s="373"/>
      <c r="BO328" s="373"/>
      <c r="BP328" s="373"/>
      <c r="BQ328" s="599"/>
      <c r="BR328" s="374"/>
      <c r="BS328" s="660"/>
      <c r="BT328" s="120"/>
      <c r="BU328" s="120"/>
      <c r="BV328" s="120"/>
      <c r="BW328" s="120"/>
      <c r="BX328" s="120"/>
      <c r="BY328" s="120"/>
      <c r="BZ328" s="375"/>
      <c r="CA328" s="380"/>
      <c r="CB328" s="376"/>
      <c r="CC328" s="120"/>
      <c r="CD328" s="120"/>
      <c r="CE328" s="120"/>
      <c r="CF328" s="376"/>
      <c r="CG328" s="120"/>
      <c r="CH328" s="120"/>
      <c r="CI328" s="120"/>
      <c r="CJ328" s="375"/>
      <c r="CK328" s="377"/>
      <c r="CL328" s="376"/>
      <c r="CM328" s="120"/>
      <c r="CN328" s="120"/>
      <c r="CO328" s="120"/>
      <c r="CP328" s="376"/>
      <c r="CQ328" s="120"/>
      <c r="CR328" s="120"/>
      <c r="CS328" s="120"/>
      <c r="CT328" s="375"/>
      <c r="CU328" s="377"/>
      <c r="CV328" s="380"/>
      <c r="CW328" s="376"/>
      <c r="CX328" s="376"/>
      <c r="CY328" s="120"/>
      <c r="CZ328" s="120"/>
      <c r="DA328" s="120"/>
      <c r="DB328" s="120"/>
      <c r="DC328" s="120"/>
      <c r="DD328" s="120"/>
      <c r="DE328" s="120"/>
      <c r="DF328" s="380"/>
      <c r="DG328" s="120"/>
      <c r="DH328" s="120"/>
      <c r="DI328" s="120"/>
      <c r="DJ328" s="120"/>
      <c r="DK328" s="120"/>
      <c r="DL328" s="120"/>
      <c r="DM328" s="120"/>
      <c r="DN328" s="120"/>
      <c r="DO328" s="120"/>
      <c r="DP328" s="380"/>
      <c r="DQ328" s="120"/>
      <c r="DR328" s="380"/>
      <c r="DS328" s="120"/>
      <c r="DT328" s="120"/>
      <c r="DU328" s="120"/>
      <c r="DV328" s="120"/>
      <c r="DW328" s="120"/>
      <c r="DX328" s="376"/>
      <c r="DY328" s="120"/>
      <c r="DZ328" s="120"/>
      <c r="EA328" s="120"/>
      <c r="EB328" s="120"/>
      <c r="EC328" s="120"/>
      <c r="ED328" s="376"/>
      <c r="EE328" s="120"/>
      <c r="EF328" s="120"/>
      <c r="EG328" s="120"/>
      <c r="EH328" s="376"/>
      <c r="EI328" s="120"/>
      <c r="EJ328" s="120"/>
      <c r="EK328" s="120"/>
      <c r="EL328" s="120"/>
      <c r="EM328" s="120"/>
      <c r="EN328" s="120"/>
      <c r="EO328" s="120"/>
      <c r="EP328" s="120"/>
      <c r="EQ328" s="120"/>
      <c r="ER328" s="120"/>
      <c r="ES328" s="120"/>
      <c r="ET328" s="120"/>
      <c r="EU328" s="120"/>
      <c r="EV328" s="120"/>
      <c r="EW328" s="120"/>
      <c r="EX328" s="120"/>
      <c r="EY328" s="120"/>
      <c r="EZ328" s="120"/>
      <c r="FA328" s="120"/>
      <c r="FB328" s="120"/>
      <c r="FC328" s="134"/>
      <c r="FD328" s="134"/>
      <c r="FE328" s="134"/>
      <c r="FF328" s="134"/>
      <c r="FG328" s="135"/>
      <c r="FH328" s="135"/>
      <c r="FI328" s="134"/>
      <c r="FJ328" s="134"/>
      <c r="FK328" s="134"/>
      <c r="FL328" s="134"/>
      <c r="FM328" s="134"/>
      <c r="FN328" s="134"/>
      <c r="FO328" s="134"/>
      <c r="FP328" s="134"/>
      <c r="FQ328" s="135"/>
      <c r="FR328" s="135"/>
      <c r="FS328" s="134"/>
      <c r="FT328" s="134"/>
      <c r="FU328" s="134"/>
      <c r="FV328" s="134"/>
      <c r="FW328" s="134"/>
      <c r="FX328" s="134"/>
      <c r="FY328" s="134"/>
      <c r="FZ328" s="134"/>
      <c r="GA328" s="135"/>
      <c r="GB328" s="135"/>
      <c r="GC328" s="134"/>
      <c r="GD328" s="134"/>
      <c r="GE328" s="134"/>
      <c r="GF328" s="134"/>
      <c r="GG328" s="134"/>
      <c r="GH328" s="134"/>
      <c r="GI328" s="134"/>
      <c r="GJ328" s="134"/>
      <c r="GK328" s="135"/>
      <c r="GL328" s="135"/>
      <c r="GM328" s="134"/>
      <c r="GN328" s="134"/>
      <c r="GO328" s="134"/>
      <c r="GP328" s="134"/>
      <c r="GQ328" s="134"/>
      <c r="GR328" s="134"/>
      <c r="GS328" s="134"/>
      <c r="GT328" s="134"/>
      <c r="GU328" s="135"/>
      <c r="GV328" s="135"/>
      <c r="GW328" s="134"/>
      <c r="GX328" s="134"/>
      <c r="GY328" s="134"/>
      <c r="GZ328" s="134"/>
      <c r="HA328" s="134"/>
      <c r="HB328" s="134"/>
      <c r="HC328" s="134"/>
      <c r="HD328" s="134"/>
      <c r="HE328" s="135"/>
      <c r="HF328" s="135"/>
      <c r="HG328" s="134"/>
      <c r="HH328" s="134"/>
      <c r="HI328" s="134"/>
      <c r="HJ328" s="134"/>
      <c r="HK328" s="134"/>
      <c r="HL328" s="134"/>
      <c r="HM328" s="134"/>
      <c r="HN328" s="134"/>
      <c r="HO328" s="135"/>
      <c r="HP328" s="135"/>
      <c r="HQ328" s="134"/>
      <c r="HR328" s="134"/>
      <c r="HS328" s="134"/>
      <c r="HT328" s="134"/>
      <c r="HU328" s="134"/>
      <c r="HV328" s="134"/>
      <c r="HW328" s="134"/>
      <c r="HX328" s="134"/>
      <c r="HY328" s="135"/>
      <c r="HZ328" s="135"/>
      <c r="IA328" s="134"/>
      <c r="IB328" s="134"/>
      <c r="IC328" s="134"/>
      <c r="ID328" s="134"/>
      <c r="IE328" s="134"/>
      <c r="IF328" s="134"/>
      <c r="IG328" s="134"/>
      <c r="IH328" s="134"/>
      <c r="II328" s="135"/>
      <c r="IJ328" s="135"/>
      <c r="IK328" s="134"/>
      <c r="IL328" s="134"/>
      <c r="IM328" s="134"/>
      <c r="IN328" s="134"/>
      <c r="IO328" s="134"/>
      <c r="IP328" s="134"/>
      <c r="IQ328" s="134"/>
      <c r="IR328" s="134"/>
      <c r="IS328" s="135"/>
      <c r="IT328" s="135"/>
      <c r="IU328" s="134"/>
      <c r="IV328" s="134"/>
      <c r="IW328" s="134"/>
      <c r="IX328" s="134"/>
      <c r="IY328" s="134"/>
      <c r="IZ328" s="134"/>
      <c r="JA328" s="134"/>
      <c r="JB328" s="134"/>
      <c r="JC328" s="135"/>
      <c r="JD328" s="135"/>
    </row>
    <row r="329" spans="1:264" customFormat="1" ht="15" customHeight="1">
      <c r="A329" s="79" t="s">
        <v>992</v>
      </c>
      <c r="B329" s="362">
        <v>42</v>
      </c>
      <c r="C329" s="362"/>
      <c r="D329" s="362"/>
      <c r="E329" s="604" t="s">
        <v>2109</v>
      </c>
      <c r="F329" s="124" t="s">
        <v>2367</v>
      </c>
      <c r="G329" s="125">
        <v>2015</v>
      </c>
      <c r="H329" s="79">
        <v>26160034</v>
      </c>
      <c r="I329" s="79">
        <v>1</v>
      </c>
      <c r="J329" s="126">
        <v>1</v>
      </c>
      <c r="K329" s="127"/>
      <c r="L329" s="79">
        <v>1</v>
      </c>
      <c r="M329" s="79"/>
      <c r="N329" s="79">
        <v>1</v>
      </c>
      <c r="O329" s="128">
        <v>2</v>
      </c>
      <c r="P329" s="79" t="s">
        <v>1220</v>
      </c>
      <c r="Q329" s="79"/>
      <c r="R329" s="79" t="s">
        <v>1127</v>
      </c>
      <c r="S329" s="79"/>
      <c r="T329" s="79" t="s">
        <v>1487</v>
      </c>
      <c r="U329" s="79"/>
      <c r="V329" s="79"/>
      <c r="W329" s="79" t="s">
        <v>1508</v>
      </c>
      <c r="X329" s="79" t="s">
        <v>1519</v>
      </c>
      <c r="Y329" s="79"/>
      <c r="Z329" s="79"/>
      <c r="AA329" s="79"/>
      <c r="AB329" s="79"/>
      <c r="AC329" s="506"/>
      <c r="AD329" s="573">
        <v>1</v>
      </c>
      <c r="AE329" s="573">
        <v>2</v>
      </c>
      <c r="AF329" s="154">
        <v>1</v>
      </c>
      <c r="AG329" s="155" t="s">
        <v>3512</v>
      </c>
      <c r="AH329" s="121">
        <v>4</v>
      </c>
      <c r="AI329" s="484"/>
      <c r="AJ329" s="202"/>
      <c r="AK329" s="192">
        <v>0</v>
      </c>
      <c r="AL329" s="203">
        <v>1</v>
      </c>
      <c r="AM329" s="121">
        <v>20</v>
      </c>
      <c r="AN329" s="121">
        <v>10</v>
      </c>
      <c r="AO329" s="121">
        <v>10</v>
      </c>
      <c r="AP329" s="121" t="s">
        <v>803</v>
      </c>
      <c r="AQ329" s="121" t="s">
        <v>803</v>
      </c>
      <c r="AR329" s="121" t="s">
        <v>24</v>
      </c>
      <c r="AS329" s="121" t="s">
        <v>24</v>
      </c>
      <c r="AT329" s="121" t="s">
        <v>24</v>
      </c>
      <c r="AU329" s="121" t="s">
        <v>24</v>
      </c>
      <c r="AV329" s="121" t="s">
        <v>3517</v>
      </c>
      <c r="AW329" s="121">
        <v>1</v>
      </c>
      <c r="AX329" s="121" t="s">
        <v>3516</v>
      </c>
      <c r="AY329" s="121" t="s">
        <v>3515</v>
      </c>
      <c r="AZ329" s="121" t="s">
        <v>3513</v>
      </c>
      <c r="BA329" s="121"/>
      <c r="BB329" s="594"/>
      <c r="BC329" s="594"/>
      <c r="BD329" s="156">
        <v>1</v>
      </c>
      <c r="BE329" s="156"/>
      <c r="BF329" s="156"/>
      <c r="BG329" s="156"/>
      <c r="BH329" s="156"/>
      <c r="BI329" s="156"/>
      <c r="BJ329" s="156"/>
      <c r="BK329" s="156"/>
      <c r="BL329" s="156"/>
      <c r="BM329" s="156"/>
      <c r="BN329" s="156"/>
      <c r="BO329" s="156"/>
      <c r="BP329" s="156"/>
      <c r="BQ329" s="595" t="s">
        <v>2493</v>
      </c>
      <c r="BR329" s="157" t="s">
        <v>6595</v>
      </c>
      <c r="BS329" s="660"/>
      <c r="BT329" s="134" t="s">
        <v>1876</v>
      </c>
      <c r="BU329" s="134" t="s">
        <v>3518</v>
      </c>
      <c r="BV329" s="134" t="s">
        <v>3519</v>
      </c>
      <c r="BW329" s="134" t="s">
        <v>3514</v>
      </c>
      <c r="BX329" s="134" t="s">
        <v>3224</v>
      </c>
      <c r="BY329" s="134" t="s">
        <v>2659</v>
      </c>
      <c r="BZ329" s="259" t="s">
        <v>3530</v>
      </c>
      <c r="CA329" s="454" t="s">
        <v>6627</v>
      </c>
      <c r="CB329" s="138" t="s">
        <v>3520</v>
      </c>
      <c r="CC329" s="134">
        <v>18.5349</v>
      </c>
      <c r="CD329" s="134" t="s">
        <v>24</v>
      </c>
      <c r="CE329" s="134">
        <f>21.8679-Table668[[#This Row],[Data_Outcome1_M]]</f>
        <v>3.3329999999999984</v>
      </c>
      <c r="CF329" s="138" t="s">
        <v>3521</v>
      </c>
      <c r="CG329" s="134">
        <v>2.8626999999999998</v>
      </c>
      <c r="CH329" s="134" t="s">
        <v>24</v>
      </c>
      <c r="CI329" s="134">
        <f>3.34657-Table668[[#This Row],[Data_Outcome2_M]]</f>
        <v>0.48387000000000002</v>
      </c>
      <c r="CJ329" s="434" t="s">
        <v>3529</v>
      </c>
      <c r="CK329" s="436" t="s">
        <v>3526</v>
      </c>
      <c r="CL329" s="138" t="s">
        <v>3522</v>
      </c>
      <c r="CM329" s="134">
        <v>17.241399999999999</v>
      </c>
      <c r="CN329" s="134" t="s">
        <v>24</v>
      </c>
      <c r="CO329" s="134">
        <f>20.8513-Table668[[#This Row],[Data_Outcome3_M]]</f>
        <v>3.6098999999999997</v>
      </c>
      <c r="CP329" s="138" t="s">
        <v>3523</v>
      </c>
      <c r="CQ329" s="134">
        <v>2.4245700000000001</v>
      </c>
      <c r="CR329" s="134" t="s">
        <v>24</v>
      </c>
      <c r="CS329" s="134">
        <f>4.20259-Table668[[#This Row],[Data_Outcome4_M]]</f>
        <v>1.7780199999999997</v>
      </c>
      <c r="CT329" s="434" t="s">
        <v>3528</v>
      </c>
      <c r="CU329" s="436" t="s">
        <v>3526</v>
      </c>
      <c r="CV329" s="276"/>
      <c r="CW329" s="308"/>
      <c r="CX329" s="138" t="s">
        <v>3524</v>
      </c>
      <c r="CY329" s="134">
        <v>19.140799999999999</v>
      </c>
      <c r="CZ329" s="134" t="s">
        <v>24</v>
      </c>
      <c r="DA329" s="134">
        <f>24.2923-Table668[[#This Row],[Data_Outcome5_M]]</f>
        <v>5.1515000000000022</v>
      </c>
      <c r="DB329" s="138" t="s">
        <v>3525</v>
      </c>
      <c r="DC329" s="134">
        <v>1.40201</v>
      </c>
      <c r="DD329" s="134" t="s">
        <v>24</v>
      </c>
      <c r="DE329" s="134">
        <f>2.05418-Table668[[#This Row],[Data_Outcome6_M]]</f>
        <v>0.65217000000000014</v>
      </c>
      <c r="DF329" s="300" t="s">
        <v>3527</v>
      </c>
      <c r="DG329" s="301" t="s">
        <v>3526</v>
      </c>
      <c r="DH329" s="134"/>
      <c r="DI329" s="134"/>
      <c r="DJ329" s="134"/>
      <c r="DK329" s="134"/>
      <c r="DL329" s="134"/>
      <c r="DM329" s="134"/>
      <c r="DN329" s="134"/>
      <c r="DO329" s="134"/>
      <c r="DP329" s="300"/>
      <c r="DQ329" s="301"/>
      <c r="DR329" s="276"/>
      <c r="DS329" s="277"/>
      <c r="DT329" s="134"/>
      <c r="DU329" s="134"/>
      <c r="DV329" s="134"/>
      <c r="DW329" s="134"/>
      <c r="DX329" s="138"/>
      <c r="DY329" s="134"/>
      <c r="DZ329" s="134"/>
      <c r="EA329" s="134"/>
      <c r="EB329" s="301"/>
      <c r="EC329" s="301"/>
      <c r="ED329" s="138"/>
      <c r="EE329" s="134"/>
      <c r="EF329" s="134"/>
      <c r="EG329" s="134"/>
      <c r="EH329" s="138"/>
      <c r="EI329" s="134"/>
      <c r="EJ329" s="134"/>
      <c r="EK329" s="134"/>
      <c r="EL329" s="301"/>
      <c r="EM329" s="301"/>
      <c r="EN329" s="277"/>
      <c r="EO329" s="134"/>
      <c r="EP329" s="134"/>
      <c r="EQ329" s="134"/>
      <c r="ER329" s="134"/>
      <c r="ES329" s="134"/>
      <c r="ET329" s="134"/>
      <c r="EU329" s="134"/>
      <c r="EV329" s="134"/>
      <c r="EW329" s="301"/>
      <c r="EX329" s="301"/>
      <c r="EY329" s="134"/>
      <c r="EZ329" s="134"/>
      <c r="FA329" s="134"/>
      <c r="FB329" s="134"/>
      <c r="FC329" s="134"/>
      <c r="FD329" s="134"/>
      <c r="FE329" s="134"/>
      <c r="FF329" s="134"/>
      <c r="FG329" s="135"/>
      <c r="FH329" s="135"/>
      <c r="FI329" s="134"/>
      <c r="FJ329" s="134"/>
      <c r="FK329" s="134"/>
      <c r="FL329" s="134"/>
      <c r="FM329" s="134"/>
      <c r="FN329" s="134"/>
      <c r="FO329" s="134"/>
      <c r="FP329" s="134"/>
      <c r="FQ329" s="135"/>
      <c r="FR329" s="135"/>
      <c r="FS329" s="134"/>
      <c r="FT329" s="134"/>
      <c r="FU329" s="134"/>
      <c r="FV329" s="134"/>
      <c r="FW329" s="134"/>
      <c r="FX329" s="134"/>
      <c r="FY329" s="134"/>
      <c r="FZ329" s="134"/>
      <c r="GA329" s="135"/>
      <c r="GB329" s="135"/>
      <c r="GC329" s="134"/>
      <c r="GD329" s="134"/>
      <c r="GE329" s="134"/>
      <c r="GF329" s="134"/>
      <c r="GG329" s="134"/>
      <c r="GH329" s="134"/>
      <c r="GI329" s="134"/>
      <c r="GJ329" s="134"/>
      <c r="GK329" s="135"/>
      <c r="GL329" s="135"/>
      <c r="GM329" s="134"/>
      <c r="GN329" s="134"/>
      <c r="GO329" s="134"/>
      <c r="GP329" s="134"/>
      <c r="GQ329" s="134"/>
      <c r="GR329" s="134"/>
      <c r="GS329" s="134"/>
      <c r="GT329" s="134"/>
      <c r="GU329" s="135"/>
      <c r="GV329" s="135"/>
      <c r="GW329" s="134"/>
      <c r="GX329" s="134"/>
      <c r="GY329" s="134"/>
      <c r="GZ329" s="134"/>
      <c r="HA329" s="134"/>
      <c r="HB329" s="134"/>
      <c r="HC329" s="134"/>
      <c r="HD329" s="134"/>
      <c r="HE329" s="135"/>
      <c r="HF329" s="135"/>
      <c r="HG329" s="134"/>
      <c r="HH329" s="134"/>
      <c r="HI329" s="134"/>
      <c r="HJ329" s="134"/>
      <c r="HK329" s="134"/>
      <c r="HL329" s="134"/>
      <c r="HM329" s="134"/>
      <c r="HN329" s="134"/>
      <c r="HO329" s="135"/>
      <c r="HP329" s="135"/>
      <c r="HQ329" s="134"/>
      <c r="HR329" s="134"/>
      <c r="HS329" s="134"/>
      <c r="HT329" s="134"/>
      <c r="HU329" s="134"/>
      <c r="HV329" s="134"/>
      <c r="HW329" s="134"/>
      <c r="HX329" s="134"/>
      <c r="HY329" s="135"/>
      <c r="HZ329" s="135"/>
      <c r="IA329" s="134"/>
      <c r="IB329" s="134"/>
      <c r="IC329" s="134"/>
      <c r="ID329" s="134"/>
      <c r="IE329" s="134"/>
      <c r="IF329" s="134"/>
      <c r="IG329" s="134"/>
      <c r="IH329" s="134"/>
      <c r="II329" s="135"/>
      <c r="IJ329" s="135"/>
      <c r="IK329" s="134"/>
      <c r="IL329" s="134"/>
      <c r="IM329" s="134"/>
      <c r="IN329" s="134"/>
      <c r="IO329" s="134"/>
      <c r="IP329" s="134"/>
      <c r="IQ329" s="134"/>
      <c r="IR329" s="134"/>
      <c r="IS329" s="135"/>
      <c r="IT329" s="135"/>
      <c r="IU329" s="134"/>
      <c r="IV329" s="134"/>
      <c r="IW329" s="134"/>
      <c r="IX329" s="134"/>
      <c r="IY329" s="134"/>
      <c r="IZ329" s="134"/>
      <c r="JA329" s="134"/>
      <c r="JB329" s="134"/>
      <c r="JC329" s="135"/>
      <c r="JD329" s="135"/>
    </row>
    <row r="330" spans="1:264" customFormat="1" ht="15" customHeight="1">
      <c r="A330" s="79" t="s">
        <v>988</v>
      </c>
      <c r="B330" s="362">
        <v>43</v>
      </c>
      <c r="C330" s="362">
        <v>3</v>
      </c>
      <c r="D330" s="362"/>
      <c r="E330" s="604" t="s">
        <v>2111</v>
      </c>
      <c r="F330" s="124" t="s">
        <v>2370</v>
      </c>
      <c r="G330" s="125">
        <v>1998</v>
      </c>
      <c r="H330" s="79">
        <v>9676829</v>
      </c>
      <c r="I330" s="79">
        <v>1</v>
      </c>
      <c r="J330" s="126">
        <v>1</v>
      </c>
      <c r="K330" s="127"/>
      <c r="L330" s="79">
        <v>1</v>
      </c>
      <c r="M330" s="79"/>
      <c r="N330" s="79">
        <v>1</v>
      </c>
      <c r="O330" s="128">
        <v>2</v>
      </c>
      <c r="P330" s="79" t="s">
        <v>1220</v>
      </c>
      <c r="Q330" s="79" t="s">
        <v>1216</v>
      </c>
      <c r="R330" s="79" t="s">
        <v>1127</v>
      </c>
      <c r="S330" s="79"/>
      <c r="T330" s="79" t="s">
        <v>1525</v>
      </c>
      <c r="U330" s="79" t="s">
        <v>803</v>
      </c>
      <c r="V330" s="79"/>
      <c r="W330" s="79" t="s">
        <v>1526</v>
      </c>
      <c r="X330" s="79"/>
      <c r="Y330" s="79"/>
      <c r="Z330" s="79"/>
      <c r="AA330" s="79"/>
      <c r="AB330" s="79"/>
      <c r="AC330" s="506"/>
      <c r="AD330" s="573">
        <v>1</v>
      </c>
      <c r="AE330" s="573">
        <v>2</v>
      </c>
      <c r="AF330" s="154">
        <v>1</v>
      </c>
      <c r="AG330" s="155" t="s">
        <v>3532</v>
      </c>
      <c r="AH330" s="121">
        <v>4</v>
      </c>
      <c r="AI330" s="484"/>
      <c r="AJ330" s="202"/>
      <c r="AK330" s="192">
        <v>2</v>
      </c>
      <c r="AL330" s="203">
        <v>0</v>
      </c>
      <c r="AM330" s="121">
        <f>Table668[[#This Row],[Data_Subjects_n_ptsd]]+Table668[[#This Row],[Data_Subjects_n_control]]</f>
        <v>12</v>
      </c>
      <c r="AN330" s="121">
        <v>6</v>
      </c>
      <c r="AO330" s="121">
        <v>6</v>
      </c>
      <c r="AP330" s="121" t="s">
        <v>803</v>
      </c>
      <c r="AQ330" s="121" t="s">
        <v>803</v>
      </c>
      <c r="AR330" s="121" t="s">
        <v>24</v>
      </c>
      <c r="AS330" s="121" t="s">
        <v>24</v>
      </c>
      <c r="AT330" s="121" t="s">
        <v>24</v>
      </c>
      <c r="AU330" s="121" t="s">
        <v>24</v>
      </c>
      <c r="AV330" s="121" t="s">
        <v>3548</v>
      </c>
      <c r="AW330" s="121">
        <v>1</v>
      </c>
      <c r="AX330" s="121">
        <v>1</v>
      </c>
      <c r="AY330" s="121" t="s">
        <v>3531</v>
      </c>
      <c r="AZ330" s="121" t="s">
        <v>1130</v>
      </c>
      <c r="BA330" s="121" t="s">
        <v>3279</v>
      </c>
      <c r="BB330" s="594"/>
      <c r="BC330" s="594"/>
      <c r="BD330" s="156"/>
      <c r="BE330" s="156"/>
      <c r="BF330" s="156"/>
      <c r="BG330" s="156"/>
      <c r="BH330" s="156"/>
      <c r="BI330" s="156"/>
      <c r="BJ330" s="156">
        <v>1</v>
      </c>
      <c r="BK330" s="156"/>
      <c r="BL330" s="156"/>
      <c r="BM330" s="156"/>
      <c r="BN330" s="156"/>
      <c r="BO330" s="156"/>
      <c r="BP330" s="156"/>
      <c r="BQ330" s="595" t="s">
        <v>3563</v>
      </c>
      <c r="BR330" s="157" t="s">
        <v>6613</v>
      </c>
      <c r="BS330" s="660"/>
      <c r="BT330" s="134" t="s">
        <v>1876</v>
      </c>
      <c r="BU330" s="134" t="s">
        <v>3533</v>
      </c>
      <c r="BV330" s="134" t="s">
        <v>3538</v>
      </c>
      <c r="BW330" s="134" t="s">
        <v>2471</v>
      </c>
      <c r="BX330" s="134" t="s">
        <v>3534</v>
      </c>
      <c r="BY330" s="134"/>
      <c r="BZ330" s="259" t="s">
        <v>3547</v>
      </c>
      <c r="CA330" s="454" t="s">
        <v>24</v>
      </c>
      <c r="CB330" s="138" t="s">
        <v>3535</v>
      </c>
      <c r="CC330" s="134">
        <v>31.807300000000001</v>
      </c>
      <c r="CD330" s="134">
        <f>51.047-Table668[[#This Row],[Data_Outcome1_M]]</f>
        <v>19.239699999999996</v>
      </c>
      <c r="CE330" s="134" t="s">
        <v>24</v>
      </c>
      <c r="CF330" s="138" t="s">
        <v>3536</v>
      </c>
      <c r="CG330" s="134">
        <v>81.805800000000005</v>
      </c>
      <c r="CH330" s="134">
        <f>95.0859-Table668[[#This Row],[Data_Outcome2_M]]</f>
        <v>13.28009999999999</v>
      </c>
      <c r="CI330" s="134" t="s">
        <v>24</v>
      </c>
      <c r="CJ330" s="288" t="s">
        <v>3545</v>
      </c>
      <c r="CK330" s="289" t="s">
        <v>3542</v>
      </c>
      <c r="CL330" s="138" t="s">
        <v>3539</v>
      </c>
      <c r="CM330" s="134">
        <v>37.521500000000003</v>
      </c>
      <c r="CN330" s="168">
        <f>43.7423-Table668[[#This Row],[Data_Outcome3_M]]</f>
        <v>6.220799999999997</v>
      </c>
      <c r="CO330" s="134" t="s">
        <v>24</v>
      </c>
      <c r="CP330" s="138" t="s">
        <v>3540</v>
      </c>
      <c r="CQ330" s="134">
        <v>63.921999999999997</v>
      </c>
      <c r="CR330" s="134">
        <f>76.5082-Table668[[#This Row],[Data_Outcome4_M]]</f>
        <v>12.586200000000005</v>
      </c>
      <c r="CS330" s="134" t="s">
        <v>24</v>
      </c>
      <c r="CT330" s="288" t="s">
        <v>3546</v>
      </c>
      <c r="CU330" s="289" t="s">
        <v>3541</v>
      </c>
      <c r="CV330" s="276" t="s">
        <v>3543</v>
      </c>
      <c r="CW330" s="308" t="s">
        <v>3544</v>
      </c>
      <c r="CX330" s="138" t="s">
        <v>24</v>
      </c>
      <c r="CY330" s="134"/>
      <c r="CZ330" s="134"/>
      <c r="DA330" s="134"/>
      <c r="DB330" s="134" t="s">
        <v>24</v>
      </c>
      <c r="DC330" s="134"/>
      <c r="DD330" s="134"/>
      <c r="DE330" s="134"/>
      <c r="DF330" s="300"/>
      <c r="DG330" s="301"/>
      <c r="DH330" s="134"/>
      <c r="DI330" s="134"/>
      <c r="DJ330" s="134"/>
      <c r="DK330" s="134"/>
      <c r="DL330" s="134"/>
      <c r="DM330" s="134"/>
      <c r="DN330" s="134"/>
      <c r="DO330" s="134"/>
      <c r="DP330" s="300"/>
      <c r="DQ330" s="301"/>
      <c r="DR330" s="276"/>
      <c r="DS330" s="277"/>
      <c r="DT330" s="134"/>
      <c r="DU330" s="134"/>
      <c r="DV330" s="134"/>
      <c r="DW330" s="134"/>
      <c r="DX330" s="138"/>
      <c r="DY330" s="134"/>
      <c r="DZ330" s="134"/>
      <c r="EA330" s="134"/>
      <c r="EB330" s="301"/>
      <c r="EC330" s="301"/>
      <c r="ED330" s="138"/>
      <c r="EE330" s="134"/>
      <c r="EF330" s="134"/>
      <c r="EG330" s="134"/>
      <c r="EH330" s="138"/>
      <c r="EI330" s="134"/>
      <c r="EJ330" s="134"/>
      <c r="EK330" s="134"/>
      <c r="EL330" s="301"/>
      <c r="EM330" s="301"/>
      <c r="EN330" s="277"/>
      <c r="EO330" s="134"/>
      <c r="EP330" s="134"/>
      <c r="EQ330" s="134"/>
      <c r="ER330" s="134"/>
      <c r="ES330" s="134"/>
      <c r="ET330" s="134"/>
      <c r="EU330" s="134"/>
      <c r="EV330" s="134"/>
      <c r="EW330" s="301"/>
      <c r="EX330" s="301"/>
      <c r="EY330" s="134"/>
      <c r="EZ330" s="134"/>
      <c r="FA330" s="134"/>
      <c r="FB330" s="134"/>
      <c r="FC330" s="134"/>
      <c r="FD330" s="134"/>
      <c r="FE330" s="134"/>
      <c r="FF330" s="134"/>
      <c r="FG330" s="135"/>
      <c r="FH330" s="135"/>
      <c r="FI330" s="134"/>
      <c r="FJ330" s="134"/>
      <c r="FK330" s="134"/>
      <c r="FL330" s="134"/>
      <c r="FM330" s="134"/>
      <c r="FN330" s="134"/>
      <c r="FO330" s="134"/>
      <c r="FP330" s="134"/>
      <c r="FQ330" s="135"/>
      <c r="FR330" s="135"/>
      <c r="FS330" s="134"/>
      <c r="FT330" s="134"/>
      <c r="FU330" s="134"/>
      <c r="FV330" s="134"/>
      <c r="FW330" s="134"/>
      <c r="FX330" s="134"/>
      <c r="FY330" s="134"/>
      <c r="FZ330" s="134"/>
      <c r="GA330" s="135"/>
      <c r="GB330" s="135"/>
      <c r="GC330" s="134"/>
      <c r="GD330" s="134"/>
      <c r="GE330" s="134"/>
      <c r="GF330" s="134"/>
      <c r="GG330" s="134"/>
      <c r="GH330" s="134"/>
      <c r="GI330" s="134"/>
      <c r="GJ330" s="134"/>
      <c r="GK330" s="135"/>
      <c r="GL330" s="135"/>
      <c r="GM330" s="134"/>
      <c r="GN330" s="134"/>
      <c r="GO330" s="134"/>
      <c r="GP330" s="134"/>
      <c r="GQ330" s="134"/>
      <c r="GR330" s="134"/>
      <c r="GS330" s="134"/>
      <c r="GT330" s="134"/>
      <c r="GU330" s="135"/>
      <c r="GV330" s="135"/>
      <c r="GW330" s="134"/>
      <c r="GX330" s="134"/>
      <c r="GY330" s="134"/>
      <c r="GZ330" s="134"/>
      <c r="HA330" s="134"/>
      <c r="HB330" s="134"/>
      <c r="HC330" s="134"/>
      <c r="HD330" s="134"/>
      <c r="HE330" s="135"/>
      <c r="HF330" s="135"/>
      <c r="HG330" s="134"/>
      <c r="HH330" s="134"/>
      <c r="HI330" s="134"/>
      <c r="HJ330" s="134"/>
      <c r="HK330" s="134"/>
      <c r="HL330" s="134"/>
      <c r="HM330" s="134"/>
      <c r="HN330" s="134"/>
      <c r="HO330" s="135"/>
      <c r="HP330" s="135"/>
      <c r="HQ330" s="134"/>
      <c r="HR330" s="134"/>
      <c r="HS330" s="134"/>
      <c r="HT330" s="134"/>
      <c r="HU330" s="134"/>
      <c r="HV330" s="134"/>
      <c r="HW330" s="134"/>
      <c r="HX330" s="134"/>
      <c r="HY330" s="135"/>
      <c r="HZ330" s="135"/>
      <c r="IA330" s="134"/>
      <c r="IB330" s="134"/>
      <c r="IC330" s="134"/>
      <c r="ID330" s="134"/>
      <c r="IE330" s="134"/>
      <c r="IF330" s="134"/>
      <c r="IG330" s="134"/>
      <c r="IH330" s="134"/>
      <c r="II330" s="135"/>
      <c r="IJ330" s="135"/>
      <c r="IK330" s="134"/>
      <c r="IL330" s="134"/>
      <c r="IM330" s="134"/>
      <c r="IN330" s="134"/>
      <c r="IO330" s="134"/>
      <c r="IP330" s="134"/>
      <c r="IQ330" s="134"/>
      <c r="IR330" s="134"/>
      <c r="IS330" s="135"/>
      <c r="IT330" s="135"/>
      <c r="IU330" s="134"/>
      <c r="IV330" s="134"/>
      <c r="IW330" s="134"/>
      <c r="IX330" s="134"/>
      <c r="IY330" s="134"/>
      <c r="IZ330" s="134"/>
      <c r="JA330" s="134"/>
      <c r="JB330" s="134"/>
      <c r="JC330" s="135"/>
      <c r="JD330" s="135"/>
    </row>
    <row r="331" spans="1:264" customFormat="1" ht="15" customHeight="1">
      <c r="A331" s="118" t="s">
        <v>988</v>
      </c>
      <c r="B331" s="616">
        <v>43</v>
      </c>
      <c r="C331" s="616">
        <v>3</v>
      </c>
      <c r="D331" s="616"/>
      <c r="E331" s="605" t="s">
        <v>2111</v>
      </c>
      <c r="F331" s="140" t="s">
        <v>2370</v>
      </c>
      <c r="G331" s="141">
        <v>1998</v>
      </c>
      <c r="H331" s="118">
        <v>9676829</v>
      </c>
      <c r="I331" s="118">
        <v>1</v>
      </c>
      <c r="J331" s="118">
        <v>1</v>
      </c>
      <c r="K331" s="118"/>
      <c r="L331" s="118">
        <v>1</v>
      </c>
      <c r="M331" s="118"/>
      <c r="N331" s="118">
        <v>1</v>
      </c>
      <c r="O331" s="142">
        <v>2</v>
      </c>
      <c r="P331" s="118" t="s">
        <v>1220</v>
      </c>
      <c r="Q331" s="118" t="s">
        <v>1216</v>
      </c>
      <c r="R331" s="118" t="s">
        <v>1127</v>
      </c>
      <c r="S331" s="118"/>
      <c r="T331" s="118" t="s">
        <v>1525</v>
      </c>
      <c r="U331" s="118" t="s">
        <v>803</v>
      </c>
      <c r="V331" s="118"/>
      <c r="W331" s="118" t="s">
        <v>1526</v>
      </c>
      <c r="X331" s="118"/>
      <c r="Y331" s="118"/>
      <c r="Z331" s="118"/>
      <c r="AA331" s="118"/>
      <c r="AB331" s="118"/>
      <c r="AC331" s="145"/>
      <c r="AD331" s="573">
        <v>1</v>
      </c>
      <c r="AE331" s="573">
        <v>2</v>
      </c>
      <c r="AF331" s="159">
        <v>1</v>
      </c>
      <c r="AG331" s="160" t="s">
        <v>3532</v>
      </c>
      <c r="AH331" s="122">
        <v>4</v>
      </c>
      <c r="AI331" s="485"/>
      <c r="AJ331" s="204"/>
      <c r="AK331" s="192">
        <v>2</v>
      </c>
      <c r="AL331" s="205">
        <v>0</v>
      </c>
      <c r="AM331" s="122">
        <f>24+12+12</f>
        <v>48</v>
      </c>
      <c r="AN331" s="122">
        <v>24</v>
      </c>
      <c r="AO331" s="122" t="s">
        <v>3550</v>
      </c>
      <c r="AP331" s="122" t="s">
        <v>803</v>
      </c>
      <c r="AQ331" s="122" t="s">
        <v>803</v>
      </c>
      <c r="AR331" s="122" t="s">
        <v>24</v>
      </c>
      <c r="AS331" s="122" t="s">
        <v>24</v>
      </c>
      <c r="AT331" s="122" t="s">
        <v>24</v>
      </c>
      <c r="AU331" s="122" t="s">
        <v>24</v>
      </c>
      <c r="AV331" s="122" t="s">
        <v>3549</v>
      </c>
      <c r="AW331" s="122">
        <v>1</v>
      </c>
      <c r="AX331" s="122">
        <v>1</v>
      </c>
      <c r="AY331" s="121" t="s">
        <v>3531</v>
      </c>
      <c r="AZ331" s="122" t="s">
        <v>1130</v>
      </c>
      <c r="BA331" s="122" t="s">
        <v>3279</v>
      </c>
      <c r="BB331" s="588"/>
      <c r="BC331" s="588"/>
      <c r="BD331" s="161"/>
      <c r="BE331" s="161"/>
      <c r="BF331" s="161"/>
      <c r="BG331" s="161"/>
      <c r="BH331" s="161"/>
      <c r="BI331" s="161"/>
      <c r="BJ331" s="161">
        <v>1</v>
      </c>
      <c r="BK331" s="161"/>
      <c r="BL331" s="161"/>
      <c r="BM331" s="161"/>
      <c r="BN331" s="161"/>
      <c r="BO331" s="161"/>
      <c r="BP331" s="161"/>
      <c r="BQ331" s="596" t="s">
        <v>3562</v>
      </c>
      <c r="BR331" s="162" t="s">
        <v>6613</v>
      </c>
      <c r="BS331" s="660"/>
      <c r="BT331" s="150" t="s">
        <v>1876</v>
      </c>
      <c r="BU331" s="150" t="s">
        <v>3537</v>
      </c>
      <c r="BV331" s="150" t="s">
        <v>3551</v>
      </c>
      <c r="BW331" s="150" t="s">
        <v>2471</v>
      </c>
      <c r="BX331" s="150" t="s">
        <v>3534</v>
      </c>
      <c r="BY331" s="150"/>
      <c r="BZ331" s="258" t="s">
        <v>3561</v>
      </c>
      <c r="CA331" s="257" t="s">
        <v>24</v>
      </c>
      <c r="CB331" s="151" t="s">
        <v>3552</v>
      </c>
      <c r="CC331" s="150">
        <v>22.881599999999999</v>
      </c>
      <c r="CD331" s="150">
        <f>31.0418-Table668[[#This Row],[Data_Outcome1_M]]</f>
        <v>8.1601999999999997</v>
      </c>
      <c r="CE331" s="150" t="s">
        <v>24</v>
      </c>
      <c r="CF331" s="151" t="s">
        <v>3553</v>
      </c>
      <c r="CG331" s="150">
        <v>56.974200000000003</v>
      </c>
      <c r="CH331" s="150">
        <f>71.3951-Table668[[#This Row],[Data_Outcome2_M]]</f>
        <v>14.420899999999996</v>
      </c>
      <c r="CI331" s="150" t="s">
        <v>24</v>
      </c>
      <c r="CJ331" s="290" t="s">
        <v>24</v>
      </c>
      <c r="CK331" s="291" t="s">
        <v>24</v>
      </c>
      <c r="CL331" s="151" t="s">
        <v>3536</v>
      </c>
      <c r="CM331" s="150">
        <v>62.602899999999998</v>
      </c>
      <c r="CN331" s="150">
        <f>75.6964-Table668[[#This Row],[Data_Outcome3_M]]</f>
        <v>13.093499999999999</v>
      </c>
      <c r="CO331" s="150" t="s">
        <v>24</v>
      </c>
      <c r="CP331" s="151" t="s">
        <v>24</v>
      </c>
      <c r="CQ331" s="150" t="s">
        <v>24</v>
      </c>
      <c r="CR331" s="150" t="s">
        <v>24</v>
      </c>
      <c r="CS331" s="150" t="s">
        <v>24</v>
      </c>
      <c r="CT331" s="290" t="s">
        <v>3557</v>
      </c>
      <c r="CU331" s="291" t="s">
        <v>3556</v>
      </c>
      <c r="CV331" s="278" t="s">
        <v>24</v>
      </c>
      <c r="CW331" s="285" t="s">
        <v>24</v>
      </c>
      <c r="CX331" s="151" t="s">
        <v>3554</v>
      </c>
      <c r="CY331" s="150">
        <v>31.4589</v>
      </c>
      <c r="CZ331" s="150">
        <f>45.8823-Table668[[#This Row],[Data_Outcome5_M]]</f>
        <v>14.423400000000001</v>
      </c>
      <c r="DA331" s="150" t="s">
        <v>24</v>
      </c>
      <c r="DB331" s="151" t="s">
        <v>3555</v>
      </c>
      <c r="DC331" s="150">
        <v>53.894799999999996</v>
      </c>
      <c r="DD331" s="150">
        <f>69.0874-Table668[[#This Row],[Data_Outcome6_M]]</f>
        <v>15.192600000000006</v>
      </c>
      <c r="DE331" s="150" t="s">
        <v>24</v>
      </c>
      <c r="DF331" s="302" t="s">
        <v>24</v>
      </c>
      <c r="DG331" s="303" t="s">
        <v>24</v>
      </c>
      <c r="DH331" s="151" t="s">
        <v>3540</v>
      </c>
      <c r="DI331" s="150">
        <v>58.446300000000001</v>
      </c>
      <c r="DJ331" s="150">
        <f>75.1771-Table668[[#This Row],[Data_Outcome7_M]]</f>
        <v>16.730799999999995</v>
      </c>
      <c r="DK331" s="150" t="s">
        <v>24</v>
      </c>
      <c r="DL331" s="150" t="s">
        <v>24</v>
      </c>
      <c r="DM331" s="150" t="s">
        <v>24</v>
      </c>
      <c r="DN331" s="150" t="s">
        <v>24</v>
      </c>
      <c r="DO331" s="150" t="s">
        <v>24</v>
      </c>
      <c r="DP331" s="302" t="s">
        <v>3560</v>
      </c>
      <c r="DQ331" s="303" t="s">
        <v>3559</v>
      </c>
      <c r="DR331" s="278" t="s">
        <v>3558</v>
      </c>
      <c r="DS331" s="279"/>
      <c r="DT331" s="150"/>
      <c r="DU331" s="150"/>
      <c r="DV331" s="150"/>
      <c r="DW331" s="150"/>
      <c r="DX331" s="151"/>
      <c r="DY331" s="150"/>
      <c r="DZ331" s="150"/>
      <c r="EA331" s="150"/>
      <c r="EB331" s="303"/>
      <c r="EC331" s="303"/>
      <c r="ED331" s="151"/>
      <c r="EE331" s="150"/>
      <c r="EF331" s="150"/>
      <c r="EG331" s="150"/>
      <c r="EH331" s="151"/>
      <c r="EI331" s="150"/>
      <c r="EJ331" s="150"/>
      <c r="EK331" s="150"/>
      <c r="EL331" s="303"/>
      <c r="EM331" s="303"/>
      <c r="EN331" s="279"/>
      <c r="EO331" s="150"/>
      <c r="EP331" s="150"/>
      <c r="EQ331" s="150"/>
      <c r="ER331" s="150"/>
      <c r="ES331" s="150"/>
      <c r="ET331" s="150"/>
      <c r="EU331" s="150"/>
      <c r="EV331" s="150"/>
      <c r="EW331" s="303"/>
      <c r="EX331" s="303"/>
      <c r="EY331" s="150"/>
      <c r="EZ331" s="150"/>
      <c r="FA331" s="150"/>
      <c r="FB331" s="150"/>
      <c r="FC331" s="134"/>
      <c r="FD331" s="134"/>
      <c r="FE331" s="134"/>
      <c r="FF331" s="134"/>
      <c r="FG331" s="135"/>
      <c r="FH331" s="135"/>
      <c r="FI331" s="134"/>
      <c r="FJ331" s="134"/>
      <c r="FK331" s="134"/>
      <c r="FL331" s="134"/>
      <c r="FM331" s="134"/>
      <c r="FN331" s="134"/>
      <c r="FO331" s="134"/>
      <c r="FP331" s="134"/>
      <c r="FQ331" s="135"/>
      <c r="FR331" s="135"/>
      <c r="FS331" s="134"/>
      <c r="FT331" s="134"/>
      <c r="FU331" s="134"/>
      <c r="FV331" s="134"/>
      <c r="FW331" s="134"/>
      <c r="FX331" s="134"/>
      <c r="FY331" s="134"/>
      <c r="FZ331" s="134"/>
      <c r="GA331" s="135"/>
      <c r="GB331" s="135"/>
      <c r="GC331" s="134"/>
      <c r="GD331" s="134"/>
      <c r="GE331" s="134"/>
      <c r="GF331" s="134"/>
      <c r="GG331" s="134"/>
      <c r="GH331" s="134"/>
      <c r="GI331" s="134"/>
      <c r="GJ331" s="134"/>
      <c r="GK331" s="135"/>
      <c r="GL331" s="135"/>
      <c r="GM331" s="134"/>
      <c r="GN331" s="134"/>
      <c r="GO331" s="134"/>
      <c r="GP331" s="134"/>
      <c r="GQ331" s="134"/>
      <c r="GR331" s="134"/>
      <c r="GS331" s="134"/>
      <c r="GT331" s="134"/>
      <c r="GU331" s="135"/>
      <c r="GV331" s="135"/>
      <c r="GW331" s="134"/>
      <c r="GX331" s="134"/>
      <c r="GY331" s="134"/>
      <c r="GZ331" s="134"/>
      <c r="HA331" s="134"/>
      <c r="HB331" s="134"/>
      <c r="HC331" s="134"/>
      <c r="HD331" s="134"/>
      <c r="HE331" s="135"/>
      <c r="HF331" s="135"/>
      <c r="HG331" s="134"/>
      <c r="HH331" s="134"/>
      <c r="HI331" s="134"/>
      <c r="HJ331" s="134"/>
      <c r="HK331" s="134"/>
      <c r="HL331" s="134"/>
      <c r="HM331" s="134"/>
      <c r="HN331" s="134"/>
      <c r="HO331" s="135"/>
      <c r="HP331" s="135"/>
      <c r="HQ331" s="134"/>
      <c r="HR331" s="134"/>
      <c r="HS331" s="134"/>
      <c r="HT331" s="134"/>
      <c r="HU331" s="134"/>
      <c r="HV331" s="134"/>
      <c r="HW331" s="134"/>
      <c r="HX331" s="134"/>
      <c r="HY331" s="135"/>
      <c r="HZ331" s="135"/>
      <c r="IA331" s="134"/>
      <c r="IB331" s="134"/>
      <c r="IC331" s="134"/>
      <c r="ID331" s="134"/>
      <c r="IE331" s="134"/>
      <c r="IF331" s="134"/>
      <c r="IG331" s="134"/>
      <c r="IH331" s="134"/>
      <c r="II331" s="135"/>
      <c r="IJ331" s="135"/>
      <c r="IK331" s="134"/>
      <c r="IL331" s="134"/>
      <c r="IM331" s="134"/>
      <c r="IN331" s="134"/>
      <c r="IO331" s="134"/>
      <c r="IP331" s="134"/>
      <c r="IQ331" s="134"/>
      <c r="IR331" s="134"/>
      <c r="IS331" s="135"/>
      <c r="IT331" s="135"/>
      <c r="IU331" s="134"/>
      <c r="IV331" s="134"/>
      <c r="IW331" s="134"/>
      <c r="IX331" s="134"/>
      <c r="IY331" s="134"/>
      <c r="IZ331" s="134"/>
      <c r="JA331" s="134"/>
      <c r="JB331" s="134"/>
      <c r="JC331" s="135"/>
      <c r="JD331" s="135"/>
    </row>
    <row r="332" spans="1:264" customFormat="1" ht="15" customHeight="1">
      <c r="A332" s="79" t="s">
        <v>272</v>
      </c>
      <c r="B332" s="362">
        <v>195</v>
      </c>
      <c r="C332" s="362">
        <v>68</v>
      </c>
      <c r="D332" s="362"/>
      <c r="E332" s="604" t="s">
        <v>2005</v>
      </c>
      <c r="F332" s="124" t="s">
        <v>2236</v>
      </c>
      <c r="G332" s="125">
        <v>2006</v>
      </c>
      <c r="H332" s="79">
        <v>16720800</v>
      </c>
      <c r="I332" s="79">
        <v>1</v>
      </c>
      <c r="J332" s="126"/>
      <c r="K332" s="127"/>
      <c r="L332" s="79">
        <v>1</v>
      </c>
      <c r="M332" s="79"/>
      <c r="N332" s="79">
        <v>1</v>
      </c>
      <c r="O332" s="128">
        <v>1</v>
      </c>
      <c r="P332" s="79" t="s">
        <v>720</v>
      </c>
      <c r="Q332" s="79" t="s">
        <v>1172</v>
      </c>
      <c r="R332" s="79" t="s">
        <v>721</v>
      </c>
      <c r="S332" s="79">
        <v>1</v>
      </c>
      <c r="T332" s="79"/>
      <c r="U332" s="79"/>
      <c r="V332" s="79"/>
      <c r="W332" s="79"/>
      <c r="X332" s="79"/>
      <c r="Y332" s="79"/>
      <c r="Z332" s="79"/>
      <c r="AA332" s="79"/>
      <c r="AB332" s="79"/>
      <c r="AC332" s="506"/>
      <c r="AD332" s="573">
        <v>1</v>
      </c>
      <c r="AE332" s="573">
        <v>2</v>
      </c>
      <c r="AF332" s="165">
        <v>0</v>
      </c>
      <c r="AG332" s="166" t="s">
        <v>5327</v>
      </c>
      <c r="AH332" s="120"/>
      <c r="AI332" s="120"/>
      <c r="AJ332" s="206" t="s">
        <v>5330</v>
      </c>
      <c r="AK332" s="372"/>
      <c r="AL332" s="207"/>
      <c r="AM332" s="120"/>
      <c r="AN332" s="120"/>
      <c r="AO332" s="120"/>
      <c r="AP332" s="120"/>
      <c r="AQ332" s="120"/>
      <c r="AR332" s="120"/>
      <c r="AS332" s="120"/>
      <c r="AT332" s="120"/>
      <c r="AU332" s="120"/>
      <c r="AV332" s="120"/>
      <c r="AW332" s="120"/>
      <c r="AX332" s="120"/>
      <c r="AY332" s="120"/>
      <c r="AZ332" s="120"/>
      <c r="BA332" s="509"/>
      <c r="BB332" s="598"/>
      <c r="BC332" s="598"/>
      <c r="BD332" s="511"/>
      <c r="BE332" s="511"/>
      <c r="BF332" s="511">
        <v>1</v>
      </c>
      <c r="BG332" s="511"/>
      <c r="BH332" s="511"/>
      <c r="BI332" s="511"/>
      <c r="BJ332" s="511">
        <v>1</v>
      </c>
      <c r="BK332" s="511"/>
      <c r="BL332" s="511"/>
      <c r="BM332" s="511"/>
      <c r="BN332" s="511"/>
      <c r="BO332" s="511"/>
      <c r="BP332" s="511"/>
      <c r="BQ332" s="511"/>
      <c r="BR332" s="510"/>
      <c r="BS332" s="660"/>
      <c r="BT332" s="134"/>
      <c r="BU332" s="134"/>
      <c r="BV332" s="134"/>
      <c r="BW332" s="168"/>
      <c r="BX332" s="134"/>
      <c r="BY332" s="134"/>
      <c r="BZ332" s="375"/>
      <c r="CA332" s="380"/>
      <c r="CB332" s="138"/>
      <c r="CC332" s="134"/>
      <c r="CD332" s="134"/>
      <c r="CE332" s="134"/>
      <c r="CF332" s="138"/>
      <c r="CG332" s="134"/>
      <c r="CH332" s="134"/>
      <c r="CI332" s="134"/>
      <c r="CJ332" s="288"/>
      <c r="CK332" s="289"/>
      <c r="CL332" s="427" t="s">
        <v>24</v>
      </c>
      <c r="CM332" s="424" t="s">
        <v>24</v>
      </c>
      <c r="CN332" s="424" t="s">
        <v>24</v>
      </c>
      <c r="CO332" s="424" t="s">
        <v>24</v>
      </c>
      <c r="CP332" s="424" t="s">
        <v>24</v>
      </c>
      <c r="CQ332" s="424" t="s">
        <v>24</v>
      </c>
      <c r="CR332" s="424" t="s">
        <v>24</v>
      </c>
      <c r="CS332" s="424" t="s">
        <v>24</v>
      </c>
      <c r="CT332" s="288"/>
      <c r="CU332" s="289"/>
      <c r="CV332" s="276"/>
      <c r="CW332" s="308"/>
      <c r="CX332" s="138"/>
      <c r="CY332" s="134"/>
      <c r="CZ332" s="134"/>
      <c r="DA332" s="134"/>
      <c r="DB332" s="134"/>
      <c r="DC332" s="134"/>
      <c r="DD332" s="134"/>
      <c r="DE332" s="134"/>
      <c r="DF332" s="300"/>
      <c r="DG332" s="301"/>
      <c r="DH332" s="134"/>
      <c r="DI332" s="134"/>
      <c r="DJ332" s="134"/>
      <c r="DK332" s="134"/>
      <c r="DL332" s="134"/>
      <c r="DM332" s="134"/>
      <c r="DN332" s="134"/>
      <c r="DO332" s="134"/>
      <c r="DP332" s="300"/>
      <c r="DQ332" s="301"/>
      <c r="DR332" s="276"/>
      <c r="DS332" s="277"/>
      <c r="DT332" s="134"/>
      <c r="DU332" s="134"/>
      <c r="DV332" s="134"/>
      <c r="DW332" s="134"/>
      <c r="DX332" s="138"/>
      <c r="DY332" s="134"/>
      <c r="DZ332" s="134"/>
      <c r="EA332" s="134"/>
      <c r="EB332" s="301"/>
      <c r="EC332" s="301"/>
      <c r="ED332" s="138"/>
      <c r="EE332" s="134"/>
      <c r="EF332" s="134"/>
      <c r="EG332" s="134"/>
      <c r="EH332" s="138"/>
      <c r="EI332" s="134"/>
      <c r="EJ332" s="134"/>
      <c r="EK332" s="134"/>
      <c r="EL332" s="301"/>
      <c r="EM332" s="301"/>
      <c r="EN332" s="277"/>
      <c r="EO332" s="134"/>
      <c r="EP332" s="134"/>
      <c r="EQ332" s="134"/>
      <c r="ER332" s="134"/>
      <c r="ES332" s="134"/>
      <c r="ET332" s="134"/>
      <c r="EU332" s="134"/>
      <c r="EV332" s="134"/>
      <c r="EW332" s="301"/>
      <c r="EX332" s="301"/>
      <c r="EY332" s="134"/>
      <c r="EZ332" s="134"/>
      <c r="FA332" s="134"/>
      <c r="FB332" s="134"/>
      <c r="FC332" s="134"/>
      <c r="FD332" s="134"/>
      <c r="FE332" s="134"/>
      <c r="FF332" s="134"/>
      <c r="FG332" s="135"/>
      <c r="FH332" s="135"/>
      <c r="FI332" s="134"/>
      <c r="FJ332" s="134"/>
      <c r="FK332" s="134"/>
      <c r="FL332" s="134"/>
      <c r="FM332" s="134"/>
      <c r="FN332" s="134"/>
      <c r="FO332" s="134"/>
      <c r="FP332" s="134"/>
      <c r="FQ332" s="135"/>
      <c r="FR332" s="135"/>
      <c r="FS332" s="134"/>
      <c r="FT332" s="134"/>
      <c r="FU332" s="134"/>
      <c r="FV332" s="134"/>
      <c r="FW332" s="134"/>
      <c r="FX332" s="134"/>
      <c r="FY332" s="134"/>
      <c r="FZ332" s="134"/>
      <c r="GA332" s="135"/>
      <c r="GB332" s="135"/>
      <c r="GC332" s="134"/>
      <c r="GD332" s="134"/>
      <c r="GE332" s="134"/>
      <c r="GF332" s="134"/>
      <c r="GG332" s="134"/>
      <c r="GH332" s="134"/>
      <c r="GI332" s="134"/>
      <c r="GJ332" s="134"/>
      <c r="GK332" s="135"/>
      <c r="GL332" s="135"/>
      <c r="GM332" s="134"/>
      <c r="GN332" s="134"/>
      <c r="GO332" s="134"/>
      <c r="GP332" s="134"/>
      <c r="GQ332" s="134"/>
      <c r="GR332" s="134"/>
      <c r="GS332" s="134"/>
      <c r="GT332" s="134"/>
      <c r="GU332" s="135"/>
      <c r="GV332" s="135"/>
      <c r="GW332" s="134"/>
      <c r="GX332" s="134"/>
      <c r="GY332" s="134"/>
      <c r="GZ332" s="134"/>
      <c r="HA332" s="134"/>
      <c r="HB332" s="134"/>
      <c r="HC332" s="134"/>
      <c r="HD332" s="134"/>
      <c r="HE332" s="135"/>
      <c r="HF332" s="135"/>
      <c r="HG332" s="134"/>
      <c r="HH332" s="134"/>
      <c r="HI332" s="134"/>
      <c r="HJ332" s="134"/>
      <c r="HK332" s="134"/>
      <c r="HL332" s="134"/>
      <c r="HM332" s="134"/>
      <c r="HN332" s="134"/>
      <c r="HO332" s="135"/>
      <c r="HP332" s="135"/>
      <c r="HQ332" s="134"/>
      <c r="HR332" s="134"/>
      <c r="HS332" s="134"/>
      <c r="HT332" s="134"/>
      <c r="HU332" s="134"/>
      <c r="HV332" s="134"/>
      <c r="HW332" s="134"/>
      <c r="HX332" s="134"/>
      <c r="HY332" s="135"/>
      <c r="HZ332" s="135"/>
      <c r="IA332" s="134"/>
      <c r="IB332" s="134"/>
      <c r="IC332" s="134"/>
      <c r="ID332" s="134"/>
      <c r="IE332" s="134"/>
      <c r="IF332" s="134"/>
      <c r="IG332" s="134"/>
      <c r="IH332" s="134"/>
      <c r="II332" s="135"/>
      <c r="IJ332" s="135"/>
      <c r="IK332" s="134"/>
      <c r="IL332" s="134"/>
      <c r="IM332" s="134"/>
      <c r="IN332" s="134"/>
      <c r="IO332" s="134"/>
      <c r="IP332" s="134"/>
      <c r="IQ332" s="134"/>
      <c r="IR332" s="134"/>
      <c r="IS332" s="135"/>
      <c r="IT332" s="135"/>
      <c r="IU332" s="134"/>
      <c r="IV332" s="134"/>
      <c r="IW332" s="134"/>
      <c r="IX332" s="134"/>
      <c r="IY332" s="134"/>
      <c r="IZ332" s="134"/>
      <c r="JA332" s="134"/>
      <c r="JB332" s="134"/>
      <c r="JC332" s="135"/>
      <c r="JD332" s="135"/>
    </row>
    <row r="333" spans="1:264" customFormat="1" ht="15" customHeight="1">
      <c r="A333" s="79" t="s">
        <v>274</v>
      </c>
      <c r="B333" s="362">
        <v>44</v>
      </c>
      <c r="C333" s="362"/>
      <c r="D333" s="362"/>
      <c r="E333" s="604" t="s">
        <v>2006</v>
      </c>
      <c r="F333" s="124" t="s">
        <v>2237</v>
      </c>
      <c r="G333" s="125">
        <v>2013</v>
      </c>
      <c r="H333" s="79">
        <v>23792855</v>
      </c>
      <c r="I333" s="79">
        <v>1</v>
      </c>
      <c r="J333" s="126"/>
      <c r="K333" s="127"/>
      <c r="L333" s="79">
        <v>1</v>
      </c>
      <c r="M333" s="79"/>
      <c r="N333" s="79">
        <v>1</v>
      </c>
      <c r="O333" s="128">
        <v>1</v>
      </c>
      <c r="P333" s="79" t="s">
        <v>11</v>
      </c>
      <c r="Q333" s="79" t="s">
        <v>1142</v>
      </c>
      <c r="R333" s="79" t="s">
        <v>25</v>
      </c>
      <c r="S333" s="79">
        <v>1</v>
      </c>
      <c r="T333" s="79"/>
      <c r="U333" s="79"/>
      <c r="V333" s="79"/>
      <c r="W333" s="79" t="s">
        <v>723</v>
      </c>
      <c r="X333" s="79" t="s">
        <v>24</v>
      </c>
      <c r="Y333" s="79" t="s">
        <v>724</v>
      </c>
      <c r="Z333" s="79"/>
      <c r="AA333" s="79"/>
      <c r="AB333" s="79"/>
      <c r="AC333" s="506"/>
      <c r="AD333" s="573">
        <v>1</v>
      </c>
      <c r="AE333" s="573">
        <v>2</v>
      </c>
      <c r="AF333" s="233">
        <v>1</v>
      </c>
      <c r="AG333" s="234" t="s">
        <v>3581</v>
      </c>
      <c r="AH333" s="121">
        <v>2</v>
      </c>
      <c r="AI333" s="484"/>
      <c r="AJ333" s="213" t="s">
        <v>3570</v>
      </c>
      <c r="AK333" s="192">
        <v>0</v>
      </c>
      <c r="AL333" s="203" t="s">
        <v>24</v>
      </c>
      <c r="AM333" s="121" t="s">
        <v>3564</v>
      </c>
      <c r="AN333" s="383" t="s">
        <v>3571</v>
      </c>
      <c r="AO333" s="383" t="s">
        <v>3571</v>
      </c>
      <c r="AP333" s="121" t="s">
        <v>3572</v>
      </c>
      <c r="AQ333" s="121" t="s">
        <v>3572</v>
      </c>
      <c r="AR333" s="121" t="s">
        <v>3573</v>
      </c>
      <c r="AS333" s="121">
        <v>7.91</v>
      </c>
      <c r="AT333" s="121" t="s">
        <v>3573</v>
      </c>
      <c r="AU333" s="121">
        <v>7.91</v>
      </c>
      <c r="AV333" s="121" t="s">
        <v>3568</v>
      </c>
      <c r="AW333" s="121" t="s">
        <v>24</v>
      </c>
      <c r="AX333" s="121" t="s">
        <v>24</v>
      </c>
      <c r="AY333" s="121" t="s">
        <v>3566</v>
      </c>
      <c r="AZ333" s="121" t="s">
        <v>2605</v>
      </c>
      <c r="BA333" s="121" t="s">
        <v>3567</v>
      </c>
      <c r="BB333" s="594"/>
      <c r="BC333" s="594"/>
      <c r="BD333" s="156">
        <v>1</v>
      </c>
      <c r="BE333" s="156"/>
      <c r="BF333" s="156"/>
      <c r="BG333" s="156"/>
      <c r="BH333" s="156"/>
      <c r="BI333" s="156"/>
      <c r="BJ333" s="156"/>
      <c r="BK333" s="156"/>
      <c r="BL333" s="156"/>
      <c r="BM333" s="156"/>
      <c r="BN333" s="156"/>
      <c r="BO333" s="156"/>
      <c r="BP333" s="156"/>
      <c r="BQ333" s="595" t="s">
        <v>1891</v>
      </c>
      <c r="BR333" s="157" t="s">
        <v>6596</v>
      </c>
      <c r="BS333" s="660"/>
      <c r="BT333" s="134" t="s">
        <v>1876</v>
      </c>
      <c r="BU333" s="134" t="s">
        <v>3569</v>
      </c>
      <c r="BV333" s="134" t="s">
        <v>3580</v>
      </c>
      <c r="BW333" s="134" t="s">
        <v>24</v>
      </c>
      <c r="BX333" s="134" t="s">
        <v>3582</v>
      </c>
      <c r="BY333" s="134" t="s">
        <v>6642</v>
      </c>
      <c r="BZ333" s="259" t="s">
        <v>3592</v>
      </c>
      <c r="CA333" s="454" t="s">
        <v>6627</v>
      </c>
      <c r="CB333" s="138" t="s">
        <v>3577</v>
      </c>
      <c r="CC333" s="134">
        <v>4.625</v>
      </c>
      <c r="CD333" s="134" t="s">
        <v>24</v>
      </c>
      <c r="CE333" s="134">
        <f>5.1-Table668[[#This Row],[Data_Outcome1_M]]</f>
        <v>0.47499999999999964</v>
      </c>
      <c r="CF333" s="138" t="s">
        <v>3576</v>
      </c>
      <c r="CG333" s="134">
        <v>3.30375</v>
      </c>
      <c r="CH333" s="134" t="s">
        <v>24</v>
      </c>
      <c r="CI333" s="134">
        <f>3.3125-Table668[[#This Row],[Data_Outcome2_M]]</f>
        <v>8.7500000000000355E-3</v>
      </c>
      <c r="CJ333" s="288" t="s">
        <v>24</v>
      </c>
      <c r="CK333" s="289" t="s">
        <v>24</v>
      </c>
      <c r="CL333" s="138" t="s">
        <v>3575</v>
      </c>
      <c r="CM333" s="134">
        <v>4.95</v>
      </c>
      <c r="CN333" s="134" t="s">
        <v>24</v>
      </c>
      <c r="CO333" s="134">
        <f>5.45-Table668[[#This Row],[Data_Outcome3_M]]</f>
        <v>0.5</v>
      </c>
      <c r="CP333" s="138" t="s">
        <v>3574</v>
      </c>
      <c r="CQ333" s="134">
        <v>4.5250000000000004</v>
      </c>
      <c r="CR333" s="134" t="s">
        <v>24</v>
      </c>
      <c r="CS333" s="134">
        <f>4.8125-Table668[[#This Row],[Data_Outcome4_M]]</f>
        <v>0.28749999999999964</v>
      </c>
      <c r="CT333" s="288" t="s">
        <v>24</v>
      </c>
      <c r="CU333" s="289" t="s">
        <v>24</v>
      </c>
      <c r="CV333" s="276" t="s">
        <v>24</v>
      </c>
      <c r="CW333" s="308" t="s">
        <v>24</v>
      </c>
      <c r="CX333" s="138" t="s">
        <v>3578</v>
      </c>
      <c r="CY333" s="134">
        <v>5.9249999999999998</v>
      </c>
      <c r="CZ333" s="134" t="s">
        <v>24</v>
      </c>
      <c r="DA333" s="134">
        <f>6.425-Table668[[#This Row],[Data_Outcome5_M]]</f>
        <v>0.5</v>
      </c>
      <c r="DB333" s="138" t="s">
        <v>3579</v>
      </c>
      <c r="DC333" s="134">
        <v>4.5999999999999996</v>
      </c>
      <c r="DD333" s="134" t="s">
        <v>24</v>
      </c>
      <c r="DE333" s="134">
        <f>4.9-Table668[[#This Row],[Data_Outcome6_M]]</f>
        <v>0.30000000000000071</v>
      </c>
      <c r="DF333" s="300" t="s">
        <v>3583</v>
      </c>
      <c r="DG333" s="301" t="s">
        <v>3584</v>
      </c>
      <c r="DH333" s="138" t="s">
        <v>3587</v>
      </c>
      <c r="DI333" s="134">
        <v>2.6</v>
      </c>
      <c r="DJ333" s="134" t="s">
        <v>24</v>
      </c>
      <c r="DK333" s="134">
        <f>3.1375-Table668[[#This Row],[Data_Outcome7_M]]</f>
        <v>0.53750000000000009</v>
      </c>
      <c r="DL333" s="138" t="s">
        <v>3588</v>
      </c>
      <c r="DM333" s="134">
        <v>3.0125000000000002</v>
      </c>
      <c r="DN333" s="134" t="s">
        <v>24</v>
      </c>
      <c r="DO333" s="134">
        <f>3.275-Table668[[#This Row],[Data_Outcome8_M]]</f>
        <v>0.26249999999999973</v>
      </c>
      <c r="DP333" s="300" t="s">
        <v>24</v>
      </c>
      <c r="DQ333" s="301" t="s">
        <v>24</v>
      </c>
      <c r="DR333" s="276" t="s">
        <v>24</v>
      </c>
      <c r="DS333" s="277" t="s">
        <v>24</v>
      </c>
      <c r="DT333" s="138" t="s">
        <v>3585</v>
      </c>
      <c r="DU333" s="134">
        <v>5.3624999999999998</v>
      </c>
      <c r="DV333" s="134" t="s">
        <v>24</v>
      </c>
      <c r="DW333" s="134">
        <f>5.85-Table668[[#This Row],[Data_Outcome9_M]]</f>
        <v>0.48749999999999982</v>
      </c>
      <c r="DX333" s="138" t="s">
        <v>3586</v>
      </c>
      <c r="DY333" s="134">
        <v>3.4750000000000001</v>
      </c>
      <c r="DZ333" s="134" t="s">
        <v>24</v>
      </c>
      <c r="EA333" s="134">
        <f>3.7625-Table668[[#This Row],[Data_Outcome10_M]]</f>
        <v>0.28750000000000009</v>
      </c>
      <c r="EB333" s="301" t="s">
        <v>24</v>
      </c>
      <c r="EC333" s="301" t="s">
        <v>24</v>
      </c>
      <c r="ED333" s="138" t="s">
        <v>3589</v>
      </c>
      <c r="EE333" s="134">
        <v>5.6749999999999998</v>
      </c>
      <c r="EF333" s="134" t="s">
        <v>24</v>
      </c>
      <c r="EG333" s="134">
        <f>6.15-Table668[[#This Row],[Data_Outcome11_M]]</f>
        <v>0.47500000000000053</v>
      </c>
      <c r="EH333" s="138" t="s">
        <v>3590</v>
      </c>
      <c r="EI333" s="134">
        <v>3.5874999999999999</v>
      </c>
      <c r="EJ333" s="134" t="s">
        <v>24</v>
      </c>
      <c r="EK333" s="134">
        <f>3.875-Table668[[#This Row],[Data_Outcome12_M]]</f>
        <v>0.28750000000000009</v>
      </c>
      <c r="EL333" s="300" t="s">
        <v>3591</v>
      </c>
      <c r="EM333" s="301" t="s">
        <v>3584</v>
      </c>
      <c r="EN333" s="277"/>
      <c r="EO333" s="134"/>
      <c r="EP333" s="134"/>
      <c r="EQ333" s="134"/>
      <c r="ER333" s="134"/>
      <c r="ES333" s="134"/>
      <c r="ET333" s="134"/>
      <c r="EU333" s="134"/>
      <c r="EV333" s="134"/>
      <c r="EW333" s="301"/>
      <c r="EX333" s="301"/>
      <c r="EY333" s="134"/>
      <c r="EZ333" s="134"/>
      <c r="FA333" s="134"/>
      <c r="FB333" s="134"/>
      <c r="FC333" s="134"/>
      <c r="FD333" s="134"/>
      <c r="FE333" s="134"/>
      <c r="FF333" s="134"/>
      <c r="FG333" s="135"/>
      <c r="FH333" s="135"/>
      <c r="FI333" s="134"/>
      <c r="FJ333" s="134"/>
      <c r="FK333" s="134"/>
      <c r="FL333" s="134"/>
      <c r="FM333" s="134"/>
      <c r="FN333" s="134"/>
      <c r="FO333" s="134"/>
      <c r="FP333" s="134"/>
      <c r="FQ333" s="135"/>
      <c r="FR333" s="135"/>
      <c r="FS333" s="134"/>
      <c r="FT333" s="134"/>
      <c r="FU333" s="134"/>
      <c r="FV333" s="134"/>
      <c r="FW333" s="134"/>
      <c r="FX333" s="134"/>
      <c r="FY333" s="134"/>
      <c r="FZ333" s="134"/>
      <c r="GA333" s="135"/>
      <c r="GB333" s="135"/>
      <c r="GC333" s="134"/>
      <c r="GD333" s="134"/>
      <c r="GE333" s="134"/>
      <c r="GF333" s="134"/>
      <c r="GG333" s="134"/>
      <c r="GH333" s="134"/>
      <c r="GI333" s="134"/>
      <c r="GJ333" s="134"/>
      <c r="GK333" s="135"/>
      <c r="GL333" s="135"/>
      <c r="GM333" s="134"/>
      <c r="GN333" s="134"/>
      <c r="GO333" s="134"/>
      <c r="GP333" s="134"/>
      <c r="GQ333" s="134"/>
      <c r="GR333" s="134"/>
      <c r="GS333" s="134"/>
      <c r="GT333" s="134"/>
      <c r="GU333" s="135"/>
      <c r="GV333" s="135"/>
      <c r="GW333" s="134"/>
      <c r="GX333" s="134"/>
      <c r="GY333" s="134"/>
      <c r="GZ333" s="134"/>
      <c r="HA333" s="134"/>
      <c r="HB333" s="134"/>
      <c r="HC333" s="134"/>
      <c r="HD333" s="134"/>
      <c r="HE333" s="135"/>
      <c r="HF333" s="135"/>
      <c r="HG333" s="134"/>
      <c r="HH333" s="134"/>
      <c r="HI333" s="134"/>
      <c r="HJ333" s="134"/>
      <c r="HK333" s="134"/>
      <c r="HL333" s="134"/>
      <c r="HM333" s="134"/>
      <c r="HN333" s="134"/>
      <c r="HO333" s="135"/>
      <c r="HP333" s="135"/>
      <c r="HQ333" s="134"/>
      <c r="HR333" s="134"/>
      <c r="HS333" s="134"/>
      <c r="HT333" s="134"/>
      <c r="HU333" s="134"/>
      <c r="HV333" s="134"/>
      <c r="HW333" s="134"/>
      <c r="HX333" s="134"/>
      <c r="HY333" s="135"/>
      <c r="HZ333" s="135"/>
      <c r="IA333" s="134"/>
      <c r="IB333" s="134"/>
      <c r="IC333" s="134"/>
      <c r="ID333" s="134"/>
      <c r="IE333" s="134"/>
      <c r="IF333" s="134"/>
      <c r="IG333" s="134"/>
      <c r="IH333" s="134"/>
      <c r="II333" s="135"/>
      <c r="IJ333" s="135"/>
      <c r="IK333" s="134"/>
      <c r="IL333" s="134"/>
      <c r="IM333" s="134"/>
      <c r="IN333" s="134"/>
      <c r="IO333" s="134"/>
      <c r="IP333" s="134"/>
      <c r="IQ333" s="134"/>
      <c r="IR333" s="134"/>
      <c r="IS333" s="135"/>
      <c r="IT333" s="135"/>
      <c r="IU333" s="134"/>
      <c r="IV333" s="134"/>
      <c r="IW333" s="134"/>
      <c r="IX333" s="134"/>
      <c r="IY333" s="134"/>
      <c r="IZ333" s="134"/>
      <c r="JA333" s="134"/>
      <c r="JB333" s="134"/>
      <c r="JC333" s="135"/>
      <c r="JD333" s="135"/>
    </row>
    <row r="334" spans="1:264" customFormat="1" ht="15" customHeight="1">
      <c r="A334" s="153" t="s">
        <v>983</v>
      </c>
      <c r="B334" s="618">
        <v>45</v>
      </c>
      <c r="C334" s="618"/>
      <c r="D334" s="618"/>
      <c r="E334" s="610" t="s">
        <v>2113</v>
      </c>
      <c r="F334" s="368" t="s">
        <v>2372</v>
      </c>
      <c r="G334" s="369">
        <v>2015</v>
      </c>
      <c r="H334" s="153">
        <v>25449394</v>
      </c>
      <c r="I334" s="153">
        <v>1</v>
      </c>
      <c r="J334" s="370">
        <v>1</v>
      </c>
      <c r="K334" s="371"/>
      <c r="L334" s="153">
        <v>1</v>
      </c>
      <c r="M334" s="153"/>
      <c r="N334" s="153">
        <v>1</v>
      </c>
      <c r="O334" s="153">
        <v>2</v>
      </c>
      <c r="P334" s="153" t="s">
        <v>1404</v>
      </c>
      <c r="Q334" s="153" t="s">
        <v>1212</v>
      </c>
      <c r="R334" s="153" t="s">
        <v>1127</v>
      </c>
      <c r="S334" s="153"/>
      <c r="T334" s="153" t="s">
        <v>1488</v>
      </c>
      <c r="U334" s="153" t="s">
        <v>1539</v>
      </c>
      <c r="V334" s="153" t="s">
        <v>23</v>
      </c>
      <c r="W334" s="153" t="s">
        <v>1547</v>
      </c>
      <c r="X334" s="153"/>
      <c r="Y334" s="153"/>
      <c r="Z334" s="153"/>
      <c r="AA334" s="153"/>
      <c r="AB334" s="153"/>
      <c r="AC334" s="536"/>
      <c r="AD334" s="573">
        <v>1</v>
      </c>
      <c r="AE334" s="573">
        <v>2</v>
      </c>
      <c r="AF334" s="165">
        <v>0</v>
      </c>
      <c r="AG334" s="166" t="s">
        <v>3593</v>
      </c>
      <c r="AH334" s="120">
        <v>4</v>
      </c>
      <c r="AI334" s="484"/>
      <c r="AJ334" s="206"/>
      <c r="AK334" s="372"/>
      <c r="AL334" s="207"/>
      <c r="AM334" s="120"/>
      <c r="AN334" s="120"/>
      <c r="AO334" s="120"/>
      <c r="AP334" s="120"/>
      <c r="AQ334" s="120"/>
      <c r="AR334" s="120"/>
      <c r="AS334" s="120"/>
      <c r="AT334" s="120"/>
      <c r="AU334" s="120"/>
      <c r="AV334" s="120"/>
      <c r="AW334" s="120"/>
      <c r="AX334" s="120"/>
      <c r="AY334" s="120"/>
      <c r="AZ334" s="120"/>
      <c r="BA334" s="120"/>
      <c r="BB334" s="594"/>
      <c r="BC334" s="594"/>
      <c r="BD334" s="373">
        <v>1</v>
      </c>
      <c r="BE334" s="373"/>
      <c r="BF334" s="373"/>
      <c r="BG334" s="373"/>
      <c r="BH334" s="373"/>
      <c r="BI334" s="373"/>
      <c r="BJ334" s="373"/>
      <c r="BK334" s="373"/>
      <c r="BL334" s="373"/>
      <c r="BM334" s="373"/>
      <c r="BN334" s="373"/>
      <c r="BO334" s="373"/>
      <c r="BP334" s="373"/>
      <c r="BQ334" s="599"/>
      <c r="BR334" s="374"/>
      <c r="BS334" s="660"/>
      <c r="BT334" s="120"/>
      <c r="BU334" s="120"/>
      <c r="BV334" s="120"/>
      <c r="BW334" s="120"/>
      <c r="BX334" s="384"/>
      <c r="BY334" s="384"/>
      <c r="BZ334" s="375"/>
      <c r="CA334" s="380"/>
      <c r="CB334" s="376"/>
      <c r="CC334" s="120"/>
      <c r="CD334" s="120"/>
      <c r="CE334" s="120"/>
      <c r="CF334" s="376"/>
      <c r="CG334" s="120"/>
      <c r="CH334" s="120"/>
      <c r="CI334" s="120"/>
      <c r="CJ334" s="375"/>
      <c r="CK334" s="377"/>
      <c r="CL334" s="376"/>
      <c r="CM334" s="120"/>
      <c r="CN334" s="120"/>
      <c r="CO334" s="120"/>
      <c r="CP334" s="376"/>
      <c r="CQ334" s="120"/>
      <c r="CR334" s="120"/>
      <c r="CS334" s="120"/>
      <c r="CT334" s="375"/>
      <c r="CU334" s="377"/>
      <c r="CV334" s="380"/>
      <c r="CW334" s="376"/>
      <c r="CX334" s="376"/>
      <c r="CY334" s="120"/>
      <c r="CZ334" s="120"/>
      <c r="DA334" s="120"/>
      <c r="DB334" s="120"/>
      <c r="DC334" s="120"/>
      <c r="DD334" s="120"/>
      <c r="DE334" s="120"/>
      <c r="DF334" s="380"/>
      <c r="DG334" s="120"/>
      <c r="DH334" s="120"/>
      <c r="DI334" s="120"/>
      <c r="DJ334" s="120"/>
      <c r="DK334" s="120"/>
      <c r="DL334" s="120"/>
      <c r="DM334" s="120"/>
      <c r="DN334" s="120"/>
      <c r="DO334" s="120"/>
      <c r="DP334" s="380"/>
      <c r="DQ334" s="120"/>
      <c r="DR334" s="380"/>
      <c r="DS334" s="120"/>
      <c r="DT334" s="120"/>
      <c r="DU334" s="120"/>
      <c r="DV334" s="120"/>
      <c r="DW334" s="120"/>
      <c r="DX334" s="376"/>
      <c r="DY334" s="120"/>
      <c r="DZ334" s="120"/>
      <c r="EA334" s="120"/>
      <c r="EB334" s="120"/>
      <c r="EC334" s="120"/>
      <c r="ED334" s="376"/>
      <c r="EE334" s="120"/>
      <c r="EF334" s="120"/>
      <c r="EG334" s="120"/>
      <c r="EH334" s="376"/>
      <c r="EI334" s="120"/>
      <c r="EJ334" s="120"/>
      <c r="EK334" s="120"/>
      <c r="EL334" s="120"/>
      <c r="EM334" s="120"/>
      <c r="EN334" s="120"/>
      <c r="EO334" s="120"/>
      <c r="EP334" s="120"/>
      <c r="EQ334" s="120"/>
      <c r="ER334" s="120"/>
      <c r="ES334" s="120"/>
      <c r="ET334" s="120"/>
      <c r="EU334" s="120"/>
      <c r="EV334" s="120"/>
      <c r="EW334" s="120"/>
      <c r="EX334" s="120"/>
      <c r="EY334" s="120"/>
      <c r="EZ334" s="120"/>
      <c r="FA334" s="120"/>
      <c r="FB334" s="120"/>
      <c r="FC334" s="134"/>
      <c r="FD334" s="134"/>
      <c r="FE334" s="134"/>
      <c r="FF334" s="134"/>
      <c r="FG334" s="135"/>
      <c r="FH334" s="135"/>
      <c r="FI334" s="134"/>
      <c r="FJ334" s="134"/>
      <c r="FK334" s="134"/>
      <c r="FL334" s="134"/>
      <c r="FM334" s="134"/>
      <c r="FN334" s="134"/>
      <c r="FO334" s="134"/>
      <c r="FP334" s="134"/>
      <c r="FQ334" s="135"/>
      <c r="FR334" s="135"/>
      <c r="FS334" s="134"/>
      <c r="FT334" s="134"/>
      <c r="FU334" s="134"/>
      <c r="FV334" s="134"/>
      <c r="FW334" s="134"/>
      <c r="FX334" s="134"/>
      <c r="FY334" s="134"/>
      <c r="FZ334" s="134"/>
      <c r="GA334" s="135"/>
      <c r="GB334" s="135"/>
      <c r="GC334" s="134"/>
      <c r="GD334" s="134"/>
      <c r="GE334" s="134"/>
      <c r="GF334" s="134"/>
      <c r="GG334" s="134"/>
      <c r="GH334" s="134"/>
      <c r="GI334" s="134"/>
      <c r="GJ334" s="134"/>
      <c r="GK334" s="135"/>
      <c r="GL334" s="135"/>
      <c r="GM334" s="134"/>
      <c r="GN334" s="134"/>
      <c r="GO334" s="134"/>
      <c r="GP334" s="134"/>
      <c r="GQ334" s="134"/>
      <c r="GR334" s="134"/>
      <c r="GS334" s="134"/>
      <c r="GT334" s="134"/>
      <c r="GU334" s="135"/>
      <c r="GV334" s="135"/>
      <c r="GW334" s="134"/>
      <c r="GX334" s="134"/>
      <c r="GY334" s="134"/>
      <c r="GZ334" s="134"/>
      <c r="HA334" s="134"/>
      <c r="HB334" s="134"/>
      <c r="HC334" s="134"/>
      <c r="HD334" s="134"/>
      <c r="HE334" s="135"/>
      <c r="HF334" s="135"/>
      <c r="HG334" s="134"/>
      <c r="HH334" s="134"/>
      <c r="HI334" s="134"/>
      <c r="HJ334" s="134"/>
      <c r="HK334" s="134"/>
      <c r="HL334" s="134"/>
      <c r="HM334" s="134"/>
      <c r="HN334" s="134"/>
      <c r="HO334" s="135"/>
      <c r="HP334" s="135"/>
      <c r="HQ334" s="134"/>
      <c r="HR334" s="134"/>
      <c r="HS334" s="134"/>
      <c r="HT334" s="134"/>
      <c r="HU334" s="134"/>
      <c r="HV334" s="134"/>
      <c r="HW334" s="134"/>
      <c r="HX334" s="134"/>
      <c r="HY334" s="135"/>
      <c r="HZ334" s="135"/>
      <c r="IA334" s="134"/>
      <c r="IB334" s="134"/>
      <c r="IC334" s="134"/>
      <c r="ID334" s="134"/>
      <c r="IE334" s="134"/>
      <c r="IF334" s="134"/>
      <c r="IG334" s="134"/>
      <c r="IH334" s="134"/>
      <c r="II334" s="135"/>
      <c r="IJ334" s="135"/>
      <c r="IK334" s="134"/>
      <c r="IL334" s="134"/>
      <c r="IM334" s="134"/>
      <c r="IN334" s="134"/>
      <c r="IO334" s="134"/>
      <c r="IP334" s="134"/>
      <c r="IQ334" s="134"/>
      <c r="IR334" s="134"/>
      <c r="IS334" s="135"/>
      <c r="IT334" s="135"/>
      <c r="IU334" s="134"/>
      <c r="IV334" s="134"/>
      <c r="IW334" s="134"/>
      <c r="IX334" s="134"/>
      <c r="IY334" s="134"/>
      <c r="IZ334" s="134"/>
      <c r="JA334" s="134"/>
      <c r="JB334" s="134"/>
      <c r="JC334" s="135"/>
      <c r="JD334" s="135"/>
    </row>
    <row r="335" spans="1:264" customFormat="1" ht="15" customHeight="1">
      <c r="A335" s="79" t="s">
        <v>279</v>
      </c>
      <c r="B335" s="362">
        <v>199</v>
      </c>
      <c r="C335" s="362">
        <v>69</v>
      </c>
      <c r="D335" s="362"/>
      <c r="E335" s="604" t="s">
        <v>2009</v>
      </c>
      <c r="F335" s="124" t="s">
        <v>2240</v>
      </c>
      <c r="G335" s="125">
        <v>2009</v>
      </c>
      <c r="H335" s="79">
        <v>19703319</v>
      </c>
      <c r="I335" s="79">
        <v>1</v>
      </c>
      <c r="J335" s="126"/>
      <c r="K335" s="127"/>
      <c r="L335" s="79">
        <v>1</v>
      </c>
      <c r="M335" s="79"/>
      <c r="N335" s="79">
        <v>1</v>
      </c>
      <c r="O335" s="128">
        <v>1</v>
      </c>
      <c r="P335" s="79" t="s">
        <v>733</v>
      </c>
      <c r="Q335" s="79" t="s">
        <v>1147</v>
      </c>
      <c r="R335" s="79" t="s">
        <v>25</v>
      </c>
      <c r="S335" s="79">
        <v>1</v>
      </c>
      <c r="T335" s="79"/>
      <c r="U335" s="79"/>
      <c r="V335" s="79"/>
      <c r="W335" s="79" t="s">
        <v>732</v>
      </c>
      <c r="X335" s="79"/>
      <c r="Y335" s="79"/>
      <c r="Z335" s="79"/>
      <c r="AA335" s="79"/>
      <c r="AB335" s="79" t="s">
        <v>734</v>
      </c>
      <c r="AC335" s="506"/>
      <c r="AD335" s="573">
        <v>1</v>
      </c>
      <c r="AE335" s="573">
        <v>2</v>
      </c>
      <c r="AF335" s="154">
        <v>1</v>
      </c>
      <c r="AG335" s="155" t="s">
        <v>5335</v>
      </c>
      <c r="AH335" s="121">
        <v>2</v>
      </c>
      <c r="AI335" s="484"/>
      <c r="AJ335" s="202" t="s">
        <v>5393</v>
      </c>
      <c r="AK335" s="192">
        <v>1</v>
      </c>
      <c r="AL335" s="203" t="s">
        <v>24</v>
      </c>
      <c r="AM335" s="121">
        <v>47</v>
      </c>
      <c r="AN335" s="121">
        <v>25</v>
      </c>
      <c r="AO335" s="121">
        <v>22</v>
      </c>
      <c r="AP335" s="121" t="s">
        <v>803</v>
      </c>
      <c r="AQ335" s="121" t="s">
        <v>803</v>
      </c>
      <c r="AR335" s="121" t="s">
        <v>5331</v>
      </c>
      <c r="AS335" s="121" t="s">
        <v>5332</v>
      </c>
      <c r="AT335" s="121" t="s">
        <v>5333</v>
      </c>
      <c r="AU335" s="121" t="s">
        <v>5334</v>
      </c>
      <c r="AV335" s="121" t="s">
        <v>4249</v>
      </c>
      <c r="AW335" s="121" t="s">
        <v>24</v>
      </c>
      <c r="AX335" s="121" t="s">
        <v>24</v>
      </c>
      <c r="AY335" s="121" t="s">
        <v>2423</v>
      </c>
      <c r="AZ335" s="121" t="s">
        <v>3835</v>
      </c>
      <c r="BA335" s="121" t="s">
        <v>4521</v>
      </c>
      <c r="BB335" s="594"/>
      <c r="BC335" s="594"/>
      <c r="BD335" s="156"/>
      <c r="BE335" s="156"/>
      <c r="BF335" s="156"/>
      <c r="BG335" s="156"/>
      <c r="BH335" s="156"/>
      <c r="BI335" s="156"/>
      <c r="BJ335" s="156">
        <v>1</v>
      </c>
      <c r="BK335" s="156"/>
      <c r="BL335" s="156" t="s">
        <v>4727</v>
      </c>
      <c r="BM335" s="156"/>
      <c r="BN335" s="156" t="s">
        <v>4727</v>
      </c>
      <c r="BO335" s="156"/>
      <c r="BP335" s="156"/>
      <c r="BQ335" s="595" t="s">
        <v>5336</v>
      </c>
      <c r="BR335" s="157" t="s">
        <v>6609</v>
      </c>
      <c r="BS335" s="660"/>
      <c r="BT335" s="134" t="s">
        <v>1876</v>
      </c>
      <c r="BU335" s="134">
        <v>2</v>
      </c>
      <c r="BV335" s="134" t="s">
        <v>4409</v>
      </c>
      <c r="BW335" s="134" t="s">
        <v>24</v>
      </c>
      <c r="BX335" s="134" t="s">
        <v>5350</v>
      </c>
      <c r="BY335" s="134"/>
      <c r="BZ335" s="259" t="s">
        <v>5392</v>
      </c>
      <c r="CA335" s="454">
        <v>0</v>
      </c>
      <c r="CB335" s="138" t="s">
        <v>5340</v>
      </c>
      <c r="CC335" s="134">
        <v>50.08</v>
      </c>
      <c r="CD335" s="134">
        <v>9.5</v>
      </c>
      <c r="CE335" s="134" t="s">
        <v>24</v>
      </c>
      <c r="CF335" s="138" t="s">
        <v>5341</v>
      </c>
      <c r="CG335" s="134">
        <v>51.86</v>
      </c>
      <c r="CH335" s="134">
        <v>9.6999999999999993</v>
      </c>
      <c r="CI335" s="134" t="s">
        <v>24</v>
      </c>
      <c r="CJ335" s="288" t="s">
        <v>5348</v>
      </c>
      <c r="CK335" s="289" t="s">
        <v>5349</v>
      </c>
      <c r="CL335" s="138" t="s">
        <v>5342</v>
      </c>
      <c r="CM335" s="134">
        <v>49.92</v>
      </c>
      <c r="CN335" s="134">
        <v>9.1</v>
      </c>
      <c r="CO335" s="134" t="s">
        <v>24</v>
      </c>
      <c r="CP335" s="138" t="s">
        <v>5343</v>
      </c>
      <c r="CQ335" s="134">
        <v>52.81</v>
      </c>
      <c r="CR335" s="134">
        <v>9.6999999999999993</v>
      </c>
      <c r="CS335" s="134" t="s">
        <v>24</v>
      </c>
      <c r="CT335" s="288" t="s">
        <v>5351</v>
      </c>
      <c r="CU335" s="289" t="s">
        <v>5352</v>
      </c>
      <c r="CV335" s="276" t="s">
        <v>5353</v>
      </c>
      <c r="CW335" s="308" t="s">
        <v>5354</v>
      </c>
      <c r="CX335" s="138" t="s">
        <v>5344</v>
      </c>
      <c r="CY335" s="134">
        <v>0.05</v>
      </c>
      <c r="CZ335" s="134">
        <v>0.13</v>
      </c>
      <c r="DA335" s="134" t="s">
        <v>24</v>
      </c>
      <c r="DB335" s="138" t="s">
        <v>5345</v>
      </c>
      <c r="DC335" s="134">
        <v>0.14000000000000001</v>
      </c>
      <c r="DD335" s="134">
        <v>0.22</v>
      </c>
      <c r="DE335" s="134" t="s">
        <v>24</v>
      </c>
      <c r="DF335" s="300" t="s">
        <v>5381</v>
      </c>
      <c r="DG335" s="301" t="s">
        <v>5382</v>
      </c>
      <c r="DH335" s="138" t="s">
        <v>5346</v>
      </c>
      <c r="DI335" s="134">
        <v>0.08</v>
      </c>
      <c r="DJ335" s="134">
        <v>0.14000000000000001</v>
      </c>
      <c r="DK335" s="134" t="s">
        <v>24</v>
      </c>
      <c r="DL335" s="138" t="s">
        <v>5347</v>
      </c>
      <c r="DM335" s="134">
        <v>0.06</v>
      </c>
      <c r="DN335" s="134">
        <v>0.2</v>
      </c>
      <c r="DO335" s="134" t="s">
        <v>24</v>
      </c>
      <c r="DP335" s="300" t="s">
        <v>5355</v>
      </c>
      <c r="DQ335" s="301" t="s">
        <v>5356</v>
      </c>
      <c r="DR335" s="276" t="s">
        <v>5357</v>
      </c>
      <c r="DS335" s="277" t="s">
        <v>5354</v>
      </c>
      <c r="DT335" s="134" t="s">
        <v>24</v>
      </c>
      <c r="DU335" s="134" t="s">
        <v>24</v>
      </c>
      <c r="DV335" s="134" t="s">
        <v>24</v>
      </c>
      <c r="DW335" s="134" t="s">
        <v>24</v>
      </c>
      <c r="DX335" s="138" t="s">
        <v>24</v>
      </c>
      <c r="DY335" s="134" t="s">
        <v>24</v>
      </c>
      <c r="DZ335" s="134" t="s">
        <v>24</v>
      </c>
      <c r="EA335" s="134" t="s">
        <v>24</v>
      </c>
      <c r="EB335" s="301"/>
      <c r="EC335" s="301"/>
      <c r="ED335" s="134" t="s">
        <v>24</v>
      </c>
      <c r="EE335" s="134" t="s">
        <v>24</v>
      </c>
      <c r="EF335" s="134" t="s">
        <v>24</v>
      </c>
      <c r="EG335" s="134" t="s">
        <v>24</v>
      </c>
      <c r="EH335" s="138" t="s">
        <v>24</v>
      </c>
      <c r="EI335" s="134" t="s">
        <v>24</v>
      </c>
      <c r="EJ335" s="134" t="s">
        <v>24</v>
      </c>
      <c r="EK335" s="134" t="s">
        <v>24</v>
      </c>
      <c r="EL335" s="301"/>
      <c r="EM335" s="301"/>
      <c r="EN335" s="277"/>
      <c r="EO335" s="134" t="s">
        <v>24</v>
      </c>
      <c r="EP335" s="134" t="s">
        <v>24</v>
      </c>
      <c r="EQ335" s="134" t="s">
        <v>24</v>
      </c>
      <c r="ER335" s="134" t="s">
        <v>24</v>
      </c>
      <c r="ES335" s="138" t="s">
        <v>24</v>
      </c>
      <c r="ET335" s="134" t="s">
        <v>24</v>
      </c>
      <c r="EU335" s="134" t="s">
        <v>24</v>
      </c>
      <c r="EV335" s="134" t="s">
        <v>24</v>
      </c>
      <c r="EW335" s="301"/>
      <c r="EX335" s="301"/>
      <c r="EY335" s="134" t="s">
        <v>24</v>
      </c>
      <c r="EZ335" s="134" t="s">
        <v>24</v>
      </c>
      <c r="FA335" s="134" t="s">
        <v>24</v>
      </c>
      <c r="FB335" s="134" t="s">
        <v>24</v>
      </c>
      <c r="FC335" s="138" t="s">
        <v>24</v>
      </c>
      <c r="FD335" s="134" t="s">
        <v>24</v>
      </c>
      <c r="FE335" s="134" t="s">
        <v>24</v>
      </c>
      <c r="FF335" s="134" t="s">
        <v>24</v>
      </c>
      <c r="FG335" s="135"/>
      <c r="FH335" s="135"/>
      <c r="FI335" s="134" t="s">
        <v>24</v>
      </c>
      <c r="FJ335" s="134" t="s">
        <v>24</v>
      </c>
      <c r="FK335" s="134" t="s">
        <v>24</v>
      </c>
      <c r="FL335" s="134" t="s">
        <v>24</v>
      </c>
      <c r="FM335" s="138" t="s">
        <v>24</v>
      </c>
      <c r="FN335" s="134" t="s">
        <v>24</v>
      </c>
      <c r="FO335" s="134" t="s">
        <v>24</v>
      </c>
      <c r="FP335" s="134" t="s">
        <v>24</v>
      </c>
      <c r="FQ335" s="135"/>
      <c r="FR335" s="135"/>
      <c r="FS335" s="134"/>
      <c r="FT335" s="134"/>
      <c r="FU335" s="134"/>
      <c r="FV335" s="134"/>
      <c r="FW335" s="134"/>
      <c r="FX335" s="134"/>
      <c r="FY335" s="134"/>
      <c r="FZ335" s="134"/>
      <c r="GA335" s="135"/>
      <c r="GB335" s="135"/>
      <c r="GC335" s="134"/>
      <c r="GD335" s="134"/>
      <c r="GE335" s="134"/>
      <c r="GF335" s="134"/>
      <c r="GG335" s="134"/>
      <c r="GH335" s="134"/>
      <c r="GI335" s="134"/>
      <c r="GJ335" s="134"/>
      <c r="GK335" s="135"/>
      <c r="GL335" s="135"/>
      <c r="GM335" s="134"/>
      <c r="GN335" s="134"/>
      <c r="GO335" s="134"/>
      <c r="GP335" s="134"/>
      <c r="GQ335" s="134"/>
      <c r="GR335" s="134"/>
      <c r="GS335" s="134"/>
      <c r="GT335" s="134"/>
      <c r="GU335" s="135"/>
      <c r="GV335" s="135"/>
      <c r="GW335" s="134"/>
      <c r="GX335" s="134"/>
      <c r="GY335" s="134"/>
      <c r="GZ335" s="134"/>
      <c r="HA335" s="134"/>
      <c r="HB335" s="134"/>
      <c r="HC335" s="134"/>
      <c r="HD335" s="134"/>
      <c r="HE335" s="135"/>
      <c r="HF335" s="135"/>
      <c r="HG335" s="134"/>
      <c r="HH335" s="134"/>
      <c r="HI335" s="134"/>
      <c r="HJ335" s="134"/>
      <c r="HK335" s="134"/>
      <c r="HL335" s="134"/>
      <c r="HM335" s="134"/>
      <c r="HN335" s="134"/>
      <c r="HO335" s="135"/>
      <c r="HP335" s="135"/>
      <c r="HQ335" s="134"/>
      <c r="HR335" s="134"/>
      <c r="HS335" s="134"/>
      <c r="HT335" s="134"/>
      <c r="HU335" s="134"/>
      <c r="HV335" s="134"/>
      <c r="HW335" s="134"/>
      <c r="HX335" s="134"/>
      <c r="HY335" s="135"/>
      <c r="HZ335" s="135"/>
      <c r="IA335" s="134"/>
      <c r="IB335" s="134"/>
      <c r="IC335" s="134"/>
      <c r="ID335" s="134"/>
      <c r="IE335" s="134"/>
      <c r="IF335" s="134"/>
      <c r="IG335" s="134"/>
      <c r="IH335" s="134"/>
      <c r="II335" s="135"/>
      <c r="IJ335" s="135"/>
      <c r="IK335" s="134"/>
      <c r="IL335" s="134"/>
      <c r="IM335" s="134"/>
      <c r="IN335" s="134"/>
      <c r="IO335" s="134"/>
      <c r="IP335" s="134"/>
      <c r="IQ335" s="134"/>
      <c r="IR335" s="134"/>
      <c r="IS335" s="135"/>
      <c r="IT335" s="135"/>
      <c r="IU335" s="134"/>
      <c r="IV335" s="134"/>
      <c r="IW335" s="134"/>
      <c r="IX335" s="134"/>
      <c r="IY335" s="134"/>
      <c r="IZ335" s="134"/>
      <c r="JA335" s="134"/>
      <c r="JB335" s="134"/>
      <c r="JC335" s="135"/>
      <c r="JD335" s="135"/>
    </row>
    <row r="336" spans="1:264" customFormat="1" ht="15" customHeight="1">
      <c r="A336" s="118" t="s">
        <v>279</v>
      </c>
      <c r="B336" s="616">
        <v>199</v>
      </c>
      <c r="C336" s="616">
        <v>69</v>
      </c>
      <c r="D336" s="616"/>
      <c r="E336" s="605" t="s">
        <v>2009</v>
      </c>
      <c r="F336" s="140" t="s">
        <v>2240</v>
      </c>
      <c r="G336" s="141">
        <v>2009</v>
      </c>
      <c r="H336" s="118">
        <v>19703319</v>
      </c>
      <c r="I336" s="118">
        <v>1</v>
      </c>
      <c r="J336" s="118"/>
      <c r="K336" s="118"/>
      <c r="L336" s="118">
        <v>1</v>
      </c>
      <c r="M336" s="118"/>
      <c r="N336" s="118">
        <v>1</v>
      </c>
      <c r="O336" s="142">
        <v>1</v>
      </c>
      <c r="P336" s="118" t="s">
        <v>733</v>
      </c>
      <c r="Q336" s="118" t="s">
        <v>1147</v>
      </c>
      <c r="R336" s="118" t="s">
        <v>25</v>
      </c>
      <c r="S336" s="118">
        <v>1</v>
      </c>
      <c r="T336" s="118"/>
      <c r="U336" s="118"/>
      <c r="V336" s="118"/>
      <c r="W336" s="118" t="s">
        <v>732</v>
      </c>
      <c r="X336" s="118"/>
      <c r="Y336" s="118"/>
      <c r="Z336" s="118"/>
      <c r="AA336" s="118"/>
      <c r="AB336" s="118" t="s">
        <v>734</v>
      </c>
      <c r="AC336" s="145"/>
      <c r="AD336" s="573">
        <v>1</v>
      </c>
      <c r="AE336" s="573">
        <v>2</v>
      </c>
      <c r="AF336" s="159">
        <v>1</v>
      </c>
      <c r="AG336" s="160" t="s">
        <v>5335</v>
      </c>
      <c r="AH336" s="122">
        <v>2</v>
      </c>
      <c r="AI336" s="485"/>
      <c r="AJ336" s="204" t="s">
        <v>5393</v>
      </c>
      <c r="AK336" s="192">
        <v>1</v>
      </c>
      <c r="AL336" s="205" t="s">
        <v>24</v>
      </c>
      <c r="AM336" s="122">
        <v>47</v>
      </c>
      <c r="AN336" s="122">
        <v>25</v>
      </c>
      <c r="AO336" s="122">
        <v>22</v>
      </c>
      <c r="AP336" s="122" t="s">
        <v>803</v>
      </c>
      <c r="AQ336" s="122" t="s">
        <v>803</v>
      </c>
      <c r="AR336" s="122" t="s">
        <v>5331</v>
      </c>
      <c r="AS336" s="122" t="s">
        <v>5332</v>
      </c>
      <c r="AT336" s="122" t="s">
        <v>5333</v>
      </c>
      <c r="AU336" s="122" t="s">
        <v>5334</v>
      </c>
      <c r="AV336" s="122" t="s">
        <v>4249</v>
      </c>
      <c r="AW336" s="122" t="s">
        <v>24</v>
      </c>
      <c r="AX336" s="122" t="s">
        <v>24</v>
      </c>
      <c r="AY336" s="122" t="s">
        <v>2423</v>
      </c>
      <c r="AZ336" s="122" t="s">
        <v>3835</v>
      </c>
      <c r="BA336" s="122" t="s">
        <v>4521</v>
      </c>
      <c r="BB336" s="588"/>
      <c r="BC336" s="588"/>
      <c r="BD336" s="161"/>
      <c r="BE336" s="161"/>
      <c r="BF336" s="161"/>
      <c r="BG336" s="161"/>
      <c r="BH336" s="161"/>
      <c r="BI336" s="161"/>
      <c r="BJ336" s="161">
        <v>1</v>
      </c>
      <c r="BK336" s="161"/>
      <c r="BL336" s="161" t="s">
        <v>4727</v>
      </c>
      <c r="BM336" s="161"/>
      <c r="BN336" s="161" t="s">
        <v>4727</v>
      </c>
      <c r="BO336" s="161"/>
      <c r="BP336" s="161"/>
      <c r="BQ336" s="596" t="s">
        <v>5337</v>
      </c>
      <c r="BR336" s="162" t="s">
        <v>6612</v>
      </c>
      <c r="BS336" s="660"/>
      <c r="BT336" s="150" t="s">
        <v>1876</v>
      </c>
      <c r="BU336" s="150">
        <v>2</v>
      </c>
      <c r="BV336" s="150" t="s">
        <v>5338</v>
      </c>
      <c r="BW336" s="150" t="s">
        <v>24</v>
      </c>
      <c r="BX336" s="150" t="s">
        <v>5339</v>
      </c>
      <c r="BY336" s="150"/>
      <c r="BZ336" s="258" t="s">
        <v>5391</v>
      </c>
      <c r="CA336" s="257" t="s">
        <v>24</v>
      </c>
      <c r="CB336" s="151" t="s">
        <v>5358</v>
      </c>
      <c r="CC336" s="150">
        <v>36.770000000000003</v>
      </c>
      <c r="CD336" s="150">
        <v>4.7</v>
      </c>
      <c r="CE336" s="150" t="s">
        <v>24</v>
      </c>
      <c r="CF336" s="151" t="s">
        <v>5359</v>
      </c>
      <c r="CG336" s="150">
        <v>36.64</v>
      </c>
      <c r="CH336" s="150">
        <v>4.5999999999999996</v>
      </c>
      <c r="CI336" s="150" t="s">
        <v>24</v>
      </c>
      <c r="CJ336" s="290" t="s">
        <v>5374</v>
      </c>
      <c r="CK336" s="291" t="s">
        <v>5375</v>
      </c>
      <c r="CL336" s="151" t="s">
        <v>5360</v>
      </c>
      <c r="CM336" s="150">
        <v>35.96</v>
      </c>
      <c r="CN336" s="150">
        <v>4.4000000000000004</v>
      </c>
      <c r="CO336" s="150" t="s">
        <v>24</v>
      </c>
      <c r="CP336" s="151" t="s">
        <v>5361</v>
      </c>
      <c r="CQ336" s="150">
        <v>37.729999999999997</v>
      </c>
      <c r="CR336" s="150">
        <v>5</v>
      </c>
      <c r="CS336" s="150" t="s">
        <v>24</v>
      </c>
      <c r="CT336" s="290" t="s">
        <v>5376</v>
      </c>
      <c r="CU336" s="291" t="s">
        <v>5377</v>
      </c>
      <c r="CV336" s="278" t="s">
        <v>5378</v>
      </c>
      <c r="CW336" s="285" t="s">
        <v>5354</v>
      </c>
      <c r="CX336" s="429" t="s">
        <v>5362</v>
      </c>
      <c r="CY336" s="429">
        <v>36.85</v>
      </c>
      <c r="CZ336" s="145">
        <v>3.7</v>
      </c>
      <c r="DA336" s="145" t="s">
        <v>24</v>
      </c>
      <c r="DB336" s="429" t="s">
        <v>5363</v>
      </c>
      <c r="DC336" s="150">
        <v>37.32</v>
      </c>
      <c r="DD336" s="150">
        <v>4.9000000000000004</v>
      </c>
      <c r="DE336" s="150" t="s">
        <v>24</v>
      </c>
      <c r="DF336" s="302" t="s">
        <v>5379</v>
      </c>
      <c r="DG336" s="303" t="s">
        <v>5380</v>
      </c>
      <c r="DH336" s="429" t="s">
        <v>5364</v>
      </c>
      <c r="DI336" s="429">
        <v>34.770000000000003</v>
      </c>
      <c r="DJ336" s="145">
        <v>4.2</v>
      </c>
      <c r="DK336" s="145" t="s">
        <v>24</v>
      </c>
      <c r="DL336" s="429" t="s">
        <v>5365</v>
      </c>
      <c r="DM336" s="150">
        <v>38.86</v>
      </c>
      <c r="DN336" s="150">
        <v>5.5</v>
      </c>
      <c r="DO336" s="150" t="s">
        <v>24</v>
      </c>
      <c r="DP336" s="302" t="s">
        <v>5383</v>
      </c>
      <c r="DQ336" s="303" t="s">
        <v>5384</v>
      </c>
      <c r="DR336" s="278" t="s">
        <v>5385</v>
      </c>
      <c r="DS336" s="279" t="s">
        <v>24</v>
      </c>
      <c r="DT336" s="150" t="s">
        <v>5366</v>
      </c>
      <c r="DU336" s="150">
        <v>41.08</v>
      </c>
      <c r="DV336" s="150">
        <v>11.4</v>
      </c>
      <c r="DW336" s="150" t="s">
        <v>24</v>
      </c>
      <c r="DX336" s="150" t="s">
        <v>5367</v>
      </c>
      <c r="DY336" s="150">
        <v>37.479999999999997</v>
      </c>
      <c r="DZ336" s="150">
        <v>12.3</v>
      </c>
      <c r="EA336" s="150" t="s">
        <v>24</v>
      </c>
      <c r="EB336" s="303" t="s">
        <v>5379</v>
      </c>
      <c r="EC336" s="303" t="s">
        <v>5386</v>
      </c>
      <c r="ED336" s="150" t="s">
        <v>5368</v>
      </c>
      <c r="EE336" s="150">
        <v>36.04</v>
      </c>
      <c r="EF336" s="150">
        <v>12.6</v>
      </c>
      <c r="EG336" s="150" t="s">
        <v>24</v>
      </c>
      <c r="EH336" s="150" t="s">
        <v>5369</v>
      </c>
      <c r="EI336" s="150">
        <v>33.86</v>
      </c>
      <c r="EJ336" s="150">
        <v>10.8</v>
      </c>
      <c r="EK336" s="150" t="s">
        <v>24</v>
      </c>
      <c r="EL336" s="303" t="s">
        <v>5379</v>
      </c>
      <c r="EM336" s="303" t="s">
        <v>5387</v>
      </c>
      <c r="EN336" s="279" t="s">
        <v>5388</v>
      </c>
      <c r="EO336" s="150" t="s">
        <v>5372</v>
      </c>
      <c r="EP336" s="150">
        <v>43.04</v>
      </c>
      <c r="EQ336" s="150">
        <v>10.199999999999999</v>
      </c>
      <c r="ER336" s="150" t="s">
        <v>24</v>
      </c>
      <c r="ES336" s="150" t="s">
        <v>5373</v>
      </c>
      <c r="ET336" s="150">
        <v>37.36</v>
      </c>
      <c r="EU336" s="150">
        <v>11.7</v>
      </c>
      <c r="EV336" s="150" t="s">
        <v>24</v>
      </c>
      <c r="EW336" s="303" t="s">
        <v>5379</v>
      </c>
      <c r="EX336" s="303" t="s">
        <v>5389</v>
      </c>
      <c r="EY336" s="150" t="s">
        <v>5370</v>
      </c>
      <c r="EZ336" s="150">
        <v>35.4</v>
      </c>
      <c r="FA336" s="150">
        <v>13.9</v>
      </c>
      <c r="FB336" s="150" t="s">
        <v>24</v>
      </c>
      <c r="FC336" s="150" t="s">
        <v>5371</v>
      </c>
      <c r="FD336" s="150">
        <v>31.91</v>
      </c>
      <c r="FE336" s="150">
        <v>11.2</v>
      </c>
      <c r="FF336" s="150" t="s">
        <v>24</v>
      </c>
      <c r="FG336" s="152" t="s">
        <v>3229</v>
      </c>
      <c r="FH336" s="152" t="s">
        <v>5390</v>
      </c>
      <c r="FI336" s="150" t="s">
        <v>24</v>
      </c>
      <c r="FJ336" s="150" t="s">
        <v>24</v>
      </c>
      <c r="FK336" s="150" t="s">
        <v>24</v>
      </c>
      <c r="FL336" s="150" t="s">
        <v>24</v>
      </c>
      <c r="FM336" s="151" t="s">
        <v>24</v>
      </c>
      <c r="FN336" s="150" t="s">
        <v>24</v>
      </c>
      <c r="FO336" s="150" t="s">
        <v>24</v>
      </c>
      <c r="FP336" s="150" t="s">
        <v>24</v>
      </c>
      <c r="FQ336" s="152"/>
      <c r="FR336" s="152"/>
      <c r="FS336" s="150"/>
      <c r="FT336" s="150"/>
      <c r="FU336" s="150"/>
      <c r="FV336" s="150"/>
      <c r="FW336" s="150"/>
      <c r="FX336" s="150"/>
      <c r="FY336" s="150"/>
      <c r="FZ336" s="150"/>
      <c r="GA336" s="152"/>
      <c r="GB336" s="152"/>
      <c r="GC336" s="150"/>
      <c r="GD336" s="150"/>
      <c r="GE336" s="150"/>
      <c r="GF336" s="150"/>
      <c r="GG336" s="150"/>
      <c r="GH336" s="150"/>
      <c r="GI336" s="150"/>
      <c r="GJ336" s="150"/>
      <c r="GK336" s="152"/>
      <c r="GL336" s="152"/>
      <c r="GM336" s="150"/>
      <c r="GN336" s="150"/>
      <c r="GO336" s="150"/>
      <c r="GP336" s="150"/>
      <c r="GQ336" s="150"/>
      <c r="GR336" s="150"/>
      <c r="GS336" s="150"/>
      <c r="GT336" s="150"/>
      <c r="GU336" s="152"/>
      <c r="GV336" s="152"/>
      <c r="GW336" s="134"/>
      <c r="GX336" s="134"/>
      <c r="GY336" s="134"/>
      <c r="GZ336" s="134"/>
      <c r="HA336" s="134"/>
      <c r="HB336" s="134"/>
      <c r="HC336" s="134"/>
      <c r="HD336" s="134"/>
      <c r="HE336" s="135"/>
      <c r="HF336" s="135"/>
      <c r="HG336" s="134"/>
      <c r="HH336" s="134"/>
      <c r="HI336" s="134"/>
      <c r="HJ336" s="134"/>
      <c r="HK336" s="134"/>
      <c r="HL336" s="134"/>
      <c r="HM336" s="134"/>
      <c r="HN336" s="134"/>
      <c r="HO336" s="135"/>
      <c r="HP336" s="135"/>
      <c r="HQ336" s="134"/>
      <c r="HR336" s="134"/>
      <c r="HS336" s="134"/>
      <c r="HT336" s="134"/>
      <c r="HU336" s="134"/>
      <c r="HV336" s="134"/>
      <c r="HW336" s="134"/>
      <c r="HX336" s="134"/>
      <c r="HY336" s="135"/>
      <c r="HZ336" s="135"/>
      <c r="IA336" s="134"/>
      <c r="IB336" s="134"/>
      <c r="IC336" s="134"/>
      <c r="ID336" s="134"/>
      <c r="IE336" s="134"/>
      <c r="IF336" s="134"/>
      <c r="IG336" s="134"/>
      <c r="IH336" s="134"/>
      <c r="II336" s="135"/>
      <c r="IJ336" s="135"/>
      <c r="IK336" s="134"/>
      <c r="IL336" s="134"/>
      <c r="IM336" s="134"/>
      <c r="IN336" s="134"/>
      <c r="IO336" s="134"/>
      <c r="IP336" s="134"/>
      <c r="IQ336" s="134"/>
      <c r="IR336" s="134"/>
      <c r="IS336" s="135"/>
      <c r="IT336" s="135"/>
      <c r="IU336" s="134"/>
      <c r="IV336" s="134"/>
      <c r="IW336" s="134"/>
      <c r="IX336" s="134"/>
      <c r="IY336" s="134"/>
      <c r="IZ336" s="134"/>
      <c r="JA336" s="134"/>
      <c r="JB336" s="134"/>
      <c r="JC336" s="135"/>
      <c r="JD336" s="135"/>
    </row>
    <row r="337" spans="1:264" customFormat="1" ht="15" customHeight="1">
      <c r="A337" s="79" t="s">
        <v>280</v>
      </c>
      <c r="B337" s="617">
        <v>200</v>
      </c>
      <c r="C337" s="617">
        <v>70</v>
      </c>
      <c r="D337" s="617"/>
      <c r="E337" s="608" t="s">
        <v>2009</v>
      </c>
      <c r="F337" s="181" t="s">
        <v>2241</v>
      </c>
      <c r="G337" s="182">
        <v>2006</v>
      </c>
      <c r="H337" s="79">
        <v>17100516</v>
      </c>
      <c r="I337" s="79">
        <v>1</v>
      </c>
      <c r="J337" s="79"/>
      <c r="K337" s="79"/>
      <c r="L337" s="79">
        <v>1</v>
      </c>
      <c r="M337" s="79"/>
      <c r="N337" s="79">
        <v>1</v>
      </c>
      <c r="O337" s="128">
        <v>1</v>
      </c>
      <c r="P337" s="79" t="s">
        <v>735</v>
      </c>
      <c r="Q337" s="79" t="s">
        <v>1154</v>
      </c>
      <c r="R337" s="79" t="s">
        <v>736</v>
      </c>
      <c r="S337" s="79">
        <v>1</v>
      </c>
      <c r="T337" s="79"/>
      <c r="U337" s="79"/>
      <c r="V337" s="79"/>
      <c r="W337" s="79" t="s">
        <v>492</v>
      </c>
      <c r="X337" s="79" t="s">
        <v>24</v>
      </c>
      <c r="Y337" s="79" t="s">
        <v>24</v>
      </c>
      <c r="Z337" s="79" t="s">
        <v>737</v>
      </c>
      <c r="AA337" s="79"/>
      <c r="AB337" s="79"/>
      <c r="AC337" s="506"/>
      <c r="AD337" s="573">
        <v>1</v>
      </c>
      <c r="AE337" s="573">
        <v>2</v>
      </c>
      <c r="AF337" s="352">
        <v>1</v>
      </c>
      <c r="AG337" s="353"/>
      <c r="AH337" s="346">
        <v>2</v>
      </c>
      <c r="AI337" s="487" t="s">
        <v>5426</v>
      </c>
      <c r="AJ337" s="459" t="s">
        <v>5394</v>
      </c>
      <c r="AK337" s="348">
        <v>1</v>
      </c>
      <c r="AL337" s="349" t="s">
        <v>24</v>
      </c>
      <c r="AM337" s="346">
        <f>Table668[[#This Row],[Data_Subjects_n_ptsd]]+Table668[[#This Row],[Data_Subjects_n_control]]</f>
        <v>68</v>
      </c>
      <c r="AN337" s="346">
        <v>37</v>
      </c>
      <c r="AO337" s="346">
        <v>31</v>
      </c>
      <c r="AP337" s="346" t="s">
        <v>5395</v>
      </c>
      <c r="AQ337" s="346" t="s">
        <v>5395</v>
      </c>
      <c r="AR337" s="346">
        <v>47.89</v>
      </c>
      <c r="AS337" s="346">
        <v>9.4</v>
      </c>
      <c r="AT337" s="346">
        <v>46.42</v>
      </c>
      <c r="AU337" s="346">
        <v>9.6</v>
      </c>
      <c r="AV337" s="346" t="s">
        <v>5414</v>
      </c>
      <c r="AW337" s="346" t="s">
        <v>24</v>
      </c>
      <c r="AX337" s="346" t="s">
        <v>24</v>
      </c>
      <c r="AY337" s="346" t="s">
        <v>2423</v>
      </c>
      <c r="AZ337" s="346" t="s">
        <v>3835</v>
      </c>
      <c r="BA337" s="346" t="s">
        <v>5209</v>
      </c>
      <c r="BB337" s="598"/>
      <c r="BC337" s="598"/>
      <c r="BD337" s="184"/>
      <c r="BE337" s="184"/>
      <c r="BF337" s="184" t="s">
        <v>4727</v>
      </c>
      <c r="BG337" s="184"/>
      <c r="BH337" s="184"/>
      <c r="BI337" s="184" t="s">
        <v>4727</v>
      </c>
      <c r="BJ337" s="184">
        <v>1</v>
      </c>
      <c r="BK337" s="184"/>
      <c r="BL337" s="184" t="s">
        <v>4727</v>
      </c>
      <c r="BM337" s="184"/>
      <c r="BN337" s="184" t="s">
        <v>4727</v>
      </c>
      <c r="BO337" s="184"/>
      <c r="BP337" s="184"/>
      <c r="BQ337" s="600" t="s">
        <v>5398</v>
      </c>
      <c r="BR337" s="185" t="s">
        <v>6611</v>
      </c>
      <c r="BS337" s="660"/>
      <c r="BT337" s="186" t="s">
        <v>1876</v>
      </c>
      <c r="BU337" s="186" t="s">
        <v>5396</v>
      </c>
      <c r="BV337" s="186" t="s">
        <v>5397</v>
      </c>
      <c r="BW337" s="186" t="s">
        <v>24</v>
      </c>
      <c r="BX337" s="186" t="s">
        <v>5401</v>
      </c>
      <c r="BY337" s="186"/>
      <c r="BZ337" s="261" t="s">
        <v>5430</v>
      </c>
      <c r="CA337" s="620" t="s">
        <v>6630</v>
      </c>
      <c r="CB337" s="267" t="s">
        <v>5402</v>
      </c>
      <c r="CC337" s="186">
        <v>46.49</v>
      </c>
      <c r="CD337" s="186">
        <v>10.199999999999999</v>
      </c>
      <c r="CE337" s="186" t="s">
        <v>24</v>
      </c>
      <c r="CF337" s="267" t="s">
        <v>5403</v>
      </c>
      <c r="CG337" s="186">
        <v>52.26</v>
      </c>
      <c r="CH337" s="186">
        <v>9.36</v>
      </c>
      <c r="CI337" s="186" t="s">
        <v>24</v>
      </c>
      <c r="CJ337" s="294" t="s">
        <v>5415</v>
      </c>
      <c r="CK337" s="295" t="s">
        <v>5416</v>
      </c>
      <c r="CL337" s="267" t="s">
        <v>5404</v>
      </c>
      <c r="CM337" s="186">
        <v>5.84</v>
      </c>
      <c r="CN337" s="186">
        <v>1.89</v>
      </c>
      <c r="CO337" s="186" t="s">
        <v>24</v>
      </c>
      <c r="CP337" s="267" t="s">
        <v>5405</v>
      </c>
      <c r="CQ337" s="186">
        <v>7.55</v>
      </c>
      <c r="CR337" s="186">
        <v>1.82</v>
      </c>
      <c r="CS337" s="186" t="s">
        <v>24</v>
      </c>
      <c r="CT337" s="294" t="s">
        <v>5417</v>
      </c>
      <c r="CU337" s="295" t="s">
        <v>5418</v>
      </c>
      <c r="CV337" s="280" t="s">
        <v>5419</v>
      </c>
      <c r="CW337" s="310" t="s">
        <v>5420</v>
      </c>
      <c r="CX337" s="267" t="s">
        <v>5406</v>
      </c>
      <c r="CY337" s="186">
        <v>10.92</v>
      </c>
      <c r="CZ337" s="186">
        <v>2.63</v>
      </c>
      <c r="DA337" s="186" t="s">
        <v>24</v>
      </c>
      <c r="DB337" s="267" t="s">
        <v>5407</v>
      </c>
      <c r="DC337" s="186">
        <v>11.1</v>
      </c>
      <c r="DD337" s="186">
        <v>2.84</v>
      </c>
      <c r="DE337" s="186" t="s">
        <v>24</v>
      </c>
      <c r="DF337" s="305" t="s">
        <v>5421</v>
      </c>
      <c r="DG337" s="315" t="s">
        <v>5422</v>
      </c>
      <c r="DH337" s="186" t="s">
        <v>5408</v>
      </c>
      <c r="DI337" s="186">
        <v>45.34</v>
      </c>
      <c r="DJ337" s="186">
        <v>10.199999999999999</v>
      </c>
      <c r="DK337" s="186" t="s">
        <v>24</v>
      </c>
      <c r="DL337" s="186" t="s">
        <v>5409</v>
      </c>
      <c r="DM337" s="186">
        <v>49.68</v>
      </c>
      <c r="DN337" s="186">
        <v>8</v>
      </c>
      <c r="DO337" s="186" t="s">
        <v>24</v>
      </c>
      <c r="DP337" s="305" t="s">
        <v>5423</v>
      </c>
      <c r="DQ337" s="315" t="s">
        <v>5424</v>
      </c>
      <c r="DR337" s="280" t="s">
        <v>24</v>
      </c>
      <c r="DS337" s="281" t="s">
        <v>24</v>
      </c>
      <c r="DT337" s="186" t="s">
        <v>5410</v>
      </c>
      <c r="DU337" s="186">
        <v>27.91</v>
      </c>
      <c r="DV337" s="186">
        <v>7.73</v>
      </c>
      <c r="DW337" s="186" t="s">
        <v>24</v>
      </c>
      <c r="DX337" s="186" t="s">
        <v>5411</v>
      </c>
      <c r="DY337" s="186">
        <v>32.81</v>
      </c>
      <c r="DZ337" s="186">
        <v>5.77</v>
      </c>
      <c r="EA337" s="186"/>
      <c r="EB337" s="315" t="s">
        <v>5379</v>
      </c>
      <c r="EC337" s="315" t="s">
        <v>5425</v>
      </c>
      <c r="ED337" s="186" t="s">
        <v>5412</v>
      </c>
      <c r="EE337" s="186">
        <v>85.16</v>
      </c>
      <c r="EF337" s="186">
        <v>10.3</v>
      </c>
      <c r="EG337" s="186"/>
      <c r="EH337" s="186" t="s">
        <v>5413</v>
      </c>
      <c r="EI337" s="186">
        <v>91.35</v>
      </c>
      <c r="EJ337" s="186">
        <v>6.5</v>
      </c>
      <c r="EK337" s="186" t="s">
        <v>24</v>
      </c>
      <c r="EL337" s="315" t="s">
        <v>5379</v>
      </c>
      <c r="EM337" s="315" t="s">
        <v>5428</v>
      </c>
      <c r="EN337" s="281" t="s">
        <v>5429</v>
      </c>
      <c r="EO337" s="186" t="s">
        <v>24</v>
      </c>
      <c r="EP337" s="186" t="s">
        <v>24</v>
      </c>
      <c r="EQ337" s="186" t="s">
        <v>24</v>
      </c>
      <c r="ER337" s="186" t="s">
        <v>24</v>
      </c>
      <c r="ES337" s="186" t="s">
        <v>24</v>
      </c>
      <c r="ET337" s="186" t="s">
        <v>24</v>
      </c>
      <c r="EU337" s="186" t="s">
        <v>24</v>
      </c>
      <c r="EV337" s="186" t="s">
        <v>24</v>
      </c>
      <c r="EW337" s="315"/>
      <c r="EX337" s="315"/>
      <c r="EY337" s="186"/>
      <c r="EZ337" s="186"/>
      <c r="FA337" s="186"/>
      <c r="FB337" s="186"/>
      <c r="FC337" s="186"/>
      <c r="FD337" s="186"/>
      <c r="FE337" s="186"/>
      <c r="FF337" s="186"/>
      <c r="FG337" s="187"/>
      <c r="FH337" s="187"/>
      <c r="FI337" s="186"/>
      <c r="FJ337" s="186"/>
      <c r="FK337" s="186"/>
      <c r="FL337" s="186"/>
      <c r="FM337" s="186"/>
      <c r="FN337" s="186"/>
      <c r="FO337" s="186"/>
      <c r="FP337" s="186"/>
      <c r="FQ337" s="187"/>
      <c r="FR337" s="187"/>
      <c r="FS337" s="186"/>
      <c r="FT337" s="186"/>
      <c r="FU337" s="186"/>
      <c r="FV337" s="186"/>
      <c r="FW337" s="186"/>
      <c r="FX337" s="186"/>
      <c r="FY337" s="186"/>
      <c r="FZ337" s="186"/>
      <c r="GA337" s="187"/>
      <c r="GB337" s="187"/>
      <c r="GC337" s="186"/>
      <c r="GD337" s="186"/>
      <c r="GE337" s="186"/>
      <c r="GF337" s="186"/>
      <c r="GG337" s="186"/>
      <c r="GH337" s="186"/>
      <c r="GI337" s="186"/>
      <c r="GJ337" s="186"/>
      <c r="GK337" s="187"/>
      <c r="GL337" s="187"/>
      <c r="GM337" s="186"/>
      <c r="GN337" s="186"/>
      <c r="GO337" s="186"/>
      <c r="GP337" s="186"/>
      <c r="GQ337" s="186"/>
      <c r="GR337" s="186"/>
      <c r="GS337" s="186"/>
      <c r="GT337" s="186"/>
      <c r="GU337" s="187"/>
      <c r="GV337" s="187"/>
      <c r="GW337" s="134"/>
      <c r="GX337" s="134"/>
      <c r="GY337" s="134"/>
      <c r="GZ337" s="134"/>
      <c r="HA337" s="134"/>
      <c r="HB337" s="134"/>
      <c r="HC337" s="134"/>
      <c r="HD337" s="134"/>
      <c r="HE337" s="135"/>
      <c r="HF337" s="135"/>
      <c r="HG337" s="134"/>
      <c r="HH337" s="134"/>
      <c r="HI337" s="134"/>
      <c r="HJ337" s="134"/>
      <c r="HK337" s="134"/>
      <c r="HL337" s="134"/>
      <c r="HM337" s="134"/>
      <c r="HN337" s="134"/>
      <c r="HO337" s="135"/>
      <c r="HP337" s="135"/>
      <c r="HQ337" s="134"/>
      <c r="HR337" s="134"/>
      <c r="HS337" s="134"/>
      <c r="HT337" s="134"/>
      <c r="HU337" s="134"/>
      <c r="HV337" s="134"/>
      <c r="HW337" s="134"/>
      <c r="HX337" s="134"/>
      <c r="HY337" s="135"/>
      <c r="HZ337" s="135"/>
      <c r="IA337" s="134"/>
      <c r="IB337" s="134"/>
      <c r="IC337" s="134"/>
      <c r="ID337" s="134"/>
      <c r="IE337" s="134"/>
      <c r="IF337" s="134"/>
      <c r="IG337" s="134"/>
      <c r="IH337" s="134"/>
      <c r="II337" s="135"/>
      <c r="IJ337" s="135"/>
      <c r="IK337" s="134"/>
      <c r="IL337" s="134"/>
      <c r="IM337" s="134"/>
      <c r="IN337" s="134"/>
      <c r="IO337" s="134"/>
      <c r="IP337" s="134"/>
      <c r="IQ337" s="134"/>
      <c r="IR337" s="134"/>
      <c r="IS337" s="135"/>
      <c r="IT337" s="135"/>
      <c r="IU337" s="134"/>
      <c r="IV337" s="134"/>
      <c r="IW337" s="134"/>
      <c r="IX337" s="134"/>
      <c r="IY337" s="134"/>
      <c r="IZ337" s="134"/>
      <c r="JA337" s="134"/>
      <c r="JB337" s="134"/>
      <c r="JC337" s="135"/>
      <c r="JD337" s="135"/>
    </row>
    <row r="338" spans="1:264" customFormat="1" ht="15" customHeight="1">
      <c r="A338" s="118" t="s">
        <v>280</v>
      </c>
      <c r="B338" s="616">
        <v>200</v>
      </c>
      <c r="C338" s="616">
        <v>70</v>
      </c>
      <c r="D338" s="616"/>
      <c r="E338" s="605" t="s">
        <v>2009</v>
      </c>
      <c r="F338" s="140" t="s">
        <v>2241</v>
      </c>
      <c r="G338" s="141">
        <v>2006</v>
      </c>
      <c r="H338" s="118">
        <v>17100516</v>
      </c>
      <c r="I338" s="118">
        <v>1</v>
      </c>
      <c r="J338" s="118"/>
      <c r="K338" s="118"/>
      <c r="L338" s="118">
        <v>1</v>
      </c>
      <c r="M338" s="118"/>
      <c r="N338" s="118">
        <v>1</v>
      </c>
      <c r="O338" s="142">
        <v>1</v>
      </c>
      <c r="P338" s="118" t="s">
        <v>735</v>
      </c>
      <c r="Q338" s="118" t="s">
        <v>1154</v>
      </c>
      <c r="R338" s="118" t="s">
        <v>736</v>
      </c>
      <c r="S338" s="118">
        <v>1</v>
      </c>
      <c r="T338" s="118"/>
      <c r="U338" s="118"/>
      <c r="V338" s="118"/>
      <c r="W338" s="118" t="s">
        <v>492</v>
      </c>
      <c r="X338" s="118" t="s">
        <v>24</v>
      </c>
      <c r="Y338" s="118" t="s">
        <v>24</v>
      </c>
      <c r="Z338" s="118" t="s">
        <v>737</v>
      </c>
      <c r="AA338" s="118"/>
      <c r="AB338" s="118"/>
      <c r="AC338" s="145"/>
      <c r="AD338" s="573">
        <v>1</v>
      </c>
      <c r="AE338" s="573">
        <v>2</v>
      </c>
      <c r="AF338" s="159">
        <v>1</v>
      </c>
      <c r="AG338" s="160"/>
      <c r="AH338" s="122">
        <v>2</v>
      </c>
      <c r="AI338" s="485" t="s">
        <v>5427</v>
      </c>
      <c r="AJ338" s="204" t="s">
        <v>5394</v>
      </c>
      <c r="AK338" s="192">
        <v>1</v>
      </c>
      <c r="AL338" s="205" t="s">
        <v>24</v>
      </c>
      <c r="AM338" s="122">
        <f>Table668[[#This Row],[Data_Subjects_n_ptsd]]+Table668[[#This Row],[Data_Subjects_n_control]]</f>
        <v>68</v>
      </c>
      <c r="AN338" s="122">
        <v>37</v>
      </c>
      <c r="AO338" s="122">
        <v>31</v>
      </c>
      <c r="AP338" s="122" t="s">
        <v>5395</v>
      </c>
      <c r="AQ338" s="122" t="s">
        <v>5395</v>
      </c>
      <c r="AR338" s="122">
        <v>47.89</v>
      </c>
      <c r="AS338" s="122">
        <v>9.4</v>
      </c>
      <c r="AT338" s="122">
        <v>46.42</v>
      </c>
      <c r="AU338" s="122">
        <v>9.6</v>
      </c>
      <c r="AV338" s="122" t="s">
        <v>5414</v>
      </c>
      <c r="AW338" s="122" t="s">
        <v>24</v>
      </c>
      <c r="AX338" s="122" t="s">
        <v>24</v>
      </c>
      <c r="AY338" s="122" t="s">
        <v>2423</v>
      </c>
      <c r="AZ338" s="122" t="s">
        <v>3835</v>
      </c>
      <c r="BA338" s="122" t="s">
        <v>5209</v>
      </c>
      <c r="BB338" s="588"/>
      <c r="BC338" s="588"/>
      <c r="BD338" s="161"/>
      <c r="BE338" s="161"/>
      <c r="BF338" s="161" t="s">
        <v>4727</v>
      </c>
      <c r="BG338" s="161"/>
      <c r="BH338" s="161"/>
      <c r="BI338" s="161" t="s">
        <v>4727</v>
      </c>
      <c r="BJ338" s="161">
        <v>1</v>
      </c>
      <c r="BK338" s="161"/>
      <c r="BL338" s="161" t="s">
        <v>4727</v>
      </c>
      <c r="BM338" s="161"/>
      <c r="BN338" s="161" t="s">
        <v>4727</v>
      </c>
      <c r="BO338" s="161"/>
      <c r="BP338" s="161"/>
      <c r="BQ338" s="596" t="s">
        <v>5399</v>
      </c>
      <c r="BR338" s="162" t="s">
        <v>6621</v>
      </c>
      <c r="BS338" s="660"/>
      <c r="BT338" s="150" t="s">
        <v>1876</v>
      </c>
      <c r="BU338" s="150" t="s">
        <v>5396</v>
      </c>
      <c r="BV338" s="150" t="s">
        <v>5400</v>
      </c>
      <c r="BW338" s="150" t="s">
        <v>24</v>
      </c>
      <c r="BX338" s="150" t="s">
        <v>5431</v>
      </c>
      <c r="BY338" s="150"/>
      <c r="BZ338" s="258" t="s">
        <v>5441</v>
      </c>
      <c r="CA338" s="257">
        <v>0</v>
      </c>
      <c r="CB338" s="151" t="s">
        <v>5432</v>
      </c>
      <c r="CC338" s="150">
        <v>20.59</v>
      </c>
      <c r="CD338" s="150">
        <v>3.7</v>
      </c>
      <c r="CE338" s="150" t="s">
        <v>24</v>
      </c>
      <c r="CF338" s="151" t="s">
        <v>5433</v>
      </c>
      <c r="CG338" s="150">
        <v>20.55</v>
      </c>
      <c r="CH338" s="150">
        <v>14.9</v>
      </c>
      <c r="CI338" s="150" t="s">
        <v>24</v>
      </c>
      <c r="CJ338" s="290" t="s">
        <v>5436</v>
      </c>
      <c r="CK338" s="291" t="s">
        <v>5437</v>
      </c>
      <c r="CL338" s="151" t="s">
        <v>5434</v>
      </c>
      <c r="CM338" s="150">
        <v>20.59</v>
      </c>
      <c r="CN338" s="150">
        <v>4.3</v>
      </c>
      <c r="CO338" s="150" t="s">
        <v>24</v>
      </c>
      <c r="CP338" s="151" t="s">
        <v>5435</v>
      </c>
      <c r="CQ338" s="150">
        <v>20.77</v>
      </c>
      <c r="CR338" s="150">
        <v>4.7</v>
      </c>
      <c r="CS338" s="150" t="s">
        <v>24</v>
      </c>
      <c r="CT338" s="290" t="s">
        <v>5438</v>
      </c>
      <c r="CU338" s="291" t="s">
        <v>5439</v>
      </c>
      <c r="CV338" s="278" t="s">
        <v>5440</v>
      </c>
      <c r="CW338" s="285" t="s">
        <v>5354</v>
      </c>
      <c r="CX338" s="151" t="s">
        <v>24</v>
      </c>
      <c r="CY338" s="150"/>
      <c r="CZ338" s="150"/>
      <c r="DA338" s="150"/>
      <c r="DB338" s="150"/>
      <c r="DC338" s="150"/>
      <c r="DD338" s="150"/>
      <c r="DE338" s="150"/>
      <c r="DF338" s="302"/>
      <c r="DG338" s="303"/>
      <c r="DH338" s="150"/>
      <c r="DI338" s="150"/>
      <c r="DJ338" s="150"/>
      <c r="DK338" s="150"/>
      <c r="DL338" s="150"/>
      <c r="DM338" s="150"/>
      <c r="DN338" s="150"/>
      <c r="DO338" s="150"/>
      <c r="DP338" s="302"/>
      <c r="DQ338" s="303"/>
      <c r="DR338" s="278"/>
      <c r="DS338" s="279"/>
      <c r="DT338" s="150"/>
      <c r="DU338" s="150"/>
      <c r="DV338" s="150"/>
      <c r="DW338" s="150"/>
      <c r="DX338" s="151"/>
      <c r="DY338" s="150"/>
      <c r="DZ338" s="150"/>
      <c r="EA338" s="150"/>
      <c r="EB338" s="303"/>
      <c r="EC338" s="303"/>
      <c r="ED338" s="151"/>
      <c r="EE338" s="150"/>
      <c r="EF338" s="150"/>
      <c r="EG338" s="150"/>
      <c r="EH338" s="151"/>
      <c r="EI338" s="150"/>
      <c r="EJ338" s="150"/>
      <c r="EK338" s="150"/>
      <c r="EL338" s="303"/>
      <c r="EM338" s="303"/>
      <c r="EN338" s="279"/>
      <c r="EO338" s="150"/>
      <c r="EP338" s="150"/>
      <c r="EQ338" s="150"/>
      <c r="ER338" s="150"/>
      <c r="ES338" s="150"/>
      <c r="ET338" s="150"/>
      <c r="EU338" s="150"/>
      <c r="EV338" s="150"/>
      <c r="EW338" s="303"/>
      <c r="EX338" s="303"/>
      <c r="EY338" s="150"/>
      <c r="EZ338" s="150"/>
      <c r="FA338" s="150"/>
      <c r="FB338" s="150"/>
      <c r="FC338" s="150"/>
      <c r="FD338" s="150"/>
      <c r="FE338" s="150"/>
      <c r="FF338" s="150"/>
      <c r="FG338" s="152"/>
      <c r="FH338" s="152"/>
      <c r="FI338" s="150"/>
      <c r="FJ338" s="150"/>
      <c r="FK338" s="150"/>
      <c r="FL338" s="150"/>
      <c r="FM338" s="150"/>
      <c r="FN338" s="150"/>
      <c r="FO338" s="150"/>
      <c r="FP338" s="150"/>
      <c r="FQ338" s="152"/>
      <c r="FR338" s="152"/>
      <c r="FS338" s="150"/>
      <c r="FT338" s="150"/>
      <c r="FU338" s="150"/>
      <c r="FV338" s="150"/>
      <c r="FW338" s="150"/>
      <c r="FX338" s="150"/>
      <c r="FY338" s="150"/>
      <c r="FZ338" s="150"/>
      <c r="GA338" s="152"/>
      <c r="GB338" s="152"/>
      <c r="GC338" s="150"/>
      <c r="GD338" s="150"/>
      <c r="GE338" s="150"/>
      <c r="GF338" s="150"/>
      <c r="GG338" s="150"/>
      <c r="GH338" s="150"/>
      <c r="GI338" s="150"/>
      <c r="GJ338" s="150"/>
      <c r="GK338" s="152"/>
      <c r="GL338" s="152"/>
      <c r="GM338" s="150"/>
      <c r="GN338" s="150"/>
      <c r="GO338" s="150"/>
      <c r="GP338" s="150"/>
      <c r="GQ338" s="150"/>
      <c r="GR338" s="150"/>
      <c r="GS338" s="150"/>
      <c r="GT338" s="150"/>
      <c r="GU338" s="152"/>
      <c r="GV338" s="152"/>
      <c r="GW338" s="134"/>
      <c r="GX338" s="134"/>
      <c r="GY338" s="134"/>
      <c r="GZ338" s="134"/>
      <c r="HA338" s="134"/>
      <c r="HB338" s="134"/>
      <c r="HC338" s="134"/>
      <c r="HD338" s="134"/>
      <c r="HE338" s="135"/>
      <c r="HF338" s="135"/>
      <c r="HG338" s="134"/>
      <c r="HH338" s="134"/>
      <c r="HI338" s="134"/>
      <c r="HJ338" s="134"/>
      <c r="HK338" s="134"/>
      <c r="HL338" s="134"/>
      <c r="HM338" s="134"/>
      <c r="HN338" s="134"/>
      <c r="HO338" s="135"/>
      <c r="HP338" s="135"/>
      <c r="HQ338" s="134"/>
      <c r="HR338" s="134"/>
      <c r="HS338" s="134"/>
      <c r="HT338" s="134"/>
      <c r="HU338" s="134"/>
      <c r="HV338" s="134"/>
      <c r="HW338" s="134"/>
      <c r="HX338" s="134"/>
      <c r="HY338" s="135"/>
      <c r="HZ338" s="135"/>
      <c r="IA338" s="134"/>
      <c r="IB338" s="134"/>
      <c r="IC338" s="134"/>
      <c r="ID338" s="134"/>
      <c r="IE338" s="134"/>
      <c r="IF338" s="134"/>
      <c r="IG338" s="134"/>
      <c r="IH338" s="134"/>
      <c r="II338" s="135"/>
      <c r="IJ338" s="135"/>
      <c r="IK338" s="134"/>
      <c r="IL338" s="134"/>
      <c r="IM338" s="134"/>
      <c r="IN338" s="134"/>
      <c r="IO338" s="134"/>
      <c r="IP338" s="134"/>
      <c r="IQ338" s="134"/>
      <c r="IR338" s="134"/>
      <c r="IS338" s="135"/>
      <c r="IT338" s="135"/>
      <c r="IU338" s="134"/>
      <c r="IV338" s="134"/>
      <c r="IW338" s="134"/>
      <c r="IX338" s="134"/>
      <c r="IY338" s="134"/>
      <c r="IZ338" s="134"/>
      <c r="JA338" s="134"/>
      <c r="JB338" s="134"/>
      <c r="JC338" s="135"/>
      <c r="JD338" s="135"/>
    </row>
    <row r="339" spans="1:264" customFormat="1" ht="15" customHeight="1">
      <c r="A339" s="79" t="s">
        <v>281</v>
      </c>
      <c r="B339" s="362">
        <v>201</v>
      </c>
      <c r="C339" s="362">
        <v>71</v>
      </c>
      <c r="D339" s="362"/>
      <c r="E339" s="604" t="s">
        <v>2010</v>
      </c>
      <c r="F339" s="124" t="s">
        <v>2242</v>
      </c>
      <c r="G339" s="125">
        <v>2008</v>
      </c>
      <c r="H339" s="79">
        <v>18498263</v>
      </c>
      <c r="I339" s="79">
        <v>1</v>
      </c>
      <c r="J339" s="126" t="s">
        <v>1780</v>
      </c>
      <c r="K339" s="127" t="s">
        <v>1764</v>
      </c>
      <c r="L339" s="164">
        <v>0</v>
      </c>
      <c r="M339" s="79" t="s">
        <v>1751</v>
      </c>
      <c r="N339" s="79">
        <v>1</v>
      </c>
      <c r="O339" s="128">
        <v>1</v>
      </c>
      <c r="P339" s="79" t="s">
        <v>739</v>
      </c>
      <c r="Q339" s="79" t="s">
        <v>1147</v>
      </c>
      <c r="R339" s="79" t="s">
        <v>736</v>
      </c>
      <c r="S339" s="79">
        <v>1</v>
      </c>
      <c r="T339" s="79"/>
      <c r="U339" s="79"/>
      <c r="V339" s="79"/>
      <c r="W339" s="79" t="s">
        <v>738</v>
      </c>
      <c r="X339" s="79"/>
      <c r="Y339" s="79"/>
      <c r="Z339" s="79"/>
      <c r="AA339" s="79"/>
      <c r="AB339" s="79"/>
      <c r="AC339" s="506"/>
      <c r="AD339" s="573">
        <v>1</v>
      </c>
      <c r="AE339" s="573">
        <v>2</v>
      </c>
      <c r="AF339" s="154">
        <v>1</v>
      </c>
      <c r="AG339" s="155" t="s">
        <v>5455</v>
      </c>
      <c r="AH339" s="121">
        <v>2</v>
      </c>
      <c r="AI339" s="484" t="s">
        <v>5454</v>
      </c>
      <c r="AJ339" s="202" t="s">
        <v>5444</v>
      </c>
      <c r="AK339" s="192">
        <v>1</v>
      </c>
      <c r="AL339" s="203" t="s">
        <v>24</v>
      </c>
      <c r="AM339" s="121">
        <v>79</v>
      </c>
      <c r="AN339" s="121">
        <v>45</v>
      </c>
      <c r="AO339" s="121">
        <v>34</v>
      </c>
      <c r="AP339" s="121" t="s">
        <v>5447</v>
      </c>
      <c r="AQ339" s="121" t="s">
        <v>5447</v>
      </c>
      <c r="AR339" s="121" t="s">
        <v>5448</v>
      </c>
      <c r="AS339" s="121" t="s">
        <v>24</v>
      </c>
      <c r="AT339" s="121" t="s">
        <v>5448</v>
      </c>
      <c r="AU339" s="121" t="s">
        <v>24</v>
      </c>
      <c r="AV339" s="121" t="s">
        <v>5442</v>
      </c>
      <c r="AW339" s="121" t="s">
        <v>24</v>
      </c>
      <c r="AX339" s="121" t="s">
        <v>24</v>
      </c>
      <c r="AY339" s="121" t="s">
        <v>2423</v>
      </c>
      <c r="AZ339" s="121" t="s">
        <v>3835</v>
      </c>
      <c r="BA339" s="121" t="s">
        <v>5443</v>
      </c>
      <c r="BB339" s="594"/>
      <c r="BC339" s="594"/>
      <c r="BD339" s="156"/>
      <c r="BE339" s="156"/>
      <c r="BF339" s="156"/>
      <c r="BG339" s="156"/>
      <c r="BH339" s="156"/>
      <c r="BI339" s="156"/>
      <c r="BJ339" s="156">
        <v>1</v>
      </c>
      <c r="BK339" s="156"/>
      <c r="BL339" s="156"/>
      <c r="BM339" s="156"/>
      <c r="BN339" s="156"/>
      <c r="BO339" s="156"/>
      <c r="BP339" s="156"/>
      <c r="BQ339" s="595" t="s">
        <v>4721</v>
      </c>
      <c r="BR339" s="157" t="s">
        <v>6615</v>
      </c>
      <c r="BS339" s="660"/>
      <c r="BT339" s="134" t="s">
        <v>1876</v>
      </c>
      <c r="BU339" s="134">
        <v>2</v>
      </c>
      <c r="BV339" s="134" t="s">
        <v>5445</v>
      </c>
      <c r="BW339" s="134" t="s">
        <v>24</v>
      </c>
      <c r="BX339" s="134" t="s">
        <v>5446</v>
      </c>
      <c r="BY339" s="134"/>
      <c r="BZ339" s="259" t="s">
        <v>5453</v>
      </c>
      <c r="CA339" s="454" t="s">
        <v>24</v>
      </c>
      <c r="CB339" s="138" t="s">
        <v>5449</v>
      </c>
      <c r="CC339" s="134">
        <v>15.755000000000001</v>
      </c>
      <c r="CD339" s="134">
        <v>4.7149999999999999</v>
      </c>
      <c r="CE339" s="134" t="s">
        <v>24</v>
      </c>
      <c r="CF339" s="138" t="s">
        <v>5450</v>
      </c>
      <c r="CG339" s="134">
        <v>22.823</v>
      </c>
      <c r="CH339" s="134">
        <v>1.07</v>
      </c>
      <c r="CI339" s="134" t="s">
        <v>24</v>
      </c>
      <c r="CJ339" s="288" t="s">
        <v>5451</v>
      </c>
      <c r="CK339" s="289" t="s">
        <v>5452</v>
      </c>
      <c r="CL339" s="138" t="s">
        <v>24</v>
      </c>
      <c r="CM339" s="134" t="s">
        <v>24</v>
      </c>
      <c r="CN339" s="134" t="s">
        <v>24</v>
      </c>
      <c r="CO339" s="134" t="s">
        <v>24</v>
      </c>
      <c r="CP339" s="134" t="s">
        <v>24</v>
      </c>
      <c r="CQ339" s="134" t="s">
        <v>24</v>
      </c>
      <c r="CR339" s="134" t="s">
        <v>24</v>
      </c>
      <c r="CS339" s="134" t="s">
        <v>24</v>
      </c>
      <c r="CT339" s="288"/>
      <c r="CU339" s="289"/>
      <c r="CV339" s="276"/>
      <c r="CW339" s="308"/>
      <c r="CX339" s="138"/>
      <c r="CY339" s="134"/>
      <c r="CZ339" s="134"/>
      <c r="DA339" s="134"/>
      <c r="DB339" s="134"/>
      <c r="DC339" s="134"/>
      <c r="DD339" s="134"/>
      <c r="DE339" s="134"/>
      <c r="DF339" s="300"/>
      <c r="DG339" s="301"/>
      <c r="DH339" s="134"/>
      <c r="DI339" s="134"/>
      <c r="DJ339" s="134"/>
      <c r="DK339" s="134"/>
      <c r="DL339" s="134"/>
      <c r="DM339" s="134"/>
      <c r="DN339" s="134"/>
      <c r="DO339" s="134"/>
      <c r="DP339" s="300"/>
      <c r="DQ339" s="301"/>
      <c r="DR339" s="276"/>
      <c r="DS339" s="277"/>
      <c r="DT339" s="134"/>
      <c r="DU339" s="134"/>
      <c r="DV339" s="134"/>
      <c r="DW339" s="134"/>
      <c r="DX339" s="138"/>
      <c r="DY339" s="134"/>
      <c r="DZ339" s="134"/>
      <c r="EA339" s="134"/>
      <c r="EB339" s="301"/>
      <c r="EC339" s="301"/>
      <c r="ED339" s="138"/>
      <c r="EE339" s="134"/>
      <c r="EF339" s="134"/>
      <c r="EG339" s="134"/>
      <c r="EH339" s="138"/>
      <c r="EI339" s="134"/>
      <c r="EJ339" s="134"/>
      <c r="EK339" s="134"/>
      <c r="EL339" s="301"/>
      <c r="EM339" s="301"/>
      <c r="EN339" s="277"/>
      <c r="EO339" s="134"/>
      <c r="EP339" s="134"/>
      <c r="EQ339" s="134"/>
      <c r="ER339" s="134"/>
      <c r="ES339" s="134"/>
      <c r="ET339" s="134"/>
      <c r="EU339" s="134"/>
      <c r="EV339" s="134"/>
      <c r="EW339" s="301"/>
      <c r="EX339" s="301"/>
      <c r="EY339" s="134"/>
      <c r="EZ339" s="134"/>
      <c r="FA339" s="134"/>
      <c r="FB339" s="134"/>
      <c r="FC339" s="134"/>
      <c r="FD339" s="134"/>
      <c r="FE339" s="134"/>
      <c r="FF339" s="134"/>
      <c r="FG339" s="135"/>
      <c r="FH339" s="135"/>
      <c r="FI339" s="134"/>
      <c r="FJ339" s="134"/>
      <c r="FK339" s="134"/>
      <c r="FL339" s="134"/>
      <c r="FM339" s="134"/>
      <c r="FN339" s="134"/>
      <c r="FO339" s="134"/>
      <c r="FP339" s="134"/>
      <c r="FQ339" s="135"/>
      <c r="FR339" s="135"/>
      <c r="FS339" s="134"/>
      <c r="FT339" s="134"/>
      <c r="FU339" s="134"/>
      <c r="FV339" s="134"/>
      <c r="FW339" s="134"/>
      <c r="FX339" s="134"/>
      <c r="FY339" s="134"/>
      <c r="FZ339" s="134"/>
      <c r="GA339" s="135"/>
      <c r="GB339" s="135"/>
      <c r="GC339" s="134"/>
      <c r="GD339" s="134"/>
      <c r="GE339" s="134"/>
      <c r="GF339" s="134"/>
      <c r="GG339" s="134"/>
      <c r="GH339" s="134"/>
      <c r="GI339" s="134"/>
      <c r="GJ339" s="134"/>
      <c r="GK339" s="135"/>
      <c r="GL339" s="135"/>
      <c r="GM339" s="134"/>
      <c r="GN339" s="134"/>
      <c r="GO339" s="134"/>
      <c r="GP339" s="134"/>
      <c r="GQ339" s="134"/>
      <c r="GR339" s="134"/>
      <c r="GS339" s="134"/>
      <c r="GT339" s="134"/>
      <c r="GU339" s="135"/>
      <c r="GV339" s="135"/>
      <c r="GW339" s="134"/>
      <c r="GX339" s="134"/>
      <c r="GY339" s="134"/>
      <c r="GZ339" s="134"/>
      <c r="HA339" s="134"/>
      <c r="HB339" s="134"/>
      <c r="HC339" s="134"/>
      <c r="HD339" s="134"/>
      <c r="HE339" s="135"/>
      <c r="HF339" s="135"/>
      <c r="HG339" s="134"/>
      <c r="HH339" s="134"/>
      <c r="HI339" s="134"/>
      <c r="HJ339" s="134"/>
      <c r="HK339" s="134"/>
      <c r="HL339" s="134"/>
      <c r="HM339" s="134"/>
      <c r="HN339" s="134"/>
      <c r="HO339" s="135"/>
      <c r="HP339" s="135"/>
      <c r="HQ339" s="134"/>
      <c r="HR339" s="134"/>
      <c r="HS339" s="134"/>
      <c r="HT339" s="134"/>
      <c r="HU339" s="134"/>
      <c r="HV339" s="134"/>
      <c r="HW339" s="134"/>
      <c r="HX339" s="134"/>
      <c r="HY339" s="135"/>
      <c r="HZ339" s="135"/>
      <c r="IA339" s="134"/>
      <c r="IB339" s="134"/>
      <c r="IC339" s="134"/>
      <c r="ID339" s="134"/>
      <c r="IE339" s="134"/>
      <c r="IF339" s="134"/>
      <c r="IG339" s="134"/>
      <c r="IH339" s="134"/>
      <c r="II339" s="135"/>
      <c r="IJ339" s="135"/>
      <c r="IK339" s="134"/>
      <c r="IL339" s="134"/>
      <c r="IM339" s="134"/>
      <c r="IN339" s="134"/>
      <c r="IO339" s="134"/>
      <c r="IP339" s="134"/>
      <c r="IQ339" s="134"/>
      <c r="IR339" s="134"/>
      <c r="IS339" s="135"/>
      <c r="IT339" s="135"/>
      <c r="IU339" s="134"/>
      <c r="IV339" s="134"/>
      <c r="IW339" s="134"/>
      <c r="IX339" s="134"/>
      <c r="IY339" s="134"/>
      <c r="IZ339" s="134"/>
      <c r="JA339" s="134"/>
      <c r="JB339" s="134"/>
      <c r="JC339" s="135"/>
      <c r="JD339" s="135"/>
    </row>
    <row r="340" spans="1:264" customFormat="1" ht="15" customHeight="1">
      <c r="A340" s="79" t="s">
        <v>287</v>
      </c>
      <c r="B340" s="362">
        <v>205</v>
      </c>
      <c r="C340" s="362">
        <v>72</v>
      </c>
      <c r="D340" s="362"/>
      <c r="E340" s="604" t="s">
        <v>2013</v>
      </c>
      <c r="F340" s="124" t="s">
        <v>2245</v>
      </c>
      <c r="G340" s="125">
        <v>2016</v>
      </c>
      <c r="H340" s="79">
        <v>27353125</v>
      </c>
      <c r="I340" s="79">
        <v>1</v>
      </c>
      <c r="J340" s="126"/>
      <c r="K340" s="127"/>
      <c r="L340" s="79">
        <v>1</v>
      </c>
      <c r="M340" s="79"/>
      <c r="N340" s="79">
        <v>1</v>
      </c>
      <c r="O340" s="128">
        <v>1</v>
      </c>
      <c r="P340" s="79" t="s">
        <v>612</v>
      </c>
      <c r="Q340" s="79" t="s">
        <v>1147</v>
      </c>
      <c r="R340" s="79" t="s">
        <v>25</v>
      </c>
      <c r="S340" s="79">
        <v>1</v>
      </c>
      <c r="T340" s="79"/>
      <c r="U340" s="79"/>
      <c r="V340" s="79"/>
      <c r="W340" s="79" t="s">
        <v>750</v>
      </c>
      <c r="X340" s="79"/>
      <c r="Y340" s="79"/>
      <c r="Z340" s="79"/>
      <c r="AA340" s="79"/>
      <c r="AB340" s="79"/>
      <c r="AC340" s="506"/>
      <c r="AD340" s="573">
        <v>1</v>
      </c>
      <c r="AE340" s="573">
        <v>2</v>
      </c>
      <c r="AF340" s="154">
        <v>1</v>
      </c>
      <c r="AG340" s="155"/>
      <c r="AH340" s="121">
        <v>2</v>
      </c>
      <c r="AI340" s="484" t="s">
        <v>5456</v>
      </c>
      <c r="AJ340" s="202" t="s">
        <v>5460</v>
      </c>
      <c r="AK340" s="192">
        <v>1</v>
      </c>
      <c r="AL340" s="203" t="s">
        <v>24</v>
      </c>
      <c r="AM340" s="121">
        <f>Table668[[#This Row],[Data_Subjects_n_ptsd]]+Table668[[#This Row],[Data_Subjects_n_control]]</f>
        <v>78</v>
      </c>
      <c r="AN340" s="121">
        <v>40</v>
      </c>
      <c r="AO340" s="121">
        <v>38</v>
      </c>
      <c r="AP340" s="121" t="s">
        <v>5457</v>
      </c>
      <c r="AQ340" s="121" t="s">
        <v>5458</v>
      </c>
      <c r="AR340" s="121">
        <v>35.200000000000003</v>
      </c>
      <c r="AS340" s="121">
        <v>9.8000000000000007</v>
      </c>
      <c r="AT340" s="121">
        <v>32.9</v>
      </c>
      <c r="AU340" s="121">
        <v>8.9</v>
      </c>
      <c r="AV340" s="121" t="s">
        <v>1874</v>
      </c>
      <c r="AW340" s="121" t="s">
        <v>24</v>
      </c>
      <c r="AX340" s="121" t="s">
        <v>24</v>
      </c>
      <c r="AY340" s="121" t="s">
        <v>2423</v>
      </c>
      <c r="AZ340" s="121" t="s">
        <v>3835</v>
      </c>
      <c r="BA340" s="121" t="s">
        <v>5459</v>
      </c>
      <c r="BB340" s="594"/>
      <c r="BC340" s="594"/>
      <c r="BD340" s="156"/>
      <c r="BE340" s="156"/>
      <c r="BF340" s="156"/>
      <c r="BG340" s="156"/>
      <c r="BH340" s="156"/>
      <c r="BI340" s="156"/>
      <c r="BJ340" s="156">
        <v>1</v>
      </c>
      <c r="BK340" s="156"/>
      <c r="BL340" s="156"/>
      <c r="BM340" s="156"/>
      <c r="BN340" s="156"/>
      <c r="BO340" s="156"/>
      <c r="BP340" s="156"/>
      <c r="BQ340" s="595" t="s">
        <v>5479</v>
      </c>
      <c r="BR340" s="157" t="s">
        <v>6622</v>
      </c>
      <c r="BS340" s="660"/>
      <c r="BT340" s="134" t="s">
        <v>1876</v>
      </c>
      <c r="BU340" s="134">
        <v>2</v>
      </c>
      <c r="BV340" s="134" t="s">
        <v>5475</v>
      </c>
      <c r="BW340" s="134" t="s">
        <v>24</v>
      </c>
      <c r="BX340" s="134" t="s">
        <v>5480</v>
      </c>
      <c r="BY340" s="134"/>
      <c r="BZ340" s="259" t="s">
        <v>5495</v>
      </c>
      <c r="CA340" s="454" t="s">
        <v>6631</v>
      </c>
      <c r="CB340" s="138" t="s">
        <v>5463</v>
      </c>
      <c r="CC340" s="134">
        <v>40.5</v>
      </c>
      <c r="CD340" s="134">
        <v>8</v>
      </c>
      <c r="CE340" s="134" t="s">
        <v>24</v>
      </c>
      <c r="CF340" s="138" t="s">
        <v>5464</v>
      </c>
      <c r="CG340" s="134">
        <v>44.2</v>
      </c>
      <c r="CH340" s="134">
        <v>3.5</v>
      </c>
      <c r="CI340" s="134" t="s">
        <v>24</v>
      </c>
      <c r="CJ340" s="288" t="s">
        <v>4742</v>
      </c>
      <c r="CK340" s="289" t="s">
        <v>5461</v>
      </c>
      <c r="CL340" s="138" t="s">
        <v>5462</v>
      </c>
      <c r="CM340" s="134">
        <v>7.3</v>
      </c>
      <c r="CN340" s="134">
        <v>1.7</v>
      </c>
      <c r="CO340" s="134" t="s">
        <v>24</v>
      </c>
      <c r="CP340" s="138" t="s">
        <v>5465</v>
      </c>
      <c r="CQ340" s="134">
        <v>7.8</v>
      </c>
      <c r="CR340" s="134">
        <v>0.6</v>
      </c>
      <c r="CS340" s="134" t="s">
        <v>24</v>
      </c>
      <c r="CT340" s="288" t="s">
        <v>5468</v>
      </c>
      <c r="CU340" s="289" t="s">
        <v>5469</v>
      </c>
      <c r="CV340" s="276" t="s">
        <v>24</v>
      </c>
      <c r="CW340" s="308" t="s">
        <v>24</v>
      </c>
      <c r="CX340" s="138" t="s">
        <v>5466</v>
      </c>
      <c r="CY340" s="134">
        <v>6.3</v>
      </c>
      <c r="CZ340" s="134">
        <v>1.4</v>
      </c>
      <c r="DA340" s="134" t="s">
        <v>24</v>
      </c>
      <c r="DB340" s="138" t="s">
        <v>5467</v>
      </c>
      <c r="DC340" s="134">
        <v>7</v>
      </c>
      <c r="DD340" s="134">
        <v>1</v>
      </c>
      <c r="DE340" s="134" t="s">
        <v>24</v>
      </c>
      <c r="DF340" s="300" t="s">
        <v>5470</v>
      </c>
      <c r="DG340" s="301" t="s">
        <v>5471</v>
      </c>
      <c r="DH340" s="134" t="s">
        <v>5481</v>
      </c>
      <c r="DI340" s="134">
        <v>0.6</v>
      </c>
      <c r="DJ340" s="134">
        <v>1</v>
      </c>
      <c r="DK340" s="134" t="s">
        <v>24</v>
      </c>
      <c r="DL340" s="134" t="s">
        <v>5485</v>
      </c>
      <c r="DM340" s="134">
        <v>0.2</v>
      </c>
      <c r="DN340" s="134">
        <v>0.5</v>
      </c>
      <c r="DO340" s="134" t="s">
        <v>24</v>
      </c>
      <c r="DP340" s="300" t="s">
        <v>5490</v>
      </c>
      <c r="DQ340" s="300" t="s">
        <v>5489</v>
      </c>
      <c r="DR340" s="276" t="s">
        <v>24</v>
      </c>
      <c r="DS340" s="277" t="s">
        <v>24</v>
      </c>
      <c r="DT340" s="163" t="s">
        <v>5482</v>
      </c>
      <c r="DU340" s="134">
        <v>0.5</v>
      </c>
      <c r="DV340" s="134">
        <v>0.7</v>
      </c>
      <c r="DW340" s="134" t="s">
        <v>24</v>
      </c>
      <c r="DX340" s="163" t="s">
        <v>5486</v>
      </c>
      <c r="DY340" s="134">
        <v>0.2</v>
      </c>
      <c r="DZ340" s="134">
        <v>0.5</v>
      </c>
      <c r="EA340" s="134" t="s">
        <v>24</v>
      </c>
      <c r="EB340" s="301" t="s">
        <v>5379</v>
      </c>
      <c r="EC340" s="301" t="s">
        <v>5491</v>
      </c>
      <c r="ED340" s="121" t="s">
        <v>5483</v>
      </c>
      <c r="EE340" s="134">
        <v>0.4</v>
      </c>
      <c r="EF340" s="134">
        <v>0.6</v>
      </c>
      <c r="EG340" s="134" t="s">
        <v>24</v>
      </c>
      <c r="EH340" s="121" t="s">
        <v>5487</v>
      </c>
      <c r="EI340" s="134">
        <v>0.4</v>
      </c>
      <c r="EJ340" s="134">
        <v>0.6</v>
      </c>
      <c r="EK340" s="480" t="s">
        <v>24</v>
      </c>
      <c r="EL340" s="301" t="s">
        <v>5379</v>
      </c>
      <c r="EM340" s="134" t="s">
        <v>5492</v>
      </c>
      <c r="EN340" s="277" t="s">
        <v>24</v>
      </c>
      <c r="EO340" s="121" t="s">
        <v>5484</v>
      </c>
      <c r="EP340" s="134">
        <v>0.2</v>
      </c>
      <c r="EQ340" s="134">
        <v>0.5</v>
      </c>
      <c r="ER340" s="134" t="s">
        <v>24</v>
      </c>
      <c r="ES340" s="121" t="s">
        <v>5488</v>
      </c>
      <c r="ET340" s="134">
        <v>0.2</v>
      </c>
      <c r="EU340" s="134">
        <v>0.4</v>
      </c>
      <c r="EV340" s="134" t="s">
        <v>24</v>
      </c>
      <c r="EW340" s="301" t="s">
        <v>5379</v>
      </c>
      <c r="EX340" s="301" t="s">
        <v>5493</v>
      </c>
      <c r="EY340" s="134" t="s">
        <v>24</v>
      </c>
      <c r="EZ340" s="134" t="s">
        <v>24</v>
      </c>
      <c r="FA340" s="134" t="s">
        <v>24</v>
      </c>
      <c r="FB340" s="134" t="s">
        <v>24</v>
      </c>
      <c r="FC340" s="134" t="s">
        <v>24</v>
      </c>
      <c r="FD340" s="134" t="s">
        <v>24</v>
      </c>
      <c r="FE340" s="134" t="s">
        <v>24</v>
      </c>
      <c r="FF340" s="134" t="s">
        <v>24</v>
      </c>
      <c r="FG340" s="135"/>
      <c r="FH340" s="135"/>
      <c r="FI340" s="134"/>
      <c r="FJ340" s="134"/>
      <c r="FK340" s="134"/>
      <c r="FL340" s="134"/>
      <c r="FM340" s="134"/>
      <c r="FN340" s="134"/>
      <c r="FO340" s="134"/>
      <c r="FP340" s="134"/>
      <c r="FQ340" s="135"/>
      <c r="FR340" s="135"/>
      <c r="FS340" s="134"/>
      <c r="FT340" s="134"/>
      <c r="FU340" s="134"/>
      <c r="FV340" s="134"/>
      <c r="FW340" s="134"/>
      <c r="FX340" s="134"/>
      <c r="FY340" s="134"/>
      <c r="FZ340" s="134"/>
      <c r="GA340" s="135"/>
      <c r="GB340" s="135"/>
      <c r="GC340" s="134"/>
      <c r="GD340" s="134"/>
      <c r="GE340" s="134"/>
      <c r="GF340" s="134"/>
      <c r="GG340" s="134"/>
      <c r="GH340" s="134"/>
      <c r="GI340" s="134"/>
      <c r="GJ340" s="134"/>
      <c r="GK340" s="135"/>
      <c r="GL340" s="135"/>
      <c r="GM340" s="134"/>
      <c r="GN340" s="134"/>
      <c r="GO340" s="134"/>
      <c r="GP340" s="134"/>
      <c r="GQ340" s="134"/>
      <c r="GR340" s="134"/>
      <c r="GS340" s="134"/>
      <c r="GT340" s="134"/>
      <c r="GU340" s="135"/>
      <c r="GV340" s="135"/>
      <c r="GW340" s="134"/>
      <c r="GX340" s="134"/>
      <c r="GY340" s="134"/>
      <c r="GZ340" s="134"/>
      <c r="HA340" s="134"/>
      <c r="HB340" s="134"/>
      <c r="HC340" s="134"/>
      <c r="HD340" s="134"/>
      <c r="HE340" s="135"/>
      <c r="HF340" s="135"/>
      <c r="HG340" s="134"/>
      <c r="HH340" s="134"/>
      <c r="HI340" s="134"/>
      <c r="HJ340" s="134"/>
      <c r="HK340" s="134"/>
      <c r="HL340" s="134"/>
      <c r="HM340" s="134"/>
      <c r="HN340" s="134"/>
      <c r="HO340" s="135"/>
      <c r="HP340" s="135"/>
      <c r="HQ340" s="134"/>
      <c r="HR340" s="134"/>
      <c r="HS340" s="134"/>
      <c r="HT340" s="134"/>
      <c r="HU340" s="134"/>
      <c r="HV340" s="134"/>
      <c r="HW340" s="134"/>
      <c r="HX340" s="134"/>
      <c r="HY340" s="135"/>
      <c r="HZ340" s="135"/>
      <c r="IA340" s="134"/>
      <c r="IB340" s="134"/>
      <c r="IC340" s="134"/>
      <c r="ID340" s="134"/>
      <c r="IE340" s="134"/>
      <c r="IF340" s="134"/>
      <c r="IG340" s="134"/>
      <c r="IH340" s="134"/>
      <c r="II340" s="135"/>
      <c r="IJ340" s="135"/>
      <c r="IK340" s="134"/>
      <c r="IL340" s="134"/>
      <c r="IM340" s="134"/>
      <c r="IN340" s="134"/>
      <c r="IO340" s="134"/>
      <c r="IP340" s="134"/>
      <c r="IQ340" s="134"/>
      <c r="IR340" s="134"/>
      <c r="IS340" s="135"/>
      <c r="IT340" s="135"/>
      <c r="IU340" s="134"/>
      <c r="IV340" s="134"/>
      <c r="IW340" s="134"/>
      <c r="IX340" s="134"/>
      <c r="IY340" s="134"/>
      <c r="IZ340" s="134"/>
      <c r="JA340" s="134"/>
      <c r="JB340" s="134"/>
      <c r="JC340" s="135"/>
      <c r="JD340" s="135"/>
    </row>
    <row r="341" spans="1:264" customFormat="1" ht="15" customHeight="1">
      <c r="A341" s="118" t="s">
        <v>287</v>
      </c>
      <c r="B341" s="616">
        <v>205</v>
      </c>
      <c r="C341" s="616">
        <v>72</v>
      </c>
      <c r="D341" s="616"/>
      <c r="E341" s="605" t="s">
        <v>2013</v>
      </c>
      <c r="F341" s="140" t="s">
        <v>2245</v>
      </c>
      <c r="G341" s="141">
        <v>2016</v>
      </c>
      <c r="H341" s="118">
        <v>27353125</v>
      </c>
      <c r="I341" s="118">
        <v>1</v>
      </c>
      <c r="J341" s="118"/>
      <c r="K341" s="118"/>
      <c r="L341" s="118">
        <v>1</v>
      </c>
      <c r="M341" s="118"/>
      <c r="N341" s="118">
        <v>1</v>
      </c>
      <c r="O341" s="142">
        <v>1</v>
      </c>
      <c r="P341" s="118" t="s">
        <v>612</v>
      </c>
      <c r="Q341" s="118" t="s">
        <v>1147</v>
      </c>
      <c r="R341" s="118" t="s">
        <v>25</v>
      </c>
      <c r="S341" s="118">
        <v>1</v>
      </c>
      <c r="T341" s="118"/>
      <c r="U341" s="118"/>
      <c r="V341" s="118"/>
      <c r="W341" s="118" t="s">
        <v>750</v>
      </c>
      <c r="X341" s="118"/>
      <c r="Y341" s="118"/>
      <c r="Z341" s="118"/>
      <c r="AA341" s="118"/>
      <c r="AB341" s="118"/>
      <c r="AC341" s="145"/>
      <c r="AD341" s="573">
        <v>1</v>
      </c>
      <c r="AE341" s="573">
        <v>2</v>
      </c>
      <c r="AF341" s="159">
        <v>1</v>
      </c>
      <c r="AG341" s="160"/>
      <c r="AH341" s="122">
        <v>2</v>
      </c>
      <c r="AI341" s="485" t="s">
        <v>5456</v>
      </c>
      <c r="AJ341" s="204" t="s">
        <v>5460</v>
      </c>
      <c r="AK341" s="192">
        <v>1</v>
      </c>
      <c r="AL341" s="205" t="s">
        <v>24</v>
      </c>
      <c r="AM341" s="122">
        <f>Table668[[#This Row],[Data_Subjects_n_ptsd]]+Table668[[#This Row],[Data_Subjects_n_control]]</f>
        <v>78</v>
      </c>
      <c r="AN341" s="122">
        <v>40</v>
      </c>
      <c r="AO341" s="122">
        <v>38</v>
      </c>
      <c r="AP341" s="122" t="s">
        <v>5457</v>
      </c>
      <c r="AQ341" s="122" t="s">
        <v>5458</v>
      </c>
      <c r="AR341" s="122">
        <v>35.200000000000003</v>
      </c>
      <c r="AS341" s="122">
        <v>9.8000000000000007</v>
      </c>
      <c r="AT341" s="122">
        <v>32.9</v>
      </c>
      <c r="AU341" s="122">
        <v>8.9</v>
      </c>
      <c r="AV341" s="122" t="s">
        <v>1874</v>
      </c>
      <c r="AW341" s="122" t="s">
        <v>24</v>
      </c>
      <c r="AX341" s="122" t="s">
        <v>24</v>
      </c>
      <c r="AY341" s="122" t="s">
        <v>2423</v>
      </c>
      <c r="AZ341" s="122" t="s">
        <v>3835</v>
      </c>
      <c r="BA341" s="122" t="s">
        <v>5459</v>
      </c>
      <c r="BB341" s="588"/>
      <c r="BC341" s="588"/>
      <c r="BD341" s="161"/>
      <c r="BE341" s="161"/>
      <c r="BF341" s="161"/>
      <c r="BG341" s="161"/>
      <c r="BH341" s="161"/>
      <c r="BI341" s="161"/>
      <c r="BJ341" s="161">
        <v>1</v>
      </c>
      <c r="BK341" s="161"/>
      <c r="BL341" s="161"/>
      <c r="BM341" s="161"/>
      <c r="BN341" s="161"/>
      <c r="BO341" s="161"/>
      <c r="BP341" s="161"/>
      <c r="BQ341" s="596" t="s">
        <v>5478</v>
      </c>
      <c r="BR341" s="162" t="s">
        <v>6623</v>
      </c>
      <c r="BS341" s="660"/>
      <c r="BT341" s="150" t="s">
        <v>1876</v>
      </c>
      <c r="BU341" s="150">
        <v>2</v>
      </c>
      <c r="BV341" s="150" t="s">
        <v>5476</v>
      </c>
      <c r="BW341" s="150" t="s">
        <v>24</v>
      </c>
      <c r="BX341" s="150" t="s">
        <v>5494</v>
      </c>
      <c r="BY341" s="150"/>
      <c r="BZ341" s="258" t="s">
        <v>5477</v>
      </c>
      <c r="CA341" s="257">
        <v>0</v>
      </c>
      <c r="CB341" s="150" t="s">
        <v>5472</v>
      </c>
      <c r="CC341" s="150">
        <v>7.9</v>
      </c>
      <c r="CD341" s="150">
        <v>0.4</v>
      </c>
      <c r="CE341" s="150" t="s">
        <v>24</v>
      </c>
      <c r="CF341" s="150" t="s">
        <v>5473</v>
      </c>
      <c r="CG341" s="150">
        <v>7.9</v>
      </c>
      <c r="CH341" s="150">
        <v>0.3</v>
      </c>
      <c r="CI341" s="150" t="s">
        <v>24</v>
      </c>
      <c r="CJ341" s="543" t="s">
        <v>5379</v>
      </c>
      <c r="CK341" s="545" t="s">
        <v>5474</v>
      </c>
      <c r="CL341" s="138" t="s">
        <v>24</v>
      </c>
      <c r="CM341" s="134" t="s">
        <v>24</v>
      </c>
      <c r="CN341" s="134" t="s">
        <v>24</v>
      </c>
      <c r="CO341" s="134" t="s">
        <v>24</v>
      </c>
      <c r="CP341" s="134" t="s">
        <v>24</v>
      </c>
      <c r="CQ341" s="134" t="s">
        <v>24</v>
      </c>
      <c r="CR341" s="134" t="s">
        <v>24</v>
      </c>
      <c r="CS341" s="134" t="s">
        <v>24</v>
      </c>
      <c r="CT341" s="290"/>
      <c r="CU341" s="291"/>
      <c r="CV341" s="278"/>
      <c r="CW341" s="285"/>
      <c r="CX341" s="151"/>
      <c r="CY341" s="150"/>
      <c r="CZ341" s="150"/>
      <c r="DA341" s="150"/>
      <c r="DB341" s="151"/>
      <c r="DC341" s="150"/>
      <c r="DD341" s="150"/>
      <c r="DE341" s="150"/>
      <c r="DF341" s="302"/>
      <c r="DG341" s="303"/>
      <c r="DH341" s="649"/>
      <c r="DI341" s="119"/>
      <c r="DJ341" s="150"/>
      <c r="DK341" s="150"/>
      <c r="DL341" s="150"/>
      <c r="DM341" s="150"/>
      <c r="DN341" s="150"/>
      <c r="DO341" s="150"/>
      <c r="DP341" s="302"/>
      <c r="DQ341" s="303"/>
      <c r="DR341" s="278" t="s">
        <v>24</v>
      </c>
      <c r="DS341" s="279" t="s">
        <v>24</v>
      </c>
      <c r="DT341" s="150"/>
      <c r="DU341" s="150"/>
      <c r="DV341" s="150"/>
      <c r="DW341" s="150"/>
      <c r="DX341" s="151"/>
      <c r="DY341" s="150"/>
      <c r="DZ341" s="150"/>
      <c r="EA341" s="150"/>
      <c r="EB341" s="303"/>
      <c r="EC341" s="303"/>
      <c r="ED341" s="151"/>
      <c r="EE341" s="150"/>
      <c r="EF341" s="150"/>
      <c r="EG341" s="150"/>
      <c r="EH341" s="151"/>
      <c r="EI341" s="150"/>
      <c r="EJ341" s="150"/>
      <c r="EK341" s="150"/>
      <c r="EL341" s="303"/>
      <c r="EM341" s="303"/>
      <c r="EN341" s="279"/>
      <c r="EO341" s="150"/>
      <c r="EP341" s="150"/>
      <c r="EQ341" s="150"/>
      <c r="ER341" s="150"/>
      <c r="ES341" s="150"/>
      <c r="ET341" s="150"/>
      <c r="EU341" s="150"/>
      <c r="EV341" s="150"/>
      <c r="EW341" s="303"/>
      <c r="EX341" s="303"/>
      <c r="EY341" s="150"/>
      <c r="EZ341" s="150"/>
      <c r="FA341" s="150"/>
      <c r="FB341" s="150"/>
      <c r="FC341" s="150"/>
      <c r="FD341" s="150"/>
      <c r="FE341" s="150"/>
      <c r="FF341" s="150"/>
      <c r="FG341" s="152"/>
      <c r="FH341" s="152"/>
      <c r="FI341" s="150"/>
      <c r="FJ341" s="150"/>
      <c r="FK341" s="150"/>
      <c r="FL341" s="150"/>
      <c r="FM341" s="150"/>
      <c r="FN341" s="150"/>
      <c r="FO341" s="150"/>
      <c r="FP341" s="150"/>
      <c r="FQ341" s="152"/>
      <c r="FR341" s="152"/>
      <c r="FS341" s="150"/>
      <c r="FT341" s="150"/>
      <c r="FU341" s="150"/>
      <c r="FV341" s="150"/>
      <c r="FW341" s="150"/>
      <c r="FX341" s="150"/>
      <c r="FY341" s="150"/>
      <c r="FZ341" s="150"/>
      <c r="GA341" s="152"/>
      <c r="GB341" s="152"/>
      <c r="GC341" s="150"/>
      <c r="GD341" s="150"/>
      <c r="GE341" s="150"/>
      <c r="GF341" s="150"/>
      <c r="GG341" s="150"/>
      <c r="GH341" s="150"/>
      <c r="GI341" s="150"/>
      <c r="GJ341" s="150"/>
      <c r="GK341" s="152"/>
      <c r="GL341" s="152"/>
      <c r="GM341" s="150"/>
      <c r="GN341" s="150"/>
      <c r="GO341" s="150"/>
      <c r="GP341" s="150"/>
      <c r="GQ341" s="150"/>
      <c r="GR341" s="150"/>
      <c r="GS341" s="150"/>
      <c r="GT341" s="150"/>
      <c r="GU341" s="152"/>
      <c r="GV341" s="152"/>
      <c r="GW341" s="134"/>
      <c r="GX341" s="134"/>
      <c r="GY341" s="134"/>
      <c r="GZ341" s="134"/>
      <c r="HA341" s="134"/>
      <c r="HB341" s="134"/>
      <c r="HC341" s="134"/>
      <c r="HD341" s="134"/>
      <c r="HE341" s="135"/>
      <c r="HF341" s="135"/>
      <c r="HG341" s="134"/>
      <c r="HH341" s="134"/>
      <c r="HI341" s="134"/>
      <c r="HJ341" s="134"/>
      <c r="HK341" s="134"/>
      <c r="HL341" s="134"/>
      <c r="HM341" s="134"/>
      <c r="HN341" s="134"/>
      <c r="HO341" s="135"/>
      <c r="HP341" s="135"/>
      <c r="HQ341" s="134"/>
      <c r="HR341" s="134"/>
      <c r="HS341" s="134"/>
      <c r="HT341" s="134"/>
      <c r="HU341" s="134"/>
      <c r="HV341" s="134"/>
      <c r="HW341" s="134"/>
      <c r="HX341" s="134"/>
      <c r="HY341" s="135"/>
      <c r="HZ341" s="135"/>
      <c r="IA341" s="134"/>
      <c r="IB341" s="134"/>
      <c r="IC341" s="134"/>
      <c r="ID341" s="134"/>
      <c r="IE341" s="134"/>
      <c r="IF341" s="134"/>
      <c r="IG341" s="134"/>
      <c r="IH341" s="134"/>
      <c r="II341" s="135"/>
      <c r="IJ341" s="135"/>
      <c r="IK341" s="134"/>
      <c r="IL341" s="134"/>
      <c r="IM341" s="134"/>
      <c r="IN341" s="134"/>
      <c r="IO341" s="134"/>
      <c r="IP341" s="134"/>
      <c r="IQ341" s="134"/>
      <c r="IR341" s="134"/>
      <c r="IS341" s="135"/>
      <c r="IT341" s="135"/>
      <c r="IU341" s="134"/>
      <c r="IV341" s="134"/>
      <c r="IW341" s="134"/>
      <c r="IX341" s="134"/>
      <c r="IY341" s="134"/>
      <c r="IZ341" s="134"/>
      <c r="JA341" s="134"/>
      <c r="JB341" s="134"/>
      <c r="JC341" s="135"/>
      <c r="JD341" s="135"/>
    </row>
    <row r="342" spans="1:264" customFormat="1" ht="15" customHeight="1">
      <c r="A342" s="79" t="s">
        <v>289</v>
      </c>
      <c r="B342" s="362">
        <v>207</v>
      </c>
      <c r="C342" s="362">
        <v>73</v>
      </c>
      <c r="D342" s="362"/>
      <c r="E342" s="604" t="s">
        <v>2015</v>
      </c>
      <c r="F342" s="124" t="s">
        <v>2247</v>
      </c>
      <c r="G342" s="125">
        <v>2011</v>
      </c>
      <c r="H342" s="79">
        <v>21715297</v>
      </c>
      <c r="I342" s="79">
        <v>1</v>
      </c>
      <c r="J342" s="126"/>
      <c r="K342" s="127"/>
      <c r="L342" s="79">
        <v>1</v>
      </c>
      <c r="M342" s="79"/>
      <c r="N342" s="79">
        <v>1</v>
      </c>
      <c r="O342" s="128">
        <v>1</v>
      </c>
      <c r="P342" s="79" t="s">
        <v>755</v>
      </c>
      <c r="Q342" s="79" t="s">
        <v>1147</v>
      </c>
      <c r="R342" s="79" t="s">
        <v>25</v>
      </c>
      <c r="S342" s="79">
        <v>1</v>
      </c>
      <c r="T342" s="79"/>
      <c r="U342" s="79"/>
      <c r="V342" s="79"/>
      <c r="W342" s="79" t="s">
        <v>756</v>
      </c>
      <c r="X342" s="79" t="s">
        <v>24</v>
      </c>
      <c r="Y342" s="79" t="s">
        <v>757</v>
      </c>
      <c r="Z342" s="79"/>
      <c r="AA342" s="79"/>
      <c r="AB342" s="79"/>
      <c r="AC342" s="506"/>
      <c r="AD342" s="573">
        <v>1</v>
      </c>
      <c r="AE342" s="573">
        <v>2</v>
      </c>
      <c r="AF342" s="233" t="s">
        <v>3003</v>
      </c>
      <c r="AG342" s="234" t="s">
        <v>5511</v>
      </c>
      <c r="AH342" s="121">
        <v>2</v>
      </c>
      <c r="AI342" s="484" t="s">
        <v>5509</v>
      </c>
      <c r="AJ342" s="213" t="s">
        <v>5498</v>
      </c>
      <c r="AK342" s="192">
        <v>0</v>
      </c>
      <c r="AL342" s="203" t="s">
        <v>24</v>
      </c>
      <c r="AM342" s="121">
        <v>416</v>
      </c>
      <c r="AN342" s="121">
        <v>54</v>
      </c>
      <c r="AO342" s="121">
        <f>Table668[[#This Row],[Data_Subjects_n]]-Table668[[#This Row],[Data_Subjects_n_ptsd]]</f>
        <v>362</v>
      </c>
      <c r="AP342" s="121" t="s">
        <v>803</v>
      </c>
      <c r="AQ342" s="121" t="s">
        <v>803</v>
      </c>
      <c r="AR342" s="121" t="s">
        <v>5496</v>
      </c>
      <c r="AS342" s="121" t="s">
        <v>5497</v>
      </c>
      <c r="AT342" s="121" t="s">
        <v>5496</v>
      </c>
      <c r="AU342" s="121" t="s">
        <v>5497</v>
      </c>
      <c r="AV342" s="121" t="s">
        <v>4249</v>
      </c>
      <c r="AW342" s="121" t="s">
        <v>24</v>
      </c>
      <c r="AX342" s="121" t="s">
        <v>24</v>
      </c>
      <c r="AY342" s="121" t="s">
        <v>2423</v>
      </c>
      <c r="AZ342" s="121" t="s">
        <v>3835</v>
      </c>
      <c r="BA342" s="121" t="s">
        <v>5499</v>
      </c>
      <c r="BB342" s="594"/>
      <c r="BC342" s="594"/>
      <c r="BD342" s="156"/>
      <c r="BE342" s="156"/>
      <c r="BF342" s="156"/>
      <c r="BG342" s="156"/>
      <c r="BH342" s="156"/>
      <c r="BI342" s="156" t="s">
        <v>4727</v>
      </c>
      <c r="BJ342" s="156">
        <v>1</v>
      </c>
      <c r="BK342" s="156"/>
      <c r="BL342" s="156"/>
      <c r="BM342" s="156"/>
      <c r="BN342" s="156" t="s">
        <v>4727</v>
      </c>
      <c r="BO342" s="156"/>
      <c r="BP342" s="156"/>
      <c r="BQ342" s="595" t="s">
        <v>5501</v>
      </c>
      <c r="BR342" s="157" t="s">
        <v>6624</v>
      </c>
      <c r="BS342" s="660"/>
      <c r="BT342" s="134" t="s">
        <v>1876</v>
      </c>
      <c r="BU342" s="134" t="s">
        <v>5502</v>
      </c>
      <c r="BV342" s="134" t="s">
        <v>5500</v>
      </c>
      <c r="BW342" s="134" t="s">
        <v>24</v>
      </c>
      <c r="BX342" s="134" t="s">
        <v>5503</v>
      </c>
      <c r="BY342" s="134"/>
      <c r="BZ342" s="259" t="s">
        <v>5506</v>
      </c>
      <c r="CA342" s="454">
        <v>0</v>
      </c>
      <c r="CB342" s="138" t="s">
        <v>5504</v>
      </c>
      <c r="CC342" s="134">
        <v>105</v>
      </c>
      <c r="CD342" s="134" t="s">
        <v>2882</v>
      </c>
      <c r="CE342" s="134" t="s">
        <v>24</v>
      </c>
      <c r="CF342" s="138" t="s">
        <v>5505</v>
      </c>
      <c r="CG342" s="134">
        <v>111</v>
      </c>
      <c r="CH342" s="134" t="s">
        <v>2882</v>
      </c>
      <c r="CI342" s="134" t="s">
        <v>24</v>
      </c>
      <c r="CJ342" s="288" t="s">
        <v>5508</v>
      </c>
      <c r="CK342" s="289" t="s">
        <v>5507</v>
      </c>
      <c r="CL342" s="138" t="s">
        <v>24</v>
      </c>
      <c r="CM342" s="134" t="s">
        <v>24</v>
      </c>
      <c r="CN342" s="134" t="s">
        <v>24</v>
      </c>
      <c r="CO342" s="134" t="s">
        <v>24</v>
      </c>
      <c r="CP342" s="134" t="s">
        <v>24</v>
      </c>
      <c r="CQ342" s="134" t="s">
        <v>24</v>
      </c>
      <c r="CR342" s="134" t="s">
        <v>24</v>
      </c>
      <c r="CS342" s="134" t="s">
        <v>24</v>
      </c>
      <c r="CT342" s="288"/>
      <c r="CU342" s="289"/>
      <c r="CV342" s="276"/>
      <c r="CW342" s="308"/>
      <c r="CX342" s="138"/>
      <c r="CY342" s="134"/>
      <c r="CZ342" s="134"/>
      <c r="DA342" s="134"/>
      <c r="DB342" s="134"/>
      <c r="DC342" s="134"/>
      <c r="DD342" s="134"/>
      <c r="DE342" s="134"/>
      <c r="DF342" s="300"/>
      <c r="DG342" s="301"/>
      <c r="DH342" s="3"/>
      <c r="DI342" s="3"/>
      <c r="DJ342" s="168"/>
      <c r="DK342" s="134"/>
      <c r="DL342" s="168"/>
      <c r="DM342" s="134"/>
      <c r="DN342" s="168"/>
      <c r="DO342" s="134"/>
      <c r="DP342" s="304"/>
      <c r="DQ342" s="312"/>
      <c r="DR342" s="276"/>
      <c r="DS342" s="277"/>
      <c r="DT342" s="134"/>
      <c r="DU342" s="134"/>
      <c r="DV342" s="134"/>
      <c r="DW342" s="134"/>
      <c r="DX342" s="138"/>
      <c r="DY342" s="134"/>
      <c r="DZ342" s="134"/>
      <c r="EA342" s="134"/>
      <c r="EB342" s="301"/>
      <c r="EC342" s="301"/>
      <c r="ED342" s="138"/>
      <c r="EE342" s="134"/>
      <c r="EF342" s="134"/>
      <c r="EG342" s="134"/>
      <c r="EH342" s="138"/>
      <c r="EI342" s="134"/>
      <c r="EJ342" s="134"/>
      <c r="EK342" s="134"/>
      <c r="EL342" s="301"/>
      <c r="EM342" s="301"/>
      <c r="EN342" s="277"/>
      <c r="EO342" s="134"/>
      <c r="EP342" s="134"/>
      <c r="EQ342" s="134"/>
      <c r="ER342" s="134"/>
      <c r="ES342" s="134"/>
      <c r="ET342" s="134"/>
      <c r="EU342" s="134"/>
      <c r="EV342" s="134"/>
      <c r="EW342" s="301"/>
      <c r="EX342" s="301"/>
      <c r="EY342" s="134"/>
      <c r="EZ342" s="134"/>
      <c r="FA342" s="134"/>
      <c r="FB342" s="134"/>
      <c r="FC342" s="134"/>
      <c r="FD342" s="134"/>
      <c r="FE342" s="134"/>
      <c r="FF342" s="134"/>
      <c r="FG342" s="135"/>
      <c r="FH342" s="135"/>
      <c r="FI342" s="134"/>
      <c r="FJ342" s="134"/>
      <c r="FK342" s="134"/>
      <c r="FL342" s="134"/>
      <c r="FM342" s="134"/>
      <c r="FN342" s="134"/>
      <c r="FO342" s="134"/>
      <c r="FP342" s="134"/>
      <c r="FQ342" s="135"/>
      <c r="FR342" s="135"/>
      <c r="FS342" s="134"/>
      <c r="FT342" s="134"/>
      <c r="FU342" s="134"/>
      <c r="FV342" s="134"/>
      <c r="FW342" s="134"/>
      <c r="FX342" s="134"/>
      <c r="FY342" s="134"/>
      <c r="FZ342" s="134"/>
      <c r="GA342" s="135"/>
      <c r="GB342" s="135"/>
      <c r="GC342" s="134"/>
      <c r="GD342" s="134"/>
      <c r="GE342" s="134"/>
      <c r="GF342" s="134"/>
      <c r="GG342" s="134"/>
      <c r="GH342" s="134"/>
      <c r="GI342" s="134"/>
      <c r="GJ342" s="134"/>
      <c r="GK342" s="135"/>
      <c r="GL342" s="135"/>
      <c r="GM342" s="134"/>
      <c r="GN342" s="134"/>
      <c r="GO342" s="134"/>
      <c r="GP342" s="134"/>
      <c r="GQ342" s="134"/>
      <c r="GR342" s="134"/>
      <c r="GS342" s="134"/>
      <c r="GT342" s="134"/>
      <c r="GU342" s="135"/>
      <c r="GV342" s="135"/>
      <c r="GW342" s="134"/>
      <c r="GX342" s="134"/>
      <c r="GY342" s="134"/>
      <c r="GZ342" s="134"/>
      <c r="HA342" s="134"/>
      <c r="HB342" s="134"/>
      <c r="HC342" s="134"/>
      <c r="HD342" s="134"/>
      <c r="HE342" s="135"/>
      <c r="HF342" s="135"/>
      <c r="HG342" s="134"/>
      <c r="HH342" s="134"/>
      <c r="HI342" s="134"/>
      <c r="HJ342" s="134"/>
      <c r="HK342" s="134"/>
      <c r="HL342" s="134"/>
      <c r="HM342" s="134"/>
      <c r="HN342" s="134"/>
      <c r="HO342" s="135"/>
      <c r="HP342" s="135"/>
      <c r="HQ342" s="134"/>
      <c r="HR342" s="134"/>
      <c r="HS342" s="134"/>
      <c r="HT342" s="134"/>
      <c r="HU342" s="134"/>
      <c r="HV342" s="134"/>
      <c r="HW342" s="134"/>
      <c r="HX342" s="134"/>
      <c r="HY342" s="135"/>
      <c r="HZ342" s="135"/>
      <c r="IA342" s="134"/>
      <c r="IB342" s="134"/>
      <c r="IC342" s="134"/>
      <c r="ID342" s="134"/>
      <c r="IE342" s="134"/>
      <c r="IF342" s="134"/>
      <c r="IG342" s="134"/>
      <c r="IH342" s="134"/>
      <c r="II342" s="135"/>
      <c r="IJ342" s="135"/>
      <c r="IK342" s="134"/>
      <c r="IL342" s="134"/>
      <c r="IM342" s="134"/>
      <c r="IN342" s="134"/>
      <c r="IO342" s="134"/>
      <c r="IP342" s="134"/>
      <c r="IQ342" s="134"/>
      <c r="IR342" s="134"/>
      <c r="IS342" s="135"/>
      <c r="IT342" s="135"/>
      <c r="IU342" s="134"/>
      <c r="IV342" s="134"/>
      <c r="IW342" s="134"/>
      <c r="IX342" s="134"/>
      <c r="IY342" s="134"/>
      <c r="IZ342" s="134"/>
      <c r="JA342" s="134"/>
      <c r="JB342" s="134"/>
      <c r="JC342" s="135"/>
      <c r="JD342" s="135"/>
    </row>
    <row r="343" spans="1:264" customFormat="1" ht="15" customHeight="1">
      <c r="A343" s="118" t="s">
        <v>291</v>
      </c>
      <c r="B343" s="616">
        <v>209</v>
      </c>
      <c r="C343" s="616">
        <v>74</v>
      </c>
      <c r="D343" s="616"/>
      <c r="E343" s="605" t="s">
        <v>2017</v>
      </c>
      <c r="F343" s="140" t="s">
        <v>2249</v>
      </c>
      <c r="G343" s="141">
        <v>2013</v>
      </c>
      <c r="H343" s="118">
        <v>23755991</v>
      </c>
      <c r="I343" s="118">
        <v>1</v>
      </c>
      <c r="J343" s="118"/>
      <c r="K343" s="118"/>
      <c r="L343" s="118">
        <v>1</v>
      </c>
      <c r="M343" s="118"/>
      <c r="N343" s="118">
        <v>1</v>
      </c>
      <c r="O343" s="142">
        <v>1</v>
      </c>
      <c r="P343" s="118" t="s">
        <v>1914</v>
      </c>
      <c r="Q343" s="118" t="s">
        <v>1160</v>
      </c>
      <c r="R343" s="118" t="s">
        <v>762</v>
      </c>
      <c r="S343" s="118">
        <v>1</v>
      </c>
      <c r="T343" s="118"/>
      <c r="U343" s="118"/>
      <c r="V343" s="118"/>
      <c r="W343" s="118" t="s">
        <v>763</v>
      </c>
      <c r="X343" s="118"/>
      <c r="Y343" s="118"/>
      <c r="Z343" s="118"/>
      <c r="AA343" s="118"/>
      <c r="AB343" s="118"/>
      <c r="AC343" s="145"/>
      <c r="AD343" s="573">
        <v>1</v>
      </c>
      <c r="AE343" s="573">
        <v>2</v>
      </c>
      <c r="AF343" s="159">
        <v>1</v>
      </c>
      <c r="AG343" s="160"/>
      <c r="AH343" s="122">
        <v>2</v>
      </c>
      <c r="AI343" s="485"/>
      <c r="AJ343" s="204" t="s">
        <v>5512</v>
      </c>
      <c r="AK343" s="192">
        <v>1</v>
      </c>
      <c r="AL343" s="205" t="s">
        <v>24</v>
      </c>
      <c r="AM343" s="122">
        <f>Table668[[#This Row],[Data_Subjects_n_ptsd]]+Table668[[#This Row],[Data_Subjects_n_control]]</f>
        <v>40</v>
      </c>
      <c r="AN343" s="122">
        <v>19</v>
      </c>
      <c r="AO343" s="122">
        <v>21</v>
      </c>
      <c r="AP343" s="122" t="s">
        <v>5515</v>
      </c>
      <c r="AQ343" s="122" t="s">
        <v>5516</v>
      </c>
      <c r="AR343" s="122">
        <v>32.47</v>
      </c>
      <c r="AS343" s="122">
        <v>6.96</v>
      </c>
      <c r="AT343" s="122">
        <v>34</v>
      </c>
      <c r="AU343" s="122">
        <v>8.92</v>
      </c>
      <c r="AV343" s="122" t="s">
        <v>5510</v>
      </c>
      <c r="AW343" s="122" t="s">
        <v>24</v>
      </c>
      <c r="AX343" s="122" t="s">
        <v>24</v>
      </c>
      <c r="AY343" s="122" t="s">
        <v>2423</v>
      </c>
      <c r="AZ343" s="122" t="s">
        <v>3835</v>
      </c>
      <c r="BA343" s="122" t="s">
        <v>5513</v>
      </c>
      <c r="BB343" s="588"/>
      <c r="BC343" s="588"/>
      <c r="BD343" s="161"/>
      <c r="BE343" s="161"/>
      <c r="BF343" s="161"/>
      <c r="BG343" s="161"/>
      <c r="BH343" s="161"/>
      <c r="BI343" s="161" t="s">
        <v>4727</v>
      </c>
      <c r="BJ343" s="161">
        <v>1</v>
      </c>
      <c r="BK343" s="161"/>
      <c r="BL343" s="161"/>
      <c r="BM343" s="161"/>
      <c r="BN343" s="161" t="s">
        <v>4727</v>
      </c>
      <c r="BO343" s="161"/>
      <c r="BP343" s="161"/>
      <c r="BQ343" s="596" t="s">
        <v>5540</v>
      </c>
      <c r="BR343" s="162" t="s">
        <v>6611</v>
      </c>
      <c r="BS343" s="660"/>
      <c r="BT343" s="150" t="s">
        <v>1876</v>
      </c>
      <c r="BU343" s="150" t="s">
        <v>5518</v>
      </c>
      <c r="BV343" s="150" t="s">
        <v>5517</v>
      </c>
      <c r="BW343" s="150" t="s">
        <v>24</v>
      </c>
      <c r="BX343" s="150" t="s">
        <v>5520</v>
      </c>
      <c r="BY343" s="150"/>
      <c r="BZ343" s="258" t="s">
        <v>5538</v>
      </c>
      <c r="CA343" s="257" t="s">
        <v>6632</v>
      </c>
      <c r="CB343" s="151" t="s">
        <v>5523</v>
      </c>
      <c r="CC343" s="150">
        <v>46.26</v>
      </c>
      <c r="CD343" s="150">
        <v>8.41</v>
      </c>
      <c r="CE343" s="150" t="s">
        <v>24</v>
      </c>
      <c r="CF343" s="151" t="s">
        <v>5524</v>
      </c>
      <c r="CG343" s="150">
        <v>55</v>
      </c>
      <c r="CH343" s="150">
        <v>7.73</v>
      </c>
      <c r="CI343" s="150" t="s">
        <v>24</v>
      </c>
      <c r="CJ343" s="290" t="s">
        <v>5533</v>
      </c>
      <c r="CK343" s="291" t="s">
        <v>5531</v>
      </c>
      <c r="CL343" s="151" t="s">
        <v>5525</v>
      </c>
      <c r="CM343" s="150">
        <v>-0.24</v>
      </c>
      <c r="CN343" s="150">
        <v>0.89</v>
      </c>
      <c r="CO343" s="150" t="s">
        <v>24</v>
      </c>
      <c r="CP343" s="151" t="s">
        <v>5526</v>
      </c>
      <c r="CQ343" s="150">
        <v>0.38</v>
      </c>
      <c r="CR343" s="150">
        <v>0.69</v>
      </c>
      <c r="CS343" s="150" t="s">
        <v>24</v>
      </c>
      <c r="CT343" s="290" t="s">
        <v>5534</v>
      </c>
      <c r="CU343" s="291" t="s">
        <v>5536</v>
      </c>
      <c r="CV343" s="278" t="s">
        <v>24</v>
      </c>
      <c r="CW343" s="285" t="s">
        <v>24</v>
      </c>
      <c r="CX343" s="151" t="s">
        <v>5527</v>
      </c>
      <c r="CY343" s="150">
        <v>-0.05</v>
      </c>
      <c r="CZ343" s="150">
        <v>0.94</v>
      </c>
      <c r="DA343" s="150" t="s">
        <v>24</v>
      </c>
      <c r="DB343" s="151" t="s">
        <v>5528</v>
      </c>
      <c r="DC343" s="150">
        <v>0.14000000000000001</v>
      </c>
      <c r="DD343" s="150">
        <v>0.85</v>
      </c>
      <c r="DE343" s="150" t="s">
        <v>24</v>
      </c>
      <c r="DF343" s="302" t="s">
        <v>5535</v>
      </c>
      <c r="DG343" s="303" t="s">
        <v>5537</v>
      </c>
      <c r="DH343" s="229"/>
      <c r="DI343" s="229"/>
      <c r="DJ343" s="150"/>
      <c r="DK343" s="150"/>
      <c r="DL343" s="150"/>
      <c r="DM343" s="150"/>
      <c r="DN343" s="150"/>
      <c r="DO343" s="150"/>
      <c r="DP343" s="302"/>
      <c r="DQ343" s="303"/>
      <c r="DR343" s="278"/>
      <c r="DS343" s="279"/>
      <c r="DT343" s="150"/>
      <c r="DU343" s="150"/>
      <c r="DV343" s="150"/>
      <c r="DW343" s="150"/>
      <c r="DX343" s="151"/>
      <c r="DY343" s="150"/>
      <c r="DZ343" s="150"/>
      <c r="EA343" s="150"/>
      <c r="EB343" s="303"/>
      <c r="EC343" s="303"/>
      <c r="ED343" s="151"/>
      <c r="EE343" s="150"/>
      <c r="EF343" s="150"/>
      <c r="EG343" s="150"/>
      <c r="EH343" s="151"/>
      <c r="EI343" s="150"/>
      <c r="EJ343" s="150"/>
      <c r="EK343" s="150"/>
      <c r="EL343" s="303"/>
      <c r="EM343" s="303"/>
      <c r="EN343" s="279"/>
      <c r="EO343" s="150"/>
      <c r="EP343" s="150"/>
      <c r="EQ343" s="150"/>
      <c r="ER343" s="150"/>
      <c r="ES343" s="150"/>
      <c r="ET343" s="150"/>
      <c r="EU343" s="150"/>
      <c r="EV343" s="150"/>
      <c r="EW343" s="303"/>
      <c r="EX343" s="303"/>
      <c r="EY343" s="150"/>
      <c r="EZ343" s="150"/>
      <c r="FA343" s="150"/>
      <c r="FB343" s="150"/>
      <c r="FC343" s="150"/>
      <c r="FD343" s="150"/>
      <c r="FE343" s="150"/>
      <c r="FF343" s="150"/>
      <c r="FG343" s="152"/>
      <c r="FH343" s="152"/>
      <c r="FI343" s="150"/>
      <c r="FJ343" s="150"/>
      <c r="FK343" s="150"/>
      <c r="FL343" s="150"/>
      <c r="FM343" s="150"/>
      <c r="FN343" s="150"/>
      <c r="FO343" s="150"/>
      <c r="FP343" s="150"/>
      <c r="FQ343" s="152"/>
      <c r="FR343" s="152"/>
      <c r="FS343" s="150"/>
      <c r="FT343" s="150"/>
      <c r="FU343" s="150"/>
      <c r="FV343" s="150"/>
      <c r="FW343" s="150"/>
      <c r="FX343" s="150"/>
      <c r="FY343" s="150"/>
      <c r="FZ343" s="150"/>
      <c r="GA343" s="152"/>
      <c r="GB343" s="152"/>
      <c r="GC343" s="150"/>
      <c r="GD343" s="150"/>
      <c r="GE343" s="150"/>
      <c r="GF343" s="150"/>
      <c r="GG343" s="150"/>
      <c r="GH343" s="150"/>
      <c r="GI343" s="150"/>
      <c r="GJ343" s="150"/>
      <c r="GK343" s="152"/>
      <c r="GL343" s="152"/>
      <c r="GM343" s="150"/>
      <c r="GN343" s="150"/>
      <c r="GO343" s="150"/>
      <c r="GP343" s="150"/>
      <c r="GQ343" s="150"/>
      <c r="GR343" s="150"/>
      <c r="GS343" s="150"/>
      <c r="GT343" s="150"/>
      <c r="GU343" s="152"/>
      <c r="GV343" s="152"/>
      <c r="GW343" s="134"/>
      <c r="GX343" s="134"/>
      <c r="GY343" s="134"/>
      <c r="GZ343" s="134"/>
      <c r="HA343" s="134"/>
      <c r="HB343" s="134"/>
      <c r="HC343" s="134"/>
      <c r="HD343" s="134"/>
      <c r="HE343" s="135"/>
      <c r="HF343" s="135"/>
      <c r="HG343" s="134"/>
      <c r="HH343" s="134"/>
      <c r="HI343" s="134"/>
      <c r="HJ343" s="134"/>
      <c r="HK343" s="134"/>
      <c r="HL343" s="134"/>
      <c r="HM343" s="134"/>
      <c r="HN343" s="134"/>
      <c r="HO343" s="135"/>
      <c r="HP343" s="135"/>
      <c r="HQ343" s="134"/>
      <c r="HR343" s="134"/>
      <c r="HS343" s="134"/>
      <c r="HT343" s="134"/>
      <c r="HU343" s="134"/>
      <c r="HV343" s="134"/>
      <c r="HW343" s="134"/>
      <c r="HX343" s="134"/>
      <c r="HY343" s="135"/>
      <c r="HZ343" s="135"/>
      <c r="IA343" s="134"/>
      <c r="IB343" s="134"/>
      <c r="IC343" s="134"/>
      <c r="ID343" s="134"/>
      <c r="IE343" s="134"/>
      <c r="IF343" s="134"/>
      <c r="IG343" s="134"/>
      <c r="IH343" s="134"/>
      <c r="II343" s="135"/>
      <c r="IJ343" s="135"/>
      <c r="IK343" s="134"/>
      <c r="IL343" s="134"/>
      <c r="IM343" s="134"/>
      <c r="IN343" s="134"/>
      <c r="IO343" s="134"/>
      <c r="IP343" s="134"/>
      <c r="IQ343" s="134"/>
      <c r="IR343" s="134"/>
      <c r="IS343" s="135"/>
      <c r="IT343" s="135"/>
      <c r="IU343" s="134"/>
      <c r="IV343" s="134"/>
      <c r="IW343" s="134"/>
      <c r="IX343" s="134"/>
      <c r="IY343" s="134"/>
      <c r="IZ343" s="134"/>
      <c r="JA343" s="134"/>
      <c r="JB343" s="134"/>
      <c r="JC343" s="135"/>
      <c r="JD343" s="135"/>
    </row>
    <row r="344" spans="1:264" customFormat="1" ht="15" customHeight="1">
      <c r="A344" s="79" t="s">
        <v>291</v>
      </c>
      <c r="B344" s="362">
        <v>209</v>
      </c>
      <c r="C344" s="362">
        <v>74</v>
      </c>
      <c r="D344" s="362"/>
      <c r="E344" s="604" t="s">
        <v>2017</v>
      </c>
      <c r="F344" s="124" t="s">
        <v>2249</v>
      </c>
      <c r="G344" s="125">
        <v>2013</v>
      </c>
      <c r="H344" s="79">
        <v>23755991</v>
      </c>
      <c r="I344" s="79">
        <v>1</v>
      </c>
      <c r="J344" s="126"/>
      <c r="K344" s="127"/>
      <c r="L344" s="79">
        <v>1</v>
      </c>
      <c r="M344" s="79"/>
      <c r="N344" s="79">
        <v>1</v>
      </c>
      <c r="O344" s="128">
        <v>1</v>
      </c>
      <c r="P344" s="79" t="s">
        <v>1914</v>
      </c>
      <c r="Q344" s="79" t="s">
        <v>1160</v>
      </c>
      <c r="R344" s="79" t="s">
        <v>762</v>
      </c>
      <c r="S344" s="79">
        <v>1</v>
      </c>
      <c r="T344" s="79"/>
      <c r="U344" s="79"/>
      <c r="V344" s="79"/>
      <c r="W344" s="79" t="s">
        <v>763</v>
      </c>
      <c r="X344" s="79"/>
      <c r="Y344" s="79"/>
      <c r="Z344" s="79"/>
      <c r="AA344" s="79"/>
      <c r="AB344" s="79"/>
      <c r="AC344" s="506"/>
      <c r="AD344" s="573">
        <v>1</v>
      </c>
      <c r="AE344" s="573">
        <v>2</v>
      </c>
      <c r="AF344" s="154">
        <v>1</v>
      </c>
      <c r="AG344" s="155"/>
      <c r="AH344" s="121">
        <v>2</v>
      </c>
      <c r="AI344" s="484"/>
      <c r="AJ344" s="202" t="s">
        <v>5512</v>
      </c>
      <c r="AK344" s="192">
        <v>1</v>
      </c>
      <c r="AL344" s="203" t="s">
        <v>24</v>
      </c>
      <c r="AM344" s="121">
        <f>Table668[[#This Row],[Data_Subjects_n_ptsd]]+Table668[[#This Row],[Data_Subjects_n_control]]</f>
        <v>40</v>
      </c>
      <c r="AN344" s="121">
        <v>19</v>
      </c>
      <c r="AO344" s="121">
        <v>21</v>
      </c>
      <c r="AP344" s="121" t="s">
        <v>5515</v>
      </c>
      <c r="AQ344" s="121" t="s">
        <v>5516</v>
      </c>
      <c r="AR344" s="121">
        <v>32.47</v>
      </c>
      <c r="AS344" s="121">
        <v>6.96</v>
      </c>
      <c r="AT344" s="121">
        <v>34</v>
      </c>
      <c r="AU344" s="121">
        <v>8.92</v>
      </c>
      <c r="AV344" s="121" t="s">
        <v>5510</v>
      </c>
      <c r="AW344" s="121" t="s">
        <v>24</v>
      </c>
      <c r="AX344" s="121" t="s">
        <v>24</v>
      </c>
      <c r="AY344" s="121" t="s">
        <v>2423</v>
      </c>
      <c r="AZ344" s="121" t="s">
        <v>3835</v>
      </c>
      <c r="BA344" s="121" t="s">
        <v>5513</v>
      </c>
      <c r="BB344" s="594"/>
      <c r="BC344" s="594"/>
      <c r="BD344" s="156"/>
      <c r="BE344" s="156"/>
      <c r="BF344" s="156"/>
      <c r="BG344" s="156"/>
      <c r="BH344" s="156"/>
      <c r="BI344" s="156" t="s">
        <v>4727</v>
      </c>
      <c r="BJ344" s="156">
        <v>1</v>
      </c>
      <c r="BK344" s="156"/>
      <c r="BL344" s="156"/>
      <c r="BM344" s="156"/>
      <c r="BN344" s="156" t="s">
        <v>4727</v>
      </c>
      <c r="BO344" s="156"/>
      <c r="BP344" s="156"/>
      <c r="BQ344" s="595" t="s">
        <v>5539</v>
      </c>
      <c r="BR344" s="157" t="s">
        <v>6625</v>
      </c>
      <c r="BS344" s="660"/>
      <c r="BT344" s="134" t="s">
        <v>1876</v>
      </c>
      <c r="BU344" s="134" t="s">
        <v>5518</v>
      </c>
      <c r="BV344" s="134" t="s">
        <v>5514</v>
      </c>
      <c r="BW344" s="134" t="s">
        <v>24</v>
      </c>
      <c r="BX344" s="134" t="s">
        <v>5519</v>
      </c>
      <c r="BY344" s="134"/>
      <c r="BZ344" s="259" t="s">
        <v>5530</v>
      </c>
      <c r="CA344" s="454">
        <v>0</v>
      </c>
      <c r="CB344" s="138" t="s">
        <v>5521</v>
      </c>
      <c r="CC344" s="134">
        <v>45.37</v>
      </c>
      <c r="CD344" s="134">
        <v>12.85</v>
      </c>
      <c r="CE344" s="134" t="s">
        <v>24</v>
      </c>
      <c r="CF344" s="427" t="s">
        <v>5522</v>
      </c>
      <c r="CG344" s="134">
        <v>48.76</v>
      </c>
      <c r="CH344" s="134">
        <v>9.66</v>
      </c>
      <c r="CI344" s="134" t="s">
        <v>24</v>
      </c>
      <c r="CJ344" s="288" t="s">
        <v>5529</v>
      </c>
      <c r="CK344" s="289" t="s">
        <v>5532</v>
      </c>
      <c r="CL344" s="138" t="s">
        <v>24</v>
      </c>
      <c r="CM344" s="134" t="s">
        <v>24</v>
      </c>
      <c r="CN344" s="134" t="s">
        <v>24</v>
      </c>
      <c r="CO344" s="134" t="s">
        <v>24</v>
      </c>
      <c r="CP344" s="134" t="s">
        <v>24</v>
      </c>
      <c r="CQ344" s="134" t="s">
        <v>24</v>
      </c>
      <c r="CR344" s="134" t="s">
        <v>24</v>
      </c>
      <c r="CS344" s="134" t="s">
        <v>24</v>
      </c>
      <c r="CT344" s="288"/>
      <c r="CU344" s="289"/>
      <c r="CV344" s="276"/>
      <c r="CW344" s="308"/>
      <c r="CX344" s="138" t="s">
        <v>24</v>
      </c>
      <c r="CY344" s="134" t="s">
        <v>24</v>
      </c>
      <c r="CZ344" s="134" t="s">
        <v>24</v>
      </c>
      <c r="DA344" s="134" t="s">
        <v>24</v>
      </c>
      <c r="DB344" s="134" t="s">
        <v>24</v>
      </c>
      <c r="DC344" s="134" t="s">
        <v>24</v>
      </c>
      <c r="DD344" s="134" t="s">
        <v>24</v>
      </c>
      <c r="DE344" s="134" t="s">
        <v>24</v>
      </c>
      <c r="DF344" s="300"/>
      <c r="DG344" s="301"/>
      <c r="DH344" s="3"/>
      <c r="DI344" s="3"/>
      <c r="DJ344" s="134"/>
      <c r="DK344" s="134"/>
      <c r="DL344" s="134"/>
      <c r="DM344" s="134"/>
      <c r="DN344" s="134"/>
      <c r="DO344" s="134"/>
      <c r="DP344" s="300"/>
      <c r="DQ344" s="301"/>
      <c r="DR344" s="276"/>
      <c r="DS344" s="277"/>
      <c r="DT344" s="134"/>
      <c r="DU344" s="134"/>
      <c r="DV344" s="134"/>
      <c r="DW344" s="134"/>
      <c r="DX344" s="138"/>
      <c r="DY344" s="134"/>
      <c r="DZ344" s="134"/>
      <c r="EA344" s="134"/>
      <c r="EB344" s="301"/>
      <c r="EC344" s="301"/>
      <c r="ED344" s="138"/>
      <c r="EE344" s="134"/>
      <c r="EF344" s="134"/>
      <c r="EG344" s="134"/>
      <c r="EH344" s="138"/>
      <c r="EI344" s="134"/>
      <c r="EJ344" s="134"/>
      <c r="EK344" s="134"/>
      <c r="EL344" s="301"/>
      <c r="EM344" s="301"/>
      <c r="EN344" s="277"/>
      <c r="EO344" s="134"/>
      <c r="EP344" s="134"/>
      <c r="EQ344" s="134"/>
      <c r="ER344" s="134"/>
      <c r="ES344" s="134"/>
      <c r="ET344" s="134"/>
      <c r="EU344" s="134"/>
      <c r="EV344" s="134"/>
      <c r="EW344" s="301"/>
      <c r="EX344" s="301"/>
      <c r="EY344" s="134"/>
      <c r="EZ344" s="134"/>
      <c r="FA344" s="134"/>
      <c r="FB344" s="134"/>
      <c r="FC344" s="134"/>
      <c r="FD344" s="134"/>
      <c r="FE344" s="134"/>
      <c r="FF344" s="134"/>
      <c r="FG344" s="135"/>
      <c r="FH344" s="135"/>
      <c r="FI344" s="134"/>
      <c r="FJ344" s="134"/>
      <c r="FK344" s="134"/>
      <c r="FL344" s="134"/>
      <c r="FM344" s="134"/>
      <c r="FN344" s="134"/>
      <c r="FO344" s="134"/>
      <c r="FP344" s="134"/>
      <c r="FQ344" s="135"/>
      <c r="FR344" s="135"/>
      <c r="FS344" s="134"/>
      <c r="FT344" s="134"/>
      <c r="FU344" s="134"/>
      <c r="FV344" s="134"/>
      <c r="FW344" s="134"/>
      <c r="FX344" s="134"/>
      <c r="FY344" s="134"/>
      <c r="FZ344" s="134"/>
      <c r="GA344" s="135"/>
      <c r="GB344" s="135"/>
      <c r="GC344" s="134"/>
      <c r="GD344" s="134"/>
      <c r="GE344" s="134"/>
      <c r="GF344" s="134"/>
      <c r="GG344" s="134"/>
      <c r="GH344" s="134"/>
      <c r="GI344" s="134"/>
      <c r="GJ344" s="134"/>
      <c r="GK344" s="135"/>
      <c r="GL344" s="135"/>
      <c r="GM344" s="134"/>
      <c r="GN344" s="134"/>
      <c r="GO344" s="134"/>
      <c r="GP344" s="134"/>
      <c r="GQ344" s="134"/>
      <c r="GR344" s="134"/>
      <c r="GS344" s="134"/>
      <c r="GT344" s="134"/>
      <c r="GU344" s="135"/>
      <c r="GV344" s="135"/>
      <c r="GW344" s="134"/>
      <c r="GX344" s="134"/>
      <c r="GY344" s="134"/>
      <c r="GZ344" s="134"/>
      <c r="HA344" s="134"/>
      <c r="HB344" s="134"/>
      <c r="HC344" s="134"/>
      <c r="HD344" s="134"/>
      <c r="HE344" s="135"/>
      <c r="HF344" s="135"/>
      <c r="HG344" s="134"/>
      <c r="HH344" s="134"/>
      <c r="HI344" s="134"/>
      <c r="HJ344" s="134"/>
      <c r="HK344" s="134"/>
      <c r="HL344" s="134"/>
      <c r="HM344" s="134"/>
      <c r="HN344" s="134"/>
      <c r="HO344" s="135"/>
      <c r="HP344" s="135"/>
      <c r="HQ344" s="134"/>
      <c r="HR344" s="134"/>
      <c r="HS344" s="134"/>
      <c r="HT344" s="134"/>
      <c r="HU344" s="134"/>
      <c r="HV344" s="134"/>
      <c r="HW344" s="134"/>
      <c r="HX344" s="134"/>
      <c r="HY344" s="135"/>
      <c r="HZ344" s="135"/>
      <c r="IA344" s="134"/>
      <c r="IB344" s="134"/>
      <c r="IC344" s="134"/>
      <c r="ID344" s="134"/>
      <c r="IE344" s="134"/>
      <c r="IF344" s="134"/>
      <c r="IG344" s="134"/>
      <c r="IH344" s="134"/>
      <c r="II344" s="135"/>
      <c r="IJ344" s="135"/>
      <c r="IK344" s="134"/>
      <c r="IL344" s="134"/>
      <c r="IM344" s="134"/>
      <c r="IN344" s="134"/>
      <c r="IO344" s="134"/>
      <c r="IP344" s="134"/>
      <c r="IQ344" s="134"/>
      <c r="IR344" s="134"/>
      <c r="IS344" s="135"/>
      <c r="IT344" s="135"/>
      <c r="IU344" s="134"/>
      <c r="IV344" s="134"/>
      <c r="IW344" s="134"/>
      <c r="IX344" s="134"/>
      <c r="IY344" s="134"/>
      <c r="IZ344" s="134"/>
      <c r="JA344" s="134"/>
      <c r="JB344" s="134"/>
      <c r="JC344" s="135"/>
      <c r="JD344" s="135"/>
    </row>
    <row r="345" spans="1:264" customFormat="1" ht="15" customHeight="1">
      <c r="A345" s="79" t="s">
        <v>298</v>
      </c>
      <c r="B345" s="362">
        <v>215</v>
      </c>
      <c r="C345" s="362">
        <v>75</v>
      </c>
      <c r="D345" s="362"/>
      <c r="E345" s="604" t="s">
        <v>2022</v>
      </c>
      <c r="F345" s="124" t="s">
        <v>2255</v>
      </c>
      <c r="G345" s="125">
        <v>2016</v>
      </c>
      <c r="H345" s="79">
        <v>26645315</v>
      </c>
      <c r="I345" s="79">
        <v>1</v>
      </c>
      <c r="J345" s="126"/>
      <c r="K345" s="127"/>
      <c r="L345" s="79">
        <v>1</v>
      </c>
      <c r="M345" s="79"/>
      <c r="N345" s="79">
        <v>1</v>
      </c>
      <c r="O345" s="128">
        <v>1</v>
      </c>
      <c r="P345" s="79" t="s">
        <v>781</v>
      </c>
      <c r="Q345" s="79" t="s">
        <v>1147</v>
      </c>
      <c r="R345" s="79" t="s">
        <v>783</v>
      </c>
      <c r="S345" s="79">
        <v>1</v>
      </c>
      <c r="T345" s="79"/>
      <c r="U345" s="79"/>
      <c r="V345" s="79"/>
      <c r="W345" s="79" t="s">
        <v>782</v>
      </c>
      <c r="X345" s="79" t="s">
        <v>24</v>
      </c>
      <c r="Y345" s="79"/>
      <c r="Z345" s="79"/>
      <c r="AA345" s="79"/>
      <c r="AB345" s="79" t="s">
        <v>784</v>
      </c>
      <c r="AC345" s="506"/>
      <c r="AD345" s="573">
        <v>1</v>
      </c>
      <c r="AE345" s="573">
        <v>2</v>
      </c>
      <c r="AF345" s="507" t="s">
        <v>3003</v>
      </c>
      <c r="AG345" s="508" t="s">
        <v>5542</v>
      </c>
      <c r="AH345" s="120">
        <v>2</v>
      </c>
      <c r="AI345" s="120"/>
      <c r="AJ345" s="206" t="s">
        <v>5543</v>
      </c>
      <c r="AK345" s="372"/>
      <c r="AL345" s="207"/>
      <c r="AM345" s="120"/>
      <c r="AN345" s="120"/>
      <c r="AO345" s="120"/>
      <c r="AP345" s="120"/>
      <c r="AQ345" s="120"/>
      <c r="AR345" s="120"/>
      <c r="AS345" s="120"/>
      <c r="AT345" s="120"/>
      <c r="AU345" s="120"/>
      <c r="AV345" s="120"/>
      <c r="AW345" s="120"/>
      <c r="AX345" s="120"/>
      <c r="AY345" s="120"/>
      <c r="AZ345" s="120"/>
      <c r="BA345" s="120" t="s">
        <v>5541</v>
      </c>
      <c r="BB345" s="594"/>
      <c r="BC345" s="594"/>
      <c r="BD345" s="373"/>
      <c r="BE345" s="373"/>
      <c r="BF345" s="373"/>
      <c r="BG345" s="373"/>
      <c r="BH345" s="373"/>
      <c r="BI345" s="373"/>
      <c r="BJ345" s="373">
        <v>1</v>
      </c>
      <c r="BK345" s="373"/>
      <c r="BL345" s="373"/>
      <c r="BM345" s="373"/>
      <c r="BN345" s="373"/>
      <c r="BO345" s="373"/>
      <c r="BP345" s="373"/>
      <c r="BQ345" s="599" t="s">
        <v>24</v>
      </c>
      <c r="BR345" s="374"/>
      <c r="BS345" s="660"/>
      <c r="BT345" s="120"/>
      <c r="BU345" s="120"/>
      <c r="BV345" s="120"/>
      <c r="BW345" s="384"/>
      <c r="BX345" s="120"/>
      <c r="BY345" s="120"/>
      <c r="BZ345" s="375"/>
      <c r="CA345" s="380"/>
      <c r="CB345" s="138"/>
      <c r="CC345" s="134"/>
      <c r="CD345" s="134"/>
      <c r="CE345" s="134"/>
      <c r="CF345" s="138"/>
      <c r="CG345" s="134"/>
      <c r="CH345" s="134"/>
      <c r="CI345" s="134"/>
      <c r="CJ345" s="288"/>
      <c r="CK345" s="289"/>
      <c r="CL345" s="138"/>
      <c r="CM345" s="134"/>
      <c r="CN345" s="134"/>
      <c r="CO345" s="134"/>
      <c r="CP345" s="138"/>
      <c r="CQ345" s="134"/>
      <c r="CR345" s="134"/>
      <c r="CS345" s="134"/>
      <c r="CT345" s="288"/>
      <c r="CU345" s="289"/>
      <c r="CV345" s="276"/>
      <c r="CW345" s="308"/>
      <c r="CX345" s="138"/>
      <c r="CY345" s="134"/>
      <c r="CZ345" s="134"/>
      <c r="DA345" s="134"/>
      <c r="DB345" s="134"/>
      <c r="DC345" s="134"/>
      <c r="DD345" s="134"/>
      <c r="DE345" s="134"/>
      <c r="DF345" s="300"/>
      <c r="DG345" s="301"/>
      <c r="DH345" s="134"/>
      <c r="DI345" s="134"/>
      <c r="DJ345" s="134"/>
      <c r="DK345" s="134"/>
      <c r="DL345" s="134"/>
      <c r="DM345" s="134"/>
      <c r="DN345" s="134"/>
      <c r="DO345" s="134"/>
      <c r="DP345" s="300"/>
      <c r="DQ345" s="301"/>
      <c r="DR345" s="276"/>
      <c r="DS345" s="277"/>
      <c r="DT345" s="134"/>
      <c r="DU345" s="134"/>
      <c r="DV345" s="134"/>
      <c r="DW345" s="134"/>
      <c r="DX345" s="138"/>
      <c r="DY345" s="134"/>
      <c r="DZ345" s="134"/>
      <c r="EA345" s="134"/>
      <c r="EB345" s="301"/>
      <c r="EC345" s="301"/>
      <c r="ED345" s="138"/>
      <c r="EE345" s="134"/>
      <c r="EF345" s="134"/>
      <c r="EG345" s="134"/>
      <c r="EH345" s="138"/>
      <c r="EI345" s="134"/>
      <c r="EJ345" s="134"/>
      <c r="EK345" s="134"/>
      <c r="EL345" s="301"/>
      <c r="EM345" s="301"/>
      <c r="EN345" s="277"/>
      <c r="EO345" s="134"/>
      <c r="EP345" s="134"/>
      <c r="EQ345" s="134"/>
      <c r="ER345" s="134"/>
      <c r="ES345" s="134"/>
      <c r="ET345" s="134"/>
      <c r="EU345" s="134"/>
      <c r="EV345" s="134"/>
      <c r="EW345" s="301"/>
      <c r="EX345" s="301"/>
      <c r="EY345" s="134"/>
      <c r="EZ345" s="134"/>
      <c r="FA345" s="134"/>
      <c r="FB345" s="134"/>
      <c r="FC345" s="134"/>
      <c r="FD345" s="134"/>
      <c r="FE345" s="134"/>
      <c r="FF345" s="134"/>
      <c r="FG345" s="135"/>
      <c r="FH345" s="135"/>
      <c r="FI345" s="134"/>
      <c r="FJ345" s="134"/>
      <c r="FK345" s="134"/>
      <c r="FL345" s="134"/>
      <c r="FM345" s="134"/>
      <c r="FN345" s="134"/>
      <c r="FO345" s="134"/>
      <c r="FP345" s="134"/>
      <c r="FQ345" s="135"/>
      <c r="FR345" s="135"/>
      <c r="FS345" s="134"/>
      <c r="FT345" s="134"/>
      <c r="FU345" s="134"/>
      <c r="FV345" s="134"/>
      <c r="FW345" s="134"/>
      <c r="FX345" s="134"/>
      <c r="FY345" s="134"/>
      <c r="FZ345" s="134"/>
      <c r="GA345" s="135"/>
      <c r="GB345" s="135"/>
      <c r="GC345" s="134"/>
      <c r="GD345" s="134"/>
      <c r="GE345" s="134"/>
      <c r="GF345" s="134"/>
      <c r="GG345" s="134"/>
      <c r="GH345" s="134"/>
      <c r="GI345" s="134"/>
      <c r="GJ345" s="134"/>
      <c r="GK345" s="135"/>
      <c r="GL345" s="135"/>
      <c r="GM345" s="134"/>
      <c r="GN345" s="134"/>
      <c r="GO345" s="134"/>
      <c r="GP345" s="134"/>
      <c r="GQ345" s="134"/>
      <c r="GR345" s="134"/>
      <c r="GS345" s="134"/>
      <c r="GT345" s="134"/>
      <c r="GU345" s="135"/>
      <c r="GV345" s="135"/>
      <c r="GW345" s="134"/>
      <c r="GX345" s="134"/>
      <c r="GY345" s="134"/>
      <c r="GZ345" s="134"/>
      <c r="HA345" s="134"/>
      <c r="HB345" s="134"/>
      <c r="HC345" s="134"/>
      <c r="HD345" s="134"/>
      <c r="HE345" s="135"/>
      <c r="HF345" s="135"/>
      <c r="HG345" s="134"/>
      <c r="HH345" s="134"/>
      <c r="HI345" s="134"/>
      <c r="HJ345" s="134"/>
      <c r="HK345" s="134"/>
      <c r="HL345" s="134"/>
      <c r="HM345" s="134"/>
      <c r="HN345" s="134"/>
      <c r="HO345" s="135"/>
      <c r="HP345" s="135"/>
      <c r="HQ345" s="134"/>
      <c r="HR345" s="134"/>
      <c r="HS345" s="134"/>
      <c r="HT345" s="134"/>
      <c r="HU345" s="134"/>
      <c r="HV345" s="134"/>
      <c r="HW345" s="134"/>
      <c r="HX345" s="134"/>
      <c r="HY345" s="135"/>
      <c r="HZ345" s="135"/>
      <c r="IA345" s="134"/>
      <c r="IB345" s="134"/>
      <c r="IC345" s="134"/>
      <c r="ID345" s="134"/>
      <c r="IE345" s="134"/>
      <c r="IF345" s="134"/>
      <c r="IG345" s="134"/>
      <c r="IH345" s="134"/>
      <c r="II345" s="135"/>
      <c r="IJ345" s="135"/>
      <c r="IK345" s="134"/>
      <c r="IL345" s="134"/>
      <c r="IM345" s="134"/>
      <c r="IN345" s="134"/>
      <c r="IO345" s="134"/>
      <c r="IP345" s="134"/>
      <c r="IQ345" s="134"/>
      <c r="IR345" s="134"/>
      <c r="IS345" s="135"/>
      <c r="IT345" s="135"/>
      <c r="IU345" s="134"/>
      <c r="IV345" s="134"/>
      <c r="IW345" s="134"/>
      <c r="IX345" s="134"/>
      <c r="IY345" s="134"/>
      <c r="IZ345" s="134"/>
      <c r="JA345" s="134"/>
      <c r="JB345" s="134"/>
      <c r="JC345" s="135"/>
      <c r="JD345" s="135"/>
    </row>
    <row r="346" spans="1:264" customFormat="1" ht="15" customHeight="1">
      <c r="A346" s="79" t="s">
        <v>974</v>
      </c>
      <c r="B346" s="617">
        <v>216</v>
      </c>
      <c r="C346" s="617">
        <v>76</v>
      </c>
      <c r="D346" s="617"/>
      <c r="E346" s="608" t="s">
        <v>2116</v>
      </c>
      <c r="F346" s="181" t="s">
        <v>2375</v>
      </c>
      <c r="G346" s="182">
        <v>2007</v>
      </c>
      <c r="H346" s="79">
        <v>17027033</v>
      </c>
      <c r="I346" s="79">
        <v>1</v>
      </c>
      <c r="J346" s="79">
        <v>1</v>
      </c>
      <c r="K346" s="79"/>
      <c r="L346" s="79">
        <v>1</v>
      </c>
      <c r="M346" s="79"/>
      <c r="N346" s="79">
        <v>1</v>
      </c>
      <c r="O346" s="128">
        <v>2</v>
      </c>
      <c r="P346" s="79" t="s">
        <v>1569</v>
      </c>
      <c r="Q346" s="79" t="s">
        <v>1216</v>
      </c>
      <c r="R346" s="79" t="s">
        <v>1568</v>
      </c>
      <c r="S346" s="79"/>
      <c r="T346" s="79" t="s">
        <v>1541</v>
      </c>
      <c r="U346" s="79"/>
      <c r="V346" s="79"/>
      <c r="W346" s="79" t="s">
        <v>1570</v>
      </c>
      <c r="X346" s="79"/>
      <c r="Y346" s="79" t="s">
        <v>1132</v>
      </c>
      <c r="Z346" s="79"/>
      <c r="AA346" s="79"/>
      <c r="AB346" s="79"/>
      <c r="AC346" s="506"/>
      <c r="AD346" s="573">
        <v>1</v>
      </c>
      <c r="AE346" s="573">
        <v>2</v>
      </c>
      <c r="AF346" s="230" t="s">
        <v>3003</v>
      </c>
      <c r="AG346" s="231" t="s">
        <v>5600</v>
      </c>
      <c r="AH346" s="346">
        <v>5</v>
      </c>
      <c r="AI346" s="487" t="s">
        <v>5603</v>
      </c>
      <c r="AJ346" s="459" t="s">
        <v>5556</v>
      </c>
      <c r="AK346" s="348">
        <v>2</v>
      </c>
      <c r="AL346" s="349">
        <v>0</v>
      </c>
      <c r="AM346" s="346">
        <v>8</v>
      </c>
      <c r="AN346" s="121">
        <v>8</v>
      </c>
      <c r="AO346" s="346" t="s">
        <v>5564</v>
      </c>
      <c r="AP346" s="346" t="s">
        <v>803</v>
      </c>
      <c r="AQ346" s="346" t="s">
        <v>803</v>
      </c>
      <c r="AR346" s="346" t="s">
        <v>4544</v>
      </c>
      <c r="AS346" s="346" t="s">
        <v>24</v>
      </c>
      <c r="AT346" s="346" t="s">
        <v>4544</v>
      </c>
      <c r="AU346" s="346" t="s">
        <v>24</v>
      </c>
      <c r="AV346" s="346" t="s">
        <v>5549</v>
      </c>
      <c r="AW346" s="346">
        <v>1</v>
      </c>
      <c r="AX346" s="346" t="s">
        <v>5553</v>
      </c>
      <c r="AY346" s="346" t="s">
        <v>5546</v>
      </c>
      <c r="AZ346" s="346" t="s">
        <v>5565</v>
      </c>
      <c r="BA346" s="346" t="s">
        <v>4508</v>
      </c>
      <c r="BB346" s="598"/>
      <c r="BC346" s="598"/>
      <c r="BD346" s="184">
        <v>1</v>
      </c>
      <c r="BE346" s="184" t="s">
        <v>5545</v>
      </c>
      <c r="BF346" s="184"/>
      <c r="BG346" s="184"/>
      <c r="BH346" s="184"/>
      <c r="BI346" s="184"/>
      <c r="BJ346" s="184"/>
      <c r="BK346" s="184"/>
      <c r="BL346" s="184"/>
      <c r="BM346" s="184"/>
      <c r="BN346" s="184"/>
      <c r="BO346" s="184"/>
      <c r="BP346" s="184"/>
      <c r="BQ346" s="600" t="s">
        <v>5567</v>
      </c>
      <c r="BR346" s="185" t="s">
        <v>6595</v>
      </c>
      <c r="BS346" s="660"/>
      <c r="BT346" s="186" t="s">
        <v>23</v>
      </c>
      <c r="BU346" s="186" t="s">
        <v>5563</v>
      </c>
      <c r="BV346" s="186" t="s">
        <v>5551</v>
      </c>
      <c r="BW346" s="186" t="s">
        <v>5544</v>
      </c>
      <c r="BX346" s="186" t="s">
        <v>5562</v>
      </c>
      <c r="BY346" s="186" t="s">
        <v>2659</v>
      </c>
      <c r="BZ346" s="261" t="s">
        <v>5596</v>
      </c>
      <c r="CA346" s="620" t="s">
        <v>6627</v>
      </c>
      <c r="CB346" s="267" t="s">
        <v>5568</v>
      </c>
      <c r="CC346" s="186">
        <v>57.49</v>
      </c>
      <c r="CD346" s="186">
        <v>20.59</v>
      </c>
      <c r="CE346" s="186" t="s">
        <v>24</v>
      </c>
      <c r="CF346" s="267" t="s">
        <v>5569</v>
      </c>
      <c r="CG346" s="186">
        <v>9.86</v>
      </c>
      <c r="CH346" s="186">
        <v>3.48</v>
      </c>
      <c r="CI346" s="186" t="s">
        <v>24</v>
      </c>
      <c r="CJ346" s="294" t="s">
        <v>5586</v>
      </c>
      <c r="CK346" s="295" t="s">
        <v>24</v>
      </c>
      <c r="CL346" s="267" t="s">
        <v>5570</v>
      </c>
      <c r="CM346" s="186">
        <v>41.05</v>
      </c>
      <c r="CN346" s="186">
        <v>17.36</v>
      </c>
      <c r="CO346" s="186" t="s">
        <v>24</v>
      </c>
      <c r="CP346" s="267" t="s">
        <v>5571</v>
      </c>
      <c r="CQ346" s="186">
        <v>7.49</v>
      </c>
      <c r="CR346" s="186">
        <v>8.4700000000000006</v>
      </c>
      <c r="CS346" s="186" t="s">
        <v>24</v>
      </c>
      <c r="CT346" s="294" t="s">
        <v>5587</v>
      </c>
      <c r="CU346" s="295" t="s">
        <v>24</v>
      </c>
      <c r="CV346" s="280" t="s">
        <v>5591</v>
      </c>
      <c r="CW346" s="280" t="s">
        <v>5588</v>
      </c>
      <c r="CX346" s="150" t="s">
        <v>24</v>
      </c>
      <c r="CY346" s="150" t="s">
        <v>24</v>
      </c>
      <c r="CZ346" s="150" t="s">
        <v>24</v>
      </c>
      <c r="DA346" s="150" t="s">
        <v>24</v>
      </c>
      <c r="DB346" s="150" t="s">
        <v>24</v>
      </c>
      <c r="DC346" s="150" t="s">
        <v>24</v>
      </c>
      <c r="DD346" s="150" t="s">
        <v>24</v>
      </c>
      <c r="DE346" s="150" t="s">
        <v>24</v>
      </c>
      <c r="DF346" s="305"/>
      <c r="DG346" s="315"/>
      <c r="DH346" s="150" t="s">
        <v>24</v>
      </c>
      <c r="DI346" s="150" t="s">
        <v>24</v>
      </c>
      <c r="DJ346" s="150" t="s">
        <v>24</v>
      </c>
      <c r="DK346" s="150" t="s">
        <v>24</v>
      </c>
      <c r="DL346" s="150" t="s">
        <v>24</v>
      </c>
      <c r="DM346" s="150" t="s">
        <v>24</v>
      </c>
      <c r="DN346" s="150" t="s">
        <v>24</v>
      </c>
      <c r="DO346" s="150" t="s">
        <v>24</v>
      </c>
      <c r="DP346" s="305"/>
      <c r="DQ346" s="315"/>
      <c r="DR346" s="280"/>
      <c r="DS346" s="281"/>
      <c r="DT346" s="186"/>
      <c r="DU346" s="186"/>
      <c r="DV346" s="186"/>
      <c r="DW346" s="186"/>
      <c r="DX346" s="267"/>
      <c r="DY346" s="186"/>
      <c r="DZ346" s="186"/>
      <c r="EA346" s="186"/>
      <c r="EB346" s="315"/>
      <c r="EC346" s="315"/>
      <c r="ED346" s="267"/>
      <c r="EE346" s="186"/>
      <c r="EF346" s="186"/>
      <c r="EG346" s="186"/>
      <c r="EH346" s="267"/>
      <c r="EI346" s="186"/>
      <c r="EJ346" s="186"/>
      <c r="EK346" s="186"/>
      <c r="EL346" s="315"/>
      <c r="EM346" s="315"/>
      <c r="EN346" s="281"/>
      <c r="EO346" s="186"/>
      <c r="EP346" s="186"/>
      <c r="EQ346" s="186"/>
      <c r="ER346" s="186"/>
      <c r="ES346" s="186"/>
      <c r="ET346" s="186"/>
      <c r="EU346" s="186"/>
      <c r="EV346" s="186"/>
      <c r="EW346" s="315"/>
      <c r="EX346" s="315"/>
      <c r="EY346" s="186"/>
      <c r="EZ346" s="186"/>
      <c r="FA346" s="186"/>
      <c r="FB346" s="186"/>
      <c r="FC346" s="186"/>
      <c r="FD346" s="186"/>
      <c r="FE346" s="186"/>
      <c r="FF346" s="186"/>
      <c r="FG346" s="187"/>
      <c r="FH346" s="187"/>
      <c r="FI346" s="186"/>
      <c r="FJ346" s="186"/>
      <c r="FK346" s="186"/>
      <c r="FL346" s="186"/>
      <c r="FM346" s="186"/>
      <c r="FN346" s="186"/>
      <c r="FO346" s="186"/>
      <c r="FP346" s="186"/>
      <c r="FQ346" s="187"/>
      <c r="FR346" s="187"/>
      <c r="FS346" s="186"/>
      <c r="FT346" s="186"/>
      <c r="FU346" s="186"/>
      <c r="FV346" s="186"/>
      <c r="FW346" s="186"/>
      <c r="FX346" s="186"/>
      <c r="FY346" s="186"/>
      <c r="FZ346" s="186"/>
      <c r="GA346" s="187"/>
      <c r="GB346" s="187"/>
      <c r="GC346" s="186"/>
      <c r="GD346" s="186"/>
      <c r="GE346" s="186"/>
      <c r="GF346" s="186"/>
      <c r="GG346" s="186"/>
      <c r="GH346" s="186"/>
      <c r="GI346" s="186"/>
      <c r="GJ346" s="186"/>
      <c r="GK346" s="187"/>
      <c r="GL346" s="187"/>
      <c r="GM346" s="186"/>
      <c r="GN346" s="186"/>
      <c r="GO346" s="186"/>
      <c r="GP346" s="186"/>
      <c r="GQ346" s="186"/>
      <c r="GR346" s="186"/>
      <c r="GS346" s="186"/>
      <c r="GT346" s="186"/>
      <c r="GU346" s="187"/>
      <c r="GV346" s="187"/>
      <c r="GW346" s="134"/>
      <c r="GX346" s="134"/>
      <c r="GY346" s="134"/>
      <c r="GZ346" s="134"/>
      <c r="HA346" s="134"/>
      <c r="HB346" s="134"/>
      <c r="HC346" s="134"/>
      <c r="HD346" s="134"/>
      <c r="HE346" s="135"/>
      <c r="HF346" s="135"/>
      <c r="HG346" s="134"/>
      <c r="HH346" s="134"/>
      <c r="HI346" s="134"/>
      <c r="HJ346" s="134"/>
      <c r="HK346" s="134"/>
      <c r="HL346" s="134"/>
      <c r="HM346" s="134"/>
      <c r="HN346" s="134"/>
      <c r="HO346" s="135"/>
      <c r="HP346" s="135"/>
      <c r="HQ346" s="134"/>
      <c r="HR346" s="134"/>
      <c r="HS346" s="134"/>
      <c r="HT346" s="134"/>
      <c r="HU346" s="134"/>
      <c r="HV346" s="134"/>
      <c r="HW346" s="134"/>
      <c r="HX346" s="134"/>
      <c r="HY346" s="135"/>
      <c r="HZ346" s="135"/>
      <c r="IA346" s="134"/>
      <c r="IB346" s="134"/>
      <c r="IC346" s="134"/>
      <c r="ID346" s="134"/>
      <c r="IE346" s="134"/>
      <c r="IF346" s="134"/>
      <c r="IG346" s="134"/>
      <c r="IH346" s="134"/>
      <c r="II346" s="135"/>
      <c r="IJ346" s="135"/>
      <c r="IK346" s="134"/>
      <c r="IL346" s="134"/>
      <c r="IM346" s="134"/>
      <c r="IN346" s="134"/>
      <c r="IO346" s="134"/>
      <c r="IP346" s="134"/>
      <c r="IQ346" s="134"/>
      <c r="IR346" s="134"/>
      <c r="IS346" s="135"/>
      <c r="IT346" s="135"/>
      <c r="IU346" s="134"/>
      <c r="IV346" s="134"/>
      <c r="IW346" s="134"/>
      <c r="IX346" s="134"/>
      <c r="IY346" s="134"/>
      <c r="IZ346" s="134"/>
      <c r="JA346" s="134"/>
      <c r="JB346" s="134"/>
      <c r="JC346" s="135"/>
      <c r="JD346" s="135"/>
    </row>
    <row r="347" spans="1:264" customFormat="1" ht="15" customHeight="1">
      <c r="A347" s="118" t="s">
        <v>974</v>
      </c>
      <c r="B347" s="616">
        <v>216</v>
      </c>
      <c r="C347" s="616">
        <v>76</v>
      </c>
      <c r="D347" s="616"/>
      <c r="E347" s="605" t="s">
        <v>2116</v>
      </c>
      <c r="F347" s="140" t="s">
        <v>2375</v>
      </c>
      <c r="G347" s="141">
        <v>2007</v>
      </c>
      <c r="H347" s="118">
        <v>17027033</v>
      </c>
      <c r="I347" s="118">
        <v>1</v>
      </c>
      <c r="J347" s="118">
        <v>1</v>
      </c>
      <c r="K347" s="118"/>
      <c r="L347" s="118">
        <v>1</v>
      </c>
      <c r="M347" s="118"/>
      <c r="N347" s="118">
        <v>1</v>
      </c>
      <c r="O347" s="142">
        <v>2</v>
      </c>
      <c r="P347" s="118" t="s">
        <v>1569</v>
      </c>
      <c r="Q347" s="118" t="s">
        <v>1216</v>
      </c>
      <c r="R347" s="118" t="s">
        <v>1568</v>
      </c>
      <c r="S347" s="118"/>
      <c r="T347" s="118" t="s">
        <v>1541</v>
      </c>
      <c r="U347" s="118"/>
      <c r="V347" s="118"/>
      <c r="W347" s="118" t="s">
        <v>1570</v>
      </c>
      <c r="X347" s="118"/>
      <c r="Y347" s="118" t="s">
        <v>1132</v>
      </c>
      <c r="Z347" s="118"/>
      <c r="AA347" s="118"/>
      <c r="AB347" s="118"/>
      <c r="AC347" s="145"/>
      <c r="AD347" s="573">
        <v>1</v>
      </c>
      <c r="AE347" s="573">
        <v>2</v>
      </c>
      <c r="AF347" s="230" t="s">
        <v>3003</v>
      </c>
      <c r="AG347" s="231" t="s">
        <v>5599</v>
      </c>
      <c r="AH347" s="122">
        <v>5</v>
      </c>
      <c r="AI347" s="485" t="s">
        <v>5601</v>
      </c>
      <c r="AJ347" s="204" t="s">
        <v>5559</v>
      </c>
      <c r="AK347" s="192">
        <v>2</v>
      </c>
      <c r="AL347" s="205">
        <v>0</v>
      </c>
      <c r="AM347" s="122">
        <v>8</v>
      </c>
      <c r="AN347" s="121">
        <v>8</v>
      </c>
      <c r="AO347" s="346" t="s">
        <v>5564</v>
      </c>
      <c r="AP347" s="122" t="s">
        <v>803</v>
      </c>
      <c r="AQ347" s="122" t="s">
        <v>803</v>
      </c>
      <c r="AR347" s="122" t="s">
        <v>4544</v>
      </c>
      <c r="AS347" s="122" t="s">
        <v>24</v>
      </c>
      <c r="AT347" s="122" t="s">
        <v>4544</v>
      </c>
      <c r="AU347" s="122" t="s">
        <v>24</v>
      </c>
      <c r="AV347" s="122" t="s">
        <v>5549</v>
      </c>
      <c r="AW347" s="122">
        <v>1</v>
      </c>
      <c r="AX347" s="122" t="s">
        <v>5553</v>
      </c>
      <c r="AY347" s="122" t="s">
        <v>5546</v>
      </c>
      <c r="AZ347" s="122" t="s">
        <v>5566</v>
      </c>
      <c r="BA347" s="122" t="s">
        <v>4508</v>
      </c>
      <c r="BB347" s="588"/>
      <c r="BC347" s="588"/>
      <c r="BD347" s="161">
        <v>1</v>
      </c>
      <c r="BE347" s="161" t="s">
        <v>5545</v>
      </c>
      <c r="BF347" s="161"/>
      <c r="BG347" s="161"/>
      <c r="BH347" s="161"/>
      <c r="BI347" s="161"/>
      <c r="BJ347" s="161"/>
      <c r="BK347" s="161"/>
      <c r="BL347" s="161"/>
      <c r="BM347" s="161"/>
      <c r="BN347" s="161"/>
      <c r="BO347" s="161"/>
      <c r="BP347" s="161"/>
      <c r="BQ347" s="600" t="s">
        <v>5567</v>
      </c>
      <c r="BR347" s="185" t="s">
        <v>6595</v>
      </c>
      <c r="BS347" s="660"/>
      <c r="BT347" s="186" t="s">
        <v>23</v>
      </c>
      <c r="BU347" s="186" t="s">
        <v>5563</v>
      </c>
      <c r="BV347" s="150" t="s">
        <v>5551</v>
      </c>
      <c r="BW347" s="150" t="s">
        <v>5544</v>
      </c>
      <c r="BX347" s="186" t="s">
        <v>5562</v>
      </c>
      <c r="BY347" s="186" t="s">
        <v>2659</v>
      </c>
      <c r="BZ347" s="258" t="s">
        <v>5595</v>
      </c>
      <c r="CA347" s="257" t="s">
        <v>6627</v>
      </c>
      <c r="CB347" s="267" t="s">
        <v>5568</v>
      </c>
      <c r="CC347" s="186">
        <v>27.49</v>
      </c>
      <c r="CD347" s="186">
        <v>13.47</v>
      </c>
      <c r="CE347" s="186"/>
      <c r="CF347" s="267" t="s">
        <v>5569</v>
      </c>
      <c r="CG347" s="186">
        <v>12.62</v>
      </c>
      <c r="CH347" s="186">
        <v>6.69</v>
      </c>
      <c r="CI347" s="186" t="s">
        <v>24</v>
      </c>
      <c r="CJ347" s="294" t="s">
        <v>5586</v>
      </c>
      <c r="CK347" s="295" t="s">
        <v>24</v>
      </c>
      <c r="CL347" s="267" t="s">
        <v>5570</v>
      </c>
      <c r="CM347" s="186">
        <v>23.39</v>
      </c>
      <c r="CN347" s="186">
        <v>14</v>
      </c>
      <c r="CO347" s="186" t="s">
        <v>24</v>
      </c>
      <c r="CP347" s="267" t="s">
        <v>5571</v>
      </c>
      <c r="CQ347" s="186">
        <v>3.96</v>
      </c>
      <c r="CR347" s="150">
        <v>4.17</v>
      </c>
      <c r="CS347" s="150" t="s">
        <v>24</v>
      </c>
      <c r="CT347" s="294" t="s">
        <v>5587</v>
      </c>
      <c r="CU347" s="295" t="s">
        <v>24</v>
      </c>
      <c r="CV347" s="280" t="s">
        <v>5592</v>
      </c>
      <c r="CW347" s="280" t="s">
        <v>5590</v>
      </c>
      <c r="CX347" s="150" t="s">
        <v>24</v>
      </c>
      <c r="CY347" s="150" t="s">
        <v>24</v>
      </c>
      <c r="CZ347" s="150" t="s">
        <v>24</v>
      </c>
      <c r="DA347" s="150" t="s">
        <v>24</v>
      </c>
      <c r="DB347" s="150" t="s">
        <v>24</v>
      </c>
      <c r="DC347" s="150" t="s">
        <v>24</v>
      </c>
      <c r="DD347" s="150" t="s">
        <v>24</v>
      </c>
      <c r="DE347" s="150" t="s">
        <v>24</v>
      </c>
      <c r="DF347" s="302"/>
      <c r="DG347" s="303"/>
      <c r="DH347" s="150" t="s">
        <v>24</v>
      </c>
      <c r="DI347" s="150" t="s">
        <v>24</v>
      </c>
      <c r="DJ347" s="150" t="s">
        <v>24</v>
      </c>
      <c r="DK347" s="150" t="s">
        <v>24</v>
      </c>
      <c r="DL347" s="150" t="s">
        <v>24</v>
      </c>
      <c r="DM347" s="150" t="s">
        <v>24</v>
      </c>
      <c r="DN347" s="150" t="s">
        <v>24</v>
      </c>
      <c r="DO347" s="150" t="s">
        <v>24</v>
      </c>
      <c r="DP347" s="302"/>
      <c r="DQ347" s="303"/>
      <c r="DR347" s="278"/>
      <c r="DS347" s="279"/>
      <c r="DT347" s="150"/>
      <c r="DU347" s="150"/>
      <c r="DV347" s="150"/>
      <c r="DW347" s="150"/>
      <c r="DX347" s="151"/>
      <c r="DY347" s="150"/>
      <c r="DZ347" s="150"/>
      <c r="EA347" s="150"/>
      <c r="EB347" s="303"/>
      <c r="EC347" s="303"/>
      <c r="ED347" s="151"/>
      <c r="EE347" s="150"/>
      <c r="EF347" s="150"/>
      <c r="EG347" s="150"/>
      <c r="EH347" s="151"/>
      <c r="EI347" s="150"/>
      <c r="EJ347" s="150"/>
      <c r="EK347" s="150"/>
      <c r="EL347" s="303"/>
      <c r="EM347" s="303"/>
      <c r="EN347" s="279"/>
      <c r="EO347" s="150"/>
      <c r="EP347" s="150"/>
      <c r="EQ347" s="150"/>
      <c r="ER347" s="150"/>
      <c r="ES347" s="150"/>
      <c r="ET347" s="150"/>
      <c r="EU347" s="150"/>
      <c r="EV347" s="150"/>
      <c r="EW347" s="303"/>
      <c r="EX347" s="303"/>
      <c r="EY347" s="150"/>
      <c r="EZ347" s="150"/>
      <c r="FA347" s="150"/>
      <c r="FB347" s="150"/>
      <c r="FC347" s="150"/>
      <c r="FD347" s="150"/>
      <c r="FE347" s="150"/>
      <c r="FF347" s="150"/>
      <c r="FG347" s="152"/>
      <c r="FH347" s="152"/>
      <c r="FI347" s="150"/>
      <c r="FJ347" s="150"/>
      <c r="FK347" s="150"/>
      <c r="FL347" s="150"/>
      <c r="FM347" s="150"/>
      <c r="FN347" s="150"/>
      <c r="FO347" s="150"/>
      <c r="FP347" s="150"/>
      <c r="FQ347" s="152"/>
      <c r="FR347" s="152"/>
      <c r="FS347" s="150"/>
      <c r="FT347" s="150"/>
      <c r="FU347" s="150"/>
      <c r="FV347" s="150"/>
      <c r="FW347" s="150"/>
      <c r="FX347" s="150"/>
      <c r="FY347" s="150"/>
      <c r="FZ347" s="150"/>
      <c r="GA347" s="152"/>
      <c r="GB347" s="152"/>
      <c r="GC347" s="150"/>
      <c r="GD347" s="150"/>
      <c r="GE347" s="150"/>
      <c r="GF347" s="150"/>
      <c r="GG347" s="150"/>
      <c r="GH347" s="150"/>
      <c r="GI347" s="150"/>
      <c r="GJ347" s="150"/>
      <c r="GK347" s="152"/>
      <c r="GL347" s="152"/>
      <c r="GM347" s="150"/>
      <c r="GN347" s="150"/>
      <c r="GO347" s="150"/>
      <c r="GP347" s="150"/>
      <c r="GQ347" s="150"/>
      <c r="GR347" s="150"/>
      <c r="GS347" s="150"/>
      <c r="GT347" s="150"/>
      <c r="GU347" s="152"/>
      <c r="GV347" s="152"/>
      <c r="GW347" s="134"/>
      <c r="GX347" s="134"/>
      <c r="GY347" s="134"/>
      <c r="GZ347" s="134"/>
      <c r="HA347" s="134"/>
      <c r="HB347" s="134"/>
      <c r="HC347" s="134"/>
      <c r="HD347" s="134"/>
      <c r="HE347" s="135"/>
      <c r="HF347" s="135"/>
      <c r="HG347" s="134"/>
      <c r="HH347" s="134"/>
      <c r="HI347" s="134"/>
      <c r="HJ347" s="134"/>
      <c r="HK347" s="134"/>
      <c r="HL347" s="134"/>
      <c r="HM347" s="134"/>
      <c r="HN347" s="134"/>
      <c r="HO347" s="135"/>
      <c r="HP347" s="135"/>
      <c r="HQ347" s="134"/>
      <c r="HR347" s="134"/>
      <c r="HS347" s="134"/>
      <c r="HT347" s="134"/>
      <c r="HU347" s="134"/>
      <c r="HV347" s="134"/>
      <c r="HW347" s="134"/>
      <c r="HX347" s="134"/>
      <c r="HY347" s="135"/>
      <c r="HZ347" s="135"/>
      <c r="IA347" s="134"/>
      <c r="IB347" s="134"/>
      <c r="IC347" s="134"/>
      <c r="ID347" s="134"/>
      <c r="IE347" s="134"/>
      <c r="IF347" s="134"/>
      <c r="IG347" s="134"/>
      <c r="IH347" s="134"/>
      <c r="II347" s="135"/>
      <c r="IJ347" s="135"/>
      <c r="IK347" s="134"/>
      <c r="IL347" s="134"/>
      <c r="IM347" s="134"/>
      <c r="IN347" s="134"/>
      <c r="IO347" s="134"/>
      <c r="IP347" s="134"/>
      <c r="IQ347" s="134"/>
      <c r="IR347" s="134"/>
      <c r="IS347" s="135"/>
      <c r="IT347" s="135"/>
      <c r="IU347" s="134"/>
      <c r="IV347" s="134"/>
      <c r="IW347" s="134"/>
      <c r="IX347" s="134"/>
      <c r="IY347" s="134"/>
      <c r="IZ347" s="134"/>
      <c r="JA347" s="134"/>
      <c r="JB347" s="134"/>
      <c r="JC347" s="135"/>
      <c r="JD347" s="135"/>
    </row>
    <row r="348" spans="1:264" customFormat="1" ht="15" customHeight="1">
      <c r="A348" s="118" t="s">
        <v>974</v>
      </c>
      <c r="B348" s="616">
        <v>216</v>
      </c>
      <c r="C348" s="616">
        <v>76</v>
      </c>
      <c r="D348" s="616"/>
      <c r="E348" s="605" t="s">
        <v>2116</v>
      </c>
      <c r="F348" s="140" t="s">
        <v>2375</v>
      </c>
      <c r="G348" s="141">
        <v>2007</v>
      </c>
      <c r="H348" s="118">
        <v>17027033</v>
      </c>
      <c r="I348" s="118">
        <v>1</v>
      </c>
      <c r="J348" s="118">
        <v>1</v>
      </c>
      <c r="K348" s="118"/>
      <c r="L348" s="118">
        <v>1</v>
      </c>
      <c r="M348" s="118"/>
      <c r="N348" s="118">
        <v>1</v>
      </c>
      <c r="O348" s="142">
        <v>2</v>
      </c>
      <c r="P348" s="118" t="s">
        <v>1569</v>
      </c>
      <c r="Q348" s="118" t="s">
        <v>1216</v>
      </c>
      <c r="R348" s="118" t="s">
        <v>1568</v>
      </c>
      <c r="S348" s="118"/>
      <c r="T348" s="118" t="s">
        <v>1541</v>
      </c>
      <c r="U348" s="118"/>
      <c r="V348" s="118"/>
      <c r="W348" s="118" t="s">
        <v>1570</v>
      </c>
      <c r="X348" s="118"/>
      <c r="Y348" s="118" t="s">
        <v>1132</v>
      </c>
      <c r="Z348" s="118"/>
      <c r="AA348" s="118"/>
      <c r="AB348" s="118"/>
      <c r="AC348" s="145"/>
      <c r="AD348" s="573">
        <v>1</v>
      </c>
      <c r="AE348" s="573">
        <v>2</v>
      </c>
      <c r="AF348" s="230" t="s">
        <v>3003</v>
      </c>
      <c r="AG348" s="231" t="s">
        <v>5600</v>
      </c>
      <c r="AH348" s="122">
        <v>5</v>
      </c>
      <c r="AI348" s="485" t="s">
        <v>5602</v>
      </c>
      <c r="AJ348" s="204" t="s">
        <v>5557</v>
      </c>
      <c r="AK348" s="192">
        <v>2</v>
      </c>
      <c r="AL348" s="205">
        <v>0</v>
      </c>
      <c r="AM348" s="122" t="s">
        <v>5585</v>
      </c>
      <c r="AN348" s="121" t="s">
        <v>5584</v>
      </c>
      <c r="AO348" s="346" t="s">
        <v>5564</v>
      </c>
      <c r="AP348" s="122" t="s">
        <v>803</v>
      </c>
      <c r="AQ348" s="122" t="s">
        <v>803</v>
      </c>
      <c r="AR348" s="122" t="s">
        <v>4544</v>
      </c>
      <c r="AS348" s="122" t="s">
        <v>24</v>
      </c>
      <c r="AT348" s="122" t="s">
        <v>4544</v>
      </c>
      <c r="AU348" s="122" t="s">
        <v>24</v>
      </c>
      <c r="AV348" s="122" t="s">
        <v>5549</v>
      </c>
      <c r="AW348" s="122">
        <v>1</v>
      </c>
      <c r="AX348" s="122" t="s">
        <v>5554</v>
      </c>
      <c r="AY348" s="122" t="s">
        <v>5546</v>
      </c>
      <c r="AZ348" s="122" t="s">
        <v>5565</v>
      </c>
      <c r="BA348" s="122" t="s">
        <v>4508</v>
      </c>
      <c r="BB348" s="588"/>
      <c r="BC348" s="588"/>
      <c r="BD348" s="161">
        <v>1</v>
      </c>
      <c r="BE348" s="161" t="s">
        <v>5545</v>
      </c>
      <c r="BF348" s="161"/>
      <c r="BG348" s="161"/>
      <c r="BH348" s="161"/>
      <c r="BI348" s="161"/>
      <c r="BJ348" s="161"/>
      <c r="BK348" s="161"/>
      <c r="BL348" s="161"/>
      <c r="BM348" s="161"/>
      <c r="BN348" s="161"/>
      <c r="BO348" s="161"/>
      <c r="BP348" s="161"/>
      <c r="BQ348" s="600" t="s">
        <v>5567</v>
      </c>
      <c r="BR348" s="185" t="s">
        <v>6595</v>
      </c>
      <c r="BS348" s="660"/>
      <c r="BT348" s="186" t="s">
        <v>23</v>
      </c>
      <c r="BU348" s="186" t="s">
        <v>5563</v>
      </c>
      <c r="BV348" s="150" t="s">
        <v>5550</v>
      </c>
      <c r="BW348" s="150" t="s">
        <v>5544</v>
      </c>
      <c r="BX348" s="186" t="s">
        <v>5562</v>
      </c>
      <c r="BY348" s="186" t="s">
        <v>2659</v>
      </c>
      <c r="BZ348" s="261" t="s">
        <v>5593</v>
      </c>
      <c r="CA348" s="620" t="s">
        <v>6627</v>
      </c>
      <c r="CB348" s="267" t="s">
        <v>5573</v>
      </c>
      <c r="CC348" s="186">
        <v>62.01</v>
      </c>
      <c r="CD348" s="186">
        <v>10.59</v>
      </c>
      <c r="CE348" s="186" t="s">
        <v>24</v>
      </c>
      <c r="CF348" s="267" t="s">
        <v>5572</v>
      </c>
      <c r="CG348" s="186">
        <v>25.98</v>
      </c>
      <c r="CH348" s="186">
        <v>15.28</v>
      </c>
      <c r="CI348" s="186" t="s">
        <v>24</v>
      </c>
      <c r="CJ348" s="294" t="s">
        <v>5586</v>
      </c>
      <c r="CK348" s="295" t="s">
        <v>24</v>
      </c>
      <c r="CL348" s="267" t="s">
        <v>5574</v>
      </c>
      <c r="CM348" s="186">
        <v>28.68</v>
      </c>
      <c r="CN348" s="186">
        <v>10.85</v>
      </c>
      <c r="CO348" s="186" t="s">
        <v>24</v>
      </c>
      <c r="CP348" s="267" t="s">
        <v>5575</v>
      </c>
      <c r="CQ348" s="186">
        <v>27.57</v>
      </c>
      <c r="CR348" s="150">
        <v>18.63</v>
      </c>
      <c r="CS348" s="150" t="s">
        <v>24</v>
      </c>
      <c r="CT348" s="294" t="s">
        <v>5587</v>
      </c>
      <c r="CU348" s="295" t="s">
        <v>24</v>
      </c>
      <c r="CV348" s="280" t="s">
        <v>5591</v>
      </c>
      <c r="CW348" s="280" t="s">
        <v>5588</v>
      </c>
      <c r="CX348" s="150" t="s">
        <v>24</v>
      </c>
      <c r="CY348" s="150" t="s">
        <v>24</v>
      </c>
      <c r="CZ348" s="150" t="s">
        <v>24</v>
      </c>
      <c r="DA348" s="150" t="s">
        <v>24</v>
      </c>
      <c r="DB348" s="150" t="s">
        <v>24</v>
      </c>
      <c r="DC348" s="150" t="s">
        <v>24</v>
      </c>
      <c r="DD348" s="150" t="s">
        <v>24</v>
      </c>
      <c r="DE348" s="150" t="s">
        <v>24</v>
      </c>
      <c r="DF348" s="302"/>
      <c r="DG348" s="303"/>
      <c r="DH348" s="150" t="s">
        <v>24</v>
      </c>
      <c r="DI348" s="150" t="s">
        <v>24</v>
      </c>
      <c r="DJ348" s="150" t="s">
        <v>24</v>
      </c>
      <c r="DK348" s="150" t="s">
        <v>24</v>
      </c>
      <c r="DL348" s="150" t="s">
        <v>24</v>
      </c>
      <c r="DM348" s="150" t="s">
        <v>24</v>
      </c>
      <c r="DN348" s="150" t="s">
        <v>24</v>
      </c>
      <c r="DO348" s="150" t="s">
        <v>24</v>
      </c>
      <c r="DP348" s="302"/>
      <c r="DQ348" s="303"/>
      <c r="DR348" s="278"/>
      <c r="DS348" s="279"/>
      <c r="DT348" s="150"/>
      <c r="DU348" s="150"/>
      <c r="DV348" s="150"/>
      <c r="DW348" s="150"/>
      <c r="DX348" s="151"/>
      <c r="DY348" s="150"/>
      <c r="DZ348" s="150"/>
      <c r="EA348" s="150"/>
      <c r="EB348" s="303"/>
      <c r="EC348" s="303"/>
      <c r="ED348" s="151"/>
      <c r="EE348" s="150"/>
      <c r="EF348" s="150"/>
      <c r="EG348" s="150"/>
      <c r="EH348" s="151"/>
      <c r="EI348" s="150"/>
      <c r="EJ348" s="150"/>
      <c r="EK348" s="150"/>
      <c r="EL348" s="303"/>
      <c r="EM348" s="303"/>
      <c r="EN348" s="279"/>
      <c r="EO348" s="150"/>
      <c r="EP348" s="150"/>
      <c r="EQ348" s="150"/>
      <c r="ER348" s="150"/>
      <c r="ES348" s="150"/>
      <c r="ET348" s="150"/>
      <c r="EU348" s="150"/>
      <c r="EV348" s="150"/>
      <c r="EW348" s="303"/>
      <c r="EX348" s="303"/>
      <c r="EY348" s="150"/>
      <c r="EZ348" s="150"/>
      <c r="FA348" s="150"/>
      <c r="FB348" s="150"/>
      <c r="FC348" s="150"/>
      <c r="FD348" s="150"/>
      <c r="FE348" s="150"/>
      <c r="FF348" s="150"/>
      <c r="FG348" s="152"/>
      <c r="FH348" s="152"/>
      <c r="FI348" s="150"/>
      <c r="FJ348" s="150"/>
      <c r="FK348" s="150"/>
      <c r="FL348" s="150"/>
      <c r="FM348" s="150"/>
      <c r="FN348" s="150"/>
      <c r="FO348" s="150"/>
      <c r="FP348" s="150"/>
      <c r="FQ348" s="152"/>
      <c r="FR348" s="152"/>
      <c r="FS348" s="150"/>
      <c r="FT348" s="150"/>
      <c r="FU348" s="150"/>
      <c r="FV348" s="150"/>
      <c r="FW348" s="150"/>
      <c r="FX348" s="150"/>
      <c r="FY348" s="150"/>
      <c r="FZ348" s="150"/>
      <c r="GA348" s="152"/>
      <c r="GB348" s="152"/>
      <c r="GC348" s="150"/>
      <c r="GD348" s="150"/>
      <c r="GE348" s="150"/>
      <c r="GF348" s="150"/>
      <c r="GG348" s="150"/>
      <c r="GH348" s="150"/>
      <c r="GI348" s="150"/>
      <c r="GJ348" s="150"/>
      <c r="GK348" s="152"/>
      <c r="GL348" s="152"/>
      <c r="GM348" s="150"/>
      <c r="GN348" s="150"/>
      <c r="GO348" s="150"/>
      <c r="GP348" s="150"/>
      <c r="GQ348" s="150"/>
      <c r="GR348" s="150"/>
      <c r="GS348" s="150"/>
      <c r="GT348" s="150"/>
      <c r="GU348" s="152"/>
      <c r="GV348" s="152"/>
      <c r="GW348" s="134"/>
      <c r="GX348" s="134"/>
      <c r="GY348" s="134"/>
      <c r="GZ348" s="134"/>
      <c r="HA348" s="134"/>
      <c r="HB348" s="134"/>
      <c r="HC348" s="134"/>
      <c r="HD348" s="134"/>
      <c r="HE348" s="135"/>
      <c r="HF348" s="135"/>
      <c r="HG348" s="134"/>
      <c r="HH348" s="134"/>
      <c r="HI348" s="134"/>
      <c r="HJ348" s="134"/>
      <c r="HK348" s="134"/>
      <c r="HL348" s="134"/>
      <c r="HM348" s="134"/>
      <c r="HN348" s="134"/>
      <c r="HO348" s="135"/>
      <c r="HP348" s="135"/>
      <c r="HQ348" s="134"/>
      <c r="HR348" s="134"/>
      <c r="HS348" s="134"/>
      <c r="HT348" s="134"/>
      <c r="HU348" s="134"/>
      <c r="HV348" s="134"/>
      <c r="HW348" s="134"/>
      <c r="HX348" s="134"/>
      <c r="HY348" s="135"/>
      <c r="HZ348" s="135"/>
      <c r="IA348" s="134"/>
      <c r="IB348" s="134"/>
      <c r="IC348" s="134"/>
      <c r="ID348" s="134"/>
      <c r="IE348" s="134"/>
      <c r="IF348" s="134"/>
      <c r="IG348" s="134"/>
      <c r="IH348" s="134"/>
      <c r="II348" s="135"/>
      <c r="IJ348" s="135"/>
      <c r="IK348" s="134"/>
      <c r="IL348" s="134"/>
      <c r="IM348" s="134"/>
      <c r="IN348" s="134"/>
      <c r="IO348" s="134"/>
      <c r="IP348" s="134"/>
      <c r="IQ348" s="134"/>
      <c r="IR348" s="134"/>
      <c r="IS348" s="135"/>
      <c r="IT348" s="135"/>
      <c r="IU348" s="134"/>
      <c r="IV348" s="134"/>
      <c r="IW348" s="134"/>
      <c r="IX348" s="134"/>
      <c r="IY348" s="134"/>
      <c r="IZ348" s="134"/>
      <c r="JA348" s="134"/>
      <c r="JB348" s="134"/>
      <c r="JC348" s="135"/>
      <c r="JD348" s="135"/>
    </row>
    <row r="349" spans="1:264" customFormat="1" ht="15" customHeight="1">
      <c r="A349" s="118" t="s">
        <v>974</v>
      </c>
      <c r="B349" s="616">
        <v>216</v>
      </c>
      <c r="C349" s="616">
        <v>76</v>
      </c>
      <c r="D349" s="616"/>
      <c r="E349" s="605" t="s">
        <v>2116</v>
      </c>
      <c r="F349" s="140" t="s">
        <v>2375</v>
      </c>
      <c r="G349" s="141">
        <v>2007</v>
      </c>
      <c r="H349" s="118">
        <v>17027033</v>
      </c>
      <c r="I349" s="118">
        <v>1</v>
      </c>
      <c r="J349" s="118">
        <v>1</v>
      </c>
      <c r="K349" s="118"/>
      <c r="L349" s="118">
        <v>1</v>
      </c>
      <c r="M349" s="118"/>
      <c r="N349" s="118">
        <v>1</v>
      </c>
      <c r="O349" s="142">
        <v>2</v>
      </c>
      <c r="P349" s="118" t="s">
        <v>1569</v>
      </c>
      <c r="Q349" s="118" t="s">
        <v>1216</v>
      </c>
      <c r="R349" s="118" t="s">
        <v>1568</v>
      </c>
      <c r="S349" s="118"/>
      <c r="T349" s="118" t="s">
        <v>1541</v>
      </c>
      <c r="U349" s="118"/>
      <c r="V349" s="118"/>
      <c r="W349" s="118" t="s">
        <v>1570</v>
      </c>
      <c r="X349" s="118"/>
      <c r="Y349" s="118" t="s">
        <v>1132</v>
      </c>
      <c r="Z349" s="118"/>
      <c r="AA349" s="118"/>
      <c r="AB349" s="118"/>
      <c r="AC349" s="145"/>
      <c r="AD349" s="573">
        <v>1</v>
      </c>
      <c r="AE349" s="573">
        <v>2</v>
      </c>
      <c r="AF349" s="230" t="s">
        <v>3003</v>
      </c>
      <c r="AG349" s="231" t="s">
        <v>5600</v>
      </c>
      <c r="AH349" s="122">
        <v>5</v>
      </c>
      <c r="AI349" s="485" t="s">
        <v>5603</v>
      </c>
      <c r="AJ349" s="204" t="s">
        <v>5560</v>
      </c>
      <c r="AK349" s="192">
        <v>2</v>
      </c>
      <c r="AL349" s="205">
        <v>0</v>
      </c>
      <c r="AM349" s="122" t="s">
        <v>5585</v>
      </c>
      <c r="AN349" s="121" t="s">
        <v>5584</v>
      </c>
      <c r="AO349" s="346" t="s">
        <v>5564</v>
      </c>
      <c r="AP349" s="122" t="s">
        <v>803</v>
      </c>
      <c r="AQ349" s="122" t="s">
        <v>803</v>
      </c>
      <c r="AR349" s="122" t="s">
        <v>4544</v>
      </c>
      <c r="AS349" s="122" t="s">
        <v>24</v>
      </c>
      <c r="AT349" s="122" t="s">
        <v>4544</v>
      </c>
      <c r="AU349" s="122" t="s">
        <v>24</v>
      </c>
      <c r="AV349" s="122" t="s">
        <v>5549</v>
      </c>
      <c r="AW349" s="122">
        <v>1</v>
      </c>
      <c r="AX349" s="122" t="s">
        <v>5554</v>
      </c>
      <c r="AY349" s="122" t="s">
        <v>5546</v>
      </c>
      <c r="AZ349" s="122" t="s">
        <v>5566</v>
      </c>
      <c r="BA349" s="122" t="s">
        <v>4508</v>
      </c>
      <c r="BB349" s="588"/>
      <c r="BC349" s="588"/>
      <c r="BD349" s="161">
        <v>1</v>
      </c>
      <c r="BE349" s="161" t="s">
        <v>5545</v>
      </c>
      <c r="BF349" s="161"/>
      <c r="BG349" s="161"/>
      <c r="BH349" s="161"/>
      <c r="BI349" s="161"/>
      <c r="BJ349" s="161"/>
      <c r="BK349" s="161"/>
      <c r="BL349" s="161"/>
      <c r="BM349" s="161"/>
      <c r="BN349" s="161"/>
      <c r="BO349" s="161"/>
      <c r="BP349" s="161"/>
      <c r="BQ349" s="600" t="s">
        <v>5567</v>
      </c>
      <c r="BR349" s="185" t="s">
        <v>6595</v>
      </c>
      <c r="BS349" s="660"/>
      <c r="BT349" s="186" t="s">
        <v>23</v>
      </c>
      <c r="BU349" s="186" t="s">
        <v>5563</v>
      </c>
      <c r="BV349" s="150" t="s">
        <v>5550</v>
      </c>
      <c r="BW349" s="150" t="s">
        <v>5544</v>
      </c>
      <c r="BX349" s="186" t="s">
        <v>5562</v>
      </c>
      <c r="BY349" s="186" t="s">
        <v>2659</v>
      </c>
      <c r="BZ349" s="261" t="s">
        <v>5597</v>
      </c>
      <c r="CA349" s="620" t="s">
        <v>6627</v>
      </c>
      <c r="CB349" s="267" t="s">
        <v>5573</v>
      </c>
      <c r="CC349" s="186">
        <v>64.63</v>
      </c>
      <c r="CD349" s="186">
        <v>6.58</v>
      </c>
      <c r="CE349" s="186" t="s">
        <v>24</v>
      </c>
      <c r="CF349" s="267" t="s">
        <v>5572</v>
      </c>
      <c r="CG349" s="186">
        <v>22.03</v>
      </c>
      <c r="CH349" s="186">
        <v>11.09</v>
      </c>
      <c r="CI349" s="186" t="s">
        <v>24</v>
      </c>
      <c r="CJ349" s="294" t="s">
        <v>5586</v>
      </c>
      <c r="CK349" s="295" t="s">
        <v>24</v>
      </c>
      <c r="CL349" s="267" t="s">
        <v>5574</v>
      </c>
      <c r="CM349" s="186">
        <v>33.53</v>
      </c>
      <c r="CN349" s="186">
        <v>17.71</v>
      </c>
      <c r="CO349" s="186" t="s">
        <v>24</v>
      </c>
      <c r="CP349" s="267" t="s">
        <v>5575</v>
      </c>
      <c r="CQ349" s="150">
        <v>15.13</v>
      </c>
      <c r="CR349" s="150">
        <v>11.06</v>
      </c>
      <c r="CS349" s="150" t="s">
        <v>24</v>
      </c>
      <c r="CT349" s="294" t="s">
        <v>5587</v>
      </c>
      <c r="CU349" s="295" t="s">
        <v>24</v>
      </c>
      <c r="CV349" s="280" t="s">
        <v>5592</v>
      </c>
      <c r="CW349" s="280" t="s">
        <v>5590</v>
      </c>
      <c r="CX349" s="150" t="s">
        <v>24</v>
      </c>
      <c r="CY349" s="150" t="s">
        <v>24</v>
      </c>
      <c r="CZ349" s="150" t="s">
        <v>24</v>
      </c>
      <c r="DA349" s="150" t="s">
        <v>24</v>
      </c>
      <c r="DB349" s="150" t="s">
        <v>24</v>
      </c>
      <c r="DC349" s="150" t="s">
        <v>24</v>
      </c>
      <c r="DD349" s="150" t="s">
        <v>24</v>
      </c>
      <c r="DE349" s="150" t="s">
        <v>24</v>
      </c>
      <c r="DF349" s="302"/>
      <c r="DG349" s="303"/>
      <c r="DH349" s="150" t="s">
        <v>24</v>
      </c>
      <c r="DI349" s="150" t="s">
        <v>24</v>
      </c>
      <c r="DJ349" s="150" t="s">
        <v>24</v>
      </c>
      <c r="DK349" s="150" t="s">
        <v>24</v>
      </c>
      <c r="DL349" s="150" t="s">
        <v>24</v>
      </c>
      <c r="DM349" s="150" t="s">
        <v>24</v>
      </c>
      <c r="DN349" s="150" t="s">
        <v>24</v>
      </c>
      <c r="DO349" s="150" t="s">
        <v>24</v>
      </c>
      <c r="DP349" s="302"/>
      <c r="DQ349" s="303"/>
      <c r="DR349" s="278"/>
      <c r="DS349" s="279"/>
      <c r="DT349" s="150"/>
      <c r="DU349" s="150"/>
      <c r="DV349" s="150"/>
      <c r="DW349" s="150"/>
      <c r="DX349" s="151"/>
      <c r="DY349" s="150"/>
      <c r="DZ349" s="150"/>
      <c r="EA349" s="150"/>
      <c r="EB349" s="303"/>
      <c r="EC349" s="303"/>
      <c r="ED349" s="151"/>
      <c r="EE349" s="150"/>
      <c r="EF349" s="150"/>
      <c r="EG349" s="150"/>
      <c r="EH349" s="151"/>
      <c r="EI349" s="150"/>
      <c r="EJ349" s="150"/>
      <c r="EK349" s="150"/>
      <c r="EL349" s="303"/>
      <c r="EM349" s="303"/>
      <c r="EN349" s="279"/>
      <c r="EO349" s="150"/>
      <c r="EP349" s="150"/>
      <c r="EQ349" s="150"/>
      <c r="ER349" s="150"/>
      <c r="ES349" s="150"/>
      <c r="ET349" s="150"/>
      <c r="EU349" s="150"/>
      <c r="EV349" s="150"/>
      <c r="EW349" s="303"/>
      <c r="EX349" s="303"/>
      <c r="EY349" s="150"/>
      <c r="EZ349" s="150"/>
      <c r="FA349" s="150"/>
      <c r="FB349" s="150"/>
      <c r="FC349" s="150"/>
      <c r="FD349" s="150"/>
      <c r="FE349" s="150"/>
      <c r="FF349" s="150"/>
      <c r="FG349" s="152"/>
      <c r="FH349" s="152"/>
      <c r="FI349" s="150"/>
      <c r="FJ349" s="150"/>
      <c r="FK349" s="150"/>
      <c r="FL349" s="150"/>
      <c r="FM349" s="150"/>
      <c r="FN349" s="150"/>
      <c r="FO349" s="150"/>
      <c r="FP349" s="150"/>
      <c r="FQ349" s="152"/>
      <c r="FR349" s="152"/>
      <c r="FS349" s="150"/>
      <c r="FT349" s="150"/>
      <c r="FU349" s="150"/>
      <c r="FV349" s="150"/>
      <c r="FW349" s="150"/>
      <c r="FX349" s="150"/>
      <c r="FY349" s="150"/>
      <c r="FZ349" s="150"/>
      <c r="GA349" s="152"/>
      <c r="GB349" s="152"/>
      <c r="GC349" s="150"/>
      <c r="GD349" s="150"/>
      <c r="GE349" s="150"/>
      <c r="GF349" s="150"/>
      <c r="GG349" s="150"/>
      <c r="GH349" s="150"/>
      <c r="GI349" s="150"/>
      <c r="GJ349" s="150"/>
      <c r="GK349" s="152"/>
      <c r="GL349" s="152"/>
      <c r="GM349" s="150"/>
      <c r="GN349" s="150"/>
      <c r="GO349" s="150"/>
      <c r="GP349" s="150"/>
      <c r="GQ349" s="150"/>
      <c r="GR349" s="150"/>
      <c r="GS349" s="150"/>
      <c r="GT349" s="150"/>
      <c r="GU349" s="152"/>
      <c r="GV349" s="152"/>
      <c r="GW349" s="134"/>
      <c r="GX349" s="134"/>
      <c r="GY349" s="134"/>
      <c r="GZ349" s="134"/>
      <c r="HA349" s="134"/>
      <c r="HB349" s="134"/>
      <c r="HC349" s="134"/>
      <c r="HD349" s="134"/>
      <c r="HE349" s="135"/>
      <c r="HF349" s="135"/>
      <c r="HG349" s="134"/>
      <c r="HH349" s="134"/>
      <c r="HI349" s="134"/>
      <c r="HJ349" s="134"/>
      <c r="HK349" s="134"/>
      <c r="HL349" s="134"/>
      <c r="HM349" s="134"/>
      <c r="HN349" s="134"/>
      <c r="HO349" s="135"/>
      <c r="HP349" s="135"/>
      <c r="HQ349" s="134"/>
      <c r="HR349" s="134"/>
      <c r="HS349" s="134"/>
      <c r="HT349" s="134"/>
      <c r="HU349" s="134"/>
      <c r="HV349" s="134"/>
      <c r="HW349" s="134"/>
      <c r="HX349" s="134"/>
      <c r="HY349" s="135"/>
      <c r="HZ349" s="135"/>
      <c r="IA349" s="134"/>
      <c r="IB349" s="134"/>
      <c r="IC349" s="134"/>
      <c r="ID349" s="134"/>
      <c r="IE349" s="134"/>
      <c r="IF349" s="134"/>
      <c r="IG349" s="134"/>
      <c r="IH349" s="134"/>
      <c r="II349" s="135"/>
      <c r="IJ349" s="135"/>
      <c r="IK349" s="134"/>
      <c r="IL349" s="134"/>
      <c r="IM349" s="134"/>
      <c r="IN349" s="134"/>
      <c r="IO349" s="134"/>
      <c r="IP349" s="134"/>
      <c r="IQ349" s="134"/>
      <c r="IR349" s="134"/>
      <c r="IS349" s="135"/>
      <c r="IT349" s="135"/>
      <c r="IU349" s="134"/>
      <c r="IV349" s="134"/>
      <c r="IW349" s="134"/>
      <c r="IX349" s="134"/>
      <c r="IY349" s="134"/>
      <c r="IZ349" s="134"/>
      <c r="JA349" s="134"/>
      <c r="JB349" s="134"/>
      <c r="JC349" s="135"/>
      <c r="JD349" s="135"/>
    </row>
    <row r="350" spans="1:264" customFormat="1" ht="15" customHeight="1">
      <c r="A350" s="118" t="s">
        <v>974</v>
      </c>
      <c r="B350" s="616">
        <v>216</v>
      </c>
      <c r="C350" s="616">
        <v>76</v>
      </c>
      <c r="D350" s="616"/>
      <c r="E350" s="605" t="s">
        <v>2116</v>
      </c>
      <c r="F350" s="140" t="s">
        <v>2375</v>
      </c>
      <c r="G350" s="141">
        <v>2007</v>
      </c>
      <c r="H350" s="118">
        <v>17027033</v>
      </c>
      <c r="I350" s="118">
        <v>1</v>
      </c>
      <c r="J350" s="118">
        <v>1</v>
      </c>
      <c r="K350" s="118"/>
      <c r="L350" s="118">
        <v>1</v>
      </c>
      <c r="M350" s="118"/>
      <c r="N350" s="118">
        <v>1</v>
      </c>
      <c r="O350" s="142">
        <v>2</v>
      </c>
      <c r="P350" s="118" t="s">
        <v>1569</v>
      </c>
      <c r="Q350" s="118" t="s">
        <v>1216</v>
      </c>
      <c r="R350" s="118" t="s">
        <v>1568</v>
      </c>
      <c r="S350" s="118"/>
      <c r="T350" s="118" t="s">
        <v>1541</v>
      </c>
      <c r="U350" s="118"/>
      <c r="V350" s="118"/>
      <c r="W350" s="118" t="s">
        <v>1570</v>
      </c>
      <c r="X350" s="118"/>
      <c r="Y350" s="118" t="s">
        <v>1132</v>
      </c>
      <c r="Z350" s="118"/>
      <c r="AA350" s="118"/>
      <c r="AB350" s="118"/>
      <c r="AC350" s="145"/>
      <c r="AD350" s="573">
        <v>1</v>
      </c>
      <c r="AE350" s="573">
        <v>2</v>
      </c>
      <c r="AF350" s="472" t="s">
        <v>1917</v>
      </c>
      <c r="AG350" s="473" t="s">
        <v>5548</v>
      </c>
      <c r="AH350" s="122">
        <v>5</v>
      </c>
      <c r="AI350" s="485" t="s">
        <v>5603</v>
      </c>
      <c r="AJ350" s="204" t="s">
        <v>5558</v>
      </c>
      <c r="AK350" s="192">
        <v>2</v>
      </c>
      <c r="AL350" s="205">
        <v>0</v>
      </c>
      <c r="AM350" s="122">
        <f>14+14</f>
        <v>28</v>
      </c>
      <c r="AN350" s="122">
        <v>14</v>
      </c>
      <c r="AO350" s="122">
        <v>14</v>
      </c>
      <c r="AP350" s="122" t="s">
        <v>803</v>
      </c>
      <c r="AQ350" s="122" t="s">
        <v>803</v>
      </c>
      <c r="AR350" s="122" t="s">
        <v>4544</v>
      </c>
      <c r="AS350" s="122" t="s">
        <v>24</v>
      </c>
      <c r="AT350" s="122" t="s">
        <v>4544</v>
      </c>
      <c r="AU350" s="122" t="s">
        <v>24</v>
      </c>
      <c r="AV350" s="122" t="s">
        <v>5549</v>
      </c>
      <c r="AW350" s="122">
        <v>1</v>
      </c>
      <c r="AX350" s="122" t="s">
        <v>5555</v>
      </c>
      <c r="AY350" s="122" t="s">
        <v>5546</v>
      </c>
      <c r="AZ350" s="122" t="s">
        <v>5565</v>
      </c>
      <c r="BA350" s="122" t="s">
        <v>4508</v>
      </c>
      <c r="BB350" s="588"/>
      <c r="BC350" s="588"/>
      <c r="BD350" s="161">
        <v>1</v>
      </c>
      <c r="BE350" s="161" t="s">
        <v>5545</v>
      </c>
      <c r="BF350" s="161"/>
      <c r="BG350" s="161"/>
      <c r="BH350" s="161"/>
      <c r="BI350" s="161"/>
      <c r="BJ350" s="161"/>
      <c r="BK350" s="161"/>
      <c r="BL350" s="161"/>
      <c r="BM350" s="161"/>
      <c r="BN350" s="161"/>
      <c r="BO350" s="161"/>
      <c r="BP350" s="161"/>
      <c r="BQ350" s="600" t="s">
        <v>5567</v>
      </c>
      <c r="BR350" s="185" t="s">
        <v>6595</v>
      </c>
      <c r="BS350" s="660"/>
      <c r="BT350" s="186" t="s">
        <v>1876</v>
      </c>
      <c r="BU350" s="150">
        <v>2</v>
      </c>
      <c r="BV350" s="150" t="s">
        <v>5552</v>
      </c>
      <c r="BW350" s="150" t="s">
        <v>5544</v>
      </c>
      <c r="BX350" s="186" t="s">
        <v>5562</v>
      </c>
      <c r="BY350" s="186" t="s">
        <v>2659</v>
      </c>
      <c r="BZ350" s="261" t="s">
        <v>5594</v>
      </c>
      <c r="CA350" s="620" t="s">
        <v>6627</v>
      </c>
      <c r="CB350" s="267" t="s">
        <v>5576</v>
      </c>
      <c r="CC350" s="186">
        <v>65.98</v>
      </c>
      <c r="CD350" s="186">
        <v>16.95</v>
      </c>
      <c r="CE350" s="186" t="s">
        <v>24</v>
      </c>
      <c r="CF350" s="267" t="s">
        <v>5577</v>
      </c>
      <c r="CG350" s="150">
        <v>29.02</v>
      </c>
      <c r="CH350" s="150">
        <v>15.82</v>
      </c>
      <c r="CI350" s="150" t="s">
        <v>24</v>
      </c>
      <c r="CJ350" s="294" t="s">
        <v>5586</v>
      </c>
      <c r="CK350" s="291" t="s">
        <v>24</v>
      </c>
      <c r="CL350" s="267" t="s">
        <v>5579</v>
      </c>
      <c r="CM350" s="186">
        <v>51.07</v>
      </c>
      <c r="CN350" s="186">
        <v>14.96</v>
      </c>
      <c r="CO350" s="186" t="s">
        <v>24</v>
      </c>
      <c r="CP350" s="267" t="s">
        <v>5578</v>
      </c>
      <c r="CQ350" s="150">
        <v>25.69</v>
      </c>
      <c r="CR350" s="150">
        <v>14.61</v>
      </c>
      <c r="CS350" s="150" t="s">
        <v>24</v>
      </c>
      <c r="CT350" s="294" t="s">
        <v>5587</v>
      </c>
      <c r="CU350" s="295" t="s">
        <v>24</v>
      </c>
      <c r="CV350" s="280" t="s">
        <v>5591</v>
      </c>
      <c r="CW350" s="280" t="s">
        <v>5588</v>
      </c>
      <c r="CX350" s="267" t="s">
        <v>5580</v>
      </c>
      <c r="CY350" s="186">
        <v>7.54</v>
      </c>
      <c r="CZ350" s="186">
        <v>11.1</v>
      </c>
      <c r="DA350" s="186" t="s">
        <v>24</v>
      </c>
      <c r="DB350" s="267" t="s">
        <v>5581</v>
      </c>
      <c r="DC350" s="150">
        <v>3.72</v>
      </c>
      <c r="DD350" s="150">
        <v>6.58</v>
      </c>
      <c r="DE350" s="150" t="s">
        <v>24</v>
      </c>
      <c r="DF350" s="549" t="s">
        <v>5587</v>
      </c>
      <c r="DG350" s="551" t="s">
        <v>24</v>
      </c>
      <c r="DH350" s="267" t="s">
        <v>5582</v>
      </c>
      <c r="DI350" s="186">
        <v>10.49</v>
      </c>
      <c r="DJ350" s="186">
        <v>11.92</v>
      </c>
      <c r="DK350" s="186" t="s">
        <v>24</v>
      </c>
      <c r="DL350" s="267" t="s">
        <v>5583</v>
      </c>
      <c r="DM350" s="150">
        <v>1.96</v>
      </c>
      <c r="DN350" s="150">
        <v>4.45</v>
      </c>
      <c r="DO350" s="150" t="s">
        <v>24</v>
      </c>
      <c r="DP350" s="549" t="s">
        <v>5587</v>
      </c>
      <c r="DQ350" s="551" t="s">
        <v>24</v>
      </c>
      <c r="DR350" s="278" t="s">
        <v>5589</v>
      </c>
      <c r="DS350" s="279" t="s">
        <v>24</v>
      </c>
      <c r="DT350" s="150"/>
      <c r="DU350" s="150"/>
      <c r="DV350" s="150"/>
      <c r="DW350" s="150"/>
      <c r="DX350" s="151"/>
      <c r="DY350" s="150"/>
      <c r="DZ350" s="150"/>
      <c r="EA350" s="150"/>
      <c r="EB350" s="303"/>
      <c r="EC350" s="303"/>
      <c r="ED350" s="151"/>
      <c r="EE350" s="150"/>
      <c r="EF350" s="150"/>
      <c r="EG350" s="150"/>
      <c r="EH350" s="151"/>
      <c r="EI350" s="150"/>
      <c r="EJ350" s="150"/>
      <c r="EK350" s="150"/>
      <c r="EL350" s="303"/>
      <c r="EM350" s="303"/>
      <c r="EN350" s="279"/>
      <c r="EO350" s="150"/>
      <c r="EP350" s="150"/>
      <c r="EQ350" s="150"/>
      <c r="ER350" s="150"/>
      <c r="ES350" s="150"/>
      <c r="ET350" s="150"/>
      <c r="EU350" s="150"/>
      <c r="EV350" s="150"/>
      <c r="EW350" s="303"/>
      <c r="EX350" s="303"/>
      <c r="EY350" s="150"/>
      <c r="EZ350" s="150"/>
      <c r="FA350" s="150"/>
      <c r="FB350" s="150"/>
      <c r="FC350" s="150"/>
      <c r="FD350" s="150"/>
      <c r="FE350" s="150"/>
      <c r="FF350" s="150"/>
      <c r="FG350" s="152"/>
      <c r="FH350" s="152"/>
      <c r="FI350" s="150"/>
      <c r="FJ350" s="150"/>
      <c r="FK350" s="150"/>
      <c r="FL350" s="150"/>
      <c r="FM350" s="150"/>
      <c r="FN350" s="150"/>
      <c r="FO350" s="150"/>
      <c r="FP350" s="150"/>
      <c r="FQ350" s="152"/>
      <c r="FR350" s="152"/>
      <c r="FS350" s="150"/>
      <c r="FT350" s="150"/>
      <c r="FU350" s="150"/>
      <c r="FV350" s="150"/>
      <c r="FW350" s="150"/>
      <c r="FX350" s="150"/>
      <c r="FY350" s="150"/>
      <c r="FZ350" s="150"/>
      <c r="GA350" s="152"/>
      <c r="GB350" s="152"/>
      <c r="GC350" s="150"/>
      <c r="GD350" s="150"/>
      <c r="GE350" s="150"/>
      <c r="GF350" s="150"/>
      <c r="GG350" s="150"/>
      <c r="GH350" s="150"/>
      <c r="GI350" s="150"/>
      <c r="GJ350" s="150"/>
      <c r="GK350" s="152"/>
      <c r="GL350" s="152"/>
      <c r="GM350" s="150"/>
      <c r="GN350" s="150"/>
      <c r="GO350" s="150"/>
      <c r="GP350" s="150"/>
      <c r="GQ350" s="150"/>
      <c r="GR350" s="150"/>
      <c r="GS350" s="150"/>
      <c r="GT350" s="150"/>
      <c r="GU350" s="152"/>
      <c r="GV350" s="152"/>
      <c r="GW350" s="134"/>
      <c r="GX350" s="134"/>
      <c r="GY350" s="134"/>
      <c r="GZ350" s="134"/>
      <c r="HA350" s="134"/>
      <c r="HB350" s="134"/>
      <c r="HC350" s="134"/>
      <c r="HD350" s="134"/>
      <c r="HE350" s="135"/>
      <c r="HF350" s="135"/>
      <c r="HG350" s="134"/>
      <c r="HH350" s="134"/>
      <c r="HI350" s="134"/>
      <c r="HJ350" s="134"/>
      <c r="HK350" s="134"/>
      <c r="HL350" s="134"/>
      <c r="HM350" s="134"/>
      <c r="HN350" s="134"/>
      <c r="HO350" s="135"/>
      <c r="HP350" s="135"/>
      <c r="HQ350" s="134"/>
      <c r="HR350" s="134"/>
      <c r="HS350" s="134"/>
      <c r="HT350" s="134"/>
      <c r="HU350" s="134"/>
      <c r="HV350" s="134"/>
      <c r="HW350" s="134"/>
      <c r="HX350" s="134"/>
      <c r="HY350" s="135"/>
      <c r="HZ350" s="135"/>
      <c r="IA350" s="134"/>
      <c r="IB350" s="134"/>
      <c r="IC350" s="134"/>
      <c r="ID350" s="134"/>
      <c r="IE350" s="134"/>
      <c r="IF350" s="134"/>
      <c r="IG350" s="134"/>
      <c r="IH350" s="134"/>
      <c r="II350" s="135"/>
      <c r="IJ350" s="135"/>
      <c r="IK350" s="134"/>
      <c r="IL350" s="134"/>
      <c r="IM350" s="134"/>
      <c r="IN350" s="134"/>
      <c r="IO350" s="134"/>
      <c r="IP350" s="134"/>
      <c r="IQ350" s="134"/>
      <c r="IR350" s="134"/>
      <c r="IS350" s="135"/>
      <c r="IT350" s="135"/>
      <c r="IU350" s="134"/>
      <c r="IV350" s="134"/>
      <c r="IW350" s="134"/>
      <c r="IX350" s="134"/>
      <c r="IY350" s="134"/>
      <c r="IZ350" s="134"/>
      <c r="JA350" s="134"/>
      <c r="JB350" s="134"/>
      <c r="JC350" s="135"/>
      <c r="JD350" s="135"/>
    </row>
    <row r="351" spans="1:264" customFormat="1" ht="15" customHeight="1">
      <c r="A351" s="118" t="s">
        <v>974</v>
      </c>
      <c r="B351" s="616">
        <v>216</v>
      </c>
      <c r="C351" s="616">
        <v>76</v>
      </c>
      <c r="D351" s="616"/>
      <c r="E351" s="605" t="s">
        <v>2116</v>
      </c>
      <c r="F351" s="140" t="s">
        <v>2375</v>
      </c>
      <c r="G351" s="141">
        <v>2007</v>
      </c>
      <c r="H351" s="118">
        <v>17027033</v>
      </c>
      <c r="I351" s="118">
        <v>1</v>
      </c>
      <c r="J351" s="118">
        <v>1</v>
      </c>
      <c r="K351" s="118"/>
      <c r="L351" s="118">
        <v>1</v>
      </c>
      <c r="M351" s="118"/>
      <c r="N351" s="118">
        <v>1</v>
      </c>
      <c r="O351" s="142">
        <v>2</v>
      </c>
      <c r="P351" s="118" t="s">
        <v>1569</v>
      </c>
      <c r="Q351" s="118" t="s">
        <v>1216</v>
      </c>
      <c r="R351" s="118" t="s">
        <v>1568</v>
      </c>
      <c r="S351" s="118"/>
      <c r="T351" s="118" t="s">
        <v>1541</v>
      </c>
      <c r="U351" s="118"/>
      <c r="V351" s="118"/>
      <c r="W351" s="118" t="s">
        <v>1570</v>
      </c>
      <c r="X351" s="118"/>
      <c r="Y351" s="118" t="s">
        <v>1132</v>
      </c>
      <c r="Z351" s="118"/>
      <c r="AA351" s="118"/>
      <c r="AB351" s="118"/>
      <c r="AC351" s="145"/>
      <c r="AD351" s="573">
        <v>1</v>
      </c>
      <c r="AE351" s="573">
        <v>2</v>
      </c>
      <c r="AF351" s="472" t="s">
        <v>1917</v>
      </c>
      <c r="AG351" s="473" t="s">
        <v>5548</v>
      </c>
      <c r="AH351" s="122">
        <v>5</v>
      </c>
      <c r="AI351" s="485" t="s">
        <v>5603</v>
      </c>
      <c r="AJ351" s="204" t="s">
        <v>5561</v>
      </c>
      <c r="AK351" s="192">
        <v>2</v>
      </c>
      <c r="AL351" s="205">
        <v>0</v>
      </c>
      <c r="AM351" s="122">
        <f>14+13</f>
        <v>27</v>
      </c>
      <c r="AN351" s="122">
        <v>14</v>
      </c>
      <c r="AO351" s="122">
        <v>13</v>
      </c>
      <c r="AP351" s="122" t="s">
        <v>803</v>
      </c>
      <c r="AQ351" s="122" t="s">
        <v>803</v>
      </c>
      <c r="AR351" s="122" t="s">
        <v>4544</v>
      </c>
      <c r="AS351" s="122" t="s">
        <v>24</v>
      </c>
      <c r="AT351" s="122" t="s">
        <v>4544</v>
      </c>
      <c r="AU351" s="122" t="s">
        <v>24</v>
      </c>
      <c r="AV351" s="122" t="s">
        <v>5549</v>
      </c>
      <c r="AW351" s="122">
        <v>1</v>
      </c>
      <c r="AX351" s="122" t="s">
        <v>5555</v>
      </c>
      <c r="AY351" s="122" t="s">
        <v>5546</v>
      </c>
      <c r="AZ351" s="122" t="s">
        <v>5566</v>
      </c>
      <c r="BA351" s="122" t="s">
        <v>4508</v>
      </c>
      <c r="BB351" s="588"/>
      <c r="BC351" s="588"/>
      <c r="BD351" s="161">
        <v>1</v>
      </c>
      <c r="BE351" s="161" t="s">
        <v>5545</v>
      </c>
      <c r="BF351" s="161"/>
      <c r="BG351" s="161"/>
      <c r="BH351" s="161"/>
      <c r="BI351" s="161"/>
      <c r="BJ351" s="161"/>
      <c r="BK351" s="161"/>
      <c r="BL351" s="161"/>
      <c r="BM351" s="161"/>
      <c r="BN351" s="161"/>
      <c r="BO351" s="161"/>
      <c r="BP351" s="161"/>
      <c r="BQ351" s="600" t="s">
        <v>5567</v>
      </c>
      <c r="BR351" s="185" t="s">
        <v>6595</v>
      </c>
      <c r="BS351" s="660"/>
      <c r="BT351" s="186" t="s">
        <v>1876</v>
      </c>
      <c r="BU351" s="150">
        <v>2</v>
      </c>
      <c r="BV351" s="150" t="s">
        <v>5552</v>
      </c>
      <c r="BW351" s="150" t="s">
        <v>5544</v>
      </c>
      <c r="BX351" s="186" t="s">
        <v>5562</v>
      </c>
      <c r="BY351" s="186" t="s">
        <v>2659</v>
      </c>
      <c r="BZ351" s="261" t="s">
        <v>5598</v>
      </c>
      <c r="CA351" s="620" t="s">
        <v>6627</v>
      </c>
      <c r="CB351" s="267" t="s">
        <v>5576</v>
      </c>
      <c r="CC351" s="186">
        <v>46.26</v>
      </c>
      <c r="CD351" s="186">
        <v>22.61</v>
      </c>
      <c r="CE351" s="186" t="s">
        <v>24</v>
      </c>
      <c r="CF351" s="267" t="s">
        <v>5577</v>
      </c>
      <c r="CG351" s="150">
        <v>17.739999999999998</v>
      </c>
      <c r="CH351" s="150">
        <v>18.36</v>
      </c>
      <c r="CI351" s="150" t="s">
        <v>24</v>
      </c>
      <c r="CJ351" s="294" t="s">
        <v>5586</v>
      </c>
      <c r="CK351" s="291" t="s">
        <v>24</v>
      </c>
      <c r="CL351" s="267" t="s">
        <v>5579</v>
      </c>
      <c r="CM351" s="186">
        <v>28.81</v>
      </c>
      <c r="CN351" s="186">
        <v>22.81</v>
      </c>
      <c r="CO351" s="186" t="s">
        <v>24</v>
      </c>
      <c r="CP351" s="267" t="s">
        <v>5578</v>
      </c>
      <c r="CQ351" s="150">
        <v>8.94</v>
      </c>
      <c r="CR351" s="150">
        <v>8.2100000000000009</v>
      </c>
      <c r="CS351" s="150" t="s">
        <v>24</v>
      </c>
      <c r="CT351" s="294" t="s">
        <v>5587</v>
      </c>
      <c r="CU351" s="295" t="s">
        <v>24</v>
      </c>
      <c r="CV351" s="280" t="s">
        <v>5592</v>
      </c>
      <c r="CW351" s="280" t="s">
        <v>5590</v>
      </c>
      <c r="CX351" s="267" t="s">
        <v>5580</v>
      </c>
      <c r="CY351" s="186">
        <v>1.1599999999999999</v>
      </c>
      <c r="CZ351" s="186">
        <v>0.159</v>
      </c>
      <c r="DA351" s="186" t="s">
        <v>24</v>
      </c>
      <c r="DB351" s="267" t="s">
        <v>5581</v>
      </c>
      <c r="DC351" s="150">
        <v>2.3199999999999998</v>
      </c>
      <c r="DD351" s="150">
        <v>2.33</v>
      </c>
      <c r="DE351" s="150" t="s">
        <v>24</v>
      </c>
      <c r="DF351" s="549" t="s">
        <v>5587</v>
      </c>
      <c r="DG351" s="551" t="s">
        <v>24</v>
      </c>
      <c r="DH351" s="267" t="s">
        <v>5582</v>
      </c>
      <c r="DI351" s="186">
        <v>4.4400000000000004</v>
      </c>
      <c r="DJ351" s="186">
        <v>3.93</v>
      </c>
      <c r="DK351" s="186" t="s">
        <v>24</v>
      </c>
      <c r="DL351" s="267" t="s">
        <v>5583</v>
      </c>
      <c r="DM351" s="150">
        <v>0.66</v>
      </c>
      <c r="DN351" s="150">
        <v>7.8E-2</v>
      </c>
      <c r="DO351" s="150" t="s">
        <v>24</v>
      </c>
      <c r="DP351" s="549" t="s">
        <v>5587</v>
      </c>
      <c r="DQ351" s="551" t="s">
        <v>24</v>
      </c>
      <c r="DR351" s="278" t="s">
        <v>5589</v>
      </c>
      <c r="DS351" s="279" t="s">
        <v>24</v>
      </c>
      <c r="DT351" s="150"/>
      <c r="DU351" s="150"/>
      <c r="DV351" s="150"/>
      <c r="DW351" s="150"/>
      <c r="DX351" s="151"/>
      <c r="DY351" s="150"/>
      <c r="DZ351" s="150"/>
      <c r="EA351" s="150"/>
      <c r="EB351" s="303"/>
      <c r="EC351" s="303"/>
      <c r="ED351" s="151"/>
      <c r="EE351" s="150"/>
      <c r="EF351" s="150"/>
      <c r="EG351" s="150"/>
      <c r="EH351" s="151"/>
      <c r="EI351" s="150"/>
      <c r="EJ351" s="150"/>
      <c r="EK351" s="150"/>
      <c r="EL351" s="303"/>
      <c r="EM351" s="303"/>
      <c r="EN351" s="279"/>
      <c r="EO351" s="150"/>
      <c r="EP351" s="150"/>
      <c r="EQ351" s="150"/>
      <c r="ER351" s="150"/>
      <c r="ES351" s="150"/>
      <c r="ET351" s="150"/>
      <c r="EU351" s="150"/>
      <c r="EV351" s="150"/>
      <c r="EW351" s="303"/>
      <c r="EX351" s="303"/>
      <c r="EY351" s="150"/>
      <c r="EZ351" s="150"/>
      <c r="FA351" s="150"/>
      <c r="FB351" s="150"/>
      <c r="FC351" s="150"/>
      <c r="FD351" s="150"/>
      <c r="FE351" s="150"/>
      <c r="FF351" s="150"/>
      <c r="FG351" s="152"/>
      <c r="FH351" s="152"/>
      <c r="FI351" s="150"/>
      <c r="FJ351" s="150"/>
      <c r="FK351" s="150"/>
      <c r="FL351" s="150"/>
      <c r="FM351" s="150"/>
      <c r="FN351" s="150"/>
      <c r="FO351" s="150"/>
      <c r="FP351" s="150"/>
      <c r="FQ351" s="152"/>
      <c r="FR351" s="152"/>
      <c r="FS351" s="150"/>
      <c r="FT351" s="150"/>
      <c r="FU351" s="150"/>
      <c r="FV351" s="150"/>
      <c r="FW351" s="150"/>
      <c r="FX351" s="150"/>
      <c r="FY351" s="150"/>
      <c r="FZ351" s="150"/>
      <c r="GA351" s="152"/>
      <c r="GB351" s="152"/>
      <c r="GC351" s="150"/>
      <c r="GD351" s="150"/>
      <c r="GE351" s="150"/>
      <c r="GF351" s="150"/>
      <c r="GG351" s="150"/>
      <c r="GH351" s="150"/>
      <c r="GI351" s="150"/>
      <c r="GJ351" s="150"/>
      <c r="GK351" s="152"/>
      <c r="GL351" s="152"/>
      <c r="GM351" s="150"/>
      <c r="GN351" s="150"/>
      <c r="GO351" s="150"/>
      <c r="GP351" s="150"/>
      <c r="GQ351" s="150"/>
      <c r="GR351" s="150"/>
      <c r="GS351" s="150"/>
      <c r="GT351" s="150"/>
      <c r="GU351" s="152"/>
      <c r="GV351" s="152"/>
      <c r="GW351" s="134"/>
      <c r="GX351" s="134"/>
      <c r="GY351" s="134"/>
      <c r="GZ351" s="134"/>
      <c r="HA351" s="134"/>
      <c r="HB351" s="134"/>
      <c r="HC351" s="134"/>
      <c r="HD351" s="134"/>
      <c r="HE351" s="135"/>
      <c r="HF351" s="135"/>
      <c r="HG351" s="134"/>
      <c r="HH351" s="134"/>
      <c r="HI351" s="134"/>
      <c r="HJ351" s="134"/>
      <c r="HK351" s="134"/>
      <c r="HL351" s="134"/>
      <c r="HM351" s="134"/>
      <c r="HN351" s="134"/>
      <c r="HO351" s="135"/>
      <c r="HP351" s="135"/>
      <c r="HQ351" s="134"/>
      <c r="HR351" s="134"/>
      <c r="HS351" s="134"/>
      <c r="HT351" s="134"/>
      <c r="HU351" s="134"/>
      <c r="HV351" s="134"/>
      <c r="HW351" s="134"/>
      <c r="HX351" s="134"/>
      <c r="HY351" s="135"/>
      <c r="HZ351" s="135"/>
      <c r="IA351" s="134"/>
      <c r="IB351" s="134"/>
      <c r="IC351" s="134"/>
      <c r="ID351" s="134"/>
      <c r="IE351" s="134"/>
      <c r="IF351" s="134"/>
      <c r="IG351" s="134"/>
      <c r="IH351" s="134"/>
      <c r="II351" s="135"/>
      <c r="IJ351" s="135"/>
      <c r="IK351" s="134"/>
      <c r="IL351" s="134"/>
      <c r="IM351" s="134"/>
      <c r="IN351" s="134"/>
      <c r="IO351" s="134"/>
      <c r="IP351" s="134"/>
      <c r="IQ351" s="134"/>
      <c r="IR351" s="134"/>
      <c r="IS351" s="135"/>
      <c r="IT351" s="135"/>
      <c r="IU351" s="134"/>
      <c r="IV351" s="134"/>
      <c r="IW351" s="134"/>
      <c r="IX351" s="134"/>
      <c r="IY351" s="134"/>
      <c r="IZ351" s="134"/>
      <c r="JA351" s="134"/>
      <c r="JB351" s="134"/>
      <c r="JC351" s="135"/>
      <c r="JD351" s="135"/>
    </row>
    <row r="352" spans="1:264" customFormat="1" ht="15" customHeight="1">
      <c r="A352" s="79" t="s">
        <v>303</v>
      </c>
      <c r="B352" s="362">
        <v>218</v>
      </c>
      <c r="C352" s="362">
        <v>77</v>
      </c>
      <c r="D352" s="362"/>
      <c r="E352" s="604" t="s">
        <v>2024</v>
      </c>
      <c r="F352" s="124" t="s">
        <v>2257</v>
      </c>
      <c r="G352" s="125">
        <v>2007</v>
      </c>
      <c r="H352" s="79">
        <v>17436378</v>
      </c>
      <c r="I352" s="79">
        <v>1</v>
      </c>
      <c r="J352" s="126"/>
      <c r="K352" s="127"/>
      <c r="L352" s="79">
        <v>1</v>
      </c>
      <c r="M352" s="79"/>
      <c r="N352" s="79">
        <v>1</v>
      </c>
      <c r="O352" s="128">
        <v>1</v>
      </c>
      <c r="P352" s="79" t="s">
        <v>794</v>
      </c>
      <c r="Q352" s="79" t="s">
        <v>1147</v>
      </c>
      <c r="R352" s="79" t="s">
        <v>591</v>
      </c>
      <c r="S352" s="79">
        <v>1</v>
      </c>
      <c r="T352" s="79"/>
      <c r="U352" s="79"/>
      <c r="V352" s="79"/>
      <c r="W352" s="79" t="s">
        <v>795</v>
      </c>
      <c r="X352" s="79" t="s">
        <v>24</v>
      </c>
      <c r="Y352" s="79" t="s">
        <v>24</v>
      </c>
      <c r="Z352" s="79"/>
      <c r="AA352" s="79"/>
      <c r="AB352" s="79"/>
      <c r="AC352" s="506"/>
      <c r="AD352" s="573">
        <v>1</v>
      </c>
      <c r="AE352" s="573">
        <v>2</v>
      </c>
      <c r="AF352" s="154">
        <v>1</v>
      </c>
      <c r="AG352" s="155"/>
      <c r="AH352" s="121">
        <v>2</v>
      </c>
      <c r="AI352" s="484" t="s">
        <v>5625</v>
      </c>
      <c r="AJ352" s="202" t="s">
        <v>5604</v>
      </c>
      <c r="AK352" s="192">
        <v>0</v>
      </c>
      <c r="AL352" s="203" t="s">
        <v>24</v>
      </c>
      <c r="AM352" s="121">
        <f>Table668[[#This Row],[Data_Subjects_n_ptsd]]+Table668[[#This Row],[Data_Subjects_n_control]]</f>
        <v>41</v>
      </c>
      <c r="AN352" s="121">
        <v>20</v>
      </c>
      <c r="AO352" s="121">
        <v>21</v>
      </c>
      <c r="AP352" s="121" t="s">
        <v>803</v>
      </c>
      <c r="AQ352" s="121" t="s">
        <v>803</v>
      </c>
      <c r="AR352" s="121">
        <v>38.1</v>
      </c>
      <c r="AS352" s="121">
        <v>5.7</v>
      </c>
      <c r="AT352" s="121">
        <v>38</v>
      </c>
      <c r="AU352" s="121">
        <v>6</v>
      </c>
      <c r="AV352" s="121" t="s">
        <v>5605</v>
      </c>
      <c r="AW352" s="121" t="s">
        <v>24</v>
      </c>
      <c r="AX352" s="121" t="s">
        <v>24</v>
      </c>
      <c r="AY352" s="121" t="s">
        <v>5607</v>
      </c>
      <c r="AZ352" s="121" t="s">
        <v>3835</v>
      </c>
      <c r="BA352" s="121" t="s">
        <v>5606</v>
      </c>
      <c r="BB352" s="594"/>
      <c r="BC352" s="594"/>
      <c r="BD352" s="156"/>
      <c r="BE352" s="156"/>
      <c r="BF352" s="156"/>
      <c r="BG352" s="156"/>
      <c r="BH352" s="156"/>
      <c r="BI352" s="156"/>
      <c r="BJ352" s="156">
        <v>1</v>
      </c>
      <c r="BK352" s="156"/>
      <c r="BL352" s="156"/>
      <c r="BM352" s="156"/>
      <c r="BN352" s="156"/>
      <c r="BO352" s="156"/>
      <c r="BP352" s="156"/>
      <c r="BQ352" s="595" t="s">
        <v>5337</v>
      </c>
      <c r="BR352" s="157" t="s">
        <v>6612</v>
      </c>
      <c r="BS352" s="660"/>
      <c r="BT352" s="134" t="s">
        <v>1876</v>
      </c>
      <c r="BU352" s="134">
        <v>2</v>
      </c>
      <c r="BV352" s="134" t="s">
        <v>5608</v>
      </c>
      <c r="BW352" s="134" t="s">
        <v>24</v>
      </c>
      <c r="BX352" s="134" t="s">
        <v>5609</v>
      </c>
      <c r="BY352" s="134"/>
      <c r="BZ352" s="259" t="s">
        <v>5624</v>
      </c>
      <c r="CA352" s="454" t="s">
        <v>24</v>
      </c>
      <c r="CB352" s="138" t="s">
        <v>5610</v>
      </c>
      <c r="CC352" s="134">
        <v>35.6</v>
      </c>
      <c r="CD352" s="134">
        <v>0.8</v>
      </c>
      <c r="CE352" s="134" t="s">
        <v>24</v>
      </c>
      <c r="CF352" s="138" t="s">
        <v>5611</v>
      </c>
      <c r="CG352" s="134">
        <v>35.799999999999997</v>
      </c>
      <c r="CH352" s="134">
        <v>0</v>
      </c>
      <c r="CI352" s="134" t="s">
        <v>24</v>
      </c>
      <c r="CJ352" s="288" t="s">
        <v>5379</v>
      </c>
      <c r="CK352" s="289" t="s">
        <v>5620</v>
      </c>
      <c r="CL352" s="138" t="s">
        <v>5612</v>
      </c>
      <c r="CM352" s="134">
        <v>16.3</v>
      </c>
      <c r="CN352" s="134">
        <v>6.4</v>
      </c>
      <c r="CO352" s="134" t="s">
        <v>24</v>
      </c>
      <c r="CP352" s="138" t="s">
        <v>5613</v>
      </c>
      <c r="CQ352" s="134">
        <v>26.7</v>
      </c>
      <c r="CR352" s="134">
        <v>4.5</v>
      </c>
      <c r="CS352" s="134" t="s">
        <v>24</v>
      </c>
      <c r="CT352" s="288" t="s">
        <v>4742</v>
      </c>
      <c r="CU352" s="289" t="s">
        <v>5621</v>
      </c>
      <c r="CV352" s="276" t="s">
        <v>5623</v>
      </c>
      <c r="CW352" s="276" t="s">
        <v>5623</v>
      </c>
      <c r="CX352" s="138" t="s">
        <v>5614</v>
      </c>
      <c r="CY352" s="134">
        <v>15.7</v>
      </c>
      <c r="CZ352" s="134">
        <v>6.1</v>
      </c>
      <c r="DA352" s="134" t="s">
        <v>24</v>
      </c>
      <c r="DB352" s="138" t="s">
        <v>5615</v>
      </c>
      <c r="DC352" s="134">
        <v>26.3</v>
      </c>
      <c r="DD352" s="134">
        <v>4.5999999999999996</v>
      </c>
      <c r="DE352" s="134" t="s">
        <v>24</v>
      </c>
      <c r="DF352" s="300" t="s">
        <v>4742</v>
      </c>
      <c r="DG352" s="301" t="s">
        <v>5622</v>
      </c>
      <c r="DH352" s="134" t="s">
        <v>5616</v>
      </c>
      <c r="DI352" s="134">
        <v>7.8</v>
      </c>
      <c r="DJ352" s="134">
        <v>3</v>
      </c>
      <c r="DK352" s="134" t="s">
        <v>24</v>
      </c>
      <c r="DL352" s="134" t="s">
        <v>5617</v>
      </c>
      <c r="DM352" s="134">
        <v>4</v>
      </c>
      <c r="DN352" s="134">
        <v>1.9</v>
      </c>
      <c r="DO352" s="134" t="s">
        <v>24</v>
      </c>
      <c r="DP352" s="300" t="s">
        <v>5618</v>
      </c>
      <c r="DQ352" s="301" t="s">
        <v>5619</v>
      </c>
      <c r="DR352" s="278"/>
      <c r="DS352" s="277"/>
      <c r="DT352" s="134"/>
      <c r="DU352" s="134"/>
      <c r="DV352" s="134"/>
      <c r="DW352" s="134"/>
      <c r="DX352" s="138"/>
      <c r="DY352" s="134"/>
      <c r="DZ352" s="134"/>
      <c r="EA352" s="134"/>
      <c r="EB352" s="301"/>
      <c r="EC352" s="301"/>
      <c r="ED352" s="138"/>
      <c r="EE352" s="134"/>
      <c r="EF352" s="134"/>
      <c r="EG352" s="134"/>
      <c r="EH352" s="138"/>
      <c r="EI352" s="134"/>
      <c r="EJ352" s="134"/>
      <c r="EK352" s="134"/>
      <c r="EL352" s="301"/>
      <c r="EM352" s="301"/>
      <c r="EN352" s="277"/>
      <c r="EO352" s="134"/>
      <c r="EP352" s="134"/>
      <c r="EQ352" s="134"/>
      <c r="ER352" s="134"/>
      <c r="ES352" s="134"/>
      <c r="ET352" s="134"/>
      <c r="EU352" s="134"/>
      <c r="EV352" s="134"/>
      <c r="EW352" s="301"/>
      <c r="EX352" s="301"/>
      <c r="EY352" s="134"/>
      <c r="EZ352" s="134"/>
      <c r="FA352" s="134"/>
      <c r="FB352" s="134"/>
      <c r="FC352" s="134"/>
      <c r="FD352" s="134"/>
      <c r="FE352" s="134"/>
      <c r="FF352" s="134"/>
      <c r="FG352" s="135"/>
      <c r="FH352" s="135"/>
      <c r="FI352" s="134"/>
      <c r="FJ352" s="134"/>
      <c r="FK352" s="134"/>
      <c r="FL352" s="134"/>
      <c r="FM352" s="134"/>
      <c r="FN352" s="134"/>
      <c r="FO352" s="134"/>
      <c r="FP352" s="134"/>
      <c r="FQ352" s="135"/>
      <c r="FR352" s="135"/>
      <c r="FS352" s="134"/>
      <c r="FT352" s="134"/>
      <c r="FU352" s="134"/>
      <c r="FV352" s="134"/>
      <c r="FW352" s="134"/>
      <c r="FX352" s="134"/>
      <c r="FY352" s="134"/>
      <c r="FZ352" s="134"/>
      <c r="GA352" s="135"/>
      <c r="GB352" s="135"/>
      <c r="GC352" s="134"/>
      <c r="GD352" s="134"/>
      <c r="GE352" s="134"/>
      <c r="GF352" s="134"/>
      <c r="GG352" s="134"/>
      <c r="GH352" s="134"/>
      <c r="GI352" s="134"/>
      <c r="GJ352" s="134"/>
      <c r="GK352" s="135"/>
      <c r="GL352" s="135"/>
      <c r="GM352" s="134"/>
      <c r="GN352" s="134"/>
      <c r="GO352" s="134"/>
      <c r="GP352" s="134"/>
      <c r="GQ352" s="134"/>
      <c r="GR352" s="134"/>
      <c r="GS352" s="134"/>
      <c r="GT352" s="134"/>
      <c r="GU352" s="135"/>
      <c r="GV352" s="135"/>
      <c r="GW352" s="134"/>
      <c r="GX352" s="134"/>
      <c r="GY352" s="134"/>
      <c r="GZ352" s="134"/>
      <c r="HA352" s="134"/>
      <c r="HB352" s="134"/>
      <c r="HC352" s="134"/>
      <c r="HD352" s="134"/>
      <c r="HE352" s="135"/>
      <c r="HF352" s="135"/>
      <c r="HG352" s="134"/>
      <c r="HH352" s="134"/>
      <c r="HI352" s="134"/>
      <c r="HJ352" s="134"/>
      <c r="HK352" s="134"/>
      <c r="HL352" s="134"/>
      <c r="HM352" s="134"/>
      <c r="HN352" s="134"/>
      <c r="HO352" s="135"/>
      <c r="HP352" s="135"/>
      <c r="HQ352" s="134"/>
      <c r="HR352" s="134"/>
      <c r="HS352" s="134"/>
      <c r="HT352" s="134"/>
      <c r="HU352" s="134"/>
      <c r="HV352" s="134"/>
      <c r="HW352" s="134"/>
      <c r="HX352" s="134"/>
      <c r="HY352" s="135"/>
      <c r="HZ352" s="135"/>
      <c r="IA352" s="134"/>
      <c r="IB352" s="134"/>
      <c r="IC352" s="134"/>
      <c r="ID352" s="134"/>
      <c r="IE352" s="134"/>
      <c r="IF352" s="134"/>
      <c r="IG352" s="134"/>
      <c r="IH352" s="134"/>
      <c r="II352" s="135"/>
      <c r="IJ352" s="135"/>
      <c r="IK352" s="134"/>
      <c r="IL352" s="134"/>
      <c r="IM352" s="134"/>
      <c r="IN352" s="134"/>
      <c r="IO352" s="134"/>
      <c r="IP352" s="134"/>
      <c r="IQ352" s="134"/>
      <c r="IR352" s="134"/>
      <c r="IS352" s="135"/>
      <c r="IT352" s="135"/>
      <c r="IU352" s="134"/>
      <c r="IV352" s="134"/>
      <c r="IW352" s="134"/>
      <c r="IX352" s="134"/>
      <c r="IY352" s="134"/>
      <c r="IZ352" s="134"/>
      <c r="JA352" s="134"/>
      <c r="JB352" s="134"/>
      <c r="JC352" s="135"/>
      <c r="JD352" s="135"/>
    </row>
    <row r="353" spans="1:264" customFormat="1" ht="15" customHeight="1">
      <c r="A353" s="79" t="s">
        <v>971</v>
      </c>
      <c r="B353" s="362">
        <v>219</v>
      </c>
      <c r="C353" s="362">
        <v>78</v>
      </c>
      <c r="D353" s="362"/>
      <c r="E353" s="604" t="s">
        <v>2117</v>
      </c>
      <c r="F353" s="124" t="s">
        <v>2376</v>
      </c>
      <c r="G353" s="125">
        <v>2015</v>
      </c>
      <c r="H353" s="79">
        <v>25533441</v>
      </c>
      <c r="I353" s="79">
        <v>1</v>
      </c>
      <c r="J353" s="126"/>
      <c r="K353" s="127"/>
      <c r="L353" s="79">
        <v>1</v>
      </c>
      <c r="M353" s="79"/>
      <c r="N353" s="79">
        <v>1</v>
      </c>
      <c r="O353" s="128">
        <v>2</v>
      </c>
      <c r="P353" s="79" t="s">
        <v>1464</v>
      </c>
      <c r="Q353" s="79" t="s">
        <v>1216</v>
      </c>
      <c r="R353" s="79" t="s">
        <v>1130</v>
      </c>
      <c r="S353" s="79"/>
      <c r="T353" s="79" t="s">
        <v>1487</v>
      </c>
      <c r="U353" s="79" t="s">
        <v>803</v>
      </c>
      <c r="V353" s="79"/>
      <c r="W353" s="79" t="s">
        <v>1580</v>
      </c>
      <c r="X353" s="79" t="s">
        <v>1579</v>
      </c>
      <c r="Y353" s="79" t="s">
        <v>1209</v>
      </c>
      <c r="Z353" s="79"/>
      <c r="AA353" s="79" t="s">
        <v>1578</v>
      </c>
      <c r="AB353" s="79"/>
      <c r="AC353" s="506"/>
      <c r="AD353" s="573">
        <v>1</v>
      </c>
      <c r="AE353" s="573">
        <v>2</v>
      </c>
      <c r="AF353" s="154">
        <v>1</v>
      </c>
      <c r="AG353" s="155"/>
      <c r="AH353" s="121">
        <v>4</v>
      </c>
      <c r="AI353" s="484" t="s">
        <v>5640</v>
      </c>
      <c r="AJ353" s="202" t="s">
        <v>5639</v>
      </c>
      <c r="AK353" s="192">
        <v>0</v>
      </c>
      <c r="AL353" s="203">
        <v>0</v>
      </c>
      <c r="AM353" s="121">
        <f>Table668[[#This Row],[Data_Subjects_n_ptsd]]+Table668[[#This Row],[Data_Subjects_n_control]]</f>
        <v>20</v>
      </c>
      <c r="AN353" s="121">
        <v>10</v>
      </c>
      <c r="AO353" s="121">
        <v>10</v>
      </c>
      <c r="AP353" s="121" t="s">
        <v>803</v>
      </c>
      <c r="AQ353" s="121" t="s">
        <v>803</v>
      </c>
      <c r="AR353" s="121" t="s">
        <v>2882</v>
      </c>
      <c r="AS353" s="121" t="s">
        <v>24</v>
      </c>
      <c r="AT353" s="121" t="s">
        <v>2882</v>
      </c>
      <c r="AU353" s="121" t="s">
        <v>24</v>
      </c>
      <c r="AV353" s="121" t="s">
        <v>5627</v>
      </c>
      <c r="AW353" s="121">
        <v>1</v>
      </c>
      <c r="AX353" s="121">
        <v>1</v>
      </c>
      <c r="AY353" s="121" t="s">
        <v>5628</v>
      </c>
      <c r="AZ353" s="121" t="s">
        <v>3698</v>
      </c>
      <c r="BA353" s="121" t="s">
        <v>3045</v>
      </c>
      <c r="BB353" s="594"/>
      <c r="BC353" s="594"/>
      <c r="BD353" s="156"/>
      <c r="BE353" s="156"/>
      <c r="BF353" s="156"/>
      <c r="BG353" s="156"/>
      <c r="BH353" s="156"/>
      <c r="BI353" s="156"/>
      <c r="BJ353" s="156">
        <v>1</v>
      </c>
      <c r="BK353" s="156"/>
      <c r="BL353" s="156"/>
      <c r="BM353" s="156"/>
      <c r="BN353" s="156"/>
      <c r="BO353" s="156"/>
      <c r="BP353" s="156"/>
      <c r="BQ353" s="595" t="s">
        <v>5632</v>
      </c>
      <c r="BR353" s="157" t="s">
        <v>6626</v>
      </c>
      <c r="BS353" s="660"/>
      <c r="BT353" s="134" t="s">
        <v>1876</v>
      </c>
      <c r="BU353" s="134" t="s">
        <v>5629</v>
      </c>
      <c r="BV353" s="134" t="s">
        <v>5630</v>
      </c>
      <c r="BW353" s="134" t="s">
        <v>5626</v>
      </c>
      <c r="BX353" s="134" t="s">
        <v>5631</v>
      </c>
      <c r="BY353" s="134"/>
      <c r="BZ353" s="259" t="s">
        <v>5641</v>
      </c>
      <c r="CA353" s="454" t="s">
        <v>24</v>
      </c>
      <c r="CB353" s="138" t="s">
        <v>5636</v>
      </c>
      <c r="CC353" s="134">
        <v>4.9824599999999997</v>
      </c>
      <c r="CD353" s="168" t="s">
        <v>24</v>
      </c>
      <c r="CE353" s="134">
        <f>5.75439-Table668[[#This Row],[Data_Outcome1_M]]</f>
        <v>0.77193000000000023</v>
      </c>
      <c r="CF353" s="138" t="s">
        <v>5637</v>
      </c>
      <c r="CG353" s="134">
        <v>0.30409399999999998</v>
      </c>
      <c r="CH353" s="134" t="s">
        <v>24</v>
      </c>
      <c r="CI353" s="134">
        <f>0.561404-Table668[[#This Row],[Data_Outcome2_M]]</f>
        <v>0.25731000000000004</v>
      </c>
      <c r="CJ353" s="288" t="s">
        <v>5633</v>
      </c>
      <c r="CK353" s="289" t="s">
        <v>2555</v>
      </c>
      <c r="CL353" s="138" t="s">
        <v>5634</v>
      </c>
      <c r="CM353" s="134">
        <v>4.4299099999999996</v>
      </c>
      <c r="CN353" s="134" t="s">
        <v>24</v>
      </c>
      <c r="CO353" s="134">
        <f>5.30841-Table668[[#This Row],[Data_Outcome3_M]]</f>
        <v>0.87850000000000072</v>
      </c>
      <c r="CP353" s="138" t="s">
        <v>5635</v>
      </c>
      <c r="CQ353" s="134">
        <v>0.80373799999999995</v>
      </c>
      <c r="CR353" s="134" t="s">
        <v>24</v>
      </c>
      <c r="CS353" s="134">
        <f>1.15888-Table668[[#This Row],[Data_Outcome4_M]]</f>
        <v>0.35514199999999996</v>
      </c>
      <c r="CT353" s="288" t="s">
        <v>5638</v>
      </c>
      <c r="CU353" s="289" t="s">
        <v>2555</v>
      </c>
      <c r="CV353" s="276"/>
      <c r="CW353" s="308"/>
      <c r="CX353" s="138"/>
      <c r="CY353" s="134"/>
      <c r="CZ353" s="134"/>
      <c r="DA353" s="134"/>
      <c r="DB353" s="134"/>
      <c r="DC353" s="134"/>
      <c r="DD353" s="134"/>
      <c r="DE353" s="134"/>
      <c r="DF353" s="300"/>
      <c r="DG353" s="301"/>
      <c r="DH353" s="134"/>
      <c r="DI353" s="134"/>
      <c r="DJ353" s="134"/>
      <c r="DK353" s="134"/>
      <c r="DL353" s="134"/>
      <c r="DM353" s="134"/>
      <c r="DN353" s="134"/>
      <c r="DO353" s="134"/>
      <c r="DP353" s="300"/>
      <c r="DQ353" s="301"/>
      <c r="DR353" s="276"/>
      <c r="DS353" s="277"/>
      <c r="DT353" s="134"/>
      <c r="DU353" s="134"/>
      <c r="DV353" s="134"/>
      <c r="DW353" s="134"/>
      <c r="DX353" s="138"/>
      <c r="DY353" s="134"/>
      <c r="DZ353" s="134"/>
      <c r="EA353" s="134"/>
      <c r="EB353" s="301"/>
      <c r="EC353" s="301"/>
      <c r="ED353" s="138"/>
      <c r="EE353" s="134"/>
      <c r="EF353" s="134"/>
      <c r="EG353" s="134"/>
      <c r="EH353" s="138"/>
      <c r="EI353" s="134"/>
      <c r="EJ353" s="134"/>
      <c r="EK353" s="134"/>
      <c r="EL353" s="301"/>
      <c r="EM353" s="301"/>
      <c r="EN353" s="277"/>
      <c r="EO353" s="134"/>
      <c r="EP353" s="134"/>
      <c r="EQ353" s="134"/>
      <c r="ER353" s="134"/>
      <c r="ES353" s="134"/>
      <c r="ET353" s="134"/>
      <c r="EU353" s="134"/>
      <c r="EV353" s="134"/>
      <c r="EW353" s="301"/>
      <c r="EX353" s="301"/>
      <c r="EY353" s="134"/>
      <c r="EZ353" s="134"/>
      <c r="FA353" s="134"/>
      <c r="FB353" s="134"/>
      <c r="FC353" s="134"/>
      <c r="FD353" s="134"/>
      <c r="FE353" s="134"/>
      <c r="FF353" s="134"/>
      <c r="FG353" s="135"/>
      <c r="FH353" s="135"/>
      <c r="FI353" s="134"/>
      <c r="FJ353" s="134"/>
      <c r="FK353" s="134"/>
      <c r="FL353" s="134"/>
      <c r="FM353" s="134"/>
      <c r="FN353" s="134"/>
      <c r="FO353" s="134"/>
      <c r="FP353" s="134"/>
      <c r="FQ353" s="135"/>
      <c r="FR353" s="135"/>
      <c r="FS353" s="134"/>
      <c r="FT353" s="134"/>
      <c r="FU353" s="134"/>
      <c r="FV353" s="134"/>
      <c r="FW353" s="134"/>
      <c r="FX353" s="134"/>
      <c r="FY353" s="134"/>
      <c r="FZ353" s="134"/>
      <c r="GA353" s="135"/>
      <c r="GB353" s="135"/>
      <c r="GC353" s="134"/>
      <c r="GD353" s="134"/>
      <c r="GE353" s="134"/>
      <c r="GF353" s="134"/>
      <c r="GG353" s="134"/>
      <c r="GH353" s="134"/>
      <c r="GI353" s="134"/>
      <c r="GJ353" s="134"/>
      <c r="GK353" s="135"/>
      <c r="GL353" s="135"/>
      <c r="GM353" s="134"/>
      <c r="GN353" s="134"/>
      <c r="GO353" s="134"/>
      <c r="GP353" s="134"/>
      <c r="GQ353" s="134"/>
      <c r="GR353" s="134"/>
      <c r="GS353" s="134"/>
      <c r="GT353" s="134"/>
      <c r="GU353" s="135"/>
      <c r="GV353" s="135"/>
      <c r="GW353" s="134"/>
      <c r="GX353" s="134"/>
      <c r="GY353" s="134"/>
      <c r="GZ353" s="134"/>
      <c r="HA353" s="134"/>
      <c r="HB353" s="134"/>
      <c r="HC353" s="134"/>
      <c r="HD353" s="134"/>
      <c r="HE353" s="135"/>
      <c r="HF353" s="135"/>
      <c r="HG353" s="134"/>
      <c r="HH353" s="134"/>
      <c r="HI353" s="134"/>
      <c r="HJ353" s="134"/>
      <c r="HK353" s="134"/>
      <c r="HL353" s="134"/>
      <c r="HM353" s="134"/>
      <c r="HN353" s="134"/>
      <c r="HO353" s="135"/>
      <c r="HP353" s="135"/>
      <c r="HQ353" s="134"/>
      <c r="HR353" s="134"/>
      <c r="HS353" s="134"/>
      <c r="HT353" s="134"/>
      <c r="HU353" s="134"/>
      <c r="HV353" s="134"/>
      <c r="HW353" s="134"/>
      <c r="HX353" s="134"/>
      <c r="HY353" s="135"/>
      <c r="HZ353" s="135"/>
      <c r="IA353" s="134"/>
      <c r="IB353" s="134"/>
      <c r="IC353" s="134"/>
      <c r="ID353" s="134"/>
      <c r="IE353" s="134"/>
      <c r="IF353" s="134"/>
      <c r="IG353" s="134"/>
      <c r="IH353" s="134"/>
      <c r="II353" s="135"/>
      <c r="IJ353" s="135"/>
      <c r="IK353" s="134"/>
      <c r="IL353" s="134"/>
      <c r="IM353" s="134"/>
      <c r="IN353" s="134"/>
      <c r="IO353" s="134"/>
      <c r="IP353" s="134"/>
      <c r="IQ353" s="134"/>
      <c r="IR353" s="134"/>
      <c r="IS353" s="135"/>
      <c r="IT353" s="135"/>
      <c r="IU353" s="134"/>
      <c r="IV353" s="134"/>
      <c r="IW353" s="134"/>
      <c r="IX353" s="134"/>
      <c r="IY353" s="134"/>
      <c r="IZ353" s="134"/>
      <c r="JA353" s="134"/>
      <c r="JB353" s="134"/>
      <c r="JC353" s="135"/>
      <c r="JD353" s="135"/>
    </row>
    <row r="354" spans="1:264" customFormat="1" ht="15" customHeight="1">
      <c r="A354" s="79" t="s">
        <v>305</v>
      </c>
      <c r="B354" s="362">
        <v>220</v>
      </c>
      <c r="C354" s="362">
        <v>79</v>
      </c>
      <c r="D354" s="362"/>
      <c r="E354" s="604" t="s">
        <v>2025</v>
      </c>
      <c r="F354" s="124" t="s">
        <v>2258</v>
      </c>
      <c r="G354" s="125">
        <v>2014</v>
      </c>
      <c r="H354" s="79">
        <v>24245926</v>
      </c>
      <c r="I354" s="79">
        <v>1</v>
      </c>
      <c r="J354" s="126"/>
      <c r="K354" s="127"/>
      <c r="L354" s="79">
        <v>1</v>
      </c>
      <c r="M354" s="79"/>
      <c r="N354" s="79">
        <v>1</v>
      </c>
      <c r="O354" s="128">
        <v>1</v>
      </c>
      <c r="P354" s="79" t="s">
        <v>797</v>
      </c>
      <c r="Q354" s="79" t="s">
        <v>1147</v>
      </c>
      <c r="R354" s="79" t="s">
        <v>514</v>
      </c>
      <c r="S354" s="79">
        <v>1</v>
      </c>
      <c r="T354" s="79"/>
      <c r="U354" s="79"/>
      <c r="V354" s="79"/>
      <c r="W354" s="79"/>
      <c r="X354" s="79"/>
      <c r="Y354" s="79"/>
      <c r="Z354" s="79"/>
      <c r="AA354" s="79"/>
      <c r="AB354" s="79" t="s">
        <v>799</v>
      </c>
      <c r="AC354" s="506"/>
      <c r="AD354" s="573">
        <v>1</v>
      </c>
      <c r="AE354" s="573">
        <v>2</v>
      </c>
      <c r="AF354" s="165">
        <v>0</v>
      </c>
      <c r="AG354" s="166" t="s">
        <v>5643</v>
      </c>
      <c r="AH354" s="120">
        <v>2</v>
      </c>
      <c r="AI354" s="120"/>
      <c r="AJ354" s="206" t="s">
        <v>5642</v>
      </c>
      <c r="AK354" s="372"/>
      <c r="AL354" s="207"/>
      <c r="AM354" s="120"/>
      <c r="AN354" s="120"/>
      <c r="AO354" s="120"/>
      <c r="AP354" s="120"/>
      <c r="AQ354" s="120"/>
      <c r="AR354" s="120"/>
      <c r="AS354" s="120"/>
      <c r="AT354" s="120"/>
      <c r="AU354" s="120"/>
      <c r="AV354" s="120"/>
      <c r="AW354" s="120"/>
      <c r="AX354" s="120"/>
      <c r="AY354" s="120"/>
      <c r="AZ354" s="120"/>
      <c r="BA354" s="120"/>
      <c r="BB354" s="594"/>
      <c r="BC354" s="594"/>
      <c r="BD354" s="373"/>
      <c r="BE354" s="373"/>
      <c r="BF354" s="373"/>
      <c r="BG354" s="373"/>
      <c r="BH354" s="373"/>
      <c r="BI354" s="373"/>
      <c r="BJ354" s="373">
        <v>1</v>
      </c>
      <c r="BK354" s="373"/>
      <c r="BL354" s="373"/>
      <c r="BM354" s="373"/>
      <c r="BN354" s="373"/>
      <c r="BO354" s="373"/>
      <c r="BP354" s="373"/>
      <c r="BQ354" s="599" t="s">
        <v>24</v>
      </c>
      <c r="BR354" s="374"/>
      <c r="BS354" s="660"/>
      <c r="BT354" s="120"/>
      <c r="BU354" s="120"/>
      <c r="BV354" s="120"/>
      <c r="BW354" s="120"/>
      <c r="BX354" s="120"/>
      <c r="BY354" s="120"/>
      <c r="BZ354" s="375"/>
      <c r="CA354" s="380"/>
      <c r="CB354" s="138"/>
      <c r="CC354" s="134"/>
      <c r="CD354" s="134"/>
      <c r="CE354" s="134"/>
      <c r="CF354" s="138"/>
      <c r="CG354" s="134"/>
      <c r="CH354" s="134"/>
      <c r="CI354" s="134"/>
      <c r="CJ354" s="288"/>
      <c r="CK354" s="289"/>
      <c r="CL354" s="138"/>
      <c r="CM354" s="134"/>
      <c r="CN354" s="134"/>
      <c r="CO354" s="134"/>
      <c r="CP354" s="138"/>
      <c r="CQ354" s="134"/>
      <c r="CR354" s="134"/>
      <c r="CS354" s="134"/>
      <c r="CT354" s="288"/>
      <c r="CU354" s="289"/>
      <c r="CV354" s="276"/>
      <c r="CW354" s="308"/>
      <c r="CX354" s="138"/>
      <c r="CY354" s="134"/>
      <c r="CZ354" s="134"/>
      <c r="DA354" s="134"/>
      <c r="DB354" s="134"/>
      <c r="DC354" s="134"/>
      <c r="DD354" s="134"/>
      <c r="DE354" s="134"/>
      <c r="DF354" s="300"/>
      <c r="DG354" s="301"/>
      <c r="DH354" s="134"/>
      <c r="DI354" s="134"/>
      <c r="DJ354" s="134"/>
      <c r="DK354" s="134"/>
      <c r="DL354" s="134"/>
      <c r="DM354" s="134"/>
      <c r="DN354" s="134"/>
      <c r="DO354" s="134"/>
      <c r="DP354" s="300"/>
      <c r="DQ354" s="301"/>
      <c r="DR354" s="276"/>
      <c r="DS354" s="277"/>
      <c r="DT354" s="134"/>
      <c r="DU354" s="134"/>
      <c r="DV354" s="134"/>
      <c r="DW354" s="134"/>
      <c r="DX354" s="138"/>
      <c r="DY354" s="134"/>
      <c r="DZ354" s="134"/>
      <c r="EA354" s="134"/>
      <c r="EB354" s="301"/>
      <c r="EC354" s="301"/>
      <c r="ED354" s="138"/>
      <c r="EE354" s="134"/>
      <c r="EF354" s="134"/>
      <c r="EG354" s="134"/>
      <c r="EH354" s="138"/>
      <c r="EI354" s="134"/>
      <c r="EJ354" s="134"/>
      <c r="EK354" s="134"/>
      <c r="EL354" s="301"/>
      <c r="EM354" s="301"/>
      <c r="EN354" s="277"/>
      <c r="EO354" s="134"/>
      <c r="EP354" s="134"/>
      <c r="EQ354" s="134"/>
      <c r="ER354" s="134"/>
      <c r="ES354" s="134"/>
      <c r="ET354" s="134"/>
      <c r="EU354" s="134"/>
      <c r="EV354" s="134"/>
      <c r="EW354" s="301"/>
      <c r="EX354" s="301"/>
      <c r="EY354" s="134"/>
      <c r="EZ354" s="134"/>
      <c r="FA354" s="134"/>
      <c r="FB354" s="134"/>
      <c r="FC354" s="134"/>
      <c r="FD354" s="134"/>
      <c r="FE354" s="134"/>
      <c r="FF354" s="134"/>
      <c r="FG354" s="135"/>
      <c r="FH354" s="135"/>
      <c r="FI354" s="134"/>
      <c r="FJ354" s="134"/>
      <c r="FK354" s="134"/>
      <c r="FL354" s="134"/>
      <c r="FM354" s="134"/>
      <c r="FN354" s="134"/>
      <c r="FO354" s="134"/>
      <c r="FP354" s="134"/>
      <c r="FQ354" s="135"/>
      <c r="FR354" s="135"/>
      <c r="FS354" s="134"/>
      <c r="FT354" s="134"/>
      <c r="FU354" s="134"/>
      <c r="FV354" s="134"/>
      <c r="FW354" s="134"/>
      <c r="FX354" s="134"/>
      <c r="FY354" s="134"/>
      <c r="FZ354" s="134"/>
      <c r="GA354" s="135"/>
      <c r="GB354" s="135"/>
      <c r="GC354" s="134"/>
      <c r="GD354" s="134"/>
      <c r="GE354" s="134"/>
      <c r="GF354" s="134"/>
      <c r="GG354" s="134"/>
      <c r="GH354" s="134"/>
      <c r="GI354" s="134"/>
      <c r="GJ354" s="134"/>
      <c r="GK354" s="135"/>
      <c r="GL354" s="135"/>
      <c r="GM354" s="134"/>
      <c r="GN354" s="134"/>
      <c r="GO354" s="134"/>
      <c r="GP354" s="134"/>
      <c r="GQ354" s="134"/>
      <c r="GR354" s="134"/>
      <c r="GS354" s="134"/>
      <c r="GT354" s="134"/>
      <c r="GU354" s="135"/>
      <c r="GV354" s="135"/>
      <c r="GW354" s="134"/>
      <c r="GX354" s="134"/>
      <c r="GY354" s="134"/>
      <c r="GZ354" s="134"/>
      <c r="HA354" s="134"/>
      <c r="HB354" s="134"/>
      <c r="HC354" s="134"/>
      <c r="HD354" s="134"/>
      <c r="HE354" s="135"/>
      <c r="HF354" s="135"/>
      <c r="HG354" s="134"/>
      <c r="HH354" s="134"/>
      <c r="HI354" s="134"/>
      <c r="HJ354" s="134"/>
      <c r="HK354" s="134"/>
      <c r="HL354" s="134"/>
      <c r="HM354" s="134"/>
      <c r="HN354" s="134"/>
      <c r="HO354" s="135"/>
      <c r="HP354" s="135"/>
      <c r="HQ354" s="134"/>
      <c r="HR354" s="134"/>
      <c r="HS354" s="134"/>
      <c r="HT354" s="134"/>
      <c r="HU354" s="134"/>
      <c r="HV354" s="134"/>
      <c r="HW354" s="134"/>
      <c r="HX354" s="134"/>
      <c r="HY354" s="135"/>
      <c r="HZ354" s="135"/>
      <c r="IA354" s="134"/>
      <c r="IB354" s="134"/>
      <c r="IC354" s="134"/>
      <c r="ID354" s="134"/>
      <c r="IE354" s="134"/>
      <c r="IF354" s="134"/>
      <c r="IG354" s="134"/>
      <c r="IH354" s="134"/>
      <c r="II354" s="135"/>
      <c r="IJ354" s="135"/>
      <c r="IK354" s="134"/>
      <c r="IL354" s="134"/>
      <c r="IM354" s="134"/>
      <c r="IN354" s="134"/>
      <c r="IO354" s="134"/>
      <c r="IP354" s="134"/>
      <c r="IQ354" s="134"/>
      <c r="IR354" s="134"/>
      <c r="IS354" s="135"/>
      <c r="IT354" s="135"/>
      <c r="IU354" s="134"/>
      <c r="IV354" s="134"/>
      <c r="IW354" s="134"/>
      <c r="IX354" s="134"/>
      <c r="IY354" s="134"/>
      <c r="IZ354" s="134"/>
      <c r="JA354" s="134"/>
      <c r="JB354" s="134"/>
      <c r="JC354" s="135"/>
      <c r="JD354" s="135"/>
    </row>
    <row r="355" spans="1:264" customFormat="1" ht="15" customHeight="1">
      <c r="A355" s="79" t="s">
        <v>313</v>
      </c>
      <c r="B355" s="362">
        <v>222</v>
      </c>
      <c r="C355" s="362">
        <v>80</v>
      </c>
      <c r="D355" s="362"/>
      <c r="E355" s="604" t="s">
        <v>2027</v>
      </c>
      <c r="F355" s="124" t="s">
        <v>2260</v>
      </c>
      <c r="G355" s="125">
        <v>2015</v>
      </c>
      <c r="H355" s="79">
        <v>25847622</v>
      </c>
      <c r="I355" s="79">
        <v>1</v>
      </c>
      <c r="J355" s="126"/>
      <c r="K355" s="127"/>
      <c r="L355" s="79">
        <v>1</v>
      </c>
      <c r="M355" s="79"/>
      <c r="N355" s="79">
        <v>1</v>
      </c>
      <c r="O355" s="128">
        <v>1</v>
      </c>
      <c r="P355" s="79" t="s">
        <v>815</v>
      </c>
      <c r="Q355" s="79" t="s">
        <v>1147</v>
      </c>
      <c r="R355" s="79" t="s">
        <v>1195</v>
      </c>
      <c r="S355" s="79">
        <v>1</v>
      </c>
      <c r="T355" s="79"/>
      <c r="U355" s="79"/>
      <c r="V355" s="79"/>
      <c r="W355" s="79" t="s">
        <v>813</v>
      </c>
      <c r="X355" s="79" t="s">
        <v>24</v>
      </c>
      <c r="Y355" s="79" t="s">
        <v>24</v>
      </c>
      <c r="Z355" s="79" t="s">
        <v>814</v>
      </c>
      <c r="AA355" s="79"/>
      <c r="AB355" s="79"/>
      <c r="AC355" s="506"/>
      <c r="AD355" s="573">
        <v>1</v>
      </c>
      <c r="AE355" s="573">
        <v>2</v>
      </c>
      <c r="AF355" s="154">
        <v>1</v>
      </c>
      <c r="AG355" s="155" t="s">
        <v>5657</v>
      </c>
      <c r="AH355" s="121">
        <v>2</v>
      </c>
      <c r="AI355" s="484" t="s">
        <v>5656</v>
      </c>
      <c r="AJ355" s="202" t="s">
        <v>5646</v>
      </c>
      <c r="AK355" s="192" t="s">
        <v>5658</v>
      </c>
      <c r="AL355" s="203" t="s">
        <v>24</v>
      </c>
      <c r="AM355" s="121">
        <f>Table668[[#This Row],[Data_Subjects_n_ptsd]]+Table668[[#This Row],[Data_Subjects_n_control]]</f>
        <v>109</v>
      </c>
      <c r="AN355" s="121">
        <v>56</v>
      </c>
      <c r="AO355" s="121">
        <v>53</v>
      </c>
      <c r="AP355" s="121" t="s">
        <v>1878</v>
      </c>
      <c r="AQ355" s="121" t="s">
        <v>1878</v>
      </c>
      <c r="AR355" s="121">
        <v>36.770000000000003</v>
      </c>
      <c r="AS355" s="121">
        <v>11.48</v>
      </c>
      <c r="AT355" s="121">
        <v>37.130000000000003</v>
      </c>
      <c r="AU355" s="121">
        <v>11.67</v>
      </c>
      <c r="AV355" s="121" t="s">
        <v>5645</v>
      </c>
      <c r="AW355" s="121" t="s">
        <v>24</v>
      </c>
      <c r="AX355" s="121" t="s">
        <v>24</v>
      </c>
      <c r="AY355" s="121" t="s">
        <v>5647</v>
      </c>
      <c r="AZ355" s="121" t="s">
        <v>5644</v>
      </c>
      <c r="BA355" s="121" t="s">
        <v>5648</v>
      </c>
      <c r="BB355" s="594"/>
      <c r="BC355" s="594"/>
      <c r="BD355" s="156"/>
      <c r="BE355" s="156"/>
      <c r="BF355" s="156"/>
      <c r="BG355" s="156"/>
      <c r="BH355" s="156"/>
      <c r="BI355" s="156" t="s">
        <v>4727</v>
      </c>
      <c r="BJ355" s="156">
        <v>1</v>
      </c>
      <c r="BK355" s="156"/>
      <c r="BL355" s="156"/>
      <c r="BM355" s="156"/>
      <c r="BN355" s="156" t="s">
        <v>4727</v>
      </c>
      <c r="BO355" s="156"/>
      <c r="BP355" s="156"/>
      <c r="BQ355" s="595" t="s">
        <v>4208</v>
      </c>
      <c r="BR355" s="157" t="s">
        <v>6611</v>
      </c>
      <c r="BS355" s="660"/>
      <c r="BT355" s="134" t="s">
        <v>1876</v>
      </c>
      <c r="BU355" s="134">
        <v>2</v>
      </c>
      <c r="BV355" s="134" t="s">
        <v>5649</v>
      </c>
      <c r="BW355" s="134" t="s">
        <v>24</v>
      </c>
      <c r="BX355" s="134" t="s">
        <v>5650</v>
      </c>
      <c r="BY355" s="134"/>
      <c r="BZ355" s="259" t="s">
        <v>5659</v>
      </c>
      <c r="CA355" s="454" t="s">
        <v>24</v>
      </c>
      <c r="CB355" s="138" t="s">
        <v>5651</v>
      </c>
      <c r="CC355" s="134">
        <v>0.04</v>
      </c>
      <c r="CD355" s="134">
        <v>0.59</v>
      </c>
      <c r="CE355" s="134" t="s">
        <v>24</v>
      </c>
      <c r="CF355" s="138" t="s">
        <v>5652</v>
      </c>
      <c r="CG355" s="134">
        <v>0.42</v>
      </c>
      <c r="CH355" s="168">
        <v>0.44</v>
      </c>
      <c r="CI355" s="134" t="s">
        <v>24</v>
      </c>
      <c r="CJ355" s="288" t="s">
        <v>5653</v>
      </c>
      <c r="CK355" s="289" t="s">
        <v>5660</v>
      </c>
      <c r="CL355" s="138" t="s">
        <v>5654</v>
      </c>
      <c r="CM355" s="134">
        <v>0.15</v>
      </c>
      <c r="CN355" s="134">
        <v>0.99</v>
      </c>
      <c r="CO355" s="134" t="s">
        <v>24</v>
      </c>
      <c r="CP355" s="138" t="s">
        <v>5655</v>
      </c>
      <c r="CQ355" s="134">
        <v>0.12</v>
      </c>
      <c r="CR355" s="134">
        <v>0.56999999999999995</v>
      </c>
      <c r="CS355" s="134" t="s">
        <v>24</v>
      </c>
      <c r="CT355" s="288" t="s">
        <v>5438</v>
      </c>
      <c r="CU355" s="289" t="s">
        <v>5661</v>
      </c>
      <c r="CV355" s="276" t="s">
        <v>24</v>
      </c>
      <c r="CW355" s="308" t="s">
        <v>24</v>
      </c>
      <c r="CX355" s="138"/>
      <c r="CY355" s="134"/>
      <c r="CZ355" s="134"/>
      <c r="DA355" s="134"/>
      <c r="DB355" s="134"/>
      <c r="DC355" s="134"/>
      <c r="DD355" s="134"/>
      <c r="DE355" s="134"/>
      <c r="DF355" s="300"/>
      <c r="DG355" s="301"/>
      <c r="DH355" s="134"/>
      <c r="DI355" s="134"/>
      <c r="DJ355" s="134"/>
      <c r="DK355" s="134"/>
      <c r="DL355" s="134"/>
      <c r="DM355" s="134"/>
      <c r="DN355" s="134"/>
      <c r="DO355" s="134"/>
      <c r="DP355" s="300"/>
      <c r="DQ355" s="301"/>
      <c r="DR355" s="276"/>
      <c r="DS355" s="277"/>
      <c r="DT355" s="134"/>
      <c r="DU355" s="134"/>
      <c r="DV355" s="134"/>
      <c r="DW355" s="134"/>
      <c r="DX355" s="138"/>
      <c r="DY355" s="134"/>
      <c r="DZ355" s="134"/>
      <c r="EA355" s="134"/>
      <c r="EB355" s="301"/>
      <c r="EC355" s="301"/>
      <c r="ED355" s="138"/>
      <c r="EE355" s="134"/>
      <c r="EF355" s="134"/>
      <c r="EG355" s="134"/>
      <c r="EH355" s="138"/>
      <c r="EI355" s="134"/>
      <c r="EJ355" s="134"/>
      <c r="EK355" s="134"/>
      <c r="EL355" s="301"/>
      <c r="EM355" s="301"/>
      <c r="EN355" s="277"/>
      <c r="EO355" s="134"/>
      <c r="EP355" s="134"/>
      <c r="EQ355" s="134"/>
      <c r="ER355" s="134"/>
      <c r="ES355" s="134"/>
      <c r="ET355" s="134"/>
      <c r="EU355" s="134"/>
      <c r="EV355" s="134"/>
      <c r="EW355" s="301"/>
      <c r="EX355" s="301"/>
      <c r="EY355" s="134"/>
      <c r="EZ355" s="134"/>
      <c r="FA355" s="134"/>
      <c r="FB355" s="134"/>
      <c r="FC355" s="134"/>
      <c r="FD355" s="134"/>
      <c r="FE355" s="134"/>
      <c r="FF355" s="134"/>
      <c r="FG355" s="135"/>
      <c r="FH355" s="135"/>
      <c r="FI355" s="134"/>
      <c r="FJ355" s="134"/>
      <c r="FK355" s="134"/>
      <c r="FL355" s="134"/>
      <c r="FM355" s="134"/>
      <c r="FN355" s="134"/>
      <c r="FO355" s="134"/>
      <c r="FP355" s="134"/>
      <c r="FQ355" s="135"/>
      <c r="FR355" s="135"/>
      <c r="FS355" s="134"/>
      <c r="FT355" s="134"/>
      <c r="FU355" s="134"/>
      <c r="FV355" s="134"/>
      <c r="FW355" s="134"/>
      <c r="FX355" s="134"/>
      <c r="FY355" s="134"/>
      <c r="FZ355" s="134"/>
      <c r="GA355" s="135"/>
      <c r="GB355" s="135"/>
      <c r="GC355" s="134"/>
      <c r="GD355" s="134"/>
      <c r="GE355" s="134"/>
      <c r="GF355" s="134"/>
      <c r="GG355" s="134"/>
      <c r="GH355" s="134"/>
      <c r="GI355" s="134"/>
      <c r="GJ355" s="134"/>
      <c r="GK355" s="135"/>
      <c r="GL355" s="135"/>
      <c r="GM355" s="134"/>
      <c r="GN355" s="134"/>
      <c r="GO355" s="134"/>
      <c r="GP355" s="134"/>
      <c r="GQ355" s="134"/>
      <c r="GR355" s="134"/>
      <c r="GS355" s="134"/>
      <c r="GT355" s="134"/>
      <c r="GU355" s="135"/>
      <c r="GV355" s="135"/>
      <c r="GW355" s="134"/>
      <c r="GX355" s="134"/>
      <c r="GY355" s="134"/>
      <c r="GZ355" s="134"/>
      <c r="HA355" s="134"/>
      <c r="HB355" s="134"/>
      <c r="HC355" s="134"/>
      <c r="HD355" s="134"/>
      <c r="HE355" s="135"/>
      <c r="HF355" s="135"/>
      <c r="HG355" s="134"/>
      <c r="HH355" s="134"/>
      <c r="HI355" s="134"/>
      <c r="HJ355" s="134"/>
      <c r="HK355" s="134"/>
      <c r="HL355" s="134"/>
      <c r="HM355" s="134"/>
      <c r="HN355" s="134"/>
      <c r="HO355" s="135"/>
      <c r="HP355" s="135"/>
      <c r="HQ355" s="134"/>
      <c r="HR355" s="134"/>
      <c r="HS355" s="134"/>
      <c r="HT355" s="134"/>
      <c r="HU355" s="134"/>
      <c r="HV355" s="134"/>
      <c r="HW355" s="134"/>
      <c r="HX355" s="134"/>
      <c r="HY355" s="135"/>
      <c r="HZ355" s="135"/>
      <c r="IA355" s="134"/>
      <c r="IB355" s="134"/>
      <c r="IC355" s="134"/>
      <c r="ID355" s="134"/>
      <c r="IE355" s="134"/>
      <c r="IF355" s="134"/>
      <c r="IG355" s="134"/>
      <c r="IH355" s="134"/>
      <c r="II355" s="135"/>
      <c r="IJ355" s="135"/>
      <c r="IK355" s="134"/>
      <c r="IL355" s="134"/>
      <c r="IM355" s="134"/>
      <c r="IN355" s="134"/>
      <c r="IO355" s="134"/>
      <c r="IP355" s="134"/>
      <c r="IQ355" s="134"/>
      <c r="IR355" s="134"/>
      <c r="IS355" s="135"/>
      <c r="IT355" s="135"/>
      <c r="IU355" s="134"/>
      <c r="IV355" s="134"/>
      <c r="IW355" s="134"/>
      <c r="IX355" s="134"/>
      <c r="IY355" s="134"/>
      <c r="IZ355" s="134"/>
      <c r="JA355" s="134"/>
      <c r="JB355" s="134"/>
      <c r="JC355" s="135"/>
      <c r="JD355" s="135"/>
    </row>
    <row r="356" spans="1:264" customFormat="1" ht="15" customHeight="1">
      <c r="A356" s="118" t="s">
        <v>970</v>
      </c>
      <c r="B356" s="616">
        <v>224</v>
      </c>
      <c r="C356" s="616">
        <v>81</v>
      </c>
      <c r="D356" s="616"/>
      <c r="E356" s="605" t="s">
        <v>2118</v>
      </c>
      <c r="F356" s="140" t="s">
        <v>2377</v>
      </c>
      <c r="G356" s="141">
        <v>2016</v>
      </c>
      <c r="H356" s="118">
        <v>27297027</v>
      </c>
      <c r="I356" s="118">
        <v>1</v>
      </c>
      <c r="J356" s="118">
        <v>1</v>
      </c>
      <c r="K356" s="118"/>
      <c r="L356" s="118">
        <v>1</v>
      </c>
      <c r="M356" s="118"/>
      <c r="N356" s="118">
        <v>1</v>
      </c>
      <c r="O356" s="142">
        <v>2</v>
      </c>
      <c r="P356" s="118" t="s">
        <v>1588</v>
      </c>
      <c r="Q356" s="118" t="s">
        <v>1216</v>
      </c>
      <c r="R356" s="118" t="s">
        <v>1127</v>
      </c>
      <c r="S356" s="118"/>
      <c r="T356" s="118" t="s">
        <v>1498</v>
      </c>
      <c r="U356" s="118"/>
      <c r="V356" s="118"/>
      <c r="W356" s="118" t="s">
        <v>1583</v>
      </c>
      <c r="X356" s="118" t="s">
        <v>1582</v>
      </c>
      <c r="Y356" s="118"/>
      <c r="Z356" s="118"/>
      <c r="AA356" s="118" t="s">
        <v>1581</v>
      </c>
      <c r="AB356" s="118"/>
      <c r="AC356" s="145"/>
      <c r="AD356" s="573">
        <v>1</v>
      </c>
      <c r="AE356" s="573">
        <v>2</v>
      </c>
      <c r="AF356" s="159">
        <v>1</v>
      </c>
      <c r="AG356" s="160" t="s">
        <v>5671</v>
      </c>
      <c r="AH356" s="122">
        <v>4</v>
      </c>
      <c r="AI356" s="485"/>
      <c r="AJ356" s="204" t="s">
        <v>5705</v>
      </c>
      <c r="AK356" s="192" t="s">
        <v>5666</v>
      </c>
      <c r="AL356" s="205">
        <v>0</v>
      </c>
      <c r="AM356" s="150">
        <f>Table668[[#This Row],[Data_Subjects_n_ptsd]]+Table668[[#This Row],[Data_Subjects_n_control]]</f>
        <v>24</v>
      </c>
      <c r="AN356" s="122">
        <v>12</v>
      </c>
      <c r="AO356" s="122">
        <v>12</v>
      </c>
      <c r="AP356" s="122" t="s">
        <v>803</v>
      </c>
      <c r="AQ356" s="122" t="s">
        <v>803</v>
      </c>
      <c r="AR356" s="358" t="s">
        <v>3403</v>
      </c>
      <c r="AS356" s="122" t="s">
        <v>24</v>
      </c>
      <c r="AT356" s="358" t="s">
        <v>3403</v>
      </c>
      <c r="AU356" s="122" t="s">
        <v>24</v>
      </c>
      <c r="AV356" s="122" t="s">
        <v>5665</v>
      </c>
      <c r="AW356" s="122">
        <v>1</v>
      </c>
      <c r="AX356" s="122" t="s">
        <v>5664</v>
      </c>
      <c r="AY356" s="122" t="s">
        <v>5662</v>
      </c>
      <c r="AZ356" s="122" t="s">
        <v>3698</v>
      </c>
      <c r="BA356" s="122" t="s">
        <v>4508</v>
      </c>
      <c r="BB356" s="588"/>
      <c r="BC356" s="588"/>
      <c r="BD356" s="161">
        <v>1</v>
      </c>
      <c r="BE356" s="161"/>
      <c r="BF356" s="161"/>
      <c r="BG356" s="161"/>
      <c r="BH356" s="161"/>
      <c r="BI356" s="161"/>
      <c r="BJ356" s="161"/>
      <c r="BK356" s="161"/>
      <c r="BL356" s="161"/>
      <c r="BM356" s="161"/>
      <c r="BN356" s="161"/>
      <c r="BO356" s="161"/>
      <c r="BP356" s="161"/>
      <c r="BQ356" s="596" t="s">
        <v>5672</v>
      </c>
      <c r="BR356" s="185" t="s">
        <v>6595</v>
      </c>
      <c r="BS356" s="660"/>
      <c r="BT356" s="150" t="s">
        <v>1876</v>
      </c>
      <c r="BU356" s="150" t="s">
        <v>5663</v>
      </c>
      <c r="BV356" s="150" t="s">
        <v>5668</v>
      </c>
      <c r="BW356" s="150" t="s">
        <v>5667</v>
      </c>
      <c r="BX356" s="150" t="s">
        <v>5673</v>
      </c>
      <c r="BY356" s="186" t="s">
        <v>2659</v>
      </c>
      <c r="BZ356" s="258" t="s">
        <v>5694</v>
      </c>
      <c r="CA356" s="257" t="s">
        <v>6627</v>
      </c>
      <c r="CB356" s="167" t="s">
        <v>5676</v>
      </c>
      <c r="CC356" s="150">
        <v>62.805999999999997</v>
      </c>
      <c r="CD356" s="228" t="s">
        <v>24</v>
      </c>
      <c r="CE356" s="150">
        <f>65.9104-Table668[[#This Row],[Data_Outcome1_M]]</f>
        <v>3.1043999999999983</v>
      </c>
      <c r="CF356" s="167" t="s">
        <v>5677</v>
      </c>
      <c r="CG356" s="150">
        <v>42.746299999999998</v>
      </c>
      <c r="CH356" s="150" t="s">
        <v>24</v>
      </c>
      <c r="CI356" s="150">
        <f>45.6119-Table668[[#This Row],[Data_Outcome2_M]]</f>
        <v>2.8656000000000006</v>
      </c>
      <c r="CJ356" s="290" t="s">
        <v>5690</v>
      </c>
      <c r="CK356" s="291" t="s">
        <v>5692</v>
      </c>
      <c r="CL356" s="151" t="s">
        <v>5674</v>
      </c>
      <c r="CM356" s="150">
        <v>78.171099999999996</v>
      </c>
      <c r="CN356" s="150" t="s">
        <v>24</v>
      </c>
      <c r="CO356" s="150">
        <f>82.8909-Table668[[#This Row],[Data_Outcome3_M]]</f>
        <v>4.7198000000000064</v>
      </c>
      <c r="CP356" s="151" t="s">
        <v>5675</v>
      </c>
      <c r="CQ356" s="150">
        <v>64.306799999999996</v>
      </c>
      <c r="CR356" s="150" t="s">
        <v>24</v>
      </c>
      <c r="CS356" s="150">
        <f>69.6165-Table668[[#This Row],[Data_Outcome4_M]]</f>
        <v>5.3097000000000065</v>
      </c>
      <c r="CT356" s="290" t="s">
        <v>5691</v>
      </c>
      <c r="CU356" s="291" t="s">
        <v>5693</v>
      </c>
      <c r="CV356" s="278"/>
      <c r="CW356" s="285"/>
      <c r="CX356" s="151"/>
      <c r="CY356" s="150"/>
      <c r="CZ356" s="150"/>
      <c r="DA356" s="150"/>
      <c r="DB356" s="150"/>
      <c r="DC356" s="150"/>
      <c r="DD356" s="150"/>
      <c r="DE356" s="150"/>
      <c r="DF356" s="302"/>
      <c r="DG356" s="303"/>
      <c r="DH356" s="150"/>
      <c r="DI356" s="150"/>
      <c r="DJ356" s="150"/>
      <c r="DK356" s="150"/>
      <c r="DL356" s="150"/>
      <c r="DM356" s="150"/>
      <c r="DN356" s="150"/>
      <c r="DO356" s="150"/>
      <c r="DP356" s="302"/>
      <c r="DQ356" s="303"/>
      <c r="DR356" s="278"/>
      <c r="DS356" s="279"/>
      <c r="DT356" s="150"/>
      <c r="DU356" s="150"/>
      <c r="DV356" s="150"/>
      <c r="DW356" s="150"/>
      <c r="DX356" s="151"/>
      <c r="DY356" s="150"/>
      <c r="DZ356" s="150"/>
      <c r="EA356" s="150"/>
      <c r="EB356" s="303"/>
      <c r="EC356" s="303"/>
      <c r="ED356" s="151"/>
      <c r="EE356" s="150"/>
      <c r="EF356" s="150"/>
      <c r="EG356" s="150"/>
      <c r="EH356" s="151"/>
      <c r="EI356" s="150"/>
      <c r="EJ356" s="150"/>
      <c r="EK356" s="150"/>
      <c r="EL356" s="303"/>
      <c r="EM356" s="303"/>
      <c r="EN356" s="279"/>
      <c r="EO356" s="150"/>
      <c r="EP356" s="150"/>
      <c r="EQ356" s="150"/>
      <c r="ER356" s="150"/>
      <c r="ES356" s="150"/>
      <c r="ET356" s="150"/>
      <c r="EU356" s="150"/>
      <c r="EV356" s="150"/>
      <c r="EW356" s="303"/>
      <c r="EX356" s="303"/>
      <c r="EY356" s="150"/>
      <c r="EZ356" s="150"/>
      <c r="FA356" s="150"/>
      <c r="FB356" s="150"/>
      <c r="FC356" s="150"/>
      <c r="FD356" s="150"/>
      <c r="FE356" s="150"/>
      <c r="FF356" s="150"/>
      <c r="FG356" s="152"/>
      <c r="FH356" s="152"/>
      <c r="FI356" s="150"/>
      <c r="FJ356" s="150"/>
      <c r="FK356" s="150"/>
      <c r="FL356" s="150"/>
      <c r="FM356" s="150"/>
      <c r="FN356" s="150"/>
      <c r="FO356" s="150"/>
      <c r="FP356" s="150"/>
      <c r="FQ356" s="152"/>
      <c r="FR356" s="152"/>
      <c r="FS356" s="150"/>
      <c r="FT356" s="150"/>
      <c r="FU356" s="150"/>
      <c r="FV356" s="150"/>
      <c r="FW356" s="150"/>
      <c r="FX356" s="150"/>
      <c r="FY356" s="150"/>
      <c r="FZ356" s="150"/>
      <c r="GA356" s="152"/>
      <c r="GB356" s="152"/>
      <c r="GC356" s="150"/>
      <c r="GD356" s="150"/>
      <c r="GE356" s="150"/>
      <c r="GF356" s="150"/>
      <c r="GG356" s="150"/>
      <c r="GH356" s="150"/>
      <c r="GI356" s="150"/>
      <c r="GJ356" s="150"/>
      <c r="GK356" s="152"/>
      <c r="GL356" s="152"/>
      <c r="GM356" s="150"/>
      <c r="GN356" s="150"/>
      <c r="GO356" s="150"/>
      <c r="GP356" s="150"/>
      <c r="GQ356" s="150"/>
      <c r="GR356" s="150"/>
      <c r="GS356" s="150"/>
      <c r="GT356" s="150"/>
      <c r="GU356" s="152"/>
      <c r="GV356" s="152"/>
      <c r="GW356" s="134"/>
      <c r="GX356" s="134"/>
      <c r="GY356" s="134"/>
      <c r="GZ356" s="134"/>
      <c r="HA356" s="134"/>
      <c r="HB356" s="134"/>
      <c r="HC356" s="134"/>
      <c r="HD356" s="134"/>
      <c r="HE356" s="135"/>
      <c r="HF356" s="135"/>
      <c r="HG356" s="134"/>
      <c r="HH356" s="134"/>
      <c r="HI356" s="134"/>
      <c r="HJ356" s="134"/>
      <c r="HK356" s="134"/>
      <c r="HL356" s="134"/>
      <c r="HM356" s="134"/>
      <c r="HN356" s="134"/>
      <c r="HO356" s="135"/>
      <c r="HP356" s="135"/>
      <c r="HQ356" s="134"/>
      <c r="HR356" s="134"/>
      <c r="HS356" s="134"/>
      <c r="HT356" s="134"/>
      <c r="HU356" s="134"/>
      <c r="HV356" s="134"/>
      <c r="HW356" s="134"/>
      <c r="HX356" s="134"/>
      <c r="HY356" s="135"/>
      <c r="HZ356" s="135"/>
      <c r="IA356" s="134"/>
      <c r="IB356" s="134"/>
      <c r="IC356" s="134"/>
      <c r="ID356" s="134"/>
      <c r="IE356" s="134"/>
      <c r="IF356" s="134"/>
      <c r="IG356" s="134"/>
      <c r="IH356" s="134"/>
      <c r="II356" s="135"/>
      <c r="IJ356" s="135"/>
      <c r="IK356" s="134"/>
      <c r="IL356" s="134"/>
      <c r="IM356" s="134"/>
      <c r="IN356" s="134"/>
      <c r="IO356" s="134"/>
      <c r="IP356" s="134"/>
      <c r="IQ356" s="134"/>
      <c r="IR356" s="134"/>
      <c r="IS356" s="135"/>
      <c r="IT356" s="135"/>
      <c r="IU356" s="134"/>
      <c r="IV356" s="134"/>
      <c r="IW356" s="134"/>
      <c r="IX356" s="134"/>
      <c r="IY356" s="134"/>
      <c r="IZ356" s="134"/>
      <c r="JA356" s="134"/>
      <c r="JB356" s="134"/>
      <c r="JC356" s="135"/>
      <c r="JD356" s="135"/>
    </row>
    <row r="357" spans="1:264" customFormat="1" ht="15" customHeight="1">
      <c r="A357" s="79" t="s">
        <v>970</v>
      </c>
      <c r="B357" s="362">
        <v>224</v>
      </c>
      <c r="C357" s="362">
        <v>81</v>
      </c>
      <c r="D357" s="362"/>
      <c r="E357" s="604" t="s">
        <v>2118</v>
      </c>
      <c r="F357" s="124" t="s">
        <v>2377</v>
      </c>
      <c r="G357" s="125">
        <v>2016</v>
      </c>
      <c r="H357" s="79">
        <v>27297027</v>
      </c>
      <c r="I357" s="79">
        <v>1</v>
      </c>
      <c r="J357" s="126">
        <v>1</v>
      </c>
      <c r="K357" s="127"/>
      <c r="L357" s="79">
        <v>1</v>
      </c>
      <c r="M357" s="79"/>
      <c r="N357" s="79">
        <v>1</v>
      </c>
      <c r="O357" s="128">
        <v>2</v>
      </c>
      <c r="P357" s="79" t="s">
        <v>1588</v>
      </c>
      <c r="Q357" s="79" t="s">
        <v>1216</v>
      </c>
      <c r="R357" s="79" t="s">
        <v>1127</v>
      </c>
      <c r="S357" s="79"/>
      <c r="T357" s="79" t="s">
        <v>1498</v>
      </c>
      <c r="U357" s="79"/>
      <c r="V357" s="79"/>
      <c r="W357" s="79" t="s">
        <v>1583</v>
      </c>
      <c r="X357" s="79" t="s">
        <v>1582</v>
      </c>
      <c r="Y357" s="79"/>
      <c r="Z357" s="79"/>
      <c r="AA357" s="79" t="s">
        <v>1581</v>
      </c>
      <c r="AB357" s="79"/>
      <c r="AC357" s="506"/>
      <c r="AD357" s="573">
        <v>1</v>
      </c>
      <c r="AE357" s="573">
        <v>2</v>
      </c>
      <c r="AF357" s="154">
        <v>1</v>
      </c>
      <c r="AG357" s="155" t="s">
        <v>5671</v>
      </c>
      <c r="AH357" s="121">
        <v>4</v>
      </c>
      <c r="AI357" s="484" t="s">
        <v>5695</v>
      </c>
      <c r="AJ357" s="202" t="s">
        <v>5705</v>
      </c>
      <c r="AK357" s="192" t="s">
        <v>5666</v>
      </c>
      <c r="AL357" s="203">
        <v>0</v>
      </c>
      <c r="AM357" s="134">
        <f>Table668[[#This Row],[Data_Subjects_n_ptsd]]+Table668[[#This Row],[Data_Subjects_n_control]]</f>
        <v>24</v>
      </c>
      <c r="AN357" s="121">
        <v>12</v>
      </c>
      <c r="AO357" s="121">
        <v>12</v>
      </c>
      <c r="AP357" s="121" t="s">
        <v>803</v>
      </c>
      <c r="AQ357" s="121" t="s">
        <v>803</v>
      </c>
      <c r="AR357" s="355" t="s">
        <v>3403</v>
      </c>
      <c r="AS357" s="121" t="s">
        <v>24</v>
      </c>
      <c r="AT357" s="355" t="s">
        <v>3403</v>
      </c>
      <c r="AU357" s="121" t="s">
        <v>24</v>
      </c>
      <c r="AV357" s="121" t="s">
        <v>5665</v>
      </c>
      <c r="AW357" s="121">
        <v>1</v>
      </c>
      <c r="AX357" s="121" t="s">
        <v>5664</v>
      </c>
      <c r="AY357" s="121" t="s">
        <v>5662</v>
      </c>
      <c r="AZ357" s="121" t="s">
        <v>3698</v>
      </c>
      <c r="BA357" s="121" t="s">
        <v>4508</v>
      </c>
      <c r="BB357" s="594"/>
      <c r="BC357" s="594"/>
      <c r="BD357" s="156"/>
      <c r="BE357" s="156"/>
      <c r="BF357" s="156"/>
      <c r="BG357" s="156"/>
      <c r="BH357" s="156"/>
      <c r="BI357" s="156"/>
      <c r="BJ357" s="156">
        <v>1</v>
      </c>
      <c r="BK357" s="156"/>
      <c r="BL357" s="156"/>
      <c r="BM357" s="156"/>
      <c r="BN357" s="156"/>
      <c r="BO357" s="156"/>
      <c r="BP357" s="156"/>
      <c r="BQ357" s="595" t="s">
        <v>3282</v>
      </c>
      <c r="BR357" s="157" t="s">
        <v>6617</v>
      </c>
      <c r="BS357" s="660"/>
      <c r="BT357" s="134" t="s">
        <v>1876</v>
      </c>
      <c r="BU357" s="134" t="s">
        <v>5663</v>
      </c>
      <c r="BV357" s="134" t="s">
        <v>5669</v>
      </c>
      <c r="BW357" s="134" t="s">
        <v>5667</v>
      </c>
      <c r="BX357" s="134" t="s">
        <v>5670</v>
      </c>
      <c r="BY357" s="134"/>
      <c r="BZ357" s="259" t="s">
        <v>5702</v>
      </c>
      <c r="CA357" s="454" t="s">
        <v>24</v>
      </c>
      <c r="CB357" s="137" t="s">
        <v>5678</v>
      </c>
      <c r="CC357" s="134">
        <v>54.000399999999999</v>
      </c>
      <c r="CD357" s="168" t="s">
        <v>24</v>
      </c>
      <c r="CE357" s="134" t="s">
        <v>24</v>
      </c>
      <c r="CF357" s="137" t="s">
        <v>5679</v>
      </c>
      <c r="CG357" s="134">
        <v>55.1843</v>
      </c>
      <c r="CH357" s="168" t="s">
        <v>24</v>
      </c>
      <c r="CI357" s="134" t="s">
        <v>24</v>
      </c>
      <c r="CJ357" s="288" t="s">
        <v>5696</v>
      </c>
      <c r="CK357" s="289" t="s">
        <v>3790</v>
      </c>
      <c r="CL357" s="138" t="s">
        <v>5680</v>
      </c>
      <c r="CM357" s="134">
        <v>36.083799999999997</v>
      </c>
      <c r="CN357" s="134" t="s">
        <v>24</v>
      </c>
      <c r="CO357" s="134" t="s">
        <v>24</v>
      </c>
      <c r="CP357" s="138" t="s">
        <v>5681</v>
      </c>
      <c r="CQ357" s="134">
        <v>37.148899999999998</v>
      </c>
      <c r="CR357" s="134" t="s">
        <v>24</v>
      </c>
      <c r="CS357" s="134" t="s">
        <v>24</v>
      </c>
      <c r="CT357" s="288" t="s">
        <v>5697</v>
      </c>
      <c r="CU357" s="289" t="s">
        <v>2480</v>
      </c>
      <c r="CV357" s="276" t="s">
        <v>24</v>
      </c>
      <c r="CW357" s="308" t="s">
        <v>24</v>
      </c>
      <c r="CX357" s="137" t="s">
        <v>5682</v>
      </c>
      <c r="CY357" s="134">
        <v>30.710899999999999</v>
      </c>
      <c r="CZ357" s="168" t="s">
        <v>24</v>
      </c>
      <c r="DA357" s="134" t="s">
        <v>24</v>
      </c>
      <c r="DB357" s="137" t="s">
        <v>5683</v>
      </c>
      <c r="DC357" s="134">
        <v>25.029199999999999</v>
      </c>
      <c r="DD357" s="134" t="s">
        <v>24</v>
      </c>
      <c r="DE357" s="134" t="s">
        <v>24</v>
      </c>
      <c r="DF357" s="300" t="s">
        <v>5698</v>
      </c>
      <c r="DG357" s="301" t="s">
        <v>2480</v>
      </c>
      <c r="DH357" s="137" t="s">
        <v>5684</v>
      </c>
      <c r="DI357" s="134">
        <v>22.9694</v>
      </c>
      <c r="DJ357" s="168" t="s">
        <v>24</v>
      </c>
      <c r="DK357" s="134" t="s">
        <v>24</v>
      </c>
      <c r="DL357" s="137" t="s">
        <v>5685</v>
      </c>
      <c r="DM357" s="134">
        <v>15.158099999999999</v>
      </c>
      <c r="DN357" s="134" t="s">
        <v>24</v>
      </c>
      <c r="DO357" s="134" t="s">
        <v>24</v>
      </c>
      <c r="DP357" s="300" t="s">
        <v>5699</v>
      </c>
      <c r="DQ357" s="301" t="s">
        <v>5700</v>
      </c>
      <c r="DR357" s="276" t="s">
        <v>24</v>
      </c>
      <c r="DS357" s="277" t="s">
        <v>24</v>
      </c>
      <c r="DT357" s="137" t="s">
        <v>5686</v>
      </c>
      <c r="DU357" s="134">
        <v>17.360800000000001</v>
      </c>
      <c r="DV357" s="168" t="s">
        <v>24</v>
      </c>
      <c r="DW357" s="134" t="s">
        <v>24</v>
      </c>
      <c r="DX357" s="137" t="s">
        <v>5687</v>
      </c>
      <c r="DY357" s="134">
        <v>10.7324</v>
      </c>
      <c r="DZ357" s="134" t="s">
        <v>24</v>
      </c>
      <c r="EA357" s="134" t="s">
        <v>24</v>
      </c>
      <c r="EB357" s="301" t="s">
        <v>5699</v>
      </c>
      <c r="EC357" s="301" t="s">
        <v>5701</v>
      </c>
      <c r="ED357" s="427" t="s">
        <v>5688</v>
      </c>
      <c r="EE357" s="424">
        <v>12.717499999999999</v>
      </c>
      <c r="EF357" s="424" t="s">
        <v>24</v>
      </c>
      <c r="EG357" s="424">
        <f>13.4131-Table668[[#This Row],[Data_Outcome11_M]]</f>
        <v>0.69560000000000066</v>
      </c>
      <c r="EH357" s="427" t="s">
        <v>5689</v>
      </c>
      <c r="EI357" s="134">
        <v>19.587</v>
      </c>
      <c r="EJ357" s="134" t="s">
        <v>24</v>
      </c>
      <c r="EK357" s="134">
        <f>20.1957-Table668[[#This Row],[Data_Outcome12_M]]</f>
        <v>0.60869999999999891</v>
      </c>
      <c r="EL357" s="301" t="s">
        <v>5703</v>
      </c>
      <c r="EM357" s="301" t="s">
        <v>5704</v>
      </c>
      <c r="EN357" s="277" t="s">
        <v>24</v>
      </c>
      <c r="EO357" s="134"/>
      <c r="EP357" s="134"/>
      <c r="EQ357" s="134"/>
      <c r="ER357" s="134"/>
      <c r="ES357" s="134"/>
      <c r="ET357" s="134"/>
      <c r="EU357" s="134"/>
      <c r="EV357" s="134"/>
      <c r="EW357" s="301"/>
      <c r="EX357" s="301"/>
      <c r="EY357" s="134"/>
      <c r="EZ357" s="134"/>
      <c r="FA357" s="134"/>
      <c r="FB357" s="134"/>
      <c r="FC357" s="134"/>
      <c r="FD357" s="134"/>
      <c r="FE357" s="134"/>
      <c r="FF357" s="134"/>
      <c r="FG357" s="135"/>
      <c r="FH357" s="135"/>
      <c r="FI357" s="134"/>
      <c r="FJ357" s="134"/>
      <c r="FK357" s="134"/>
      <c r="FL357" s="134"/>
      <c r="FM357" s="134"/>
      <c r="FN357" s="134"/>
      <c r="FO357" s="134"/>
      <c r="FP357" s="134"/>
      <c r="FQ357" s="135"/>
      <c r="FR357" s="135"/>
      <c r="FS357" s="134"/>
      <c r="FT357" s="134"/>
      <c r="FU357" s="134"/>
      <c r="FV357" s="134"/>
      <c r="FW357" s="134"/>
      <c r="FX357" s="134"/>
      <c r="FY357" s="134"/>
      <c r="FZ357" s="134"/>
      <c r="GA357" s="135"/>
      <c r="GB357" s="135"/>
      <c r="GC357" s="134"/>
      <c r="GD357" s="134"/>
      <c r="GE357" s="134"/>
      <c r="GF357" s="134"/>
      <c r="GG357" s="134"/>
      <c r="GH357" s="134"/>
      <c r="GI357" s="134"/>
      <c r="GJ357" s="134"/>
      <c r="GK357" s="135"/>
      <c r="GL357" s="135"/>
      <c r="GM357" s="134"/>
      <c r="GN357" s="134"/>
      <c r="GO357" s="134"/>
      <c r="GP357" s="134"/>
      <c r="GQ357" s="134"/>
      <c r="GR357" s="134"/>
      <c r="GS357" s="134"/>
      <c r="GT357" s="134"/>
      <c r="GU357" s="135"/>
      <c r="GV357" s="135"/>
      <c r="GW357" s="134"/>
      <c r="GX357" s="134"/>
      <c r="GY357" s="134"/>
      <c r="GZ357" s="134"/>
      <c r="HA357" s="134"/>
      <c r="HB357" s="134"/>
      <c r="HC357" s="134"/>
      <c r="HD357" s="134"/>
      <c r="HE357" s="135"/>
      <c r="HF357" s="135"/>
      <c r="HG357" s="134"/>
      <c r="HH357" s="134"/>
      <c r="HI357" s="134"/>
      <c r="HJ357" s="134"/>
      <c r="HK357" s="134"/>
      <c r="HL357" s="134"/>
      <c r="HM357" s="134"/>
      <c r="HN357" s="134"/>
      <c r="HO357" s="135"/>
      <c r="HP357" s="135"/>
      <c r="HQ357" s="134"/>
      <c r="HR357" s="134"/>
      <c r="HS357" s="134"/>
      <c r="HT357" s="134"/>
      <c r="HU357" s="134"/>
      <c r="HV357" s="134"/>
      <c r="HW357" s="134"/>
      <c r="HX357" s="134"/>
      <c r="HY357" s="135"/>
      <c r="HZ357" s="135"/>
      <c r="IA357" s="134"/>
      <c r="IB357" s="134"/>
      <c r="IC357" s="134"/>
      <c r="ID357" s="134"/>
      <c r="IE357" s="134"/>
      <c r="IF357" s="134"/>
      <c r="IG357" s="134"/>
      <c r="IH357" s="134"/>
      <c r="II357" s="135"/>
      <c r="IJ357" s="135"/>
      <c r="IK357" s="134"/>
      <c r="IL357" s="134"/>
      <c r="IM357" s="134"/>
      <c r="IN357" s="134"/>
      <c r="IO357" s="134"/>
      <c r="IP357" s="134"/>
      <c r="IQ357" s="134"/>
      <c r="IR357" s="134"/>
      <c r="IS357" s="135"/>
      <c r="IT357" s="135"/>
      <c r="IU357" s="134"/>
      <c r="IV357" s="134"/>
      <c r="IW357" s="134"/>
      <c r="IX357" s="134"/>
      <c r="IY357" s="134"/>
      <c r="IZ357" s="134"/>
      <c r="JA357" s="134"/>
      <c r="JB357" s="134"/>
      <c r="JC357" s="135"/>
      <c r="JD357" s="135"/>
    </row>
    <row r="358" spans="1:264" customFormat="1" ht="15" customHeight="1">
      <c r="A358" s="153" t="s">
        <v>969</v>
      </c>
      <c r="B358" s="618">
        <v>46</v>
      </c>
      <c r="C358" s="618"/>
      <c r="D358" s="618"/>
      <c r="E358" s="610" t="s">
        <v>2118</v>
      </c>
      <c r="F358" s="368" t="s">
        <v>2378</v>
      </c>
      <c r="G358" s="369">
        <v>2014</v>
      </c>
      <c r="H358" s="153">
        <v>24667363</v>
      </c>
      <c r="I358" s="153">
        <v>1</v>
      </c>
      <c r="J358" s="370">
        <v>1</v>
      </c>
      <c r="K358" s="371"/>
      <c r="L358" s="153">
        <v>1</v>
      </c>
      <c r="M358" s="153"/>
      <c r="N358" s="153">
        <v>1</v>
      </c>
      <c r="O358" s="153">
        <v>2</v>
      </c>
      <c r="P358" s="153" t="s">
        <v>1588</v>
      </c>
      <c r="Q358" s="153" t="s">
        <v>1216</v>
      </c>
      <c r="R358" s="153" t="s">
        <v>1127</v>
      </c>
      <c r="S358" s="153"/>
      <c r="T358" s="153" t="s">
        <v>1501</v>
      </c>
      <c r="U358" s="153" t="s">
        <v>1539</v>
      </c>
      <c r="V358" s="153"/>
      <c r="W358" s="153" t="s">
        <v>1589</v>
      </c>
      <c r="X358" s="153" t="s">
        <v>1213</v>
      </c>
      <c r="Y358" s="153"/>
      <c r="Z358" s="153"/>
      <c r="AA358" s="153"/>
      <c r="AB358" s="153"/>
      <c r="AC358" s="536"/>
      <c r="AD358" s="573">
        <v>1</v>
      </c>
      <c r="AE358" s="573">
        <v>2</v>
      </c>
      <c r="AF358" s="165">
        <v>0</v>
      </c>
      <c r="AG358" s="166" t="s">
        <v>3594</v>
      </c>
      <c r="AH358" s="120">
        <v>4</v>
      </c>
      <c r="AI358" s="484"/>
      <c r="AJ358" s="206"/>
      <c r="AK358" s="372"/>
      <c r="AL358" s="207"/>
      <c r="AM358" s="120"/>
      <c r="AN358" s="120"/>
      <c r="AO358" s="120"/>
      <c r="AP358" s="120"/>
      <c r="AQ358" s="120"/>
      <c r="AR358" s="120"/>
      <c r="AS358" s="120"/>
      <c r="AT358" s="120"/>
      <c r="AU358" s="120"/>
      <c r="AV358" s="120"/>
      <c r="AW358" s="120"/>
      <c r="AX358" s="120"/>
      <c r="AY358" s="120"/>
      <c r="AZ358" s="120"/>
      <c r="BA358" s="120"/>
      <c r="BB358" s="594"/>
      <c r="BC358" s="594"/>
      <c r="BD358" s="373">
        <v>1</v>
      </c>
      <c r="BE358" s="373"/>
      <c r="BF358" s="373"/>
      <c r="BG358" s="373"/>
      <c r="BH358" s="373"/>
      <c r="BI358" s="373"/>
      <c r="BJ358" s="373"/>
      <c r="BK358" s="373"/>
      <c r="BL358" s="373"/>
      <c r="BM358" s="373"/>
      <c r="BN358" s="373"/>
      <c r="BO358" s="373"/>
      <c r="BP358" s="373"/>
      <c r="BQ358" s="599"/>
      <c r="BR358" s="374"/>
      <c r="BS358" s="660"/>
      <c r="BT358" s="120"/>
      <c r="BU358" s="120"/>
      <c r="BV358" s="120"/>
      <c r="BW358" s="120"/>
      <c r="BX358" s="120"/>
      <c r="BY358" s="120"/>
      <c r="BZ358" s="518"/>
      <c r="CA358" s="631"/>
      <c r="CB358" s="376"/>
      <c r="CC358" s="120"/>
      <c r="CD358" s="120"/>
      <c r="CE358" s="120"/>
      <c r="CF358" s="376"/>
      <c r="CG358" s="120"/>
      <c r="CH358" s="120"/>
      <c r="CI358" s="120"/>
      <c r="CJ358" s="375"/>
      <c r="CK358" s="377"/>
      <c r="CL358" s="376"/>
      <c r="CM358" s="120"/>
      <c r="CN358" s="120"/>
      <c r="CO358" s="120"/>
      <c r="CP358" s="376"/>
      <c r="CQ358" s="120"/>
      <c r="CR358" s="120"/>
      <c r="CS358" s="120"/>
      <c r="CT358" s="375"/>
      <c r="CU358" s="377"/>
      <c r="CV358" s="380"/>
      <c r="CW358" s="376"/>
      <c r="CX358" s="376"/>
      <c r="CY358" s="120"/>
      <c r="CZ358" s="120"/>
      <c r="DA358" s="120"/>
      <c r="DB358" s="120"/>
      <c r="DC358" s="120"/>
      <c r="DD358" s="120"/>
      <c r="DE358" s="120"/>
      <c r="DF358" s="380"/>
      <c r="DG358" s="120"/>
      <c r="DH358" s="120"/>
      <c r="DI358" s="120"/>
      <c r="DJ358" s="120"/>
      <c r="DK358" s="120"/>
      <c r="DL358" s="120"/>
      <c r="DM358" s="120"/>
      <c r="DN358" s="120"/>
      <c r="DO358" s="120"/>
      <c r="DP358" s="380"/>
      <c r="DQ358" s="120"/>
      <c r="DR358" s="380"/>
      <c r="DS358" s="120"/>
      <c r="DT358" s="120"/>
      <c r="DU358" s="120"/>
      <c r="DV358" s="120"/>
      <c r="DW358" s="120"/>
      <c r="DX358" s="376"/>
      <c r="DY358" s="120"/>
      <c r="DZ358" s="120"/>
      <c r="EA358" s="120"/>
      <c r="EB358" s="120"/>
      <c r="EC358" s="120"/>
      <c r="ED358" s="376"/>
      <c r="EE358" s="120"/>
      <c r="EF358" s="120"/>
      <c r="EG358" s="120"/>
      <c r="EH358" s="376"/>
      <c r="EI358" s="120"/>
      <c r="EJ358" s="120"/>
      <c r="EK358" s="120"/>
      <c r="EL358" s="120"/>
      <c r="EM358" s="120"/>
      <c r="EN358" s="120"/>
      <c r="EO358" s="120"/>
      <c r="EP358" s="120"/>
      <c r="EQ358" s="120"/>
      <c r="ER358" s="120"/>
      <c r="ES358" s="120"/>
      <c r="ET358" s="120"/>
      <c r="EU358" s="120"/>
      <c r="EV358" s="120"/>
      <c r="EW358" s="120"/>
      <c r="EX358" s="120"/>
      <c r="EY358" s="120"/>
      <c r="EZ358" s="120"/>
      <c r="FA358" s="120"/>
      <c r="FB358" s="120"/>
      <c r="FC358" s="134"/>
      <c r="FD358" s="134"/>
      <c r="FE358" s="134"/>
      <c r="FF358" s="134"/>
      <c r="FG358" s="135"/>
      <c r="FH358" s="135"/>
      <c r="FI358" s="134"/>
      <c r="FJ358" s="134"/>
      <c r="FK358" s="134"/>
      <c r="FL358" s="134"/>
      <c r="FM358" s="134"/>
      <c r="FN358" s="134"/>
      <c r="FO358" s="134"/>
      <c r="FP358" s="134"/>
      <c r="FQ358" s="135"/>
      <c r="FR358" s="135"/>
      <c r="FS358" s="134"/>
      <c r="FT358" s="134"/>
      <c r="FU358" s="134"/>
      <c r="FV358" s="134"/>
      <c r="FW358" s="134"/>
      <c r="FX358" s="134"/>
      <c r="FY358" s="134"/>
      <c r="FZ358" s="134"/>
      <c r="GA358" s="135"/>
      <c r="GB358" s="135"/>
      <c r="GC358" s="134"/>
      <c r="GD358" s="134"/>
      <c r="GE358" s="134"/>
      <c r="GF358" s="134"/>
      <c r="GG358" s="134"/>
      <c r="GH358" s="134"/>
      <c r="GI358" s="134"/>
      <c r="GJ358" s="134"/>
      <c r="GK358" s="135"/>
      <c r="GL358" s="135"/>
      <c r="GM358" s="134"/>
      <c r="GN358" s="134"/>
      <c r="GO358" s="134"/>
      <c r="GP358" s="134"/>
      <c r="GQ358" s="134"/>
      <c r="GR358" s="134"/>
      <c r="GS358" s="134"/>
      <c r="GT358" s="134"/>
      <c r="GU358" s="135"/>
      <c r="GV358" s="135"/>
      <c r="GW358" s="134"/>
      <c r="GX358" s="134"/>
      <c r="GY358" s="134"/>
      <c r="GZ358" s="134"/>
      <c r="HA358" s="134"/>
      <c r="HB358" s="134"/>
      <c r="HC358" s="134"/>
      <c r="HD358" s="134"/>
      <c r="HE358" s="135"/>
      <c r="HF358" s="135"/>
      <c r="HG358" s="134"/>
      <c r="HH358" s="134"/>
      <c r="HI358" s="134"/>
      <c r="HJ358" s="134"/>
      <c r="HK358" s="134"/>
      <c r="HL358" s="134"/>
      <c r="HM358" s="134"/>
      <c r="HN358" s="134"/>
      <c r="HO358" s="135"/>
      <c r="HP358" s="135"/>
      <c r="HQ358" s="134"/>
      <c r="HR358" s="134"/>
      <c r="HS358" s="134"/>
      <c r="HT358" s="134"/>
      <c r="HU358" s="134"/>
      <c r="HV358" s="134"/>
      <c r="HW358" s="134"/>
      <c r="HX358" s="134"/>
      <c r="HY358" s="135"/>
      <c r="HZ358" s="135"/>
      <c r="IA358" s="134"/>
      <c r="IB358" s="134"/>
      <c r="IC358" s="134"/>
      <c r="ID358" s="134"/>
      <c r="IE358" s="134"/>
      <c r="IF358" s="134"/>
      <c r="IG358" s="134"/>
      <c r="IH358" s="134"/>
      <c r="II358" s="135"/>
      <c r="IJ358" s="135"/>
      <c r="IK358" s="134"/>
      <c r="IL358" s="134"/>
      <c r="IM358" s="134"/>
      <c r="IN358" s="134"/>
      <c r="IO358" s="134"/>
      <c r="IP358" s="134"/>
      <c r="IQ358" s="134"/>
      <c r="IR358" s="134"/>
      <c r="IS358" s="135"/>
      <c r="IT358" s="135"/>
      <c r="IU358" s="134"/>
      <c r="IV358" s="134"/>
      <c r="IW358" s="134"/>
      <c r="IX358" s="134"/>
      <c r="IY358" s="134"/>
      <c r="IZ358" s="134"/>
      <c r="JA358" s="134"/>
      <c r="JB358" s="134"/>
      <c r="JC358" s="135"/>
      <c r="JD358" s="135"/>
    </row>
    <row r="359" spans="1:264" customFormat="1" ht="15" customHeight="1">
      <c r="A359" s="128" t="s">
        <v>315</v>
      </c>
      <c r="B359" s="362">
        <v>225</v>
      </c>
      <c r="C359" s="362">
        <v>82</v>
      </c>
      <c r="D359" s="362"/>
      <c r="E359" s="604" t="s">
        <v>2029</v>
      </c>
      <c r="F359" s="124" t="s">
        <v>2262</v>
      </c>
      <c r="G359" s="125">
        <v>2010</v>
      </c>
      <c r="H359" s="128">
        <v>21180658</v>
      </c>
      <c r="I359" s="128">
        <v>1</v>
      </c>
      <c r="J359" s="220"/>
      <c r="K359" s="221"/>
      <c r="L359" s="128">
        <v>1</v>
      </c>
      <c r="M359" s="128"/>
      <c r="N359" s="128">
        <v>1</v>
      </c>
      <c r="O359" s="128">
        <v>1</v>
      </c>
      <c r="P359" s="128" t="s">
        <v>1178</v>
      </c>
      <c r="Q359" s="128" t="s">
        <v>1142</v>
      </c>
      <c r="R359" s="128" t="s">
        <v>819</v>
      </c>
      <c r="S359" s="128">
        <v>1</v>
      </c>
      <c r="T359" s="128"/>
      <c r="U359" s="128"/>
      <c r="V359" s="128"/>
      <c r="W359" s="128" t="s">
        <v>820</v>
      </c>
      <c r="X359" s="128"/>
      <c r="Y359" s="128" t="s">
        <v>821</v>
      </c>
      <c r="Z359" s="128"/>
      <c r="AA359" s="128"/>
      <c r="AB359" s="128" t="s">
        <v>818</v>
      </c>
      <c r="AC359" s="466"/>
      <c r="AD359" s="573">
        <v>1</v>
      </c>
      <c r="AE359" s="573">
        <v>2</v>
      </c>
      <c r="AF359" s="165">
        <v>0</v>
      </c>
      <c r="AG359" s="166" t="s">
        <v>5706</v>
      </c>
      <c r="AH359" s="120">
        <v>2</v>
      </c>
      <c r="AI359" s="120"/>
      <c r="AJ359" s="206"/>
      <c r="AK359" s="372"/>
      <c r="AL359" s="207"/>
      <c r="AM359" s="120"/>
      <c r="AN359" s="120"/>
      <c r="AO359" s="120"/>
      <c r="AP359" s="120"/>
      <c r="AQ359" s="120"/>
      <c r="AR359" s="120"/>
      <c r="AS359" s="120"/>
      <c r="AT359" s="120"/>
      <c r="AU359" s="120"/>
      <c r="AV359" s="120"/>
      <c r="AW359" s="120"/>
      <c r="AX359" s="120"/>
      <c r="AY359" s="120"/>
      <c r="AZ359" s="120"/>
      <c r="BA359" s="120"/>
      <c r="BB359" s="594"/>
      <c r="BC359" s="594"/>
      <c r="BD359" s="373"/>
      <c r="BE359" s="373"/>
      <c r="BF359" s="373"/>
      <c r="BG359" s="373"/>
      <c r="BH359" s="373"/>
      <c r="BI359" s="373"/>
      <c r="BJ359" s="373">
        <v>1</v>
      </c>
      <c r="BK359" s="373"/>
      <c r="BL359" s="373"/>
      <c r="BM359" s="373"/>
      <c r="BN359" s="373"/>
      <c r="BO359" s="373"/>
      <c r="BP359" s="373"/>
      <c r="BQ359" s="599"/>
      <c r="BR359" s="374"/>
      <c r="BS359" s="660"/>
      <c r="BT359" s="120"/>
      <c r="BU359" s="120"/>
      <c r="BV359" s="120"/>
      <c r="BW359" s="120"/>
      <c r="BX359" s="120"/>
      <c r="BY359" s="120"/>
      <c r="BZ359" s="375"/>
      <c r="CA359" s="380"/>
      <c r="CB359" s="138"/>
      <c r="CC359" s="134"/>
      <c r="CD359" s="134"/>
      <c r="CE359" s="134"/>
      <c r="CF359" s="138"/>
      <c r="CG359" s="134"/>
      <c r="CH359" s="134"/>
      <c r="CI359" s="134"/>
      <c r="CJ359" s="288"/>
      <c r="CK359" s="289"/>
      <c r="CL359" s="138"/>
      <c r="CM359" s="134"/>
      <c r="CN359" s="134"/>
      <c r="CO359" s="134"/>
      <c r="CP359" s="138"/>
      <c r="CQ359" s="134"/>
      <c r="CR359" s="134"/>
      <c r="CS359" s="134"/>
      <c r="CT359" s="288"/>
      <c r="CU359" s="289"/>
      <c r="CV359" s="276"/>
      <c r="CW359" s="308"/>
      <c r="CX359" s="138"/>
      <c r="CY359" s="134"/>
      <c r="CZ359" s="134"/>
      <c r="DA359" s="134"/>
      <c r="DB359" s="134"/>
      <c r="DC359" s="134"/>
      <c r="DD359" s="134"/>
      <c r="DE359" s="134"/>
      <c r="DF359" s="300"/>
      <c r="DG359" s="301"/>
      <c r="DH359" s="134"/>
      <c r="DI359" s="134"/>
      <c r="DJ359" s="134"/>
      <c r="DK359" s="134"/>
      <c r="DL359" s="134"/>
      <c r="DM359" s="134"/>
      <c r="DN359" s="134"/>
      <c r="DO359" s="134"/>
      <c r="DP359" s="300"/>
      <c r="DQ359" s="301"/>
      <c r="DR359" s="276"/>
      <c r="DS359" s="277"/>
      <c r="DT359" s="134"/>
      <c r="DU359" s="134"/>
      <c r="DV359" s="134"/>
      <c r="DW359" s="134"/>
      <c r="DX359" s="138"/>
      <c r="DY359" s="134"/>
      <c r="DZ359" s="134"/>
      <c r="EA359" s="134"/>
      <c r="EB359" s="301"/>
      <c r="EC359" s="301"/>
      <c r="ED359" s="138"/>
      <c r="EE359" s="134"/>
      <c r="EF359" s="134"/>
      <c r="EG359" s="134"/>
      <c r="EH359" s="138"/>
      <c r="EI359" s="134"/>
      <c r="EJ359" s="134"/>
      <c r="EK359" s="134"/>
      <c r="EL359" s="301"/>
      <c r="EM359" s="301"/>
      <c r="EN359" s="277"/>
      <c r="EO359" s="134"/>
      <c r="EP359" s="134"/>
      <c r="EQ359" s="134"/>
      <c r="ER359" s="134"/>
      <c r="ES359" s="134"/>
      <c r="ET359" s="134"/>
      <c r="EU359" s="134"/>
      <c r="EV359" s="134"/>
      <c r="EW359" s="301"/>
      <c r="EX359" s="301"/>
      <c r="EY359" s="134"/>
      <c r="EZ359" s="134"/>
      <c r="FA359" s="134"/>
      <c r="FB359" s="134"/>
      <c r="FC359" s="134"/>
      <c r="FD359" s="134"/>
      <c r="FE359" s="134"/>
      <c r="FF359" s="134"/>
      <c r="FG359" s="135"/>
      <c r="FH359" s="135"/>
      <c r="FI359" s="134"/>
      <c r="FJ359" s="134"/>
      <c r="FK359" s="134"/>
      <c r="FL359" s="134"/>
      <c r="FM359" s="134"/>
      <c r="FN359" s="134"/>
      <c r="FO359" s="134"/>
      <c r="FP359" s="134"/>
      <c r="FQ359" s="135"/>
      <c r="FR359" s="135"/>
      <c r="FS359" s="134"/>
      <c r="FT359" s="134"/>
      <c r="FU359" s="134"/>
      <c r="FV359" s="134"/>
      <c r="FW359" s="134"/>
      <c r="FX359" s="134"/>
      <c r="FY359" s="134"/>
      <c r="FZ359" s="134"/>
      <c r="GA359" s="135"/>
      <c r="GB359" s="135"/>
      <c r="GC359" s="134"/>
      <c r="GD359" s="134"/>
      <c r="GE359" s="134"/>
      <c r="GF359" s="134"/>
      <c r="GG359" s="134"/>
      <c r="GH359" s="134"/>
      <c r="GI359" s="134"/>
      <c r="GJ359" s="134"/>
      <c r="GK359" s="135"/>
      <c r="GL359" s="135"/>
      <c r="GM359" s="134"/>
      <c r="GN359" s="134"/>
      <c r="GO359" s="134"/>
      <c r="GP359" s="134"/>
      <c r="GQ359" s="134"/>
      <c r="GR359" s="134"/>
      <c r="GS359" s="134"/>
      <c r="GT359" s="134"/>
      <c r="GU359" s="135"/>
      <c r="GV359" s="135"/>
      <c r="GW359" s="134"/>
      <c r="GX359" s="134"/>
      <c r="GY359" s="134"/>
      <c r="GZ359" s="134"/>
      <c r="HA359" s="134"/>
      <c r="HB359" s="134"/>
      <c r="HC359" s="134"/>
      <c r="HD359" s="134"/>
      <c r="HE359" s="135"/>
      <c r="HF359" s="135"/>
      <c r="HG359" s="134"/>
      <c r="HH359" s="134"/>
      <c r="HI359" s="134"/>
      <c r="HJ359" s="134"/>
      <c r="HK359" s="134"/>
      <c r="HL359" s="134"/>
      <c r="HM359" s="134"/>
      <c r="HN359" s="134"/>
      <c r="HO359" s="135"/>
      <c r="HP359" s="135"/>
      <c r="HQ359" s="134"/>
      <c r="HR359" s="134"/>
      <c r="HS359" s="134"/>
      <c r="HT359" s="134"/>
      <c r="HU359" s="134"/>
      <c r="HV359" s="134"/>
      <c r="HW359" s="134"/>
      <c r="HX359" s="134"/>
      <c r="HY359" s="135"/>
      <c r="HZ359" s="135"/>
      <c r="IA359" s="134"/>
      <c r="IB359" s="134"/>
      <c r="IC359" s="134"/>
      <c r="ID359" s="134"/>
      <c r="IE359" s="134"/>
      <c r="IF359" s="134"/>
      <c r="IG359" s="134"/>
      <c r="IH359" s="134"/>
      <c r="II359" s="135"/>
      <c r="IJ359" s="135"/>
      <c r="IK359" s="134"/>
      <c r="IL359" s="134"/>
      <c r="IM359" s="134"/>
      <c r="IN359" s="134"/>
      <c r="IO359" s="134"/>
      <c r="IP359" s="134"/>
      <c r="IQ359" s="134"/>
      <c r="IR359" s="134"/>
      <c r="IS359" s="135"/>
      <c r="IT359" s="135"/>
      <c r="IU359" s="134"/>
      <c r="IV359" s="134"/>
      <c r="IW359" s="134"/>
      <c r="IX359" s="134"/>
      <c r="IY359" s="134"/>
      <c r="IZ359" s="134"/>
      <c r="JA359" s="134"/>
      <c r="JB359" s="134"/>
      <c r="JC359" s="135"/>
      <c r="JD359" s="135"/>
    </row>
    <row r="360" spans="1:264" customFormat="1" ht="15" customHeight="1">
      <c r="A360" s="79" t="s">
        <v>316</v>
      </c>
      <c r="B360" s="362">
        <v>226</v>
      </c>
      <c r="C360" s="362">
        <v>83</v>
      </c>
      <c r="D360" s="362"/>
      <c r="E360" s="604" t="s">
        <v>2030</v>
      </c>
      <c r="F360" s="124" t="s">
        <v>2263</v>
      </c>
      <c r="G360" s="125">
        <v>1990</v>
      </c>
      <c r="H360" s="79">
        <v>2365895</v>
      </c>
      <c r="I360" s="79">
        <v>1</v>
      </c>
      <c r="J360" s="170" t="s">
        <v>1784</v>
      </c>
      <c r="K360" s="127"/>
      <c r="L360" s="174">
        <v>1</v>
      </c>
      <c r="M360" s="79"/>
      <c r="N360" s="79">
        <v>0</v>
      </c>
      <c r="O360" s="128">
        <v>1</v>
      </c>
      <c r="P360" s="79" t="s">
        <v>825</v>
      </c>
      <c r="Q360" s="79" t="s">
        <v>1172</v>
      </c>
      <c r="R360" s="79" t="s">
        <v>822</v>
      </c>
      <c r="S360" s="79">
        <v>0</v>
      </c>
      <c r="T360" s="79"/>
      <c r="U360" s="79"/>
      <c r="V360" s="79"/>
      <c r="W360" s="79" t="s">
        <v>823</v>
      </c>
      <c r="X360" s="79"/>
      <c r="Y360" s="79"/>
      <c r="Z360" s="79"/>
      <c r="AA360" s="79"/>
      <c r="AB360" s="79" t="s">
        <v>824</v>
      </c>
      <c r="AC360" s="506"/>
      <c r="AD360" s="573">
        <v>1</v>
      </c>
      <c r="AE360" s="573">
        <v>2</v>
      </c>
      <c r="AF360" s="165">
        <v>0</v>
      </c>
      <c r="AG360" s="166" t="s">
        <v>5707</v>
      </c>
      <c r="AH360" s="120">
        <v>2</v>
      </c>
      <c r="AI360" s="120"/>
      <c r="AJ360" s="206"/>
      <c r="AK360" s="372"/>
      <c r="AL360" s="207"/>
      <c r="AM360" s="120"/>
      <c r="AN360" s="120"/>
      <c r="AO360" s="120"/>
      <c r="AP360" s="120"/>
      <c r="AQ360" s="120"/>
      <c r="AR360" s="120"/>
      <c r="AS360" s="120"/>
      <c r="AT360" s="120"/>
      <c r="AU360" s="120"/>
      <c r="AV360" s="120"/>
      <c r="AW360" s="120"/>
      <c r="AX360" s="120"/>
      <c r="AY360" s="120"/>
      <c r="AZ360" s="120"/>
      <c r="BA360" s="120"/>
      <c r="BB360" s="594"/>
      <c r="BC360" s="594"/>
      <c r="BD360" s="373"/>
      <c r="BE360" s="373"/>
      <c r="BF360" s="373">
        <v>1</v>
      </c>
      <c r="BG360" s="373"/>
      <c r="BH360" s="373"/>
      <c r="BI360" s="373"/>
      <c r="BJ360" s="373">
        <v>1</v>
      </c>
      <c r="BK360" s="373"/>
      <c r="BL360" s="373"/>
      <c r="BM360" s="373"/>
      <c r="BN360" s="373"/>
      <c r="BO360" s="373"/>
      <c r="BP360" s="373"/>
      <c r="BQ360" s="599"/>
      <c r="BR360" s="374"/>
      <c r="BS360" s="660"/>
      <c r="BT360" s="120"/>
      <c r="BU360" s="120"/>
      <c r="BV360" s="120"/>
      <c r="BW360" s="120"/>
      <c r="BX360" s="120"/>
      <c r="BY360" s="120"/>
      <c r="BZ360" s="375"/>
      <c r="CA360" s="380"/>
      <c r="CB360" s="138"/>
      <c r="CC360" s="134"/>
      <c r="CD360" s="134"/>
      <c r="CE360" s="134"/>
      <c r="CF360" s="138"/>
      <c r="CG360" s="134"/>
      <c r="CH360" s="134"/>
      <c r="CI360" s="134"/>
      <c r="CJ360" s="288"/>
      <c r="CK360" s="289"/>
      <c r="CL360" s="138"/>
      <c r="CM360" s="134"/>
      <c r="CN360" s="134"/>
      <c r="CO360" s="134"/>
      <c r="CP360" s="138"/>
      <c r="CQ360" s="134"/>
      <c r="CR360" s="134"/>
      <c r="CS360" s="134"/>
      <c r="CT360" s="288"/>
      <c r="CU360" s="289"/>
      <c r="CV360" s="276"/>
      <c r="CW360" s="308"/>
      <c r="CX360" s="138"/>
      <c r="CY360" s="134"/>
      <c r="CZ360" s="134"/>
      <c r="DA360" s="134"/>
      <c r="DB360" s="134"/>
      <c r="DC360" s="134"/>
      <c r="DD360" s="134"/>
      <c r="DE360" s="134"/>
      <c r="DF360" s="300"/>
      <c r="DG360" s="301"/>
      <c r="DH360" s="134"/>
      <c r="DI360" s="134"/>
      <c r="DJ360" s="134"/>
      <c r="DK360" s="134"/>
      <c r="DL360" s="134"/>
      <c r="DM360" s="134"/>
      <c r="DN360" s="134"/>
      <c r="DO360" s="134"/>
      <c r="DP360" s="300"/>
      <c r="DQ360" s="301"/>
      <c r="DR360" s="276"/>
      <c r="DS360" s="277"/>
      <c r="DT360" s="134"/>
      <c r="DU360" s="134"/>
      <c r="DV360" s="134"/>
      <c r="DW360" s="134"/>
      <c r="DX360" s="138"/>
      <c r="DY360" s="134"/>
      <c r="DZ360" s="134"/>
      <c r="EA360" s="134"/>
      <c r="EB360" s="301"/>
      <c r="EC360" s="301"/>
      <c r="ED360" s="138"/>
      <c r="EE360" s="134"/>
      <c r="EF360" s="134"/>
      <c r="EG360" s="134"/>
      <c r="EH360" s="138"/>
      <c r="EI360" s="134"/>
      <c r="EJ360" s="134"/>
      <c r="EK360" s="134"/>
      <c r="EL360" s="301"/>
      <c r="EM360" s="301"/>
      <c r="EN360" s="277"/>
      <c r="EO360" s="134"/>
      <c r="EP360" s="134"/>
      <c r="EQ360" s="134"/>
      <c r="ER360" s="134"/>
      <c r="ES360" s="134"/>
      <c r="ET360" s="134"/>
      <c r="EU360" s="134"/>
      <c r="EV360" s="134"/>
      <c r="EW360" s="301"/>
      <c r="EX360" s="301"/>
      <c r="EY360" s="134"/>
      <c r="EZ360" s="134"/>
      <c r="FA360" s="134"/>
      <c r="FB360" s="134"/>
      <c r="FC360" s="134"/>
      <c r="FD360" s="134"/>
      <c r="FE360" s="134"/>
      <c r="FF360" s="134"/>
      <c r="FG360" s="135"/>
      <c r="FH360" s="135"/>
      <c r="FI360" s="134"/>
      <c r="FJ360" s="134"/>
      <c r="FK360" s="134"/>
      <c r="FL360" s="134"/>
      <c r="FM360" s="134"/>
      <c r="FN360" s="134"/>
      <c r="FO360" s="134"/>
      <c r="FP360" s="134"/>
      <c r="FQ360" s="135"/>
      <c r="FR360" s="135"/>
      <c r="FS360" s="134"/>
      <c r="FT360" s="134"/>
      <c r="FU360" s="134"/>
      <c r="FV360" s="134"/>
      <c r="FW360" s="134"/>
      <c r="FX360" s="134"/>
      <c r="FY360" s="134"/>
      <c r="FZ360" s="134"/>
      <c r="GA360" s="135"/>
      <c r="GB360" s="135"/>
      <c r="GC360" s="134"/>
      <c r="GD360" s="134"/>
      <c r="GE360" s="134"/>
      <c r="GF360" s="134"/>
      <c r="GG360" s="134"/>
      <c r="GH360" s="134"/>
      <c r="GI360" s="134"/>
      <c r="GJ360" s="134"/>
      <c r="GK360" s="135"/>
      <c r="GL360" s="135"/>
      <c r="GM360" s="134"/>
      <c r="GN360" s="134"/>
      <c r="GO360" s="134"/>
      <c r="GP360" s="134"/>
      <c r="GQ360" s="134"/>
      <c r="GR360" s="134"/>
      <c r="GS360" s="134"/>
      <c r="GT360" s="134"/>
      <c r="GU360" s="135"/>
      <c r="GV360" s="135"/>
      <c r="GW360" s="134"/>
      <c r="GX360" s="134"/>
      <c r="GY360" s="134"/>
      <c r="GZ360" s="134"/>
      <c r="HA360" s="134"/>
      <c r="HB360" s="134"/>
      <c r="HC360" s="134"/>
      <c r="HD360" s="134"/>
      <c r="HE360" s="135"/>
      <c r="HF360" s="135"/>
      <c r="HG360" s="134"/>
      <c r="HH360" s="134"/>
      <c r="HI360" s="134"/>
      <c r="HJ360" s="134"/>
      <c r="HK360" s="134"/>
      <c r="HL360" s="134"/>
      <c r="HM360" s="134"/>
      <c r="HN360" s="134"/>
      <c r="HO360" s="135"/>
      <c r="HP360" s="135"/>
      <c r="HQ360" s="134"/>
      <c r="HR360" s="134"/>
      <c r="HS360" s="134"/>
      <c r="HT360" s="134"/>
      <c r="HU360" s="134"/>
      <c r="HV360" s="134"/>
      <c r="HW360" s="134"/>
      <c r="HX360" s="134"/>
      <c r="HY360" s="135"/>
      <c r="HZ360" s="135"/>
      <c r="IA360" s="134"/>
      <c r="IB360" s="134"/>
      <c r="IC360" s="134"/>
      <c r="ID360" s="134"/>
      <c r="IE360" s="134"/>
      <c r="IF360" s="134"/>
      <c r="IG360" s="134"/>
      <c r="IH360" s="134"/>
      <c r="II360" s="135"/>
      <c r="IJ360" s="135"/>
      <c r="IK360" s="134"/>
      <c r="IL360" s="134"/>
      <c r="IM360" s="134"/>
      <c r="IN360" s="134"/>
      <c r="IO360" s="134"/>
      <c r="IP360" s="134"/>
      <c r="IQ360" s="134"/>
      <c r="IR360" s="134"/>
      <c r="IS360" s="135"/>
      <c r="IT360" s="135"/>
      <c r="IU360" s="134"/>
      <c r="IV360" s="134"/>
      <c r="IW360" s="134"/>
      <c r="IX360" s="134"/>
      <c r="IY360" s="134"/>
      <c r="IZ360" s="134"/>
      <c r="JA360" s="134"/>
      <c r="JB360" s="134"/>
      <c r="JC360" s="135"/>
      <c r="JD360" s="135"/>
    </row>
    <row r="361" spans="1:264" customFormat="1" ht="15" customHeight="1">
      <c r="A361" s="79" t="s">
        <v>317</v>
      </c>
      <c r="B361" s="362">
        <v>227</v>
      </c>
      <c r="C361" s="362"/>
      <c r="D361" s="362"/>
      <c r="E361" s="604" t="s">
        <v>2030</v>
      </c>
      <c r="F361" s="124" t="s">
        <v>2264</v>
      </c>
      <c r="G361" s="125">
        <v>1991</v>
      </c>
      <c r="H361" s="79">
        <v>1984709</v>
      </c>
      <c r="I361" s="79">
        <v>1</v>
      </c>
      <c r="J361" s="170" t="s">
        <v>1784</v>
      </c>
      <c r="K361" s="127" t="s">
        <v>1767</v>
      </c>
      <c r="L361" s="164">
        <v>1</v>
      </c>
      <c r="M361" s="79"/>
      <c r="N361" s="164">
        <v>0</v>
      </c>
      <c r="O361" s="128">
        <v>1</v>
      </c>
      <c r="P361" s="79" t="s">
        <v>538</v>
      </c>
      <c r="Q361" s="79" t="s">
        <v>538</v>
      </c>
      <c r="R361" s="79" t="s">
        <v>822</v>
      </c>
      <c r="S361" s="79">
        <v>0</v>
      </c>
      <c r="T361" s="79"/>
      <c r="U361" s="79"/>
      <c r="V361" s="79"/>
      <c r="W361" s="79" t="s">
        <v>826</v>
      </c>
      <c r="X361" s="79"/>
      <c r="Y361" s="79"/>
      <c r="Z361" s="79" t="s">
        <v>827</v>
      </c>
      <c r="AA361" s="79"/>
      <c r="AB361" s="79" t="s">
        <v>828</v>
      </c>
      <c r="AC361" s="506"/>
      <c r="AD361" s="573">
        <v>1</v>
      </c>
      <c r="AE361" s="573">
        <v>2</v>
      </c>
      <c r="AF361" s="165">
        <v>0</v>
      </c>
      <c r="AG361" s="166" t="s">
        <v>5708</v>
      </c>
      <c r="AH361" s="121">
        <v>2</v>
      </c>
      <c r="AI361" s="484"/>
      <c r="AJ361" s="202"/>
      <c r="AK361" s="192"/>
      <c r="AL361" s="203"/>
      <c r="AM361" s="121"/>
      <c r="AN361" s="121"/>
      <c r="AO361" s="121"/>
      <c r="AP361" s="121"/>
      <c r="AQ361" s="121"/>
      <c r="AR361" s="121"/>
      <c r="AS361" s="121"/>
      <c r="AT361" s="121"/>
      <c r="AU361" s="121"/>
      <c r="AV361" s="121"/>
      <c r="AW361" s="121"/>
      <c r="AX361" s="121"/>
      <c r="AY361" s="121"/>
      <c r="AZ361" s="121"/>
      <c r="BA361" s="121"/>
      <c r="BB361" s="594"/>
      <c r="BC361" s="594"/>
      <c r="BD361" s="156"/>
      <c r="BE361" s="156"/>
      <c r="BF361" s="156"/>
      <c r="BG361" s="156"/>
      <c r="BH361" s="156"/>
      <c r="BI361" s="156"/>
      <c r="BJ361" s="156">
        <v>1</v>
      </c>
      <c r="BK361" s="156"/>
      <c r="BL361" s="156"/>
      <c r="BM361" s="156"/>
      <c r="BN361" s="156"/>
      <c r="BO361" s="156"/>
      <c r="BP361" s="156"/>
      <c r="BQ361" s="595"/>
      <c r="BR361" s="157"/>
      <c r="BS361" s="660"/>
      <c r="BT361" s="134"/>
      <c r="BU361" s="134"/>
      <c r="BV361" s="134"/>
      <c r="BW361" s="134"/>
      <c r="BX361" s="134"/>
      <c r="BY361" s="134"/>
      <c r="BZ361" s="259"/>
      <c r="CA361" s="454"/>
      <c r="CB361" s="138"/>
      <c r="CC361" s="134"/>
      <c r="CD361" s="134"/>
      <c r="CE361" s="134"/>
      <c r="CF361" s="138"/>
      <c r="CG361" s="134"/>
      <c r="CH361" s="134"/>
      <c r="CI361" s="134"/>
      <c r="CJ361" s="288"/>
      <c r="CK361" s="289"/>
      <c r="CL361" s="138"/>
      <c r="CM361" s="134"/>
      <c r="CN361" s="134"/>
      <c r="CO361" s="134"/>
      <c r="CP361" s="138"/>
      <c r="CQ361" s="134"/>
      <c r="CR361" s="134"/>
      <c r="CS361" s="134"/>
      <c r="CT361" s="288"/>
      <c r="CU361" s="289"/>
      <c r="CV361" s="276"/>
      <c r="CW361" s="308"/>
      <c r="CX361" s="138"/>
      <c r="CY361" s="134"/>
      <c r="CZ361" s="134"/>
      <c r="DA361" s="134"/>
      <c r="DB361" s="134"/>
      <c r="DC361" s="134"/>
      <c r="DD361" s="134"/>
      <c r="DE361" s="134"/>
      <c r="DF361" s="300"/>
      <c r="DG361" s="301"/>
      <c r="DH361" s="134"/>
      <c r="DI361" s="134"/>
      <c r="DJ361" s="134"/>
      <c r="DK361" s="134"/>
      <c r="DL361" s="134"/>
      <c r="DM361" s="134"/>
      <c r="DN361" s="134"/>
      <c r="DO361" s="134"/>
      <c r="DP361" s="300"/>
      <c r="DQ361" s="301"/>
      <c r="DR361" s="276"/>
      <c r="DS361" s="277"/>
      <c r="DT361" s="134"/>
      <c r="DU361" s="134"/>
      <c r="DV361" s="134"/>
      <c r="DW361" s="134"/>
      <c r="DX361" s="138"/>
      <c r="DY361" s="134"/>
      <c r="DZ361" s="134"/>
      <c r="EA361" s="134"/>
      <c r="EB361" s="301"/>
      <c r="EC361" s="301"/>
      <c r="ED361" s="138"/>
      <c r="EE361" s="134"/>
      <c r="EF361" s="134"/>
      <c r="EG361" s="134"/>
      <c r="EH361" s="138"/>
      <c r="EI361" s="134"/>
      <c r="EJ361" s="134"/>
      <c r="EK361" s="134"/>
      <c r="EL361" s="301"/>
      <c r="EM361" s="301"/>
      <c r="EN361" s="277"/>
      <c r="EO361" s="134"/>
      <c r="EP361" s="134"/>
      <c r="EQ361" s="134"/>
      <c r="ER361" s="134"/>
      <c r="ES361" s="134"/>
      <c r="ET361" s="134"/>
      <c r="EU361" s="134"/>
      <c r="EV361" s="134"/>
      <c r="EW361" s="301"/>
      <c r="EX361" s="301"/>
      <c r="EY361" s="134"/>
      <c r="EZ361" s="134"/>
      <c r="FA361" s="134"/>
      <c r="FB361" s="134"/>
      <c r="FC361" s="134"/>
      <c r="FD361" s="134"/>
      <c r="FE361" s="134"/>
      <c r="FF361" s="134"/>
      <c r="FG361" s="135"/>
      <c r="FH361" s="135"/>
      <c r="FI361" s="134"/>
      <c r="FJ361" s="134"/>
      <c r="FK361" s="134"/>
      <c r="FL361" s="134"/>
      <c r="FM361" s="134"/>
      <c r="FN361" s="134"/>
      <c r="FO361" s="134"/>
      <c r="FP361" s="134"/>
      <c r="FQ361" s="135"/>
      <c r="FR361" s="135"/>
      <c r="FS361" s="134"/>
      <c r="FT361" s="134"/>
      <c r="FU361" s="134"/>
      <c r="FV361" s="134"/>
      <c r="FW361" s="134"/>
      <c r="FX361" s="134"/>
      <c r="FY361" s="134"/>
      <c r="FZ361" s="134"/>
      <c r="GA361" s="135"/>
      <c r="GB361" s="135"/>
      <c r="GC361" s="134"/>
      <c r="GD361" s="134"/>
      <c r="GE361" s="134"/>
      <c r="GF361" s="134"/>
      <c r="GG361" s="134"/>
      <c r="GH361" s="134"/>
      <c r="GI361" s="134"/>
      <c r="GJ361" s="134"/>
      <c r="GK361" s="135"/>
      <c r="GL361" s="135"/>
      <c r="GM361" s="134"/>
      <c r="GN361" s="134"/>
      <c r="GO361" s="134"/>
      <c r="GP361" s="134"/>
      <c r="GQ361" s="134"/>
      <c r="GR361" s="134"/>
      <c r="GS361" s="134"/>
      <c r="GT361" s="134"/>
      <c r="GU361" s="135"/>
      <c r="GV361" s="135"/>
      <c r="GW361" s="134"/>
      <c r="GX361" s="134"/>
      <c r="GY361" s="134"/>
      <c r="GZ361" s="134"/>
      <c r="HA361" s="134"/>
      <c r="HB361" s="134"/>
      <c r="HC361" s="134"/>
      <c r="HD361" s="134"/>
      <c r="HE361" s="135"/>
      <c r="HF361" s="135"/>
      <c r="HG361" s="134"/>
      <c r="HH361" s="134"/>
      <c r="HI361" s="134"/>
      <c r="HJ361" s="134"/>
      <c r="HK361" s="134"/>
      <c r="HL361" s="134"/>
      <c r="HM361" s="134"/>
      <c r="HN361" s="134"/>
      <c r="HO361" s="135"/>
      <c r="HP361" s="135"/>
      <c r="HQ361" s="134"/>
      <c r="HR361" s="134"/>
      <c r="HS361" s="134"/>
      <c r="HT361" s="134"/>
      <c r="HU361" s="134"/>
      <c r="HV361" s="134"/>
      <c r="HW361" s="134"/>
      <c r="HX361" s="134"/>
      <c r="HY361" s="135"/>
      <c r="HZ361" s="135"/>
      <c r="IA361" s="134"/>
      <c r="IB361" s="134"/>
      <c r="IC361" s="134"/>
      <c r="ID361" s="134"/>
      <c r="IE361" s="134"/>
      <c r="IF361" s="134"/>
      <c r="IG361" s="134"/>
      <c r="IH361" s="134"/>
      <c r="II361" s="135"/>
      <c r="IJ361" s="135"/>
      <c r="IK361" s="134"/>
      <c r="IL361" s="134"/>
      <c r="IM361" s="134"/>
      <c r="IN361" s="134"/>
      <c r="IO361" s="134"/>
      <c r="IP361" s="134"/>
      <c r="IQ361" s="134"/>
      <c r="IR361" s="134"/>
      <c r="IS361" s="135"/>
      <c r="IT361" s="135"/>
      <c r="IU361" s="134"/>
      <c r="IV361" s="134"/>
      <c r="IW361" s="134"/>
      <c r="IX361" s="134"/>
      <c r="IY361" s="134"/>
      <c r="IZ361" s="134"/>
      <c r="JA361" s="134"/>
      <c r="JB361" s="134"/>
      <c r="JC361" s="135"/>
      <c r="JD361" s="135"/>
    </row>
    <row r="362" spans="1:264" s="119" customFormat="1" ht="15" customHeight="1">
      <c r="A362" s="79" t="s">
        <v>968</v>
      </c>
      <c r="B362" s="362">
        <v>47</v>
      </c>
      <c r="C362" s="362"/>
      <c r="D362" s="362"/>
      <c r="E362" s="604" t="s">
        <v>2119</v>
      </c>
      <c r="F362" s="124" t="s">
        <v>2379</v>
      </c>
      <c r="G362" s="125">
        <v>2006</v>
      </c>
      <c r="H362" s="79">
        <v>17031709</v>
      </c>
      <c r="I362" s="79">
        <v>1</v>
      </c>
      <c r="J362" s="126">
        <v>1</v>
      </c>
      <c r="K362" s="127"/>
      <c r="L362" s="79">
        <v>1</v>
      </c>
      <c r="M362" s="79"/>
      <c r="N362" s="153">
        <v>1</v>
      </c>
      <c r="O362" s="128">
        <v>2</v>
      </c>
      <c r="P362" s="79" t="s">
        <v>1227</v>
      </c>
      <c r="Q362" s="79" t="s">
        <v>1216</v>
      </c>
      <c r="R362" s="79" t="s">
        <v>1127</v>
      </c>
      <c r="S362" s="79"/>
      <c r="T362" s="79" t="s">
        <v>1487</v>
      </c>
      <c r="U362" s="79" t="s">
        <v>803</v>
      </c>
      <c r="V362" s="79"/>
      <c r="W362" s="79" t="s">
        <v>1501</v>
      </c>
      <c r="X362" s="79"/>
      <c r="Y362" s="79" t="s">
        <v>1132</v>
      </c>
      <c r="Z362" s="79"/>
      <c r="AA362" s="79" t="s">
        <v>1590</v>
      </c>
      <c r="AB362" s="79"/>
      <c r="AC362" s="506"/>
      <c r="AD362" s="573">
        <v>1</v>
      </c>
      <c r="AE362" s="573">
        <v>2</v>
      </c>
      <c r="AF362" s="154">
        <v>1</v>
      </c>
      <c r="AG362" s="155"/>
      <c r="AH362" s="121">
        <v>4</v>
      </c>
      <c r="AI362" s="484"/>
      <c r="AJ362" s="202" t="s">
        <v>3600</v>
      </c>
      <c r="AK362" s="192">
        <v>2</v>
      </c>
      <c r="AL362" s="203">
        <v>1</v>
      </c>
      <c r="AM362" s="121">
        <f>Table668[[#This Row],[Data_Subjects_n_ptsd]]+Table668[[#This Row],[Data_Subjects_n_control]]</f>
        <v>18</v>
      </c>
      <c r="AN362" s="121">
        <v>9</v>
      </c>
      <c r="AO362" s="121">
        <v>9</v>
      </c>
      <c r="AP362" s="121" t="s">
        <v>803</v>
      </c>
      <c r="AQ362" s="121" t="s">
        <v>803</v>
      </c>
      <c r="AR362" s="121" t="s">
        <v>3595</v>
      </c>
      <c r="AS362" s="121" t="s">
        <v>24</v>
      </c>
      <c r="AT362" s="121" t="s">
        <v>3595</v>
      </c>
      <c r="AU362" s="121" t="s">
        <v>24</v>
      </c>
      <c r="AV362" s="121" t="s">
        <v>3596</v>
      </c>
      <c r="AW362" s="121">
        <v>1</v>
      </c>
      <c r="AX362" s="121">
        <v>1</v>
      </c>
      <c r="AY362" s="121" t="s">
        <v>3597</v>
      </c>
      <c r="AZ362" s="121" t="s">
        <v>1130</v>
      </c>
      <c r="BA362" s="121" t="s">
        <v>2798</v>
      </c>
      <c r="BB362" s="594"/>
      <c r="BC362" s="594"/>
      <c r="BD362" s="156">
        <v>1</v>
      </c>
      <c r="BE362" s="156"/>
      <c r="BF362" s="156"/>
      <c r="BG362" s="156"/>
      <c r="BH362" s="156"/>
      <c r="BI362" s="156"/>
      <c r="BJ362" s="156"/>
      <c r="BK362" s="156"/>
      <c r="BL362" s="156"/>
      <c r="BM362" s="156"/>
      <c r="BN362" s="156"/>
      <c r="BO362" s="156"/>
      <c r="BP362" s="156"/>
      <c r="BQ362" s="595" t="s">
        <v>3611</v>
      </c>
      <c r="BR362" s="157" t="s">
        <v>6595</v>
      </c>
      <c r="BS362" s="660"/>
      <c r="BT362" s="134" t="s">
        <v>1876</v>
      </c>
      <c r="BU362" s="134">
        <v>2</v>
      </c>
      <c r="BV362" s="150" t="s">
        <v>3605</v>
      </c>
      <c r="BW362" s="134" t="s">
        <v>3514</v>
      </c>
      <c r="BX362" s="134" t="s">
        <v>3237</v>
      </c>
      <c r="BY362" s="134" t="s">
        <v>6640</v>
      </c>
      <c r="BZ362" s="259" t="s">
        <v>3604</v>
      </c>
      <c r="CA362" s="454" t="s">
        <v>6627</v>
      </c>
      <c r="CB362" s="138" t="s">
        <v>3598</v>
      </c>
      <c r="CC362" s="134">
        <v>115.836</v>
      </c>
      <c r="CD362" s="168" t="s">
        <v>24</v>
      </c>
      <c r="CE362" s="134">
        <f>125.091-Table668[[#This Row],[Data_Outcome1_M]]</f>
        <v>9.2549999999999955</v>
      </c>
      <c r="CF362" s="138" t="s">
        <v>3599</v>
      </c>
      <c r="CG362" s="134">
        <v>65.167400000000001</v>
      </c>
      <c r="CH362" s="134" t="s">
        <v>24</v>
      </c>
      <c r="CI362" s="134">
        <f>73.4964-Table668[[#This Row],[Data_Outcome2_M]]</f>
        <v>8.3289999999999935</v>
      </c>
      <c r="CJ362" s="288" t="s">
        <v>3603</v>
      </c>
      <c r="CK362" s="289" t="s">
        <v>2555</v>
      </c>
      <c r="CL362" s="138" t="s">
        <v>24</v>
      </c>
      <c r="CM362" s="134" t="s">
        <v>24</v>
      </c>
      <c r="CN362" s="134" t="s">
        <v>24</v>
      </c>
      <c r="CO362" s="134" t="s">
        <v>24</v>
      </c>
      <c r="CP362" s="138"/>
      <c r="CQ362" s="134"/>
      <c r="CR362" s="134"/>
      <c r="CS362" s="134"/>
      <c r="CT362" s="288"/>
      <c r="CU362" s="289"/>
      <c r="CV362" s="276"/>
      <c r="CW362" s="308"/>
      <c r="CX362" s="138"/>
      <c r="CY362" s="134"/>
      <c r="CZ362" s="134"/>
      <c r="DA362" s="134"/>
      <c r="DB362" s="134"/>
      <c r="DC362" s="134"/>
      <c r="DD362" s="134"/>
      <c r="DE362" s="134"/>
      <c r="DF362" s="300"/>
      <c r="DG362" s="301"/>
      <c r="DH362" s="134"/>
      <c r="DI362" s="134"/>
      <c r="DJ362" s="134"/>
      <c r="DK362" s="134"/>
      <c r="DL362" s="134"/>
      <c r="DM362" s="134"/>
      <c r="DN362" s="134"/>
      <c r="DO362" s="134"/>
      <c r="DP362" s="300"/>
      <c r="DQ362" s="301"/>
      <c r="DR362" s="276"/>
      <c r="DS362" s="277"/>
      <c r="DT362" s="134"/>
      <c r="DU362" s="134"/>
      <c r="DV362" s="134"/>
      <c r="DW362" s="134"/>
      <c r="DX362" s="138"/>
      <c r="DY362" s="134"/>
      <c r="DZ362" s="134"/>
      <c r="EA362" s="134"/>
      <c r="EB362" s="301"/>
      <c r="EC362" s="301"/>
      <c r="ED362" s="138"/>
      <c r="EE362" s="134"/>
      <c r="EF362" s="134"/>
      <c r="EG362" s="134"/>
      <c r="EH362" s="138"/>
      <c r="EI362" s="134"/>
      <c r="EJ362" s="134"/>
      <c r="EK362" s="134"/>
      <c r="EL362" s="301"/>
      <c r="EM362" s="301"/>
      <c r="EN362" s="277"/>
      <c r="EO362" s="134"/>
      <c r="EP362" s="134"/>
      <c r="EQ362" s="134"/>
      <c r="ER362" s="134"/>
      <c r="ES362" s="134"/>
      <c r="ET362" s="134"/>
      <c r="EU362" s="134"/>
      <c r="EV362" s="134"/>
      <c r="EW362" s="301"/>
      <c r="EX362" s="301"/>
      <c r="EY362" s="134"/>
      <c r="EZ362" s="134"/>
      <c r="FA362" s="134"/>
      <c r="FB362" s="134"/>
      <c r="FC362" s="134"/>
      <c r="FD362" s="134"/>
      <c r="FE362" s="134"/>
      <c r="FF362" s="134"/>
      <c r="FG362" s="135"/>
      <c r="FH362" s="135"/>
      <c r="FI362" s="134"/>
      <c r="FJ362" s="134"/>
      <c r="FK362" s="134"/>
      <c r="FL362" s="134"/>
      <c r="FM362" s="134"/>
      <c r="FN362" s="134"/>
      <c r="FO362" s="134"/>
      <c r="FP362" s="134"/>
      <c r="FQ362" s="135"/>
      <c r="FR362" s="135"/>
      <c r="FS362" s="134"/>
      <c r="FT362" s="134"/>
      <c r="FU362" s="134"/>
      <c r="FV362" s="134"/>
      <c r="FW362" s="134"/>
      <c r="FX362" s="134"/>
      <c r="FY362" s="134"/>
      <c r="FZ362" s="134"/>
      <c r="GA362" s="135"/>
      <c r="GB362" s="135"/>
      <c r="GC362" s="134"/>
      <c r="GD362" s="134"/>
      <c r="GE362" s="134"/>
      <c r="GF362" s="134"/>
      <c r="GG362" s="134"/>
      <c r="GH362" s="134"/>
      <c r="GI362" s="134"/>
      <c r="GJ362" s="134"/>
      <c r="GK362" s="135"/>
      <c r="GL362" s="135"/>
      <c r="GM362" s="134"/>
      <c r="GN362" s="134"/>
      <c r="GO362" s="134"/>
      <c r="GP362" s="134"/>
      <c r="GQ362" s="134"/>
      <c r="GR362" s="134"/>
      <c r="GS362" s="134"/>
      <c r="GT362" s="134"/>
      <c r="GU362" s="135"/>
      <c r="GV362" s="135"/>
      <c r="GW362" s="134"/>
      <c r="GX362" s="134"/>
      <c r="GY362" s="134"/>
      <c r="GZ362" s="134"/>
      <c r="HA362" s="134"/>
      <c r="HB362" s="134"/>
      <c r="HC362" s="134"/>
      <c r="HD362" s="134"/>
      <c r="HE362" s="135"/>
      <c r="HF362" s="135"/>
      <c r="HG362" s="134"/>
      <c r="HH362" s="134"/>
      <c r="HI362" s="134"/>
      <c r="HJ362" s="134"/>
      <c r="HK362" s="134"/>
      <c r="HL362" s="134"/>
      <c r="HM362" s="134"/>
      <c r="HN362" s="134"/>
      <c r="HO362" s="135"/>
      <c r="HP362" s="135"/>
      <c r="HQ362" s="134"/>
      <c r="HR362" s="134"/>
      <c r="HS362" s="134"/>
      <c r="HT362" s="134"/>
      <c r="HU362" s="134"/>
      <c r="HV362" s="134"/>
      <c r="HW362" s="134"/>
      <c r="HX362" s="134"/>
      <c r="HY362" s="135"/>
      <c r="HZ362" s="135"/>
      <c r="IA362" s="134"/>
      <c r="IB362" s="134"/>
      <c r="IC362" s="134"/>
      <c r="ID362" s="134"/>
      <c r="IE362" s="134"/>
      <c r="IF362" s="134"/>
      <c r="IG362" s="134"/>
      <c r="IH362" s="134"/>
      <c r="II362" s="135"/>
      <c r="IJ362" s="135"/>
      <c r="IK362" s="134"/>
      <c r="IL362" s="134"/>
      <c r="IM362" s="134"/>
      <c r="IN362" s="134"/>
      <c r="IO362" s="134"/>
      <c r="IP362" s="134"/>
      <c r="IQ362" s="134"/>
      <c r="IR362" s="134"/>
      <c r="IS362" s="135"/>
      <c r="IT362" s="135"/>
      <c r="IU362" s="134"/>
      <c r="IV362" s="134"/>
      <c r="IW362" s="134"/>
      <c r="IX362" s="134"/>
      <c r="IY362" s="134"/>
      <c r="IZ362" s="134"/>
      <c r="JA362" s="134"/>
      <c r="JB362" s="134"/>
      <c r="JC362" s="135"/>
      <c r="JD362" s="135"/>
    </row>
    <row r="363" spans="1:264" ht="15" customHeight="1">
      <c r="A363" s="118" t="s">
        <v>968</v>
      </c>
      <c r="B363" s="616">
        <v>47</v>
      </c>
      <c r="C363" s="616"/>
      <c r="D363" s="616"/>
      <c r="E363" s="605" t="s">
        <v>2119</v>
      </c>
      <c r="F363" s="140" t="s">
        <v>2379</v>
      </c>
      <c r="G363" s="141">
        <v>2006</v>
      </c>
      <c r="H363" s="118">
        <v>17031709</v>
      </c>
      <c r="I363" s="118">
        <v>1</v>
      </c>
      <c r="J363" s="118">
        <v>1</v>
      </c>
      <c r="K363" s="118"/>
      <c r="L363" s="118">
        <v>1</v>
      </c>
      <c r="M363" s="118"/>
      <c r="N363" s="158">
        <v>1</v>
      </c>
      <c r="O363" s="142">
        <v>2</v>
      </c>
      <c r="P363" s="118" t="s">
        <v>1227</v>
      </c>
      <c r="Q363" s="118" t="s">
        <v>1216</v>
      </c>
      <c r="R363" s="118" t="s">
        <v>1127</v>
      </c>
      <c r="S363" s="118"/>
      <c r="T363" s="118" t="s">
        <v>1487</v>
      </c>
      <c r="U363" s="118" t="s">
        <v>803</v>
      </c>
      <c r="V363" s="118"/>
      <c r="W363" s="118" t="s">
        <v>1501</v>
      </c>
      <c r="X363" s="118"/>
      <c r="Y363" s="118" t="s">
        <v>1132</v>
      </c>
      <c r="Z363" s="118"/>
      <c r="AA363" s="118" t="s">
        <v>1590</v>
      </c>
      <c r="AB363" s="118"/>
      <c r="AC363" s="145"/>
      <c r="AD363" s="573">
        <v>1</v>
      </c>
      <c r="AE363" s="573">
        <v>2</v>
      </c>
      <c r="AF363" s="159">
        <v>1</v>
      </c>
      <c r="AG363" s="160"/>
      <c r="AH363" s="122">
        <v>4</v>
      </c>
      <c r="AI363" s="485"/>
      <c r="AJ363" s="202" t="s">
        <v>3601</v>
      </c>
      <c r="AK363" s="192">
        <v>2</v>
      </c>
      <c r="AL363" s="205">
        <v>1</v>
      </c>
      <c r="AM363" s="122">
        <f>Table668[[#This Row],[Data_Subjects_n_ptsd]]+Table668[[#This Row],[Data_Subjects_n_control]]</f>
        <v>18</v>
      </c>
      <c r="AN363" s="122">
        <v>9</v>
      </c>
      <c r="AO363" s="122">
        <v>9</v>
      </c>
      <c r="AP363" s="122" t="s">
        <v>803</v>
      </c>
      <c r="AQ363" s="122" t="s">
        <v>803</v>
      </c>
      <c r="AR363" s="122" t="s">
        <v>3595</v>
      </c>
      <c r="AS363" s="122" t="s">
        <v>24</v>
      </c>
      <c r="AT363" s="122" t="s">
        <v>3595</v>
      </c>
      <c r="AU363" s="122" t="s">
        <v>24</v>
      </c>
      <c r="AV363" s="122" t="s">
        <v>3596</v>
      </c>
      <c r="AW363" s="122">
        <v>1</v>
      </c>
      <c r="AX363" s="122">
        <v>1</v>
      </c>
      <c r="AY363" s="122" t="s">
        <v>3597</v>
      </c>
      <c r="AZ363" s="122" t="s">
        <v>1130</v>
      </c>
      <c r="BA363" s="122" t="s">
        <v>2798</v>
      </c>
      <c r="BB363" s="588"/>
      <c r="BC363" s="588"/>
      <c r="BD363" s="161">
        <v>1</v>
      </c>
      <c r="BE363" s="161"/>
      <c r="BF363" s="161"/>
      <c r="BG363" s="161"/>
      <c r="BH363" s="161"/>
      <c r="BI363" s="161"/>
      <c r="BJ363" s="161"/>
      <c r="BK363" s="161"/>
      <c r="BL363" s="161"/>
      <c r="BM363" s="161"/>
      <c r="BN363" s="161"/>
      <c r="BO363" s="161"/>
      <c r="BP363" s="161"/>
      <c r="BQ363" s="595" t="s">
        <v>3611</v>
      </c>
      <c r="BR363" s="157" t="s">
        <v>6595</v>
      </c>
      <c r="BS363" s="660"/>
      <c r="BT363" s="150" t="s">
        <v>1876</v>
      </c>
      <c r="BU363" s="150">
        <v>2</v>
      </c>
      <c r="BV363" s="150" t="s">
        <v>3605</v>
      </c>
      <c r="BW363" s="150" t="s">
        <v>3514</v>
      </c>
      <c r="BX363" s="150" t="s">
        <v>3237</v>
      </c>
      <c r="BY363" s="134" t="s">
        <v>6640</v>
      </c>
      <c r="BZ363" s="259" t="s">
        <v>3604</v>
      </c>
      <c r="CA363" s="454" t="s">
        <v>6627</v>
      </c>
      <c r="CB363" s="151" t="s">
        <v>3598</v>
      </c>
      <c r="CC363" s="150">
        <v>107.661</v>
      </c>
      <c r="CD363" s="150" t="s">
        <v>24</v>
      </c>
      <c r="CE363" s="150">
        <f>118.766-Table668[[#This Row],[Data_Outcome1_M]]</f>
        <v>11.105000000000004</v>
      </c>
      <c r="CF363" s="151" t="s">
        <v>3599</v>
      </c>
      <c r="CG363" s="150">
        <v>68.789199999999994</v>
      </c>
      <c r="CH363" s="150" t="s">
        <v>24</v>
      </c>
      <c r="CI363" s="150">
        <f>79.4352-Table668[[#This Row],[Data_Outcome2_M]]</f>
        <v>10.646000000000001</v>
      </c>
      <c r="CJ363" s="288" t="s">
        <v>3603</v>
      </c>
      <c r="CK363" s="289" t="s">
        <v>2555</v>
      </c>
      <c r="CL363" s="151"/>
      <c r="CM363" s="150"/>
      <c r="CN363" s="150"/>
      <c r="CO363" s="150"/>
      <c r="CP363" s="151"/>
      <c r="CQ363" s="150"/>
      <c r="CR363" s="150"/>
      <c r="CS363" s="150"/>
      <c r="CT363" s="290"/>
      <c r="CU363" s="291"/>
      <c r="CV363" s="278"/>
      <c r="CW363" s="285"/>
      <c r="CX363" s="151"/>
      <c r="CY363" s="150"/>
      <c r="CZ363" s="150"/>
      <c r="DA363" s="150"/>
      <c r="DB363" s="150"/>
      <c r="DC363" s="150"/>
      <c r="DD363" s="150"/>
      <c r="DE363" s="150"/>
      <c r="DF363" s="302"/>
      <c r="DG363" s="303"/>
      <c r="DH363" s="150"/>
      <c r="DI363" s="150"/>
      <c r="DJ363" s="150"/>
      <c r="DK363" s="150"/>
      <c r="DL363" s="150"/>
      <c r="DM363" s="150"/>
      <c r="DN363" s="150"/>
      <c r="DO363" s="150"/>
      <c r="DP363" s="302"/>
      <c r="DQ363" s="303"/>
      <c r="DR363" s="278"/>
      <c r="DS363" s="279"/>
      <c r="DT363" s="150"/>
      <c r="DU363" s="150"/>
      <c r="DV363" s="150"/>
      <c r="DW363" s="150"/>
      <c r="DX363" s="151"/>
      <c r="DY363" s="150"/>
      <c r="DZ363" s="150"/>
      <c r="EA363" s="150"/>
      <c r="EB363" s="303"/>
      <c r="EC363" s="303"/>
      <c r="ED363" s="151"/>
      <c r="EE363" s="150"/>
      <c r="EF363" s="150"/>
      <c r="EG363" s="150"/>
      <c r="EH363" s="151"/>
      <c r="EI363" s="150"/>
      <c r="EJ363" s="150"/>
      <c r="EK363" s="150"/>
      <c r="EL363" s="303"/>
      <c r="EM363" s="303"/>
      <c r="EN363" s="279"/>
      <c r="EO363" s="150"/>
      <c r="EP363" s="150"/>
      <c r="EQ363" s="150"/>
      <c r="ER363" s="150"/>
      <c r="ES363" s="150"/>
      <c r="ET363" s="150"/>
      <c r="EU363" s="150"/>
      <c r="EV363" s="150"/>
      <c r="EW363" s="303"/>
      <c r="EX363" s="303"/>
      <c r="EY363" s="150"/>
      <c r="EZ363" s="150"/>
      <c r="FA363" s="150"/>
      <c r="FB363" s="150"/>
      <c r="FC363" s="134"/>
      <c r="FD363" s="134"/>
      <c r="FE363" s="134"/>
      <c r="FF363" s="134"/>
      <c r="FG363" s="135"/>
      <c r="FH363" s="135"/>
      <c r="FI363" s="134"/>
      <c r="FJ363" s="134"/>
      <c r="FK363" s="134"/>
      <c r="FL363" s="134"/>
      <c r="FM363" s="134"/>
      <c r="FN363" s="134"/>
      <c r="FO363" s="134"/>
      <c r="FP363" s="134"/>
      <c r="FQ363" s="135"/>
      <c r="FR363" s="135"/>
      <c r="FS363" s="134"/>
      <c r="FT363" s="134"/>
      <c r="FU363" s="134"/>
      <c r="FV363" s="134"/>
      <c r="FW363" s="134"/>
      <c r="FX363" s="134"/>
      <c r="FY363" s="134"/>
      <c r="FZ363" s="134"/>
      <c r="GA363" s="135"/>
      <c r="GB363" s="135"/>
      <c r="GC363" s="134"/>
      <c r="GD363" s="134"/>
      <c r="GE363" s="134"/>
      <c r="GF363" s="134"/>
      <c r="GG363" s="134"/>
      <c r="GH363" s="134"/>
      <c r="GI363" s="134"/>
      <c r="GJ363" s="134"/>
      <c r="GK363" s="135"/>
      <c r="GL363" s="135"/>
      <c r="GM363" s="134"/>
      <c r="GN363" s="134"/>
      <c r="GO363" s="134"/>
      <c r="GP363" s="134"/>
      <c r="GQ363" s="134"/>
      <c r="GR363" s="134"/>
      <c r="GS363" s="134"/>
      <c r="GT363" s="134"/>
      <c r="GU363" s="135"/>
      <c r="GV363" s="135"/>
      <c r="GW363" s="134"/>
      <c r="GX363" s="134"/>
      <c r="GY363" s="134"/>
      <c r="GZ363" s="134"/>
      <c r="HA363" s="134"/>
      <c r="HB363" s="134"/>
      <c r="HC363" s="134"/>
      <c r="HD363" s="134"/>
      <c r="HE363" s="135"/>
      <c r="HF363" s="135"/>
      <c r="HG363" s="134"/>
      <c r="HH363" s="134"/>
      <c r="HI363" s="134"/>
      <c r="HJ363" s="134"/>
      <c r="HK363" s="134"/>
      <c r="HL363" s="134"/>
      <c r="HM363" s="134"/>
      <c r="HN363" s="134"/>
      <c r="HO363" s="135"/>
      <c r="HP363" s="135"/>
      <c r="HQ363" s="134"/>
      <c r="HR363" s="134"/>
      <c r="HS363" s="134"/>
      <c r="HT363" s="134"/>
      <c r="HU363" s="134"/>
      <c r="HV363" s="134"/>
      <c r="HW363" s="134"/>
      <c r="HX363" s="134"/>
      <c r="HY363" s="135"/>
      <c r="HZ363" s="135"/>
      <c r="IA363" s="134"/>
      <c r="IB363" s="134"/>
      <c r="IC363" s="134"/>
      <c r="ID363" s="134"/>
      <c r="IE363" s="134"/>
      <c r="IF363" s="134"/>
      <c r="IG363" s="134"/>
      <c r="IH363" s="134"/>
      <c r="II363" s="135"/>
      <c r="IJ363" s="135"/>
      <c r="IK363" s="134"/>
      <c r="IL363" s="134"/>
      <c r="IM363" s="134"/>
      <c r="IN363" s="134"/>
      <c r="IO363" s="134"/>
      <c r="IP363" s="134"/>
      <c r="IQ363" s="134"/>
      <c r="IR363" s="134"/>
      <c r="IS363" s="135"/>
      <c r="IT363" s="135"/>
      <c r="IU363" s="134"/>
      <c r="IV363" s="134"/>
      <c r="IW363" s="134"/>
      <c r="IX363" s="134"/>
      <c r="IY363" s="134"/>
      <c r="IZ363" s="134"/>
      <c r="JA363" s="134"/>
      <c r="JB363" s="134"/>
      <c r="JC363" s="135"/>
      <c r="JD363" s="135"/>
    </row>
    <row r="364" spans="1:264" ht="15" customHeight="1">
      <c r="A364" s="118" t="s">
        <v>968</v>
      </c>
      <c r="B364" s="616">
        <v>47</v>
      </c>
      <c r="C364" s="616"/>
      <c r="D364" s="616"/>
      <c r="E364" s="605" t="s">
        <v>2119</v>
      </c>
      <c r="F364" s="140" t="s">
        <v>2379</v>
      </c>
      <c r="G364" s="141">
        <v>2006</v>
      </c>
      <c r="H364" s="118">
        <v>17031709</v>
      </c>
      <c r="I364" s="118">
        <v>1</v>
      </c>
      <c r="J364" s="118">
        <v>1</v>
      </c>
      <c r="K364" s="118"/>
      <c r="L364" s="118">
        <v>1</v>
      </c>
      <c r="M364" s="118"/>
      <c r="N364" s="158">
        <v>1</v>
      </c>
      <c r="O364" s="142">
        <v>2</v>
      </c>
      <c r="P364" s="118" t="s">
        <v>1227</v>
      </c>
      <c r="Q364" s="118" t="s">
        <v>1216</v>
      </c>
      <c r="R364" s="118" t="s">
        <v>1127</v>
      </c>
      <c r="S364" s="118"/>
      <c r="T364" s="118" t="s">
        <v>1487</v>
      </c>
      <c r="U364" s="118" t="s">
        <v>803</v>
      </c>
      <c r="V364" s="118"/>
      <c r="W364" s="118" t="s">
        <v>1501</v>
      </c>
      <c r="X364" s="118"/>
      <c r="Y364" s="118" t="s">
        <v>1132</v>
      </c>
      <c r="Z364" s="118"/>
      <c r="AA364" s="118" t="s">
        <v>1590</v>
      </c>
      <c r="AB364" s="118"/>
      <c r="AC364" s="145"/>
      <c r="AD364" s="573">
        <v>1</v>
      </c>
      <c r="AE364" s="573">
        <v>2</v>
      </c>
      <c r="AF364" s="159">
        <v>1</v>
      </c>
      <c r="AG364" s="160"/>
      <c r="AH364" s="122">
        <v>4</v>
      </c>
      <c r="AI364" s="485"/>
      <c r="AJ364" s="202" t="s">
        <v>3602</v>
      </c>
      <c r="AK364" s="192">
        <v>2</v>
      </c>
      <c r="AL364" s="205">
        <v>1</v>
      </c>
      <c r="AM364" s="122">
        <f>Table668[[#This Row],[Data_Subjects_n_ptsd]]+Table668[[#This Row],[Data_Subjects_n_control]]</f>
        <v>18</v>
      </c>
      <c r="AN364" s="122">
        <v>9</v>
      </c>
      <c r="AO364" s="122">
        <v>9</v>
      </c>
      <c r="AP364" s="122" t="s">
        <v>803</v>
      </c>
      <c r="AQ364" s="122" t="s">
        <v>803</v>
      </c>
      <c r="AR364" s="122" t="s">
        <v>3595</v>
      </c>
      <c r="AS364" s="122" t="s">
        <v>24</v>
      </c>
      <c r="AT364" s="122" t="s">
        <v>3595</v>
      </c>
      <c r="AU364" s="122" t="s">
        <v>24</v>
      </c>
      <c r="AV364" s="122" t="s">
        <v>3596</v>
      </c>
      <c r="AW364" s="122">
        <v>1</v>
      </c>
      <c r="AX364" s="122">
        <v>1</v>
      </c>
      <c r="AY364" s="122" t="s">
        <v>3597</v>
      </c>
      <c r="AZ364" s="122" t="s">
        <v>1130</v>
      </c>
      <c r="BA364" s="122" t="s">
        <v>2798</v>
      </c>
      <c r="BB364" s="588"/>
      <c r="BC364" s="588"/>
      <c r="BD364" s="161">
        <v>1</v>
      </c>
      <c r="BE364" s="161"/>
      <c r="BF364" s="161"/>
      <c r="BG364" s="161"/>
      <c r="BH364" s="161"/>
      <c r="BI364" s="161"/>
      <c r="BJ364" s="161"/>
      <c r="BK364" s="161"/>
      <c r="BL364" s="161"/>
      <c r="BM364" s="161"/>
      <c r="BN364" s="161"/>
      <c r="BO364" s="161"/>
      <c r="BP364" s="161"/>
      <c r="BQ364" s="595" t="s">
        <v>3611</v>
      </c>
      <c r="BR364" s="157" t="s">
        <v>6595</v>
      </c>
      <c r="BS364" s="660"/>
      <c r="BT364" s="150" t="s">
        <v>1876</v>
      </c>
      <c r="BU364" s="150">
        <v>2</v>
      </c>
      <c r="BV364" s="150" t="s">
        <v>3605</v>
      </c>
      <c r="BW364" s="150" t="s">
        <v>3514</v>
      </c>
      <c r="BX364" s="150" t="s">
        <v>3237</v>
      </c>
      <c r="BY364" s="134" t="s">
        <v>6640</v>
      </c>
      <c r="BZ364" s="259" t="s">
        <v>3604</v>
      </c>
      <c r="CA364" s="454" t="s">
        <v>6627</v>
      </c>
      <c r="CB364" s="151" t="s">
        <v>3598</v>
      </c>
      <c r="CC364" s="150">
        <v>110.181</v>
      </c>
      <c r="CD364" s="150" t="s">
        <v>24</v>
      </c>
      <c r="CE364" s="150">
        <f>125.143-Table668[[#This Row],[Data_Outcome1_M]]</f>
        <v>14.962000000000003</v>
      </c>
      <c r="CF364" s="151" t="s">
        <v>3599</v>
      </c>
      <c r="CG364" s="150">
        <v>64.597700000000003</v>
      </c>
      <c r="CH364" s="150" t="s">
        <v>24</v>
      </c>
      <c r="CI364" s="150">
        <f>75.3511-Table668[[#This Row],[Data_Outcome2_M]]</f>
        <v>10.753399999999999</v>
      </c>
      <c r="CJ364" s="288" t="s">
        <v>3603</v>
      </c>
      <c r="CK364" s="289" t="s">
        <v>2555</v>
      </c>
      <c r="CL364" s="151"/>
      <c r="CM364" s="150"/>
      <c r="CN364" s="150"/>
      <c r="CO364" s="150"/>
      <c r="CP364" s="151"/>
      <c r="CQ364" s="150"/>
      <c r="CR364" s="150"/>
      <c r="CS364" s="150"/>
      <c r="CT364" s="290"/>
      <c r="CU364" s="291"/>
      <c r="CV364" s="278"/>
      <c r="CW364" s="285"/>
      <c r="CX364" s="151"/>
      <c r="CY364" s="150"/>
      <c r="CZ364" s="150"/>
      <c r="DA364" s="150"/>
      <c r="DB364" s="150"/>
      <c r="DC364" s="150"/>
      <c r="DD364" s="150"/>
      <c r="DE364" s="150"/>
      <c r="DF364" s="302"/>
      <c r="DG364" s="303"/>
      <c r="DH364" s="150"/>
      <c r="DI364" s="150"/>
      <c r="DJ364" s="150"/>
      <c r="DK364" s="150"/>
      <c r="DL364" s="150"/>
      <c r="DM364" s="150"/>
      <c r="DN364" s="150"/>
      <c r="DO364" s="150"/>
      <c r="DP364" s="302"/>
      <c r="DQ364" s="303"/>
      <c r="DR364" s="278"/>
      <c r="DS364" s="279"/>
      <c r="DT364" s="150"/>
      <c r="DU364" s="150"/>
      <c r="DV364" s="150"/>
      <c r="DW364" s="150"/>
      <c r="DX364" s="151"/>
      <c r="DY364" s="150"/>
      <c r="DZ364" s="150"/>
      <c r="EA364" s="150"/>
      <c r="EB364" s="303"/>
      <c r="EC364" s="303"/>
      <c r="ED364" s="151"/>
      <c r="EE364" s="150"/>
      <c r="EF364" s="150"/>
      <c r="EG364" s="150"/>
      <c r="EH364" s="151"/>
      <c r="EI364" s="150"/>
      <c r="EJ364" s="150"/>
      <c r="EK364" s="150"/>
      <c r="EL364" s="303"/>
      <c r="EM364" s="303"/>
      <c r="EN364" s="279"/>
      <c r="EO364" s="150"/>
      <c r="EP364" s="150"/>
      <c r="EQ364" s="150"/>
      <c r="ER364" s="150"/>
      <c r="ES364" s="150"/>
      <c r="ET364" s="150"/>
      <c r="EU364" s="150"/>
      <c r="EV364" s="150"/>
      <c r="EW364" s="303"/>
      <c r="EX364" s="303"/>
      <c r="EY364" s="150"/>
      <c r="EZ364" s="150"/>
      <c r="FA364" s="150"/>
      <c r="FB364" s="150"/>
      <c r="FC364" s="134"/>
      <c r="FD364" s="134"/>
      <c r="FE364" s="134"/>
      <c r="FF364" s="134"/>
      <c r="FG364" s="135"/>
      <c r="FH364" s="135"/>
      <c r="FI364" s="134"/>
      <c r="FJ364" s="134"/>
      <c r="FK364" s="134"/>
      <c r="FL364" s="134"/>
      <c r="FM364" s="134"/>
      <c r="FN364" s="134"/>
      <c r="FO364" s="134"/>
      <c r="FP364" s="134"/>
      <c r="FQ364" s="135"/>
      <c r="FR364" s="135"/>
      <c r="FS364" s="134"/>
      <c r="FT364" s="134"/>
      <c r="FU364" s="134"/>
      <c r="FV364" s="134"/>
      <c r="FW364" s="134"/>
      <c r="FX364" s="134"/>
      <c r="FY364" s="134"/>
      <c r="FZ364" s="134"/>
      <c r="GA364" s="135"/>
      <c r="GB364" s="135"/>
      <c r="GC364" s="134"/>
      <c r="GD364" s="134"/>
      <c r="GE364" s="134"/>
      <c r="GF364" s="134"/>
      <c r="GG364" s="134"/>
      <c r="GH364" s="134"/>
      <c r="GI364" s="134"/>
      <c r="GJ364" s="134"/>
      <c r="GK364" s="135"/>
      <c r="GL364" s="135"/>
      <c r="GM364" s="134"/>
      <c r="GN364" s="134"/>
      <c r="GO364" s="134"/>
      <c r="GP364" s="134"/>
      <c r="GQ364" s="134"/>
      <c r="GR364" s="134"/>
      <c r="GS364" s="134"/>
      <c r="GT364" s="134"/>
      <c r="GU364" s="135"/>
      <c r="GV364" s="135"/>
      <c r="GW364" s="134"/>
      <c r="GX364" s="134"/>
      <c r="GY364" s="134"/>
      <c r="GZ364" s="134"/>
      <c r="HA364" s="134"/>
      <c r="HB364" s="134"/>
      <c r="HC364" s="134"/>
      <c r="HD364" s="134"/>
      <c r="HE364" s="135"/>
      <c r="HF364" s="135"/>
      <c r="HG364" s="134"/>
      <c r="HH364" s="134"/>
      <c r="HI364" s="134"/>
      <c r="HJ364" s="134"/>
      <c r="HK364" s="134"/>
      <c r="HL364" s="134"/>
      <c r="HM364" s="134"/>
      <c r="HN364" s="134"/>
      <c r="HO364" s="135"/>
      <c r="HP364" s="135"/>
      <c r="HQ364" s="134"/>
      <c r="HR364" s="134"/>
      <c r="HS364" s="134"/>
      <c r="HT364" s="134"/>
      <c r="HU364" s="134"/>
      <c r="HV364" s="134"/>
      <c r="HW364" s="134"/>
      <c r="HX364" s="134"/>
      <c r="HY364" s="135"/>
      <c r="HZ364" s="135"/>
      <c r="IA364" s="134"/>
      <c r="IB364" s="134"/>
      <c r="IC364" s="134"/>
      <c r="ID364" s="134"/>
      <c r="IE364" s="134"/>
      <c r="IF364" s="134"/>
      <c r="IG364" s="134"/>
      <c r="IH364" s="134"/>
      <c r="II364" s="135"/>
      <c r="IJ364" s="135"/>
      <c r="IK364" s="134"/>
      <c r="IL364" s="134"/>
      <c r="IM364" s="134"/>
      <c r="IN364" s="134"/>
      <c r="IO364" s="134"/>
      <c r="IP364" s="134"/>
      <c r="IQ364" s="134"/>
      <c r="IR364" s="134"/>
      <c r="IS364" s="135"/>
      <c r="IT364" s="135"/>
      <c r="IU364" s="134"/>
      <c r="IV364" s="134"/>
      <c r="IW364" s="134"/>
      <c r="IX364" s="134"/>
      <c r="IY364" s="134"/>
      <c r="IZ364" s="134"/>
      <c r="JA364" s="134"/>
      <c r="JB364" s="134"/>
      <c r="JC364" s="135"/>
      <c r="JD364" s="135"/>
    </row>
    <row r="365" spans="1:264" ht="15" customHeight="1">
      <c r="A365" s="118" t="s">
        <v>968</v>
      </c>
      <c r="B365" s="616">
        <v>47</v>
      </c>
      <c r="C365" s="616"/>
      <c r="D365" s="616"/>
      <c r="E365" s="605" t="s">
        <v>2119</v>
      </c>
      <c r="F365" s="140" t="s">
        <v>2379</v>
      </c>
      <c r="G365" s="141">
        <v>2006</v>
      </c>
      <c r="H365" s="118">
        <v>17031709</v>
      </c>
      <c r="I365" s="118">
        <v>1</v>
      </c>
      <c r="J365" s="118">
        <v>1</v>
      </c>
      <c r="K365" s="118"/>
      <c r="L365" s="118">
        <v>1</v>
      </c>
      <c r="M365" s="118"/>
      <c r="N365" s="158">
        <v>1</v>
      </c>
      <c r="O365" s="142">
        <v>2</v>
      </c>
      <c r="P365" s="118" t="s">
        <v>1227</v>
      </c>
      <c r="Q365" s="118" t="s">
        <v>1216</v>
      </c>
      <c r="R365" s="118" t="s">
        <v>1127</v>
      </c>
      <c r="S365" s="118"/>
      <c r="T365" s="118" t="s">
        <v>1487</v>
      </c>
      <c r="U365" s="118" t="s">
        <v>803</v>
      </c>
      <c r="V365" s="118"/>
      <c r="W365" s="118" t="s">
        <v>1501</v>
      </c>
      <c r="X365" s="118"/>
      <c r="Y365" s="118" t="s">
        <v>1132</v>
      </c>
      <c r="Z365" s="118"/>
      <c r="AA365" s="118" t="s">
        <v>1590</v>
      </c>
      <c r="AB365" s="118"/>
      <c r="AC365" s="145"/>
      <c r="AD365" s="573">
        <v>1</v>
      </c>
      <c r="AE365" s="573">
        <v>2</v>
      </c>
      <c r="AF365" s="159">
        <v>1</v>
      </c>
      <c r="AG365" s="160"/>
      <c r="AH365" s="122">
        <v>4</v>
      </c>
      <c r="AI365" s="485"/>
      <c r="AJ365" s="202" t="s">
        <v>3602</v>
      </c>
      <c r="AK365" s="192">
        <v>2</v>
      </c>
      <c r="AL365" s="205">
        <v>1</v>
      </c>
      <c r="AM365" s="122">
        <f>Table668[[#This Row],[Data_Subjects_n_ptsd]]+Table668[[#This Row],[Data_Subjects_n_control]]</f>
        <v>18</v>
      </c>
      <c r="AN365" s="122">
        <v>9</v>
      </c>
      <c r="AO365" s="122">
        <v>9</v>
      </c>
      <c r="AP365" s="122" t="s">
        <v>803</v>
      </c>
      <c r="AQ365" s="122" t="s">
        <v>803</v>
      </c>
      <c r="AR365" s="122" t="s">
        <v>3595</v>
      </c>
      <c r="AS365" s="122" t="s">
        <v>24</v>
      </c>
      <c r="AT365" s="122" t="s">
        <v>3595</v>
      </c>
      <c r="AU365" s="122" t="s">
        <v>24</v>
      </c>
      <c r="AV365" s="122" t="s">
        <v>3596</v>
      </c>
      <c r="AW365" s="122">
        <v>1</v>
      </c>
      <c r="AX365" s="122">
        <v>1</v>
      </c>
      <c r="AY365" s="122" t="s">
        <v>3597</v>
      </c>
      <c r="AZ365" s="122" t="s">
        <v>1130</v>
      </c>
      <c r="BA365" s="122" t="s">
        <v>2798</v>
      </c>
      <c r="BB365" s="588"/>
      <c r="BC365" s="588"/>
      <c r="BD365" s="161">
        <v>1</v>
      </c>
      <c r="BE365" s="161"/>
      <c r="BF365" s="161"/>
      <c r="BG365" s="161"/>
      <c r="BH365" s="161"/>
      <c r="BI365" s="161"/>
      <c r="BJ365" s="161"/>
      <c r="BK365" s="161"/>
      <c r="BL365" s="161"/>
      <c r="BM365" s="161"/>
      <c r="BN365" s="161"/>
      <c r="BO365" s="161"/>
      <c r="BP365" s="161"/>
      <c r="BQ365" s="595" t="s">
        <v>3610</v>
      </c>
      <c r="BR365" s="157" t="s">
        <v>6595</v>
      </c>
      <c r="BS365" s="660"/>
      <c r="BT365" s="150" t="s">
        <v>1876</v>
      </c>
      <c r="BU365" s="150">
        <v>2</v>
      </c>
      <c r="BV365" s="150" t="s">
        <v>3606</v>
      </c>
      <c r="BW365" s="150" t="s">
        <v>3514</v>
      </c>
      <c r="BX365" s="150" t="s">
        <v>3237</v>
      </c>
      <c r="BY365" s="134" t="s">
        <v>6640</v>
      </c>
      <c r="BZ365" s="259" t="s">
        <v>3607</v>
      </c>
      <c r="CA365" s="454">
        <v>0</v>
      </c>
      <c r="CB365" s="151" t="s">
        <v>3608</v>
      </c>
      <c r="CC365" s="150">
        <v>68.599999999999994</v>
      </c>
      <c r="CD365" s="150" t="s">
        <v>24</v>
      </c>
      <c r="CE365" s="150">
        <v>21.2</v>
      </c>
      <c r="CF365" s="433" t="s">
        <v>3609</v>
      </c>
      <c r="CG365" s="150">
        <v>77.5</v>
      </c>
      <c r="CH365" s="150" t="s">
        <v>24</v>
      </c>
      <c r="CI365" s="150">
        <v>23.3</v>
      </c>
      <c r="CJ365" s="288" t="s">
        <v>3390</v>
      </c>
      <c r="CK365" s="289" t="s">
        <v>2480</v>
      </c>
      <c r="CL365" s="151"/>
      <c r="CM365" s="150"/>
      <c r="CN365" s="150"/>
      <c r="CO365" s="150"/>
      <c r="CP365" s="151"/>
      <c r="CQ365" s="150"/>
      <c r="CR365" s="150"/>
      <c r="CS365" s="150"/>
      <c r="CT365" s="290"/>
      <c r="CU365" s="291"/>
      <c r="CV365" s="278"/>
      <c r="CW365" s="285"/>
      <c r="CX365" s="151"/>
      <c r="CY365" s="150"/>
      <c r="CZ365" s="150"/>
      <c r="DA365" s="150"/>
      <c r="DB365" s="150"/>
      <c r="DC365" s="150"/>
      <c r="DD365" s="150"/>
      <c r="DE365" s="150"/>
      <c r="DF365" s="302"/>
      <c r="DG365" s="303"/>
      <c r="DH365" s="150"/>
      <c r="DI365" s="150"/>
      <c r="DJ365" s="150"/>
      <c r="DK365" s="150"/>
      <c r="DL365" s="150"/>
      <c r="DM365" s="150"/>
      <c r="DN365" s="150"/>
      <c r="DO365" s="150"/>
      <c r="DP365" s="302"/>
      <c r="DQ365" s="303"/>
      <c r="DR365" s="278"/>
      <c r="DS365" s="279"/>
      <c r="DT365" s="150"/>
      <c r="DU365" s="150"/>
      <c r="DV365" s="150"/>
      <c r="DW365" s="150"/>
      <c r="DX365" s="151"/>
      <c r="DY365" s="150"/>
      <c r="DZ365" s="150"/>
      <c r="EA365" s="150"/>
      <c r="EB365" s="303"/>
      <c r="EC365" s="303"/>
      <c r="ED365" s="151"/>
      <c r="EE365" s="150"/>
      <c r="EF365" s="150"/>
      <c r="EG365" s="150"/>
      <c r="EH365" s="151"/>
      <c r="EI365" s="150"/>
      <c r="EJ365" s="150"/>
      <c r="EK365" s="150"/>
      <c r="EL365" s="303"/>
      <c r="EM365" s="303"/>
      <c r="EN365" s="279"/>
      <c r="EO365" s="150"/>
      <c r="EP365" s="150"/>
      <c r="EQ365" s="150"/>
      <c r="ER365" s="150"/>
      <c r="ES365" s="150"/>
      <c r="ET365" s="150"/>
      <c r="EU365" s="150"/>
      <c r="EV365" s="150"/>
      <c r="EW365" s="303"/>
      <c r="EX365" s="303"/>
      <c r="EY365" s="150"/>
      <c r="EZ365" s="150"/>
      <c r="FA365" s="150"/>
      <c r="FB365" s="150"/>
      <c r="FC365" s="134"/>
      <c r="FD365" s="134"/>
      <c r="FE365" s="134"/>
      <c r="FF365" s="134"/>
      <c r="FG365" s="135"/>
      <c r="FH365" s="135"/>
      <c r="FI365" s="134"/>
      <c r="FJ365" s="134"/>
      <c r="FK365" s="134"/>
      <c r="FL365" s="134"/>
      <c r="FM365" s="134"/>
      <c r="FN365" s="134"/>
      <c r="FO365" s="134"/>
      <c r="FP365" s="134"/>
      <c r="FQ365" s="135"/>
      <c r="FR365" s="135"/>
      <c r="FS365" s="134"/>
      <c r="FT365" s="134"/>
      <c r="FU365" s="134"/>
      <c r="FV365" s="134"/>
      <c r="FW365" s="134"/>
      <c r="FX365" s="134"/>
      <c r="FY365" s="134"/>
      <c r="FZ365" s="134"/>
      <c r="GA365" s="135"/>
      <c r="GB365" s="135"/>
      <c r="GC365" s="134"/>
      <c r="GD365" s="134"/>
      <c r="GE365" s="134"/>
      <c r="GF365" s="134"/>
      <c r="GG365" s="134"/>
      <c r="GH365" s="134"/>
      <c r="GI365" s="134"/>
      <c r="GJ365" s="134"/>
      <c r="GK365" s="135"/>
      <c r="GL365" s="135"/>
      <c r="GM365" s="134"/>
      <c r="GN365" s="134"/>
      <c r="GO365" s="134"/>
      <c r="GP365" s="134"/>
      <c r="GQ365" s="134"/>
      <c r="GR365" s="134"/>
      <c r="GS365" s="134"/>
      <c r="GT365" s="134"/>
      <c r="GU365" s="135"/>
      <c r="GV365" s="135"/>
      <c r="GW365" s="134"/>
      <c r="GX365" s="134"/>
      <c r="GY365" s="134"/>
      <c r="GZ365" s="134"/>
      <c r="HA365" s="134"/>
      <c r="HB365" s="134"/>
      <c r="HC365" s="134"/>
      <c r="HD365" s="134"/>
      <c r="HE365" s="135"/>
      <c r="HF365" s="135"/>
      <c r="HG365" s="134"/>
      <c r="HH365" s="134"/>
      <c r="HI365" s="134"/>
      <c r="HJ365" s="134"/>
      <c r="HK365" s="134"/>
      <c r="HL365" s="134"/>
      <c r="HM365" s="134"/>
      <c r="HN365" s="134"/>
      <c r="HO365" s="135"/>
      <c r="HP365" s="135"/>
      <c r="HQ365" s="134"/>
      <c r="HR365" s="134"/>
      <c r="HS365" s="134"/>
      <c r="HT365" s="134"/>
      <c r="HU365" s="134"/>
      <c r="HV365" s="134"/>
      <c r="HW365" s="134"/>
      <c r="HX365" s="134"/>
      <c r="HY365" s="135"/>
      <c r="HZ365" s="135"/>
      <c r="IA365" s="134"/>
      <c r="IB365" s="134"/>
      <c r="IC365" s="134"/>
      <c r="ID365" s="134"/>
      <c r="IE365" s="134"/>
      <c r="IF365" s="134"/>
      <c r="IG365" s="134"/>
      <c r="IH365" s="134"/>
      <c r="II365" s="135"/>
      <c r="IJ365" s="135"/>
      <c r="IK365" s="134"/>
      <c r="IL365" s="134"/>
      <c r="IM365" s="134"/>
      <c r="IN365" s="134"/>
      <c r="IO365" s="134"/>
      <c r="IP365" s="134"/>
      <c r="IQ365" s="134"/>
      <c r="IR365" s="134"/>
      <c r="IS365" s="135"/>
      <c r="IT365" s="135"/>
      <c r="IU365" s="134"/>
      <c r="IV365" s="134"/>
      <c r="IW365" s="134"/>
      <c r="IX365" s="134"/>
      <c r="IY365" s="134"/>
      <c r="IZ365" s="134"/>
      <c r="JA365" s="134"/>
      <c r="JB365" s="134"/>
      <c r="JC365" s="135"/>
      <c r="JD365" s="135"/>
    </row>
    <row r="366" spans="1:264" ht="15" customHeight="1">
      <c r="A366" s="79" t="s">
        <v>326</v>
      </c>
      <c r="B366" s="362">
        <v>233</v>
      </c>
      <c r="C366" s="362">
        <v>84</v>
      </c>
      <c r="D366" s="362"/>
      <c r="E366" s="604" t="s">
        <v>2033</v>
      </c>
      <c r="F366" s="124" t="s">
        <v>2269</v>
      </c>
      <c r="G366" s="125">
        <v>2006</v>
      </c>
      <c r="H366" s="79">
        <v>16891587</v>
      </c>
      <c r="I366" s="79">
        <v>1</v>
      </c>
      <c r="J366" s="126"/>
      <c r="K366" s="127"/>
      <c r="L366" s="79">
        <v>1</v>
      </c>
      <c r="M366" s="79"/>
      <c r="N366" s="79">
        <v>1</v>
      </c>
      <c r="O366" s="128">
        <v>1</v>
      </c>
      <c r="P366" s="79" t="s">
        <v>457</v>
      </c>
      <c r="Q366" s="79" t="s">
        <v>1147</v>
      </c>
      <c r="R366" s="79" t="s">
        <v>847</v>
      </c>
      <c r="S366" s="79">
        <v>1</v>
      </c>
      <c r="T366" s="79"/>
      <c r="U366" s="79"/>
      <c r="V366" s="79"/>
      <c r="W366" s="79" t="s">
        <v>848</v>
      </c>
      <c r="X366" s="79" t="s">
        <v>56</v>
      </c>
      <c r="Y366" s="79" t="s">
        <v>24</v>
      </c>
      <c r="Z366" s="79"/>
      <c r="AA366" s="79"/>
      <c r="AB366" s="79"/>
      <c r="AC366" s="506"/>
      <c r="AD366" s="573">
        <v>1</v>
      </c>
      <c r="AE366" s="573">
        <v>2</v>
      </c>
      <c r="AF366" s="233" t="s">
        <v>3003</v>
      </c>
      <c r="AG366" s="234" t="s">
        <v>5714</v>
      </c>
      <c r="AH366" s="121">
        <v>2</v>
      </c>
      <c r="AI366" s="484" t="s">
        <v>5713</v>
      </c>
      <c r="AJ366" s="202" t="s">
        <v>5710</v>
      </c>
      <c r="AK366" s="192">
        <v>0</v>
      </c>
      <c r="AL366" s="203" t="s">
        <v>24</v>
      </c>
      <c r="AM366" s="121">
        <v>33</v>
      </c>
      <c r="AN366" s="121">
        <v>16</v>
      </c>
      <c r="AO366" s="121">
        <v>17</v>
      </c>
      <c r="AP366" s="121" t="s">
        <v>803</v>
      </c>
      <c r="AQ366" s="121" t="s">
        <v>803</v>
      </c>
      <c r="AR366" s="121"/>
      <c r="AS366" s="121"/>
      <c r="AT366" s="121"/>
      <c r="AU366" s="121"/>
      <c r="AV366" s="121" t="s">
        <v>1874</v>
      </c>
      <c r="AW366" s="121" t="s">
        <v>24</v>
      </c>
      <c r="AX366" s="121" t="s">
        <v>24</v>
      </c>
      <c r="AY366" s="121" t="s">
        <v>5711</v>
      </c>
      <c r="AZ366" s="121" t="s">
        <v>3835</v>
      </c>
      <c r="BA366" s="121" t="s">
        <v>5709</v>
      </c>
      <c r="BB366" s="594"/>
      <c r="BC366" s="594"/>
      <c r="BD366" s="156"/>
      <c r="BE366" s="156"/>
      <c r="BF366" s="156" t="s">
        <v>4727</v>
      </c>
      <c r="BG366" s="156"/>
      <c r="BH366" s="156"/>
      <c r="BI366" s="156"/>
      <c r="BJ366" s="156">
        <v>1</v>
      </c>
      <c r="BK366" s="156"/>
      <c r="BL366" s="156"/>
      <c r="BM366" s="156"/>
      <c r="BN366" s="156" t="s">
        <v>4727</v>
      </c>
      <c r="BO366" s="156"/>
      <c r="BP366" s="156"/>
      <c r="BQ366" s="595" t="s">
        <v>4208</v>
      </c>
      <c r="BR366" s="157" t="s">
        <v>6611</v>
      </c>
      <c r="BS366" s="660"/>
      <c r="BT366" s="134" t="s">
        <v>1876</v>
      </c>
      <c r="BU366" s="134">
        <v>2</v>
      </c>
      <c r="BV366" s="134" t="s">
        <v>935</v>
      </c>
      <c r="BW366" s="134" t="s">
        <v>24</v>
      </c>
      <c r="BX366" s="134" t="s">
        <v>5712</v>
      </c>
      <c r="BY366" s="134"/>
      <c r="BZ366" s="259"/>
      <c r="CA366" s="454" t="s">
        <v>23</v>
      </c>
      <c r="CB366" s="138"/>
      <c r="CC366" s="134"/>
      <c r="CD366" s="134"/>
      <c r="CE366" s="134"/>
      <c r="CF366" s="138"/>
      <c r="CG366" s="134"/>
      <c r="CH366" s="134"/>
      <c r="CI366" s="134"/>
      <c r="CJ366" s="288"/>
      <c r="CK366" s="289"/>
      <c r="CL366" s="138"/>
      <c r="CM366" s="134"/>
      <c r="CN366" s="134"/>
      <c r="CO366" s="134"/>
      <c r="CP366" s="138"/>
      <c r="CQ366" s="134"/>
      <c r="CR366" s="134"/>
      <c r="CS366" s="134"/>
      <c r="CT366" s="288"/>
      <c r="CU366" s="289"/>
      <c r="CV366" s="276"/>
      <c r="CW366" s="308"/>
      <c r="CX366" s="138"/>
      <c r="CY366" s="134"/>
      <c r="CZ366" s="134"/>
      <c r="DA366" s="134"/>
      <c r="DB366" s="134"/>
      <c r="DC366" s="134"/>
      <c r="DD366" s="134"/>
      <c r="DE366" s="134"/>
      <c r="DF366" s="300"/>
      <c r="DG366" s="301"/>
      <c r="DH366" s="134"/>
      <c r="DI366" s="134"/>
      <c r="DJ366" s="134"/>
      <c r="DK366" s="134"/>
      <c r="DL366" s="134"/>
      <c r="DM366" s="134"/>
      <c r="DN366" s="134"/>
      <c r="DO366" s="134"/>
      <c r="DP366" s="300"/>
      <c r="DQ366" s="301"/>
      <c r="DR366" s="276"/>
      <c r="DS366" s="277"/>
      <c r="DT366" s="134"/>
      <c r="DU366" s="134"/>
      <c r="DV366" s="134"/>
      <c r="DW366" s="134"/>
      <c r="DX366" s="138"/>
      <c r="DY366" s="134"/>
      <c r="DZ366" s="134"/>
      <c r="EA366" s="134"/>
      <c r="EB366" s="301"/>
      <c r="EC366" s="301"/>
      <c r="ED366" s="138"/>
      <c r="EE366" s="134"/>
      <c r="EF366" s="134"/>
      <c r="EG366" s="134"/>
      <c r="EH366" s="138"/>
      <c r="EI366" s="134"/>
      <c r="EJ366" s="134"/>
      <c r="EK366" s="134"/>
      <c r="EL366" s="301"/>
      <c r="EM366" s="301"/>
      <c r="EN366" s="277"/>
      <c r="EO366" s="134"/>
      <c r="EP366" s="134"/>
      <c r="EQ366" s="134"/>
      <c r="ER366" s="134"/>
      <c r="ES366" s="134"/>
      <c r="ET366" s="134"/>
      <c r="EU366" s="134"/>
      <c r="EV366" s="134"/>
      <c r="EW366" s="301"/>
      <c r="EX366" s="301"/>
      <c r="EY366" s="134"/>
      <c r="EZ366" s="134"/>
      <c r="FA366" s="134"/>
      <c r="FB366" s="134"/>
      <c r="FC366" s="134"/>
      <c r="FD366" s="134"/>
      <c r="FE366" s="134"/>
      <c r="FF366" s="134"/>
      <c r="FG366" s="135"/>
      <c r="FH366" s="135"/>
      <c r="FI366" s="134"/>
      <c r="FJ366" s="134"/>
      <c r="FK366" s="134"/>
      <c r="FL366" s="134"/>
      <c r="FM366" s="134"/>
      <c r="FN366" s="134"/>
      <c r="FO366" s="134"/>
      <c r="FP366" s="134"/>
      <c r="FQ366" s="135"/>
      <c r="FR366" s="135"/>
      <c r="FS366" s="134"/>
      <c r="FT366" s="134"/>
      <c r="FU366" s="134"/>
      <c r="FV366" s="134"/>
      <c r="FW366" s="134"/>
      <c r="FX366" s="134"/>
      <c r="FY366" s="134"/>
      <c r="FZ366" s="134"/>
      <c r="GA366" s="135"/>
      <c r="GB366" s="135"/>
      <c r="GC366" s="134"/>
      <c r="GD366" s="134"/>
      <c r="GE366" s="134"/>
      <c r="GF366" s="134"/>
      <c r="GG366" s="134"/>
      <c r="GH366" s="134"/>
      <c r="GI366" s="134"/>
      <c r="GJ366" s="134"/>
      <c r="GK366" s="135"/>
      <c r="GL366" s="135"/>
      <c r="GM366" s="134"/>
      <c r="GN366" s="134"/>
      <c r="GO366" s="134"/>
      <c r="GP366" s="134"/>
      <c r="GQ366" s="134"/>
      <c r="GR366" s="134"/>
      <c r="GS366" s="134"/>
      <c r="GT366" s="134"/>
      <c r="GU366" s="135"/>
      <c r="GV366" s="135"/>
      <c r="GW366" s="134"/>
      <c r="GX366" s="134"/>
      <c r="GY366" s="134"/>
      <c r="GZ366" s="134"/>
      <c r="HA366" s="134"/>
      <c r="HB366" s="134"/>
      <c r="HC366" s="134"/>
      <c r="HD366" s="134"/>
      <c r="HE366" s="135"/>
      <c r="HF366" s="135"/>
      <c r="HG366" s="134"/>
      <c r="HH366" s="134"/>
      <c r="HI366" s="134"/>
      <c r="HJ366" s="134"/>
      <c r="HK366" s="134"/>
      <c r="HL366" s="134"/>
      <c r="HM366" s="134"/>
      <c r="HN366" s="134"/>
      <c r="HO366" s="135"/>
      <c r="HP366" s="135"/>
      <c r="HQ366" s="134"/>
      <c r="HR366" s="134"/>
      <c r="HS366" s="134"/>
      <c r="HT366" s="134"/>
      <c r="HU366" s="134"/>
      <c r="HV366" s="134"/>
      <c r="HW366" s="134"/>
      <c r="HX366" s="134"/>
      <c r="HY366" s="135"/>
      <c r="HZ366" s="135"/>
      <c r="IA366" s="134"/>
      <c r="IB366" s="134"/>
      <c r="IC366" s="134"/>
      <c r="ID366" s="134"/>
      <c r="IE366" s="134"/>
      <c r="IF366" s="134"/>
      <c r="IG366" s="134"/>
      <c r="IH366" s="134"/>
      <c r="II366" s="135"/>
      <c r="IJ366" s="135"/>
      <c r="IK366" s="134"/>
      <c r="IL366" s="134"/>
      <c r="IM366" s="134"/>
      <c r="IN366" s="134"/>
      <c r="IO366" s="134"/>
      <c r="IP366" s="134"/>
      <c r="IQ366" s="134"/>
      <c r="IR366" s="134"/>
      <c r="IS366" s="135"/>
      <c r="IT366" s="135"/>
      <c r="IU366" s="134"/>
      <c r="IV366" s="134"/>
      <c r="IW366" s="134"/>
      <c r="IX366" s="134"/>
      <c r="IY366" s="134"/>
      <c r="IZ366" s="134"/>
      <c r="JA366" s="134"/>
      <c r="JB366" s="134"/>
      <c r="JC366" s="135"/>
      <c r="JD366" s="135"/>
    </row>
    <row r="367" spans="1:264" ht="15" customHeight="1">
      <c r="A367" s="79" t="s">
        <v>965</v>
      </c>
      <c r="B367" s="617">
        <v>234</v>
      </c>
      <c r="C367" s="617">
        <v>85</v>
      </c>
      <c r="D367" s="617"/>
      <c r="E367" s="608" t="s">
        <v>2120</v>
      </c>
      <c r="F367" s="181" t="s">
        <v>2381</v>
      </c>
      <c r="G367" s="182">
        <v>2014</v>
      </c>
      <c r="H367" s="79">
        <v>24975424</v>
      </c>
      <c r="I367" s="79">
        <v>1</v>
      </c>
      <c r="J367" s="79" t="s">
        <v>1788</v>
      </c>
      <c r="K367" s="79" t="s">
        <v>23</v>
      </c>
      <c r="L367" s="79">
        <v>1</v>
      </c>
      <c r="M367" s="79"/>
      <c r="N367" s="79">
        <v>1</v>
      </c>
      <c r="O367" s="128">
        <v>2</v>
      </c>
      <c r="P367" s="79" t="s">
        <v>1398</v>
      </c>
      <c r="Q367" s="79" t="s">
        <v>1216</v>
      </c>
      <c r="R367" s="79" t="s">
        <v>1127</v>
      </c>
      <c r="S367" s="79"/>
      <c r="T367" s="79" t="s">
        <v>1487</v>
      </c>
      <c r="U367" s="79" t="s">
        <v>803</v>
      </c>
      <c r="V367" s="79"/>
      <c r="W367" s="79" t="s">
        <v>1599</v>
      </c>
      <c r="X367" s="79"/>
      <c r="Y367" s="79" t="s">
        <v>1132</v>
      </c>
      <c r="Z367" s="79"/>
      <c r="AA367" s="79" t="s">
        <v>1598</v>
      </c>
      <c r="AB367" s="79"/>
      <c r="AC367" s="506"/>
      <c r="AD367" s="573">
        <v>1</v>
      </c>
      <c r="AE367" s="573">
        <v>2</v>
      </c>
      <c r="AF367" s="352">
        <v>1</v>
      </c>
      <c r="AG367" s="353" t="s">
        <v>5861</v>
      </c>
      <c r="AH367" s="346">
        <v>4</v>
      </c>
      <c r="AI367" s="487" t="s">
        <v>5875</v>
      </c>
      <c r="AJ367" s="459"/>
      <c r="AK367" s="348" t="s">
        <v>5860</v>
      </c>
      <c r="AL367" s="349"/>
      <c r="AM367" s="346">
        <f>Table668[[#This Row],[Data_Subjects_n_ptsd]]+Table668[[#This Row],[Data_Subjects_n_control]]</f>
        <v>32</v>
      </c>
      <c r="AN367" s="346">
        <v>16</v>
      </c>
      <c r="AO367" s="346">
        <v>16</v>
      </c>
      <c r="AP367" s="346" t="s">
        <v>803</v>
      </c>
      <c r="AQ367" s="346" t="s">
        <v>803</v>
      </c>
      <c r="AR367" s="346" t="s">
        <v>2882</v>
      </c>
      <c r="AS367" s="346" t="s">
        <v>24</v>
      </c>
      <c r="AT367" s="346" t="s">
        <v>2882</v>
      </c>
      <c r="AU367" s="346" t="s">
        <v>24</v>
      </c>
      <c r="AV367" s="346" t="s">
        <v>5830</v>
      </c>
      <c r="AW367" s="346">
        <v>1</v>
      </c>
      <c r="AX367" s="346">
        <v>1</v>
      </c>
      <c r="AY367" s="346" t="s">
        <v>5831</v>
      </c>
      <c r="AZ367" s="346" t="s">
        <v>1130</v>
      </c>
      <c r="BA367" s="346" t="s">
        <v>4508</v>
      </c>
      <c r="BB367" s="598"/>
      <c r="BC367" s="598"/>
      <c r="BD367" s="184"/>
      <c r="BE367" s="184"/>
      <c r="BF367" s="184"/>
      <c r="BG367" s="184"/>
      <c r="BH367" s="184"/>
      <c r="BI367" s="184"/>
      <c r="BJ367" s="184">
        <v>1</v>
      </c>
      <c r="BK367" s="184"/>
      <c r="BL367" s="184"/>
      <c r="BM367" s="184"/>
      <c r="BN367" s="184"/>
      <c r="BO367" s="184"/>
      <c r="BP367" s="184"/>
      <c r="BQ367" s="600" t="s">
        <v>5832</v>
      </c>
      <c r="BR367" s="185" t="s">
        <v>6607</v>
      </c>
      <c r="BS367" s="660"/>
      <c r="BT367" s="186" t="s">
        <v>1876</v>
      </c>
      <c r="BU367" s="186" t="s">
        <v>5856</v>
      </c>
      <c r="BV367" s="186" t="s">
        <v>5833</v>
      </c>
      <c r="BW367" s="186" t="s">
        <v>5829</v>
      </c>
      <c r="BX367" s="186" t="s">
        <v>5834</v>
      </c>
      <c r="BY367" s="186"/>
      <c r="BZ367" s="261" t="s">
        <v>5852</v>
      </c>
      <c r="CA367" s="620" t="s">
        <v>6627</v>
      </c>
      <c r="CB367" s="267" t="s">
        <v>5835</v>
      </c>
      <c r="CC367" s="186">
        <v>21.710100000000001</v>
      </c>
      <c r="CD367" s="186" t="s">
        <v>24</v>
      </c>
      <c r="CE367" s="186">
        <f>25.9554-Table668[[#This Row],[Data_Outcome1_M]]</f>
        <v>4.2453000000000003</v>
      </c>
      <c r="CF367" s="267" t="s">
        <v>5836</v>
      </c>
      <c r="CG367" s="186">
        <v>23.459800000000001</v>
      </c>
      <c r="CH367" s="186" t="s">
        <v>24</v>
      </c>
      <c r="CI367" s="186">
        <f>26.1455-Table668[[#This Row],[Data_Outcome2_M]]</f>
        <v>2.6856999999999971</v>
      </c>
      <c r="CJ367" s="294" t="s">
        <v>5840</v>
      </c>
      <c r="CK367" s="295" t="s">
        <v>3790</v>
      </c>
      <c r="CL367" s="267" t="s">
        <v>5837</v>
      </c>
      <c r="CM367" s="186">
        <v>11.313700000000001</v>
      </c>
      <c r="CN367" s="186" t="s">
        <v>24</v>
      </c>
      <c r="CO367" s="186">
        <f>13.7399-Table668[[#This Row],[Data_Outcome3_M]]</f>
        <v>2.4261999999999997</v>
      </c>
      <c r="CP367" s="267" t="s">
        <v>5839</v>
      </c>
      <c r="CQ367" s="186">
        <v>21.813300000000002</v>
      </c>
      <c r="CR367" s="186" t="s">
        <v>24</v>
      </c>
      <c r="CS367" s="186">
        <f>25.0195-Table668[[#This Row],[Data_Outcome4_M]]</f>
        <v>3.2061999999999991</v>
      </c>
      <c r="CT367" s="294" t="s">
        <v>5838</v>
      </c>
      <c r="CU367" s="295" t="s">
        <v>5876</v>
      </c>
      <c r="CV367" s="280" t="s">
        <v>5841</v>
      </c>
      <c r="CW367" s="310" t="s">
        <v>5877</v>
      </c>
      <c r="CX367" s="267" t="s">
        <v>5842</v>
      </c>
      <c r="CY367" s="186">
        <v>3.7082600000000001</v>
      </c>
      <c r="CZ367" s="186" t="s">
        <v>24</v>
      </c>
      <c r="DA367" s="186">
        <f>5.41246-Table668[[#This Row],[Data_Outcome5_M]]</f>
        <v>1.7042000000000002</v>
      </c>
      <c r="DB367" s="267" t="s">
        <v>5843</v>
      </c>
      <c r="DC367" s="186">
        <v>2.8119700000000001</v>
      </c>
      <c r="DD367" s="186" t="s">
        <v>24</v>
      </c>
      <c r="DE367" s="186">
        <f>3.81436-Table668[[#This Row],[Data_Outcome6_M]]</f>
        <v>1.0023900000000001</v>
      </c>
      <c r="DF367" s="305" t="s">
        <v>5848</v>
      </c>
      <c r="DG367" s="315" t="s">
        <v>2480</v>
      </c>
      <c r="DH367" s="267" t="s">
        <v>5844</v>
      </c>
      <c r="DI367" s="186">
        <v>11.3642</v>
      </c>
      <c r="DJ367" s="186" t="s">
        <v>24</v>
      </c>
      <c r="DK367" s="186">
        <f>13.77-Table668[[#This Row],[Data_Outcome7_M]]</f>
        <v>2.4057999999999993</v>
      </c>
      <c r="DL367" s="267" t="s">
        <v>5845</v>
      </c>
      <c r="DM367" s="186">
        <v>6.8587999999999996</v>
      </c>
      <c r="DN367" s="186" t="s">
        <v>24</v>
      </c>
      <c r="DO367" s="186">
        <f>9.13116-Table668[[#This Row],[Data_Outcome8_M]]</f>
        <v>2.2723599999999999</v>
      </c>
      <c r="DP367" s="305" t="s">
        <v>5849</v>
      </c>
      <c r="DQ367" s="315" t="s">
        <v>2480</v>
      </c>
      <c r="DR367" s="280" t="s">
        <v>5850</v>
      </c>
      <c r="DS367" s="281" t="s">
        <v>5851</v>
      </c>
      <c r="DT367" s="267" t="s">
        <v>5846</v>
      </c>
      <c r="DU367" s="186">
        <v>13.3727</v>
      </c>
      <c r="DV367" s="186" t="s">
        <v>24</v>
      </c>
      <c r="DW367" s="186">
        <f>16.7143-Table668[[#This Row],[Data_Outcome9_M]]</f>
        <v>3.3416000000000015</v>
      </c>
      <c r="DX367" s="267" t="s">
        <v>5847</v>
      </c>
      <c r="DY367" s="186">
        <v>4.4232100000000001</v>
      </c>
      <c r="DZ367" s="186" t="s">
        <v>24</v>
      </c>
      <c r="EA367" s="186">
        <f>5.69302-Table668[[#This Row],[Data_Outcome10_M]]</f>
        <v>1.2698099999999997</v>
      </c>
      <c r="EB367" s="315" t="s">
        <v>5879</v>
      </c>
      <c r="EC367" s="315" t="s">
        <v>5878</v>
      </c>
      <c r="ED367" s="267" t="s">
        <v>24</v>
      </c>
      <c r="EE367" s="186" t="s">
        <v>24</v>
      </c>
      <c r="EF367" s="186" t="s">
        <v>24</v>
      </c>
      <c r="EG367" s="186" t="s">
        <v>24</v>
      </c>
      <c r="EH367" s="267" t="s">
        <v>24</v>
      </c>
      <c r="EI367" s="186" t="s">
        <v>24</v>
      </c>
      <c r="EJ367" s="186" t="s">
        <v>24</v>
      </c>
      <c r="EK367" s="186" t="s">
        <v>24</v>
      </c>
      <c r="EL367" s="315"/>
      <c r="EM367" s="315"/>
      <c r="EN367" s="281"/>
      <c r="EO367" s="186"/>
      <c r="EP367" s="186"/>
      <c r="EQ367" s="186"/>
      <c r="ER367" s="186"/>
      <c r="ES367" s="186"/>
      <c r="ET367" s="186"/>
      <c r="EU367" s="186"/>
      <c r="EV367" s="186"/>
      <c r="EW367" s="315"/>
      <c r="EX367" s="315"/>
      <c r="EY367" s="186"/>
      <c r="EZ367" s="186"/>
      <c r="FA367" s="186"/>
      <c r="FB367" s="186"/>
      <c r="FC367" s="186"/>
      <c r="FD367" s="186"/>
      <c r="FE367" s="186"/>
      <c r="FF367" s="186"/>
      <c r="FG367" s="187"/>
      <c r="FH367" s="187"/>
      <c r="FI367" s="186"/>
      <c r="FJ367" s="186"/>
      <c r="FK367" s="186"/>
      <c r="FL367" s="186"/>
      <c r="FM367" s="186"/>
      <c r="FN367" s="186"/>
      <c r="FO367" s="186"/>
      <c r="FP367" s="186"/>
      <c r="FQ367" s="187"/>
      <c r="FR367" s="187"/>
      <c r="FS367" s="186"/>
      <c r="FT367" s="186"/>
      <c r="FU367" s="186"/>
      <c r="FV367" s="186"/>
      <c r="FW367" s="186"/>
      <c r="FX367" s="186"/>
      <c r="FY367" s="186"/>
      <c r="FZ367" s="186"/>
      <c r="GA367" s="187"/>
      <c r="GB367" s="187"/>
      <c r="GC367" s="186"/>
      <c r="GD367" s="186"/>
      <c r="GE367" s="186"/>
      <c r="GF367" s="186"/>
      <c r="GG367" s="186"/>
      <c r="GH367" s="186"/>
      <c r="GI367" s="186"/>
      <c r="GJ367" s="186"/>
      <c r="GK367" s="187"/>
      <c r="GL367" s="187"/>
      <c r="GM367" s="186"/>
      <c r="GN367" s="186"/>
      <c r="GO367" s="186"/>
      <c r="GP367" s="186"/>
      <c r="GQ367" s="186"/>
      <c r="GR367" s="186"/>
      <c r="GS367" s="186"/>
      <c r="GT367" s="186"/>
      <c r="GU367" s="187"/>
      <c r="GV367" s="187"/>
      <c r="GW367" s="134"/>
      <c r="GX367" s="134"/>
      <c r="GY367" s="134"/>
      <c r="GZ367" s="134"/>
      <c r="HA367" s="134"/>
      <c r="HB367" s="134"/>
      <c r="HC367" s="134"/>
      <c r="HD367" s="134"/>
      <c r="HE367" s="135"/>
      <c r="HF367" s="135"/>
      <c r="HG367" s="134"/>
      <c r="HH367" s="134"/>
      <c r="HI367" s="134"/>
      <c r="HJ367" s="134"/>
      <c r="HK367" s="134"/>
      <c r="HL367" s="134"/>
      <c r="HM367" s="134"/>
      <c r="HN367" s="134"/>
      <c r="HO367" s="135"/>
      <c r="HP367" s="135"/>
      <c r="HQ367" s="134"/>
      <c r="HR367" s="134"/>
      <c r="HS367" s="134"/>
      <c r="HT367" s="134"/>
      <c r="HU367" s="134"/>
      <c r="HV367" s="134"/>
      <c r="HW367" s="134"/>
      <c r="HX367" s="134"/>
      <c r="HY367" s="135"/>
      <c r="HZ367" s="135"/>
      <c r="IA367" s="134"/>
      <c r="IB367" s="134"/>
      <c r="IC367" s="134"/>
      <c r="ID367" s="134"/>
      <c r="IE367" s="134"/>
      <c r="IF367" s="134"/>
      <c r="IG367" s="134"/>
      <c r="IH367" s="134"/>
      <c r="II367" s="135"/>
      <c r="IJ367" s="135"/>
      <c r="IK367" s="134"/>
      <c r="IL367" s="134"/>
      <c r="IM367" s="134"/>
      <c r="IN367" s="134"/>
      <c r="IO367" s="134"/>
      <c r="IP367" s="134"/>
      <c r="IQ367" s="134"/>
      <c r="IR367" s="134"/>
      <c r="IS367" s="135"/>
      <c r="IT367" s="135"/>
      <c r="IU367" s="134"/>
      <c r="IV367" s="134"/>
      <c r="IW367" s="134"/>
      <c r="IX367" s="134"/>
      <c r="IY367" s="134"/>
      <c r="IZ367" s="134"/>
      <c r="JA367" s="134"/>
      <c r="JB367" s="134"/>
      <c r="JC367" s="135"/>
      <c r="JD367" s="135"/>
    </row>
    <row r="368" spans="1:264" ht="15" customHeight="1">
      <c r="A368" s="118" t="s">
        <v>965</v>
      </c>
      <c r="B368" s="616">
        <v>234</v>
      </c>
      <c r="C368" s="616">
        <v>85</v>
      </c>
      <c r="D368" s="616"/>
      <c r="E368" s="605" t="s">
        <v>2120</v>
      </c>
      <c r="F368" s="140" t="s">
        <v>2381</v>
      </c>
      <c r="G368" s="141">
        <v>2014</v>
      </c>
      <c r="H368" s="118">
        <v>24975424</v>
      </c>
      <c r="I368" s="118">
        <v>1</v>
      </c>
      <c r="J368" s="118" t="s">
        <v>1788</v>
      </c>
      <c r="K368" s="118" t="s">
        <v>23</v>
      </c>
      <c r="L368" s="118">
        <v>1</v>
      </c>
      <c r="M368" s="118"/>
      <c r="N368" s="118">
        <v>1</v>
      </c>
      <c r="O368" s="142">
        <v>2</v>
      </c>
      <c r="P368" s="118" t="s">
        <v>1398</v>
      </c>
      <c r="Q368" s="118" t="s">
        <v>1216</v>
      </c>
      <c r="R368" s="118" t="s">
        <v>1127</v>
      </c>
      <c r="S368" s="118"/>
      <c r="T368" s="118" t="s">
        <v>1487</v>
      </c>
      <c r="U368" s="118" t="s">
        <v>803</v>
      </c>
      <c r="V368" s="118"/>
      <c r="W368" s="118" t="s">
        <v>1599</v>
      </c>
      <c r="X368" s="118"/>
      <c r="Y368" s="118" t="s">
        <v>1132</v>
      </c>
      <c r="Z368" s="118"/>
      <c r="AA368" s="118" t="s">
        <v>1598</v>
      </c>
      <c r="AB368" s="118"/>
      <c r="AC368" s="145"/>
      <c r="AD368" s="573">
        <v>1</v>
      </c>
      <c r="AE368" s="573">
        <v>2</v>
      </c>
      <c r="AF368" s="159">
        <v>1</v>
      </c>
      <c r="AG368" s="160" t="s">
        <v>5862</v>
      </c>
      <c r="AH368" s="122">
        <v>4</v>
      </c>
      <c r="AI368" s="485" t="s">
        <v>5875</v>
      </c>
      <c r="AJ368" s="204"/>
      <c r="AK368" s="192" t="s">
        <v>5860</v>
      </c>
      <c r="AL368" s="205"/>
      <c r="AM368" s="122">
        <f>10+6+16</f>
        <v>32</v>
      </c>
      <c r="AN368" s="122" t="s">
        <v>5853</v>
      </c>
      <c r="AO368" s="122">
        <v>16</v>
      </c>
      <c r="AP368" s="122" t="s">
        <v>803</v>
      </c>
      <c r="AQ368" s="122" t="s">
        <v>803</v>
      </c>
      <c r="AR368" s="122" t="s">
        <v>2882</v>
      </c>
      <c r="AS368" s="122" t="s">
        <v>24</v>
      </c>
      <c r="AT368" s="122" t="s">
        <v>2882</v>
      </c>
      <c r="AU368" s="122" t="s">
        <v>24</v>
      </c>
      <c r="AV368" s="122" t="s">
        <v>5854</v>
      </c>
      <c r="AW368" s="122">
        <v>1</v>
      </c>
      <c r="AX368" s="122">
        <v>1</v>
      </c>
      <c r="AY368" s="122" t="s">
        <v>5831</v>
      </c>
      <c r="AZ368" s="122" t="s">
        <v>1130</v>
      </c>
      <c r="BA368" s="526" t="s">
        <v>5880</v>
      </c>
      <c r="BB368" s="161"/>
      <c r="BC368" s="161"/>
      <c r="BD368" s="161"/>
      <c r="BE368" s="161"/>
      <c r="BF368" s="161"/>
      <c r="BG368" s="161"/>
      <c r="BH368" s="161"/>
      <c r="BI368" s="161"/>
      <c r="BJ368" s="161">
        <v>1</v>
      </c>
      <c r="BK368" s="161"/>
      <c r="BL368" s="161"/>
      <c r="BM368" s="161"/>
      <c r="BN368" s="161"/>
      <c r="BO368" s="161"/>
      <c r="BP368" s="161"/>
      <c r="BQ368" s="596" t="s">
        <v>5832</v>
      </c>
      <c r="BR368" s="162" t="s">
        <v>6607</v>
      </c>
      <c r="BS368" s="660"/>
      <c r="BT368" s="150" t="s">
        <v>1876</v>
      </c>
      <c r="BU368" s="150" t="s">
        <v>5855</v>
      </c>
      <c r="BV368" s="150" t="s">
        <v>5833</v>
      </c>
      <c r="BW368" s="150" t="s">
        <v>5829</v>
      </c>
      <c r="BX368" s="150" t="s">
        <v>5834</v>
      </c>
      <c r="BY368" s="150"/>
      <c r="BZ368" s="258" t="s">
        <v>5887</v>
      </c>
      <c r="CA368" s="257" t="s">
        <v>6627</v>
      </c>
      <c r="CB368" s="151" t="s">
        <v>5857</v>
      </c>
      <c r="CC368" s="150">
        <v>28.716799999999999</v>
      </c>
      <c r="CD368" s="150" t="s">
        <v>24</v>
      </c>
      <c r="CE368" s="150">
        <f>33.4623-Table668[[#This Row],[Data_Outcome1_M]]</f>
        <v>4.7454999999999998</v>
      </c>
      <c r="CF368" s="151" t="s">
        <v>5858</v>
      </c>
      <c r="CG368" s="150">
        <v>11.016500000000001</v>
      </c>
      <c r="CH368" s="150" t="s">
        <v>24</v>
      </c>
      <c r="CI368" s="150">
        <f>16.8274-Table668[[#This Row],[Data_Outcome2_M]]</f>
        <v>5.8109000000000002</v>
      </c>
      <c r="CJ368" s="290" t="s">
        <v>5882</v>
      </c>
      <c r="CK368" s="527" t="s">
        <v>5881</v>
      </c>
      <c r="CL368" s="151" t="s">
        <v>5859</v>
      </c>
      <c r="CM368" s="150">
        <v>23.5595</v>
      </c>
      <c r="CN368" s="150" t="s">
        <v>24</v>
      </c>
      <c r="CO368" s="150">
        <f>26.1743-Table668[[#This Row],[Data_Outcome3_M]]</f>
        <v>2.6147999999999989</v>
      </c>
      <c r="CP368" s="151" t="s">
        <v>5863</v>
      </c>
      <c r="CQ368" s="150">
        <v>21.7194</v>
      </c>
      <c r="CR368" s="150" t="s">
        <v>24</v>
      </c>
      <c r="CS368" s="150">
        <f>25.1092-Table668[[#This Row],[Data_Outcome4_M]]</f>
        <v>3.389800000000001</v>
      </c>
      <c r="CT368" s="290" t="s">
        <v>24</v>
      </c>
      <c r="CU368" s="291" t="s">
        <v>24</v>
      </c>
      <c r="CV368" s="278" t="s">
        <v>24</v>
      </c>
      <c r="CW368" s="285" t="s">
        <v>24</v>
      </c>
      <c r="CX368" s="151" t="s">
        <v>5864</v>
      </c>
      <c r="CY368" s="150">
        <v>13.9953</v>
      </c>
      <c r="CZ368" s="150" t="s">
        <v>24</v>
      </c>
      <c r="DA368" s="150">
        <f>17.9657-Table668[[#This Row],[Data_Outcome5_M]]</f>
        <v>3.9703999999999979</v>
      </c>
      <c r="DB368" s="151" t="s">
        <v>5865</v>
      </c>
      <c r="DC368" s="150">
        <v>7.0451100000000002</v>
      </c>
      <c r="DD368" s="150" t="s">
        <v>24</v>
      </c>
      <c r="DE368" s="150">
        <f>9.5635-Table668[[#This Row],[Data_Outcome6_M]]</f>
        <v>2.5183899999999992</v>
      </c>
      <c r="DF368" s="302" t="s">
        <v>5883</v>
      </c>
      <c r="DG368" s="303" t="s">
        <v>5866</v>
      </c>
      <c r="DH368" s="150" t="s">
        <v>5867</v>
      </c>
      <c r="DI368" s="150">
        <v>0.88554200000000005</v>
      </c>
      <c r="DJ368" s="150" t="s">
        <v>24</v>
      </c>
      <c r="DK368" s="150">
        <f>1.32831-Table668[[#This Row],[Data_Outcome7_M]]</f>
        <v>0.44276800000000005</v>
      </c>
      <c r="DL368" s="150" t="s">
        <v>5868</v>
      </c>
      <c r="DM368" s="150">
        <v>5.0602400000000003</v>
      </c>
      <c r="DN368" s="150" t="s">
        <v>24</v>
      </c>
      <c r="DO368" s="150">
        <f>7.46386-Table668[[#This Row],[Data_Outcome8_M]]</f>
        <v>2.4036200000000001</v>
      </c>
      <c r="DP368" s="302" t="s">
        <v>5873</v>
      </c>
      <c r="DQ368" s="303" t="s">
        <v>2480</v>
      </c>
      <c r="DR368" s="278" t="s">
        <v>24</v>
      </c>
      <c r="DS368" s="279" t="s">
        <v>24</v>
      </c>
      <c r="DT368" s="150" t="s">
        <v>5843</v>
      </c>
      <c r="DU368" s="150">
        <v>2.84639</v>
      </c>
      <c r="DV368" s="150" t="s">
        <v>24</v>
      </c>
      <c r="DW368" s="150">
        <f>3.92169-Table668[[#This Row],[Data_Outcome9_M]]</f>
        <v>1.0752999999999999</v>
      </c>
      <c r="DX368" s="150" t="s">
        <v>5845</v>
      </c>
      <c r="DY368" s="150">
        <v>6.9578300000000004</v>
      </c>
      <c r="DZ368" s="150" t="s">
        <v>24</v>
      </c>
      <c r="EA368" s="150">
        <f>9.23494-Table668[[#This Row],[Data_Outcome10_M]]</f>
        <v>2.2771099999999995</v>
      </c>
      <c r="EB368" s="303" t="s">
        <v>24</v>
      </c>
      <c r="EC368" s="303" t="s">
        <v>24</v>
      </c>
      <c r="ED368" s="150" t="s">
        <v>5869</v>
      </c>
      <c r="EE368" s="150">
        <v>5.88253</v>
      </c>
      <c r="EF368" s="150" t="s">
        <v>24</v>
      </c>
      <c r="EG368" s="150">
        <f>7.96988-Table668[[#This Row],[Data_Outcome11_M]]</f>
        <v>2.0873499999999998</v>
      </c>
      <c r="EH368" s="150" t="s">
        <v>5870</v>
      </c>
      <c r="EI368" s="150">
        <v>17.584299999999999</v>
      </c>
      <c r="EJ368" s="150" t="s">
        <v>24</v>
      </c>
      <c r="EK368" s="150">
        <f>21.4428-Table668[[#This Row],[Data_Outcome12_M]]</f>
        <v>3.8584999999999994</v>
      </c>
      <c r="EL368" s="303" t="s">
        <v>5884</v>
      </c>
      <c r="EM368" s="303" t="s">
        <v>5886</v>
      </c>
      <c r="EN368" s="279" t="s">
        <v>24</v>
      </c>
      <c r="EO368" s="150" t="s">
        <v>5871</v>
      </c>
      <c r="EP368" s="150">
        <v>7.1475900000000001</v>
      </c>
      <c r="EQ368" s="150" t="s">
        <v>24</v>
      </c>
      <c r="ER368" s="150">
        <f>9.67771-Table668[[#This Row],[Data_Outcome13_M]]</f>
        <v>2.5301199999999993</v>
      </c>
      <c r="ES368" s="150" t="s">
        <v>5872</v>
      </c>
      <c r="ET368" s="150">
        <v>22.012</v>
      </c>
      <c r="EU368" s="150" t="s">
        <v>24</v>
      </c>
      <c r="EV368" s="150">
        <f>28.7169-Table668[[#This Row],[Data_Outcome14_M]]</f>
        <v>6.7048999999999985</v>
      </c>
      <c r="EW368" s="303" t="s">
        <v>5874</v>
      </c>
      <c r="EX368" s="303" t="s">
        <v>5885</v>
      </c>
      <c r="EY368" s="150" t="s">
        <v>5847</v>
      </c>
      <c r="EZ368" s="150">
        <v>4.5542199999999999</v>
      </c>
      <c r="FA368" s="150" t="s">
        <v>24</v>
      </c>
      <c r="FB368" s="150">
        <f>5.94578-Table668[[#This Row],[Data_Outcome15_M]]</f>
        <v>1.3915600000000001</v>
      </c>
      <c r="FC368" s="150" t="s">
        <v>24</v>
      </c>
      <c r="FD368" s="150" t="s">
        <v>24</v>
      </c>
      <c r="FE368" s="150" t="s">
        <v>24</v>
      </c>
      <c r="FF368" s="150" t="s">
        <v>24</v>
      </c>
      <c r="FG368" s="152"/>
      <c r="FH368" s="152"/>
      <c r="FI368" s="150"/>
      <c r="FJ368" s="150"/>
      <c r="FK368" s="150"/>
      <c r="FL368" s="150"/>
      <c r="FM368" s="150"/>
      <c r="FN368" s="150"/>
      <c r="FO368" s="150"/>
      <c r="FP368" s="150"/>
      <c r="FQ368" s="152"/>
      <c r="FR368" s="152"/>
      <c r="FS368" s="150"/>
      <c r="FT368" s="150"/>
      <c r="FU368" s="150"/>
      <c r="FV368" s="150"/>
      <c r="FW368" s="150"/>
      <c r="FX368" s="150"/>
      <c r="FY368" s="150"/>
      <c r="FZ368" s="150"/>
      <c r="GA368" s="152"/>
      <c r="GB368" s="152"/>
      <c r="GC368" s="150"/>
      <c r="GD368" s="150"/>
      <c r="GE368" s="150"/>
      <c r="GF368" s="150"/>
      <c r="GG368" s="150"/>
      <c r="GH368" s="150"/>
      <c r="GI368" s="150"/>
      <c r="GJ368" s="150"/>
      <c r="GK368" s="152"/>
      <c r="GL368" s="152"/>
      <c r="GM368" s="150"/>
      <c r="GN368" s="150"/>
      <c r="GO368" s="150"/>
      <c r="GP368" s="150"/>
      <c r="GQ368" s="150"/>
      <c r="GR368" s="150"/>
      <c r="GS368" s="150"/>
      <c r="GT368" s="150"/>
      <c r="GU368" s="152"/>
      <c r="GV368" s="152"/>
      <c r="GW368" s="134"/>
      <c r="GX368" s="134"/>
      <c r="GY368" s="134"/>
      <c r="GZ368" s="134"/>
      <c r="HA368" s="134"/>
      <c r="HB368" s="134"/>
      <c r="HC368" s="134"/>
      <c r="HD368" s="134"/>
      <c r="HE368" s="135"/>
      <c r="HF368" s="135"/>
      <c r="HG368" s="134"/>
      <c r="HH368" s="134"/>
      <c r="HI368" s="134"/>
      <c r="HJ368" s="134"/>
      <c r="HK368" s="134"/>
      <c r="HL368" s="134"/>
      <c r="HM368" s="134"/>
      <c r="HN368" s="134"/>
      <c r="HO368" s="135"/>
      <c r="HP368" s="135"/>
      <c r="HQ368" s="134"/>
      <c r="HR368" s="134"/>
      <c r="HS368" s="134"/>
      <c r="HT368" s="134"/>
      <c r="HU368" s="134"/>
      <c r="HV368" s="134"/>
      <c r="HW368" s="134"/>
      <c r="HX368" s="134"/>
      <c r="HY368" s="135"/>
      <c r="HZ368" s="135"/>
      <c r="IA368" s="134"/>
      <c r="IB368" s="134"/>
      <c r="IC368" s="134"/>
      <c r="ID368" s="134"/>
      <c r="IE368" s="134"/>
      <c r="IF368" s="134"/>
      <c r="IG368" s="134"/>
      <c r="IH368" s="134"/>
      <c r="II368" s="135"/>
      <c r="IJ368" s="135"/>
      <c r="IK368" s="134"/>
      <c r="IL368" s="134"/>
      <c r="IM368" s="134"/>
      <c r="IN368" s="134"/>
      <c r="IO368" s="134"/>
      <c r="IP368" s="134"/>
      <c r="IQ368" s="134"/>
      <c r="IR368" s="134"/>
      <c r="IS368" s="135"/>
      <c r="IT368" s="135"/>
      <c r="IU368" s="134"/>
      <c r="IV368" s="134"/>
      <c r="IW368" s="134"/>
      <c r="IX368" s="134"/>
      <c r="IY368" s="134"/>
      <c r="IZ368" s="134"/>
      <c r="JA368" s="134"/>
      <c r="JB368" s="134"/>
      <c r="JC368" s="135"/>
      <c r="JD368" s="135"/>
    </row>
    <row r="369" spans="1:264" ht="15" customHeight="1">
      <c r="A369" s="79" t="s">
        <v>330</v>
      </c>
      <c r="B369" s="362">
        <v>236</v>
      </c>
      <c r="C369" s="362">
        <v>86</v>
      </c>
      <c r="D369" s="362"/>
      <c r="E369" s="604" t="s">
        <v>2034</v>
      </c>
      <c r="F369" s="124" t="s">
        <v>2270</v>
      </c>
      <c r="G369" s="125">
        <v>2015</v>
      </c>
      <c r="H369" s="79">
        <v>25735018</v>
      </c>
      <c r="I369" s="79">
        <v>1</v>
      </c>
      <c r="J369" s="126"/>
      <c r="K369" s="127"/>
      <c r="L369" s="79">
        <v>1</v>
      </c>
      <c r="M369" s="79"/>
      <c r="N369" s="79">
        <v>1</v>
      </c>
      <c r="O369" s="128">
        <v>1</v>
      </c>
      <c r="P369" s="79" t="s">
        <v>860</v>
      </c>
      <c r="Q369" s="79" t="s">
        <v>1154</v>
      </c>
      <c r="R369" s="79" t="s">
        <v>835</v>
      </c>
      <c r="S369" s="79">
        <v>1</v>
      </c>
      <c r="T369" s="79"/>
      <c r="U369" s="79"/>
      <c r="V369" s="79"/>
      <c r="W369" s="79" t="s">
        <v>858</v>
      </c>
      <c r="X369" s="79" t="s">
        <v>24</v>
      </c>
      <c r="Y369" s="79" t="s">
        <v>24</v>
      </c>
      <c r="Z369" s="79" t="s">
        <v>859</v>
      </c>
      <c r="AA369" s="79"/>
      <c r="AB369" s="79"/>
      <c r="AC369" s="506"/>
      <c r="AD369" s="573">
        <v>1</v>
      </c>
      <c r="AE369" s="573">
        <v>2</v>
      </c>
      <c r="AF369" s="165">
        <v>0</v>
      </c>
      <c r="AG369" s="166" t="s">
        <v>5718</v>
      </c>
      <c r="AH369" s="120">
        <v>2</v>
      </c>
      <c r="AI369" s="120"/>
      <c r="AJ369" s="206"/>
      <c r="AK369" s="372"/>
      <c r="AL369" s="207"/>
      <c r="AM369" s="120"/>
      <c r="AN369" s="120"/>
      <c r="AO369" s="120"/>
      <c r="AP369" s="120"/>
      <c r="AQ369" s="120"/>
      <c r="AR369" s="120"/>
      <c r="AS369" s="120"/>
      <c r="AT369" s="120"/>
      <c r="AU369" s="120"/>
      <c r="AV369" s="120"/>
      <c r="AW369" s="120" t="s">
        <v>24</v>
      </c>
      <c r="AX369" s="120" t="s">
        <v>24</v>
      </c>
      <c r="AY369" s="120"/>
      <c r="AZ369" s="120"/>
      <c r="BA369" s="120"/>
      <c r="BB369" s="594"/>
      <c r="BC369" s="594"/>
      <c r="BD369" s="373"/>
      <c r="BE369" s="373"/>
      <c r="BF369" s="373" t="s">
        <v>4727</v>
      </c>
      <c r="BG369" s="373" t="s">
        <v>5716</v>
      </c>
      <c r="BH369" s="373"/>
      <c r="BI369" s="373" t="s">
        <v>5717</v>
      </c>
      <c r="BJ369" s="373">
        <v>1</v>
      </c>
      <c r="BK369" s="373"/>
      <c r="BL369" s="373"/>
      <c r="BM369" s="373"/>
      <c r="BN369" s="373" t="s">
        <v>4727</v>
      </c>
      <c r="BO369" s="373" t="s">
        <v>5715</v>
      </c>
      <c r="BP369" s="373"/>
      <c r="BQ369" s="599"/>
      <c r="BR369" s="374"/>
      <c r="BS369" s="660"/>
      <c r="BT369" s="120"/>
      <c r="BU369" s="120"/>
      <c r="BV369" s="120"/>
      <c r="BW369" s="120"/>
      <c r="BX369" s="120"/>
      <c r="BY369" s="120"/>
      <c r="BZ369" s="375"/>
      <c r="CA369" s="380"/>
      <c r="CB369" s="138"/>
      <c r="CC369" s="134"/>
      <c r="CD369" s="134"/>
      <c r="CE369" s="134"/>
      <c r="CF369" s="138"/>
      <c r="CG369" s="134"/>
      <c r="CH369" s="134"/>
      <c r="CI369" s="134"/>
      <c r="CJ369" s="288"/>
      <c r="CK369" s="289"/>
      <c r="CL369" s="138"/>
      <c r="CM369" s="134"/>
      <c r="CN369" s="134"/>
      <c r="CO369" s="134"/>
      <c r="CP369" s="138"/>
      <c r="CQ369" s="134"/>
      <c r="CR369" s="134"/>
      <c r="CS369" s="134"/>
      <c r="CT369" s="288"/>
      <c r="CU369" s="289"/>
      <c r="CV369" s="276"/>
      <c r="CW369" s="308"/>
      <c r="CX369" s="138"/>
      <c r="CY369" s="134"/>
      <c r="CZ369" s="134"/>
      <c r="DA369" s="134"/>
      <c r="DB369" s="134"/>
      <c r="DC369" s="134"/>
      <c r="DD369" s="134"/>
      <c r="DE369" s="134"/>
      <c r="DF369" s="300"/>
      <c r="DG369" s="301"/>
      <c r="DH369" s="134"/>
      <c r="DI369" s="134"/>
      <c r="DJ369" s="134"/>
      <c r="DK369" s="134"/>
      <c r="DL369" s="134"/>
      <c r="DM369" s="134"/>
      <c r="DN369" s="134"/>
      <c r="DO369" s="134"/>
      <c r="DP369" s="300"/>
      <c r="DQ369" s="301"/>
      <c r="DR369" s="276"/>
      <c r="DS369" s="277"/>
      <c r="DT369" s="134"/>
      <c r="DU369" s="134"/>
      <c r="DV369" s="134"/>
      <c r="DW369" s="134"/>
      <c r="DX369" s="138"/>
      <c r="DY369" s="134"/>
      <c r="DZ369" s="134"/>
      <c r="EA369" s="134"/>
      <c r="EB369" s="301"/>
      <c r="EC369" s="301"/>
      <c r="ED369" s="138"/>
      <c r="EE369" s="134"/>
      <c r="EF369" s="134"/>
      <c r="EG369" s="134"/>
      <c r="EH369" s="138"/>
      <c r="EI369" s="134"/>
      <c r="EJ369" s="134"/>
      <c r="EK369" s="134"/>
      <c r="EL369" s="301"/>
      <c r="EM369" s="301"/>
      <c r="EN369" s="277"/>
      <c r="EO369" s="134"/>
      <c r="EP369" s="134"/>
      <c r="EQ369" s="134"/>
      <c r="ER369" s="134"/>
      <c r="ES369" s="134"/>
      <c r="ET369" s="134"/>
      <c r="EU369" s="134"/>
      <c r="EV369" s="134"/>
      <c r="EW369" s="301"/>
      <c r="EX369" s="301"/>
      <c r="EY369" s="134"/>
      <c r="EZ369" s="134"/>
      <c r="FA369" s="134"/>
      <c r="FB369" s="134"/>
      <c r="FC369" s="134"/>
      <c r="FD369" s="134"/>
      <c r="FE369" s="134"/>
      <c r="FF369" s="134"/>
      <c r="FG369" s="135"/>
      <c r="FH369" s="135"/>
      <c r="FI369" s="134"/>
      <c r="FJ369" s="134"/>
      <c r="FK369" s="134"/>
      <c r="FL369" s="134"/>
      <c r="FM369" s="134"/>
      <c r="FN369" s="134"/>
      <c r="FO369" s="134"/>
      <c r="FP369" s="134"/>
      <c r="FQ369" s="135"/>
      <c r="FR369" s="135"/>
      <c r="FS369" s="134"/>
      <c r="FT369" s="134"/>
      <c r="FU369" s="134"/>
      <c r="FV369" s="134"/>
      <c r="FW369" s="134"/>
      <c r="FX369" s="134"/>
      <c r="FY369" s="134"/>
      <c r="FZ369" s="134"/>
      <c r="GA369" s="135"/>
      <c r="GB369" s="135"/>
      <c r="GC369" s="134"/>
      <c r="GD369" s="134"/>
      <c r="GE369" s="134"/>
      <c r="GF369" s="134"/>
      <c r="GG369" s="134"/>
      <c r="GH369" s="134"/>
      <c r="GI369" s="134"/>
      <c r="GJ369" s="134"/>
      <c r="GK369" s="135"/>
      <c r="GL369" s="135"/>
      <c r="GM369" s="134"/>
      <c r="GN369" s="134"/>
      <c r="GO369" s="134"/>
      <c r="GP369" s="134"/>
      <c r="GQ369" s="134"/>
      <c r="GR369" s="134"/>
      <c r="GS369" s="134"/>
      <c r="GT369" s="134"/>
      <c r="GU369" s="135"/>
      <c r="GV369" s="135"/>
      <c r="GW369" s="134"/>
      <c r="GX369" s="134"/>
      <c r="GY369" s="134"/>
      <c r="GZ369" s="134"/>
      <c r="HA369" s="134"/>
      <c r="HB369" s="134"/>
      <c r="HC369" s="134"/>
      <c r="HD369" s="134"/>
      <c r="HE369" s="135"/>
      <c r="HF369" s="135"/>
      <c r="HG369" s="134"/>
      <c r="HH369" s="134"/>
      <c r="HI369" s="134"/>
      <c r="HJ369" s="134"/>
      <c r="HK369" s="134"/>
      <c r="HL369" s="134"/>
      <c r="HM369" s="134"/>
      <c r="HN369" s="134"/>
      <c r="HO369" s="135"/>
      <c r="HP369" s="135"/>
      <c r="HQ369" s="134"/>
      <c r="HR369" s="134"/>
      <c r="HS369" s="134"/>
      <c r="HT369" s="134"/>
      <c r="HU369" s="134"/>
      <c r="HV369" s="134"/>
      <c r="HW369" s="134"/>
      <c r="HX369" s="134"/>
      <c r="HY369" s="135"/>
      <c r="HZ369" s="135"/>
      <c r="IA369" s="134"/>
      <c r="IB369" s="134"/>
      <c r="IC369" s="134"/>
      <c r="ID369" s="134"/>
      <c r="IE369" s="134"/>
      <c r="IF369" s="134"/>
      <c r="IG369" s="134"/>
      <c r="IH369" s="134"/>
      <c r="II369" s="135"/>
      <c r="IJ369" s="135"/>
      <c r="IK369" s="134"/>
      <c r="IL369" s="134"/>
      <c r="IM369" s="134"/>
      <c r="IN369" s="134"/>
      <c r="IO369" s="134"/>
      <c r="IP369" s="134"/>
      <c r="IQ369" s="134"/>
      <c r="IR369" s="134"/>
      <c r="IS369" s="135"/>
      <c r="IT369" s="135"/>
      <c r="IU369" s="134"/>
      <c r="IV369" s="134"/>
      <c r="IW369" s="134"/>
      <c r="IX369" s="134"/>
      <c r="IY369" s="134"/>
      <c r="IZ369" s="134"/>
      <c r="JA369" s="134"/>
      <c r="JB369" s="134"/>
      <c r="JC369" s="135"/>
      <c r="JD369" s="135"/>
    </row>
    <row r="370" spans="1:264" ht="15" customHeight="1">
      <c r="A370" s="118" t="s">
        <v>963</v>
      </c>
      <c r="B370" s="616">
        <v>48</v>
      </c>
      <c r="C370" s="616"/>
      <c r="D370" s="616"/>
      <c r="E370" s="605" t="s">
        <v>2122</v>
      </c>
      <c r="F370" s="140" t="s">
        <v>2383</v>
      </c>
      <c r="G370" s="141">
        <v>2012</v>
      </c>
      <c r="H370" s="118">
        <v>22516520</v>
      </c>
      <c r="I370" s="118">
        <v>1</v>
      </c>
      <c r="J370" s="118" t="s">
        <v>1788</v>
      </c>
      <c r="K370" s="118" t="s">
        <v>23</v>
      </c>
      <c r="L370" s="118">
        <v>1</v>
      </c>
      <c r="M370" s="118"/>
      <c r="N370" s="118">
        <v>1</v>
      </c>
      <c r="O370" s="142">
        <v>2</v>
      </c>
      <c r="P370" s="118" t="s">
        <v>1220</v>
      </c>
      <c r="Q370" s="118" t="s">
        <v>1162</v>
      </c>
      <c r="R370" s="118" t="s">
        <v>1229</v>
      </c>
      <c r="S370" s="118"/>
      <c r="T370" s="118" t="s">
        <v>1488</v>
      </c>
      <c r="U370" s="118" t="s">
        <v>803</v>
      </c>
      <c r="V370" s="118"/>
      <c r="W370" s="118" t="s">
        <v>1501</v>
      </c>
      <c r="X370" s="118" t="s">
        <v>1602</v>
      </c>
      <c r="Y370" s="118" t="s">
        <v>1132</v>
      </c>
      <c r="Z370" s="118"/>
      <c r="AA370" s="118"/>
      <c r="AB370" s="118"/>
      <c r="AC370" s="145"/>
      <c r="AD370" s="573">
        <v>1</v>
      </c>
      <c r="AE370" s="573">
        <v>2</v>
      </c>
      <c r="AF370" s="159">
        <v>1</v>
      </c>
      <c r="AG370" s="160" t="s">
        <v>3365</v>
      </c>
      <c r="AH370" s="122">
        <v>4</v>
      </c>
      <c r="AI370" s="485"/>
      <c r="AJ370" s="204" t="s">
        <v>3622</v>
      </c>
      <c r="AK370" s="192">
        <v>2</v>
      </c>
      <c r="AL370" s="205">
        <v>0</v>
      </c>
      <c r="AM370" s="122">
        <f>Table668[[#This Row],[Data_Subjects_n_ptsd]]+Table668[[#This Row],[Data_Subjects_n_control]]</f>
        <v>18</v>
      </c>
      <c r="AN370" s="122">
        <v>9</v>
      </c>
      <c r="AO370" s="122">
        <v>9</v>
      </c>
      <c r="AP370" s="122" t="s">
        <v>803</v>
      </c>
      <c r="AQ370" s="122" t="s">
        <v>803</v>
      </c>
      <c r="AR370" s="122" t="s">
        <v>24</v>
      </c>
      <c r="AS370" s="122" t="s">
        <v>24</v>
      </c>
      <c r="AT370" s="122" t="s">
        <v>24</v>
      </c>
      <c r="AU370" s="122" t="s">
        <v>24</v>
      </c>
      <c r="AV370" s="122" t="s">
        <v>3624</v>
      </c>
      <c r="AW370" s="122">
        <v>1</v>
      </c>
      <c r="AX370" s="122" t="s">
        <v>3612</v>
      </c>
      <c r="AY370" s="122" t="s">
        <v>3515</v>
      </c>
      <c r="AZ370" s="122" t="s">
        <v>2912</v>
      </c>
      <c r="BA370" s="122" t="s">
        <v>3279</v>
      </c>
      <c r="BB370" s="588"/>
      <c r="BC370" s="588"/>
      <c r="BD370" s="161">
        <v>1</v>
      </c>
      <c r="BE370" s="161"/>
      <c r="BF370" s="161"/>
      <c r="BG370" s="161"/>
      <c r="BH370" s="161"/>
      <c r="BI370" s="161"/>
      <c r="BJ370" s="161"/>
      <c r="BK370" s="161"/>
      <c r="BL370" s="161"/>
      <c r="BM370" s="161"/>
      <c r="BN370" s="161"/>
      <c r="BO370" s="161"/>
      <c r="BP370" s="161"/>
      <c r="BQ370" s="596" t="s">
        <v>2879</v>
      </c>
      <c r="BR370" s="157" t="s">
        <v>6595</v>
      </c>
      <c r="BS370" s="660"/>
      <c r="BT370" s="150" t="s">
        <v>1876</v>
      </c>
      <c r="BU370" s="150">
        <v>2</v>
      </c>
      <c r="BV370" s="150" t="s">
        <v>3626</v>
      </c>
      <c r="BW370" s="150" t="s">
        <v>3613</v>
      </c>
      <c r="BX370" s="150" t="s">
        <v>3224</v>
      </c>
      <c r="BY370" s="134" t="s">
        <v>6640</v>
      </c>
      <c r="BZ370" s="258" t="s">
        <v>3628</v>
      </c>
      <c r="CA370" s="257" t="s">
        <v>6627</v>
      </c>
      <c r="CB370" s="151" t="s">
        <v>3615</v>
      </c>
      <c r="CC370" s="150">
        <v>84.1815</v>
      </c>
      <c r="CD370" s="150" t="s">
        <v>24</v>
      </c>
      <c r="CE370" s="150">
        <f>88.2574-Table668[[#This Row],[Data_Outcome1_M]]</f>
        <v>4.0759000000000043</v>
      </c>
      <c r="CF370" s="151" t="s">
        <v>3616</v>
      </c>
      <c r="CG370" s="150">
        <v>13.0784</v>
      </c>
      <c r="CH370" s="150" t="s">
        <v>24</v>
      </c>
      <c r="CI370" s="150">
        <f>15.2522-Table668[[#This Row],[Data_Outcome2_M]]</f>
        <v>2.1738</v>
      </c>
      <c r="CJ370" s="290" t="s">
        <v>3620</v>
      </c>
      <c r="CK370" s="291" t="s">
        <v>3619</v>
      </c>
      <c r="CL370" s="151"/>
      <c r="CM370" s="150"/>
      <c r="CN370" s="150"/>
      <c r="CO370" s="150"/>
      <c r="CP370" s="151"/>
      <c r="CQ370" s="150"/>
      <c r="CR370" s="150"/>
      <c r="CS370" s="150"/>
      <c r="CT370" s="290"/>
      <c r="CU370" s="291"/>
      <c r="CV370" s="278"/>
      <c r="CW370" s="285"/>
      <c r="CX370" s="151"/>
      <c r="CY370" s="150"/>
      <c r="CZ370" s="150"/>
      <c r="DA370" s="150"/>
      <c r="DB370" s="150"/>
      <c r="DC370" s="150"/>
      <c r="DD370" s="150"/>
      <c r="DE370" s="150"/>
      <c r="DF370" s="302"/>
      <c r="DG370" s="303"/>
      <c r="DH370" s="150"/>
      <c r="DI370" s="150"/>
      <c r="DJ370" s="150"/>
      <c r="DK370" s="150"/>
      <c r="DL370" s="150"/>
      <c r="DM370" s="150"/>
      <c r="DN370" s="150"/>
      <c r="DO370" s="150"/>
      <c r="DP370" s="302"/>
      <c r="DQ370" s="303"/>
      <c r="DR370" s="278"/>
      <c r="DS370" s="279"/>
      <c r="DT370" s="150"/>
      <c r="DU370" s="150"/>
      <c r="DV370" s="150"/>
      <c r="DW370" s="150"/>
      <c r="DX370" s="151"/>
      <c r="DY370" s="150"/>
      <c r="DZ370" s="150"/>
      <c r="EA370" s="150"/>
      <c r="EB370" s="303"/>
      <c r="EC370" s="303"/>
      <c r="ED370" s="151"/>
      <c r="EE370" s="150"/>
      <c r="EF370" s="150"/>
      <c r="EG370" s="150"/>
      <c r="EH370" s="151"/>
      <c r="EI370" s="150"/>
      <c r="EJ370" s="150"/>
      <c r="EK370" s="150"/>
      <c r="EL370" s="303"/>
      <c r="EM370" s="303"/>
      <c r="EN370" s="279"/>
      <c r="EO370" s="150"/>
      <c r="EP370" s="150"/>
      <c r="EQ370" s="150"/>
      <c r="ER370" s="150"/>
      <c r="ES370" s="150"/>
      <c r="ET370" s="150"/>
      <c r="EU370" s="150"/>
      <c r="EV370" s="150"/>
      <c r="EW370" s="303"/>
      <c r="EX370" s="303"/>
      <c r="EY370" s="150"/>
      <c r="EZ370" s="150"/>
      <c r="FA370" s="150"/>
      <c r="FB370" s="150"/>
      <c r="FC370" s="134"/>
      <c r="FD370" s="134"/>
      <c r="FE370" s="134"/>
      <c r="FF370" s="134"/>
      <c r="FG370" s="135"/>
      <c r="FH370" s="135"/>
      <c r="FI370" s="134"/>
      <c r="FJ370" s="134"/>
      <c r="FK370" s="134"/>
      <c r="FL370" s="134"/>
      <c r="FM370" s="134"/>
      <c r="FN370" s="134"/>
      <c r="FO370" s="134"/>
      <c r="FP370" s="134"/>
      <c r="FQ370" s="135"/>
      <c r="FR370" s="135"/>
      <c r="FS370" s="134"/>
      <c r="FT370" s="134"/>
      <c r="FU370" s="134"/>
      <c r="FV370" s="134"/>
      <c r="FW370" s="134"/>
      <c r="FX370" s="134"/>
      <c r="FY370" s="134"/>
      <c r="FZ370" s="134"/>
      <c r="GA370" s="135"/>
      <c r="GB370" s="135"/>
      <c r="GC370" s="134"/>
      <c r="GD370" s="134"/>
      <c r="GE370" s="134"/>
      <c r="GF370" s="134"/>
      <c r="GG370" s="134"/>
      <c r="GH370" s="134"/>
      <c r="GI370" s="134"/>
      <c r="GJ370" s="134"/>
      <c r="GK370" s="135"/>
      <c r="GL370" s="135"/>
      <c r="GM370" s="134"/>
      <c r="GN370" s="134"/>
      <c r="GO370" s="134"/>
      <c r="GP370" s="134"/>
      <c r="GQ370" s="134"/>
      <c r="GR370" s="134"/>
      <c r="GS370" s="134"/>
      <c r="GT370" s="134"/>
      <c r="GU370" s="135"/>
      <c r="GV370" s="135"/>
      <c r="GW370" s="134"/>
      <c r="GX370" s="134"/>
      <c r="GY370" s="134"/>
      <c r="GZ370" s="134"/>
      <c r="HA370" s="134"/>
      <c r="HB370" s="134"/>
      <c r="HC370" s="134"/>
      <c r="HD370" s="134"/>
      <c r="HE370" s="135"/>
      <c r="HF370" s="135"/>
      <c r="HG370" s="134"/>
      <c r="HH370" s="134"/>
      <c r="HI370" s="134"/>
      <c r="HJ370" s="134"/>
      <c r="HK370" s="134"/>
      <c r="HL370" s="134"/>
      <c r="HM370" s="134"/>
      <c r="HN370" s="134"/>
      <c r="HO370" s="135"/>
      <c r="HP370" s="135"/>
      <c r="HQ370" s="134"/>
      <c r="HR370" s="134"/>
      <c r="HS370" s="134"/>
      <c r="HT370" s="134"/>
      <c r="HU370" s="134"/>
      <c r="HV370" s="134"/>
      <c r="HW370" s="134"/>
      <c r="HX370" s="134"/>
      <c r="HY370" s="135"/>
      <c r="HZ370" s="135"/>
      <c r="IA370" s="134"/>
      <c r="IB370" s="134"/>
      <c r="IC370" s="134"/>
      <c r="ID370" s="134"/>
      <c r="IE370" s="134"/>
      <c r="IF370" s="134"/>
      <c r="IG370" s="134"/>
      <c r="IH370" s="134"/>
      <c r="II370" s="135"/>
      <c r="IJ370" s="135"/>
      <c r="IK370" s="134"/>
      <c r="IL370" s="134"/>
      <c r="IM370" s="134"/>
      <c r="IN370" s="134"/>
      <c r="IO370" s="134"/>
      <c r="IP370" s="134"/>
      <c r="IQ370" s="134"/>
      <c r="IR370" s="134"/>
      <c r="IS370" s="135"/>
      <c r="IT370" s="135"/>
      <c r="IU370" s="134"/>
      <c r="IV370" s="134"/>
      <c r="IW370" s="134"/>
      <c r="IX370" s="134"/>
      <c r="IY370" s="134"/>
      <c r="IZ370" s="134"/>
      <c r="JA370" s="134"/>
      <c r="JB370" s="134"/>
      <c r="JC370" s="135"/>
      <c r="JD370" s="135"/>
    </row>
    <row r="371" spans="1:264" ht="15" customHeight="1">
      <c r="A371" s="79" t="s">
        <v>963</v>
      </c>
      <c r="B371" s="362">
        <v>48</v>
      </c>
      <c r="C371" s="362"/>
      <c r="D371" s="362"/>
      <c r="E371" s="604" t="s">
        <v>2122</v>
      </c>
      <c r="F371" s="124" t="s">
        <v>2383</v>
      </c>
      <c r="G371" s="125">
        <v>2012</v>
      </c>
      <c r="H371" s="79">
        <v>22516520</v>
      </c>
      <c r="I371" s="79">
        <v>1</v>
      </c>
      <c r="J371" s="126" t="s">
        <v>1788</v>
      </c>
      <c r="K371" s="127" t="s">
        <v>23</v>
      </c>
      <c r="L371" s="79">
        <v>1</v>
      </c>
      <c r="M371" s="79"/>
      <c r="N371" s="79">
        <v>1</v>
      </c>
      <c r="O371" s="128">
        <v>2</v>
      </c>
      <c r="P371" s="79" t="s">
        <v>1220</v>
      </c>
      <c r="Q371" s="79" t="s">
        <v>1162</v>
      </c>
      <c r="R371" s="79" t="s">
        <v>1229</v>
      </c>
      <c r="S371" s="79"/>
      <c r="T371" s="79" t="s">
        <v>1488</v>
      </c>
      <c r="U371" s="79" t="s">
        <v>803</v>
      </c>
      <c r="V371" s="79"/>
      <c r="W371" s="79" t="s">
        <v>1501</v>
      </c>
      <c r="X371" s="79" t="s">
        <v>1602</v>
      </c>
      <c r="Y371" s="79" t="s">
        <v>1132</v>
      </c>
      <c r="Z371" s="79"/>
      <c r="AA371" s="79"/>
      <c r="AB371" s="79"/>
      <c r="AC371" s="506"/>
      <c r="AD371" s="573">
        <v>1</v>
      </c>
      <c r="AE371" s="573">
        <v>2</v>
      </c>
      <c r="AF371" s="233" t="s">
        <v>3003</v>
      </c>
      <c r="AG371" s="234" t="s">
        <v>3631</v>
      </c>
      <c r="AH371" s="121">
        <v>4</v>
      </c>
      <c r="AI371" s="484"/>
      <c r="AJ371" s="202" t="s">
        <v>3622</v>
      </c>
      <c r="AK371" s="192">
        <v>2</v>
      </c>
      <c r="AL371" s="203">
        <v>0</v>
      </c>
      <c r="AM371" s="121" t="s">
        <v>3630</v>
      </c>
      <c r="AN371" s="121">
        <v>9</v>
      </c>
      <c r="AO371" s="121">
        <v>9</v>
      </c>
      <c r="AP371" s="121" t="s">
        <v>803</v>
      </c>
      <c r="AQ371" s="121" t="s">
        <v>803</v>
      </c>
      <c r="AR371" s="121" t="s">
        <v>24</v>
      </c>
      <c r="AS371" s="121" t="s">
        <v>24</v>
      </c>
      <c r="AT371" s="121" t="s">
        <v>24</v>
      </c>
      <c r="AU371" s="121" t="s">
        <v>24</v>
      </c>
      <c r="AV371" s="121" t="s">
        <v>3623</v>
      </c>
      <c r="AW371" s="121">
        <v>1</v>
      </c>
      <c r="AX371" s="121" t="s">
        <v>3629</v>
      </c>
      <c r="AY371" s="121" t="s">
        <v>3515</v>
      </c>
      <c r="AZ371" s="121" t="s">
        <v>2912</v>
      </c>
      <c r="BA371" s="121" t="s">
        <v>3279</v>
      </c>
      <c r="BB371" s="594"/>
      <c r="BC371" s="594"/>
      <c r="BD371" s="156">
        <v>1</v>
      </c>
      <c r="BE371" s="156"/>
      <c r="BF371" s="156"/>
      <c r="BG371" s="156"/>
      <c r="BH371" s="156"/>
      <c r="BI371" s="156"/>
      <c r="BJ371" s="156"/>
      <c r="BK371" s="156"/>
      <c r="BL371" s="156"/>
      <c r="BM371" s="156"/>
      <c r="BN371" s="156"/>
      <c r="BO371" s="156"/>
      <c r="BP371" s="156"/>
      <c r="BQ371" s="595" t="s">
        <v>2879</v>
      </c>
      <c r="BR371" s="157" t="s">
        <v>6595</v>
      </c>
      <c r="BS371" s="660"/>
      <c r="BT371" s="134" t="s">
        <v>1876</v>
      </c>
      <c r="BU371" s="134">
        <v>2</v>
      </c>
      <c r="BV371" s="134" t="s">
        <v>3625</v>
      </c>
      <c r="BW371" s="134" t="s">
        <v>3613</v>
      </c>
      <c r="BX371" s="134" t="s">
        <v>3224</v>
      </c>
      <c r="BY371" s="134" t="s">
        <v>6640</v>
      </c>
      <c r="BZ371" s="259" t="s">
        <v>3627</v>
      </c>
      <c r="CA371" s="454" t="s">
        <v>6627</v>
      </c>
      <c r="CB371" s="138" t="s">
        <v>3614</v>
      </c>
      <c r="CC371" s="134">
        <v>73.751800000000003</v>
      </c>
      <c r="CD371" s="134"/>
      <c r="CE371" s="134">
        <f>78.6429-Table668[[#This Row],[Data_Outcome1_M]]</f>
        <v>4.8910999999999945</v>
      </c>
      <c r="CF371" s="138" t="s">
        <v>3617</v>
      </c>
      <c r="CG371" s="134">
        <v>2.91533</v>
      </c>
      <c r="CH371" s="134" t="s">
        <v>24</v>
      </c>
      <c r="CI371" s="134">
        <f>5.08914-Table668[[#This Row],[Data_Outcome2_M]]</f>
        <v>2.1738100000000005</v>
      </c>
      <c r="CJ371" s="288" t="s">
        <v>3618</v>
      </c>
      <c r="CK371" s="289" t="s">
        <v>3621</v>
      </c>
      <c r="CL371" s="138"/>
      <c r="CM371" s="134"/>
      <c r="CN371" s="134"/>
      <c r="CO371" s="134"/>
      <c r="CP371" s="138"/>
      <c r="CQ371" s="134"/>
      <c r="CR371" s="134"/>
      <c r="CS371" s="134"/>
      <c r="CT371" s="288"/>
      <c r="CU371" s="289"/>
      <c r="CV371" s="276"/>
      <c r="CW371" s="308"/>
      <c r="CX371" s="138"/>
      <c r="CY371" s="134"/>
      <c r="CZ371" s="134"/>
      <c r="DA371" s="134"/>
      <c r="DB371" s="134"/>
      <c r="DC371" s="134"/>
      <c r="DD371" s="134"/>
      <c r="DE371" s="134"/>
      <c r="DF371" s="300"/>
      <c r="DG371" s="301"/>
      <c r="DH371" s="134"/>
      <c r="DI371" s="134"/>
      <c r="DJ371" s="134"/>
      <c r="DK371" s="134"/>
      <c r="DL371" s="134"/>
      <c r="DM371" s="134"/>
      <c r="DN371" s="134"/>
      <c r="DO371" s="134"/>
      <c r="DP371" s="300"/>
      <c r="DQ371" s="301"/>
      <c r="DR371" s="276"/>
      <c r="DS371" s="277"/>
      <c r="DT371" s="134"/>
      <c r="DU371" s="134"/>
      <c r="DV371" s="134"/>
      <c r="DW371" s="134"/>
      <c r="DX371" s="138"/>
      <c r="DY371" s="134"/>
      <c r="DZ371" s="134"/>
      <c r="EA371" s="134"/>
      <c r="EB371" s="301"/>
      <c r="EC371" s="301"/>
      <c r="ED371" s="138"/>
      <c r="EE371" s="134"/>
      <c r="EF371" s="134"/>
      <c r="EG371" s="134"/>
      <c r="EH371" s="138"/>
      <c r="EI371" s="134"/>
      <c r="EJ371" s="134"/>
      <c r="EK371" s="134"/>
      <c r="EL371" s="301"/>
      <c r="EM371" s="301"/>
      <c r="EN371" s="277"/>
      <c r="EO371" s="134"/>
      <c r="EP371" s="134"/>
      <c r="EQ371" s="134"/>
      <c r="ER371" s="134"/>
      <c r="ES371" s="134"/>
      <c r="ET371" s="134"/>
      <c r="EU371" s="134"/>
      <c r="EV371" s="134"/>
      <c r="EW371" s="301"/>
      <c r="EX371" s="301"/>
      <c r="EY371" s="134"/>
      <c r="EZ371" s="134"/>
      <c r="FA371" s="134"/>
      <c r="FB371" s="134"/>
      <c r="FC371" s="134"/>
      <c r="FD371" s="134"/>
      <c r="FE371" s="134"/>
      <c r="FF371" s="134"/>
      <c r="FG371" s="135"/>
      <c r="FH371" s="135"/>
      <c r="FI371" s="134"/>
      <c r="FJ371" s="134"/>
      <c r="FK371" s="134"/>
      <c r="FL371" s="134"/>
      <c r="FM371" s="134"/>
      <c r="FN371" s="134"/>
      <c r="FO371" s="134"/>
      <c r="FP371" s="134"/>
      <c r="FQ371" s="135"/>
      <c r="FR371" s="135"/>
      <c r="FS371" s="134"/>
      <c r="FT371" s="134"/>
      <c r="FU371" s="134"/>
      <c r="FV371" s="134"/>
      <c r="FW371" s="134"/>
      <c r="FX371" s="134"/>
      <c r="FY371" s="134"/>
      <c r="FZ371" s="134"/>
      <c r="GA371" s="135"/>
      <c r="GB371" s="135"/>
      <c r="GC371" s="134"/>
      <c r="GD371" s="134"/>
      <c r="GE371" s="134"/>
      <c r="GF371" s="134"/>
      <c r="GG371" s="134"/>
      <c r="GH371" s="134"/>
      <c r="GI371" s="134"/>
      <c r="GJ371" s="134"/>
      <c r="GK371" s="135"/>
      <c r="GL371" s="135"/>
      <c r="GM371" s="134"/>
      <c r="GN371" s="134"/>
      <c r="GO371" s="134"/>
      <c r="GP371" s="134"/>
      <c r="GQ371" s="134"/>
      <c r="GR371" s="134"/>
      <c r="GS371" s="134"/>
      <c r="GT371" s="134"/>
      <c r="GU371" s="135"/>
      <c r="GV371" s="135"/>
      <c r="GW371" s="134"/>
      <c r="GX371" s="134"/>
      <c r="GY371" s="134"/>
      <c r="GZ371" s="134"/>
      <c r="HA371" s="134"/>
      <c r="HB371" s="134"/>
      <c r="HC371" s="134"/>
      <c r="HD371" s="134"/>
      <c r="HE371" s="135"/>
      <c r="HF371" s="135"/>
      <c r="HG371" s="134"/>
      <c r="HH371" s="134"/>
      <c r="HI371" s="134"/>
      <c r="HJ371" s="134"/>
      <c r="HK371" s="134"/>
      <c r="HL371" s="134"/>
      <c r="HM371" s="134"/>
      <c r="HN371" s="134"/>
      <c r="HO371" s="135"/>
      <c r="HP371" s="135"/>
      <c r="HQ371" s="134"/>
      <c r="HR371" s="134"/>
      <c r="HS371" s="134"/>
      <c r="HT371" s="134"/>
      <c r="HU371" s="134"/>
      <c r="HV371" s="134"/>
      <c r="HW371" s="134"/>
      <c r="HX371" s="134"/>
      <c r="HY371" s="135"/>
      <c r="HZ371" s="135"/>
      <c r="IA371" s="134"/>
      <c r="IB371" s="134"/>
      <c r="IC371" s="134"/>
      <c r="ID371" s="134"/>
      <c r="IE371" s="134"/>
      <c r="IF371" s="134"/>
      <c r="IG371" s="134"/>
      <c r="IH371" s="134"/>
      <c r="II371" s="135"/>
      <c r="IJ371" s="135"/>
      <c r="IK371" s="134"/>
      <c r="IL371" s="134"/>
      <c r="IM371" s="134"/>
      <c r="IN371" s="134"/>
      <c r="IO371" s="134"/>
      <c r="IP371" s="134"/>
      <c r="IQ371" s="134"/>
      <c r="IR371" s="134"/>
      <c r="IS371" s="135"/>
      <c r="IT371" s="135"/>
      <c r="IU371" s="134"/>
      <c r="IV371" s="134"/>
      <c r="IW371" s="134"/>
      <c r="IX371" s="134"/>
      <c r="IY371" s="134"/>
      <c r="IZ371" s="134"/>
      <c r="JA371" s="134"/>
      <c r="JB371" s="134"/>
      <c r="JC371" s="135"/>
      <c r="JD371" s="135"/>
    </row>
    <row r="372" spans="1:264" ht="15" customHeight="1">
      <c r="A372" s="79" t="s">
        <v>333</v>
      </c>
      <c r="B372" s="362">
        <v>238</v>
      </c>
      <c r="C372" s="362">
        <v>87</v>
      </c>
      <c r="D372" s="362"/>
      <c r="E372" s="604" t="s">
        <v>333</v>
      </c>
      <c r="F372" s="124" t="s">
        <v>333</v>
      </c>
      <c r="G372" s="125">
        <v>2011</v>
      </c>
      <c r="H372" s="79">
        <v>21489700</v>
      </c>
      <c r="I372" s="79">
        <v>1</v>
      </c>
      <c r="J372" s="126"/>
      <c r="K372" s="127"/>
      <c r="L372" s="79">
        <v>1</v>
      </c>
      <c r="M372" s="79"/>
      <c r="N372" s="79">
        <v>1</v>
      </c>
      <c r="O372" s="128">
        <v>1</v>
      </c>
      <c r="P372" s="79" t="s">
        <v>867</v>
      </c>
      <c r="Q372" s="79" t="s">
        <v>1147</v>
      </c>
      <c r="R372" s="79" t="s">
        <v>25</v>
      </c>
      <c r="S372" s="79">
        <v>1</v>
      </c>
      <c r="T372" s="79"/>
      <c r="U372" s="79"/>
      <c r="V372" s="79"/>
      <c r="W372" s="79" t="s">
        <v>868</v>
      </c>
      <c r="X372" s="79" t="s">
        <v>436</v>
      </c>
      <c r="Y372" s="79" t="s">
        <v>866</v>
      </c>
      <c r="Z372" s="79"/>
      <c r="AA372" s="79"/>
      <c r="AB372" s="79"/>
      <c r="AC372" s="506"/>
      <c r="AD372" s="573">
        <v>1</v>
      </c>
      <c r="AE372" s="573">
        <v>2</v>
      </c>
      <c r="AF372" s="154">
        <v>1</v>
      </c>
      <c r="AG372" s="155" t="s">
        <v>5737</v>
      </c>
      <c r="AH372" s="121">
        <v>2</v>
      </c>
      <c r="AI372" s="484" t="s">
        <v>5740</v>
      </c>
      <c r="AJ372" s="202" t="s">
        <v>5723</v>
      </c>
      <c r="AK372" s="192">
        <v>0</v>
      </c>
      <c r="AL372" s="203" t="s">
        <v>5724</v>
      </c>
      <c r="AM372" s="121">
        <f>13+15+15</f>
        <v>43</v>
      </c>
      <c r="AN372" s="121">
        <v>13</v>
      </c>
      <c r="AO372" s="121" t="s">
        <v>5727</v>
      </c>
      <c r="AP372" s="121" t="s">
        <v>803</v>
      </c>
      <c r="AQ372" s="121" t="s">
        <v>803</v>
      </c>
      <c r="AR372" s="121">
        <v>38</v>
      </c>
      <c r="AS372" s="121">
        <v>6.4</v>
      </c>
      <c r="AT372" s="121" t="s">
        <v>5728</v>
      </c>
      <c r="AU372" s="121" t="s">
        <v>5729</v>
      </c>
      <c r="AV372" s="121" t="s">
        <v>5721</v>
      </c>
      <c r="AW372" s="121" t="s">
        <v>24</v>
      </c>
      <c r="AX372" s="121" t="s">
        <v>24</v>
      </c>
      <c r="AY372" s="121" t="s">
        <v>5720</v>
      </c>
      <c r="AZ372" s="121" t="s">
        <v>5719</v>
      </c>
      <c r="BA372" s="121" t="s">
        <v>5722</v>
      </c>
      <c r="BB372" s="594"/>
      <c r="BC372" s="594"/>
      <c r="BD372" s="156"/>
      <c r="BE372" s="156"/>
      <c r="BF372" s="156"/>
      <c r="BG372" s="156"/>
      <c r="BH372" s="156"/>
      <c r="BI372" s="156"/>
      <c r="BJ372" s="156">
        <v>1</v>
      </c>
      <c r="BK372" s="156"/>
      <c r="BL372" s="156"/>
      <c r="BM372" s="156"/>
      <c r="BN372" s="156"/>
      <c r="BO372" s="156"/>
      <c r="BP372" s="156"/>
      <c r="BQ372" s="595" t="s">
        <v>4208</v>
      </c>
      <c r="BR372" s="157" t="s">
        <v>6611</v>
      </c>
      <c r="BS372" s="660"/>
      <c r="BT372" s="134" t="s">
        <v>1876</v>
      </c>
      <c r="BU372" s="134" t="s">
        <v>5726</v>
      </c>
      <c r="BV372" s="134" t="s">
        <v>5725</v>
      </c>
      <c r="BW372" s="134" t="s">
        <v>24</v>
      </c>
      <c r="BX372" s="134" t="s">
        <v>5730</v>
      </c>
      <c r="BY372" s="134"/>
      <c r="BZ372" s="259" t="s">
        <v>5743</v>
      </c>
      <c r="CA372" s="454" t="s">
        <v>6633</v>
      </c>
      <c r="CB372" s="138" t="s">
        <v>5731</v>
      </c>
      <c r="CC372" s="134">
        <v>10.8</v>
      </c>
      <c r="CD372" s="168">
        <v>2</v>
      </c>
      <c r="CE372" s="134" t="s">
        <v>24</v>
      </c>
      <c r="CF372" s="138" t="s">
        <v>5733</v>
      </c>
      <c r="CG372" s="134">
        <v>11.9</v>
      </c>
      <c r="CH372" s="134">
        <v>1.7</v>
      </c>
      <c r="CI372" s="134" t="s">
        <v>24</v>
      </c>
      <c r="CJ372" s="288" t="s">
        <v>24</v>
      </c>
      <c r="CK372" s="289" t="s">
        <v>24</v>
      </c>
      <c r="CL372" s="138" t="s">
        <v>5735</v>
      </c>
      <c r="CM372" s="134">
        <v>12.1</v>
      </c>
      <c r="CN372" s="134">
        <v>1.1000000000000001</v>
      </c>
      <c r="CO372" s="134" t="s">
        <v>24</v>
      </c>
      <c r="CP372" s="427" t="s">
        <v>5732</v>
      </c>
      <c r="CQ372" s="134">
        <v>7.5</v>
      </c>
      <c r="CR372" s="134">
        <v>2.9</v>
      </c>
      <c r="CS372" s="134" t="s">
        <v>24</v>
      </c>
      <c r="CT372" s="288" t="s">
        <v>24</v>
      </c>
      <c r="CU372" s="289" t="s">
        <v>24</v>
      </c>
      <c r="CV372" s="276" t="s">
        <v>5738</v>
      </c>
      <c r="CW372" s="308" t="s">
        <v>5739</v>
      </c>
      <c r="CX372" s="427" t="s">
        <v>5734</v>
      </c>
      <c r="CY372" s="134">
        <v>9.5</v>
      </c>
      <c r="CZ372" s="168">
        <v>2.5</v>
      </c>
      <c r="DA372" s="424" t="s">
        <v>24</v>
      </c>
      <c r="DB372" s="427" t="s">
        <v>5736</v>
      </c>
      <c r="DC372" s="134">
        <v>10.199999999999999</v>
      </c>
      <c r="DD372" s="134">
        <v>2.7</v>
      </c>
      <c r="DE372" s="134" t="s">
        <v>24</v>
      </c>
      <c r="DF372" s="300" t="s">
        <v>5742</v>
      </c>
      <c r="DG372" s="301" t="s">
        <v>5741</v>
      </c>
      <c r="DH372" s="134" t="s">
        <v>24</v>
      </c>
      <c r="DI372" s="134" t="s">
        <v>24</v>
      </c>
      <c r="DJ372" s="134"/>
      <c r="DK372" s="134"/>
      <c r="DL372" s="134"/>
      <c r="DM372" s="134"/>
      <c r="DN372" s="134"/>
      <c r="DO372" s="134"/>
      <c r="DP372" s="300"/>
      <c r="DQ372" s="301"/>
      <c r="DR372" s="276"/>
      <c r="DS372" s="277"/>
      <c r="DT372" s="134"/>
      <c r="DU372" s="134"/>
      <c r="DV372" s="134"/>
      <c r="DW372" s="134"/>
      <c r="DX372" s="138"/>
      <c r="DY372" s="134"/>
      <c r="DZ372" s="134"/>
      <c r="EA372" s="134"/>
      <c r="EB372" s="301"/>
      <c r="EC372" s="301"/>
      <c r="ED372" s="138"/>
      <c r="EE372" s="134"/>
      <c r="EF372" s="134"/>
      <c r="EG372" s="134"/>
      <c r="EH372" s="138"/>
      <c r="EI372" s="134"/>
      <c r="EJ372" s="134"/>
      <c r="EK372" s="134"/>
      <c r="EL372" s="301"/>
      <c r="EM372" s="301"/>
      <c r="EN372" s="277"/>
      <c r="EO372" s="134"/>
      <c r="EP372" s="134"/>
      <c r="EQ372" s="134"/>
      <c r="ER372" s="134"/>
      <c r="ES372" s="134"/>
      <c r="ET372" s="134"/>
      <c r="EU372" s="134"/>
      <c r="EV372" s="134"/>
      <c r="EW372" s="301"/>
      <c r="EX372" s="301"/>
      <c r="EY372" s="134"/>
      <c r="EZ372" s="134"/>
      <c r="FA372" s="134"/>
      <c r="FB372" s="134"/>
      <c r="FC372" s="134"/>
      <c r="FD372" s="134"/>
      <c r="FE372" s="134"/>
      <c r="FF372" s="134"/>
      <c r="FG372" s="135"/>
      <c r="FH372" s="135"/>
      <c r="FI372" s="134"/>
      <c r="FJ372" s="134"/>
      <c r="FK372" s="134"/>
      <c r="FL372" s="134"/>
      <c r="FM372" s="134"/>
      <c r="FN372" s="134"/>
      <c r="FO372" s="134"/>
      <c r="FP372" s="134"/>
      <c r="FQ372" s="135"/>
      <c r="FR372" s="135"/>
      <c r="FS372" s="134"/>
      <c r="FT372" s="134"/>
      <c r="FU372" s="134"/>
      <c r="FV372" s="134"/>
      <c r="FW372" s="134"/>
      <c r="FX372" s="134"/>
      <c r="FY372" s="134"/>
      <c r="FZ372" s="134"/>
      <c r="GA372" s="135"/>
      <c r="GB372" s="135"/>
      <c r="GC372" s="134"/>
      <c r="GD372" s="134"/>
      <c r="GE372" s="134"/>
      <c r="GF372" s="134"/>
      <c r="GG372" s="134"/>
      <c r="GH372" s="134"/>
      <c r="GI372" s="134"/>
      <c r="GJ372" s="134"/>
      <c r="GK372" s="135"/>
      <c r="GL372" s="135"/>
      <c r="GM372" s="134"/>
      <c r="GN372" s="134"/>
      <c r="GO372" s="134"/>
      <c r="GP372" s="134"/>
      <c r="GQ372" s="134"/>
      <c r="GR372" s="134"/>
      <c r="GS372" s="134"/>
      <c r="GT372" s="134"/>
      <c r="GU372" s="135"/>
      <c r="GV372" s="135"/>
      <c r="GW372" s="134"/>
      <c r="GX372" s="134"/>
      <c r="GY372" s="134"/>
      <c r="GZ372" s="134"/>
      <c r="HA372" s="134"/>
      <c r="HB372" s="134"/>
      <c r="HC372" s="134"/>
      <c r="HD372" s="134"/>
      <c r="HE372" s="135"/>
      <c r="HF372" s="135"/>
      <c r="HG372" s="134"/>
      <c r="HH372" s="134"/>
      <c r="HI372" s="134"/>
      <c r="HJ372" s="134"/>
      <c r="HK372" s="134"/>
      <c r="HL372" s="134"/>
      <c r="HM372" s="134"/>
      <c r="HN372" s="134"/>
      <c r="HO372" s="135"/>
      <c r="HP372" s="135"/>
      <c r="HQ372" s="134"/>
      <c r="HR372" s="134"/>
      <c r="HS372" s="134"/>
      <c r="HT372" s="134"/>
      <c r="HU372" s="134"/>
      <c r="HV372" s="134"/>
      <c r="HW372" s="134"/>
      <c r="HX372" s="134"/>
      <c r="HY372" s="135"/>
      <c r="HZ372" s="135"/>
      <c r="IA372" s="134"/>
      <c r="IB372" s="134"/>
      <c r="IC372" s="134"/>
      <c r="ID372" s="134"/>
      <c r="IE372" s="134"/>
      <c r="IF372" s="134"/>
      <c r="IG372" s="134"/>
      <c r="IH372" s="134"/>
      <c r="II372" s="135"/>
      <c r="IJ372" s="135"/>
      <c r="IK372" s="134"/>
      <c r="IL372" s="134"/>
      <c r="IM372" s="134"/>
      <c r="IN372" s="134"/>
      <c r="IO372" s="134"/>
      <c r="IP372" s="134"/>
      <c r="IQ372" s="134"/>
      <c r="IR372" s="134"/>
      <c r="IS372" s="135"/>
      <c r="IT372" s="135"/>
      <c r="IU372" s="134"/>
      <c r="IV372" s="134"/>
      <c r="IW372" s="134"/>
      <c r="IX372" s="134"/>
      <c r="IY372" s="134"/>
      <c r="IZ372" s="134"/>
      <c r="JA372" s="134"/>
      <c r="JB372" s="134"/>
      <c r="JC372" s="135"/>
      <c r="JD372" s="135"/>
    </row>
    <row r="373" spans="1:264" ht="15" customHeight="1">
      <c r="A373" s="118" t="s">
        <v>962</v>
      </c>
      <c r="B373" s="616">
        <v>49</v>
      </c>
      <c r="C373" s="616"/>
      <c r="D373" s="616"/>
      <c r="E373" s="605" t="s">
        <v>2123</v>
      </c>
      <c r="F373" s="140" t="s">
        <v>2384</v>
      </c>
      <c r="G373" s="141">
        <v>2015</v>
      </c>
      <c r="H373" s="118">
        <v>26019008</v>
      </c>
      <c r="I373" s="118">
        <v>1</v>
      </c>
      <c r="J373" s="118"/>
      <c r="K373" s="118"/>
      <c r="L373" s="118">
        <v>1</v>
      </c>
      <c r="M373" s="118"/>
      <c r="N373" s="387">
        <v>1</v>
      </c>
      <c r="O373" s="142">
        <v>2</v>
      </c>
      <c r="P373" s="118" t="s">
        <v>1604</v>
      </c>
      <c r="Q373" s="118" t="s">
        <v>1216</v>
      </c>
      <c r="R373" s="118" t="s">
        <v>1603</v>
      </c>
      <c r="S373" s="118"/>
      <c r="T373" s="118" t="s">
        <v>1487</v>
      </c>
      <c r="U373" s="118" t="s">
        <v>803</v>
      </c>
      <c r="V373" s="118"/>
      <c r="W373" s="118" t="s">
        <v>1605</v>
      </c>
      <c r="X373" s="118"/>
      <c r="Y373" s="118"/>
      <c r="Z373" s="118"/>
      <c r="AA373" s="118"/>
      <c r="AB373" s="118"/>
      <c r="AC373" s="145"/>
      <c r="AD373" s="573">
        <v>1</v>
      </c>
      <c r="AE373" s="573">
        <v>2</v>
      </c>
      <c r="AF373" s="159">
        <v>1</v>
      </c>
      <c r="AG373" s="155" t="s">
        <v>3657</v>
      </c>
      <c r="AH373" s="122">
        <v>4</v>
      </c>
      <c r="AI373" s="485"/>
      <c r="AJ373" s="204" t="s">
        <v>3635</v>
      </c>
      <c r="AK373" s="192">
        <v>1</v>
      </c>
      <c r="AL373" s="205" t="s">
        <v>3632</v>
      </c>
      <c r="AM373" s="122">
        <v>28</v>
      </c>
      <c r="AN373" s="122" t="s">
        <v>3634</v>
      </c>
      <c r="AO373" s="122">
        <v>11</v>
      </c>
      <c r="AP373" s="122" t="s">
        <v>803</v>
      </c>
      <c r="AQ373" s="122" t="s">
        <v>803</v>
      </c>
      <c r="AR373" s="122" t="s">
        <v>3633</v>
      </c>
      <c r="AS373" s="122" t="s">
        <v>24</v>
      </c>
      <c r="AT373" s="122" t="s">
        <v>3633</v>
      </c>
      <c r="AU373" s="122" t="s">
        <v>24</v>
      </c>
      <c r="AV373" s="122" t="s">
        <v>2963</v>
      </c>
      <c r="AW373" s="122">
        <v>1</v>
      </c>
      <c r="AX373" s="122">
        <v>1</v>
      </c>
      <c r="AY373" s="122" t="s">
        <v>3004</v>
      </c>
      <c r="AZ373" s="122" t="s">
        <v>2730</v>
      </c>
      <c r="BA373" s="122" t="s">
        <v>2798</v>
      </c>
      <c r="BB373" s="588"/>
      <c r="BC373" s="588"/>
      <c r="BD373" s="161">
        <v>1</v>
      </c>
      <c r="BE373" s="161"/>
      <c r="BF373" s="161"/>
      <c r="BG373" s="161"/>
      <c r="BH373" s="161"/>
      <c r="BI373" s="161"/>
      <c r="BJ373" s="161"/>
      <c r="BK373" s="161"/>
      <c r="BL373" s="161"/>
      <c r="BM373" s="161"/>
      <c r="BN373" s="161"/>
      <c r="BO373" s="161"/>
      <c r="BP373" s="161"/>
      <c r="BQ373" s="596" t="s">
        <v>2529</v>
      </c>
      <c r="BR373" s="157" t="s">
        <v>6597</v>
      </c>
      <c r="BS373" s="660"/>
      <c r="BT373" s="150" t="s">
        <v>1876</v>
      </c>
      <c r="BU373" s="150">
        <v>2</v>
      </c>
      <c r="BV373" s="150" t="s">
        <v>3637</v>
      </c>
      <c r="BW373" s="150" t="s">
        <v>3656</v>
      </c>
      <c r="BX373" s="145" t="s">
        <v>3640</v>
      </c>
      <c r="BY373" s="134" t="s">
        <v>6640</v>
      </c>
      <c r="BZ373" s="258" t="s">
        <v>3655</v>
      </c>
      <c r="CA373" s="257">
        <v>0</v>
      </c>
      <c r="CB373" s="151" t="s">
        <v>3642</v>
      </c>
      <c r="CC373" s="150">
        <v>37.700000000000003</v>
      </c>
      <c r="CD373" s="150">
        <v>4.03</v>
      </c>
      <c r="CE373" s="150" t="s">
        <v>24</v>
      </c>
      <c r="CF373" s="151" t="s">
        <v>3645</v>
      </c>
      <c r="CG373" s="150">
        <v>25.4</v>
      </c>
      <c r="CH373" s="150">
        <v>4.9800000000000004</v>
      </c>
      <c r="CI373" s="150" t="s">
        <v>24</v>
      </c>
      <c r="CJ373" s="290" t="s">
        <v>3649</v>
      </c>
      <c r="CK373" s="291" t="s">
        <v>3650</v>
      </c>
      <c r="CL373" s="151"/>
      <c r="CM373" s="150"/>
      <c r="CN373" s="150"/>
      <c r="CO373" s="150"/>
      <c r="CP373" s="151"/>
      <c r="CQ373" s="150"/>
      <c r="CR373" s="150"/>
      <c r="CS373" s="150"/>
      <c r="CT373" s="290"/>
      <c r="CU373" s="291"/>
      <c r="CV373" s="278"/>
      <c r="CW373" s="285"/>
      <c r="CX373" s="151"/>
      <c r="CY373" s="150"/>
      <c r="CZ373" s="150"/>
      <c r="DA373" s="150"/>
      <c r="DB373" s="150"/>
      <c r="DC373" s="150"/>
      <c r="DD373" s="150"/>
      <c r="DE373" s="150"/>
      <c r="DF373" s="302"/>
      <c r="DG373" s="303"/>
      <c r="DH373" s="150"/>
      <c r="DI373" s="150"/>
      <c r="DJ373" s="150"/>
      <c r="DK373" s="150"/>
      <c r="DL373" s="150"/>
      <c r="DM373" s="150"/>
      <c r="DN373" s="150"/>
      <c r="DO373" s="150"/>
      <c r="DP373" s="302"/>
      <c r="DQ373" s="303"/>
      <c r="DR373" s="278"/>
      <c r="DS373" s="279"/>
      <c r="DT373" s="150"/>
      <c r="DU373" s="150"/>
      <c r="DV373" s="150"/>
      <c r="DW373" s="150"/>
      <c r="DX373" s="151"/>
      <c r="DY373" s="150"/>
      <c r="DZ373" s="150"/>
      <c r="EA373" s="150"/>
      <c r="EB373" s="303"/>
      <c r="EC373" s="303"/>
      <c r="ED373" s="151"/>
      <c r="EE373" s="150"/>
      <c r="EF373" s="150"/>
      <c r="EG373" s="150"/>
      <c r="EH373" s="151"/>
      <c r="EI373" s="150"/>
      <c r="EJ373" s="150"/>
      <c r="EK373" s="150"/>
      <c r="EL373" s="303"/>
      <c r="EM373" s="303"/>
      <c r="EN373" s="279"/>
      <c r="EO373" s="150"/>
      <c r="EP373" s="150"/>
      <c r="EQ373" s="150"/>
      <c r="ER373" s="150"/>
      <c r="ES373" s="150"/>
      <c r="ET373" s="150"/>
      <c r="EU373" s="150"/>
      <c r="EV373" s="150"/>
      <c r="EW373" s="303"/>
      <c r="EX373" s="303"/>
      <c r="EY373" s="150"/>
      <c r="EZ373" s="150"/>
      <c r="FA373" s="150"/>
      <c r="FB373" s="150"/>
      <c r="FC373" s="134"/>
      <c r="FD373" s="134"/>
      <c r="FE373" s="134"/>
      <c r="FF373" s="134"/>
      <c r="FG373" s="135"/>
      <c r="FH373" s="135"/>
      <c r="FI373" s="134"/>
      <c r="FJ373" s="134"/>
      <c r="FK373" s="134"/>
      <c r="FL373" s="134"/>
      <c r="FM373" s="134"/>
      <c r="FN373" s="134"/>
      <c r="FO373" s="134"/>
      <c r="FP373" s="134"/>
      <c r="FQ373" s="135"/>
      <c r="FR373" s="135"/>
      <c r="FS373" s="134"/>
      <c r="FT373" s="134"/>
      <c r="FU373" s="134"/>
      <c r="FV373" s="134"/>
      <c r="FW373" s="134"/>
      <c r="FX373" s="134"/>
      <c r="FY373" s="134"/>
      <c r="FZ373" s="134"/>
      <c r="GA373" s="135"/>
      <c r="GB373" s="135"/>
      <c r="GC373" s="134"/>
      <c r="GD373" s="134"/>
      <c r="GE373" s="134"/>
      <c r="GF373" s="134"/>
      <c r="GG373" s="134"/>
      <c r="GH373" s="134"/>
      <c r="GI373" s="134"/>
      <c r="GJ373" s="134"/>
      <c r="GK373" s="135"/>
      <c r="GL373" s="135"/>
      <c r="GM373" s="134"/>
      <c r="GN373" s="134"/>
      <c r="GO373" s="134"/>
      <c r="GP373" s="134"/>
      <c r="GQ373" s="134"/>
      <c r="GR373" s="134"/>
      <c r="GS373" s="134"/>
      <c r="GT373" s="134"/>
      <c r="GU373" s="135"/>
      <c r="GV373" s="135"/>
      <c r="GW373" s="134"/>
      <c r="GX373" s="134"/>
      <c r="GY373" s="134"/>
      <c r="GZ373" s="134"/>
      <c r="HA373" s="134"/>
      <c r="HB373" s="134"/>
      <c r="HC373" s="134"/>
      <c r="HD373" s="134"/>
      <c r="HE373" s="135"/>
      <c r="HF373" s="135"/>
      <c r="HG373" s="134"/>
      <c r="HH373" s="134"/>
      <c r="HI373" s="134"/>
      <c r="HJ373" s="134"/>
      <c r="HK373" s="134"/>
      <c r="HL373" s="134"/>
      <c r="HM373" s="134"/>
      <c r="HN373" s="134"/>
      <c r="HO373" s="135"/>
      <c r="HP373" s="135"/>
      <c r="HQ373" s="134"/>
      <c r="HR373" s="134"/>
      <c r="HS373" s="134"/>
      <c r="HT373" s="134"/>
      <c r="HU373" s="134"/>
      <c r="HV373" s="134"/>
      <c r="HW373" s="134"/>
      <c r="HX373" s="134"/>
      <c r="HY373" s="135"/>
      <c r="HZ373" s="135"/>
      <c r="IA373" s="134"/>
      <c r="IB373" s="134"/>
      <c r="IC373" s="134"/>
      <c r="ID373" s="134"/>
      <c r="IE373" s="134"/>
      <c r="IF373" s="134"/>
      <c r="IG373" s="134"/>
      <c r="IH373" s="134"/>
      <c r="II373" s="135"/>
      <c r="IJ373" s="135"/>
      <c r="IK373" s="134"/>
      <c r="IL373" s="134"/>
      <c r="IM373" s="134"/>
      <c r="IN373" s="134"/>
      <c r="IO373" s="134"/>
      <c r="IP373" s="134"/>
      <c r="IQ373" s="134"/>
      <c r="IR373" s="134"/>
      <c r="IS373" s="135"/>
      <c r="IT373" s="135"/>
      <c r="IU373" s="134"/>
      <c r="IV373" s="134"/>
      <c r="IW373" s="134"/>
      <c r="IX373" s="134"/>
      <c r="IY373" s="134"/>
      <c r="IZ373" s="134"/>
      <c r="JA373" s="134"/>
      <c r="JB373" s="134"/>
      <c r="JC373" s="135"/>
      <c r="JD373" s="135"/>
    </row>
    <row r="374" spans="1:264" ht="15" customHeight="1">
      <c r="A374" s="118" t="s">
        <v>962</v>
      </c>
      <c r="B374" s="616">
        <v>49</v>
      </c>
      <c r="C374" s="616"/>
      <c r="D374" s="616"/>
      <c r="E374" s="605" t="s">
        <v>2123</v>
      </c>
      <c r="F374" s="140" t="s">
        <v>2384</v>
      </c>
      <c r="G374" s="141">
        <v>2015</v>
      </c>
      <c r="H374" s="118">
        <v>26019008</v>
      </c>
      <c r="I374" s="118">
        <v>1</v>
      </c>
      <c r="J374" s="118"/>
      <c r="K374" s="118"/>
      <c r="L374" s="118">
        <v>1</v>
      </c>
      <c r="M374" s="118"/>
      <c r="N374" s="387">
        <v>1</v>
      </c>
      <c r="O374" s="142">
        <v>2</v>
      </c>
      <c r="P374" s="118" t="s">
        <v>1604</v>
      </c>
      <c r="Q374" s="118" t="s">
        <v>1216</v>
      </c>
      <c r="R374" s="118" t="s">
        <v>1603</v>
      </c>
      <c r="S374" s="118"/>
      <c r="T374" s="118" t="s">
        <v>1487</v>
      </c>
      <c r="U374" s="118" t="s">
        <v>803</v>
      </c>
      <c r="V374" s="118"/>
      <c r="W374" s="118" t="s">
        <v>1605</v>
      </c>
      <c r="X374" s="118"/>
      <c r="Y374" s="118"/>
      <c r="Z374" s="118"/>
      <c r="AA374" s="118"/>
      <c r="AB374" s="118"/>
      <c r="AC374" s="145"/>
      <c r="AD374" s="573">
        <v>1</v>
      </c>
      <c r="AE374" s="573">
        <v>2</v>
      </c>
      <c r="AF374" s="159">
        <v>1</v>
      </c>
      <c r="AG374" s="155" t="s">
        <v>3657</v>
      </c>
      <c r="AH374" s="122">
        <v>4</v>
      </c>
      <c r="AI374" s="485"/>
      <c r="AJ374" s="204" t="s">
        <v>3635</v>
      </c>
      <c r="AK374" s="192">
        <v>1</v>
      </c>
      <c r="AL374" s="205" t="s">
        <v>3632</v>
      </c>
      <c r="AM374" s="122">
        <v>28</v>
      </c>
      <c r="AN374" s="122" t="s">
        <v>3634</v>
      </c>
      <c r="AO374" s="122">
        <v>11</v>
      </c>
      <c r="AP374" s="122" t="s">
        <v>803</v>
      </c>
      <c r="AQ374" s="122" t="s">
        <v>803</v>
      </c>
      <c r="AR374" s="122" t="s">
        <v>3633</v>
      </c>
      <c r="AS374" s="122" t="s">
        <v>24</v>
      </c>
      <c r="AT374" s="122" t="s">
        <v>3633</v>
      </c>
      <c r="AU374" s="122" t="s">
        <v>24</v>
      </c>
      <c r="AV374" s="122" t="s">
        <v>2963</v>
      </c>
      <c r="AW374" s="122">
        <v>1</v>
      </c>
      <c r="AX374" s="122">
        <v>1</v>
      </c>
      <c r="AY374" s="122" t="s">
        <v>3004</v>
      </c>
      <c r="AZ374" s="122" t="s">
        <v>2730</v>
      </c>
      <c r="BA374" s="122" t="s">
        <v>2798</v>
      </c>
      <c r="BB374" s="588"/>
      <c r="BC374" s="588"/>
      <c r="BD374" s="161">
        <v>1</v>
      </c>
      <c r="BE374" s="161"/>
      <c r="BF374" s="161"/>
      <c r="BG374" s="161"/>
      <c r="BH374" s="161"/>
      <c r="BI374" s="161"/>
      <c r="BJ374" s="161"/>
      <c r="BK374" s="161"/>
      <c r="BL374" s="161"/>
      <c r="BM374" s="161"/>
      <c r="BN374" s="161"/>
      <c r="BO374" s="161"/>
      <c r="BP374" s="161"/>
      <c r="BQ374" s="596" t="s">
        <v>3636</v>
      </c>
      <c r="BR374" s="157" t="s">
        <v>6597</v>
      </c>
      <c r="BS374" s="660"/>
      <c r="BT374" s="150" t="s">
        <v>1876</v>
      </c>
      <c r="BU374" s="150">
        <v>2</v>
      </c>
      <c r="BV374" s="150" t="s">
        <v>3639</v>
      </c>
      <c r="BW374" s="150" t="s">
        <v>3656</v>
      </c>
      <c r="BX374" s="145" t="s">
        <v>3640</v>
      </c>
      <c r="BY374" s="134" t="s">
        <v>6640</v>
      </c>
      <c r="BZ374" s="258" t="s">
        <v>3653</v>
      </c>
      <c r="CA374" s="257" t="s">
        <v>24</v>
      </c>
      <c r="CB374" s="151" t="s">
        <v>3643</v>
      </c>
      <c r="CC374" s="150">
        <v>18.100000000000001</v>
      </c>
      <c r="CD374" s="150">
        <v>4.5999999999999996</v>
      </c>
      <c r="CE374" s="150" t="s">
        <v>24</v>
      </c>
      <c r="CF374" s="151" t="s">
        <v>3646</v>
      </c>
      <c r="CG374" s="150">
        <v>6</v>
      </c>
      <c r="CH374" s="228">
        <v>2</v>
      </c>
      <c r="CI374" s="150" t="s">
        <v>24</v>
      </c>
      <c r="CJ374" s="290" t="s">
        <v>3651</v>
      </c>
      <c r="CK374" s="291" t="s">
        <v>3652</v>
      </c>
      <c r="CL374" s="151"/>
      <c r="CM374" s="150"/>
      <c r="CN374" s="150"/>
      <c r="CO374" s="150"/>
      <c r="CP374" s="151"/>
      <c r="CQ374" s="150"/>
      <c r="CR374" s="150"/>
      <c r="CS374" s="150"/>
      <c r="CT374" s="290"/>
      <c r="CU374" s="291"/>
      <c r="CV374" s="278"/>
      <c r="CW374" s="285"/>
      <c r="CX374" s="151"/>
      <c r="CY374" s="150"/>
      <c r="CZ374" s="150"/>
      <c r="DA374" s="150"/>
      <c r="DB374" s="150"/>
      <c r="DC374" s="150"/>
      <c r="DD374" s="150"/>
      <c r="DE374" s="150"/>
      <c r="DF374" s="302"/>
      <c r="DG374" s="303"/>
      <c r="DH374" s="150"/>
      <c r="DI374" s="150"/>
      <c r="DJ374" s="150"/>
      <c r="DK374" s="150"/>
      <c r="DL374" s="150"/>
      <c r="DM374" s="150"/>
      <c r="DN374" s="150"/>
      <c r="DO374" s="150"/>
      <c r="DP374" s="302"/>
      <c r="DQ374" s="303"/>
      <c r="DR374" s="278"/>
      <c r="DS374" s="279"/>
      <c r="DT374" s="150"/>
      <c r="DU374" s="150"/>
      <c r="DV374" s="150"/>
      <c r="DW374" s="150"/>
      <c r="DX374" s="151"/>
      <c r="DY374" s="150"/>
      <c r="DZ374" s="150"/>
      <c r="EA374" s="150"/>
      <c r="EB374" s="303"/>
      <c r="EC374" s="303"/>
      <c r="ED374" s="151"/>
      <c r="EE374" s="150"/>
      <c r="EF374" s="150"/>
      <c r="EG374" s="150"/>
      <c r="EH374" s="151"/>
      <c r="EI374" s="150"/>
      <c r="EJ374" s="150"/>
      <c r="EK374" s="150"/>
      <c r="EL374" s="303"/>
      <c r="EM374" s="303"/>
      <c r="EN374" s="279"/>
      <c r="EO374" s="150"/>
      <c r="EP374" s="150"/>
      <c r="EQ374" s="150"/>
      <c r="ER374" s="150"/>
      <c r="ES374" s="150"/>
      <c r="ET374" s="150"/>
      <c r="EU374" s="150"/>
      <c r="EV374" s="150"/>
      <c r="EW374" s="303"/>
      <c r="EX374" s="303"/>
      <c r="EY374" s="150"/>
      <c r="EZ374" s="150"/>
      <c r="FA374" s="150"/>
      <c r="FB374" s="150"/>
      <c r="FC374" s="134"/>
      <c r="FD374" s="134"/>
      <c r="FE374" s="134"/>
      <c r="FF374" s="134"/>
      <c r="FG374" s="135"/>
      <c r="FH374" s="135"/>
      <c r="FI374" s="134"/>
      <c r="FJ374" s="134"/>
      <c r="FK374" s="134"/>
      <c r="FL374" s="134"/>
      <c r="FM374" s="134"/>
      <c r="FN374" s="134"/>
      <c r="FO374" s="134"/>
      <c r="FP374" s="134"/>
      <c r="FQ374" s="135"/>
      <c r="FR374" s="135"/>
      <c r="FS374" s="134"/>
      <c r="FT374" s="134"/>
      <c r="FU374" s="134"/>
      <c r="FV374" s="134"/>
      <c r="FW374" s="134"/>
      <c r="FX374" s="134"/>
      <c r="FY374" s="134"/>
      <c r="FZ374" s="134"/>
      <c r="GA374" s="135"/>
      <c r="GB374" s="135"/>
      <c r="GC374" s="134"/>
      <c r="GD374" s="134"/>
      <c r="GE374" s="134"/>
      <c r="GF374" s="134"/>
      <c r="GG374" s="134"/>
      <c r="GH374" s="134"/>
      <c r="GI374" s="134"/>
      <c r="GJ374" s="134"/>
      <c r="GK374" s="135"/>
      <c r="GL374" s="135"/>
      <c r="GM374" s="134"/>
      <c r="GN374" s="134"/>
      <c r="GO374" s="134"/>
      <c r="GP374" s="134"/>
      <c r="GQ374" s="134"/>
      <c r="GR374" s="134"/>
      <c r="GS374" s="134"/>
      <c r="GT374" s="134"/>
      <c r="GU374" s="135"/>
      <c r="GV374" s="135"/>
      <c r="GW374" s="134"/>
      <c r="GX374" s="134"/>
      <c r="GY374" s="134"/>
      <c r="GZ374" s="134"/>
      <c r="HA374" s="134"/>
      <c r="HB374" s="134"/>
      <c r="HC374" s="134"/>
      <c r="HD374" s="134"/>
      <c r="HE374" s="135"/>
      <c r="HF374" s="135"/>
      <c r="HG374" s="134"/>
      <c r="HH374" s="134"/>
      <c r="HI374" s="134"/>
      <c r="HJ374" s="134"/>
      <c r="HK374" s="134"/>
      <c r="HL374" s="134"/>
      <c r="HM374" s="134"/>
      <c r="HN374" s="134"/>
      <c r="HO374" s="135"/>
      <c r="HP374" s="135"/>
      <c r="HQ374" s="134"/>
      <c r="HR374" s="134"/>
      <c r="HS374" s="134"/>
      <c r="HT374" s="134"/>
      <c r="HU374" s="134"/>
      <c r="HV374" s="134"/>
      <c r="HW374" s="134"/>
      <c r="HX374" s="134"/>
      <c r="HY374" s="135"/>
      <c r="HZ374" s="135"/>
      <c r="IA374" s="134"/>
      <c r="IB374" s="134"/>
      <c r="IC374" s="134"/>
      <c r="ID374" s="134"/>
      <c r="IE374" s="134"/>
      <c r="IF374" s="134"/>
      <c r="IG374" s="134"/>
      <c r="IH374" s="134"/>
      <c r="II374" s="135"/>
      <c r="IJ374" s="135"/>
      <c r="IK374" s="134"/>
      <c r="IL374" s="134"/>
      <c r="IM374" s="134"/>
      <c r="IN374" s="134"/>
      <c r="IO374" s="134"/>
      <c r="IP374" s="134"/>
      <c r="IQ374" s="134"/>
      <c r="IR374" s="134"/>
      <c r="IS374" s="135"/>
      <c r="IT374" s="135"/>
      <c r="IU374" s="134"/>
      <c r="IV374" s="134"/>
      <c r="IW374" s="134"/>
      <c r="IX374" s="134"/>
      <c r="IY374" s="134"/>
      <c r="IZ374" s="134"/>
      <c r="JA374" s="134"/>
      <c r="JB374" s="134"/>
      <c r="JC374" s="135"/>
      <c r="JD374" s="135"/>
    </row>
    <row r="375" spans="1:264" ht="15" customHeight="1">
      <c r="A375" s="79" t="s">
        <v>962</v>
      </c>
      <c r="B375" s="362">
        <v>49</v>
      </c>
      <c r="C375" s="362"/>
      <c r="D375" s="362"/>
      <c r="E375" s="604" t="s">
        <v>2123</v>
      </c>
      <c r="F375" s="124" t="s">
        <v>2384</v>
      </c>
      <c r="G375" s="125">
        <v>2015</v>
      </c>
      <c r="H375" s="79">
        <v>26019008</v>
      </c>
      <c r="I375" s="79">
        <v>1</v>
      </c>
      <c r="J375" s="126"/>
      <c r="K375" s="127"/>
      <c r="L375" s="79">
        <v>1</v>
      </c>
      <c r="M375" s="79"/>
      <c r="N375" s="164">
        <v>1</v>
      </c>
      <c r="O375" s="128">
        <v>2</v>
      </c>
      <c r="P375" s="79" t="s">
        <v>1604</v>
      </c>
      <c r="Q375" s="79" t="s">
        <v>1216</v>
      </c>
      <c r="R375" s="79" t="s">
        <v>1603</v>
      </c>
      <c r="S375" s="79"/>
      <c r="T375" s="79" t="s">
        <v>1487</v>
      </c>
      <c r="U375" s="79" t="s">
        <v>803</v>
      </c>
      <c r="V375" s="79"/>
      <c r="W375" s="79" t="s">
        <v>1605</v>
      </c>
      <c r="X375" s="79"/>
      <c r="Y375" s="79"/>
      <c r="Z375" s="79"/>
      <c r="AA375" s="79"/>
      <c r="AB375" s="79"/>
      <c r="AC375" s="506"/>
      <c r="AD375" s="573">
        <v>1</v>
      </c>
      <c r="AE375" s="573">
        <v>2</v>
      </c>
      <c r="AF375" s="154">
        <v>1</v>
      </c>
      <c r="AG375" s="155" t="s">
        <v>3657</v>
      </c>
      <c r="AH375" s="121">
        <v>4</v>
      </c>
      <c r="AI375" s="484"/>
      <c r="AJ375" s="202" t="s">
        <v>3635</v>
      </c>
      <c r="AK375" s="192">
        <v>1</v>
      </c>
      <c r="AL375" s="203" t="s">
        <v>3632</v>
      </c>
      <c r="AM375" s="121">
        <v>28</v>
      </c>
      <c r="AN375" s="121" t="s">
        <v>3634</v>
      </c>
      <c r="AO375" s="121">
        <v>11</v>
      </c>
      <c r="AP375" s="121" t="s">
        <v>803</v>
      </c>
      <c r="AQ375" s="121" t="s">
        <v>803</v>
      </c>
      <c r="AR375" s="121" t="s">
        <v>3633</v>
      </c>
      <c r="AS375" s="121" t="s">
        <v>24</v>
      </c>
      <c r="AT375" s="121" t="s">
        <v>3633</v>
      </c>
      <c r="AU375" s="121" t="s">
        <v>24</v>
      </c>
      <c r="AV375" s="121" t="s">
        <v>2963</v>
      </c>
      <c r="AW375" s="121">
        <v>1</v>
      </c>
      <c r="AX375" s="121">
        <v>1</v>
      </c>
      <c r="AY375" s="121" t="s">
        <v>3004</v>
      </c>
      <c r="AZ375" s="121" t="s">
        <v>2730</v>
      </c>
      <c r="BA375" s="121" t="s">
        <v>2798</v>
      </c>
      <c r="BB375" s="594"/>
      <c r="BC375" s="594"/>
      <c r="BD375" s="156">
        <v>1</v>
      </c>
      <c r="BE375" s="156"/>
      <c r="BF375" s="156"/>
      <c r="BG375" s="156"/>
      <c r="BH375" s="156"/>
      <c r="BI375" s="156"/>
      <c r="BJ375" s="156"/>
      <c r="BK375" s="156"/>
      <c r="BL375" s="156"/>
      <c r="BM375" s="156"/>
      <c r="BN375" s="156"/>
      <c r="BO375" s="156"/>
      <c r="BP375" s="156"/>
      <c r="BQ375" s="595" t="s">
        <v>2528</v>
      </c>
      <c r="BR375" s="157" t="s">
        <v>6596</v>
      </c>
      <c r="BS375" s="660"/>
      <c r="BT375" s="134" t="s">
        <v>1876</v>
      </c>
      <c r="BU375" s="134">
        <v>2</v>
      </c>
      <c r="BV375" s="134" t="s">
        <v>3638</v>
      </c>
      <c r="BW375" s="134" t="s">
        <v>3656</v>
      </c>
      <c r="BX375" s="134" t="s">
        <v>3640</v>
      </c>
      <c r="BY375" s="134" t="s">
        <v>6640</v>
      </c>
      <c r="BZ375" s="259" t="s">
        <v>3654</v>
      </c>
      <c r="CA375" s="454">
        <v>0</v>
      </c>
      <c r="CB375" s="138" t="s">
        <v>3641</v>
      </c>
      <c r="CC375" s="134">
        <v>41.8</v>
      </c>
      <c r="CD375" s="134">
        <v>3.98</v>
      </c>
      <c r="CE375" s="134" t="s">
        <v>24</v>
      </c>
      <c r="CF375" s="138" t="s">
        <v>3644</v>
      </c>
      <c r="CG375" s="134">
        <v>43.7</v>
      </c>
      <c r="CH375" s="134">
        <v>5.08</v>
      </c>
      <c r="CI375" s="134" t="s">
        <v>24</v>
      </c>
      <c r="CJ375" s="288" t="s">
        <v>3647</v>
      </c>
      <c r="CK375" s="289" t="s">
        <v>3648</v>
      </c>
      <c r="CL375" s="138"/>
      <c r="CM375" s="134"/>
      <c r="CN375" s="134"/>
      <c r="CO375" s="134"/>
      <c r="CP375" s="138"/>
      <c r="CQ375" s="134"/>
      <c r="CR375" s="134"/>
      <c r="CS375" s="134"/>
      <c r="CT375" s="288"/>
      <c r="CU375" s="289"/>
      <c r="CV375" s="276"/>
      <c r="CW375" s="308"/>
      <c r="CX375" s="138"/>
      <c r="CY375" s="134"/>
      <c r="CZ375" s="134"/>
      <c r="DA375" s="134"/>
      <c r="DB375" s="134"/>
      <c r="DC375" s="134"/>
      <c r="DD375" s="134"/>
      <c r="DE375" s="134"/>
      <c r="DF375" s="300"/>
      <c r="DG375" s="301"/>
      <c r="DH375" s="134"/>
      <c r="DI375" s="134"/>
      <c r="DJ375" s="134"/>
      <c r="DK375" s="134"/>
      <c r="DL375" s="134"/>
      <c r="DM375" s="134"/>
      <c r="DN375" s="134"/>
      <c r="DO375" s="134"/>
      <c r="DP375" s="300"/>
      <c r="DQ375" s="301"/>
      <c r="DR375" s="276"/>
      <c r="DS375" s="277"/>
      <c r="DT375" s="134"/>
      <c r="DU375" s="134"/>
      <c r="DV375" s="134"/>
      <c r="DW375" s="134"/>
      <c r="DX375" s="138"/>
      <c r="DY375" s="134"/>
      <c r="DZ375" s="134"/>
      <c r="EA375" s="134"/>
      <c r="EB375" s="301"/>
      <c r="EC375" s="301"/>
      <c r="ED375" s="138"/>
      <c r="EE375" s="134"/>
      <c r="EF375" s="134"/>
      <c r="EG375" s="134"/>
      <c r="EH375" s="138"/>
      <c r="EI375" s="134"/>
      <c r="EJ375" s="134"/>
      <c r="EK375" s="134"/>
      <c r="EL375" s="301"/>
      <c r="EM375" s="301"/>
      <c r="EN375" s="277"/>
      <c r="EO375" s="134"/>
      <c r="EP375" s="134"/>
      <c r="EQ375" s="134"/>
      <c r="ER375" s="134"/>
      <c r="ES375" s="134"/>
      <c r="ET375" s="134"/>
      <c r="EU375" s="134"/>
      <c r="EV375" s="134"/>
      <c r="EW375" s="301"/>
      <c r="EX375" s="301"/>
      <c r="EY375" s="134"/>
      <c r="EZ375" s="134"/>
      <c r="FA375" s="134"/>
      <c r="FB375" s="134"/>
      <c r="FC375" s="134"/>
      <c r="FD375" s="134"/>
      <c r="FE375" s="134"/>
      <c r="FF375" s="134"/>
      <c r="FG375" s="135"/>
      <c r="FH375" s="135"/>
      <c r="FI375" s="134"/>
      <c r="FJ375" s="134"/>
      <c r="FK375" s="134"/>
      <c r="FL375" s="134"/>
      <c r="FM375" s="134"/>
      <c r="FN375" s="134"/>
      <c r="FO375" s="134"/>
      <c r="FP375" s="134"/>
      <c r="FQ375" s="135"/>
      <c r="FR375" s="135"/>
      <c r="FS375" s="134"/>
      <c r="FT375" s="134"/>
      <c r="FU375" s="134"/>
      <c r="FV375" s="134"/>
      <c r="FW375" s="134"/>
      <c r="FX375" s="134"/>
      <c r="FY375" s="134"/>
      <c r="FZ375" s="134"/>
      <c r="GA375" s="135"/>
      <c r="GB375" s="135"/>
      <c r="GC375" s="134"/>
      <c r="GD375" s="134"/>
      <c r="GE375" s="134"/>
      <c r="GF375" s="134"/>
      <c r="GG375" s="134"/>
      <c r="GH375" s="134"/>
      <c r="GI375" s="134"/>
      <c r="GJ375" s="134"/>
      <c r="GK375" s="135"/>
      <c r="GL375" s="135"/>
      <c r="GM375" s="134"/>
      <c r="GN375" s="134"/>
      <c r="GO375" s="134"/>
      <c r="GP375" s="134"/>
      <c r="GQ375" s="134"/>
      <c r="GR375" s="134"/>
      <c r="GS375" s="134"/>
      <c r="GT375" s="134"/>
      <c r="GU375" s="135"/>
      <c r="GV375" s="135"/>
      <c r="GW375" s="134"/>
      <c r="GX375" s="134"/>
      <c r="GY375" s="134"/>
      <c r="GZ375" s="134"/>
      <c r="HA375" s="134"/>
      <c r="HB375" s="134"/>
      <c r="HC375" s="134"/>
      <c r="HD375" s="134"/>
      <c r="HE375" s="135"/>
      <c r="HF375" s="135"/>
      <c r="HG375" s="134"/>
      <c r="HH375" s="134"/>
      <c r="HI375" s="134"/>
      <c r="HJ375" s="134"/>
      <c r="HK375" s="134"/>
      <c r="HL375" s="134"/>
      <c r="HM375" s="134"/>
      <c r="HN375" s="134"/>
      <c r="HO375" s="135"/>
      <c r="HP375" s="135"/>
      <c r="HQ375" s="134"/>
      <c r="HR375" s="134"/>
      <c r="HS375" s="134"/>
      <c r="HT375" s="134"/>
      <c r="HU375" s="134"/>
      <c r="HV375" s="134"/>
      <c r="HW375" s="134"/>
      <c r="HX375" s="134"/>
      <c r="HY375" s="135"/>
      <c r="HZ375" s="135"/>
      <c r="IA375" s="134"/>
      <c r="IB375" s="134"/>
      <c r="IC375" s="134"/>
      <c r="ID375" s="134"/>
      <c r="IE375" s="134"/>
      <c r="IF375" s="134"/>
      <c r="IG375" s="134"/>
      <c r="IH375" s="134"/>
      <c r="II375" s="135"/>
      <c r="IJ375" s="135"/>
      <c r="IK375" s="134"/>
      <c r="IL375" s="134"/>
      <c r="IM375" s="134"/>
      <c r="IN375" s="134"/>
      <c r="IO375" s="134"/>
      <c r="IP375" s="134"/>
      <c r="IQ375" s="134"/>
      <c r="IR375" s="134"/>
      <c r="IS375" s="135"/>
      <c r="IT375" s="135"/>
      <c r="IU375" s="134"/>
      <c r="IV375" s="134"/>
      <c r="IW375" s="134"/>
      <c r="IX375" s="134"/>
      <c r="IY375" s="134"/>
      <c r="IZ375" s="134"/>
      <c r="JA375" s="134"/>
      <c r="JB375" s="134"/>
      <c r="JC375" s="135"/>
      <c r="JD375" s="135"/>
    </row>
    <row r="376" spans="1:264" ht="15" customHeight="1">
      <c r="A376" s="79" t="s">
        <v>336</v>
      </c>
      <c r="B376" s="362">
        <v>241</v>
      </c>
      <c r="C376" s="362"/>
      <c r="D376" s="362"/>
      <c r="E376" s="604" t="s">
        <v>2036</v>
      </c>
      <c r="F376" s="124" t="s">
        <v>2274</v>
      </c>
      <c r="G376" s="125">
        <v>1998</v>
      </c>
      <c r="H376" s="79">
        <v>9460740</v>
      </c>
      <c r="I376" s="79">
        <v>1</v>
      </c>
      <c r="J376" s="126"/>
      <c r="K376" s="127"/>
      <c r="L376" s="79">
        <v>1</v>
      </c>
      <c r="M376" s="79"/>
      <c r="N376" s="79">
        <v>1</v>
      </c>
      <c r="O376" s="128">
        <v>1</v>
      </c>
      <c r="P376" s="79" t="s">
        <v>31</v>
      </c>
      <c r="Q376" s="79" t="s">
        <v>1157</v>
      </c>
      <c r="R376" s="79" t="s">
        <v>819</v>
      </c>
      <c r="S376" s="79">
        <v>1</v>
      </c>
      <c r="T376" s="79"/>
      <c r="U376" s="79"/>
      <c r="V376" s="79"/>
      <c r="W376" s="79" t="s">
        <v>873</v>
      </c>
      <c r="X376" s="79" t="s">
        <v>24</v>
      </c>
      <c r="Y376" s="79" t="s">
        <v>24</v>
      </c>
      <c r="Z376" s="79"/>
      <c r="AA376" s="79"/>
      <c r="AB376" s="79"/>
      <c r="AC376" s="506"/>
      <c r="AD376" s="573">
        <v>1</v>
      </c>
      <c r="AE376" s="573">
        <v>2</v>
      </c>
      <c r="AF376" s="154">
        <v>1</v>
      </c>
      <c r="AG376" s="522"/>
      <c r="AH376" s="121">
        <v>2</v>
      </c>
      <c r="AI376" s="484"/>
      <c r="AJ376" s="202" t="s">
        <v>5804</v>
      </c>
      <c r="AK376" s="192">
        <v>1</v>
      </c>
      <c r="AL376" s="203" t="s">
        <v>24</v>
      </c>
      <c r="AM376" s="121">
        <f>Table668[[#This Row],[Data_Subjects_n_ptsd]]+Table668[[#This Row],[Data_Subjects_n_control]]</f>
        <v>43</v>
      </c>
      <c r="AN376" s="121">
        <v>24</v>
      </c>
      <c r="AO376" s="121">
        <v>19</v>
      </c>
      <c r="AP376" s="134" t="s">
        <v>5744</v>
      </c>
      <c r="AQ376" s="121" t="s">
        <v>5745</v>
      </c>
      <c r="AR376" s="121">
        <v>36.299999999999997</v>
      </c>
      <c r="AS376" s="121">
        <v>9.8000000000000007</v>
      </c>
      <c r="AT376" s="121">
        <v>35.299999999999997</v>
      </c>
      <c r="AU376" s="121">
        <v>8.6999999999999993</v>
      </c>
      <c r="AV376" s="121" t="s">
        <v>5746</v>
      </c>
      <c r="AW376" s="121" t="s">
        <v>24</v>
      </c>
      <c r="AX376" s="121" t="s">
        <v>24</v>
      </c>
      <c r="AY376" s="121" t="s">
        <v>5749</v>
      </c>
      <c r="AZ376" s="121" t="s">
        <v>5747</v>
      </c>
      <c r="BA376" s="121" t="s">
        <v>5748</v>
      </c>
      <c r="BB376" s="594"/>
      <c r="BC376" s="594"/>
      <c r="BD376" s="156"/>
      <c r="BE376" s="156"/>
      <c r="BF376" s="156" t="s">
        <v>4727</v>
      </c>
      <c r="BG376" s="156"/>
      <c r="BH376" s="156"/>
      <c r="BI376" s="156"/>
      <c r="BJ376" s="156">
        <v>1</v>
      </c>
      <c r="BK376" s="156"/>
      <c r="BL376" s="156"/>
      <c r="BM376" s="156"/>
      <c r="BN376" s="156" t="s">
        <v>4727</v>
      </c>
      <c r="BO376" s="156"/>
      <c r="BP376" s="156"/>
      <c r="BQ376" s="595" t="s">
        <v>3843</v>
      </c>
      <c r="BR376" s="157" t="s">
        <v>6610</v>
      </c>
      <c r="BS376" s="660"/>
      <c r="BT376" s="134" t="s">
        <v>1876</v>
      </c>
      <c r="BU376" s="134">
        <v>2</v>
      </c>
      <c r="BV376" s="134" t="s">
        <v>5750</v>
      </c>
      <c r="BW376" s="134" t="s">
        <v>24</v>
      </c>
      <c r="BX376" s="134" t="s">
        <v>5751</v>
      </c>
      <c r="BY376" s="134"/>
      <c r="BZ376" s="259" t="s">
        <v>5802</v>
      </c>
      <c r="CA376" s="454" t="s">
        <v>24</v>
      </c>
      <c r="CB376" s="138" t="s">
        <v>5754</v>
      </c>
      <c r="CC376" s="134">
        <v>44.3</v>
      </c>
      <c r="CD376" s="168">
        <v>7.9</v>
      </c>
      <c r="CE376" s="134" t="s">
        <v>24</v>
      </c>
      <c r="CF376" s="138" t="s">
        <v>5764</v>
      </c>
      <c r="CG376" s="134">
        <v>49.7</v>
      </c>
      <c r="CH376" s="134">
        <v>7.3</v>
      </c>
      <c r="CI376" s="134" t="s">
        <v>24</v>
      </c>
      <c r="CJ376" s="288" t="s">
        <v>5653</v>
      </c>
      <c r="CK376" s="289" t="s">
        <v>5774</v>
      </c>
      <c r="CL376" s="138" t="s">
        <v>5755</v>
      </c>
      <c r="CM376" s="134">
        <v>8.5</v>
      </c>
      <c r="CN376" s="134">
        <v>2.7</v>
      </c>
      <c r="CO376" s="134" t="s">
        <v>24</v>
      </c>
      <c r="CP376" s="138" t="s">
        <v>5765</v>
      </c>
      <c r="CQ376" s="134">
        <v>10.9</v>
      </c>
      <c r="CR376" s="134">
        <v>2.6</v>
      </c>
      <c r="CS376" s="134" t="s">
        <v>24</v>
      </c>
      <c r="CT376" s="288" t="s">
        <v>5775</v>
      </c>
      <c r="CU376" s="289" t="s">
        <v>5776</v>
      </c>
      <c r="CV376" s="276" t="s">
        <v>24</v>
      </c>
      <c r="CW376" s="308" t="s">
        <v>24</v>
      </c>
      <c r="CX376" s="134" t="s">
        <v>5756</v>
      </c>
      <c r="CY376" s="400">
        <v>7.6</v>
      </c>
      <c r="CZ376" s="400">
        <v>3.3</v>
      </c>
      <c r="DA376" s="400" t="s">
        <v>24</v>
      </c>
      <c r="DB376" s="134" t="s">
        <v>5766</v>
      </c>
      <c r="DC376" s="134">
        <v>9.6999999999999993</v>
      </c>
      <c r="DD376" s="134">
        <v>2.8</v>
      </c>
      <c r="DE376" s="134" t="s">
        <v>24</v>
      </c>
      <c r="DF376" s="300" t="s">
        <v>5777</v>
      </c>
      <c r="DG376" s="301" t="s">
        <v>5778</v>
      </c>
      <c r="DH376" s="134" t="s">
        <v>5757</v>
      </c>
      <c r="DI376" s="134">
        <v>0.9</v>
      </c>
      <c r="DJ376" s="134">
        <v>0.2</v>
      </c>
      <c r="DK376" s="134" t="s">
        <v>24</v>
      </c>
      <c r="DL376" s="134" t="s">
        <v>5767</v>
      </c>
      <c r="DM376" s="134">
        <v>0.9</v>
      </c>
      <c r="DN376" s="134">
        <v>0.2</v>
      </c>
      <c r="DO376" s="134" t="s">
        <v>24</v>
      </c>
      <c r="DP376" s="300" t="s">
        <v>5379</v>
      </c>
      <c r="DQ376" s="301" t="s">
        <v>5779</v>
      </c>
      <c r="DR376" s="276" t="s">
        <v>24</v>
      </c>
      <c r="DS376" s="277" t="s">
        <v>24</v>
      </c>
      <c r="DT376" s="134" t="s">
        <v>5758</v>
      </c>
      <c r="DU376" s="134">
        <v>0.9</v>
      </c>
      <c r="DV376" s="134">
        <v>0.5</v>
      </c>
      <c r="DW376" s="134" t="s">
        <v>24</v>
      </c>
      <c r="DX376" s="134" t="s">
        <v>5768</v>
      </c>
      <c r="DY376" s="134">
        <v>0.9</v>
      </c>
      <c r="DZ376" s="134">
        <v>0.4</v>
      </c>
      <c r="EA376" s="134" t="s">
        <v>24</v>
      </c>
      <c r="EB376" s="301" t="s">
        <v>5379</v>
      </c>
      <c r="EC376" s="301" t="s">
        <v>5780</v>
      </c>
      <c r="ED376" s="138" t="s">
        <v>5759</v>
      </c>
      <c r="EE376" s="134">
        <v>0.8</v>
      </c>
      <c r="EF376" s="134">
        <v>0.2</v>
      </c>
      <c r="EG376" s="134" t="s">
        <v>24</v>
      </c>
      <c r="EH376" s="138" t="s">
        <v>5769</v>
      </c>
      <c r="EI376" s="134">
        <v>0.9</v>
      </c>
      <c r="EJ376" s="134">
        <v>0.2</v>
      </c>
      <c r="EK376" s="134" t="s">
        <v>24</v>
      </c>
      <c r="EL376" s="301" t="s">
        <v>4742</v>
      </c>
      <c r="EM376" s="301" t="s">
        <v>5781</v>
      </c>
      <c r="EN376" s="277" t="s">
        <v>24</v>
      </c>
      <c r="EO376" s="134" t="s">
        <v>5760</v>
      </c>
      <c r="EP376" s="134">
        <v>6.9</v>
      </c>
      <c r="EQ376" s="134">
        <v>5.4</v>
      </c>
      <c r="ER376" s="134" t="s">
        <v>24</v>
      </c>
      <c r="ES376" s="134" t="s">
        <v>5770</v>
      </c>
      <c r="ET376" s="134">
        <v>6.8</v>
      </c>
      <c r="EU376" s="134">
        <v>6.9</v>
      </c>
      <c r="EV376" s="134" t="s">
        <v>24</v>
      </c>
      <c r="EW376" s="301" t="s">
        <v>5379</v>
      </c>
      <c r="EX376" s="301" t="s">
        <v>5782</v>
      </c>
      <c r="EY376" s="134" t="s">
        <v>5761</v>
      </c>
      <c r="EZ376" s="134">
        <v>3.8</v>
      </c>
      <c r="FA376" s="134">
        <v>3.4</v>
      </c>
      <c r="FB376" s="134" t="s">
        <v>24</v>
      </c>
      <c r="FC376" s="134" t="s">
        <v>5771</v>
      </c>
      <c r="FD376" s="134">
        <v>2</v>
      </c>
      <c r="FE376" s="134">
        <v>2.1</v>
      </c>
      <c r="FF376" s="134" t="s">
        <v>24</v>
      </c>
      <c r="FG376" s="135" t="s">
        <v>5783</v>
      </c>
      <c r="FH376" s="135" t="s">
        <v>5784</v>
      </c>
      <c r="FI376" s="134" t="s">
        <v>5762</v>
      </c>
      <c r="FJ376" s="134">
        <v>13</v>
      </c>
      <c r="FK376" s="134">
        <v>1.9</v>
      </c>
      <c r="FL376" s="134" t="s">
        <v>24</v>
      </c>
      <c r="FM376" s="134" t="s">
        <v>5772</v>
      </c>
      <c r="FN376" s="134">
        <v>13.3</v>
      </c>
      <c r="FO376" s="134">
        <v>1.8</v>
      </c>
      <c r="FP376" s="134" t="s">
        <v>24</v>
      </c>
      <c r="FQ376" s="135" t="s">
        <v>5785</v>
      </c>
      <c r="FR376" s="135" t="s">
        <v>5786</v>
      </c>
      <c r="FS376" s="134" t="s">
        <v>5763</v>
      </c>
      <c r="FT376" s="134">
        <v>3.8</v>
      </c>
      <c r="FU376" s="134">
        <v>3.6</v>
      </c>
      <c r="FV376" s="134" t="s">
        <v>24</v>
      </c>
      <c r="FW376" s="134" t="s">
        <v>5773</v>
      </c>
      <c r="FX376" s="134">
        <v>1.8</v>
      </c>
      <c r="FY376" s="134">
        <v>2.1</v>
      </c>
      <c r="FZ376" s="134" t="s">
        <v>24</v>
      </c>
      <c r="GA376" s="135" t="s">
        <v>5787</v>
      </c>
      <c r="GB376" s="135" t="s">
        <v>5788</v>
      </c>
      <c r="GC376" s="134" t="s">
        <v>24</v>
      </c>
      <c r="GD376" s="134"/>
      <c r="GE376" s="134"/>
      <c r="GF376" s="134"/>
      <c r="GG376" s="134"/>
      <c r="GH376" s="134"/>
      <c r="GI376" s="134"/>
      <c r="GJ376" s="134"/>
      <c r="GK376" s="135"/>
      <c r="GL376" s="135"/>
      <c r="GM376" s="134"/>
      <c r="GN376" s="134"/>
      <c r="GO376" s="134"/>
      <c r="GP376" s="134"/>
      <c r="GQ376" s="134"/>
      <c r="GR376" s="134"/>
      <c r="GS376" s="134"/>
      <c r="GT376" s="134"/>
      <c r="GU376" s="135"/>
      <c r="GV376" s="135"/>
      <c r="GW376" s="134"/>
      <c r="GX376" s="134"/>
      <c r="GY376" s="134"/>
      <c r="GZ376" s="134"/>
      <c r="HA376" s="134"/>
      <c r="HB376" s="134"/>
      <c r="HC376" s="134"/>
      <c r="HD376" s="134"/>
      <c r="HE376" s="135"/>
      <c r="HF376" s="135"/>
      <c r="HG376" s="134"/>
      <c r="HH376" s="134"/>
      <c r="HI376" s="134"/>
      <c r="HJ376" s="134"/>
      <c r="HK376" s="134"/>
      <c r="HL376" s="134"/>
      <c r="HM376" s="134"/>
      <c r="HN376" s="134"/>
      <c r="HO376" s="135"/>
      <c r="HP376" s="135"/>
      <c r="HQ376" s="134"/>
      <c r="HR376" s="134"/>
      <c r="HS376" s="134"/>
      <c r="HT376" s="134"/>
      <c r="HU376" s="134"/>
      <c r="HV376" s="134"/>
      <c r="HW376" s="134"/>
      <c r="HX376" s="134"/>
      <c r="HY376" s="135"/>
      <c r="HZ376" s="135"/>
      <c r="IA376" s="134"/>
      <c r="IB376" s="134"/>
      <c r="IC376" s="134"/>
      <c r="ID376" s="134"/>
      <c r="IE376" s="134"/>
      <c r="IF376" s="134"/>
      <c r="IG376" s="134"/>
      <c r="IH376" s="134"/>
      <c r="II376" s="135"/>
      <c r="IJ376" s="135"/>
      <c r="IK376" s="134"/>
      <c r="IL376" s="134"/>
      <c r="IM376" s="134"/>
      <c r="IN376" s="134"/>
      <c r="IO376" s="134"/>
      <c r="IP376" s="134"/>
      <c r="IQ376" s="134"/>
      <c r="IR376" s="134"/>
      <c r="IS376" s="135"/>
      <c r="IT376" s="135"/>
      <c r="IU376" s="134"/>
      <c r="IV376" s="134"/>
      <c r="IW376" s="134"/>
      <c r="IX376" s="134"/>
      <c r="IY376" s="134"/>
      <c r="IZ376" s="134"/>
      <c r="JA376" s="134"/>
      <c r="JB376" s="134"/>
      <c r="JC376" s="135"/>
      <c r="JD376" s="135"/>
    </row>
    <row r="377" spans="1:264" ht="15" customHeight="1">
      <c r="A377" s="118" t="s">
        <v>336</v>
      </c>
      <c r="B377" s="616">
        <v>241</v>
      </c>
      <c r="C377" s="616"/>
      <c r="D377" s="616"/>
      <c r="E377" s="605" t="s">
        <v>2036</v>
      </c>
      <c r="F377" s="140" t="s">
        <v>2274</v>
      </c>
      <c r="G377" s="141">
        <v>1998</v>
      </c>
      <c r="H377" s="118">
        <v>9460740</v>
      </c>
      <c r="I377" s="118">
        <v>1</v>
      </c>
      <c r="J377" s="118"/>
      <c r="K377" s="118"/>
      <c r="L377" s="118">
        <v>1</v>
      </c>
      <c r="M377" s="118"/>
      <c r="N377" s="118">
        <v>1</v>
      </c>
      <c r="O377" s="142">
        <v>1</v>
      </c>
      <c r="P377" s="118" t="s">
        <v>31</v>
      </c>
      <c r="Q377" s="118" t="s">
        <v>1157</v>
      </c>
      <c r="R377" s="118" t="s">
        <v>819</v>
      </c>
      <c r="S377" s="118">
        <v>1</v>
      </c>
      <c r="T377" s="118"/>
      <c r="U377" s="118"/>
      <c r="V377" s="118"/>
      <c r="W377" s="118" t="s">
        <v>873</v>
      </c>
      <c r="X377" s="118" t="s">
        <v>24</v>
      </c>
      <c r="Y377" s="118" t="s">
        <v>24</v>
      </c>
      <c r="Z377" s="118"/>
      <c r="AA377" s="118"/>
      <c r="AB377" s="118"/>
      <c r="AC377" s="145"/>
      <c r="AD377" s="573">
        <v>1</v>
      </c>
      <c r="AE377" s="573">
        <v>2</v>
      </c>
      <c r="AF377" s="159">
        <v>1</v>
      </c>
      <c r="AG377" s="523"/>
      <c r="AH377" s="122">
        <v>2</v>
      </c>
      <c r="AI377" s="485"/>
      <c r="AJ377" s="204" t="s">
        <v>5804</v>
      </c>
      <c r="AK377" s="192">
        <v>1</v>
      </c>
      <c r="AL377" s="205" t="s">
        <v>24</v>
      </c>
      <c r="AM377" s="122">
        <f>Table668[[#This Row],[Data_Subjects_n_ptsd]]+Table668[[#This Row],[Data_Subjects_n_control]]</f>
        <v>43</v>
      </c>
      <c r="AN377" s="122">
        <v>24</v>
      </c>
      <c r="AO377" s="122">
        <v>19</v>
      </c>
      <c r="AP377" s="150" t="s">
        <v>5744</v>
      </c>
      <c r="AQ377" s="122" t="s">
        <v>5745</v>
      </c>
      <c r="AR377" s="122">
        <v>36.299999999999997</v>
      </c>
      <c r="AS377" s="122">
        <v>9.8000000000000007</v>
      </c>
      <c r="AT377" s="122">
        <v>35.299999999999997</v>
      </c>
      <c r="AU377" s="122">
        <v>8.6999999999999993</v>
      </c>
      <c r="AV377" s="122" t="s">
        <v>5746</v>
      </c>
      <c r="AW377" s="122" t="s">
        <v>24</v>
      </c>
      <c r="AX377" s="122" t="s">
        <v>24</v>
      </c>
      <c r="AY377" s="122" t="s">
        <v>5749</v>
      </c>
      <c r="AZ377" s="122" t="s">
        <v>5747</v>
      </c>
      <c r="BA377" s="122" t="s">
        <v>5748</v>
      </c>
      <c r="BB377" s="588"/>
      <c r="BC377" s="588"/>
      <c r="BD377" s="161"/>
      <c r="BE377" s="161"/>
      <c r="BF377" s="161" t="s">
        <v>4727</v>
      </c>
      <c r="BG377" s="161"/>
      <c r="BH377" s="161"/>
      <c r="BI377" s="161"/>
      <c r="BJ377" s="161">
        <v>1</v>
      </c>
      <c r="BK377" s="161"/>
      <c r="BL377" s="161"/>
      <c r="BM377" s="161"/>
      <c r="BN377" s="161" t="s">
        <v>4727</v>
      </c>
      <c r="BO377" s="161"/>
      <c r="BP377" s="161"/>
      <c r="BQ377" s="596" t="s">
        <v>4001</v>
      </c>
      <c r="BR377" s="162" t="s">
        <v>6612</v>
      </c>
      <c r="BS377" s="660"/>
      <c r="BT377" s="150" t="s">
        <v>1876</v>
      </c>
      <c r="BU377" s="150">
        <v>2</v>
      </c>
      <c r="BV377" s="150" t="s">
        <v>5752</v>
      </c>
      <c r="BW377" s="150" t="s">
        <v>24</v>
      </c>
      <c r="BX377" s="150" t="s">
        <v>5753</v>
      </c>
      <c r="BY377" s="150"/>
      <c r="BZ377" s="258" t="s">
        <v>5803</v>
      </c>
      <c r="CA377" s="257" t="s">
        <v>24</v>
      </c>
      <c r="CB377" s="151" t="s">
        <v>5789</v>
      </c>
      <c r="CC377" s="150">
        <v>71.099999999999994</v>
      </c>
      <c r="CD377" s="150">
        <v>6.1</v>
      </c>
      <c r="CE377" s="150" t="s">
        <v>24</v>
      </c>
      <c r="CF377" s="151" t="s">
        <v>5790</v>
      </c>
      <c r="CG377" s="150">
        <v>77.2</v>
      </c>
      <c r="CH377" s="150">
        <v>6.9</v>
      </c>
      <c r="CI377" s="150" t="s">
        <v>24</v>
      </c>
      <c r="CJ377" s="290" t="s">
        <v>5799</v>
      </c>
      <c r="CK377" s="291" t="s">
        <v>5795</v>
      </c>
      <c r="CL377" s="151" t="s">
        <v>5791</v>
      </c>
      <c r="CM377" s="150">
        <v>3.2</v>
      </c>
      <c r="CN377" s="150">
        <v>1.3</v>
      </c>
      <c r="CO377" s="150" t="s">
        <v>24</v>
      </c>
      <c r="CP377" s="151" t="s">
        <v>5792</v>
      </c>
      <c r="CQ377" s="150">
        <v>4.3</v>
      </c>
      <c r="CR377" s="150">
        <v>1.8</v>
      </c>
      <c r="CS377" s="150" t="s">
        <v>24</v>
      </c>
      <c r="CT377" s="290" t="s">
        <v>5800</v>
      </c>
      <c r="CU377" s="291" t="s">
        <v>5796</v>
      </c>
      <c r="CV377" s="278" t="s">
        <v>5801</v>
      </c>
      <c r="CW377" s="285" t="s">
        <v>3026</v>
      </c>
      <c r="CX377" s="151" t="s">
        <v>5793</v>
      </c>
      <c r="CY377" s="150">
        <v>18.3</v>
      </c>
      <c r="CZ377" s="150">
        <v>6.4</v>
      </c>
      <c r="DA377" s="150" t="s">
        <v>24</v>
      </c>
      <c r="DB377" s="151" t="s">
        <v>5794</v>
      </c>
      <c r="DC377" s="150">
        <v>14.1</v>
      </c>
      <c r="DD377" s="150">
        <v>5.7</v>
      </c>
      <c r="DE377" s="150" t="s">
        <v>24</v>
      </c>
      <c r="DF377" s="302" t="s">
        <v>5797</v>
      </c>
      <c r="DG377" s="303" t="s">
        <v>5798</v>
      </c>
      <c r="DH377" s="228"/>
      <c r="DI377" s="150"/>
      <c r="DJ377" s="228"/>
      <c r="DK377" s="150"/>
      <c r="DL377" s="228"/>
      <c r="DM377" s="150"/>
      <c r="DN377" s="150"/>
      <c r="DO377" s="150"/>
      <c r="DP377" s="302"/>
      <c r="DQ377" s="303"/>
      <c r="DR377" s="278"/>
      <c r="DS377" s="279"/>
      <c r="DT377" s="150"/>
      <c r="DU377" s="150"/>
      <c r="DV377" s="228"/>
      <c r="DW377" s="555"/>
      <c r="DX377" s="150"/>
      <c r="DY377" s="150"/>
      <c r="DZ377" s="150"/>
      <c r="EA377" s="150"/>
      <c r="EB377" s="303"/>
      <c r="EC377" s="303"/>
      <c r="ED377" s="150"/>
      <c r="EE377" s="150"/>
      <c r="EF377" s="150"/>
      <c r="EG377" s="555"/>
      <c r="EH377" s="150"/>
      <c r="EI377" s="150"/>
      <c r="EJ377" s="150"/>
      <c r="EK377" s="150"/>
      <c r="EL377" s="303"/>
      <c r="EM377" s="303"/>
      <c r="EN377" s="279"/>
      <c r="EO377" s="150"/>
      <c r="EP377" s="150"/>
      <c r="EQ377" s="150"/>
      <c r="ER377" s="555"/>
      <c r="ES377" s="150"/>
      <c r="ET377" s="150"/>
      <c r="EU377" s="150"/>
      <c r="EV377" s="150"/>
      <c r="EW377" s="303"/>
      <c r="EX377" s="303"/>
      <c r="EY377" s="150"/>
      <c r="EZ377" s="150"/>
      <c r="FA377" s="150"/>
      <c r="FB377" s="555"/>
      <c r="FC377" s="150"/>
      <c r="FD377" s="150"/>
      <c r="FE377" s="150"/>
      <c r="FF377" s="150"/>
      <c r="FG377" s="152"/>
      <c r="FH377" s="152"/>
      <c r="FI377" s="150"/>
      <c r="FJ377" s="150"/>
      <c r="FK377" s="150"/>
      <c r="FL377" s="150"/>
      <c r="FM377" s="150"/>
      <c r="FN377" s="150"/>
      <c r="FO377" s="150"/>
      <c r="FP377" s="150"/>
      <c r="FQ377" s="152"/>
      <c r="FR377" s="152"/>
      <c r="FS377" s="150"/>
      <c r="FT377" s="150"/>
      <c r="FU377" s="150"/>
      <c r="FV377" s="150"/>
      <c r="FW377" s="150"/>
      <c r="FX377" s="150"/>
      <c r="FY377" s="150"/>
      <c r="FZ377" s="150"/>
      <c r="GA377" s="152"/>
      <c r="GB377" s="152"/>
      <c r="GC377" s="150"/>
      <c r="GD377" s="150"/>
      <c r="GE377" s="150"/>
      <c r="GF377" s="150"/>
      <c r="GG377" s="150"/>
      <c r="GH377" s="150"/>
      <c r="GI377" s="150"/>
      <c r="GJ377" s="150"/>
      <c r="GK377" s="152"/>
      <c r="GL377" s="152"/>
      <c r="GM377" s="150"/>
      <c r="GN377" s="150"/>
      <c r="GO377" s="150"/>
      <c r="GP377" s="150"/>
      <c r="GQ377" s="150"/>
      <c r="GR377" s="150"/>
      <c r="GS377" s="150"/>
      <c r="GT377" s="150"/>
      <c r="GU377" s="152"/>
      <c r="GV377" s="152"/>
      <c r="GW377" s="134"/>
      <c r="GX377" s="134"/>
      <c r="GY377" s="134"/>
      <c r="GZ377" s="134"/>
      <c r="HA377" s="134"/>
      <c r="HB377" s="134"/>
      <c r="HC377" s="134"/>
      <c r="HD377" s="134"/>
      <c r="HE377" s="135"/>
      <c r="HF377" s="135"/>
      <c r="HG377" s="134"/>
      <c r="HH377" s="134"/>
      <c r="HI377" s="134"/>
      <c r="HJ377" s="134"/>
      <c r="HK377" s="134"/>
      <c r="HL377" s="134"/>
      <c r="HM377" s="134"/>
      <c r="HN377" s="134"/>
      <c r="HO377" s="135"/>
      <c r="HP377" s="135"/>
      <c r="HQ377" s="134"/>
      <c r="HR377" s="134"/>
      <c r="HS377" s="134"/>
      <c r="HT377" s="134"/>
      <c r="HU377" s="134"/>
      <c r="HV377" s="134"/>
      <c r="HW377" s="134"/>
      <c r="HX377" s="134"/>
      <c r="HY377" s="135"/>
      <c r="HZ377" s="135"/>
      <c r="IA377" s="134"/>
      <c r="IB377" s="134"/>
      <c r="IC377" s="134"/>
      <c r="ID377" s="134"/>
      <c r="IE377" s="134"/>
      <c r="IF377" s="134"/>
      <c r="IG377" s="134"/>
      <c r="IH377" s="134"/>
      <c r="II377" s="135"/>
      <c r="IJ377" s="135"/>
      <c r="IK377" s="134"/>
      <c r="IL377" s="134"/>
      <c r="IM377" s="134"/>
      <c r="IN377" s="134"/>
      <c r="IO377" s="134"/>
      <c r="IP377" s="134"/>
      <c r="IQ377" s="134"/>
      <c r="IR377" s="134"/>
      <c r="IS377" s="135"/>
      <c r="IT377" s="135"/>
      <c r="IU377" s="134"/>
      <c r="IV377" s="134"/>
      <c r="IW377" s="134"/>
      <c r="IX377" s="134"/>
      <c r="IY377" s="134"/>
      <c r="IZ377" s="134"/>
      <c r="JA377" s="134"/>
      <c r="JB377" s="134"/>
      <c r="JC377" s="135"/>
      <c r="JD377" s="135"/>
    </row>
    <row r="378" spans="1:264" ht="15" customHeight="1">
      <c r="A378" s="79" t="s">
        <v>337</v>
      </c>
      <c r="B378" s="362">
        <v>242</v>
      </c>
      <c r="C378" s="362">
        <v>88</v>
      </c>
      <c r="D378" s="362"/>
      <c r="E378" s="604" t="s">
        <v>2036</v>
      </c>
      <c r="F378" s="124" t="s">
        <v>2275</v>
      </c>
      <c r="G378" s="125">
        <v>2002</v>
      </c>
      <c r="H378" s="79">
        <v>11853357</v>
      </c>
      <c r="I378" s="79">
        <v>1</v>
      </c>
      <c r="J378" s="126"/>
      <c r="K378" s="127"/>
      <c r="L378" s="79">
        <v>1</v>
      </c>
      <c r="M378" s="79"/>
      <c r="N378" s="79">
        <v>1</v>
      </c>
      <c r="O378" s="128">
        <v>1</v>
      </c>
      <c r="P378" s="79" t="s">
        <v>874</v>
      </c>
      <c r="Q378" s="79" t="s">
        <v>1172</v>
      </c>
      <c r="R378" s="79" t="s">
        <v>25</v>
      </c>
      <c r="S378" s="79">
        <v>1</v>
      </c>
      <c r="T378" s="79"/>
      <c r="U378" s="79"/>
      <c r="V378" s="79"/>
      <c r="W378" s="79" t="s">
        <v>875</v>
      </c>
      <c r="X378" s="79" t="s">
        <v>24</v>
      </c>
      <c r="Y378" s="79" t="s">
        <v>24</v>
      </c>
      <c r="Z378" s="79"/>
      <c r="AA378" s="79"/>
      <c r="AB378" s="79"/>
      <c r="AC378" s="506"/>
      <c r="AD378" s="573">
        <v>1</v>
      </c>
      <c r="AE378" s="573">
        <v>2</v>
      </c>
      <c r="AF378" s="154">
        <v>1</v>
      </c>
      <c r="AG378" s="155"/>
      <c r="AH378" s="121">
        <v>2</v>
      </c>
      <c r="AI378" s="524" t="s">
        <v>5806</v>
      </c>
      <c r="AJ378" s="202"/>
      <c r="AK378" s="192">
        <v>1</v>
      </c>
      <c r="AL378" s="203">
        <v>0</v>
      </c>
      <c r="AM378" s="121">
        <f>Table668[[#This Row],[Data_Subjects_n_ptsd]]+Table668[[#This Row],[Data_Subjects_n_control]]</f>
        <v>47</v>
      </c>
      <c r="AN378" s="121">
        <v>26</v>
      </c>
      <c r="AO378" s="121">
        <v>21</v>
      </c>
      <c r="AP378" s="121" t="s">
        <v>803</v>
      </c>
      <c r="AQ378" s="121" t="s">
        <v>803</v>
      </c>
      <c r="AR378" s="121">
        <v>50.19</v>
      </c>
      <c r="AS378" s="121">
        <v>3.28</v>
      </c>
      <c r="AT378" s="121">
        <v>51.57</v>
      </c>
      <c r="AU378" s="121">
        <v>4.91</v>
      </c>
      <c r="AV378" s="121" t="s">
        <v>3206</v>
      </c>
      <c r="AW378" s="121" t="s">
        <v>24</v>
      </c>
      <c r="AX378" s="121" t="s">
        <v>24</v>
      </c>
      <c r="AY378" s="121" t="s">
        <v>5021</v>
      </c>
      <c r="AZ378" s="121" t="s">
        <v>3835</v>
      </c>
      <c r="BA378" s="121" t="s">
        <v>5805</v>
      </c>
      <c r="BB378" s="594"/>
      <c r="BC378" s="594"/>
      <c r="BD378" s="156"/>
      <c r="BE378" s="156"/>
      <c r="BF378" s="156" t="s">
        <v>4727</v>
      </c>
      <c r="BG378" s="156"/>
      <c r="BH378" s="156"/>
      <c r="BI378" s="156"/>
      <c r="BJ378" s="156">
        <v>1</v>
      </c>
      <c r="BK378" s="156"/>
      <c r="BL378" s="156"/>
      <c r="BM378" s="156"/>
      <c r="BN378" s="156" t="s">
        <v>4727</v>
      </c>
      <c r="BO378" s="156"/>
      <c r="BP378" s="156"/>
      <c r="BQ378" s="595" t="s">
        <v>5808</v>
      </c>
      <c r="BR378" s="157" t="s">
        <v>6611</v>
      </c>
      <c r="BS378" s="660"/>
      <c r="BT378" s="134" t="s">
        <v>1876</v>
      </c>
      <c r="BU378" s="134">
        <v>2</v>
      </c>
      <c r="BV378" s="134" t="s">
        <v>4178</v>
      </c>
      <c r="BW378" s="134" t="s">
        <v>24</v>
      </c>
      <c r="BX378" s="134" t="s">
        <v>5810</v>
      </c>
      <c r="BY378" s="134"/>
      <c r="BZ378" s="259" t="s">
        <v>5824</v>
      </c>
      <c r="CA378" s="454" t="s">
        <v>24</v>
      </c>
      <c r="CB378" s="138" t="s">
        <v>4231</v>
      </c>
      <c r="CC378" s="138">
        <v>40.46</v>
      </c>
      <c r="CD378" s="138">
        <v>8.91</v>
      </c>
      <c r="CE378" s="134" t="s">
        <v>24</v>
      </c>
      <c r="CF378" s="138" t="s">
        <v>5812</v>
      </c>
      <c r="CG378" s="134">
        <v>46.33</v>
      </c>
      <c r="CH378" s="134">
        <v>4.5999999999999996</v>
      </c>
      <c r="CI378" s="134" t="s">
        <v>24</v>
      </c>
      <c r="CJ378" s="288" t="s">
        <v>5815</v>
      </c>
      <c r="CK378" s="289" t="s">
        <v>5816</v>
      </c>
      <c r="CL378" s="138" t="s">
        <v>5817</v>
      </c>
      <c r="CM378" s="134">
        <v>0.76</v>
      </c>
      <c r="CN378" s="134">
        <v>0.21</v>
      </c>
      <c r="CO378" s="134" t="s">
        <v>24</v>
      </c>
      <c r="CP378" s="138" t="s">
        <v>5818</v>
      </c>
      <c r="CQ378" s="134">
        <v>0.8</v>
      </c>
      <c r="CR378" s="134">
        <v>0.13</v>
      </c>
      <c r="CS378" s="134" t="s">
        <v>24</v>
      </c>
      <c r="CT378" s="288" t="s">
        <v>5821</v>
      </c>
      <c r="CU378" s="289" t="s">
        <v>5822</v>
      </c>
      <c r="CV378" s="276" t="s">
        <v>24</v>
      </c>
      <c r="CW378" s="308" t="s">
        <v>24</v>
      </c>
      <c r="CX378" s="138" t="s">
        <v>5819</v>
      </c>
      <c r="CY378" s="134">
        <v>0.98</v>
      </c>
      <c r="CZ378" s="134">
        <v>0.28999999999999998</v>
      </c>
      <c r="DA378" s="134" t="s">
        <v>24</v>
      </c>
      <c r="DB378" s="138" t="s">
        <v>5820</v>
      </c>
      <c r="DC378" s="134">
        <v>0.98</v>
      </c>
      <c r="DD378" s="134">
        <v>0.16</v>
      </c>
      <c r="DE378" s="134" t="s">
        <v>24</v>
      </c>
      <c r="DF378" s="300" t="s">
        <v>5823</v>
      </c>
      <c r="DG378" s="301" t="s">
        <v>5827</v>
      </c>
      <c r="DH378" s="134" t="s">
        <v>24</v>
      </c>
      <c r="DI378" s="134" t="s">
        <v>24</v>
      </c>
      <c r="DJ378" s="134"/>
      <c r="DK378" s="134"/>
      <c r="DL378" s="134"/>
      <c r="DM378" s="134"/>
      <c r="DN378" s="134"/>
      <c r="DO378" s="134"/>
      <c r="DP378" s="300"/>
      <c r="DQ378" s="301"/>
      <c r="DR378" s="276"/>
      <c r="DS378" s="277"/>
      <c r="DT378" s="134"/>
      <c r="DU378" s="134"/>
      <c r="DV378" s="134"/>
      <c r="DW378" s="134"/>
      <c r="DX378" s="138"/>
      <c r="DY378" s="134"/>
      <c r="DZ378" s="134"/>
      <c r="EA378" s="134"/>
      <c r="EB378" s="301"/>
      <c r="EC378" s="301"/>
      <c r="ED378" s="138"/>
      <c r="EE378" s="134"/>
      <c r="EF378" s="134"/>
      <c r="EG378" s="134"/>
      <c r="EH378" s="138"/>
      <c r="EI378" s="134"/>
      <c r="EJ378" s="134"/>
      <c r="EK378" s="134"/>
      <c r="EL378" s="301"/>
      <c r="EM378" s="301"/>
      <c r="EN378" s="277"/>
      <c r="EO378" s="134"/>
      <c r="EP378" s="134"/>
      <c r="EQ378" s="134"/>
      <c r="ER378" s="134"/>
      <c r="ES378" s="134"/>
      <c r="ET378" s="134"/>
      <c r="EU378" s="134"/>
      <c r="EV378" s="134"/>
      <c r="EW378" s="301"/>
      <c r="EX378" s="301"/>
      <c r="EY378" s="134"/>
      <c r="EZ378" s="134"/>
      <c r="FA378" s="134"/>
      <c r="FB378" s="134"/>
      <c r="FC378" s="134"/>
      <c r="FD378" s="134"/>
      <c r="FE378" s="134"/>
      <c r="FF378" s="134"/>
      <c r="FG378" s="135"/>
      <c r="FH378" s="135"/>
      <c r="FI378" s="134"/>
      <c r="FJ378" s="134"/>
      <c r="FK378" s="134"/>
      <c r="FL378" s="134"/>
      <c r="FM378" s="134"/>
      <c r="FN378" s="134"/>
      <c r="FO378" s="134"/>
      <c r="FP378" s="134"/>
      <c r="FQ378" s="135"/>
      <c r="FR378" s="135"/>
      <c r="FS378" s="134"/>
      <c r="FT378" s="134"/>
      <c r="FU378" s="134"/>
      <c r="FV378" s="134"/>
      <c r="FW378" s="134"/>
      <c r="FX378" s="134"/>
      <c r="FY378" s="134"/>
      <c r="FZ378" s="134"/>
      <c r="GA378" s="135"/>
      <c r="GB378" s="135"/>
      <c r="GC378" s="134"/>
      <c r="GD378" s="134"/>
      <c r="GE378" s="134"/>
      <c r="GF378" s="134"/>
      <c r="GG378" s="134"/>
      <c r="GH378" s="134"/>
      <c r="GI378" s="134"/>
      <c r="GJ378" s="134"/>
      <c r="GK378" s="135"/>
      <c r="GL378" s="135"/>
      <c r="GM378" s="134"/>
      <c r="GN378" s="134"/>
      <c r="GO378" s="134"/>
      <c r="GP378" s="134"/>
      <c r="GQ378" s="134"/>
      <c r="GR378" s="134"/>
      <c r="GS378" s="134"/>
      <c r="GT378" s="134"/>
      <c r="GU378" s="135"/>
      <c r="GV378" s="135"/>
      <c r="GW378" s="134"/>
      <c r="GX378" s="134"/>
      <c r="GY378" s="134"/>
      <c r="GZ378" s="134"/>
      <c r="HA378" s="134"/>
      <c r="HB378" s="134"/>
      <c r="HC378" s="134"/>
      <c r="HD378" s="134"/>
      <c r="HE378" s="135"/>
      <c r="HF378" s="135"/>
      <c r="HG378" s="134"/>
      <c r="HH378" s="134"/>
      <c r="HI378" s="134"/>
      <c r="HJ378" s="134"/>
      <c r="HK378" s="134"/>
      <c r="HL378" s="134"/>
      <c r="HM378" s="134"/>
      <c r="HN378" s="134"/>
      <c r="HO378" s="135"/>
      <c r="HP378" s="135"/>
      <c r="HQ378" s="134"/>
      <c r="HR378" s="134"/>
      <c r="HS378" s="134"/>
      <c r="HT378" s="134"/>
      <c r="HU378" s="134"/>
      <c r="HV378" s="134"/>
      <c r="HW378" s="134"/>
      <c r="HX378" s="134"/>
      <c r="HY378" s="135"/>
      <c r="HZ378" s="135"/>
      <c r="IA378" s="134"/>
      <c r="IB378" s="134"/>
      <c r="IC378" s="134"/>
      <c r="ID378" s="134"/>
      <c r="IE378" s="134"/>
      <c r="IF378" s="134"/>
      <c r="IG378" s="134"/>
      <c r="IH378" s="134"/>
      <c r="II378" s="135"/>
      <c r="IJ378" s="135"/>
      <c r="IK378" s="134"/>
      <c r="IL378" s="134"/>
      <c r="IM378" s="134"/>
      <c r="IN378" s="134"/>
      <c r="IO378" s="134"/>
      <c r="IP378" s="134"/>
      <c r="IQ378" s="134"/>
      <c r="IR378" s="134"/>
      <c r="IS378" s="135"/>
      <c r="IT378" s="135"/>
      <c r="IU378" s="134"/>
      <c r="IV378" s="134"/>
      <c r="IW378" s="134"/>
      <c r="IX378" s="134"/>
      <c r="IY378" s="134"/>
      <c r="IZ378" s="134"/>
      <c r="JA378" s="134"/>
      <c r="JB378" s="134"/>
      <c r="JC378" s="135"/>
      <c r="JD378" s="135"/>
    </row>
    <row r="379" spans="1:264" ht="15" customHeight="1">
      <c r="A379" s="118" t="s">
        <v>337</v>
      </c>
      <c r="B379" s="616">
        <v>242</v>
      </c>
      <c r="C379" s="616">
        <v>88</v>
      </c>
      <c r="D379" s="616"/>
      <c r="E379" s="605" t="s">
        <v>2036</v>
      </c>
      <c r="F379" s="140" t="s">
        <v>2275</v>
      </c>
      <c r="G379" s="141">
        <v>2002</v>
      </c>
      <c r="H379" s="118">
        <v>11853357</v>
      </c>
      <c r="I379" s="118">
        <v>1</v>
      </c>
      <c r="J379" s="118"/>
      <c r="K379" s="118"/>
      <c r="L379" s="118">
        <v>1</v>
      </c>
      <c r="M379" s="118"/>
      <c r="N379" s="118">
        <v>1</v>
      </c>
      <c r="O379" s="142">
        <v>1</v>
      </c>
      <c r="P379" s="118" t="s">
        <v>874</v>
      </c>
      <c r="Q379" s="118" t="s">
        <v>1172</v>
      </c>
      <c r="R379" s="118" t="s">
        <v>25</v>
      </c>
      <c r="S379" s="118">
        <v>1</v>
      </c>
      <c r="T379" s="118"/>
      <c r="U379" s="118"/>
      <c r="V379" s="118"/>
      <c r="W379" s="118" t="s">
        <v>875</v>
      </c>
      <c r="X379" s="118" t="s">
        <v>24</v>
      </c>
      <c r="Y379" s="118" t="s">
        <v>24</v>
      </c>
      <c r="Z379" s="118"/>
      <c r="AA379" s="118"/>
      <c r="AB379" s="118"/>
      <c r="AC379" s="145"/>
      <c r="AD379" s="573">
        <v>1</v>
      </c>
      <c r="AE379" s="573">
        <v>2</v>
      </c>
      <c r="AF379" s="159">
        <v>1</v>
      </c>
      <c r="AG379" s="160"/>
      <c r="AH379" s="122">
        <v>2</v>
      </c>
      <c r="AI379" s="525" t="s">
        <v>5806</v>
      </c>
      <c r="AJ379" s="204"/>
      <c r="AK379" s="192">
        <v>1</v>
      </c>
      <c r="AL379" s="205">
        <v>0</v>
      </c>
      <c r="AM379" s="122">
        <f>Table668[[#This Row],[Data_Subjects_n_ptsd]]+Table668[[#This Row],[Data_Subjects_n_control]]</f>
        <v>47</v>
      </c>
      <c r="AN379" s="122">
        <v>26</v>
      </c>
      <c r="AO379" s="122">
        <v>21</v>
      </c>
      <c r="AP379" s="122" t="s">
        <v>803</v>
      </c>
      <c r="AQ379" s="122" t="s">
        <v>803</v>
      </c>
      <c r="AR379" s="122">
        <v>50.19</v>
      </c>
      <c r="AS379" s="122">
        <v>3.28</v>
      </c>
      <c r="AT379" s="122">
        <v>51.57</v>
      </c>
      <c r="AU379" s="122">
        <v>4.91</v>
      </c>
      <c r="AV379" s="122" t="s">
        <v>3206</v>
      </c>
      <c r="AW379" s="122" t="s">
        <v>24</v>
      </c>
      <c r="AX379" s="122" t="s">
        <v>24</v>
      </c>
      <c r="AY379" s="122" t="s">
        <v>5021</v>
      </c>
      <c r="AZ379" s="122" t="s">
        <v>3835</v>
      </c>
      <c r="BA379" s="122" t="s">
        <v>5805</v>
      </c>
      <c r="BB379" s="588"/>
      <c r="BC379" s="588"/>
      <c r="BD379" s="161"/>
      <c r="BE379" s="161"/>
      <c r="BF379" s="161" t="s">
        <v>4727</v>
      </c>
      <c r="BG379" s="161"/>
      <c r="BH379" s="161"/>
      <c r="BI379" s="161"/>
      <c r="BJ379" s="161">
        <v>1</v>
      </c>
      <c r="BK379" s="161"/>
      <c r="BL379" s="161"/>
      <c r="BM379" s="161"/>
      <c r="BN379" s="161" t="s">
        <v>4727</v>
      </c>
      <c r="BO379" s="161"/>
      <c r="BP379" s="161"/>
      <c r="BQ379" s="596" t="s">
        <v>5809</v>
      </c>
      <c r="BR379" s="162" t="s">
        <v>6626</v>
      </c>
      <c r="BS379" s="660"/>
      <c r="BT379" s="150" t="s">
        <v>1876</v>
      </c>
      <c r="BU379" s="150">
        <v>2</v>
      </c>
      <c r="BV379" s="150" t="s">
        <v>5807</v>
      </c>
      <c r="BW379" s="150" t="s">
        <v>24</v>
      </c>
      <c r="BX379" s="134" t="s">
        <v>5811</v>
      </c>
      <c r="BY379" s="134"/>
      <c r="BZ379" s="258" t="s">
        <v>5828</v>
      </c>
      <c r="CA379" s="257">
        <v>0</v>
      </c>
      <c r="CB379" s="151" t="s">
        <v>5789</v>
      </c>
      <c r="CC379" s="151">
        <v>71.69</v>
      </c>
      <c r="CD379" s="151">
        <v>8.39</v>
      </c>
      <c r="CE379" s="150" t="s">
        <v>24</v>
      </c>
      <c r="CF379" s="151" t="s">
        <v>5790</v>
      </c>
      <c r="CG379" s="150">
        <v>72.05</v>
      </c>
      <c r="CH379" s="150">
        <v>5.8</v>
      </c>
      <c r="CI379" s="150" t="s">
        <v>24</v>
      </c>
      <c r="CJ379" s="290" t="s">
        <v>3229</v>
      </c>
      <c r="CK379" s="291" t="s">
        <v>5826</v>
      </c>
      <c r="CL379" s="151" t="s">
        <v>5813</v>
      </c>
      <c r="CM379" s="150">
        <v>3.54</v>
      </c>
      <c r="CN379" s="150">
        <v>1.42</v>
      </c>
      <c r="CO379" s="150" t="s">
        <v>24</v>
      </c>
      <c r="CP379" s="151" t="s">
        <v>5814</v>
      </c>
      <c r="CQ379" s="150">
        <v>3.59</v>
      </c>
      <c r="CR379" s="150">
        <v>1.28</v>
      </c>
      <c r="CS379" s="150" t="s">
        <v>24</v>
      </c>
      <c r="CT379" s="290" t="s">
        <v>3229</v>
      </c>
      <c r="CU379" s="291" t="s">
        <v>5825</v>
      </c>
      <c r="CV379" s="278"/>
      <c r="CW379" s="285"/>
      <c r="CX379" s="151"/>
      <c r="CY379" s="150"/>
      <c r="CZ379" s="150"/>
      <c r="DA379" s="150"/>
      <c r="DB379" s="150"/>
      <c r="DC379" s="150"/>
      <c r="DD379" s="150"/>
      <c r="DE379" s="150"/>
      <c r="DF379" s="302"/>
      <c r="DG379" s="303"/>
      <c r="DH379" s="150"/>
      <c r="DI379" s="150"/>
      <c r="DJ379" s="150"/>
      <c r="DK379" s="150"/>
      <c r="DL379" s="150"/>
      <c r="DM379" s="150"/>
      <c r="DN379" s="150"/>
      <c r="DO379" s="150"/>
      <c r="DP379" s="302"/>
      <c r="DQ379" s="303"/>
      <c r="DR379" s="278"/>
      <c r="DS379" s="279"/>
      <c r="DT379" s="150"/>
      <c r="DU379" s="150"/>
      <c r="DV379" s="150"/>
      <c r="DW379" s="150"/>
      <c r="DX379" s="151"/>
      <c r="DY379" s="150"/>
      <c r="DZ379" s="150"/>
      <c r="EA379" s="150"/>
      <c r="EB379" s="303"/>
      <c r="EC379" s="303"/>
      <c r="ED379" s="151"/>
      <c r="EE379" s="150"/>
      <c r="EF379" s="150"/>
      <c r="EG379" s="150"/>
      <c r="EH379" s="151"/>
      <c r="EI379" s="150"/>
      <c r="EJ379" s="150"/>
      <c r="EK379" s="150"/>
      <c r="EL379" s="303"/>
      <c r="EM379" s="303"/>
      <c r="EN379" s="279"/>
      <c r="EO379" s="150"/>
      <c r="EP379" s="150"/>
      <c r="EQ379" s="150"/>
      <c r="ER379" s="150"/>
      <c r="ES379" s="150"/>
      <c r="ET379" s="150"/>
      <c r="EU379" s="150"/>
      <c r="EV379" s="150"/>
      <c r="EW379" s="303"/>
      <c r="EX379" s="303"/>
      <c r="EY379" s="150"/>
      <c r="EZ379" s="150"/>
      <c r="FA379" s="150"/>
      <c r="FB379" s="150"/>
      <c r="FC379" s="150"/>
      <c r="FD379" s="150"/>
      <c r="FE379" s="150"/>
      <c r="FF379" s="150"/>
      <c r="FG379" s="152"/>
      <c r="FH379" s="152"/>
      <c r="FI379" s="150"/>
      <c r="FJ379" s="150"/>
      <c r="FK379" s="150"/>
      <c r="FL379" s="150"/>
      <c r="FM379" s="150"/>
      <c r="FN379" s="150"/>
      <c r="FO379" s="150"/>
      <c r="FP379" s="150"/>
      <c r="FQ379" s="152"/>
      <c r="FR379" s="152"/>
      <c r="FS379" s="150"/>
      <c r="FT379" s="150"/>
      <c r="FU379" s="150"/>
      <c r="FV379" s="150"/>
      <c r="FW379" s="150"/>
      <c r="FX379" s="150"/>
      <c r="FY379" s="150"/>
      <c r="FZ379" s="150"/>
      <c r="GA379" s="152"/>
      <c r="GB379" s="152"/>
      <c r="GC379" s="150"/>
      <c r="GD379" s="150"/>
      <c r="GE379" s="150"/>
      <c r="GF379" s="150"/>
      <c r="GG379" s="150"/>
      <c r="GH379" s="150"/>
      <c r="GI379" s="150"/>
      <c r="GJ379" s="150"/>
      <c r="GK379" s="152"/>
      <c r="GL379" s="152"/>
      <c r="GM379" s="150"/>
      <c r="GN379" s="150"/>
      <c r="GO379" s="150"/>
      <c r="GP379" s="150"/>
      <c r="GQ379" s="150"/>
      <c r="GR379" s="150"/>
      <c r="GS379" s="150"/>
      <c r="GT379" s="150"/>
      <c r="GU379" s="152"/>
      <c r="GV379" s="152"/>
      <c r="GW379" s="134"/>
      <c r="GX379" s="134"/>
      <c r="GY379" s="134"/>
      <c r="GZ379" s="134"/>
      <c r="HA379" s="134"/>
      <c r="HB379" s="134"/>
      <c r="HC379" s="134"/>
      <c r="HD379" s="134"/>
      <c r="HE379" s="135"/>
      <c r="HF379" s="135"/>
      <c r="HG379" s="134"/>
      <c r="HH379" s="134"/>
      <c r="HI379" s="134"/>
      <c r="HJ379" s="134"/>
      <c r="HK379" s="134"/>
      <c r="HL379" s="134"/>
      <c r="HM379" s="134"/>
      <c r="HN379" s="134"/>
      <c r="HO379" s="135"/>
      <c r="HP379" s="135"/>
      <c r="HQ379" s="134"/>
      <c r="HR379" s="134"/>
      <c r="HS379" s="134"/>
      <c r="HT379" s="134"/>
      <c r="HU379" s="134"/>
      <c r="HV379" s="134"/>
      <c r="HW379" s="134"/>
      <c r="HX379" s="134"/>
      <c r="HY379" s="135"/>
      <c r="HZ379" s="135"/>
      <c r="IA379" s="134"/>
      <c r="IB379" s="134"/>
      <c r="IC379" s="134"/>
      <c r="ID379" s="134"/>
      <c r="IE379" s="134"/>
      <c r="IF379" s="134"/>
      <c r="IG379" s="134"/>
      <c r="IH379" s="134"/>
      <c r="II379" s="135"/>
      <c r="IJ379" s="135"/>
      <c r="IK379" s="134"/>
      <c r="IL379" s="134"/>
      <c r="IM379" s="134"/>
      <c r="IN379" s="134"/>
      <c r="IO379" s="134"/>
      <c r="IP379" s="134"/>
      <c r="IQ379" s="134"/>
      <c r="IR379" s="134"/>
      <c r="IS379" s="135"/>
      <c r="IT379" s="135"/>
      <c r="IU379" s="134"/>
      <c r="IV379" s="134"/>
      <c r="IW379" s="134"/>
      <c r="IX379" s="134"/>
      <c r="IY379" s="134"/>
      <c r="IZ379" s="134"/>
      <c r="JA379" s="134"/>
      <c r="JB379" s="134"/>
      <c r="JC379" s="135"/>
      <c r="JD379" s="135"/>
    </row>
    <row r="380" spans="1:264" ht="15" customHeight="1">
      <c r="A380" s="79" t="s">
        <v>338</v>
      </c>
      <c r="B380" s="362">
        <v>243</v>
      </c>
      <c r="C380" s="362">
        <v>89</v>
      </c>
      <c r="D380" s="362"/>
      <c r="E380" s="604" t="s">
        <v>2037</v>
      </c>
      <c r="F380" s="124" t="s">
        <v>2276</v>
      </c>
      <c r="G380" s="125">
        <v>2014</v>
      </c>
      <c r="H380" s="79">
        <v>24245929</v>
      </c>
      <c r="I380" s="79">
        <v>1</v>
      </c>
      <c r="J380" s="126"/>
      <c r="K380" s="127"/>
      <c r="L380" s="79">
        <v>1</v>
      </c>
      <c r="M380" s="79"/>
      <c r="N380" s="79">
        <v>1</v>
      </c>
      <c r="O380" s="128">
        <v>1</v>
      </c>
      <c r="P380" s="79" t="s">
        <v>876</v>
      </c>
      <c r="Q380" s="79" t="s">
        <v>1191</v>
      </c>
      <c r="R380" s="79" t="s">
        <v>878</v>
      </c>
      <c r="S380" s="79">
        <v>1</v>
      </c>
      <c r="T380" s="79"/>
      <c r="U380" s="79"/>
      <c r="V380" s="79"/>
      <c r="W380" s="79" t="s">
        <v>1190</v>
      </c>
      <c r="X380" s="79" t="s">
        <v>24</v>
      </c>
      <c r="Y380" s="79" t="s">
        <v>24</v>
      </c>
      <c r="Z380" s="79" t="s">
        <v>877</v>
      </c>
      <c r="AA380" s="79"/>
      <c r="AB380" s="79"/>
      <c r="AC380" s="506"/>
      <c r="AD380" s="573">
        <v>1</v>
      </c>
      <c r="AE380" s="573">
        <v>2</v>
      </c>
      <c r="AF380" s="165">
        <v>0</v>
      </c>
      <c r="AG380" s="166" t="s">
        <v>5888</v>
      </c>
      <c r="AH380" s="120">
        <v>2</v>
      </c>
      <c r="AI380" s="120"/>
      <c r="AJ380" s="206"/>
      <c r="AK380" s="372"/>
      <c r="AL380" s="207"/>
      <c r="AM380" s="120"/>
      <c r="AN380" s="120"/>
      <c r="AO380" s="120"/>
      <c r="AP380" s="120"/>
      <c r="AQ380" s="120"/>
      <c r="AR380" s="120"/>
      <c r="AS380" s="120"/>
      <c r="AT380" s="120"/>
      <c r="AU380" s="120"/>
      <c r="AV380" s="120"/>
      <c r="AW380" s="120"/>
      <c r="AX380" s="120"/>
      <c r="AY380" s="120"/>
      <c r="AZ380" s="120"/>
      <c r="BA380" s="120"/>
      <c r="BB380" s="594"/>
      <c r="BC380" s="594"/>
      <c r="BD380" s="373"/>
      <c r="BE380" s="373"/>
      <c r="BF380" s="373"/>
      <c r="BG380" s="373"/>
      <c r="BH380" s="373"/>
      <c r="BI380" s="373"/>
      <c r="BJ380" s="373">
        <v>1</v>
      </c>
      <c r="BK380" s="373"/>
      <c r="BL380" s="373"/>
      <c r="BM380" s="373"/>
      <c r="BN380" s="373"/>
      <c r="BO380" s="373"/>
      <c r="BP380" s="373"/>
      <c r="BQ380" s="599"/>
      <c r="BR380" s="374"/>
      <c r="BS380" s="660"/>
      <c r="BT380" s="120"/>
      <c r="BU380" s="120"/>
      <c r="BV380" s="120"/>
      <c r="BW380" s="120"/>
      <c r="BX380" s="120"/>
      <c r="BY380" s="120"/>
      <c r="BZ380" s="375"/>
      <c r="CA380" s="380"/>
      <c r="CB380" s="138"/>
      <c r="CC380" s="134"/>
      <c r="CD380" s="134"/>
      <c r="CE380" s="134"/>
      <c r="CF380" s="138"/>
      <c r="CG380" s="134"/>
      <c r="CH380" s="134"/>
      <c r="CI380" s="134"/>
      <c r="CJ380" s="288"/>
      <c r="CK380" s="289"/>
      <c r="CL380" s="138"/>
      <c r="CM380" s="134"/>
      <c r="CN380" s="134"/>
      <c r="CO380" s="134"/>
      <c r="CP380" s="138"/>
      <c r="CQ380" s="134"/>
      <c r="CR380" s="134"/>
      <c r="CS380" s="134"/>
      <c r="CT380" s="288"/>
      <c r="CU380" s="289"/>
      <c r="CV380" s="276"/>
      <c r="CW380" s="308"/>
      <c r="CX380" s="138"/>
      <c r="CY380" s="134"/>
      <c r="CZ380" s="134"/>
      <c r="DA380" s="134"/>
      <c r="DB380" s="134"/>
      <c r="DC380" s="134"/>
      <c r="DD380" s="134"/>
      <c r="DE380" s="134"/>
      <c r="DF380" s="300"/>
      <c r="DG380" s="301"/>
      <c r="DH380" s="134"/>
      <c r="DI380" s="134"/>
      <c r="DJ380" s="134"/>
      <c r="DK380" s="134"/>
      <c r="DL380" s="134"/>
      <c r="DM380" s="134"/>
      <c r="DN380" s="134"/>
      <c r="DO380" s="134"/>
      <c r="DP380" s="300"/>
      <c r="DQ380" s="301"/>
      <c r="DR380" s="276"/>
      <c r="DS380" s="277"/>
      <c r="DT380" s="134"/>
      <c r="DU380" s="134"/>
      <c r="DV380" s="134"/>
      <c r="DW380" s="134"/>
      <c r="DX380" s="138"/>
      <c r="DY380" s="134"/>
      <c r="DZ380" s="134"/>
      <c r="EA380" s="134"/>
      <c r="EB380" s="301"/>
      <c r="EC380" s="301"/>
      <c r="ED380" s="138"/>
      <c r="EE380" s="134"/>
      <c r="EF380" s="134"/>
      <c r="EG380" s="134"/>
      <c r="EH380" s="138"/>
      <c r="EI380" s="134"/>
      <c r="EJ380" s="134"/>
      <c r="EK380" s="134"/>
      <c r="EL380" s="301"/>
      <c r="EM380" s="301"/>
      <c r="EN380" s="277"/>
      <c r="EO380" s="134"/>
      <c r="EP380" s="134"/>
      <c r="EQ380" s="134"/>
      <c r="ER380" s="134"/>
      <c r="ES380" s="134"/>
      <c r="ET380" s="134"/>
      <c r="EU380" s="134"/>
      <c r="EV380" s="134"/>
      <c r="EW380" s="301"/>
      <c r="EX380" s="301"/>
      <c r="EY380" s="134"/>
      <c r="EZ380" s="134"/>
      <c r="FA380" s="134"/>
      <c r="FB380" s="134"/>
      <c r="FC380" s="134"/>
      <c r="FD380" s="134"/>
      <c r="FE380" s="134"/>
      <c r="FF380" s="134"/>
      <c r="FG380" s="135"/>
      <c r="FH380" s="135"/>
      <c r="FI380" s="134"/>
      <c r="FJ380" s="134"/>
      <c r="FK380" s="134"/>
      <c r="FL380" s="134"/>
      <c r="FM380" s="134"/>
      <c r="FN380" s="134"/>
      <c r="FO380" s="134"/>
      <c r="FP380" s="134"/>
      <c r="FQ380" s="135"/>
      <c r="FR380" s="135"/>
      <c r="FS380" s="134"/>
      <c r="FT380" s="134"/>
      <c r="FU380" s="134"/>
      <c r="FV380" s="134"/>
      <c r="FW380" s="134"/>
      <c r="FX380" s="134"/>
      <c r="FY380" s="134"/>
      <c r="FZ380" s="134"/>
      <c r="GA380" s="135"/>
      <c r="GB380" s="135"/>
      <c r="GC380" s="134"/>
      <c r="GD380" s="134"/>
      <c r="GE380" s="134"/>
      <c r="GF380" s="134"/>
      <c r="GG380" s="134"/>
      <c r="GH380" s="134"/>
      <c r="GI380" s="134"/>
      <c r="GJ380" s="134"/>
      <c r="GK380" s="135"/>
      <c r="GL380" s="135"/>
      <c r="GM380" s="134"/>
      <c r="GN380" s="134"/>
      <c r="GO380" s="134"/>
      <c r="GP380" s="134"/>
      <c r="GQ380" s="134"/>
      <c r="GR380" s="134"/>
      <c r="GS380" s="134"/>
      <c r="GT380" s="134"/>
      <c r="GU380" s="135"/>
      <c r="GV380" s="135"/>
      <c r="GW380" s="134"/>
      <c r="GX380" s="134"/>
      <c r="GY380" s="134"/>
      <c r="GZ380" s="134"/>
      <c r="HA380" s="134"/>
      <c r="HB380" s="134"/>
      <c r="HC380" s="134"/>
      <c r="HD380" s="134"/>
      <c r="HE380" s="135"/>
      <c r="HF380" s="135"/>
      <c r="HG380" s="134"/>
      <c r="HH380" s="134"/>
      <c r="HI380" s="134"/>
      <c r="HJ380" s="134"/>
      <c r="HK380" s="134"/>
      <c r="HL380" s="134"/>
      <c r="HM380" s="134"/>
      <c r="HN380" s="134"/>
      <c r="HO380" s="135"/>
      <c r="HP380" s="135"/>
      <c r="HQ380" s="134"/>
      <c r="HR380" s="134"/>
      <c r="HS380" s="134"/>
      <c r="HT380" s="134"/>
      <c r="HU380" s="134"/>
      <c r="HV380" s="134"/>
      <c r="HW380" s="134"/>
      <c r="HX380" s="134"/>
      <c r="HY380" s="135"/>
      <c r="HZ380" s="135"/>
      <c r="IA380" s="134"/>
      <c r="IB380" s="134"/>
      <c r="IC380" s="134"/>
      <c r="ID380" s="134"/>
      <c r="IE380" s="134"/>
      <c r="IF380" s="134"/>
      <c r="IG380" s="134"/>
      <c r="IH380" s="134"/>
      <c r="II380" s="135"/>
      <c r="IJ380" s="135"/>
      <c r="IK380" s="134"/>
      <c r="IL380" s="134"/>
      <c r="IM380" s="134"/>
      <c r="IN380" s="134"/>
      <c r="IO380" s="134"/>
      <c r="IP380" s="134"/>
      <c r="IQ380" s="134"/>
      <c r="IR380" s="134"/>
      <c r="IS380" s="135"/>
      <c r="IT380" s="135"/>
      <c r="IU380" s="134"/>
      <c r="IV380" s="134"/>
      <c r="IW380" s="134"/>
      <c r="IX380" s="134"/>
      <c r="IY380" s="134"/>
      <c r="IZ380" s="134"/>
      <c r="JA380" s="134"/>
      <c r="JB380" s="134"/>
      <c r="JC380" s="135"/>
      <c r="JD380" s="135"/>
    </row>
    <row r="381" spans="1:264" ht="15" customHeight="1">
      <c r="A381" s="79" t="s">
        <v>957</v>
      </c>
      <c r="B381" s="362">
        <v>247</v>
      </c>
      <c r="C381" s="362">
        <v>90</v>
      </c>
      <c r="D381" s="362"/>
      <c r="E381" s="604" t="s">
        <v>2126</v>
      </c>
      <c r="F381" s="124" t="s">
        <v>2388</v>
      </c>
      <c r="G381" s="125">
        <v>2000</v>
      </c>
      <c r="H381" s="79">
        <v>11006431</v>
      </c>
      <c r="I381" s="79">
        <v>1</v>
      </c>
      <c r="J381" s="126"/>
      <c r="K381" s="127"/>
      <c r="L381" s="79">
        <v>1</v>
      </c>
      <c r="M381" s="79"/>
      <c r="N381" s="79">
        <v>1</v>
      </c>
      <c r="O381" s="128">
        <v>2</v>
      </c>
      <c r="P381" s="79" t="s">
        <v>1586</v>
      </c>
      <c r="Q381" s="79" t="s">
        <v>1147</v>
      </c>
      <c r="R381" s="79"/>
      <c r="S381" s="79"/>
      <c r="T381" s="79" t="s">
        <v>1721</v>
      </c>
      <c r="U381" s="79"/>
      <c r="V381" s="79"/>
      <c r="W381" s="79" t="s">
        <v>1617</v>
      </c>
      <c r="X381" s="79" t="s">
        <v>1616</v>
      </c>
      <c r="Y381" s="79"/>
      <c r="Z381" s="79"/>
      <c r="AA381" s="79"/>
      <c r="AB381" s="79"/>
      <c r="AC381" s="506"/>
      <c r="AD381" s="573">
        <v>1</v>
      </c>
      <c r="AE381" s="573">
        <v>2</v>
      </c>
      <c r="AF381" s="154">
        <v>1</v>
      </c>
      <c r="AG381" s="155"/>
      <c r="AH381" s="121">
        <v>4</v>
      </c>
      <c r="AI381" s="484" t="s">
        <v>5907</v>
      </c>
      <c r="AJ381" s="202" t="s">
        <v>5910</v>
      </c>
      <c r="AK381" s="192">
        <v>0</v>
      </c>
      <c r="AL381" s="203">
        <v>0</v>
      </c>
      <c r="AM381" s="121">
        <f>Table668[[#This Row],[Data_Subjects_n_ptsd]]+Table668[[#This Row],[Data_Subjects_n_control]]</f>
        <v>15</v>
      </c>
      <c r="AN381" s="121">
        <v>10</v>
      </c>
      <c r="AO381" s="121">
        <v>5</v>
      </c>
      <c r="AP381" s="121" t="s">
        <v>803</v>
      </c>
      <c r="AQ381" s="121" t="s">
        <v>803</v>
      </c>
      <c r="AR381" s="355" t="s">
        <v>3403</v>
      </c>
      <c r="AS381" s="121" t="s">
        <v>24</v>
      </c>
      <c r="AT381" s="355" t="s">
        <v>3403</v>
      </c>
      <c r="AU381" s="121" t="s">
        <v>24</v>
      </c>
      <c r="AV381" s="121" t="s">
        <v>5890</v>
      </c>
      <c r="AW381" s="121">
        <v>1</v>
      </c>
      <c r="AX381" s="121">
        <v>1</v>
      </c>
      <c r="AY381" s="121" t="s">
        <v>5891</v>
      </c>
      <c r="AZ381" s="121" t="s">
        <v>3698</v>
      </c>
      <c r="BA381" s="121" t="s">
        <v>4508</v>
      </c>
      <c r="BB381" s="594"/>
      <c r="BC381" s="594"/>
      <c r="BD381" s="156"/>
      <c r="BE381" s="156"/>
      <c r="BF381" s="156"/>
      <c r="BG381" s="156"/>
      <c r="BH381" s="156"/>
      <c r="BI381" s="156"/>
      <c r="BJ381" s="156">
        <v>1</v>
      </c>
      <c r="BK381" s="156"/>
      <c r="BL381" s="156"/>
      <c r="BM381" s="156"/>
      <c r="BN381" s="156"/>
      <c r="BO381" s="156"/>
      <c r="BP381" s="156"/>
      <c r="BQ381" s="595" t="s">
        <v>5893</v>
      </c>
      <c r="BR381" s="157" t="s">
        <v>6617</v>
      </c>
      <c r="BS381" s="660"/>
      <c r="BT381" s="134" t="s">
        <v>1876</v>
      </c>
      <c r="BU381" s="134">
        <v>2</v>
      </c>
      <c r="BV381" s="134" t="s">
        <v>5892</v>
      </c>
      <c r="BW381" s="134" t="s">
        <v>5889</v>
      </c>
      <c r="BX381" s="168" t="s">
        <v>5901</v>
      </c>
      <c r="BY381" s="168"/>
      <c r="BZ381" s="259" t="s">
        <v>5904</v>
      </c>
      <c r="CA381" s="454" t="s">
        <v>6634</v>
      </c>
      <c r="CB381" s="138" t="s">
        <v>5894</v>
      </c>
      <c r="CC381" s="134">
        <v>53.112200000000001</v>
      </c>
      <c r="CD381" s="134" t="s">
        <v>5898</v>
      </c>
      <c r="CE381" s="134">
        <f>56.8311-Table668[[#This Row],[Data_Outcome1_M]]</f>
        <v>3.7188999999999979</v>
      </c>
      <c r="CF381" s="138" t="s">
        <v>5895</v>
      </c>
      <c r="CG381" s="134">
        <v>44.869799999999998</v>
      </c>
      <c r="CH381" s="134" t="s">
        <v>5898</v>
      </c>
      <c r="CI381" s="134">
        <f>47.349-Table668[[#This Row],[Data_Outcome2_M]]</f>
        <v>2.4791999999999987</v>
      </c>
      <c r="CJ381" s="288" t="s">
        <v>5900</v>
      </c>
      <c r="CK381" s="289" t="s">
        <v>5899</v>
      </c>
      <c r="CL381" s="138" t="s">
        <v>5897</v>
      </c>
      <c r="CM381" s="134">
        <v>28.795000000000002</v>
      </c>
      <c r="CN381" s="134" t="s">
        <v>5898</v>
      </c>
      <c r="CO381" s="134">
        <f>31.0687-Table668[[#This Row],[Data_Outcome3_M]]</f>
        <v>2.2736999999999981</v>
      </c>
      <c r="CP381" s="138" t="s">
        <v>5896</v>
      </c>
      <c r="CQ381" s="134">
        <v>45.845399999999998</v>
      </c>
      <c r="CR381" s="134" t="s">
        <v>5898</v>
      </c>
      <c r="CS381" s="134">
        <f>48.7482-Table668[[#This Row],[Data_Outcome4_M]]</f>
        <v>2.9027999999999992</v>
      </c>
      <c r="CT381" s="288" t="s">
        <v>5902</v>
      </c>
      <c r="CU381" s="289" t="s">
        <v>5899</v>
      </c>
      <c r="CV381" s="276" t="s">
        <v>5903</v>
      </c>
      <c r="CW381" s="308"/>
      <c r="CX381" s="138" t="s">
        <v>5906</v>
      </c>
      <c r="CY381" s="134">
        <v>24.32</v>
      </c>
      <c r="CZ381" s="134" t="s">
        <v>5898</v>
      </c>
      <c r="DA381" s="134">
        <v>3.89</v>
      </c>
      <c r="DB381" s="138" t="s">
        <v>5905</v>
      </c>
      <c r="DC381" s="134">
        <v>-0.36</v>
      </c>
      <c r="DD381" s="134" t="s">
        <v>5898</v>
      </c>
      <c r="DE381" s="134">
        <v>3.94</v>
      </c>
      <c r="DF381" s="300" t="s">
        <v>5908</v>
      </c>
      <c r="DG381" s="301" t="s">
        <v>5909</v>
      </c>
      <c r="DH381" s="134" t="s">
        <v>24</v>
      </c>
      <c r="DI381" s="134" t="s">
        <v>24</v>
      </c>
      <c r="DJ381" s="134" t="s">
        <v>24</v>
      </c>
      <c r="DK381" s="134" t="s">
        <v>24</v>
      </c>
      <c r="DL381" s="134" t="s">
        <v>24</v>
      </c>
      <c r="DM381" s="134" t="s">
        <v>24</v>
      </c>
      <c r="DN381" s="134" t="s">
        <v>24</v>
      </c>
      <c r="DO381" s="134" t="s">
        <v>24</v>
      </c>
      <c r="DP381" s="300"/>
      <c r="DQ381" s="301"/>
      <c r="DR381" s="276"/>
      <c r="DS381" s="277"/>
      <c r="DT381" s="134"/>
      <c r="DU381" s="134"/>
      <c r="DV381" s="134"/>
      <c r="DW381" s="134"/>
      <c r="DX381" s="138"/>
      <c r="DY381" s="134"/>
      <c r="DZ381" s="134"/>
      <c r="EA381" s="134"/>
      <c r="EB381" s="301"/>
      <c r="EC381" s="301"/>
      <c r="ED381" s="138"/>
      <c r="EE381" s="134"/>
      <c r="EF381" s="134"/>
      <c r="EG381" s="134"/>
      <c r="EH381" s="138"/>
      <c r="EI381" s="134"/>
      <c r="EJ381" s="134"/>
      <c r="EK381" s="134"/>
      <c r="EL381" s="301"/>
      <c r="EM381" s="301"/>
      <c r="EN381" s="277"/>
      <c r="EO381" s="134"/>
      <c r="EP381" s="134"/>
      <c r="EQ381" s="134"/>
      <c r="ER381" s="134"/>
      <c r="ES381" s="134"/>
      <c r="ET381" s="134"/>
      <c r="EU381" s="134"/>
      <c r="EV381" s="134"/>
      <c r="EW381" s="301"/>
      <c r="EX381" s="301"/>
      <c r="EY381" s="134"/>
      <c r="EZ381" s="134"/>
      <c r="FA381" s="134"/>
      <c r="FB381" s="134"/>
      <c r="FC381" s="134"/>
      <c r="FD381" s="134"/>
      <c r="FE381" s="134"/>
      <c r="FF381" s="134"/>
      <c r="FG381" s="135"/>
      <c r="FH381" s="135"/>
      <c r="FI381" s="134"/>
      <c r="FJ381" s="134"/>
      <c r="FK381" s="134"/>
      <c r="FL381" s="134"/>
      <c r="FM381" s="134"/>
      <c r="FN381" s="134"/>
      <c r="FO381" s="134"/>
      <c r="FP381" s="134"/>
      <c r="FQ381" s="135"/>
      <c r="FR381" s="135"/>
      <c r="FS381" s="134"/>
      <c r="FT381" s="134"/>
      <c r="FU381" s="134"/>
      <c r="FV381" s="134"/>
      <c r="FW381" s="134"/>
      <c r="FX381" s="134"/>
      <c r="FY381" s="134"/>
      <c r="FZ381" s="134"/>
      <c r="GA381" s="135"/>
      <c r="GB381" s="135"/>
      <c r="GC381" s="134"/>
      <c r="GD381" s="134"/>
      <c r="GE381" s="134"/>
      <c r="GF381" s="134"/>
      <c r="GG381" s="134"/>
      <c r="GH381" s="134"/>
      <c r="GI381" s="134"/>
      <c r="GJ381" s="134"/>
      <c r="GK381" s="135"/>
      <c r="GL381" s="135"/>
      <c r="GM381" s="134"/>
      <c r="GN381" s="134"/>
      <c r="GO381" s="134"/>
      <c r="GP381" s="134"/>
      <c r="GQ381" s="134"/>
      <c r="GR381" s="134"/>
      <c r="GS381" s="134"/>
      <c r="GT381" s="134"/>
      <c r="GU381" s="135"/>
      <c r="GV381" s="135"/>
      <c r="GW381" s="134"/>
      <c r="GX381" s="134"/>
      <c r="GY381" s="134"/>
      <c r="GZ381" s="134"/>
      <c r="HA381" s="134"/>
      <c r="HB381" s="134"/>
      <c r="HC381" s="134"/>
      <c r="HD381" s="134"/>
      <c r="HE381" s="135"/>
      <c r="HF381" s="135"/>
      <c r="HG381" s="134"/>
      <c r="HH381" s="134"/>
      <c r="HI381" s="134"/>
      <c r="HJ381" s="134"/>
      <c r="HK381" s="134"/>
      <c r="HL381" s="134"/>
      <c r="HM381" s="134"/>
      <c r="HN381" s="134"/>
      <c r="HO381" s="135"/>
      <c r="HP381" s="135"/>
      <c r="HQ381" s="134"/>
      <c r="HR381" s="134"/>
      <c r="HS381" s="134"/>
      <c r="HT381" s="134"/>
      <c r="HU381" s="134"/>
      <c r="HV381" s="134"/>
      <c r="HW381" s="134"/>
      <c r="HX381" s="134"/>
      <c r="HY381" s="135"/>
      <c r="HZ381" s="135"/>
      <c r="IA381" s="134"/>
      <c r="IB381" s="134"/>
      <c r="IC381" s="134"/>
      <c r="ID381" s="134"/>
      <c r="IE381" s="134"/>
      <c r="IF381" s="134"/>
      <c r="IG381" s="134"/>
      <c r="IH381" s="134"/>
      <c r="II381" s="135"/>
      <c r="IJ381" s="135"/>
      <c r="IK381" s="134"/>
      <c r="IL381" s="134"/>
      <c r="IM381" s="134"/>
      <c r="IN381" s="134"/>
      <c r="IO381" s="134"/>
      <c r="IP381" s="134"/>
      <c r="IQ381" s="134"/>
      <c r="IR381" s="134"/>
      <c r="IS381" s="135"/>
      <c r="IT381" s="135"/>
      <c r="IU381" s="134"/>
      <c r="IV381" s="134"/>
      <c r="IW381" s="134"/>
      <c r="IX381" s="134"/>
      <c r="IY381" s="134"/>
      <c r="IZ381" s="134"/>
      <c r="JA381" s="134"/>
      <c r="JB381" s="134"/>
      <c r="JC381" s="135"/>
      <c r="JD381" s="135"/>
    </row>
    <row r="382" spans="1:264" ht="15" customHeight="1">
      <c r="A382" s="79" t="s">
        <v>955</v>
      </c>
      <c r="B382" s="362">
        <v>50</v>
      </c>
      <c r="C382" s="362"/>
      <c r="D382" s="362"/>
      <c r="E382" s="604" t="s">
        <v>2126</v>
      </c>
      <c r="F382" s="124" t="s">
        <v>2389</v>
      </c>
      <c r="G382" s="125">
        <v>2008</v>
      </c>
      <c r="H382" s="79">
        <v>18577419</v>
      </c>
      <c r="I382" s="79">
        <v>1</v>
      </c>
      <c r="J382" s="126"/>
      <c r="K382" s="127"/>
      <c r="L382" s="79">
        <v>1</v>
      </c>
      <c r="M382" s="79"/>
      <c r="N382" s="169">
        <v>1</v>
      </c>
      <c r="O382" s="128">
        <v>2</v>
      </c>
      <c r="P382" s="79" t="s">
        <v>22</v>
      </c>
      <c r="Q382" s="79" t="s">
        <v>24</v>
      </c>
      <c r="R382" s="79" t="s">
        <v>1130</v>
      </c>
      <c r="S382" s="79"/>
      <c r="T382" s="79" t="s">
        <v>1619</v>
      </c>
      <c r="U382" s="79" t="s">
        <v>803</v>
      </c>
      <c r="V382" s="79"/>
      <c r="W382" s="79" t="s">
        <v>1722</v>
      </c>
      <c r="X382" s="79"/>
      <c r="Y382" s="79"/>
      <c r="Z382" s="79"/>
      <c r="AA382" s="79" t="s">
        <v>1620</v>
      </c>
      <c r="AB382" s="79" t="s">
        <v>424</v>
      </c>
      <c r="AC382" s="506"/>
      <c r="AD382" s="573">
        <v>1</v>
      </c>
      <c r="AE382" s="573">
        <v>2</v>
      </c>
      <c r="AF382" s="154">
        <v>1</v>
      </c>
      <c r="AG382" s="155" t="s">
        <v>3682</v>
      </c>
      <c r="AH382" s="121">
        <v>4</v>
      </c>
      <c r="AI382" s="484"/>
      <c r="AJ382" s="202" t="s">
        <v>3660</v>
      </c>
      <c r="AK382" s="192">
        <v>2</v>
      </c>
      <c r="AL382" s="203">
        <v>1</v>
      </c>
      <c r="AM382" s="121">
        <f>12+9+12</f>
        <v>33</v>
      </c>
      <c r="AN382" s="121">
        <v>12</v>
      </c>
      <c r="AO382" s="121" t="s">
        <v>3675</v>
      </c>
      <c r="AP382" s="121" t="s">
        <v>803</v>
      </c>
      <c r="AQ382" s="121" t="s">
        <v>803</v>
      </c>
      <c r="AR382" s="121" t="s">
        <v>2667</v>
      </c>
      <c r="AS382" s="121" t="s">
        <v>24</v>
      </c>
      <c r="AT382" s="121" t="s">
        <v>2667</v>
      </c>
      <c r="AU382" s="121" t="s">
        <v>24</v>
      </c>
      <c r="AV382" s="121" t="s">
        <v>3662</v>
      </c>
      <c r="AW382" s="121">
        <v>1</v>
      </c>
      <c r="AX382" s="121">
        <v>1</v>
      </c>
      <c r="AY382" s="121" t="s">
        <v>3661</v>
      </c>
      <c r="AZ382" s="121" t="s">
        <v>1130</v>
      </c>
      <c r="BA382" s="121" t="s">
        <v>2798</v>
      </c>
      <c r="BB382" s="594"/>
      <c r="BC382" s="594"/>
      <c r="BD382" s="156">
        <v>1</v>
      </c>
      <c r="BE382" s="156"/>
      <c r="BF382" s="156"/>
      <c r="BG382" s="156"/>
      <c r="BH382" s="156"/>
      <c r="BI382" s="156"/>
      <c r="BJ382" s="156"/>
      <c r="BK382" s="156"/>
      <c r="BL382" s="156"/>
      <c r="BM382" s="156"/>
      <c r="BN382" s="156"/>
      <c r="BO382" s="156"/>
      <c r="BP382" s="156"/>
      <c r="BQ382" s="595" t="s">
        <v>3681</v>
      </c>
      <c r="BR382" s="157" t="s">
        <v>6595</v>
      </c>
      <c r="BS382" s="660"/>
      <c r="BT382" s="134" t="s">
        <v>1876</v>
      </c>
      <c r="BU382" s="134" t="s">
        <v>3659</v>
      </c>
      <c r="BV382" s="134" t="s">
        <v>3663</v>
      </c>
      <c r="BW382" s="134" t="s">
        <v>3658</v>
      </c>
      <c r="BX382" s="134" t="s">
        <v>3237</v>
      </c>
      <c r="BY382" s="134" t="s">
        <v>6640</v>
      </c>
      <c r="BZ382" s="259" t="s">
        <v>3679</v>
      </c>
      <c r="CA382" s="454" t="s">
        <v>6627</v>
      </c>
      <c r="CB382" s="138" t="s">
        <v>3666</v>
      </c>
      <c r="CC382" s="134">
        <v>100.126</v>
      </c>
      <c r="CD382" s="134" t="s">
        <v>24</v>
      </c>
      <c r="CE382" s="134">
        <f>115.891-Table668[[#This Row],[Data_Outcome1_M]]</f>
        <v>15.765000000000001</v>
      </c>
      <c r="CF382" s="138" t="s">
        <v>3667</v>
      </c>
      <c r="CG382" s="134">
        <v>65.911900000000003</v>
      </c>
      <c r="CH382" s="134" t="s">
        <v>24</v>
      </c>
      <c r="CI382" s="134">
        <f>71.6143-Table668[[#This Row],[Data_Outcome2_M]]</f>
        <v>5.7023999999999972</v>
      </c>
      <c r="CJ382" s="288" t="s">
        <v>24</v>
      </c>
      <c r="CK382" s="289" t="s">
        <v>24</v>
      </c>
      <c r="CL382" s="138" t="s">
        <v>3668</v>
      </c>
      <c r="CM382" s="134">
        <v>31.6981</v>
      </c>
      <c r="CN382" s="134" t="s">
        <v>24</v>
      </c>
      <c r="CO382" s="134">
        <f>35.3878-Table668[[#This Row],[Data_Outcome3_M]]</f>
        <v>3.6896999999999984</v>
      </c>
      <c r="CP382" s="138" t="s">
        <v>24</v>
      </c>
      <c r="CQ382" s="134"/>
      <c r="CR382" s="134"/>
      <c r="CS382" s="134"/>
      <c r="CT382" s="288" t="s">
        <v>24</v>
      </c>
      <c r="CU382" s="289" t="s">
        <v>24</v>
      </c>
      <c r="CV382" s="276" t="s">
        <v>3677</v>
      </c>
      <c r="CW382" s="308" t="s">
        <v>3678</v>
      </c>
      <c r="CX382" s="138"/>
      <c r="CY382" s="134"/>
      <c r="CZ382" s="134"/>
      <c r="DA382" s="134"/>
      <c r="DB382" s="134"/>
      <c r="DC382" s="134"/>
      <c r="DD382" s="134"/>
      <c r="DE382" s="134"/>
      <c r="DF382" s="300"/>
      <c r="DG382" s="301"/>
      <c r="DH382" s="134"/>
      <c r="DI382" s="134"/>
      <c r="DJ382" s="134"/>
      <c r="DK382" s="134"/>
      <c r="DL382" s="134"/>
      <c r="DM382" s="134"/>
      <c r="DN382" s="134"/>
      <c r="DO382" s="134"/>
      <c r="DP382" s="300"/>
      <c r="DQ382" s="301"/>
      <c r="DR382" s="276"/>
      <c r="DS382" s="277"/>
      <c r="DT382" s="134"/>
      <c r="DU382" s="134"/>
      <c r="DV382" s="134"/>
      <c r="DW382" s="134"/>
      <c r="DX382" s="138"/>
      <c r="DY382" s="134"/>
      <c r="DZ382" s="134"/>
      <c r="EA382" s="134"/>
      <c r="EB382" s="301"/>
      <c r="EC382" s="301"/>
      <c r="ED382" s="138"/>
      <c r="EE382" s="134"/>
      <c r="EF382" s="134"/>
      <c r="EG382" s="134"/>
      <c r="EH382" s="138"/>
      <c r="EI382" s="134"/>
      <c r="EJ382" s="134"/>
      <c r="EK382" s="134"/>
      <c r="EL382" s="301"/>
      <c r="EM382" s="301"/>
      <c r="EN382" s="277"/>
      <c r="EO382" s="134"/>
      <c r="EP382" s="134"/>
      <c r="EQ382" s="134"/>
      <c r="ER382" s="134"/>
      <c r="ES382" s="134"/>
      <c r="ET382" s="134"/>
      <c r="EU382" s="134"/>
      <c r="EV382" s="134"/>
      <c r="EW382" s="301"/>
      <c r="EX382" s="301"/>
      <c r="EY382" s="134"/>
      <c r="EZ382" s="134"/>
      <c r="FA382" s="134"/>
      <c r="FB382" s="134"/>
      <c r="FC382" s="134"/>
      <c r="FD382" s="134"/>
      <c r="FE382" s="134"/>
      <c r="FF382" s="134"/>
      <c r="FG382" s="135"/>
      <c r="FH382" s="135"/>
      <c r="FI382" s="134"/>
      <c r="FJ382" s="134"/>
      <c r="FK382" s="134"/>
      <c r="FL382" s="134"/>
      <c r="FM382" s="134"/>
      <c r="FN382" s="134"/>
      <c r="FO382" s="134"/>
      <c r="FP382" s="134"/>
      <c r="FQ382" s="135"/>
      <c r="FR382" s="135"/>
      <c r="FS382" s="134"/>
      <c r="FT382" s="134"/>
      <c r="FU382" s="134"/>
      <c r="FV382" s="134"/>
      <c r="FW382" s="134"/>
      <c r="FX382" s="134"/>
      <c r="FY382" s="134"/>
      <c r="FZ382" s="134"/>
      <c r="GA382" s="135"/>
      <c r="GB382" s="135"/>
      <c r="GC382" s="134"/>
      <c r="GD382" s="134"/>
      <c r="GE382" s="134"/>
      <c r="GF382" s="134"/>
      <c r="GG382" s="134"/>
      <c r="GH382" s="134"/>
      <c r="GI382" s="134"/>
      <c r="GJ382" s="134"/>
      <c r="GK382" s="135"/>
      <c r="GL382" s="135"/>
      <c r="GM382" s="134"/>
      <c r="GN382" s="134"/>
      <c r="GO382" s="134"/>
      <c r="GP382" s="134"/>
      <c r="GQ382" s="134"/>
      <c r="GR382" s="134"/>
      <c r="GS382" s="134"/>
      <c r="GT382" s="134"/>
      <c r="GU382" s="135"/>
      <c r="GV382" s="135"/>
      <c r="GW382" s="134"/>
      <c r="GX382" s="134"/>
      <c r="GY382" s="134"/>
      <c r="GZ382" s="134"/>
      <c r="HA382" s="134"/>
      <c r="HB382" s="134"/>
      <c r="HC382" s="134"/>
      <c r="HD382" s="134"/>
      <c r="HE382" s="135"/>
      <c r="HF382" s="135"/>
      <c r="HG382" s="134"/>
      <c r="HH382" s="134"/>
      <c r="HI382" s="134"/>
      <c r="HJ382" s="134"/>
      <c r="HK382" s="134"/>
      <c r="HL382" s="134"/>
      <c r="HM382" s="134"/>
      <c r="HN382" s="134"/>
      <c r="HO382" s="135"/>
      <c r="HP382" s="135"/>
      <c r="HQ382" s="134"/>
      <c r="HR382" s="134"/>
      <c r="HS382" s="134"/>
      <c r="HT382" s="134"/>
      <c r="HU382" s="134"/>
      <c r="HV382" s="134"/>
      <c r="HW382" s="134"/>
      <c r="HX382" s="134"/>
      <c r="HY382" s="135"/>
      <c r="HZ382" s="135"/>
      <c r="IA382" s="134"/>
      <c r="IB382" s="134"/>
      <c r="IC382" s="134"/>
      <c r="ID382" s="134"/>
      <c r="IE382" s="134"/>
      <c r="IF382" s="134"/>
      <c r="IG382" s="134"/>
      <c r="IH382" s="134"/>
      <c r="II382" s="135"/>
      <c r="IJ382" s="135"/>
      <c r="IK382" s="134"/>
      <c r="IL382" s="134"/>
      <c r="IM382" s="134"/>
      <c r="IN382" s="134"/>
      <c r="IO382" s="134"/>
      <c r="IP382" s="134"/>
      <c r="IQ382" s="134"/>
      <c r="IR382" s="134"/>
      <c r="IS382" s="135"/>
      <c r="IT382" s="135"/>
      <c r="IU382" s="134"/>
      <c r="IV382" s="134"/>
      <c r="IW382" s="134"/>
      <c r="IX382" s="134"/>
      <c r="IY382" s="134"/>
      <c r="IZ382" s="134"/>
      <c r="JA382" s="134"/>
      <c r="JB382" s="134"/>
      <c r="JC382" s="135"/>
      <c r="JD382" s="135"/>
    </row>
    <row r="383" spans="1:264" ht="15" customHeight="1">
      <c r="A383" s="118" t="s">
        <v>955</v>
      </c>
      <c r="B383" s="616">
        <v>50</v>
      </c>
      <c r="C383" s="616"/>
      <c r="D383" s="616"/>
      <c r="E383" s="605" t="s">
        <v>2126</v>
      </c>
      <c r="F383" s="140" t="s">
        <v>2389</v>
      </c>
      <c r="G383" s="141">
        <v>2008</v>
      </c>
      <c r="H383" s="118">
        <v>18577419</v>
      </c>
      <c r="I383" s="118">
        <v>1</v>
      </c>
      <c r="J383" s="118"/>
      <c r="K383" s="118"/>
      <c r="L383" s="118">
        <v>1</v>
      </c>
      <c r="M383" s="118"/>
      <c r="N383" s="158">
        <v>1</v>
      </c>
      <c r="O383" s="142">
        <v>2</v>
      </c>
      <c r="P383" s="118" t="s">
        <v>22</v>
      </c>
      <c r="Q383" s="118" t="s">
        <v>24</v>
      </c>
      <c r="R383" s="118" t="s">
        <v>1130</v>
      </c>
      <c r="S383" s="118"/>
      <c r="T383" s="118" t="s">
        <v>1619</v>
      </c>
      <c r="U383" s="118" t="s">
        <v>803</v>
      </c>
      <c r="V383" s="118"/>
      <c r="W383" s="118" t="s">
        <v>1722</v>
      </c>
      <c r="X383" s="118"/>
      <c r="Y383" s="118"/>
      <c r="Z383" s="118"/>
      <c r="AA383" s="118" t="s">
        <v>1620</v>
      </c>
      <c r="AB383" s="118" t="s">
        <v>424</v>
      </c>
      <c r="AC383" s="145"/>
      <c r="AD383" s="573">
        <v>1</v>
      </c>
      <c r="AE383" s="573">
        <v>2</v>
      </c>
      <c r="AF383" s="159">
        <v>1</v>
      </c>
      <c r="AG383" s="155" t="s">
        <v>3682</v>
      </c>
      <c r="AH383" s="122">
        <v>4</v>
      </c>
      <c r="AI383" s="485"/>
      <c r="AJ383" s="204" t="s">
        <v>3660</v>
      </c>
      <c r="AK383" s="192">
        <v>2</v>
      </c>
      <c r="AL383" s="205">
        <v>1</v>
      </c>
      <c r="AM383" s="122">
        <f>14+9+12</f>
        <v>35</v>
      </c>
      <c r="AN383" s="122">
        <v>14</v>
      </c>
      <c r="AO383" s="122" t="s">
        <v>3675</v>
      </c>
      <c r="AP383" s="122" t="s">
        <v>803</v>
      </c>
      <c r="AQ383" s="122" t="s">
        <v>803</v>
      </c>
      <c r="AR383" s="122" t="s">
        <v>2667</v>
      </c>
      <c r="AS383" s="122" t="s">
        <v>24</v>
      </c>
      <c r="AT383" s="122" t="s">
        <v>2667</v>
      </c>
      <c r="AU383" s="122" t="s">
        <v>24</v>
      </c>
      <c r="AV383" s="122" t="s">
        <v>3662</v>
      </c>
      <c r="AW383" s="122">
        <v>1</v>
      </c>
      <c r="AX383" s="122">
        <v>1</v>
      </c>
      <c r="AY383" s="122" t="s">
        <v>3661</v>
      </c>
      <c r="AZ383" s="122" t="s">
        <v>1130</v>
      </c>
      <c r="BA383" s="122" t="s">
        <v>2798</v>
      </c>
      <c r="BB383" s="588"/>
      <c r="BC383" s="588"/>
      <c r="BD383" s="161">
        <v>1</v>
      </c>
      <c r="BE383" s="161"/>
      <c r="BF383" s="161"/>
      <c r="BG383" s="161"/>
      <c r="BH383" s="161"/>
      <c r="BI383" s="161"/>
      <c r="BJ383" s="161"/>
      <c r="BK383" s="161"/>
      <c r="BL383" s="161"/>
      <c r="BM383" s="161"/>
      <c r="BN383" s="161"/>
      <c r="BO383" s="161"/>
      <c r="BP383" s="161"/>
      <c r="BQ383" s="595" t="s">
        <v>3680</v>
      </c>
      <c r="BR383" s="157" t="s">
        <v>6595</v>
      </c>
      <c r="BS383" s="660"/>
      <c r="BT383" s="150" t="s">
        <v>1876</v>
      </c>
      <c r="BU383" s="150" t="s">
        <v>3659</v>
      </c>
      <c r="BV383" s="150" t="s">
        <v>3664</v>
      </c>
      <c r="BW383" s="150" t="s">
        <v>3658</v>
      </c>
      <c r="BX383" s="150" t="s">
        <v>3237</v>
      </c>
      <c r="BY383" s="134" t="s">
        <v>6640</v>
      </c>
      <c r="BZ383" s="259" t="s">
        <v>3679</v>
      </c>
      <c r="CA383" s="454" t="s">
        <v>6627</v>
      </c>
      <c r="CB383" s="429" t="s">
        <v>3670</v>
      </c>
      <c r="CC383" s="150">
        <v>109.182</v>
      </c>
      <c r="CD383" s="150" t="s">
        <v>24</v>
      </c>
      <c r="CE383" s="150">
        <f>125.618-Table668[[#This Row],[Data_Outcome1_M]]</f>
        <v>16.435999999999993</v>
      </c>
      <c r="CF383" s="151" t="s">
        <v>3671</v>
      </c>
      <c r="CG383" s="150">
        <v>28.679200000000002</v>
      </c>
      <c r="CH383" s="150" t="s">
        <v>24</v>
      </c>
      <c r="CI383" s="150">
        <f>32.7044-Table668[[#This Row],[Data_Outcome2_M]]</f>
        <v>4.0251999999999981</v>
      </c>
      <c r="CJ383" s="290" t="s">
        <v>24</v>
      </c>
      <c r="CK383" s="291" t="s">
        <v>24</v>
      </c>
      <c r="CL383" s="151" t="s">
        <v>3673</v>
      </c>
      <c r="CM383" s="150">
        <v>19.622599999999998</v>
      </c>
      <c r="CN383" s="150" t="s">
        <v>24</v>
      </c>
      <c r="CO383" s="150">
        <f>23.3124-Table668[[#This Row],[Data_Outcome3_M]]</f>
        <v>3.6898000000000017</v>
      </c>
      <c r="CP383" s="151" t="s">
        <v>24</v>
      </c>
      <c r="CQ383" s="150"/>
      <c r="CR383" s="150"/>
      <c r="CS383" s="150"/>
      <c r="CT383" s="290" t="s">
        <v>24</v>
      </c>
      <c r="CU383" s="291" t="s">
        <v>24</v>
      </c>
      <c r="CV383" s="276" t="s">
        <v>3677</v>
      </c>
      <c r="CW383" s="308" t="s">
        <v>3678</v>
      </c>
      <c r="CX383" s="151"/>
      <c r="CY383" s="150"/>
      <c r="CZ383" s="150"/>
      <c r="DA383" s="150"/>
      <c r="DB383" s="150"/>
      <c r="DC383" s="150"/>
      <c r="DD383" s="150"/>
      <c r="DE383" s="150"/>
      <c r="DF383" s="302"/>
      <c r="DG383" s="303"/>
      <c r="DH383" s="150"/>
      <c r="DI383" s="150"/>
      <c r="DJ383" s="150"/>
      <c r="DK383" s="150"/>
      <c r="DL383" s="150"/>
      <c r="DM383" s="150"/>
      <c r="DN383" s="150"/>
      <c r="DO383" s="150"/>
      <c r="DP383" s="302"/>
      <c r="DQ383" s="303"/>
      <c r="DR383" s="278"/>
      <c r="DS383" s="279"/>
      <c r="DT383" s="150"/>
      <c r="DU383" s="150"/>
      <c r="DV383" s="150"/>
      <c r="DW383" s="150"/>
      <c r="DX383" s="151"/>
      <c r="DY383" s="150"/>
      <c r="DZ383" s="150"/>
      <c r="EA383" s="150"/>
      <c r="EB383" s="303"/>
      <c r="EC383" s="303"/>
      <c r="ED383" s="151"/>
      <c r="EE383" s="150"/>
      <c r="EF383" s="150"/>
      <c r="EG383" s="150"/>
      <c r="EH383" s="151"/>
      <c r="EI383" s="150"/>
      <c r="EJ383" s="150"/>
      <c r="EK383" s="150"/>
      <c r="EL383" s="303"/>
      <c r="EM383" s="303"/>
      <c r="EN383" s="279"/>
      <c r="EO383" s="150"/>
      <c r="EP383" s="150"/>
      <c r="EQ383" s="150"/>
      <c r="ER383" s="150"/>
      <c r="ES383" s="150"/>
      <c r="ET383" s="150"/>
      <c r="EU383" s="150"/>
      <c r="EV383" s="150"/>
      <c r="EW383" s="303"/>
      <c r="EX383" s="303"/>
      <c r="EY383" s="150"/>
      <c r="EZ383" s="150"/>
      <c r="FA383" s="150"/>
      <c r="FB383" s="150"/>
      <c r="FC383" s="134"/>
      <c r="FD383" s="134"/>
      <c r="FE383" s="134"/>
      <c r="FF383" s="134"/>
      <c r="FG383" s="135"/>
      <c r="FH383" s="135"/>
      <c r="FI383" s="134"/>
      <c r="FJ383" s="134"/>
      <c r="FK383" s="134"/>
      <c r="FL383" s="134"/>
      <c r="FM383" s="134"/>
      <c r="FN383" s="134"/>
      <c r="FO383" s="134"/>
      <c r="FP383" s="134"/>
      <c r="FQ383" s="135"/>
      <c r="FR383" s="135"/>
      <c r="FS383" s="134"/>
      <c r="FT383" s="134"/>
      <c r="FU383" s="134"/>
      <c r="FV383" s="134"/>
      <c r="FW383" s="134"/>
      <c r="FX383" s="134"/>
      <c r="FY383" s="134"/>
      <c r="FZ383" s="134"/>
      <c r="GA383" s="135"/>
      <c r="GB383" s="135"/>
      <c r="GC383" s="134"/>
      <c r="GD383" s="134"/>
      <c r="GE383" s="134"/>
      <c r="GF383" s="134"/>
      <c r="GG383" s="134"/>
      <c r="GH383" s="134"/>
      <c r="GI383" s="134"/>
      <c r="GJ383" s="134"/>
      <c r="GK383" s="135"/>
      <c r="GL383" s="135"/>
      <c r="GM383" s="134"/>
      <c r="GN383" s="134"/>
      <c r="GO383" s="134"/>
      <c r="GP383" s="134"/>
      <c r="GQ383" s="134"/>
      <c r="GR383" s="134"/>
      <c r="GS383" s="134"/>
      <c r="GT383" s="134"/>
      <c r="GU383" s="135"/>
      <c r="GV383" s="135"/>
      <c r="GW383" s="134"/>
      <c r="GX383" s="134"/>
      <c r="GY383" s="134"/>
      <c r="GZ383" s="134"/>
      <c r="HA383" s="134"/>
      <c r="HB383" s="134"/>
      <c r="HC383" s="134"/>
      <c r="HD383" s="134"/>
      <c r="HE383" s="135"/>
      <c r="HF383" s="135"/>
      <c r="HG383" s="134"/>
      <c r="HH383" s="134"/>
      <c r="HI383" s="134"/>
      <c r="HJ383" s="134"/>
      <c r="HK383" s="134"/>
      <c r="HL383" s="134"/>
      <c r="HM383" s="134"/>
      <c r="HN383" s="134"/>
      <c r="HO383" s="135"/>
      <c r="HP383" s="135"/>
      <c r="HQ383" s="134"/>
      <c r="HR383" s="134"/>
      <c r="HS383" s="134"/>
      <c r="HT383" s="134"/>
      <c r="HU383" s="134"/>
      <c r="HV383" s="134"/>
      <c r="HW383" s="134"/>
      <c r="HX383" s="134"/>
      <c r="HY383" s="135"/>
      <c r="HZ383" s="135"/>
      <c r="IA383" s="134"/>
      <c r="IB383" s="134"/>
      <c r="IC383" s="134"/>
      <c r="ID383" s="134"/>
      <c r="IE383" s="134"/>
      <c r="IF383" s="134"/>
      <c r="IG383" s="134"/>
      <c r="IH383" s="134"/>
      <c r="II383" s="135"/>
      <c r="IJ383" s="135"/>
      <c r="IK383" s="134"/>
      <c r="IL383" s="134"/>
      <c r="IM383" s="134"/>
      <c r="IN383" s="134"/>
      <c r="IO383" s="134"/>
      <c r="IP383" s="134"/>
      <c r="IQ383" s="134"/>
      <c r="IR383" s="134"/>
      <c r="IS383" s="135"/>
      <c r="IT383" s="135"/>
      <c r="IU383" s="134"/>
      <c r="IV383" s="134"/>
      <c r="IW383" s="134"/>
      <c r="IX383" s="134"/>
      <c r="IY383" s="134"/>
      <c r="IZ383" s="134"/>
      <c r="JA383" s="134"/>
      <c r="JB383" s="134"/>
      <c r="JC383" s="135"/>
      <c r="JD383" s="135"/>
    </row>
    <row r="384" spans="1:264" ht="15" customHeight="1">
      <c r="A384" s="118" t="s">
        <v>955</v>
      </c>
      <c r="B384" s="616">
        <v>50</v>
      </c>
      <c r="C384" s="616"/>
      <c r="D384" s="616"/>
      <c r="E384" s="605" t="s">
        <v>2126</v>
      </c>
      <c r="F384" s="140" t="s">
        <v>2389</v>
      </c>
      <c r="G384" s="141">
        <v>2008</v>
      </c>
      <c r="H384" s="118">
        <v>18577419</v>
      </c>
      <c r="I384" s="118">
        <v>1</v>
      </c>
      <c r="J384" s="118"/>
      <c r="K384" s="118"/>
      <c r="L384" s="118">
        <v>1</v>
      </c>
      <c r="M384" s="118"/>
      <c r="N384" s="158">
        <v>1</v>
      </c>
      <c r="O384" s="142">
        <v>2</v>
      </c>
      <c r="P384" s="118" t="s">
        <v>22</v>
      </c>
      <c r="Q384" s="118" t="s">
        <v>24</v>
      </c>
      <c r="R384" s="118" t="s">
        <v>1130</v>
      </c>
      <c r="S384" s="118"/>
      <c r="T384" s="118" t="s">
        <v>1619</v>
      </c>
      <c r="U384" s="118" t="s">
        <v>803</v>
      </c>
      <c r="V384" s="118"/>
      <c r="W384" s="118" t="s">
        <v>1722</v>
      </c>
      <c r="X384" s="118"/>
      <c r="Y384" s="118"/>
      <c r="Z384" s="118"/>
      <c r="AA384" s="118" t="s">
        <v>1620</v>
      </c>
      <c r="AB384" s="118" t="s">
        <v>424</v>
      </c>
      <c r="AC384" s="145"/>
      <c r="AD384" s="573">
        <v>1</v>
      </c>
      <c r="AE384" s="573">
        <v>2</v>
      </c>
      <c r="AF384" s="159">
        <v>1</v>
      </c>
      <c r="AG384" s="155" t="s">
        <v>3682</v>
      </c>
      <c r="AH384" s="122">
        <v>4</v>
      </c>
      <c r="AI384" s="485"/>
      <c r="AJ384" s="204" t="s">
        <v>3660</v>
      </c>
      <c r="AK384" s="192">
        <v>2</v>
      </c>
      <c r="AL384" s="205">
        <v>1</v>
      </c>
      <c r="AM384" s="122">
        <f>14+9+15</f>
        <v>38</v>
      </c>
      <c r="AN384" s="122">
        <v>14</v>
      </c>
      <c r="AO384" s="122" t="s">
        <v>3676</v>
      </c>
      <c r="AP384" s="122" t="s">
        <v>803</v>
      </c>
      <c r="AQ384" s="122" t="s">
        <v>803</v>
      </c>
      <c r="AR384" s="122" t="s">
        <v>2667</v>
      </c>
      <c r="AS384" s="122" t="s">
        <v>24</v>
      </c>
      <c r="AT384" s="122" t="s">
        <v>2667</v>
      </c>
      <c r="AU384" s="122" t="s">
        <v>24</v>
      </c>
      <c r="AV384" s="122" t="s">
        <v>3662</v>
      </c>
      <c r="AW384" s="122">
        <v>1</v>
      </c>
      <c r="AX384" s="122">
        <v>1</v>
      </c>
      <c r="AY384" s="122" t="s">
        <v>3661</v>
      </c>
      <c r="AZ384" s="122" t="s">
        <v>1130</v>
      </c>
      <c r="BA384" s="122" t="s">
        <v>2798</v>
      </c>
      <c r="BB384" s="588"/>
      <c r="BC384" s="588"/>
      <c r="BD384" s="161">
        <v>1</v>
      </c>
      <c r="BE384" s="161"/>
      <c r="BF384" s="161"/>
      <c r="BG384" s="161"/>
      <c r="BH384" s="161"/>
      <c r="BI384" s="161"/>
      <c r="BJ384" s="161"/>
      <c r="BK384" s="161"/>
      <c r="BL384" s="161"/>
      <c r="BM384" s="161"/>
      <c r="BN384" s="161"/>
      <c r="BO384" s="161"/>
      <c r="BP384" s="161"/>
      <c r="BQ384" s="596" t="s">
        <v>3680</v>
      </c>
      <c r="BR384" s="157" t="s">
        <v>6595</v>
      </c>
      <c r="BS384" s="660"/>
      <c r="BT384" s="150" t="s">
        <v>1876</v>
      </c>
      <c r="BU384" s="150" t="s">
        <v>3659</v>
      </c>
      <c r="BV384" s="145" t="s">
        <v>3665</v>
      </c>
      <c r="BW384" s="150" t="s">
        <v>3658</v>
      </c>
      <c r="BX384" s="150" t="s">
        <v>3237</v>
      </c>
      <c r="BY384" s="134" t="s">
        <v>6640</v>
      </c>
      <c r="BZ384" s="259" t="s">
        <v>3679</v>
      </c>
      <c r="CA384" s="454" t="s">
        <v>6627</v>
      </c>
      <c r="CB384" s="151" t="s">
        <v>3669</v>
      </c>
      <c r="CC384" s="150">
        <v>106.499</v>
      </c>
      <c r="CD384" s="150" t="s">
        <v>24</v>
      </c>
      <c r="CE384" s="150">
        <f>120.587-Table668[[#This Row],[Data_Outcome1_M]]</f>
        <v>14.088000000000008</v>
      </c>
      <c r="CF384" s="151" t="s">
        <v>3672</v>
      </c>
      <c r="CG384" s="150">
        <v>21.635200000000001</v>
      </c>
      <c r="CH384" s="150" t="s">
        <v>24</v>
      </c>
      <c r="CI384" s="150">
        <f>24.3187-Table668[[#This Row],[Data_Outcome2_M]]</f>
        <v>2.6834999999999987</v>
      </c>
      <c r="CJ384" s="290" t="s">
        <v>24</v>
      </c>
      <c r="CK384" s="291" t="s">
        <v>24</v>
      </c>
      <c r="CL384" s="151" t="s">
        <v>3674</v>
      </c>
      <c r="CM384" s="150">
        <v>12.2432</v>
      </c>
      <c r="CN384" s="150" t="s">
        <v>24</v>
      </c>
      <c r="CO384" s="150">
        <f>14.5912-Table668[[#This Row],[Data_Outcome3_M]]</f>
        <v>2.3480000000000008</v>
      </c>
      <c r="CP384" s="151" t="s">
        <v>24</v>
      </c>
      <c r="CQ384" s="150"/>
      <c r="CR384" s="150"/>
      <c r="CS384" s="150"/>
      <c r="CT384" s="290" t="s">
        <v>24</v>
      </c>
      <c r="CU384" s="291" t="s">
        <v>24</v>
      </c>
      <c r="CV384" s="276" t="s">
        <v>3677</v>
      </c>
      <c r="CW384" s="308" t="s">
        <v>3678</v>
      </c>
      <c r="CX384" s="151"/>
      <c r="CY384" s="150"/>
      <c r="CZ384" s="150"/>
      <c r="DA384" s="150"/>
      <c r="DB384" s="150"/>
      <c r="DC384" s="150"/>
      <c r="DD384" s="150"/>
      <c r="DE384" s="150"/>
      <c r="DF384" s="302"/>
      <c r="DG384" s="303"/>
      <c r="DH384" s="150"/>
      <c r="DI384" s="150"/>
      <c r="DJ384" s="150"/>
      <c r="DK384" s="150"/>
      <c r="DL384" s="150"/>
      <c r="DM384" s="150"/>
      <c r="DN384" s="150"/>
      <c r="DO384" s="150"/>
      <c r="DP384" s="302"/>
      <c r="DQ384" s="303"/>
      <c r="DR384" s="278"/>
      <c r="DS384" s="279"/>
      <c r="DT384" s="150"/>
      <c r="DU384" s="150"/>
      <c r="DV384" s="150"/>
      <c r="DW384" s="150"/>
      <c r="DX384" s="151"/>
      <c r="DY384" s="150"/>
      <c r="DZ384" s="150"/>
      <c r="EA384" s="150"/>
      <c r="EB384" s="303"/>
      <c r="EC384" s="303"/>
      <c r="ED384" s="151"/>
      <c r="EE384" s="150"/>
      <c r="EF384" s="150"/>
      <c r="EG384" s="150"/>
      <c r="EH384" s="151"/>
      <c r="EI384" s="150"/>
      <c r="EJ384" s="150"/>
      <c r="EK384" s="150"/>
      <c r="EL384" s="303"/>
      <c r="EM384" s="303"/>
      <c r="EN384" s="279"/>
      <c r="EO384" s="150"/>
      <c r="EP384" s="150"/>
      <c r="EQ384" s="150"/>
      <c r="ER384" s="150"/>
      <c r="ES384" s="150"/>
      <c r="ET384" s="150"/>
      <c r="EU384" s="150"/>
      <c r="EV384" s="150"/>
      <c r="EW384" s="303"/>
      <c r="EX384" s="303"/>
      <c r="EY384" s="150"/>
      <c r="EZ384" s="150"/>
      <c r="FA384" s="150"/>
      <c r="FB384" s="150"/>
      <c r="FC384" s="134"/>
      <c r="FD384" s="134"/>
      <c r="FE384" s="134"/>
      <c r="FF384" s="134"/>
      <c r="FG384" s="135"/>
      <c r="FH384" s="135"/>
      <c r="FI384" s="134"/>
      <c r="FJ384" s="134"/>
      <c r="FK384" s="134"/>
      <c r="FL384" s="134"/>
      <c r="FM384" s="134"/>
      <c r="FN384" s="134"/>
      <c r="FO384" s="134"/>
      <c r="FP384" s="134"/>
      <c r="FQ384" s="135"/>
      <c r="FR384" s="135"/>
      <c r="FS384" s="134"/>
      <c r="FT384" s="134"/>
      <c r="FU384" s="134"/>
      <c r="FV384" s="134"/>
      <c r="FW384" s="134"/>
      <c r="FX384" s="134"/>
      <c r="FY384" s="134"/>
      <c r="FZ384" s="134"/>
      <c r="GA384" s="135"/>
      <c r="GB384" s="135"/>
      <c r="GC384" s="134"/>
      <c r="GD384" s="134"/>
      <c r="GE384" s="134"/>
      <c r="GF384" s="134"/>
      <c r="GG384" s="134"/>
      <c r="GH384" s="134"/>
      <c r="GI384" s="134"/>
      <c r="GJ384" s="134"/>
      <c r="GK384" s="135"/>
      <c r="GL384" s="135"/>
      <c r="GM384" s="134"/>
      <c r="GN384" s="134"/>
      <c r="GO384" s="134"/>
      <c r="GP384" s="134"/>
      <c r="GQ384" s="134"/>
      <c r="GR384" s="134"/>
      <c r="GS384" s="134"/>
      <c r="GT384" s="134"/>
      <c r="GU384" s="135"/>
      <c r="GV384" s="135"/>
      <c r="GW384" s="134"/>
      <c r="GX384" s="134"/>
      <c r="GY384" s="134"/>
      <c r="GZ384" s="134"/>
      <c r="HA384" s="134"/>
      <c r="HB384" s="134"/>
      <c r="HC384" s="134"/>
      <c r="HD384" s="134"/>
      <c r="HE384" s="135"/>
      <c r="HF384" s="135"/>
      <c r="HG384" s="134"/>
      <c r="HH384" s="134"/>
      <c r="HI384" s="134"/>
      <c r="HJ384" s="134"/>
      <c r="HK384" s="134"/>
      <c r="HL384" s="134"/>
      <c r="HM384" s="134"/>
      <c r="HN384" s="134"/>
      <c r="HO384" s="135"/>
      <c r="HP384" s="135"/>
      <c r="HQ384" s="134"/>
      <c r="HR384" s="134"/>
      <c r="HS384" s="134"/>
      <c r="HT384" s="134"/>
      <c r="HU384" s="134"/>
      <c r="HV384" s="134"/>
      <c r="HW384" s="134"/>
      <c r="HX384" s="134"/>
      <c r="HY384" s="135"/>
      <c r="HZ384" s="135"/>
      <c r="IA384" s="134"/>
      <c r="IB384" s="134"/>
      <c r="IC384" s="134"/>
      <c r="ID384" s="134"/>
      <c r="IE384" s="134"/>
      <c r="IF384" s="134"/>
      <c r="IG384" s="134"/>
      <c r="IH384" s="134"/>
      <c r="II384" s="135"/>
      <c r="IJ384" s="135"/>
      <c r="IK384" s="134"/>
      <c r="IL384" s="134"/>
      <c r="IM384" s="134"/>
      <c r="IN384" s="134"/>
      <c r="IO384" s="134"/>
      <c r="IP384" s="134"/>
      <c r="IQ384" s="134"/>
      <c r="IR384" s="134"/>
      <c r="IS384" s="135"/>
      <c r="IT384" s="135"/>
      <c r="IU384" s="134"/>
      <c r="IV384" s="134"/>
      <c r="IW384" s="134"/>
      <c r="IX384" s="134"/>
      <c r="IY384" s="134"/>
      <c r="IZ384" s="134"/>
      <c r="JA384" s="134"/>
      <c r="JB384" s="134"/>
      <c r="JC384" s="135"/>
      <c r="JD384" s="135"/>
    </row>
    <row r="385" spans="1:264" ht="15" customHeight="1">
      <c r="A385" s="79" t="s">
        <v>952</v>
      </c>
      <c r="B385" s="362">
        <v>51</v>
      </c>
      <c r="C385" s="362"/>
      <c r="D385" s="362"/>
      <c r="E385" s="604" t="s">
        <v>2127</v>
      </c>
      <c r="F385" s="124" t="s">
        <v>2391</v>
      </c>
      <c r="G385" s="125">
        <v>2014</v>
      </c>
      <c r="H385" s="79">
        <v>24519098</v>
      </c>
      <c r="I385" s="79">
        <v>1</v>
      </c>
      <c r="J385" s="126">
        <v>1</v>
      </c>
      <c r="K385" s="127"/>
      <c r="L385" s="79">
        <v>1</v>
      </c>
      <c r="M385" s="79"/>
      <c r="N385" s="164">
        <v>1</v>
      </c>
      <c r="O385" s="128">
        <v>2</v>
      </c>
      <c r="P385" s="79" t="s">
        <v>1626</v>
      </c>
      <c r="Q385" s="79" t="s">
        <v>1251</v>
      </c>
      <c r="R385" s="79" t="s">
        <v>1229</v>
      </c>
      <c r="S385" s="79"/>
      <c r="T385" s="79" t="s">
        <v>1498</v>
      </c>
      <c r="U385" s="79"/>
      <c r="V385" s="79"/>
      <c r="W385" s="79" t="s">
        <v>1667</v>
      </c>
      <c r="X385" s="79" t="s">
        <v>436</v>
      </c>
      <c r="Y385" s="79" t="s">
        <v>1625</v>
      </c>
      <c r="Z385" s="79"/>
      <c r="AA385" s="79"/>
      <c r="AB385" s="79" t="s">
        <v>1279</v>
      </c>
      <c r="AC385" s="506"/>
      <c r="AD385" s="573">
        <v>1</v>
      </c>
      <c r="AE385" s="573">
        <v>2</v>
      </c>
      <c r="AF385" s="233" t="s">
        <v>3003</v>
      </c>
      <c r="AG385" s="234" t="s">
        <v>3689</v>
      </c>
      <c r="AH385" s="121">
        <v>4</v>
      </c>
      <c r="AI385" s="484"/>
      <c r="AJ385" s="202" t="s">
        <v>3689</v>
      </c>
      <c r="AK385" s="192">
        <v>0</v>
      </c>
      <c r="AL385" s="203" t="s">
        <v>3688</v>
      </c>
      <c r="AM385" s="121">
        <v>7</v>
      </c>
      <c r="AN385" s="121" t="s">
        <v>3687</v>
      </c>
      <c r="AO385" s="135" t="s">
        <v>24</v>
      </c>
      <c r="AP385" s="121" t="s">
        <v>23</v>
      </c>
      <c r="AQ385" s="121" t="s">
        <v>24</v>
      </c>
      <c r="AR385" s="121" t="s">
        <v>3031</v>
      </c>
      <c r="AS385" s="121" t="s">
        <v>24</v>
      </c>
      <c r="AT385" s="121" t="s">
        <v>24</v>
      </c>
      <c r="AU385" s="121" t="s">
        <v>24</v>
      </c>
      <c r="AV385" s="121" t="s">
        <v>3685</v>
      </c>
      <c r="AW385" s="121">
        <v>1</v>
      </c>
      <c r="AX385" s="121" t="s">
        <v>3683</v>
      </c>
      <c r="AY385" s="121" t="s">
        <v>24</v>
      </c>
      <c r="AZ385" s="121" t="s">
        <v>2912</v>
      </c>
      <c r="BA385" s="121" t="s">
        <v>3466</v>
      </c>
      <c r="BB385" s="594"/>
      <c r="BC385" s="594"/>
      <c r="BD385" s="156">
        <v>1</v>
      </c>
      <c r="BE385" s="156"/>
      <c r="BF385" s="156"/>
      <c r="BG385" s="156"/>
      <c r="BH385" s="156"/>
      <c r="BI385" s="156"/>
      <c r="BJ385" s="156"/>
      <c r="BK385" s="156"/>
      <c r="BL385" s="156"/>
      <c r="BM385" s="156"/>
      <c r="BN385" s="156"/>
      <c r="BO385" s="156"/>
      <c r="BP385" s="156"/>
      <c r="BQ385" s="595" t="s">
        <v>2493</v>
      </c>
      <c r="BR385" s="157" t="s">
        <v>6595</v>
      </c>
      <c r="BS385" s="660"/>
      <c r="BT385" s="134" t="s">
        <v>2789</v>
      </c>
      <c r="BU385" s="134" t="s">
        <v>3686</v>
      </c>
      <c r="BV385" s="134" t="s">
        <v>3684</v>
      </c>
      <c r="BW385" s="134" t="s">
        <v>2471</v>
      </c>
      <c r="BX385" s="134" t="s">
        <v>3224</v>
      </c>
      <c r="BY385" s="134" t="s">
        <v>6640</v>
      </c>
      <c r="BZ385" s="259" t="s">
        <v>3696</v>
      </c>
      <c r="CA385" s="454" t="s">
        <v>6627</v>
      </c>
      <c r="CB385" s="138" t="s">
        <v>3692</v>
      </c>
      <c r="CC385" s="134">
        <v>0.149533</v>
      </c>
      <c r="CD385" s="134" t="s">
        <v>24</v>
      </c>
      <c r="CE385" s="134">
        <f>0.224299-Table668[[#This Row],[Data_Outcome1_M]]</f>
        <v>7.4765999999999999E-2</v>
      </c>
      <c r="CF385" s="138" t="s">
        <v>3690</v>
      </c>
      <c r="CG385" s="134">
        <v>17.981300000000001</v>
      </c>
      <c r="CH385" s="134" t="s">
        <v>24</v>
      </c>
      <c r="CI385" s="134">
        <f>22.6916-Table668[[#This Row],[Data_Outcome2_M]]</f>
        <v>4.7103000000000002</v>
      </c>
      <c r="CJ385" s="288" t="s">
        <v>3695</v>
      </c>
      <c r="CK385" s="289" t="s">
        <v>3060</v>
      </c>
      <c r="CL385" s="427" t="s">
        <v>3691</v>
      </c>
      <c r="CM385" s="134">
        <v>14.7563</v>
      </c>
      <c r="CN385" s="134" t="s">
        <v>24</v>
      </c>
      <c r="CO385" s="134">
        <f>18.1919-Table668[[#This Row],[Data_Outcome3_M]]</f>
        <v>3.4356000000000009</v>
      </c>
      <c r="CP385" s="138" t="s">
        <v>24</v>
      </c>
      <c r="CQ385" s="134" t="s">
        <v>24</v>
      </c>
      <c r="CR385" s="134" t="s">
        <v>24</v>
      </c>
      <c r="CS385" s="134" t="s">
        <v>24</v>
      </c>
      <c r="CT385" s="288" t="s">
        <v>3694</v>
      </c>
      <c r="CU385" s="289" t="s">
        <v>2850</v>
      </c>
      <c r="CV385" s="276" t="s">
        <v>3693</v>
      </c>
      <c r="CW385" s="308" t="s">
        <v>2785</v>
      </c>
      <c r="CX385" s="138"/>
      <c r="CY385" s="134"/>
      <c r="CZ385" s="134"/>
      <c r="DA385" s="134"/>
      <c r="DB385" s="134"/>
      <c r="DC385" s="134"/>
      <c r="DD385" s="134"/>
      <c r="DE385" s="134"/>
      <c r="DF385" s="300"/>
      <c r="DG385" s="301"/>
      <c r="DH385" s="134"/>
      <c r="DI385" s="134"/>
      <c r="DJ385" s="134"/>
      <c r="DK385" s="134"/>
      <c r="DL385" s="134"/>
      <c r="DM385" s="134"/>
      <c r="DN385" s="134"/>
      <c r="DO385" s="134"/>
      <c r="DP385" s="300"/>
      <c r="DQ385" s="301"/>
      <c r="DR385" s="276"/>
      <c r="DS385" s="277"/>
      <c r="DT385" s="134"/>
      <c r="DU385" s="134"/>
      <c r="DV385" s="134"/>
      <c r="DW385" s="134"/>
      <c r="DX385" s="138"/>
      <c r="DY385" s="134"/>
      <c r="DZ385" s="134"/>
      <c r="EA385" s="134"/>
      <c r="EB385" s="301"/>
      <c r="EC385" s="301"/>
      <c r="ED385" s="138"/>
      <c r="EE385" s="134"/>
      <c r="EF385" s="134"/>
      <c r="EG385" s="134"/>
      <c r="EH385" s="138"/>
      <c r="EI385" s="134"/>
      <c r="EJ385" s="134"/>
      <c r="EK385" s="134"/>
      <c r="EL385" s="301"/>
      <c r="EM385" s="301"/>
      <c r="EN385" s="277"/>
      <c r="EO385" s="134"/>
      <c r="EP385" s="134"/>
      <c r="EQ385" s="134"/>
      <c r="ER385" s="134"/>
      <c r="ES385" s="134"/>
      <c r="ET385" s="134"/>
      <c r="EU385" s="134"/>
      <c r="EV385" s="134"/>
      <c r="EW385" s="301"/>
      <c r="EX385" s="301"/>
      <c r="EY385" s="134"/>
      <c r="EZ385" s="134"/>
      <c r="FA385" s="134"/>
      <c r="FB385" s="134"/>
      <c r="FC385" s="134"/>
      <c r="FD385" s="134"/>
      <c r="FE385" s="134"/>
      <c r="FF385" s="134"/>
      <c r="FG385" s="135"/>
      <c r="FH385" s="135"/>
      <c r="FI385" s="134"/>
      <c r="FJ385" s="134"/>
      <c r="FK385" s="134"/>
      <c r="FL385" s="134"/>
      <c r="FM385" s="134"/>
      <c r="FN385" s="134"/>
      <c r="FO385" s="134"/>
      <c r="FP385" s="134"/>
      <c r="FQ385" s="135"/>
      <c r="FR385" s="135"/>
      <c r="FS385" s="134"/>
      <c r="FT385" s="134"/>
      <c r="FU385" s="134"/>
      <c r="FV385" s="134"/>
      <c r="FW385" s="134"/>
      <c r="FX385" s="134"/>
      <c r="FY385" s="134"/>
      <c r="FZ385" s="134"/>
      <c r="GA385" s="135"/>
      <c r="GB385" s="135"/>
      <c r="GC385" s="134"/>
      <c r="GD385" s="134"/>
      <c r="GE385" s="134"/>
      <c r="GF385" s="134"/>
      <c r="GG385" s="134"/>
      <c r="GH385" s="134"/>
      <c r="GI385" s="134"/>
      <c r="GJ385" s="134"/>
      <c r="GK385" s="135"/>
      <c r="GL385" s="135"/>
      <c r="GM385" s="134"/>
      <c r="GN385" s="134"/>
      <c r="GO385" s="134"/>
      <c r="GP385" s="134"/>
      <c r="GQ385" s="134"/>
      <c r="GR385" s="134"/>
      <c r="GS385" s="134"/>
      <c r="GT385" s="134"/>
      <c r="GU385" s="135"/>
      <c r="GV385" s="135"/>
      <c r="GW385" s="134"/>
      <c r="GX385" s="134"/>
      <c r="GY385" s="134"/>
      <c r="GZ385" s="134"/>
      <c r="HA385" s="134"/>
      <c r="HB385" s="134"/>
      <c r="HC385" s="134"/>
      <c r="HD385" s="134"/>
      <c r="HE385" s="135"/>
      <c r="HF385" s="135"/>
      <c r="HG385" s="134"/>
      <c r="HH385" s="134"/>
      <c r="HI385" s="134"/>
      <c r="HJ385" s="134"/>
      <c r="HK385" s="134"/>
      <c r="HL385" s="134"/>
      <c r="HM385" s="134"/>
      <c r="HN385" s="134"/>
      <c r="HO385" s="135"/>
      <c r="HP385" s="135"/>
      <c r="HQ385" s="134"/>
      <c r="HR385" s="134"/>
      <c r="HS385" s="134"/>
      <c r="HT385" s="134"/>
      <c r="HU385" s="134"/>
      <c r="HV385" s="134"/>
      <c r="HW385" s="134"/>
      <c r="HX385" s="134"/>
      <c r="HY385" s="135"/>
      <c r="HZ385" s="135"/>
      <c r="IA385" s="134"/>
      <c r="IB385" s="134"/>
      <c r="IC385" s="134"/>
      <c r="ID385" s="134"/>
      <c r="IE385" s="134"/>
      <c r="IF385" s="134"/>
      <c r="IG385" s="134"/>
      <c r="IH385" s="134"/>
      <c r="II385" s="135"/>
      <c r="IJ385" s="135"/>
      <c r="IK385" s="134"/>
      <c r="IL385" s="134"/>
      <c r="IM385" s="134"/>
      <c r="IN385" s="134"/>
      <c r="IO385" s="134"/>
      <c r="IP385" s="134"/>
      <c r="IQ385" s="134"/>
      <c r="IR385" s="134"/>
      <c r="IS385" s="135"/>
      <c r="IT385" s="135"/>
      <c r="IU385" s="134"/>
      <c r="IV385" s="134"/>
      <c r="IW385" s="134"/>
      <c r="IX385" s="134"/>
      <c r="IY385" s="134"/>
      <c r="IZ385" s="134"/>
      <c r="JA385" s="134"/>
      <c r="JB385" s="134"/>
      <c r="JC385" s="135"/>
      <c r="JD385" s="135"/>
    </row>
    <row r="386" spans="1:264">
      <c r="A386" s="79" t="s">
        <v>355</v>
      </c>
      <c r="B386" s="362">
        <v>255</v>
      </c>
      <c r="C386" s="362">
        <v>91</v>
      </c>
      <c r="D386" s="362"/>
      <c r="E386" s="604" t="s">
        <v>2044</v>
      </c>
      <c r="F386" s="124" t="s">
        <v>2283</v>
      </c>
      <c r="G386" s="125">
        <v>2009</v>
      </c>
      <c r="H386" s="79">
        <v>19703322</v>
      </c>
      <c r="I386" s="79">
        <v>1</v>
      </c>
      <c r="J386" s="126"/>
      <c r="K386" s="127"/>
      <c r="L386" s="79">
        <v>1</v>
      </c>
      <c r="M386" s="79"/>
      <c r="N386" s="79">
        <v>1</v>
      </c>
      <c r="O386" s="128">
        <v>1</v>
      </c>
      <c r="P386" s="79" t="s">
        <v>457</v>
      </c>
      <c r="Q386" s="79" t="s">
        <v>1147</v>
      </c>
      <c r="R386" s="79" t="s">
        <v>819</v>
      </c>
      <c r="S386" s="79">
        <v>1</v>
      </c>
      <c r="T386" s="79"/>
      <c r="U386" s="79"/>
      <c r="V386" s="79"/>
      <c r="W386" s="79"/>
      <c r="X386" s="79" t="s">
        <v>917</v>
      </c>
      <c r="Y386" s="79"/>
      <c r="Z386" s="79"/>
      <c r="AA386" s="79"/>
      <c r="AB386" s="79"/>
      <c r="AC386" s="506"/>
      <c r="AD386" s="573">
        <v>1</v>
      </c>
      <c r="AE386" s="573">
        <v>2</v>
      </c>
      <c r="AF386" s="154">
        <v>1</v>
      </c>
      <c r="AG386" s="155"/>
      <c r="AH386" s="121">
        <v>2</v>
      </c>
      <c r="AI386" s="484" t="s">
        <v>5915</v>
      </c>
      <c r="AJ386" s="202" t="s">
        <v>5916</v>
      </c>
      <c r="AK386" s="192">
        <v>1</v>
      </c>
      <c r="AL386" s="203" t="s">
        <v>24</v>
      </c>
      <c r="AM386" s="121">
        <v>95</v>
      </c>
      <c r="AN386" s="121">
        <f>23+25</f>
        <v>48</v>
      </c>
      <c r="AO386" s="121">
        <f>19+28</f>
        <v>47</v>
      </c>
      <c r="AP386" s="121" t="s">
        <v>5914</v>
      </c>
      <c r="AQ386" s="121" t="s">
        <v>5914</v>
      </c>
      <c r="AR386" s="121">
        <f>AVERAGE(50.2,48.3)</f>
        <v>49.25</v>
      </c>
      <c r="AS386" s="121">
        <f>AVERAGE(7.3,9)</f>
        <v>8.15</v>
      </c>
      <c r="AT386" s="121">
        <f>AVERAGE(47.1,45.9)</f>
        <v>46.5</v>
      </c>
      <c r="AU386" s="121">
        <f>AVERAGE(11.1,9.5)</f>
        <v>10.3</v>
      </c>
      <c r="AV386" s="121" t="s">
        <v>5913</v>
      </c>
      <c r="AW386" s="121" t="s">
        <v>24</v>
      </c>
      <c r="AX386" s="121" t="s">
        <v>24</v>
      </c>
      <c r="AY386" s="121" t="s">
        <v>5912</v>
      </c>
      <c r="AZ386" s="121" t="s">
        <v>3835</v>
      </c>
      <c r="BA386" s="121" t="s">
        <v>5911</v>
      </c>
      <c r="BB386" s="594"/>
      <c r="BC386" s="594"/>
      <c r="BD386" s="156"/>
      <c r="BE386" s="156"/>
      <c r="BF386" s="156"/>
      <c r="BG386" s="156"/>
      <c r="BH386" s="156"/>
      <c r="BI386" s="156"/>
      <c r="BJ386" s="156">
        <v>1</v>
      </c>
      <c r="BK386" s="156"/>
      <c r="BL386" s="156"/>
      <c r="BM386" s="156"/>
      <c r="BN386" s="156"/>
      <c r="BO386" s="156"/>
      <c r="BP386" s="156"/>
      <c r="BQ386" s="595" t="s">
        <v>5923</v>
      </c>
      <c r="BR386" s="157" t="s">
        <v>6609</v>
      </c>
      <c r="BS386" s="660"/>
      <c r="BT386" s="134" t="s">
        <v>1876</v>
      </c>
      <c r="BU386" s="134" t="s">
        <v>5917</v>
      </c>
      <c r="BV386" s="134" t="s">
        <v>5920</v>
      </c>
      <c r="BW386" s="134" t="s">
        <v>24</v>
      </c>
      <c r="BX386" s="134" t="s">
        <v>5926</v>
      </c>
      <c r="BY386" s="134"/>
      <c r="BZ386" s="259" t="s">
        <v>5957</v>
      </c>
      <c r="CA386" s="454" t="s">
        <v>24</v>
      </c>
      <c r="CB386" s="138" t="s">
        <v>5930</v>
      </c>
      <c r="CC386" s="134">
        <v>27.9</v>
      </c>
      <c r="CD386" s="134">
        <v>5.7</v>
      </c>
      <c r="CE386" s="134" t="s">
        <v>24</v>
      </c>
      <c r="CF386" s="463" t="s">
        <v>5931</v>
      </c>
      <c r="CG386" s="134">
        <v>32.799999999999997</v>
      </c>
      <c r="CH386" s="134">
        <v>5.5</v>
      </c>
      <c r="CI386" s="134" t="s">
        <v>24</v>
      </c>
      <c r="CJ386" s="288" t="s">
        <v>24</v>
      </c>
      <c r="CK386" s="289" t="s">
        <v>24</v>
      </c>
      <c r="CL386" s="138" t="s">
        <v>5932</v>
      </c>
      <c r="CM386" s="134">
        <v>23.6</v>
      </c>
      <c r="CN386" s="134">
        <v>7.3</v>
      </c>
      <c r="CO386" s="134" t="s">
        <v>24</v>
      </c>
      <c r="CP386" s="138" t="s">
        <v>5933</v>
      </c>
      <c r="CQ386" s="134">
        <v>27.7</v>
      </c>
      <c r="CR386" s="134">
        <v>7.2</v>
      </c>
      <c r="CS386" s="134" t="s">
        <v>24</v>
      </c>
      <c r="CT386" s="288" t="s">
        <v>24</v>
      </c>
      <c r="CU386" s="289" t="s">
        <v>24</v>
      </c>
      <c r="CV386" s="276" t="s">
        <v>5949</v>
      </c>
      <c r="CW386" s="308" t="s">
        <v>5948</v>
      </c>
      <c r="CX386" s="138" t="s">
        <v>5934</v>
      </c>
      <c r="CY386" s="134">
        <v>26.3</v>
      </c>
      <c r="CZ386" s="134">
        <v>4.0999999999999996</v>
      </c>
      <c r="DA386" s="134" t="s">
        <v>24</v>
      </c>
      <c r="DB386" s="138" t="s">
        <v>5935</v>
      </c>
      <c r="DC386" s="134">
        <v>28.6</v>
      </c>
      <c r="DD386" s="134">
        <v>3.7</v>
      </c>
      <c r="DE386" s="134" t="s">
        <v>24</v>
      </c>
      <c r="DF386" s="300" t="s">
        <v>5952</v>
      </c>
      <c r="DG386" s="301" t="s">
        <v>5950</v>
      </c>
      <c r="DH386" s="138" t="s">
        <v>5936</v>
      </c>
      <c r="DI386" s="134">
        <v>0.92</v>
      </c>
      <c r="DJ386" s="134">
        <v>0.12</v>
      </c>
      <c r="DK386" s="134" t="s">
        <v>24</v>
      </c>
      <c r="DL386" s="138" t="s">
        <v>5937</v>
      </c>
      <c r="DM386" s="134">
        <v>0.93</v>
      </c>
      <c r="DN386" s="134">
        <v>0.13</v>
      </c>
      <c r="DO386" s="134" t="s">
        <v>24</v>
      </c>
      <c r="DP386" s="300" t="s">
        <v>5954</v>
      </c>
      <c r="DQ386" s="301" t="s">
        <v>5955</v>
      </c>
      <c r="DR386" s="276"/>
      <c r="DS386" s="277"/>
      <c r="DT386" s="134" t="s">
        <v>24</v>
      </c>
      <c r="DU386" s="134" t="s">
        <v>24</v>
      </c>
      <c r="DV386" s="134" t="s">
        <v>24</v>
      </c>
      <c r="DW386" s="134" t="s">
        <v>24</v>
      </c>
      <c r="DX386" s="138" t="s">
        <v>24</v>
      </c>
      <c r="DY386" s="134" t="s">
        <v>24</v>
      </c>
      <c r="DZ386" s="134" t="s">
        <v>24</v>
      </c>
      <c r="EA386" s="134" t="s">
        <v>24</v>
      </c>
      <c r="EB386" s="301" t="s">
        <v>24</v>
      </c>
      <c r="EC386" s="301" t="s">
        <v>24</v>
      </c>
      <c r="ED386" s="138"/>
      <c r="EE386" s="134"/>
      <c r="EF386" s="134"/>
      <c r="EG386" s="134"/>
      <c r="EH386" s="138"/>
      <c r="EI386" s="134"/>
      <c r="EJ386" s="134"/>
      <c r="EK386" s="134"/>
      <c r="EL386" s="301"/>
      <c r="EM386" s="301"/>
      <c r="EN386" s="277"/>
      <c r="EO386" s="134"/>
      <c r="EP386" s="134"/>
      <c r="EQ386" s="134"/>
      <c r="ER386" s="134"/>
      <c r="ES386" s="134"/>
      <c r="ET386" s="134"/>
      <c r="EU386" s="134"/>
      <c r="EV386" s="134"/>
      <c r="EW386" s="301"/>
      <c r="EX386" s="301"/>
      <c r="EY386" s="134"/>
      <c r="EZ386" s="134"/>
      <c r="FA386" s="134"/>
      <c r="FB386" s="134"/>
      <c r="FC386" s="134"/>
      <c r="FD386" s="134"/>
      <c r="FE386" s="134"/>
      <c r="FF386" s="134"/>
      <c r="FG386" s="135"/>
      <c r="FH386" s="135"/>
      <c r="FI386" s="134"/>
      <c r="FJ386" s="134"/>
      <c r="FK386" s="134"/>
      <c r="FL386" s="134"/>
      <c r="FM386" s="134"/>
      <c r="FN386" s="134"/>
      <c r="FO386" s="134"/>
      <c r="FP386" s="134"/>
      <c r="FQ386" s="135"/>
      <c r="FR386" s="135"/>
      <c r="FS386" s="134"/>
      <c r="FT386" s="134"/>
      <c r="FU386" s="134"/>
      <c r="FV386" s="134"/>
      <c r="FW386" s="134"/>
      <c r="FX386" s="134"/>
      <c r="FY386" s="134"/>
      <c r="FZ386" s="134"/>
      <c r="GA386" s="135"/>
      <c r="GB386" s="135"/>
      <c r="GC386" s="134"/>
      <c r="GD386" s="134"/>
      <c r="GE386" s="134"/>
      <c r="GF386" s="134"/>
      <c r="GG386" s="134"/>
      <c r="GH386" s="134"/>
      <c r="GI386" s="134"/>
      <c r="GJ386" s="134"/>
      <c r="GK386" s="135"/>
      <c r="GL386" s="135"/>
      <c r="GM386" s="134"/>
      <c r="GN386" s="134"/>
      <c r="GO386" s="134"/>
      <c r="GP386" s="134"/>
      <c r="GQ386" s="134"/>
      <c r="GR386" s="134"/>
      <c r="GS386" s="134"/>
      <c r="GT386" s="134"/>
      <c r="GU386" s="135"/>
      <c r="GV386" s="135"/>
      <c r="GW386" s="134"/>
      <c r="GX386" s="134"/>
      <c r="GY386" s="134"/>
      <c r="GZ386" s="134"/>
      <c r="HA386" s="134"/>
      <c r="HB386" s="134"/>
      <c r="HC386" s="134"/>
      <c r="HD386" s="134"/>
      <c r="HE386" s="135"/>
      <c r="HF386" s="135"/>
      <c r="HG386" s="134"/>
      <c r="HH386" s="134"/>
      <c r="HI386" s="134"/>
      <c r="HJ386" s="134"/>
      <c r="HK386" s="134"/>
      <c r="HL386" s="134"/>
      <c r="HM386" s="134"/>
      <c r="HN386" s="134"/>
      <c r="HO386" s="135"/>
      <c r="HP386" s="135"/>
      <c r="HQ386" s="134"/>
      <c r="HR386" s="134"/>
      <c r="HS386" s="134"/>
      <c r="HT386" s="134"/>
      <c r="HU386" s="134"/>
      <c r="HV386" s="134"/>
      <c r="HW386" s="134"/>
      <c r="HX386" s="134"/>
      <c r="HY386" s="135"/>
      <c r="HZ386" s="135"/>
      <c r="IA386" s="134"/>
      <c r="IB386" s="134"/>
      <c r="IC386" s="134"/>
      <c r="ID386" s="134"/>
      <c r="IE386" s="134"/>
      <c r="IF386" s="134"/>
      <c r="IG386" s="134"/>
      <c r="IH386" s="134"/>
      <c r="II386" s="135"/>
      <c r="IJ386" s="135"/>
      <c r="IK386" s="134"/>
      <c r="IL386" s="134"/>
      <c r="IM386" s="134"/>
      <c r="IN386" s="134"/>
      <c r="IO386" s="134"/>
      <c r="IP386" s="134"/>
      <c r="IQ386" s="134"/>
      <c r="IR386" s="134"/>
      <c r="IS386" s="135"/>
      <c r="IT386" s="135"/>
      <c r="IU386" s="134"/>
      <c r="IV386" s="134"/>
      <c r="IW386" s="134"/>
      <c r="IX386" s="134"/>
      <c r="IY386" s="134"/>
      <c r="IZ386" s="134"/>
      <c r="JA386" s="134"/>
      <c r="JB386" s="134"/>
      <c r="JC386" s="135"/>
      <c r="JD386" s="135"/>
    </row>
    <row r="387" spans="1:264">
      <c r="A387" s="118" t="s">
        <v>355</v>
      </c>
      <c r="B387" s="616">
        <v>255</v>
      </c>
      <c r="C387" s="616">
        <v>91</v>
      </c>
      <c r="D387" s="616"/>
      <c r="E387" s="605" t="s">
        <v>2044</v>
      </c>
      <c r="F387" s="140" t="s">
        <v>2283</v>
      </c>
      <c r="G387" s="141">
        <v>2009</v>
      </c>
      <c r="H387" s="118">
        <v>19703322</v>
      </c>
      <c r="I387" s="118">
        <v>1</v>
      </c>
      <c r="J387" s="118"/>
      <c r="K387" s="118"/>
      <c r="L387" s="118">
        <v>1</v>
      </c>
      <c r="M387" s="118"/>
      <c r="N387" s="118">
        <v>1</v>
      </c>
      <c r="O387" s="142">
        <v>1</v>
      </c>
      <c r="P387" s="118" t="s">
        <v>457</v>
      </c>
      <c r="Q387" s="118" t="s">
        <v>1147</v>
      </c>
      <c r="R387" s="118" t="s">
        <v>819</v>
      </c>
      <c r="S387" s="118">
        <v>1</v>
      </c>
      <c r="T387" s="118"/>
      <c r="U387" s="118"/>
      <c r="V387" s="118"/>
      <c r="W387" s="118"/>
      <c r="X387" s="118" t="s">
        <v>917</v>
      </c>
      <c r="Y387" s="118"/>
      <c r="Z387" s="118"/>
      <c r="AA387" s="118"/>
      <c r="AB387" s="118"/>
      <c r="AC387" s="145"/>
      <c r="AD387" s="573">
        <v>1</v>
      </c>
      <c r="AE387" s="573">
        <v>2</v>
      </c>
      <c r="AF387" s="159">
        <v>1</v>
      </c>
      <c r="AG387" s="160"/>
      <c r="AH387" s="122">
        <v>2</v>
      </c>
      <c r="AI387" s="485" t="s">
        <v>5915</v>
      </c>
      <c r="AJ387" s="204" t="s">
        <v>5916</v>
      </c>
      <c r="AK387" s="192">
        <v>1</v>
      </c>
      <c r="AL387" s="205" t="s">
        <v>24</v>
      </c>
      <c r="AM387" s="122">
        <v>95</v>
      </c>
      <c r="AN387" s="122">
        <f>23+25</f>
        <v>48</v>
      </c>
      <c r="AO387" s="122">
        <f>19+28</f>
        <v>47</v>
      </c>
      <c r="AP387" s="122" t="s">
        <v>5914</v>
      </c>
      <c r="AQ387" s="122" t="s">
        <v>5914</v>
      </c>
      <c r="AR387" s="122">
        <f>AVERAGE(50.2,48.3)</f>
        <v>49.25</v>
      </c>
      <c r="AS387" s="122">
        <f>AVERAGE(7.3,9)</f>
        <v>8.15</v>
      </c>
      <c r="AT387" s="122">
        <f>AVERAGE(47.1,45.9)</f>
        <v>46.5</v>
      </c>
      <c r="AU387" s="122">
        <f>AVERAGE(11.1,9.5)</f>
        <v>10.3</v>
      </c>
      <c r="AV387" s="122" t="s">
        <v>5913</v>
      </c>
      <c r="AW387" s="122" t="s">
        <v>24</v>
      </c>
      <c r="AX387" s="122" t="s">
        <v>24</v>
      </c>
      <c r="AY387" s="122" t="s">
        <v>5912</v>
      </c>
      <c r="AZ387" s="122" t="s">
        <v>3835</v>
      </c>
      <c r="BA387" s="122" t="s">
        <v>5911</v>
      </c>
      <c r="BB387" s="588"/>
      <c r="BC387" s="588"/>
      <c r="BD387" s="161"/>
      <c r="BE387" s="161"/>
      <c r="BF387" s="161"/>
      <c r="BG387" s="161"/>
      <c r="BH387" s="161"/>
      <c r="BI387" s="161"/>
      <c r="BJ387" s="161">
        <v>1</v>
      </c>
      <c r="BK387" s="161"/>
      <c r="BL387" s="161"/>
      <c r="BM387" s="161"/>
      <c r="BN387" s="161"/>
      <c r="BO387" s="161"/>
      <c r="BP387" s="161"/>
      <c r="BQ387" s="596" t="s">
        <v>5918</v>
      </c>
      <c r="BR387" s="162" t="s">
        <v>6609</v>
      </c>
      <c r="BS387" s="660"/>
      <c r="BT387" s="150" t="s">
        <v>1876</v>
      </c>
      <c r="BU387" s="150" t="s">
        <v>5917</v>
      </c>
      <c r="BV387" s="150" t="s">
        <v>5921</v>
      </c>
      <c r="BW387" s="150" t="s">
        <v>24</v>
      </c>
      <c r="BX387" s="150" t="s">
        <v>5927</v>
      </c>
      <c r="BY387" s="150"/>
      <c r="BZ387" s="258" t="s">
        <v>5962</v>
      </c>
      <c r="CA387" s="257">
        <v>0</v>
      </c>
      <c r="CB387" s="151" t="s">
        <v>5944</v>
      </c>
      <c r="CC387" s="150">
        <v>0.6</v>
      </c>
      <c r="CD387" s="150">
        <v>3.9</v>
      </c>
      <c r="CE387" s="150" t="s">
        <v>24</v>
      </c>
      <c r="CF387" s="151" t="s">
        <v>5945</v>
      </c>
      <c r="CG387" s="150">
        <v>-0.2</v>
      </c>
      <c r="CH387" s="150">
        <v>4.0999999999999996</v>
      </c>
      <c r="CI387" s="150" t="s">
        <v>24</v>
      </c>
      <c r="CJ387" s="290" t="s">
        <v>5959</v>
      </c>
      <c r="CK387" s="291" t="s">
        <v>5953</v>
      </c>
      <c r="CL387" s="151" t="s">
        <v>24</v>
      </c>
      <c r="CM387" s="150"/>
      <c r="CN387" s="150"/>
      <c r="CO387" s="150"/>
      <c r="CP387" s="151"/>
      <c r="CQ387" s="150"/>
      <c r="CR387" s="150"/>
      <c r="CS387" s="150"/>
      <c r="CT387" s="290"/>
      <c r="CU387" s="291"/>
      <c r="CV387" s="278"/>
      <c r="CW387" s="285"/>
      <c r="CX387" s="151"/>
      <c r="CY387" s="150"/>
      <c r="CZ387" s="150"/>
      <c r="DA387" s="150"/>
      <c r="DB387" s="150"/>
      <c r="DC387" s="150"/>
      <c r="DD387" s="150"/>
      <c r="DE387" s="150"/>
      <c r="DF387" s="302"/>
      <c r="DG387" s="303"/>
      <c r="DH387" s="150"/>
      <c r="DI387" s="150"/>
      <c r="DJ387" s="150"/>
      <c r="DK387" s="150"/>
      <c r="DL387" s="150"/>
      <c r="DM387" s="150"/>
      <c r="DN387" s="150"/>
      <c r="DO387" s="150"/>
      <c r="DP387" s="302"/>
      <c r="DQ387" s="303"/>
      <c r="DR387" s="278"/>
      <c r="DS387" s="279"/>
      <c r="DT387" s="150"/>
      <c r="DU387" s="150"/>
      <c r="DV387" s="150"/>
      <c r="DW387" s="150"/>
      <c r="DX387" s="151"/>
      <c r="DY387" s="150"/>
      <c r="DZ387" s="150"/>
      <c r="EA387" s="150"/>
      <c r="EB387" s="303"/>
      <c r="EC387" s="303"/>
      <c r="ED387" s="151"/>
      <c r="EE387" s="150"/>
      <c r="EF387" s="150"/>
      <c r="EG387" s="150"/>
      <c r="EH387" s="151"/>
      <c r="EI387" s="150"/>
      <c r="EJ387" s="150"/>
      <c r="EK387" s="150"/>
      <c r="EL387" s="303"/>
      <c r="EM387" s="303"/>
      <c r="EN387" s="279"/>
      <c r="EO387" s="150"/>
      <c r="EP387" s="150"/>
      <c r="EQ387" s="150"/>
      <c r="ER387" s="150"/>
      <c r="ES387" s="150"/>
      <c r="ET387" s="150"/>
      <c r="EU387" s="150"/>
      <c r="EV387" s="150"/>
      <c r="EW387" s="303"/>
      <c r="EX387" s="303"/>
      <c r="EY387" s="150"/>
      <c r="EZ387" s="150"/>
      <c r="FA387" s="150"/>
      <c r="FB387" s="150"/>
      <c r="FC387" s="150"/>
      <c r="FD387" s="150"/>
      <c r="FE387" s="150"/>
      <c r="FF387" s="150"/>
      <c r="FG387" s="152"/>
      <c r="FH387" s="152"/>
      <c r="FI387" s="150"/>
      <c r="FJ387" s="150"/>
      <c r="FK387" s="150"/>
      <c r="FL387" s="150"/>
      <c r="FM387" s="150"/>
      <c r="FN387" s="150"/>
      <c r="FO387" s="150"/>
      <c r="FP387" s="150"/>
      <c r="FQ387" s="152"/>
      <c r="FR387" s="152"/>
      <c r="FS387" s="150"/>
      <c r="FT387" s="150"/>
      <c r="FU387" s="150"/>
      <c r="FV387" s="150"/>
      <c r="FW387" s="150"/>
      <c r="FX387" s="150"/>
      <c r="FY387" s="150"/>
      <c r="FZ387" s="150"/>
      <c r="GA387" s="152"/>
      <c r="GB387" s="152"/>
      <c r="GC387" s="150"/>
      <c r="GD387" s="150"/>
      <c r="GE387" s="150"/>
      <c r="GF387" s="150"/>
      <c r="GG387" s="150"/>
      <c r="GH387" s="150"/>
      <c r="GI387" s="150"/>
      <c r="GJ387" s="150"/>
      <c r="GK387" s="152"/>
      <c r="GL387" s="152"/>
      <c r="GM387" s="150"/>
      <c r="GN387" s="150"/>
      <c r="GO387" s="150"/>
      <c r="GP387" s="150"/>
      <c r="GQ387" s="150"/>
      <c r="GR387" s="150"/>
      <c r="GS387" s="150"/>
      <c r="GT387" s="150"/>
      <c r="GU387" s="152"/>
      <c r="GV387" s="152"/>
      <c r="GW387" s="134"/>
      <c r="GX387" s="134"/>
      <c r="GY387" s="134"/>
      <c r="GZ387" s="134"/>
      <c r="HA387" s="134"/>
      <c r="HB387" s="134"/>
      <c r="HC387" s="134"/>
      <c r="HD387" s="134"/>
      <c r="HE387" s="135"/>
      <c r="HF387" s="135"/>
      <c r="HG387" s="134"/>
      <c r="HH387" s="134"/>
      <c r="HI387" s="134"/>
      <c r="HJ387" s="134"/>
      <c r="HK387" s="134"/>
      <c r="HL387" s="134"/>
      <c r="HM387" s="134"/>
      <c r="HN387" s="134"/>
      <c r="HO387" s="135"/>
      <c r="HP387" s="135"/>
      <c r="HQ387" s="134"/>
      <c r="HR387" s="134"/>
      <c r="HS387" s="134"/>
      <c r="HT387" s="134"/>
      <c r="HU387" s="134"/>
      <c r="HV387" s="134"/>
      <c r="HW387" s="134"/>
      <c r="HX387" s="134"/>
      <c r="HY387" s="135"/>
      <c r="HZ387" s="135"/>
      <c r="IA387" s="134"/>
      <c r="IB387" s="134"/>
      <c r="IC387" s="134"/>
      <c r="ID387" s="134"/>
      <c r="IE387" s="134"/>
      <c r="IF387" s="134"/>
      <c r="IG387" s="134"/>
      <c r="IH387" s="134"/>
      <c r="II387" s="135"/>
      <c r="IJ387" s="135"/>
      <c r="IK387" s="134"/>
      <c r="IL387" s="134"/>
      <c r="IM387" s="134"/>
      <c r="IN387" s="134"/>
      <c r="IO387" s="134"/>
      <c r="IP387" s="134"/>
      <c r="IQ387" s="134"/>
      <c r="IR387" s="134"/>
      <c r="IS387" s="135"/>
      <c r="IT387" s="135"/>
      <c r="IU387" s="134"/>
      <c r="IV387" s="134"/>
      <c r="IW387" s="134"/>
      <c r="IX387" s="134"/>
      <c r="IY387" s="134"/>
      <c r="IZ387" s="134"/>
      <c r="JA387" s="134"/>
      <c r="JB387" s="134"/>
      <c r="JC387" s="135"/>
      <c r="JD387" s="135"/>
    </row>
    <row r="388" spans="1:264">
      <c r="A388" s="118" t="s">
        <v>355</v>
      </c>
      <c r="B388" s="616">
        <v>255</v>
      </c>
      <c r="C388" s="616">
        <v>91</v>
      </c>
      <c r="D388" s="616"/>
      <c r="E388" s="605" t="s">
        <v>2044</v>
      </c>
      <c r="F388" s="140" t="s">
        <v>2283</v>
      </c>
      <c r="G388" s="141">
        <v>2009</v>
      </c>
      <c r="H388" s="118">
        <v>19703322</v>
      </c>
      <c r="I388" s="118">
        <v>1</v>
      </c>
      <c r="J388" s="118"/>
      <c r="K388" s="118"/>
      <c r="L388" s="118">
        <v>1</v>
      </c>
      <c r="M388" s="118"/>
      <c r="N388" s="118">
        <v>1</v>
      </c>
      <c r="O388" s="142">
        <v>1</v>
      </c>
      <c r="P388" s="118" t="s">
        <v>457</v>
      </c>
      <c r="Q388" s="118" t="s">
        <v>1147</v>
      </c>
      <c r="R388" s="118" t="s">
        <v>819</v>
      </c>
      <c r="S388" s="118">
        <v>1</v>
      </c>
      <c r="T388" s="118"/>
      <c r="U388" s="118"/>
      <c r="V388" s="118"/>
      <c r="W388" s="118"/>
      <c r="X388" s="118" t="s">
        <v>917</v>
      </c>
      <c r="Y388" s="118"/>
      <c r="Z388" s="118"/>
      <c r="AA388" s="118"/>
      <c r="AB388" s="118"/>
      <c r="AC388" s="145"/>
      <c r="AD388" s="573">
        <v>1</v>
      </c>
      <c r="AE388" s="573">
        <v>2</v>
      </c>
      <c r="AF388" s="159">
        <v>1</v>
      </c>
      <c r="AG388" s="160"/>
      <c r="AH388" s="122">
        <v>2</v>
      </c>
      <c r="AI388" s="485" t="s">
        <v>5915</v>
      </c>
      <c r="AJ388" s="204" t="s">
        <v>5916</v>
      </c>
      <c r="AK388" s="192">
        <v>1</v>
      </c>
      <c r="AL388" s="205" t="s">
        <v>24</v>
      </c>
      <c r="AM388" s="122">
        <v>95</v>
      </c>
      <c r="AN388" s="122">
        <f>23+25</f>
        <v>48</v>
      </c>
      <c r="AO388" s="500">
        <f>19+28</f>
        <v>47</v>
      </c>
      <c r="AP388" s="500" t="s">
        <v>5914</v>
      </c>
      <c r="AQ388" s="122" t="s">
        <v>5914</v>
      </c>
      <c r="AR388" s="122">
        <f>AVERAGE(50.2,48.3)</f>
        <v>49.25</v>
      </c>
      <c r="AS388" s="122">
        <f>AVERAGE(7.3,9)</f>
        <v>8.15</v>
      </c>
      <c r="AT388" s="122">
        <f>AVERAGE(47.1,45.9)</f>
        <v>46.5</v>
      </c>
      <c r="AU388" s="122">
        <f>AVERAGE(11.1,9.5)</f>
        <v>10.3</v>
      </c>
      <c r="AV388" s="122" t="s">
        <v>5913</v>
      </c>
      <c r="AW388" s="122" t="s">
        <v>24</v>
      </c>
      <c r="AX388" s="122" t="s">
        <v>24</v>
      </c>
      <c r="AY388" s="122" t="s">
        <v>5912</v>
      </c>
      <c r="AZ388" s="122" t="s">
        <v>3835</v>
      </c>
      <c r="BA388" s="122" t="s">
        <v>5911</v>
      </c>
      <c r="BB388" s="588"/>
      <c r="BC388" s="588"/>
      <c r="BD388" s="161"/>
      <c r="BE388" s="161"/>
      <c r="BF388" s="161"/>
      <c r="BG388" s="161"/>
      <c r="BH388" s="161"/>
      <c r="BI388" s="161"/>
      <c r="BJ388" s="161">
        <v>1</v>
      </c>
      <c r="BK388" s="161"/>
      <c r="BL388" s="161"/>
      <c r="BM388" s="161"/>
      <c r="BN388" s="161"/>
      <c r="BO388" s="161"/>
      <c r="BP388" s="161"/>
      <c r="BQ388" s="596" t="s">
        <v>5919</v>
      </c>
      <c r="BR388" s="162" t="s">
        <v>6609</v>
      </c>
      <c r="BS388" s="660"/>
      <c r="BT388" s="150" t="s">
        <v>1876</v>
      </c>
      <c r="BU388" s="150" t="s">
        <v>5917</v>
      </c>
      <c r="BV388" s="150" t="s">
        <v>5924</v>
      </c>
      <c r="BW388" s="150" t="s">
        <v>24</v>
      </c>
      <c r="BX388" s="150" t="s">
        <v>5928</v>
      </c>
      <c r="BY388" s="150"/>
      <c r="BZ388" s="258" t="s">
        <v>5961</v>
      </c>
      <c r="CA388" s="257">
        <v>0</v>
      </c>
      <c r="CB388" s="151" t="s">
        <v>5946</v>
      </c>
      <c r="CC388" s="266">
        <v>0.3</v>
      </c>
      <c r="CD388" s="150">
        <v>3.8</v>
      </c>
      <c r="CE388" s="266" t="s">
        <v>24</v>
      </c>
      <c r="CF388" s="151" t="s">
        <v>5947</v>
      </c>
      <c r="CG388" s="266">
        <v>-0.3</v>
      </c>
      <c r="CH388" s="150">
        <v>3.7</v>
      </c>
      <c r="CI388" s="150" t="s">
        <v>24</v>
      </c>
      <c r="CJ388" s="290" t="s">
        <v>5960</v>
      </c>
      <c r="CK388" s="291" t="s">
        <v>2480</v>
      </c>
      <c r="CL388" s="151" t="s">
        <v>24</v>
      </c>
      <c r="CM388" s="150"/>
      <c r="CN388" s="150"/>
      <c r="CO388" s="150"/>
      <c r="CP388" s="151"/>
      <c r="CQ388" s="150"/>
      <c r="CR388" s="150"/>
      <c r="CS388" s="150"/>
      <c r="CT388" s="290"/>
      <c r="CU388" s="291"/>
      <c r="CV388" s="278"/>
      <c r="CW388" s="285"/>
      <c r="CX388" s="151"/>
      <c r="CY388" s="150"/>
      <c r="CZ388" s="150"/>
      <c r="DA388" s="150"/>
      <c r="DB388" s="150"/>
      <c r="DC388" s="150"/>
      <c r="DD388" s="150"/>
      <c r="DE388" s="150"/>
      <c r="DF388" s="302"/>
      <c r="DG388" s="303"/>
      <c r="DH388" s="150"/>
      <c r="DI388" s="150"/>
      <c r="DJ388" s="150"/>
      <c r="DK388" s="150"/>
      <c r="DL388" s="150"/>
      <c r="DM388" s="150"/>
      <c r="DN388" s="150"/>
      <c r="DO388" s="150"/>
      <c r="DP388" s="302"/>
      <c r="DQ388" s="303"/>
      <c r="DR388" s="278"/>
      <c r="DS388" s="279"/>
      <c r="DT388" s="214"/>
      <c r="DU388" s="150"/>
      <c r="DV388" s="150"/>
      <c r="DW388" s="150"/>
      <c r="DX388" s="542"/>
      <c r="DY388" s="150"/>
      <c r="DZ388" s="150"/>
      <c r="EA388" s="150"/>
      <c r="EB388" s="303"/>
      <c r="EC388" s="303"/>
      <c r="ED388" s="151"/>
      <c r="EE388" s="150"/>
      <c r="EF388" s="150"/>
      <c r="EG388" s="150"/>
      <c r="EH388" s="151"/>
      <c r="EI388" s="150"/>
      <c r="EJ388" s="150"/>
      <c r="EK388" s="150"/>
      <c r="EL388" s="303"/>
      <c r="EM388" s="303"/>
      <c r="EN388" s="279"/>
      <c r="EO388" s="150"/>
      <c r="EP388" s="150"/>
      <c r="EQ388" s="150"/>
      <c r="ER388" s="150"/>
      <c r="ES388" s="150"/>
      <c r="ET388" s="150"/>
      <c r="EU388" s="150"/>
      <c r="EV388" s="150"/>
      <c r="EW388" s="303"/>
      <c r="EX388" s="303"/>
      <c r="EY388" s="150"/>
      <c r="EZ388" s="150"/>
      <c r="FA388" s="150"/>
      <c r="FB388" s="150"/>
      <c r="FC388" s="150"/>
      <c r="FD388" s="150"/>
      <c r="FE388" s="150"/>
      <c r="FF388" s="150"/>
      <c r="FG388" s="152"/>
      <c r="FH388" s="152"/>
      <c r="FI388" s="150"/>
      <c r="FJ388" s="150"/>
      <c r="FK388" s="150"/>
      <c r="FL388" s="150"/>
      <c r="FM388" s="150"/>
      <c r="FN388" s="150"/>
      <c r="FO388" s="150"/>
      <c r="FP388" s="150"/>
      <c r="FQ388" s="152"/>
      <c r="FR388" s="152"/>
      <c r="FS388" s="150"/>
      <c r="FT388" s="150"/>
      <c r="FU388" s="150"/>
      <c r="FV388" s="150"/>
      <c r="FW388" s="150"/>
      <c r="FX388" s="150"/>
      <c r="FY388" s="150"/>
      <c r="FZ388" s="150"/>
      <c r="GA388" s="152"/>
      <c r="GB388" s="152"/>
      <c r="GC388" s="150"/>
      <c r="GD388" s="150"/>
      <c r="GE388" s="150"/>
      <c r="GF388" s="150"/>
      <c r="GG388" s="150"/>
      <c r="GH388" s="150"/>
      <c r="GI388" s="150"/>
      <c r="GJ388" s="150"/>
      <c r="GK388" s="152"/>
      <c r="GL388" s="152"/>
      <c r="GM388" s="150"/>
      <c r="GN388" s="150"/>
      <c r="GO388" s="150"/>
      <c r="GP388" s="150"/>
      <c r="GQ388" s="150"/>
      <c r="GR388" s="150"/>
      <c r="GS388" s="150"/>
      <c r="GT388" s="150"/>
      <c r="GU388" s="152"/>
      <c r="GV388" s="152"/>
      <c r="GW388" s="134"/>
      <c r="GX388" s="134"/>
      <c r="GY388" s="134"/>
      <c r="GZ388" s="134"/>
      <c r="HA388" s="134"/>
      <c r="HB388" s="134"/>
      <c r="HC388" s="134"/>
      <c r="HD388" s="134"/>
      <c r="HE388" s="135"/>
      <c r="HF388" s="135"/>
      <c r="HG388" s="134"/>
      <c r="HH388" s="134"/>
      <c r="HI388" s="134"/>
      <c r="HJ388" s="134"/>
      <c r="HK388" s="134"/>
      <c r="HL388" s="134"/>
      <c r="HM388" s="134"/>
      <c r="HN388" s="134"/>
      <c r="HO388" s="135"/>
      <c r="HP388" s="135"/>
      <c r="HQ388" s="134"/>
      <c r="HR388" s="134"/>
      <c r="HS388" s="134"/>
      <c r="HT388" s="134"/>
      <c r="HU388" s="134"/>
      <c r="HV388" s="134"/>
      <c r="HW388" s="134"/>
      <c r="HX388" s="134"/>
      <c r="HY388" s="135"/>
      <c r="HZ388" s="135"/>
      <c r="IA388" s="134"/>
      <c r="IB388" s="134"/>
      <c r="IC388" s="134"/>
      <c r="ID388" s="134"/>
      <c r="IE388" s="134"/>
      <c r="IF388" s="134"/>
      <c r="IG388" s="134"/>
      <c r="IH388" s="134"/>
      <c r="II388" s="135"/>
      <c r="IJ388" s="135"/>
      <c r="IK388" s="134"/>
      <c r="IL388" s="134"/>
      <c r="IM388" s="134"/>
      <c r="IN388" s="134"/>
      <c r="IO388" s="134"/>
      <c r="IP388" s="134"/>
      <c r="IQ388" s="134"/>
      <c r="IR388" s="134"/>
      <c r="IS388" s="135"/>
      <c r="IT388" s="135"/>
      <c r="IU388" s="134"/>
      <c r="IV388" s="134"/>
      <c r="IW388" s="134"/>
      <c r="IX388" s="134"/>
      <c r="IY388" s="134"/>
      <c r="IZ388" s="134"/>
      <c r="JA388" s="134"/>
      <c r="JB388" s="134"/>
      <c r="JC388" s="135"/>
      <c r="JD388" s="135"/>
    </row>
    <row r="389" spans="1:264">
      <c r="A389" s="118" t="s">
        <v>355</v>
      </c>
      <c r="B389" s="616">
        <v>255</v>
      </c>
      <c r="C389" s="616">
        <v>91</v>
      </c>
      <c r="D389" s="616"/>
      <c r="E389" s="605" t="s">
        <v>2044</v>
      </c>
      <c r="F389" s="140" t="s">
        <v>2283</v>
      </c>
      <c r="G389" s="141">
        <v>2009</v>
      </c>
      <c r="H389" s="118">
        <v>19703322</v>
      </c>
      <c r="I389" s="118">
        <v>1</v>
      </c>
      <c r="J389" s="118"/>
      <c r="K389" s="118"/>
      <c r="L389" s="118">
        <v>1</v>
      </c>
      <c r="M389" s="118"/>
      <c r="N389" s="118">
        <v>1</v>
      </c>
      <c r="O389" s="142">
        <v>1</v>
      </c>
      <c r="P389" s="118" t="s">
        <v>457</v>
      </c>
      <c r="Q389" s="118" t="s">
        <v>1147</v>
      </c>
      <c r="R389" s="118" t="s">
        <v>819</v>
      </c>
      <c r="S389" s="118">
        <v>1</v>
      </c>
      <c r="T389" s="118"/>
      <c r="U389" s="118"/>
      <c r="V389" s="118"/>
      <c r="W389" s="118"/>
      <c r="X389" s="118" t="s">
        <v>917</v>
      </c>
      <c r="Y389" s="118"/>
      <c r="Z389" s="118"/>
      <c r="AA389" s="118"/>
      <c r="AB389" s="118"/>
      <c r="AC389" s="145"/>
      <c r="AD389" s="573">
        <v>1</v>
      </c>
      <c r="AE389" s="573">
        <v>2</v>
      </c>
      <c r="AF389" s="159">
        <v>1</v>
      </c>
      <c r="AG389" s="160"/>
      <c r="AH389" s="122">
        <v>2</v>
      </c>
      <c r="AI389" s="485" t="s">
        <v>5915</v>
      </c>
      <c r="AJ389" s="204" t="s">
        <v>5916</v>
      </c>
      <c r="AK389" s="192">
        <v>1</v>
      </c>
      <c r="AL389" s="205" t="s">
        <v>24</v>
      </c>
      <c r="AM389" s="122">
        <v>95</v>
      </c>
      <c r="AN389" s="122">
        <f>23+25</f>
        <v>48</v>
      </c>
      <c r="AO389" s="500">
        <f>19+28</f>
        <v>47</v>
      </c>
      <c r="AP389" s="500" t="s">
        <v>5914</v>
      </c>
      <c r="AQ389" s="122" t="s">
        <v>5914</v>
      </c>
      <c r="AR389" s="122">
        <f>AVERAGE(50.2,48.3)</f>
        <v>49.25</v>
      </c>
      <c r="AS389" s="122">
        <f>AVERAGE(7.3,9)</f>
        <v>8.15</v>
      </c>
      <c r="AT389" s="122">
        <f>AVERAGE(47.1,45.9)</f>
        <v>46.5</v>
      </c>
      <c r="AU389" s="122">
        <f>AVERAGE(11.1,9.5)</f>
        <v>10.3</v>
      </c>
      <c r="AV389" s="122" t="s">
        <v>5913</v>
      </c>
      <c r="AW389" s="122" t="s">
        <v>24</v>
      </c>
      <c r="AX389" s="122" t="s">
        <v>24</v>
      </c>
      <c r="AY389" s="122" t="s">
        <v>5912</v>
      </c>
      <c r="AZ389" s="122" t="s">
        <v>3835</v>
      </c>
      <c r="BA389" s="122" t="s">
        <v>5911</v>
      </c>
      <c r="BB389" s="588"/>
      <c r="BC389" s="588"/>
      <c r="BD389" s="161"/>
      <c r="BE389" s="161"/>
      <c r="BF389" s="161"/>
      <c r="BG389" s="161"/>
      <c r="BH389" s="161"/>
      <c r="BI389" s="161"/>
      <c r="BJ389" s="161">
        <v>1</v>
      </c>
      <c r="BK389" s="161"/>
      <c r="BL389" s="161"/>
      <c r="BM389" s="161"/>
      <c r="BN389" s="161"/>
      <c r="BO389" s="161"/>
      <c r="BP389" s="161"/>
      <c r="BQ389" s="596" t="s">
        <v>5922</v>
      </c>
      <c r="BR389" s="162" t="s">
        <v>6612</v>
      </c>
      <c r="BS389" s="660"/>
      <c r="BT389" s="150" t="s">
        <v>1876</v>
      </c>
      <c r="BU389" s="150" t="s">
        <v>5917</v>
      </c>
      <c r="BV389" s="150" t="s">
        <v>5925</v>
      </c>
      <c r="BW389" s="150" t="s">
        <v>24</v>
      </c>
      <c r="BX389" s="150" t="s">
        <v>5929</v>
      </c>
      <c r="BY389" s="150"/>
      <c r="BZ389" s="258" t="s">
        <v>5956</v>
      </c>
      <c r="CA389" s="257" t="s">
        <v>24</v>
      </c>
      <c r="CB389" s="151" t="s">
        <v>5610</v>
      </c>
      <c r="CC389" s="150">
        <v>60</v>
      </c>
      <c r="CD389" s="150">
        <v>7.3</v>
      </c>
      <c r="CE389" s="150" t="s">
        <v>24</v>
      </c>
      <c r="CF389" s="151" t="s">
        <v>5611</v>
      </c>
      <c r="CG389" s="150">
        <v>63.4</v>
      </c>
      <c r="CH389" s="150">
        <v>7.5</v>
      </c>
      <c r="CI389" s="150" t="s">
        <v>24</v>
      </c>
      <c r="CJ389" s="290" t="s">
        <v>24</v>
      </c>
      <c r="CK389" s="291" t="s">
        <v>24</v>
      </c>
      <c r="CL389" s="151" t="s">
        <v>5940</v>
      </c>
      <c r="CM389" s="150">
        <v>30.6</v>
      </c>
      <c r="CN389" s="150">
        <v>13.3</v>
      </c>
      <c r="CO389" s="150" t="s">
        <v>24</v>
      </c>
      <c r="CP389" s="151" t="s">
        <v>5939</v>
      </c>
      <c r="CQ389" s="150">
        <v>36.9</v>
      </c>
      <c r="CR389" s="150">
        <v>10.9</v>
      </c>
      <c r="CS389" s="150" t="s">
        <v>24</v>
      </c>
      <c r="CT389" s="290" t="s">
        <v>24</v>
      </c>
      <c r="CU389" s="291" t="s">
        <v>24</v>
      </c>
      <c r="CV389" s="278" t="s">
        <v>5951</v>
      </c>
      <c r="CW389" s="278" t="s">
        <v>5951</v>
      </c>
      <c r="CX389" s="151" t="s">
        <v>5938</v>
      </c>
      <c r="CY389" s="150">
        <v>9.4</v>
      </c>
      <c r="CZ389" s="150">
        <v>2.9</v>
      </c>
      <c r="DA389" s="150" t="s">
        <v>24</v>
      </c>
      <c r="DB389" s="151" t="s">
        <v>5941</v>
      </c>
      <c r="DC389" s="150">
        <v>10.6</v>
      </c>
      <c r="DD389" s="150">
        <v>2.7</v>
      </c>
      <c r="DE389" s="150" t="s">
        <v>24</v>
      </c>
      <c r="DF389" s="302"/>
      <c r="DG389" s="303"/>
      <c r="DH389" s="150" t="s">
        <v>5942</v>
      </c>
      <c r="DI389" s="266">
        <v>0.89</v>
      </c>
      <c r="DJ389" s="150">
        <v>0.28999999999999998</v>
      </c>
      <c r="DK389" s="266" t="s">
        <v>24</v>
      </c>
      <c r="DL389" s="150" t="s">
        <v>5943</v>
      </c>
      <c r="DM389" s="150">
        <v>0.97</v>
      </c>
      <c r="DN389" s="150">
        <v>0.13</v>
      </c>
      <c r="DO389" s="150" t="s">
        <v>24</v>
      </c>
      <c r="DP389" s="302" t="s">
        <v>5958</v>
      </c>
      <c r="DQ389" s="303" t="s">
        <v>2480</v>
      </c>
      <c r="DR389" s="278"/>
      <c r="DS389" s="279"/>
      <c r="DT389" s="360"/>
      <c r="DU389" s="266"/>
      <c r="DV389" s="150"/>
      <c r="DW389" s="266"/>
      <c r="DX389" s="468"/>
      <c r="DY389" s="150"/>
      <c r="DZ389" s="150"/>
      <c r="EA389" s="150"/>
      <c r="EB389" s="303"/>
      <c r="EC389" s="303"/>
      <c r="ED389" s="151"/>
      <c r="EE389" s="266"/>
      <c r="EF389" s="266"/>
      <c r="EG389" s="266"/>
      <c r="EH389" s="468"/>
      <c r="EI389" s="150"/>
      <c r="EJ389" s="150"/>
      <c r="EK389" s="150"/>
      <c r="EL389" s="303"/>
      <c r="EM389" s="303"/>
      <c r="EN389" s="279"/>
      <c r="EO389" s="266"/>
      <c r="EP389" s="266"/>
      <c r="EQ389" s="266"/>
      <c r="ER389" s="266"/>
      <c r="ES389" s="266"/>
      <c r="ET389" s="150"/>
      <c r="EU389" s="150"/>
      <c r="EV389" s="150"/>
      <c r="EW389" s="303"/>
      <c r="EX389" s="303"/>
      <c r="EY389" s="266"/>
      <c r="EZ389" s="266"/>
      <c r="FA389" s="266"/>
      <c r="FB389" s="266"/>
      <c r="FC389" s="150"/>
      <c r="FD389" s="150"/>
      <c r="FE389" s="150"/>
      <c r="FF389" s="150"/>
      <c r="FG389" s="152"/>
      <c r="FH389" s="152"/>
      <c r="FI389" s="150"/>
      <c r="FJ389" s="266"/>
      <c r="FK389" s="150"/>
      <c r="FL389" s="150"/>
      <c r="FM389" s="150"/>
      <c r="FN389" s="150"/>
      <c r="FO389" s="150"/>
      <c r="FP389" s="150"/>
      <c r="FQ389" s="152"/>
      <c r="FR389" s="152"/>
      <c r="FS389" s="150"/>
      <c r="FT389" s="150"/>
      <c r="FU389" s="150"/>
      <c r="FV389" s="150"/>
      <c r="FW389" s="150"/>
      <c r="FX389" s="150"/>
      <c r="FY389" s="150"/>
      <c r="FZ389" s="150"/>
      <c r="GA389" s="152"/>
      <c r="GB389" s="152"/>
      <c r="GC389" s="150"/>
      <c r="GD389" s="150"/>
      <c r="GE389" s="150"/>
      <c r="GF389" s="150"/>
      <c r="GG389" s="150"/>
      <c r="GH389" s="150"/>
      <c r="GI389" s="150"/>
      <c r="GJ389" s="150"/>
      <c r="GK389" s="152"/>
      <c r="GL389" s="152"/>
      <c r="GM389" s="150"/>
      <c r="GN389" s="150"/>
      <c r="GO389" s="150"/>
      <c r="GP389" s="150"/>
      <c r="GQ389" s="150"/>
      <c r="GR389" s="150"/>
      <c r="GS389" s="150"/>
      <c r="GT389" s="150"/>
      <c r="GU389" s="152"/>
      <c r="GV389" s="152"/>
      <c r="GW389" s="134"/>
      <c r="GX389" s="134"/>
      <c r="GY389" s="134"/>
      <c r="GZ389" s="134"/>
      <c r="HA389" s="134"/>
      <c r="HB389" s="134"/>
      <c r="HC389" s="134"/>
      <c r="HD389" s="134"/>
      <c r="HE389" s="135"/>
      <c r="HF389" s="135"/>
      <c r="HG389" s="134"/>
      <c r="HH389" s="134"/>
      <c r="HI389" s="134"/>
      <c r="HJ389" s="134"/>
      <c r="HK389" s="134"/>
      <c r="HL389" s="134"/>
      <c r="HM389" s="134"/>
      <c r="HN389" s="134"/>
      <c r="HO389" s="135"/>
      <c r="HP389" s="135"/>
      <c r="HQ389" s="134"/>
      <c r="HR389" s="134"/>
      <c r="HS389" s="134"/>
      <c r="HT389" s="134"/>
      <c r="HU389" s="134"/>
      <c r="HV389" s="134"/>
      <c r="HW389" s="134"/>
      <c r="HX389" s="134"/>
      <c r="HY389" s="135"/>
      <c r="HZ389" s="135"/>
      <c r="IA389" s="134"/>
      <c r="IB389" s="134"/>
      <c r="IC389" s="134"/>
      <c r="ID389" s="134"/>
      <c r="IE389" s="134"/>
      <c r="IF389" s="134"/>
      <c r="IG389" s="134"/>
      <c r="IH389" s="134"/>
      <c r="II389" s="135"/>
      <c r="IJ389" s="135"/>
      <c r="IK389" s="134"/>
      <c r="IL389" s="134"/>
      <c r="IM389" s="134"/>
      <c r="IN389" s="134"/>
      <c r="IO389" s="134"/>
      <c r="IP389" s="134"/>
      <c r="IQ389" s="134"/>
      <c r="IR389" s="134"/>
      <c r="IS389" s="135"/>
      <c r="IT389" s="135"/>
      <c r="IU389" s="134"/>
      <c r="IV389" s="134"/>
      <c r="IW389" s="134"/>
      <c r="IX389" s="134"/>
      <c r="IY389" s="134"/>
      <c r="IZ389" s="134"/>
      <c r="JA389" s="134"/>
      <c r="JB389" s="134"/>
      <c r="JC389" s="135"/>
      <c r="JD389" s="135"/>
    </row>
    <row r="390" spans="1:264">
      <c r="A390" s="79" t="s">
        <v>947</v>
      </c>
      <c r="B390" s="362">
        <v>52</v>
      </c>
      <c r="C390" s="362"/>
      <c r="D390" s="362"/>
      <c r="E390" s="604" t="s">
        <v>2128</v>
      </c>
      <c r="F390" s="124" t="s">
        <v>2392</v>
      </c>
      <c r="G390" s="125">
        <v>2008</v>
      </c>
      <c r="H390" s="79">
        <v>17957211</v>
      </c>
      <c r="I390" s="79">
        <v>1</v>
      </c>
      <c r="J390" s="126">
        <v>1</v>
      </c>
      <c r="K390" s="127"/>
      <c r="L390" s="79">
        <v>1</v>
      </c>
      <c r="M390" s="79"/>
      <c r="N390" s="153">
        <v>1</v>
      </c>
      <c r="O390" s="128">
        <v>2</v>
      </c>
      <c r="P390" s="79" t="s">
        <v>1220</v>
      </c>
      <c r="Q390" s="79" t="s">
        <v>1216</v>
      </c>
      <c r="R390" s="79" t="s">
        <v>1127</v>
      </c>
      <c r="S390" s="79"/>
      <c r="T390" s="79" t="s">
        <v>1487</v>
      </c>
      <c r="U390" s="79" t="s">
        <v>803</v>
      </c>
      <c r="V390" s="79"/>
      <c r="W390" s="79" t="s">
        <v>1501</v>
      </c>
      <c r="X390" s="79" t="s">
        <v>1636</v>
      </c>
      <c r="Y390" s="79"/>
      <c r="Z390" s="79"/>
      <c r="AA390" s="79" t="s">
        <v>1549</v>
      </c>
      <c r="AB390" s="79"/>
      <c r="AC390" s="506"/>
      <c r="AD390" s="573">
        <v>1</v>
      </c>
      <c r="AE390" s="573">
        <v>2</v>
      </c>
      <c r="AF390" s="154">
        <v>1</v>
      </c>
      <c r="AG390" s="155"/>
      <c r="AH390" s="121">
        <v>4</v>
      </c>
      <c r="AI390" s="484"/>
      <c r="AJ390" s="202" t="s">
        <v>3699</v>
      </c>
      <c r="AK390" s="192">
        <v>0</v>
      </c>
      <c r="AL390" s="203"/>
      <c r="AM390" s="121">
        <v>20</v>
      </c>
      <c r="AN390" s="121">
        <v>10</v>
      </c>
      <c r="AO390" s="121">
        <v>10</v>
      </c>
      <c r="AP390" s="121" t="s">
        <v>803</v>
      </c>
      <c r="AQ390" s="121" t="s">
        <v>803</v>
      </c>
      <c r="AR390" s="121" t="s">
        <v>24</v>
      </c>
      <c r="AS390" s="121" t="s">
        <v>24</v>
      </c>
      <c r="AT390" s="121" t="s">
        <v>24</v>
      </c>
      <c r="AU390" s="121" t="s">
        <v>24</v>
      </c>
      <c r="AV390" s="121" t="s">
        <v>2963</v>
      </c>
      <c r="AW390" s="121">
        <v>1</v>
      </c>
      <c r="AX390" s="121">
        <v>1</v>
      </c>
      <c r="AY390" s="121" t="s">
        <v>3697</v>
      </c>
      <c r="AZ390" s="121" t="s">
        <v>3698</v>
      </c>
      <c r="BA390" s="121" t="s">
        <v>2798</v>
      </c>
      <c r="BB390" s="594"/>
      <c r="BC390" s="594"/>
      <c r="BD390" s="156">
        <v>1</v>
      </c>
      <c r="BE390" s="156"/>
      <c r="BF390" s="156"/>
      <c r="BG390" s="156"/>
      <c r="BH390" s="156"/>
      <c r="BI390" s="156"/>
      <c r="BJ390" s="156"/>
      <c r="BK390" s="156"/>
      <c r="BL390" s="156"/>
      <c r="BM390" s="156"/>
      <c r="BN390" s="156"/>
      <c r="BO390" s="156"/>
      <c r="BP390" s="156"/>
      <c r="BQ390" s="595" t="s">
        <v>3402</v>
      </c>
      <c r="BR390" s="157" t="s">
        <v>6603</v>
      </c>
      <c r="BS390" s="660"/>
      <c r="BT390" s="134" t="s">
        <v>1876</v>
      </c>
      <c r="BU390" s="134">
        <v>2</v>
      </c>
      <c r="BV390" s="134" t="s">
        <v>3700</v>
      </c>
      <c r="BW390" s="134" t="s">
        <v>3514</v>
      </c>
      <c r="BX390" s="134" t="s">
        <v>3224</v>
      </c>
      <c r="BY390" s="134" t="s">
        <v>6640</v>
      </c>
      <c r="BZ390" s="259" t="s">
        <v>3716</v>
      </c>
      <c r="CA390" s="454" t="s">
        <v>6636</v>
      </c>
      <c r="CB390" s="138" t="s">
        <v>3701</v>
      </c>
      <c r="CC390" s="190">
        <v>78.253299999999996</v>
      </c>
      <c r="CD390" s="134" t="s">
        <v>24</v>
      </c>
      <c r="CE390" s="190">
        <f>83.3222-Table668[[#This Row],[Data_Outcome1_M]]</f>
        <v>5.0688999999999993</v>
      </c>
      <c r="CF390" s="463" t="s">
        <v>3702</v>
      </c>
      <c r="CG390" s="190">
        <v>68.776799999999994</v>
      </c>
      <c r="CH390" s="134" t="s">
        <v>24</v>
      </c>
      <c r="CI390" s="134">
        <f>72.9646-Table668[[#This Row],[Data_Outcome2_M]]</f>
        <v>4.18780000000001</v>
      </c>
      <c r="CJ390" s="288" t="s">
        <v>3711</v>
      </c>
      <c r="CK390" s="289" t="s">
        <v>3717</v>
      </c>
      <c r="CL390" s="439" t="s">
        <v>3703</v>
      </c>
      <c r="CM390" s="190">
        <v>57.459899999999998</v>
      </c>
      <c r="CN390" s="134" t="s">
        <v>24</v>
      </c>
      <c r="CO390" s="190">
        <f>62.3083-Table668[[#This Row],[Data_Outcome3_M]]</f>
        <v>4.8484000000000052</v>
      </c>
      <c r="CP390" s="463" t="s">
        <v>3704</v>
      </c>
      <c r="CQ390" s="134">
        <v>33.988999999999997</v>
      </c>
      <c r="CR390" s="134" t="s">
        <v>24</v>
      </c>
      <c r="CS390" s="134">
        <f>40.3802-Table668[[#This Row],[Data_Outcome4_M]]</f>
        <v>6.3912000000000049</v>
      </c>
      <c r="CT390" s="288" t="s">
        <v>3712</v>
      </c>
      <c r="CU390" s="289" t="s">
        <v>3718</v>
      </c>
      <c r="CV390" s="276" t="s">
        <v>24</v>
      </c>
      <c r="CW390" s="308" t="s">
        <v>24</v>
      </c>
      <c r="CX390" s="427" t="s">
        <v>3705</v>
      </c>
      <c r="CY390" s="641">
        <v>53.415999999999997</v>
      </c>
      <c r="CZ390" s="427" t="s">
        <v>24</v>
      </c>
      <c r="DA390" s="641">
        <f>59.9173-Table668[[#This Row],[Data_Outcome5_M]]</f>
        <v>6.5013000000000005</v>
      </c>
      <c r="DB390" s="427" t="s">
        <v>3706</v>
      </c>
      <c r="DC390" s="134">
        <v>22.2315</v>
      </c>
      <c r="DD390" s="134" t="s">
        <v>24</v>
      </c>
      <c r="DE390" s="134">
        <f>27.3004-Table668[[#This Row],[Data_Outcome6_M]]</f>
        <v>5.0688999999999993</v>
      </c>
      <c r="DF390" s="300" t="s">
        <v>3713</v>
      </c>
      <c r="DG390" s="301" t="s">
        <v>3719</v>
      </c>
      <c r="DH390" s="427" t="s">
        <v>3707</v>
      </c>
      <c r="DI390" s="644">
        <v>47.1676</v>
      </c>
      <c r="DJ390" s="427" t="s">
        <v>24</v>
      </c>
      <c r="DK390" s="641">
        <f>54.1098-Table668[[#This Row],[Data_Outcome7_M]]</f>
        <v>6.9421999999999997</v>
      </c>
      <c r="DL390" s="427" t="s">
        <v>3708</v>
      </c>
      <c r="DM390" s="134">
        <v>13.8894</v>
      </c>
      <c r="DN390" s="134" t="s">
        <v>24</v>
      </c>
      <c r="DO390" s="134">
        <f>18.6277-Table668[[#This Row],[Data_Outcome8_M]]</f>
        <v>4.7383000000000006</v>
      </c>
      <c r="DP390" s="300" t="s">
        <v>3714</v>
      </c>
      <c r="DQ390" s="301" t="s">
        <v>3720</v>
      </c>
      <c r="DR390" s="276" t="s">
        <v>24</v>
      </c>
      <c r="DS390" s="277" t="s">
        <v>24</v>
      </c>
      <c r="DT390" s="644" t="s">
        <v>3709</v>
      </c>
      <c r="DU390" s="644">
        <v>44.886499999999998</v>
      </c>
      <c r="DV390" s="644" t="s">
        <v>24</v>
      </c>
      <c r="DW390" s="641">
        <f>52.9307-Table668[[#This Row],[Data_Outcome9_M]]</f>
        <v>8.0442000000000036</v>
      </c>
      <c r="DX390" s="644" t="s">
        <v>3710</v>
      </c>
      <c r="DY390" s="134">
        <v>7.7513399999999999</v>
      </c>
      <c r="DZ390" s="134" t="s">
        <v>24</v>
      </c>
      <c r="EA390" s="134">
        <f>10.727-Table668[[#This Row],[Data_Outcome10_M]]</f>
        <v>2.9756600000000004</v>
      </c>
      <c r="EB390" s="301" t="s">
        <v>3715</v>
      </c>
      <c r="EC390" s="301" t="s">
        <v>3721</v>
      </c>
      <c r="ED390" s="138" t="s">
        <v>24</v>
      </c>
      <c r="EE390" s="134" t="s">
        <v>24</v>
      </c>
      <c r="EF390" s="134" t="s">
        <v>24</v>
      </c>
      <c r="EG390" s="134" t="s">
        <v>24</v>
      </c>
      <c r="EH390" s="138"/>
      <c r="EI390" s="134"/>
      <c r="EJ390" s="134"/>
      <c r="EK390" s="134"/>
      <c r="EL390" s="301"/>
      <c r="EM390" s="301"/>
      <c r="EN390" s="277"/>
      <c r="EO390" s="134"/>
      <c r="EP390" s="134"/>
      <c r="EQ390" s="134"/>
      <c r="ER390" s="134"/>
      <c r="ES390" s="134"/>
      <c r="ET390" s="134"/>
      <c r="EU390" s="134"/>
      <c r="EV390" s="134"/>
      <c r="EW390" s="301"/>
      <c r="EX390" s="301"/>
      <c r="EY390" s="134"/>
      <c r="EZ390" s="134"/>
      <c r="FA390" s="134"/>
      <c r="FB390" s="134"/>
      <c r="FC390" s="134"/>
      <c r="FD390" s="134"/>
      <c r="FE390" s="134"/>
      <c r="FF390" s="134"/>
      <c r="FG390" s="135"/>
      <c r="FH390" s="135"/>
      <c r="FI390" s="134"/>
      <c r="FJ390" s="134"/>
      <c r="FK390" s="134"/>
      <c r="FL390" s="134"/>
      <c r="FM390" s="134"/>
      <c r="FN390" s="134"/>
      <c r="FO390" s="134"/>
      <c r="FP390" s="134"/>
      <c r="FQ390" s="135"/>
      <c r="FR390" s="135"/>
      <c r="FS390" s="134"/>
      <c r="FT390" s="134"/>
      <c r="FU390" s="134"/>
      <c r="FV390" s="134"/>
      <c r="FW390" s="134"/>
      <c r="FX390" s="134"/>
      <c r="FY390" s="134"/>
      <c r="FZ390" s="134"/>
      <c r="GA390" s="135"/>
      <c r="GB390" s="135"/>
      <c r="GC390" s="134"/>
      <c r="GD390" s="134"/>
      <c r="GE390" s="134"/>
      <c r="GF390" s="134"/>
      <c r="GG390" s="134"/>
      <c r="GH390" s="134"/>
      <c r="GI390" s="134"/>
      <c r="GJ390" s="134"/>
      <c r="GK390" s="135"/>
      <c r="GL390" s="135"/>
      <c r="GM390" s="134"/>
      <c r="GN390" s="134"/>
      <c r="GO390" s="134"/>
      <c r="GP390" s="134"/>
      <c r="GQ390" s="134"/>
      <c r="GR390" s="134"/>
      <c r="GS390" s="134"/>
      <c r="GT390" s="134"/>
      <c r="GU390" s="135"/>
      <c r="GV390" s="135"/>
      <c r="GW390" s="134"/>
      <c r="GX390" s="134"/>
      <c r="GY390" s="134"/>
      <c r="GZ390" s="134"/>
      <c r="HA390" s="134"/>
      <c r="HB390" s="134"/>
      <c r="HC390" s="134"/>
      <c r="HD390" s="134"/>
      <c r="HE390" s="135"/>
      <c r="HF390" s="135"/>
      <c r="HG390" s="134"/>
      <c r="HH390" s="134"/>
      <c r="HI390" s="134"/>
      <c r="HJ390" s="134"/>
      <c r="HK390" s="134"/>
      <c r="HL390" s="134"/>
      <c r="HM390" s="134"/>
      <c r="HN390" s="134"/>
      <c r="HO390" s="135"/>
      <c r="HP390" s="135"/>
      <c r="HQ390" s="134"/>
      <c r="HR390" s="134"/>
      <c r="HS390" s="134"/>
      <c r="HT390" s="134"/>
      <c r="HU390" s="134"/>
      <c r="HV390" s="134"/>
      <c r="HW390" s="134"/>
      <c r="HX390" s="134"/>
      <c r="HY390" s="135"/>
      <c r="HZ390" s="135"/>
      <c r="IA390" s="134"/>
      <c r="IB390" s="134"/>
      <c r="IC390" s="134"/>
      <c r="ID390" s="134"/>
      <c r="IE390" s="134"/>
      <c r="IF390" s="134"/>
      <c r="IG390" s="134"/>
      <c r="IH390" s="134"/>
      <c r="II390" s="135"/>
      <c r="IJ390" s="135"/>
      <c r="IK390" s="134"/>
      <c r="IL390" s="134"/>
      <c r="IM390" s="134"/>
      <c r="IN390" s="134"/>
      <c r="IO390" s="134"/>
      <c r="IP390" s="134"/>
      <c r="IQ390" s="134"/>
      <c r="IR390" s="134"/>
      <c r="IS390" s="135"/>
      <c r="IT390" s="135"/>
      <c r="IU390" s="134"/>
      <c r="IV390" s="134"/>
      <c r="IW390" s="134"/>
      <c r="IX390" s="134"/>
      <c r="IY390" s="134"/>
      <c r="IZ390" s="134"/>
      <c r="JA390" s="134"/>
      <c r="JB390" s="134"/>
      <c r="JC390" s="135"/>
      <c r="JD390" s="135"/>
    </row>
    <row r="391" spans="1:264">
      <c r="A391" s="79" t="s">
        <v>363</v>
      </c>
      <c r="B391" s="362">
        <v>259</v>
      </c>
      <c r="C391" s="362">
        <v>92</v>
      </c>
      <c r="D391" s="362"/>
      <c r="E391" s="604" t="s">
        <v>2047</v>
      </c>
      <c r="F391" s="124" t="s">
        <v>2287</v>
      </c>
      <c r="G391" s="125">
        <v>2007</v>
      </c>
      <c r="H391" s="79">
        <v>16445942</v>
      </c>
      <c r="I391" s="79">
        <v>1</v>
      </c>
      <c r="J391" s="126"/>
      <c r="K391" s="127"/>
      <c r="L391" s="79">
        <v>1</v>
      </c>
      <c r="M391" s="79"/>
      <c r="N391" s="79">
        <v>1</v>
      </c>
      <c r="O391" s="128">
        <v>1</v>
      </c>
      <c r="P391" s="79" t="s">
        <v>73</v>
      </c>
      <c r="Q391" s="79" t="s">
        <v>1147</v>
      </c>
      <c r="R391" s="79" t="s">
        <v>25</v>
      </c>
      <c r="S391" s="79">
        <v>1</v>
      </c>
      <c r="T391" s="79"/>
      <c r="U391" s="79"/>
      <c r="V391" s="79"/>
      <c r="W391" s="79" t="s">
        <v>934</v>
      </c>
      <c r="X391" s="79"/>
      <c r="Y391" s="79"/>
      <c r="Z391" s="79"/>
      <c r="AA391" s="79"/>
      <c r="AB391" s="79" t="s">
        <v>937</v>
      </c>
      <c r="AC391" s="506"/>
      <c r="AD391" s="573">
        <v>1</v>
      </c>
      <c r="AE391" s="573">
        <v>2</v>
      </c>
      <c r="AF391" s="154">
        <v>1</v>
      </c>
      <c r="AG391" s="155"/>
      <c r="AH391" s="121">
        <v>2</v>
      </c>
      <c r="AI391" s="484" t="s">
        <v>5973</v>
      </c>
      <c r="AJ391" s="202" t="s">
        <v>5963</v>
      </c>
      <c r="AK391" s="192">
        <v>0</v>
      </c>
      <c r="AL391" s="203" t="s">
        <v>24</v>
      </c>
      <c r="AM391" s="121">
        <f>Table668[[#This Row],[Data_Subjects_n_ptsd]]+Table668[[#This Row],[Data_Subjects_n_control]]</f>
        <v>33</v>
      </c>
      <c r="AN391" s="121">
        <v>17</v>
      </c>
      <c r="AO391" s="121">
        <v>16</v>
      </c>
      <c r="AP391" s="121" t="s">
        <v>803</v>
      </c>
      <c r="AQ391" s="121" t="s">
        <v>803</v>
      </c>
      <c r="AR391" s="121">
        <v>60.6</v>
      </c>
      <c r="AS391" s="121">
        <v>7</v>
      </c>
      <c r="AT391" s="121">
        <v>65.099999999999994</v>
      </c>
      <c r="AU391" s="121">
        <v>9.9</v>
      </c>
      <c r="AV391" s="121" t="s">
        <v>1874</v>
      </c>
      <c r="AW391" s="121" t="s">
        <v>24</v>
      </c>
      <c r="AX391" s="121" t="s">
        <v>24</v>
      </c>
      <c r="AY391" s="121" t="s">
        <v>2423</v>
      </c>
      <c r="AZ391" s="121" t="s">
        <v>3835</v>
      </c>
      <c r="BA391" s="121" t="s">
        <v>5964</v>
      </c>
      <c r="BB391" s="594"/>
      <c r="BC391" s="594"/>
      <c r="BD391" s="156"/>
      <c r="BE391" s="156"/>
      <c r="BF391" s="156" t="s">
        <v>4727</v>
      </c>
      <c r="BG391" s="156"/>
      <c r="BH391" s="156"/>
      <c r="BI391" s="156"/>
      <c r="BJ391" s="156">
        <v>1</v>
      </c>
      <c r="BK391" s="156"/>
      <c r="BL391" s="156" t="s">
        <v>4727</v>
      </c>
      <c r="BM391" s="156"/>
      <c r="BN391" s="156" t="s">
        <v>4727</v>
      </c>
      <c r="BO391" s="156"/>
      <c r="BP391" s="156"/>
      <c r="BQ391" s="595" t="s">
        <v>5968</v>
      </c>
      <c r="BR391" s="157" t="s">
        <v>6609</v>
      </c>
      <c r="BS391" s="660"/>
      <c r="BT391" s="134" t="s">
        <v>1876</v>
      </c>
      <c r="BU391" s="134">
        <v>2</v>
      </c>
      <c r="BV391" s="134" t="s">
        <v>5965</v>
      </c>
      <c r="BW391" s="134" t="s">
        <v>24</v>
      </c>
      <c r="BX391" s="134" t="s">
        <v>5970</v>
      </c>
      <c r="BY391" s="134"/>
      <c r="BZ391" s="259" t="s">
        <v>5971</v>
      </c>
      <c r="CA391" s="454">
        <v>0</v>
      </c>
      <c r="CB391" s="138" t="s">
        <v>5966</v>
      </c>
      <c r="CC391" s="190">
        <v>77.3</v>
      </c>
      <c r="CD391" s="134">
        <v>4.0999999999999996</v>
      </c>
      <c r="CE391" s="190" t="s">
        <v>24</v>
      </c>
      <c r="CF391" s="463" t="s">
        <v>5967</v>
      </c>
      <c r="CG391" s="190">
        <v>92.1</v>
      </c>
      <c r="CH391" s="134">
        <v>4.3</v>
      </c>
      <c r="CI391" s="134" t="s">
        <v>24</v>
      </c>
      <c r="CJ391" s="288" t="s">
        <v>5969</v>
      </c>
      <c r="CK391" s="289" t="s">
        <v>5972</v>
      </c>
      <c r="CL391" s="138" t="s">
        <v>24</v>
      </c>
      <c r="CM391" s="134" t="s">
        <v>24</v>
      </c>
      <c r="CN391" s="134"/>
      <c r="CO391" s="134"/>
      <c r="CP391" s="138"/>
      <c r="CQ391" s="134"/>
      <c r="CR391" s="134"/>
      <c r="CS391" s="134"/>
      <c r="CT391" s="288"/>
      <c r="CU391" s="289"/>
      <c r="CV391" s="276"/>
      <c r="CW391" s="308"/>
      <c r="CX391" s="138"/>
      <c r="CY391" s="190"/>
      <c r="CZ391" s="134"/>
      <c r="DA391" s="190"/>
      <c r="DB391" s="134"/>
      <c r="DC391" s="134"/>
      <c r="DD391" s="134"/>
      <c r="DE391" s="134"/>
      <c r="DF391" s="300"/>
      <c r="DG391" s="301"/>
      <c r="DH391" s="134"/>
      <c r="DI391" s="134"/>
      <c r="DJ391" s="134"/>
      <c r="DK391" s="134"/>
      <c r="DL391" s="134"/>
      <c r="DM391" s="134"/>
      <c r="DN391" s="134"/>
      <c r="DO391" s="134"/>
      <c r="DP391" s="300"/>
      <c r="DQ391" s="301"/>
      <c r="DR391" s="276"/>
      <c r="DS391" s="277"/>
      <c r="DT391" s="134"/>
      <c r="DU391" s="134"/>
      <c r="DV391" s="134"/>
      <c r="DW391" s="134"/>
      <c r="DX391" s="138"/>
      <c r="DY391" s="134"/>
      <c r="DZ391" s="134"/>
      <c r="EA391" s="134"/>
      <c r="EB391" s="301"/>
      <c r="EC391" s="301"/>
      <c r="ED391" s="138"/>
      <c r="EE391" s="134"/>
      <c r="EF391" s="134"/>
      <c r="EG391" s="134"/>
      <c r="EH391" s="138"/>
      <c r="EI391" s="134"/>
      <c r="EJ391" s="134"/>
      <c r="EK391" s="134"/>
      <c r="EL391" s="301"/>
      <c r="EM391" s="301"/>
      <c r="EN391" s="277"/>
      <c r="EO391" s="134"/>
      <c r="EP391" s="134"/>
      <c r="EQ391" s="134"/>
      <c r="ER391" s="134"/>
      <c r="ES391" s="134"/>
      <c r="ET391" s="134"/>
      <c r="EU391" s="134"/>
      <c r="EV391" s="134"/>
      <c r="EW391" s="301"/>
      <c r="EX391" s="301"/>
      <c r="EY391" s="134"/>
      <c r="EZ391" s="134"/>
      <c r="FA391" s="134"/>
      <c r="FB391" s="134"/>
      <c r="FC391" s="134"/>
      <c r="FD391" s="134"/>
      <c r="FE391" s="134"/>
      <c r="FF391" s="134"/>
      <c r="FG391" s="135"/>
      <c r="FH391" s="135"/>
      <c r="FI391" s="134"/>
      <c r="FJ391" s="134"/>
      <c r="FK391" s="134"/>
      <c r="FL391" s="134"/>
      <c r="FM391" s="134"/>
      <c r="FN391" s="134"/>
      <c r="FO391" s="134"/>
      <c r="FP391" s="134"/>
      <c r="FQ391" s="135"/>
      <c r="FR391" s="135"/>
      <c r="FS391" s="134"/>
      <c r="FT391" s="134"/>
      <c r="FU391" s="134"/>
      <c r="FV391" s="134"/>
      <c r="FW391" s="134"/>
      <c r="FX391" s="134"/>
      <c r="FY391" s="134"/>
      <c r="FZ391" s="134"/>
      <c r="GA391" s="135"/>
      <c r="GB391" s="135"/>
      <c r="GC391" s="134"/>
      <c r="GD391" s="134"/>
      <c r="GE391" s="134"/>
      <c r="GF391" s="134"/>
      <c r="GG391" s="134"/>
      <c r="GH391" s="134"/>
      <c r="GI391" s="134"/>
      <c r="GJ391" s="134"/>
      <c r="GK391" s="135"/>
      <c r="GL391" s="135"/>
      <c r="GM391" s="134"/>
      <c r="GN391" s="134"/>
      <c r="GO391" s="134"/>
      <c r="GP391" s="134"/>
      <c r="GQ391" s="134"/>
      <c r="GR391" s="134"/>
      <c r="GS391" s="134"/>
      <c r="GT391" s="134"/>
      <c r="GU391" s="135"/>
      <c r="GV391" s="135"/>
      <c r="GW391" s="134"/>
      <c r="GX391" s="134"/>
      <c r="GY391" s="134"/>
      <c r="GZ391" s="134"/>
      <c r="HA391" s="134"/>
      <c r="HB391" s="134"/>
      <c r="HC391" s="134"/>
      <c r="HD391" s="134"/>
      <c r="HE391" s="135"/>
      <c r="HF391" s="135"/>
      <c r="HG391" s="134"/>
      <c r="HH391" s="134"/>
      <c r="HI391" s="134"/>
      <c r="HJ391" s="134"/>
      <c r="HK391" s="134"/>
      <c r="HL391" s="134"/>
      <c r="HM391" s="134"/>
      <c r="HN391" s="134"/>
      <c r="HO391" s="135"/>
      <c r="HP391" s="135"/>
      <c r="HQ391" s="134"/>
      <c r="HR391" s="134"/>
      <c r="HS391" s="134"/>
      <c r="HT391" s="134"/>
      <c r="HU391" s="134"/>
      <c r="HV391" s="134"/>
      <c r="HW391" s="134"/>
      <c r="HX391" s="134"/>
      <c r="HY391" s="135"/>
      <c r="HZ391" s="135"/>
      <c r="IA391" s="134"/>
      <c r="IB391" s="134"/>
      <c r="IC391" s="134"/>
      <c r="ID391" s="134"/>
      <c r="IE391" s="134"/>
      <c r="IF391" s="134"/>
      <c r="IG391" s="134"/>
      <c r="IH391" s="134"/>
      <c r="II391" s="135"/>
      <c r="IJ391" s="135"/>
      <c r="IK391" s="134"/>
      <c r="IL391" s="134"/>
      <c r="IM391" s="134"/>
      <c r="IN391" s="134"/>
      <c r="IO391" s="134"/>
      <c r="IP391" s="134"/>
      <c r="IQ391" s="134"/>
      <c r="IR391" s="134"/>
      <c r="IS391" s="135"/>
      <c r="IT391" s="135"/>
      <c r="IU391" s="134"/>
      <c r="IV391" s="134"/>
      <c r="IW391" s="134"/>
      <c r="IX391" s="134"/>
      <c r="IY391" s="134"/>
      <c r="IZ391" s="134"/>
      <c r="JA391" s="134"/>
      <c r="JB391" s="134"/>
      <c r="JC391" s="135"/>
      <c r="JD391" s="135"/>
    </row>
    <row r="392" spans="1:264" ht="409.6">
      <c r="A392" s="79" t="s">
        <v>364</v>
      </c>
      <c r="B392" s="362">
        <v>260</v>
      </c>
      <c r="C392" s="362">
        <v>93</v>
      </c>
      <c r="D392" s="362"/>
      <c r="E392" s="604" t="s">
        <v>2047</v>
      </c>
      <c r="F392" s="124" t="s">
        <v>2288</v>
      </c>
      <c r="G392" s="125">
        <v>2005</v>
      </c>
      <c r="H392" s="79">
        <v>15962694</v>
      </c>
      <c r="I392" s="79">
        <v>1</v>
      </c>
      <c r="J392" s="126"/>
      <c r="K392" s="127"/>
      <c r="L392" s="79">
        <v>1</v>
      </c>
      <c r="M392" s="79"/>
      <c r="N392" s="79">
        <v>1</v>
      </c>
      <c r="O392" s="128">
        <v>1</v>
      </c>
      <c r="P392" s="79" t="s">
        <v>936</v>
      </c>
      <c r="Q392" s="79" t="s">
        <v>1147</v>
      </c>
      <c r="R392" s="79" t="s">
        <v>25</v>
      </c>
      <c r="S392" s="79">
        <v>1</v>
      </c>
      <c r="T392" s="79"/>
      <c r="U392" s="79"/>
      <c r="V392" s="79"/>
      <c r="W392" s="79" t="s">
        <v>935</v>
      </c>
      <c r="X392" s="79"/>
      <c r="Y392" s="79"/>
      <c r="Z392" s="79"/>
      <c r="AA392" s="79"/>
      <c r="AB392" s="79" t="s">
        <v>937</v>
      </c>
      <c r="AC392" s="506"/>
      <c r="AD392" s="573">
        <v>1</v>
      </c>
      <c r="AE392" s="573">
        <v>2</v>
      </c>
      <c r="AF392" s="154">
        <v>1</v>
      </c>
      <c r="AG392" s="155"/>
      <c r="AH392" s="121">
        <v>2</v>
      </c>
      <c r="AI392" s="484" t="s">
        <v>6078</v>
      </c>
      <c r="AJ392" s="202" t="s">
        <v>6103</v>
      </c>
      <c r="AK392" s="192" t="s">
        <v>6101</v>
      </c>
      <c r="AL392" s="203" t="s">
        <v>24</v>
      </c>
      <c r="AM392" s="121" t="s">
        <v>6079</v>
      </c>
      <c r="AN392" s="121">
        <v>30</v>
      </c>
      <c r="AO392" s="121" t="s">
        <v>4369</v>
      </c>
      <c r="AP392" s="121" t="s">
        <v>803</v>
      </c>
      <c r="AQ392" s="121" t="s">
        <v>803</v>
      </c>
      <c r="AR392" s="121">
        <v>65.599999999999994</v>
      </c>
      <c r="AS392" s="121">
        <v>9.6999999999999993</v>
      </c>
      <c r="AT392" s="121" t="s">
        <v>5980</v>
      </c>
      <c r="AU392" s="121" t="s">
        <v>5981</v>
      </c>
      <c r="AV392" s="121" t="s">
        <v>5975</v>
      </c>
      <c r="AW392" s="121" t="s">
        <v>24</v>
      </c>
      <c r="AX392" s="121" t="s">
        <v>24</v>
      </c>
      <c r="AY392" s="121" t="s">
        <v>5974</v>
      </c>
      <c r="AZ392" s="121" t="s">
        <v>3835</v>
      </c>
      <c r="BA392" s="121" t="s">
        <v>5976</v>
      </c>
      <c r="BB392" s="594"/>
      <c r="BC392" s="594"/>
      <c r="BD392" s="156"/>
      <c r="BE392" s="156"/>
      <c r="BF392" s="156">
        <v>1</v>
      </c>
      <c r="BG392" s="156"/>
      <c r="BH392" s="156"/>
      <c r="BI392" s="156"/>
      <c r="BJ392" s="156">
        <v>1</v>
      </c>
      <c r="BK392" s="156"/>
      <c r="BL392" s="156"/>
      <c r="BM392" s="156"/>
      <c r="BN392" s="156" t="s">
        <v>4727</v>
      </c>
      <c r="BO392" s="156"/>
      <c r="BP392" s="156"/>
      <c r="BQ392" s="595" t="s">
        <v>6083</v>
      </c>
      <c r="BR392" s="157" t="s">
        <v>6611</v>
      </c>
      <c r="BS392" s="660"/>
      <c r="BT392" s="134" t="s">
        <v>1876</v>
      </c>
      <c r="BU392" s="134" t="s">
        <v>5977</v>
      </c>
      <c r="BV392" s="134" t="s">
        <v>5978</v>
      </c>
      <c r="BW392" s="134" t="s">
        <v>24</v>
      </c>
      <c r="BX392" s="168" t="s">
        <v>5979</v>
      </c>
      <c r="BY392" s="168"/>
      <c r="BZ392" s="259" t="s">
        <v>6102</v>
      </c>
      <c r="CA392" s="454" t="s">
        <v>24</v>
      </c>
      <c r="CB392" s="138" t="s">
        <v>5982</v>
      </c>
      <c r="CC392" s="134">
        <v>5.2</v>
      </c>
      <c r="CD392" s="134">
        <v>1.7</v>
      </c>
      <c r="CE392" s="134" t="s">
        <v>24</v>
      </c>
      <c r="CF392" s="138" t="s">
        <v>5984</v>
      </c>
      <c r="CG392" s="134">
        <v>5.5</v>
      </c>
      <c r="CH392" s="134">
        <v>1.8</v>
      </c>
      <c r="CI392" s="134" t="s">
        <v>24</v>
      </c>
      <c r="CJ392" s="288" t="s">
        <v>6080</v>
      </c>
      <c r="CK392" s="289" t="s">
        <v>6081</v>
      </c>
      <c r="CL392" s="138" t="s">
        <v>5985</v>
      </c>
      <c r="CM392" s="134">
        <v>5.2</v>
      </c>
      <c r="CN392" s="134">
        <v>1.3</v>
      </c>
      <c r="CO392" s="134" t="s">
        <v>24</v>
      </c>
      <c r="CP392" s="138" t="s">
        <v>5983</v>
      </c>
      <c r="CQ392" s="134">
        <v>36.700000000000003</v>
      </c>
      <c r="CR392" s="134">
        <v>10.4</v>
      </c>
      <c r="CS392" s="134" t="s">
        <v>24</v>
      </c>
      <c r="CT392" s="288" t="s">
        <v>6084</v>
      </c>
      <c r="CU392" s="289" t="s">
        <v>6085</v>
      </c>
      <c r="CV392" s="276" t="s">
        <v>6082</v>
      </c>
      <c r="CW392" s="308" t="s">
        <v>24</v>
      </c>
      <c r="CX392" s="138" t="s">
        <v>5986</v>
      </c>
      <c r="CY392" s="134">
        <v>41.9</v>
      </c>
      <c r="CZ392" s="134">
        <v>9.4</v>
      </c>
      <c r="DA392" s="134" t="s">
        <v>24</v>
      </c>
      <c r="DB392" s="138" t="s">
        <v>5987</v>
      </c>
      <c r="DC392" s="134">
        <v>47.1</v>
      </c>
      <c r="DD392" s="134">
        <v>7.6</v>
      </c>
      <c r="DE392" s="134" t="s">
        <v>24</v>
      </c>
      <c r="DF392" s="300" t="s">
        <v>24</v>
      </c>
      <c r="DG392" s="301" t="s">
        <v>24</v>
      </c>
      <c r="DH392" s="134" t="s">
        <v>5988</v>
      </c>
      <c r="DI392" s="134">
        <v>4.5</v>
      </c>
      <c r="DJ392" s="134">
        <v>1.9</v>
      </c>
      <c r="DK392" s="134" t="s">
        <v>24</v>
      </c>
      <c r="DL392" s="134" t="s">
        <v>5989</v>
      </c>
      <c r="DM392" s="134">
        <v>4.7</v>
      </c>
      <c r="DN392" s="134">
        <v>1.9</v>
      </c>
      <c r="DO392" s="134" t="s">
        <v>24</v>
      </c>
      <c r="DP392" s="300" t="s">
        <v>6095</v>
      </c>
      <c r="DQ392" s="301" t="s">
        <v>6086</v>
      </c>
      <c r="DR392" s="276" t="s">
        <v>24</v>
      </c>
      <c r="DS392" s="277" t="s">
        <v>24</v>
      </c>
      <c r="DT392" s="134" t="s">
        <v>5990</v>
      </c>
      <c r="DU392" s="134">
        <v>6.5</v>
      </c>
      <c r="DV392" s="134">
        <v>2.2000000000000002</v>
      </c>
      <c r="DW392" s="134" t="s">
        <v>24</v>
      </c>
      <c r="DX392" s="138" t="s">
        <v>5991</v>
      </c>
      <c r="DY392" s="134">
        <v>6.5</v>
      </c>
      <c r="DZ392" s="134">
        <v>2.4</v>
      </c>
      <c r="EA392" s="134" t="s">
        <v>24</v>
      </c>
      <c r="EB392" s="301" t="s">
        <v>6087</v>
      </c>
      <c r="EC392" s="301" t="s">
        <v>6088</v>
      </c>
      <c r="ED392" s="138" t="s">
        <v>5992</v>
      </c>
      <c r="EE392" s="134">
        <v>8.1999999999999993</v>
      </c>
      <c r="EF392" s="134">
        <v>3.1</v>
      </c>
      <c r="EG392" s="134" t="s">
        <v>24</v>
      </c>
      <c r="EH392" s="138" t="s">
        <v>5993</v>
      </c>
      <c r="EI392" s="134">
        <v>9.9</v>
      </c>
      <c r="EJ392" s="134">
        <v>2.4</v>
      </c>
      <c r="EK392" s="134" t="s">
        <v>24</v>
      </c>
      <c r="EL392" s="301" t="s">
        <v>24</v>
      </c>
      <c r="EM392" s="301" t="s">
        <v>24</v>
      </c>
      <c r="EN392" s="277" t="s">
        <v>24</v>
      </c>
      <c r="EO392" s="134" t="s">
        <v>5994</v>
      </c>
      <c r="EP392" s="134">
        <v>7.2</v>
      </c>
      <c r="EQ392" s="134">
        <v>3.1</v>
      </c>
      <c r="ER392" s="134" t="s">
        <v>24</v>
      </c>
      <c r="ES392" s="134" t="s">
        <v>5995</v>
      </c>
      <c r="ET392" s="134">
        <v>8.6999999999999993</v>
      </c>
      <c r="EU392" s="134">
        <v>2.7</v>
      </c>
      <c r="EV392" s="134" t="s">
        <v>24</v>
      </c>
      <c r="EW392" s="301" t="s">
        <v>6094</v>
      </c>
      <c r="EX392" s="301" t="s">
        <v>6089</v>
      </c>
      <c r="EY392" s="134" t="s">
        <v>5996</v>
      </c>
      <c r="EZ392" s="134">
        <v>11</v>
      </c>
      <c r="FA392" s="134">
        <v>2</v>
      </c>
      <c r="FB392" s="134" t="s">
        <v>24</v>
      </c>
      <c r="FC392" s="134" t="s">
        <v>5997</v>
      </c>
      <c r="FD392" s="134">
        <v>8.3000000000000007</v>
      </c>
      <c r="FE392" s="134">
        <v>2.7</v>
      </c>
      <c r="FF392" s="134" t="s">
        <v>24</v>
      </c>
      <c r="FG392" s="135" t="s">
        <v>6093</v>
      </c>
      <c r="FH392" s="135" t="s">
        <v>6090</v>
      </c>
      <c r="FI392" s="134" t="s">
        <v>5998</v>
      </c>
      <c r="FJ392" s="134">
        <v>10.199999999999999</v>
      </c>
      <c r="FK392" s="134">
        <v>2.6</v>
      </c>
      <c r="FL392" s="134" t="s">
        <v>24</v>
      </c>
      <c r="FM392" s="134" t="s">
        <v>5999</v>
      </c>
      <c r="FN392" s="134">
        <v>10.6</v>
      </c>
      <c r="FO392" s="134">
        <v>2.8</v>
      </c>
      <c r="FP392" s="134" t="s">
        <v>24</v>
      </c>
      <c r="FQ392" s="135" t="s">
        <v>24</v>
      </c>
      <c r="FR392" s="135" t="s">
        <v>24</v>
      </c>
      <c r="FS392" s="528" t="s">
        <v>6000</v>
      </c>
      <c r="FT392" s="134">
        <v>8.3000000000000007</v>
      </c>
      <c r="FU392" s="134">
        <v>2.9</v>
      </c>
      <c r="FV392" s="134" t="s">
        <v>24</v>
      </c>
      <c r="FW392" s="528" t="s">
        <v>6001</v>
      </c>
      <c r="FX392" s="134">
        <v>10.6</v>
      </c>
      <c r="FY392" s="134">
        <v>2.5</v>
      </c>
      <c r="FZ392" s="134" t="s">
        <v>24</v>
      </c>
      <c r="GA392" s="135" t="s">
        <v>6092</v>
      </c>
      <c r="GB392" s="135" t="s">
        <v>6091</v>
      </c>
      <c r="GC392" s="528" t="s">
        <v>6002</v>
      </c>
      <c r="GD392" s="134">
        <v>11.3</v>
      </c>
      <c r="GE392" s="134">
        <v>2.2999999999999998</v>
      </c>
      <c r="GF392" s="134" t="s">
        <v>24</v>
      </c>
      <c r="GG392" s="528" t="s">
        <v>6003</v>
      </c>
      <c r="GH392" s="134">
        <v>-0.7</v>
      </c>
      <c r="GI392" s="134">
        <v>1.7</v>
      </c>
      <c r="GJ392" s="134" t="s">
        <v>24</v>
      </c>
      <c r="GK392" s="531" t="s">
        <v>6096</v>
      </c>
      <c r="GL392" s="135"/>
      <c r="GM392" s="528" t="s">
        <v>6004</v>
      </c>
      <c r="GN392" s="134">
        <v>-0.8</v>
      </c>
      <c r="GO392" s="134">
        <v>2.1</v>
      </c>
      <c r="GP392" s="134" t="s">
        <v>24</v>
      </c>
      <c r="GQ392" s="528" t="s">
        <v>6005</v>
      </c>
      <c r="GR392" s="134">
        <v>1.3</v>
      </c>
      <c r="GS392" s="134">
        <v>2.1</v>
      </c>
      <c r="GT392" s="134" t="s">
        <v>24</v>
      </c>
      <c r="GU392" s="135" t="s">
        <v>24</v>
      </c>
      <c r="GV392" s="135" t="s">
        <v>24</v>
      </c>
      <c r="GW392" s="528" t="s">
        <v>6072</v>
      </c>
      <c r="GX392" s="134">
        <v>-2.1</v>
      </c>
      <c r="GY392" s="134">
        <v>1.7</v>
      </c>
      <c r="GZ392" s="134" t="s">
        <v>24</v>
      </c>
      <c r="HA392" s="528" t="s">
        <v>6073</v>
      </c>
      <c r="HB392" s="134">
        <v>-2.2999999999999998</v>
      </c>
      <c r="HC392" s="134">
        <v>2</v>
      </c>
      <c r="HD392" s="134" t="s">
        <v>24</v>
      </c>
      <c r="HE392" s="135" t="s">
        <v>6097</v>
      </c>
      <c r="HF392" s="135" t="s">
        <v>2480</v>
      </c>
      <c r="HG392" s="528" t="s">
        <v>6074</v>
      </c>
      <c r="HH392" s="134">
        <v>-2.4</v>
      </c>
      <c r="HI392" s="134">
        <v>1.6</v>
      </c>
      <c r="HJ392" s="134" t="s">
        <v>24</v>
      </c>
      <c r="HK392" s="134" t="s">
        <v>6075</v>
      </c>
      <c r="HL392" s="134">
        <v>0.7</v>
      </c>
      <c r="HM392" s="134">
        <v>1.8</v>
      </c>
      <c r="HN392" s="134" t="s">
        <v>24</v>
      </c>
      <c r="HO392" s="135" t="s">
        <v>6097</v>
      </c>
      <c r="HP392" s="135" t="s">
        <v>2480</v>
      </c>
      <c r="HQ392" s="134" t="s">
        <v>6076</v>
      </c>
      <c r="HR392" s="134">
        <v>0.6</v>
      </c>
      <c r="HS392" s="134">
        <v>2.4</v>
      </c>
      <c r="HT392" s="134" t="s">
        <v>24</v>
      </c>
      <c r="HU392" s="134" t="s">
        <v>6077</v>
      </c>
      <c r="HV392" s="134">
        <v>1.1000000000000001</v>
      </c>
      <c r="HW392" s="134">
        <v>2.4</v>
      </c>
      <c r="HX392" s="134" t="s">
        <v>24</v>
      </c>
      <c r="HY392" s="135" t="s">
        <v>24</v>
      </c>
      <c r="HZ392" s="135" t="s">
        <v>24</v>
      </c>
      <c r="IA392" s="528" t="s">
        <v>6036</v>
      </c>
      <c r="IB392" s="134">
        <v>13.1</v>
      </c>
      <c r="IC392" s="134">
        <v>2.8</v>
      </c>
      <c r="ID392" s="134" t="s">
        <v>24</v>
      </c>
      <c r="IE392" s="528" t="s">
        <v>6037</v>
      </c>
      <c r="IF392" s="134">
        <v>13.8</v>
      </c>
      <c r="IG392" s="134">
        <v>1.8</v>
      </c>
      <c r="IH392" s="134" t="s">
        <v>24</v>
      </c>
      <c r="II392" s="135" t="s">
        <v>6098</v>
      </c>
      <c r="IJ392" s="135" t="s">
        <v>6099</v>
      </c>
      <c r="IK392" s="528" t="s">
        <v>6038</v>
      </c>
      <c r="IL392" s="134">
        <v>15.1</v>
      </c>
      <c r="IM392" s="134">
        <v>0.92</v>
      </c>
      <c r="IN392" s="134" t="s">
        <v>24</v>
      </c>
      <c r="IO392" s="528" t="s">
        <v>6049</v>
      </c>
      <c r="IP392" s="134">
        <v>-6.8000000000000005E-2</v>
      </c>
      <c r="IQ392" s="134">
        <v>0.48</v>
      </c>
      <c r="IR392" s="134" t="s">
        <v>24</v>
      </c>
      <c r="IS392" s="135" t="s">
        <v>6100</v>
      </c>
      <c r="IT392" s="135"/>
      <c r="IU392" s="528" t="s">
        <v>6050</v>
      </c>
      <c r="IV392" s="134">
        <v>-7.2999999999999995E-2</v>
      </c>
      <c r="IW392" s="134">
        <v>0.41</v>
      </c>
      <c r="IX392" s="134" t="s">
        <v>24</v>
      </c>
      <c r="IY392" s="528" t="s">
        <v>6061</v>
      </c>
      <c r="IZ392" s="134">
        <v>-2E-3</v>
      </c>
      <c r="JA392" s="134">
        <v>0.32</v>
      </c>
      <c r="JB392" s="134" t="s">
        <v>24</v>
      </c>
      <c r="JC392" s="135"/>
      <c r="JD392" s="135"/>
    </row>
    <row r="393" spans="1:264">
      <c r="A393" s="79" t="s">
        <v>365</v>
      </c>
      <c r="B393" s="362">
        <v>261</v>
      </c>
      <c r="C393" s="362">
        <v>94</v>
      </c>
      <c r="D393" s="362"/>
      <c r="E393" s="604" t="s">
        <v>2047</v>
      </c>
      <c r="F393" s="124" t="s">
        <v>2289</v>
      </c>
      <c r="G393" s="125">
        <v>2007</v>
      </c>
      <c r="H393" s="79">
        <v>17392739</v>
      </c>
      <c r="I393" s="79">
        <v>1</v>
      </c>
      <c r="J393" s="126"/>
      <c r="K393" s="127"/>
      <c r="L393" s="79">
        <v>1</v>
      </c>
      <c r="M393" s="79"/>
      <c r="N393" s="79">
        <v>1</v>
      </c>
      <c r="O393" s="128">
        <v>1</v>
      </c>
      <c r="P393" s="79" t="s">
        <v>938</v>
      </c>
      <c r="Q393" s="79" t="s">
        <v>1153</v>
      </c>
      <c r="R393" s="79" t="s">
        <v>25</v>
      </c>
      <c r="S393" s="79">
        <v>1</v>
      </c>
      <c r="T393" s="79"/>
      <c r="U393" s="79"/>
      <c r="V393" s="79"/>
      <c r="W393" s="79" t="s">
        <v>938</v>
      </c>
      <c r="X393" s="79"/>
      <c r="Y393" s="79" t="s">
        <v>565</v>
      </c>
      <c r="Z393" s="79"/>
      <c r="AA393" s="79"/>
      <c r="AB393" s="79"/>
      <c r="AC393" s="506"/>
      <c r="AD393" s="573">
        <v>1</v>
      </c>
      <c r="AE393" s="573">
        <v>2</v>
      </c>
      <c r="AF393" s="154">
        <v>1</v>
      </c>
      <c r="AG393" s="155"/>
      <c r="AH393" s="121">
        <v>2</v>
      </c>
      <c r="AI393" s="484" t="s">
        <v>6111</v>
      </c>
      <c r="AJ393" s="202" t="s">
        <v>6112</v>
      </c>
      <c r="AK393" s="192">
        <v>0</v>
      </c>
      <c r="AL393" s="203" t="s">
        <v>6104</v>
      </c>
      <c r="AM393" s="121">
        <f>Table668[[#This Row],[Data_Subjects_n_ptsd]]+Table668[[#This Row],[Data_Subjects_n_control]]</f>
        <v>30</v>
      </c>
      <c r="AN393" s="121">
        <v>13</v>
      </c>
      <c r="AO393" s="121">
        <v>17</v>
      </c>
      <c r="AP393" s="121" t="s">
        <v>803</v>
      </c>
      <c r="AQ393" s="121" t="s">
        <v>803</v>
      </c>
      <c r="AR393" s="121">
        <v>60.1</v>
      </c>
      <c r="AS393" s="121">
        <v>7.3</v>
      </c>
      <c r="AT393" s="121">
        <v>64.599999999999994</v>
      </c>
      <c r="AU393" s="121">
        <v>9.8000000000000007</v>
      </c>
      <c r="AV393" s="121" t="s">
        <v>6105</v>
      </c>
      <c r="AW393" s="121" t="s">
        <v>24</v>
      </c>
      <c r="AX393" s="121" t="s">
        <v>24</v>
      </c>
      <c r="AY393" s="121" t="s">
        <v>6106</v>
      </c>
      <c r="AZ393" s="121" t="s">
        <v>3835</v>
      </c>
      <c r="BA393" s="121" t="s">
        <v>5976</v>
      </c>
      <c r="BB393" s="594"/>
      <c r="BC393" s="594"/>
      <c r="BD393" s="156"/>
      <c r="BE393" s="156"/>
      <c r="BF393" s="156" t="s">
        <v>4727</v>
      </c>
      <c r="BG393" s="156"/>
      <c r="BH393" s="156"/>
      <c r="BI393" s="156"/>
      <c r="BJ393" s="156">
        <v>1</v>
      </c>
      <c r="BK393" s="156"/>
      <c r="BL393" s="156" t="s">
        <v>4727</v>
      </c>
      <c r="BM393" s="156"/>
      <c r="BN393" s="156"/>
      <c r="BO393" s="156"/>
      <c r="BP393" s="156"/>
      <c r="BQ393" s="595" t="s">
        <v>6121</v>
      </c>
      <c r="BR393" s="157" t="s">
        <v>6611</v>
      </c>
      <c r="BS393" s="660"/>
      <c r="BT393" s="134" t="s">
        <v>1876</v>
      </c>
      <c r="BU393" s="134">
        <v>2</v>
      </c>
      <c r="BV393" s="134" t="s">
        <v>5965</v>
      </c>
      <c r="BW393" s="134" t="s">
        <v>24</v>
      </c>
      <c r="BX393" s="134" t="s">
        <v>6117</v>
      </c>
      <c r="BY393" s="134"/>
      <c r="BZ393" s="259" t="s">
        <v>6120</v>
      </c>
      <c r="CA393" s="454" t="s">
        <v>24</v>
      </c>
      <c r="CB393" s="138" t="s">
        <v>6109</v>
      </c>
      <c r="CC393" s="134">
        <v>12.3</v>
      </c>
      <c r="CD393" s="168" t="s">
        <v>24</v>
      </c>
      <c r="CE393" s="134">
        <v>1.8</v>
      </c>
      <c r="CF393" s="138" t="s">
        <v>6110</v>
      </c>
      <c r="CG393" s="134">
        <v>13.2</v>
      </c>
      <c r="CH393" s="134" t="s">
        <v>24</v>
      </c>
      <c r="CI393" s="134">
        <v>2</v>
      </c>
      <c r="CJ393" s="288" t="s">
        <v>24</v>
      </c>
      <c r="CK393" s="289" t="s">
        <v>24</v>
      </c>
      <c r="CL393" s="138" t="s">
        <v>6107</v>
      </c>
      <c r="CM393" s="134">
        <v>9.6</v>
      </c>
      <c r="CN393" s="168" t="s">
        <v>24</v>
      </c>
      <c r="CO393" s="134">
        <v>1.2</v>
      </c>
      <c r="CP393" s="138" t="s">
        <v>6108</v>
      </c>
      <c r="CQ393" s="134">
        <v>12.1</v>
      </c>
      <c r="CR393" s="134" t="s">
        <v>24</v>
      </c>
      <c r="CS393" s="134">
        <v>1.1000000000000001</v>
      </c>
      <c r="CT393" s="288" t="s">
        <v>24</v>
      </c>
      <c r="CU393" s="289" t="s">
        <v>24</v>
      </c>
      <c r="CV393" s="276" t="s">
        <v>6119</v>
      </c>
      <c r="CW393" s="308" t="s">
        <v>6118</v>
      </c>
      <c r="CX393" s="138" t="s">
        <v>6115</v>
      </c>
      <c r="CY393" s="532">
        <v>0.89200000000000002</v>
      </c>
      <c r="CZ393" s="134" t="s">
        <v>24</v>
      </c>
      <c r="DA393" s="134" t="s">
        <v>24</v>
      </c>
      <c r="DB393" s="138" t="s">
        <v>6114</v>
      </c>
      <c r="DC393" s="532">
        <v>0.95799999999999996</v>
      </c>
      <c r="DD393" s="134" t="s">
        <v>24</v>
      </c>
      <c r="DE393" s="134" t="s">
        <v>24</v>
      </c>
      <c r="DF393" s="300" t="s">
        <v>6116</v>
      </c>
      <c r="DG393" s="301" t="s">
        <v>6113</v>
      </c>
      <c r="DH393" s="134"/>
      <c r="DI393" s="134"/>
      <c r="DJ393" s="134"/>
      <c r="DK393" s="134"/>
      <c r="DL393" s="134"/>
      <c r="DM393" s="134"/>
      <c r="DN393" s="134"/>
      <c r="DO393" s="134"/>
      <c r="DP393" s="300"/>
      <c r="DQ393" s="301"/>
      <c r="DR393" s="276"/>
      <c r="DS393" s="277"/>
      <c r="DT393" s="134"/>
      <c r="DU393" s="134"/>
      <c r="DV393" s="134"/>
      <c r="DW393" s="134"/>
      <c r="DX393" s="138"/>
      <c r="DY393" s="134"/>
      <c r="DZ393" s="134"/>
      <c r="EA393" s="134"/>
      <c r="EB393" s="301"/>
      <c r="EC393" s="301"/>
      <c r="ED393" s="138"/>
      <c r="EE393" s="134"/>
      <c r="EF393" s="134"/>
      <c r="EG393" s="134"/>
      <c r="EH393" s="138"/>
      <c r="EI393" s="134"/>
      <c r="EJ393" s="134"/>
      <c r="EK393" s="134"/>
      <c r="EL393" s="301"/>
      <c r="EM393" s="301"/>
      <c r="EN393" s="277"/>
      <c r="EO393" s="134"/>
      <c r="EP393" s="134"/>
      <c r="EQ393" s="134"/>
      <c r="ER393" s="134"/>
      <c r="ES393" s="134"/>
      <c r="ET393" s="134"/>
      <c r="EU393" s="134"/>
      <c r="EV393" s="134"/>
      <c r="EW393" s="301"/>
      <c r="EX393" s="301"/>
      <c r="EY393" s="134"/>
      <c r="EZ393" s="134"/>
      <c r="FA393" s="134"/>
      <c r="FB393" s="134"/>
      <c r="FC393" s="134"/>
      <c r="FD393" s="134"/>
      <c r="FE393" s="134"/>
      <c r="FF393" s="134"/>
      <c r="FG393" s="135"/>
      <c r="FH393" s="135"/>
      <c r="FI393" s="134"/>
      <c r="FJ393" s="134"/>
      <c r="FK393" s="134"/>
      <c r="FL393" s="134"/>
      <c r="FM393" s="134"/>
      <c r="FN393" s="134"/>
      <c r="FO393" s="134"/>
      <c r="FP393" s="134"/>
      <c r="FQ393" s="135"/>
      <c r="FR393" s="135"/>
      <c r="FS393" s="134"/>
      <c r="FT393" s="134"/>
      <c r="FU393" s="134"/>
      <c r="FV393" s="134"/>
      <c r="FW393" s="134"/>
      <c r="FX393" s="134"/>
      <c r="FY393" s="134"/>
      <c r="FZ393" s="134"/>
      <c r="GA393" s="135"/>
      <c r="GB393" s="135"/>
      <c r="GC393" s="134"/>
      <c r="GD393" s="134"/>
      <c r="GE393" s="134"/>
      <c r="GF393" s="134"/>
      <c r="GG393" s="134"/>
      <c r="GH393" s="134"/>
      <c r="GI393" s="134"/>
      <c r="GJ393" s="134"/>
      <c r="GK393" s="135"/>
      <c r="GL393" s="135"/>
      <c r="GM393" s="134"/>
      <c r="GN393" s="134"/>
      <c r="GO393" s="134"/>
      <c r="GP393" s="134"/>
      <c r="GQ393" s="134"/>
      <c r="GR393" s="134"/>
      <c r="GS393" s="134"/>
      <c r="GT393" s="134"/>
      <c r="GU393" s="135"/>
      <c r="GV393" s="135"/>
      <c r="GW393" s="134"/>
      <c r="GX393" s="134"/>
      <c r="GY393" s="134"/>
      <c r="GZ393" s="134"/>
      <c r="HA393" s="134"/>
      <c r="HB393" s="134"/>
      <c r="HC393" s="134"/>
      <c r="HD393" s="134"/>
      <c r="HE393" s="135"/>
      <c r="HF393" s="135"/>
      <c r="HG393" s="134"/>
      <c r="HH393" s="134"/>
      <c r="HI393" s="134"/>
      <c r="HJ393" s="134"/>
      <c r="HK393" s="134"/>
      <c r="HL393" s="134"/>
      <c r="HM393" s="134"/>
      <c r="HN393" s="134"/>
      <c r="HO393" s="135"/>
      <c r="HP393" s="135"/>
      <c r="HQ393" s="134"/>
      <c r="HR393" s="134"/>
      <c r="HS393" s="134"/>
      <c r="HT393" s="134"/>
      <c r="HU393" s="134"/>
      <c r="HV393" s="134"/>
      <c r="HW393" s="134"/>
      <c r="HX393" s="134"/>
      <c r="HY393" s="135"/>
      <c r="HZ393" s="135"/>
      <c r="IA393" s="134"/>
      <c r="IB393" s="134"/>
      <c r="IC393" s="134"/>
      <c r="ID393" s="134"/>
      <c r="IE393" s="134"/>
      <c r="IF393" s="134"/>
      <c r="IG393" s="134"/>
      <c r="IH393" s="134"/>
      <c r="II393" s="135"/>
      <c r="IJ393" s="135"/>
      <c r="IK393" s="134"/>
      <c r="IL393" s="134"/>
      <c r="IM393" s="134"/>
      <c r="IN393" s="134"/>
      <c r="IO393" s="134"/>
      <c r="IP393" s="134"/>
      <c r="IQ393" s="134"/>
      <c r="IR393" s="134"/>
      <c r="IS393" s="135"/>
      <c r="IT393" s="135"/>
      <c r="IU393" s="134"/>
      <c r="IV393" s="134"/>
      <c r="IW393" s="134"/>
      <c r="IX393" s="134"/>
      <c r="IY393" s="134"/>
      <c r="IZ393" s="134"/>
      <c r="JA393" s="134"/>
      <c r="JB393" s="134"/>
      <c r="JC393" s="135"/>
      <c r="JD393" s="135"/>
    </row>
    <row r="394" spans="1:264">
      <c r="A394" s="79" t="s">
        <v>361</v>
      </c>
      <c r="B394" s="362">
        <v>262</v>
      </c>
      <c r="C394" s="362">
        <v>95</v>
      </c>
      <c r="D394" s="362"/>
      <c r="E394" s="604" t="s">
        <v>2047</v>
      </c>
      <c r="F394" s="124" t="s">
        <v>2290</v>
      </c>
      <c r="G394" s="125">
        <v>1995</v>
      </c>
      <c r="H394" s="79">
        <v>7802106</v>
      </c>
      <c r="I394" s="79">
        <v>1</v>
      </c>
      <c r="J394" s="126"/>
      <c r="K394" s="127"/>
      <c r="L394" s="79">
        <v>1</v>
      </c>
      <c r="M394" s="79"/>
      <c r="N394" s="79">
        <v>1</v>
      </c>
      <c r="O394" s="128">
        <v>1</v>
      </c>
      <c r="P394" s="79" t="s">
        <v>931</v>
      </c>
      <c r="Q394" s="79" t="s">
        <v>1154</v>
      </c>
      <c r="R394" s="79" t="s">
        <v>819</v>
      </c>
      <c r="S394" s="79">
        <v>1</v>
      </c>
      <c r="T394" s="79"/>
      <c r="U394" s="79"/>
      <c r="V394" s="79"/>
      <c r="W394" s="79" t="s">
        <v>930</v>
      </c>
      <c r="X394" s="79"/>
      <c r="Y394" s="79"/>
      <c r="Z394" s="79"/>
      <c r="AA394" s="79"/>
      <c r="AB394" s="79"/>
      <c r="AC394" s="506"/>
      <c r="AD394" s="573">
        <v>1</v>
      </c>
      <c r="AE394" s="573">
        <v>2</v>
      </c>
      <c r="AF394" s="154">
        <v>1</v>
      </c>
      <c r="AG394" s="155"/>
      <c r="AH394" s="121">
        <v>2</v>
      </c>
      <c r="AI394" s="484" t="s">
        <v>6152</v>
      </c>
      <c r="AJ394" s="202"/>
      <c r="AK394" s="192"/>
      <c r="AL394" s="203"/>
      <c r="AM394" s="121">
        <f>Table668[[#This Row],[Data_Subjects_n_ptsd]]+Table668[[#This Row],[Data_Subjects_n_control]]</f>
        <v>32</v>
      </c>
      <c r="AN394" s="121">
        <v>20</v>
      </c>
      <c r="AO394" s="121">
        <v>12</v>
      </c>
      <c r="AP394" s="121" t="s">
        <v>803</v>
      </c>
      <c r="AQ394" s="121" t="s">
        <v>803</v>
      </c>
      <c r="AR394" s="121">
        <v>44.7</v>
      </c>
      <c r="AS394" s="121">
        <v>3.4</v>
      </c>
      <c r="AT394" s="121">
        <v>43.9</v>
      </c>
      <c r="AU394" s="121">
        <v>7.3</v>
      </c>
      <c r="AV394" s="121" t="s">
        <v>1874</v>
      </c>
      <c r="AW394" s="121" t="s">
        <v>24</v>
      </c>
      <c r="AX394" s="121" t="s">
        <v>24</v>
      </c>
      <c r="AY394" s="121" t="s">
        <v>6122</v>
      </c>
      <c r="AZ394" s="121" t="s">
        <v>3835</v>
      </c>
      <c r="BA394" s="121" t="s">
        <v>6123</v>
      </c>
      <c r="BB394" s="594"/>
      <c r="BC394" s="594"/>
      <c r="BD394" s="156"/>
      <c r="BE394" s="156"/>
      <c r="BF394" s="156"/>
      <c r="BG394" s="156"/>
      <c r="BH394" s="156"/>
      <c r="BI394" s="156"/>
      <c r="BJ394" s="156">
        <v>1</v>
      </c>
      <c r="BK394" s="156"/>
      <c r="BL394" s="156"/>
      <c r="BM394" s="156"/>
      <c r="BN394" s="156" t="s">
        <v>4727</v>
      </c>
      <c r="BO394" s="156"/>
      <c r="BP394" s="156"/>
      <c r="BQ394" s="595" t="s">
        <v>4208</v>
      </c>
      <c r="BR394" s="157" t="s">
        <v>6611</v>
      </c>
      <c r="BS394" s="660"/>
      <c r="BT394" s="134" t="s">
        <v>1876</v>
      </c>
      <c r="BU394" s="134">
        <v>2</v>
      </c>
      <c r="BV394" s="134" t="s">
        <v>6124</v>
      </c>
      <c r="BW394" s="134" t="s">
        <v>24</v>
      </c>
      <c r="BX394" s="168" t="s">
        <v>6125</v>
      </c>
      <c r="BY394" s="168"/>
      <c r="BZ394" s="259" t="s">
        <v>6151</v>
      </c>
      <c r="CA394" s="454">
        <v>0</v>
      </c>
      <c r="CB394" s="138" t="s">
        <v>6127</v>
      </c>
      <c r="CC394" s="134">
        <v>5.2</v>
      </c>
      <c r="CD394" s="134">
        <v>1.8</v>
      </c>
      <c r="CE394" s="134" t="s">
        <v>24</v>
      </c>
      <c r="CF394" s="138" t="s">
        <v>6128</v>
      </c>
      <c r="CG394" s="134">
        <v>5.7</v>
      </c>
      <c r="CH394" s="134">
        <v>1.7</v>
      </c>
      <c r="CI394" s="134" t="s">
        <v>24</v>
      </c>
      <c r="CJ394" s="288" t="s">
        <v>6137</v>
      </c>
      <c r="CK394" s="289" t="s">
        <v>6138</v>
      </c>
      <c r="CL394" s="138" t="s">
        <v>6126</v>
      </c>
      <c r="CM394" s="134">
        <v>9.1</v>
      </c>
      <c r="CN394" s="134">
        <v>2.9</v>
      </c>
      <c r="CO394" s="134" t="s">
        <v>24</v>
      </c>
      <c r="CP394" s="138" t="s">
        <v>6129</v>
      </c>
      <c r="CQ394" s="134">
        <v>10.199999999999999</v>
      </c>
      <c r="CR394" s="134">
        <v>3.1</v>
      </c>
      <c r="CS394" s="134" t="s">
        <v>24</v>
      </c>
      <c r="CT394" s="288" t="s">
        <v>6139</v>
      </c>
      <c r="CU394" s="289" t="s">
        <v>6140</v>
      </c>
      <c r="CV394" s="276" t="s">
        <v>6141</v>
      </c>
      <c r="CW394" s="308"/>
      <c r="CX394" s="138" t="s">
        <v>6130</v>
      </c>
      <c r="CY394" s="134">
        <v>3.9</v>
      </c>
      <c r="CZ394" s="134">
        <v>2.7</v>
      </c>
      <c r="DA394" s="134" t="s">
        <v>24</v>
      </c>
      <c r="DB394" s="138" t="s">
        <v>6131</v>
      </c>
      <c r="DC394" s="134">
        <v>4.5999999999999996</v>
      </c>
      <c r="DD394" s="134">
        <v>3.1</v>
      </c>
      <c r="DE394" s="134" t="s">
        <v>24</v>
      </c>
      <c r="DF394" s="300" t="s">
        <v>6132</v>
      </c>
      <c r="DG394" s="301" t="s">
        <v>6133</v>
      </c>
      <c r="DH394" s="138" t="s">
        <v>6134</v>
      </c>
      <c r="DI394" s="134">
        <v>5.2</v>
      </c>
      <c r="DJ394" s="134">
        <v>2.1</v>
      </c>
      <c r="DK394" s="134" t="s">
        <v>24</v>
      </c>
      <c r="DL394" s="138" t="s">
        <v>6135</v>
      </c>
      <c r="DM394" s="134">
        <v>4.7</v>
      </c>
      <c r="DN394" s="134">
        <v>2.4</v>
      </c>
      <c r="DO394" s="134" t="s">
        <v>24</v>
      </c>
      <c r="DP394" s="300" t="s">
        <v>5438</v>
      </c>
      <c r="DQ394" s="301" t="s">
        <v>6136</v>
      </c>
      <c r="DR394" s="276"/>
      <c r="DS394" s="277"/>
      <c r="DT394" s="134" t="s">
        <v>6142</v>
      </c>
      <c r="DU394" s="134">
        <v>2</v>
      </c>
      <c r="DV394" s="134">
        <v>2.1</v>
      </c>
      <c r="DW394" s="134" t="s">
        <v>24</v>
      </c>
      <c r="DX394" s="134" t="s">
        <v>6143</v>
      </c>
      <c r="DY394" s="134">
        <v>0</v>
      </c>
      <c r="DZ394" s="134">
        <v>1.35</v>
      </c>
      <c r="EA394" s="134" t="s">
        <v>24</v>
      </c>
      <c r="EB394" s="301" t="s">
        <v>6144</v>
      </c>
      <c r="EC394" s="301" t="s">
        <v>6145</v>
      </c>
      <c r="ED394" s="138" t="s">
        <v>6146</v>
      </c>
      <c r="EE394" s="134">
        <v>1.9</v>
      </c>
      <c r="EF394" s="134">
        <v>2.2000000000000002</v>
      </c>
      <c r="EG394" s="134" t="s">
        <v>24</v>
      </c>
      <c r="EH394" s="138" t="s">
        <v>6147</v>
      </c>
      <c r="EI394" s="134">
        <v>0.2</v>
      </c>
      <c r="EJ394" s="134">
        <v>2.2999999999999998</v>
      </c>
      <c r="EK394" s="134" t="s">
        <v>24</v>
      </c>
      <c r="EL394" s="301" t="s">
        <v>6148</v>
      </c>
      <c r="EM394" s="301" t="s">
        <v>6149</v>
      </c>
      <c r="EN394" s="277" t="s">
        <v>6150</v>
      </c>
      <c r="EO394" s="134" t="s">
        <v>24</v>
      </c>
      <c r="EP394" s="134"/>
      <c r="EQ394" s="134"/>
      <c r="ER394" s="134"/>
      <c r="ES394" s="134"/>
      <c r="ET394" s="134"/>
      <c r="EU394" s="134"/>
      <c r="EV394" s="134"/>
      <c r="EW394" s="301"/>
      <c r="EX394" s="301"/>
      <c r="EY394" s="134"/>
      <c r="EZ394" s="134"/>
      <c r="FA394" s="134"/>
      <c r="FB394" s="134"/>
      <c r="FC394" s="134"/>
      <c r="FD394" s="134"/>
      <c r="FE394" s="134"/>
      <c r="FF394" s="134"/>
      <c r="FG394" s="135"/>
      <c r="FH394" s="135"/>
      <c r="FI394" s="134"/>
      <c r="FJ394" s="134"/>
      <c r="FK394" s="134"/>
      <c r="FL394" s="134"/>
      <c r="FM394" s="134"/>
      <c r="FN394" s="134"/>
      <c r="FO394" s="134"/>
      <c r="FP394" s="134"/>
      <c r="FQ394" s="135"/>
      <c r="FR394" s="135"/>
      <c r="FS394" s="134"/>
      <c r="FT394" s="134"/>
      <c r="FU394" s="134"/>
      <c r="FV394" s="134"/>
      <c r="FW394" s="134"/>
      <c r="FX394" s="134"/>
      <c r="FY394" s="134"/>
      <c r="FZ394" s="134"/>
      <c r="GA394" s="135"/>
      <c r="GB394" s="135"/>
      <c r="GC394" s="134"/>
      <c r="GD394" s="134"/>
      <c r="GE394" s="134"/>
      <c r="GF394" s="134"/>
      <c r="GG394" s="134"/>
      <c r="GH394" s="134"/>
      <c r="GI394" s="134"/>
      <c r="GJ394" s="134"/>
      <c r="GK394" s="135"/>
      <c r="GL394" s="135"/>
      <c r="GM394" s="134"/>
      <c r="GN394" s="134"/>
      <c r="GO394" s="134"/>
      <c r="GP394" s="134"/>
      <c r="GQ394" s="134"/>
      <c r="GR394" s="134"/>
      <c r="GS394" s="134"/>
      <c r="GT394" s="134"/>
      <c r="GU394" s="135"/>
      <c r="GV394" s="135"/>
      <c r="GW394" s="134"/>
      <c r="GX394" s="134"/>
      <c r="GY394" s="134"/>
      <c r="GZ394" s="134"/>
      <c r="HA394" s="134"/>
      <c r="HB394" s="134"/>
      <c r="HC394" s="134"/>
      <c r="HD394" s="134"/>
      <c r="HE394" s="135"/>
      <c r="HF394" s="135"/>
      <c r="HG394" s="134"/>
      <c r="HH394" s="134"/>
      <c r="HI394" s="134"/>
      <c r="HJ394" s="134"/>
      <c r="HK394" s="134"/>
      <c r="HL394" s="134"/>
      <c r="HM394" s="134"/>
      <c r="HN394" s="134"/>
      <c r="HO394" s="135"/>
      <c r="HP394" s="135"/>
      <c r="HQ394" s="134"/>
      <c r="HR394" s="134"/>
      <c r="HS394" s="134"/>
      <c r="HT394" s="134"/>
      <c r="HU394" s="134"/>
      <c r="HV394" s="134"/>
      <c r="HW394" s="134"/>
      <c r="HX394" s="134"/>
      <c r="HY394" s="135"/>
      <c r="HZ394" s="135"/>
      <c r="IA394" s="134"/>
      <c r="IB394" s="134"/>
      <c r="IC394" s="134"/>
      <c r="ID394" s="134"/>
      <c r="IE394" s="134"/>
      <c r="IF394" s="134"/>
      <c r="IG394" s="134"/>
      <c r="IH394" s="134"/>
      <c r="II394" s="135"/>
      <c r="IJ394" s="135"/>
      <c r="IK394" s="134"/>
      <c r="IL394" s="134"/>
      <c r="IM394" s="134"/>
      <c r="IN394" s="134"/>
      <c r="IO394" s="134"/>
      <c r="IP394" s="134"/>
      <c r="IQ394" s="134"/>
      <c r="IR394" s="134"/>
      <c r="IS394" s="135"/>
      <c r="IT394" s="135"/>
      <c r="IU394" s="134"/>
      <c r="IV394" s="134"/>
      <c r="IW394" s="134"/>
      <c r="IX394" s="134"/>
      <c r="IY394" s="134"/>
      <c r="IZ394" s="134"/>
      <c r="JA394" s="134"/>
      <c r="JB394" s="134"/>
      <c r="JC394" s="135"/>
      <c r="JD394" s="135"/>
    </row>
    <row r="395" spans="1:264">
      <c r="A395" s="79" t="s">
        <v>946</v>
      </c>
      <c r="B395" s="362">
        <v>53</v>
      </c>
      <c r="C395" s="362"/>
      <c r="D395" s="362"/>
      <c r="E395" s="604" t="s">
        <v>2129</v>
      </c>
      <c r="F395" s="124" t="s">
        <v>2393</v>
      </c>
      <c r="G395" s="125">
        <v>2012</v>
      </c>
      <c r="H395" s="79">
        <v>22927935</v>
      </c>
      <c r="I395" s="79">
        <v>1</v>
      </c>
      <c r="J395" s="126">
        <v>1</v>
      </c>
      <c r="K395" s="127"/>
      <c r="L395" s="79">
        <v>1</v>
      </c>
      <c r="M395" s="79"/>
      <c r="N395" s="79">
        <v>1</v>
      </c>
      <c r="O395" s="128">
        <v>2</v>
      </c>
      <c r="P395" s="79" t="s">
        <v>1220</v>
      </c>
      <c r="Q395" s="79" t="s">
        <v>1216</v>
      </c>
      <c r="R395" s="79" t="s">
        <v>1138</v>
      </c>
      <c r="S395" s="79"/>
      <c r="T395" s="79" t="s">
        <v>1541</v>
      </c>
      <c r="U395" s="79" t="s">
        <v>1638</v>
      </c>
      <c r="V395" s="79"/>
      <c r="W395" s="79" t="s">
        <v>1501</v>
      </c>
      <c r="X395" s="79"/>
      <c r="Y395" s="79" t="s">
        <v>1637</v>
      </c>
      <c r="Z395" s="79"/>
      <c r="AA395" s="79"/>
      <c r="AB395" s="79"/>
      <c r="AC395" s="506"/>
      <c r="AD395" s="573">
        <v>1</v>
      </c>
      <c r="AE395" s="573">
        <v>2</v>
      </c>
      <c r="AF395" s="154">
        <v>1</v>
      </c>
      <c r="AG395" s="155"/>
      <c r="AH395" s="121">
        <v>5</v>
      </c>
      <c r="AI395" s="484"/>
      <c r="AJ395" s="202"/>
      <c r="AK395" s="192">
        <v>2</v>
      </c>
      <c r="AL395" s="203">
        <v>0</v>
      </c>
      <c r="AM395" s="121">
        <f>Table668[[#This Row],[Data_Subjects_n_ptsd]]+Table668[[#This Row],[Data_Subjects_n_control]]</f>
        <v>36</v>
      </c>
      <c r="AN395" s="121">
        <v>24</v>
      </c>
      <c r="AO395" s="121">
        <v>12</v>
      </c>
      <c r="AP395" s="121" t="s">
        <v>1878</v>
      </c>
      <c r="AQ395" s="121" t="s">
        <v>1878</v>
      </c>
      <c r="AR395" s="121" t="s">
        <v>3723</v>
      </c>
      <c r="AS395" s="121" t="s">
        <v>24</v>
      </c>
      <c r="AT395" s="121" t="s">
        <v>3723</v>
      </c>
      <c r="AU395" s="121" t="s">
        <v>24</v>
      </c>
      <c r="AV395" s="121" t="s">
        <v>3724</v>
      </c>
      <c r="AW395" s="121">
        <v>1</v>
      </c>
      <c r="AX395" s="121" t="s">
        <v>3731</v>
      </c>
      <c r="AY395" s="121" t="s">
        <v>3515</v>
      </c>
      <c r="AZ395" s="121" t="s">
        <v>3725</v>
      </c>
      <c r="BA395" s="121" t="s">
        <v>3279</v>
      </c>
      <c r="BB395" s="594"/>
      <c r="BC395" s="594"/>
      <c r="BD395" s="156">
        <v>1</v>
      </c>
      <c r="BE395" s="156"/>
      <c r="BF395" s="156"/>
      <c r="BG395" s="156"/>
      <c r="BH395" s="156"/>
      <c r="BI395" s="156"/>
      <c r="BJ395" s="156"/>
      <c r="BK395" s="156"/>
      <c r="BL395" s="156"/>
      <c r="BM395" s="156"/>
      <c r="BN395" s="156"/>
      <c r="BO395" s="156"/>
      <c r="BP395" s="156"/>
      <c r="BQ395" s="595" t="s">
        <v>3736</v>
      </c>
      <c r="BR395" s="157" t="s">
        <v>6595</v>
      </c>
      <c r="BS395" s="660"/>
      <c r="BT395" s="134" t="s">
        <v>1876</v>
      </c>
      <c r="BU395" s="134">
        <v>2</v>
      </c>
      <c r="BV395" s="134" t="s">
        <v>3733</v>
      </c>
      <c r="BW395" s="134" t="s">
        <v>3726</v>
      </c>
      <c r="BX395" s="134" t="s">
        <v>3722</v>
      </c>
      <c r="BY395" s="134" t="s">
        <v>6640</v>
      </c>
      <c r="BZ395" s="259" t="s">
        <v>3758</v>
      </c>
      <c r="CA395" s="454" t="s">
        <v>6627</v>
      </c>
      <c r="CB395" s="138" t="s">
        <v>3738</v>
      </c>
      <c r="CC395" s="134">
        <v>3.84</v>
      </c>
      <c r="CD395" s="134" t="s">
        <v>24</v>
      </c>
      <c r="CE395" s="134">
        <v>0.37</v>
      </c>
      <c r="CF395" s="138" t="s">
        <v>3739</v>
      </c>
      <c r="CG395" s="134">
        <v>1.17</v>
      </c>
      <c r="CH395" s="134" t="s">
        <v>24</v>
      </c>
      <c r="CI395" s="134">
        <v>0.13</v>
      </c>
      <c r="CJ395" s="288" t="s">
        <v>3744</v>
      </c>
      <c r="CK395" s="289" t="s">
        <v>2588</v>
      </c>
      <c r="CL395" s="138" t="s">
        <v>3740</v>
      </c>
      <c r="CM395" s="134">
        <v>4.13</v>
      </c>
      <c r="CN395" s="168" t="s">
        <v>24</v>
      </c>
      <c r="CO395" s="134">
        <v>0.35</v>
      </c>
      <c r="CP395" s="138" t="s">
        <v>3741</v>
      </c>
      <c r="CQ395" s="134">
        <v>1.56</v>
      </c>
      <c r="CR395" s="168" t="s">
        <v>24</v>
      </c>
      <c r="CS395" s="134">
        <v>0.4</v>
      </c>
      <c r="CT395" s="288" t="s">
        <v>3745</v>
      </c>
      <c r="CU395" s="289" t="s">
        <v>2588</v>
      </c>
      <c r="CV395" s="276" t="s">
        <v>24</v>
      </c>
      <c r="CW395" s="308" t="s">
        <v>24</v>
      </c>
      <c r="CX395" s="427" t="s">
        <v>3742</v>
      </c>
      <c r="CY395" s="427">
        <v>4.71</v>
      </c>
      <c r="CZ395" s="134" t="s">
        <v>24</v>
      </c>
      <c r="DA395" s="134">
        <v>0.47</v>
      </c>
      <c r="DB395" s="138" t="s">
        <v>3743</v>
      </c>
      <c r="DC395" s="134">
        <v>1.95</v>
      </c>
      <c r="DD395" s="134" t="s">
        <v>24</v>
      </c>
      <c r="DE395" s="134">
        <v>0.31</v>
      </c>
      <c r="DF395" s="443" t="s">
        <v>3746</v>
      </c>
      <c r="DG395" s="444" t="s">
        <v>2588</v>
      </c>
      <c r="DH395" s="134" t="s">
        <v>24</v>
      </c>
      <c r="DI395" s="134" t="s">
        <v>24</v>
      </c>
      <c r="DJ395" s="134" t="s">
        <v>24</v>
      </c>
      <c r="DK395" s="134" t="s">
        <v>24</v>
      </c>
      <c r="DL395" s="134" t="s">
        <v>24</v>
      </c>
      <c r="DM395" s="134" t="s">
        <v>24</v>
      </c>
      <c r="DN395" s="134" t="s">
        <v>24</v>
      </c>
      <c r="DO395" s="134" t="s">
        <v>24</v>
      </c>
      <c r="DP395" s="300" t="s">
        <v>24</v>
      </c>
      <c r="DQ395" s="301" t="s">
        <v>24</v>
      </c>
      <c r="DR395" s="276" t="s">
        <v>24</v>
      </c>
      <c r="DS395" s="277" t="s">
        <v>24</v>
      </c>
      <c r="DT395" s="134"/>
      <c r="DU395" s="134"/>
      <c r="DV395" s="134"/>
      <c r="DW395" s="134"/>
      <c r="DX395" s="138"/>
      <c r="DY395" s="134"/>
      <c r="DZ395" s="134"/>
      <c r="EA395" s="134"/>
      <c r="EB395" s="301"/>
      <c r="EC395" s="301"/>
      <c r="ED395" s="138"/>
      <c r="EE395" s="134"/>
      <c r="EF395" s="134"/>
      <c r="EG395" s="134"/>
      <c r="EH395" s="138"/>
      <c r="EI395" s="134"/>
      <c r="EJ395" s="134"/>
      <c r="EK395" s="134"/>
      <c r="EL395" s="301"/>
      <c r="EM395" s="301"/>
      <c r="EN395" s="277"/>
      <c r="EO395" s="134"/>
      <c r="EP395" s="134"/>
      <c r="EQ395" s="134"/>
      <c r="ER395" s="134"/>
      <c r="ES395" s="134"/>
      <c r="ET395" s="134"/>
      <c r="EU395" s="134"/>
      <c r="EV395" s="134"/>
      <c r="EW395" s="301"/>
      <c r="EX395" s="301"/>
      <c r="EY395" s="134"/>
      <c r="EZ395" s="134"/>
      <c r="FA395" s="134"/>
      <c r="FB395" s="134"/>
      <c r="FC395" s="134"/>
      <c r="FD395" s="134"/>
      <c r="FE395" s="134"/>
      <c r="FF395" s="134"/>
      <c r="FG395" s="135"/>
      <c r="FH395" s="135"/>
      <c r="FI395" s="134"/>
      <c r="FJ395" s="134"/>
      <c r="FK395" s="134"/>
      <c r="FL395" s="134"/>
      <c r="FM395" s="134"/>
      <c r="FN395" s="134"/>
      <c r="FO395" s="134"/>
      <c r="FP395" s="134"/>
      <c r="FQ395" s="135"/>
      <c r="FR395" s="135"/>
      <c r="FS395" s="134"/>
      <c r="FT395" s="134"/>
      <c r="FU395" s="134"/>
      <c r="FV395" s="134"/>
      <c r="FW395" s="134"/>
      <c r="FX395" s="134"/>
      <c r="FY395" s="134"/>
      <c r="FZ395" s="134"/>
      <c r="GA395" s="135"/>
      <c r="GB395" s="135"/>
      <c r="GC395" s="134"/>
      <c r="GD395" s="134"/>
      <c r="GE395" s="134"/>
      <c r="GF395" s="134"/>
      <c r="GG395" s="134"/>
      <c r="GH395" s="134"/>
      <c r="GI395" s="134"/>
      <c r="GJ395" s="134"/>
      <c r="GK395" s="135"/>
      <c r="GL395" s="135"/>
      <c r="GM395" s="134"/>
      <c r="GN395" s="134"/>
      <c r="GO395" s="134"/>
      <c r="GP395" s="134"/>
      <c r="GQ395" s="134"/>
      <c r="GR395" s="134"/>
      <c r="GS395" s="134"/>
      <c r="GT395" s="134"/>
      <c r="GU395" s="135"/>
      <c r="GV395" s="135"/>
      <c r="GW395" s="134"/>
      <c r="GX395" s="134"/>
      <c r="GY395" s="134"/>
      <c r="GZ395" s="134"/>
      <c r="HA395" s="134"/>
      <c r="HB395" s="134"/>
      <c r="HC395" s="134"/>
      <c r="HD395" s="134"/>
      <c r="HE395" s="135"/>
      <c r="HF395" s="135"/>
      <c r="HG395" s="134"/>
      <c r="HH395" s="134"/>
      <c r="HI395" s="134"/>
      <c r="HJ395" s="134"/>
      <c r="HK395" s="134"/>
      <c r="HL395" s="134"/>
      <c r="HM395" s="134"/>
      <c r="HN395" s="134"/>
      <c r="HO395" s="135"/>
      <c r="HP395" s="135"/>
      <c r="HQ395" s="134"/>
      <c r="HR395" s="134"/>
      <c r="HS395" s="134"/>
      <c r="HT395" s="134"/>
      <c r="HU395" s="134"/>
      <c r="HV395" s="134"/>
      <c r="HW395" s="134"/>
      <c r="HX395" s="134"/>
      <c r="HY395" s="135"/>
      <c r="HZ395" s="135"/>
      <c r="IA395" s="134"/>
      <c r="IB395" s="134"/>
      <c r="IC395" s="134"/>
      <c r="ID395" s="134"/>
      <c r="IE395" s="134"/>
      <c r="IF395" s="134"/>
      <c r="IG395" s="134"/>
      <c r="IH395" s="134"/>
      <c r="II395" s="135"/>
      <c r="IJ395" s="135"/>
      <c r="IK395" s="134"/>
      <c r="IL395" s="134"/>
      <c r="IM395" s="134"/>
      <c r="IN395" s="134"/>
      <c r="IO395" s="134"/>
      <c r="IP395" s="134"/>
      <c r="IQ395" s="134"/>
      <c r="IR395" s="134"/>
      <c r="IS395" s="135"/>
      <c r="IT395" s="135"/>
      <c r="IU395" s="134"/>
      <c r="IV395" s="134"/>
      <c r="IW395" s="134"/>
      <c r="IX395" s="134"/>
      <c r="IY395" s="134"/>
      <c r="IZ395" s="134"/>
      <c r="JA395" s="134"/>
      <c r="JB395" s="134"/>
      <c r="JC395" s="135"/>
      <c r="JD395" s="135"/>
    </row>
    <row r="396" spans="1:264">
      <c r="A396" s="127" t="s">
        <v>946</v>
      </c>
      <c r="B396" s="619">
        <v>53</v>
      </c>
      <c r="C396" s="619"/>
      <c r="D396" s="619"/>
      <c r="E396" s="611" t="s">
        <v>2129</v>
      </c>
      <c r="F396" s="392" t="s">
        <v>2393</v>
      </c>
      <c r="G396" s="393">
        <v>2012</v>
      </c>
      <c r="H396" s="127">
        <v>22927935</v>
      </c>
      <c r="I396" s="127">
        <v>1</v>
      </c>
      <c r="J396" s="127">
        <v>1</v>
      </c>
      <c r="K396" s="127"/>
      <c r="L396" s="127">
        <v>1</v>
      </c>
      <c r="M396" s="127"/>
      <c r="N396" s="127">
        <v>1</v>
      </c>
      <c r="O396" s="221">
        <v>2</v>
      </c>
      <c r="P396" s="127" t="s">
        <v>1220</v>
      </c>
      <c r="Q396" s="127" t="s">
        <v>1216</v>
      </c>
      <c r="R396" s="127" t="s">
        <v>1138</v>
      </c>
      <c r="S396" s="127"/>
      <c r="T396" s="127" t="s">
        <v>1541</v>
      </c>
      <c r="U396" s="127" t="s">
        <v>1638</v>
      </c>
      <c r="V396" s="127"/>
      <c r="W396" s="127" t="s">
        <v>1501</v>
      </c>
      <c r="X396" s="127"/>
      <c r="Y396" s="127" t="s">
        <v>1637</v>
      </c>
      <c r="Z396" s="127"/>
      <c r="AA396" s="127"/>
      <c r="AB396" s="127"/>
      <c r="AC396" s="575"/>
      <c r="AD396" s="573">
        <v>1</v>
      </c>
      <c r="AE396" s="573">
        <v>2</v>
      </c>
      <c r="AF396" s="394" t="s">
        <v>1917</v>
      </c>
      <c r="AG396" s="395" t="s">
        <v>3756</v>
      </c>
      <c r="AH396" s="163">
        <v>5</v>
      </c>
      <c r="AI396" s="486"/>
      <c r="AJ396" s="396" t="s">
        <v>3755</v>
      </c>
      <c r="AK396" s="397">
        <v>2</v>
      </c>
      <c r="AL396" s="398" t="s">
        <v>3757</v>
      </c>
      <c r="AM396" s="163">
        <f>24+12</f>
        <v>36</v>
      </c>
      <c r="AN396" s="163" t="s">
        <v>3728</v>
      </c>
      <c r="AO396" s="163">
        <v>12</v>
      </c>
      <c r="AP396" s="163" t="s">
        <v>1878</v>
      </c>
      <c r="AQ396" s="163" t="s">
        <v>1878</v>
      </c>
      <c r="AR396" s="163" t="s">
        <v>3727</v>
      </c>
      <c r="AS396" s="163" t="s">
        <v>24</v>
      </c>
      <c r="AT396" s="163" t="s">
        <v>3727</v>
      </c>
      <c r="AU396" s="163" t="s">
        <v>24</v>
      </c>
      <c r="AV396" s="163" t="s">
        <v>3729</v>
      </c>
      <c r="AW396" s="163" t="s">
        <v>3730</v>
      </c>
      <c r="AX396" s="163" t="s">
        <v>3732</v>
      </c>
      <c r="AY396" s="163" t="s">
        <v>3515</v>
      </c>
      <c r="AZ396" s="121" t="s">
        <v>3725</v>
      </c>
      <c r="BA396" s="163" t="s">
        <v>3279</v>
      </c>
      <c r="BB396" s="603"/>
      <c r="BC396" s="603"/>
      <c r="BD396" s="399">
        <v>1</v>
      </c>
      <c r="BE396" s="399"/>
      <c r="BF396" s="399"/>
      <c r="BG396" s="399"/>
      <c r="BH396" s="399"/>
      <c r="BI396" s="399"/>
      <c r="BJ396" s="399"/>
      <c r="BK396" s="399"/>
      <c r="BL396" s="399"/>
      <c r="BM396" s="399"/>
      <c r="BN396" s="399"/>
      <c r="BO396" s="399"/>
      <c r="BP396" s="399"/>
      <c r="BQ396" s="595" t="s">
        <v>3736</v>
      </c>
      <c r="BR396" s="157" t="s">
        <v>6595</v>
      </c>
      <c r="BS396" s="660"/>
      <c r="BT396" s="400" t="s">
        <v>1876</v>
      </c>
      <c r="BU396" s="400" t="s">
        <v>3737</v>
      </c>
      <c r="BV396" s="134" t="s">
        <v>3734</v>
      </c>
      <c r="BW396" s="134" t="s">
        <v>3726</v>
      </c>
      <c r="BX396" s="400" t="s">
        <v>3722</v>
      </c>
      <c r="BY396" s="134" t="s">
        <v>6640</v>
      </c>
      <c r="BZ396" s="259" t="s">
        <v>3759</v>
      </c>
      <c r="CA396" s="454" t="s">
        <v>6627</v>
      </c>
      <c r="CB396" s="138" t="s">
        <v>3747</v>
      </c>
      <c r="CC396" s="400">
        <v>6.88</v>
      </c>
      <c r="CD396" s="400" t="s">
        <v>24</v>
      </c>
      <c r="CE396" s="400">
        <v>0.41</v>
      </c>
      <c r="CF396" s="138" t="s">
        <v>3748</v>
      </c>
      <c r="CG396" s="400">
        <v>1.29</v>
      </c>
      <c r="CH396" s="400" t="s">
        <v>24</v>
      </c>
      <c r="CI396" s="400">
        <v>0.23</v>
      </c>
      <c r="CJ396" s="288" t="s">
        <v>3744</v>
      </c>
      <c r="CK396" s="289" t="s">
        <v>2588</v>
      </c>
      <c r="CL396" s="138" t="s">
        <v>3749</v>
      </c>
      <c r="CM396" s="400">
        <v>4.74</v>
      </c>
      <c r="CN396" s="400" t="s">
        <v>24</v>
      </c>
      <c r="CO396" s="400">
        <v>0.46</v>
      </c>
      <c r="CP396" s="138" t="s">
        <v>3750</v>
      </c>
      <c r="CQ396" s="400">
        <v>1.29</v>
      </c>
      <c r="CR396" s="400" t="s">
        <v>24</v>
      </c>
      <c r="CS396" s="400">
        <v>0.23</v>
      </c>
      <c r="CT396" s="288" t="s">
        <v>3745</v>
      </c>
      <c r="CU396" s="289" t="s">
        <v>2588</v>
      </c>
      <c r="CV396" s="405" t="s">
        <v>24</v>
      </c>
      <c r="CW396" s="406" t="s">
        <v>24</v>
      </c>
      <c r="CX396" s="427" t="s">
        <v>3751</v>
      </c>
      <c r="CY396" s="427">
        <v>3.66</v>
      </c>
      <c r="CZ396" s="427" t="s">
        <v>24</v>
      </c>
      <c r="DA396" s="427">
        <v>0.33</v>
      </c>
      <c r="DB396" s="427" t="s">
        <v>3752</v>
      </c>
      <c r="DC396" s="400">
        <v>1.65</v>
      </c>
      <c r="DD396" s="400" t="s">
        <v>24</v>
      </c>
      <c r="DE396" s="400">
        <v>0.4</v>
      </c>
      <c r="DF396" s="443" t="s">
        <v>3746</v>
      </c>
      <c r="DG396" s="444" t="s">
        <v>2588</v>
      </c>
      <c r="DH396" s="427" t="s">
        <v>3753</v>
      </c>
      <c r="DI396" s="427">
        <v>2.89</v>
      </c>
      <c r="DJ396" s="427" t="s">
        <v>24</v>
      </c>
      <c r="DK396" s="427">
        <v>0.56999999999999995</v>
      </c>
      <c r="DL396" s="427" t="s">
        <v>3754</v>
      </c>
      <c r="DM396" s="400">
        <v>1.24</v>
      </c>
      <c r="DN396" s="400" t="s">
        <v>24</v>
      </c>
      <c r="DO396" s="400">
        <v>0.17</v>
      </c>
      <c r="DP396" s="443" t="s">
        <v>3746</v>
      </c>
      <c r="DQ396" s="444" t="s">
        <v>2588</v>
      </c>
      <c r="DR396" s="405"/>
      <c r="DS396" s="409"/>
      <c r="DT396" s="400"/>
      <c r="DU396" s="400"/>
      <c r="DV396" s="400"/>
      <c r="DW396" s="400"/>
      <c r="DX396" s="402"/>
      <c r="DY396" s="400"/>
      <c r="DZ396" s="400"/>
      <c r="EA396" s="400"/>
      <c r="EB396" s="408"/>
      <c r="EC396" s="408"/>
      <c r="ED396" s="402"/>
      <c r="EE396" s="400"/>
      <c r="EF396" s="400"/>
      <c r="EG396" s="400"/>
      <c r="EH396" s="402"/>
      <c r="EI396" s="400"/>
      <c r="EJ396" s="400"/>
      <c r="EK396" s="400"/>
      <c r="EL396" s="408"/>
      <c r="EM396" s="408"/>
      <c r="EN396" s="409"/>
      <c r="EO396" s="400"/>
      <c r="EP396" s="400"/>
      <c r="EQ396" s="400"/>
      <c r="ER396" s="400"/>
      <c r="ES396" s="400"/>
      <c r="ET396" s="400"/>
      <c r="EU396" s="400"/>
      <c r="EV396" s="400"/>
      <c r="EW396" s="408"/>
      <c r="EX396" s="408"/>
      <c r="EY396" s="400"/>
      <c r="EZ396" s="400"/>
      <c r="FA396" s="400"/>
      <c r="FB396" s="400"/>
      <c r="FC396" s="134"/>
      <c r="FD396" s="134"/>
      <c r="FE396" s="134"/>
      <c r="FF396" s="134"/>
      <c r="FG396" s="135"/>
      <c r="FH396" s="135"/>
      <c r="FI396" s="134"/>
      <c r="FJ396" s="134"/>
      <c r="FK396" s="134"/>
      <c r="FL396" s="134"/>
      <c r="FM396" s="134"/>
      <c r="FN396" s="134"/>
      <c r="FO396" s="134"/>
      <c r="FP396" s="134"/>
      <c r="FQ396" s="135"/>
      <c r="FR396" s="135"/>
      <c r="FS396" s="134"/>
      <c r="FT396" s="134"/>
      <c r="FU396" s="134"/>
      <c r="FV396" s="134"/>
      <c r="FW396" s="134"/>
      <c r="FX396" s="134"/>
      <c r="FY396" s="134"/>
      <c r="FZ396" s="134"/>
      <c r="GA396" s="135"/>
      <c r="GB396" s="135"/>
      <c r="GC396" s="134"/>
      <c r="GD396" s="134"/>
      <c r="GE396" s="134"/>
      <c r="GF396" s="134"/>
      <c r="GG396" s="134"/>
      <c r="GH396" s="134"/>
      <c r="GI396" s="134"/>
      <c r="GJ396" s="134"/>
      <c r="GK396" s="135"/>
      <c r="GL396" s="135"/>
      <c r="GM396" s="134"/>
      <c r="GN396" s="134"/>
      <c r="GO396" s="134"/>
      <c r="GP396" s="134"/>
      <c r="GQ396" s="134"/>
      <c r="GR396" s="134"/>
      <c r="GS396" s="134"/>
      <c r="GT396" s="134"/>
      <c r="GU396" s="135"/>
      <c r="GV396" s="135"/>
      <c r="GW396" s="134"/>
      <c r="GX396" s="134"/>
      <c r="GY396" s="134"/>
      <c r="GZ396" s="134"/>
      <c r="HA396" s="134"/>
      <c r="HB396" s="134"/>
      <c r="HC396" s="134"/>
      <c r="HD396" s="134"/>
      <c r="HE396" s="135"/>
      <c r="HF396" s="135"/>
      <c r="HG396" s="134"/>
      <c r="HH396" s="134"/>
      <c r="HI396" s="134"/>
      <c r="HJ396" s="134"/>
      <c r="HK396" s="134"/>
      <c r="HL396" s="134"/>
      <c r="HM396" s="134"/>
      <c r="HN396" s="134"/>
      <c r="HO396" s="135"/>
      <c r="HP396" s="135"/>
      <c r="HQ396" s="134"/>
      <c r="HR396" s="134"/>
      <c r="HS396" s="134"/>
      <c r="HT396" s="134"/>
      <c r="HU396" s="134"/>
      <c r="HV396" s="134"/>
      <c r="HW396" s="134"/>
      <c r="HX396" s="134"/>
      <c r="HY396" s="135"/>
      <c r="HZ396" s="135"/>
      <c r="IA396" s="134"/>
      <c r="IB396" s="134"/>
      <c r="IC396" s="134"/>
      <c r="ID396" s="134"/>
      <c r="IE396" s="134"/>
      <c r="IF396" s="134"/>
      <c r="IG396" s="134"/>
      <c r="IH396" s="134"/>
      <c r="II396" s="135"/>
      <c r="IJ396" s="135"/>
      <c r="IK396" s="134"/>
      <c r="IL396" s="134"/>
      <c r="IM396" s="134"/>
      <c r="IN396" s="134"/>
      <c r="IO396" s="134"/>
      <c r="IP396" s="134"/>
      <c r="IQ396" s="134"/>
      <c r="IR396" s="134"/>
      <c r="IS396" s="135"/>
      <c r="IT396" s="135"/>
      <c r="IU396" s="134"/>
      <c r="IV396" s="134"/>
      <c r="IW396" s="134"/>
      <c r="IX396" s="134"/>
      <c r="IY396" s="134"/>
      <c r="IZ396" s="134"/>
      <c r="JA396" s="134"/>
      <c r="JB396" s="134"/>
      <c r="JC396" s="135"/>
      <c r="JD396" s="135"/>
    </row>
    <row r="397" spans="1:264">
      <c r="A397" s="79" t="s">
        <v>366</v>
      </c>
      <c r="B397" s="362">
        <v>263</v>
      </c>
      <c r="C397" s="362">
        <v>96</v>
      </c>
      <c r="D397" s="362"/>
      <c r="E397" s="604" t="s">
        <v>2048</v>
      </c>
      <c r="F397" s="124" t="s">
        <v>2291</v>
      </c>
      <c r="G397" s="125">
        <v>1994</v>
      </c>
      <c r="H397" s="79">
        <v>9465143</v>
      </c>
      <c r="I397" s="175" t="s">
        <v>1796</v>
      </c>
      <c r="J397" s="126"/>
      <c r="K397" s="127"/>
      <c r="L397" s="79">
        <v>1</v>
      </c>
      <c r="M397" s="79"/>
      <c r="N397" s="79">
        <v>1</v>
      </c>
      <c r="O397" s="128">
        <v>1</v>
      </c>
      <c r="P397" s="79" t="s">
        <v>940</v>
      </c>
      <c r="Q397" s="79" t="s">
        <v>1147</v>
      </c>
      <c r="R397" s="79" t="s">
        <v>25</v>
      </c>
      <c r="S397" s="79">
        <v>1</v>
      </c>
      <c r="T397" s="79"/>
      <c r="U397" s="79"/>
      <c r="V397" s="79"/>
      <c r="W397" s="79" t="s">
        <v>939</v>
      </c>
      <c r="X397" s="79"/>
      <c r="Y397" s="79"/>
      <c r="Z397" s="79"/>
      <c r="AA397" s="79"/>
      <c r="AB397" s="79"/>
      <c r="AC397" s="506"/>
      <c r="AD397" s="573">
        <v>1</v>
      </c>
      <c r="AE397" s="573">
        <v>2</v>
      </c>
      <c r="AF397" s="165" t="s">
        <v>3003</v>
      </c>
      <c r="AG397" s="166" t="s">
        <v>6153</v>
      </c>
      <c r="AH397" s="120">
        <v>2</v>
      </c>
      <c r="AI397" s="120"/>
      <c r="AJ397" s="206"/>
      <c r="AK397" s="372"/>
      <c r="AL397" s="207"/>
      <c r="AM397" s="120"/>
      <c r="AN397" s="120"/>
      <c r="AO397" s="120"/>
      <c r="AP397" s="120"/>
      <c r="AQ397" s="120"/>
      <c r="AR397" s="120"/>
      <c r="AS397" s="120"/>
      <c r="AT397" s="120"/>
      <c r="AU397" s="120"/>
      <c r="AV397" s="120"/>
      <c r="AW397" s="120"/>
      <c r="AX397" s="120"/>
      <c r="AY397" s="120"/>
      <c r="AZ397" s="120"/>
      <c r="BA397" s="120"/>
      <c r="BB397" s="594"/>
      <c r="BC397" s="594"/>
      <c r="BD397" s="156"/>
      <c r="BE397" s="156"/>
      <c r="BF397" s="156"/>
      <c r="BG397" s="156"/>
      <c r="BH397" s="156"/>
      <c r="BI397" s="156"/>
      <c r="BJ397" s="156" t="s">
        <v>1917</v>
      </c>
      <c r="BK397" s="156"/>
      <c r="BL397" s="156"/>
      <c r="BM397" s="156"/>
      <c r="BN397" s="156"/>
      <c r="BO397" s="156"/>
      <c r="BP397" s="156"/>
      <c r="BQ397" s="595"/>
      <c r="BR397" s="157"/>
      <c r="BS397" s="660"/>
      <c r="BT397" s="134"/>
      <c r="BU397" s="134"/>
      <c r="BV397" s="134"/>
      <c r="BW397" s="134"/>
      <c r="BX397" s="134"/>
      <c r="BY397" s="134"/>
      <c r="BZ397" s="259"/>
      <c r="CA397" s="454"/>
      <c r="CB397" s="168"/>
      <c r="CC397" s="134"/>
      <c r="CD397" s="168"/>
      <c r="CE397" s="134"/>
      <c r="CF397" s="134"/>
      <c r="CG397" s="134"/>
      <c r="CH397" s="134"/>
      <c r="CI397" s="134"/>
      <c r="CJ397" s="288"/>
      <c r="CK397" s="289"/>
      <c r="CL397" s="138"/>
      <c r="CM397" s="134"/>
      <c r="CN397" s="134"/>
      <c r="CO397" s="134"/>
      <c r="CP397" s="138"/>
      <c r="CQ397" s="134"/>
      <c r="CR397" s="134"/>
      <c r="CS397" s="134"/>
      <c r="CT397" s="288"/>
      <c r="CU397" s="289"/>
      <c r="CV397" s="276"/>
      <c r="CW397" s="308"/>
      <c r="CX397" s="138"/>
      <c r="CY397" s="134"/>
      <c r="CZ397" s="134"/>
      <c r="DA397" s="134"/>
      <c r="DB397" s="134"/>
      <c r="DC397" s="134"/>
      <c r="DD397" s="134"/>
      <c r="DE397" s="134"/>
      <c r="DF397" s="300"/>
      <c r="DG397" s="301"/>
      <c r="DH397" s="134"/>
      <c r="DI397" s="134"/>
      <c r="DJ397" s="134"/>
      <c r="DK397" s="134"/>
      <c r="DL397" s="134"/>
      <c r="DM397" s="134"/>
      <c r="DN397" s="134"/>
      <c r="DO397" s="134"/>
      <c r="DP397" s="300"/>
      <c r="DQ397" s="301"/>
      <c r="DR397" s="276"/>
      <c r="DS397" s="277"/>
      <c r="DT397" s="134"/>
      <c r="DU397" s="134"/>
      <c r="DV397" s="134"/>
      <c r="DW397" s="134"/>
      <c r="DX397" s="138"/>
      <c r="DY397" s="134"/>
      <c r="DZ397" s="134"/>
      <c r="EA397" s="134"/>
      <c r="EB397" s="301"/>
      <c r="EC397" s="301"/>
      <c r="ED397" s="138"/>
      <c r="EE397" s="134"/>
      <c r="EF397" s="134"/>
      <c r="EG397" s="134"/>
      <c r="EH397" s="138"/>
      <c r="EI397" s="134"/>
      <c r="EJ397" s="134"/>
      <c r="EK397" s="134"/>
      <c r="EL397" s="301"/>
      <c r="EM397" s="301"/>
      <c r="EN397" s="277"/>
      <c r="EO397" s="134"/>
      <c r="EP397" s="134"/>
      <c r="EQ397" s="134"/>
      <c r="ER397" s="134"/>
      <c r="ES397" s="134"/>
      <c r="ET397" s="134"/>
      <c r="EU397" s="134"/>
      <c r="EV397" s="134"/>
      <c r="EW397" s="301"/>
      <c r="EX397" s="301"/>
      <c r="EY397" s="134"/>
      <c r="EZ397" s="134"/>
      <c r="FA397" s="134"/>
      <c r="FB397" s="134"/>
      <c r="FC397" s="134"/>
      <c r="FD397" s="134"/>
      <c r="FE397" s="134"/>
      <c r="FF397" s="134"/>
      <c r="FG397" s="135"/>
      <c r="FH397" s="135"/>
      <c r="FI397" s="134"/>
      <c r="FJ397" s="134"/>
      <c r="FK397" s="134"/>
      <c r="FL397" s="134"/>
      <c r="FM397" s="134"/>
      <c r="FN397" s="134"/>
      <c r="FO397" s="134"/>
      <c r="FP397" s="134"/>
      <c r="FQ397" s="135"/>
      <c r="FR397" s="135"/>
      <c r="FS397" s="134"/>
      <c r="FT397" s="134"/>
      <c r="FU397" s="134"/>
      <c r="FV397" s="134"/>
      <c r="FW397" s="134"/>
      <c r="FX397" s="134"/>
      <c r="FY397" s="134"/>
      <c r="FZ397" s="134"/>
      <c r="GA397" s="135"/>
      <c r="GB397" s="135"/>
      <c r="GC397" s="134"/>
      <c r="GD397" s="134"/>
      <c r="GE397" s="134"/>
      <c r="GF397" s="134"/>
      <c r="GG397" s="134"/>
      <c r="GH397" s="134"/>
      <c r="GI397" s="134"/>
      <c r="GJ397" s="134"/>
      <c r="GK397" s="135"/>
      <c r="GL397" s="135"/>
      <c r="GM397" s="134"/>
      <c r="GN397" s="134"/>
      <c r="GO397" s="134"/>
      <c r="GP397" s="134"/>
      <c r="GQ397" s="134"/>
      <c r="GR397" s="134"/>
      <c r="GS397" s="134"/>
      <c r="GT397" s="134"/>
      <c r="GU397" s="135"/>
      <c r="GV397" s="135"/>
      <c r="GW397" s="134"/>
      <c r="GX397" s="134"/>
      <c r="GY397" s="134"/>
      <c r="GZ397" s="134"/>
      <c r="HA397" s="134"/>
      <c r="HB397" s="134"/>
      <c r="HC397" s="134"/>
      <c r="HD397" s="134"/>
      <c r="HE397" s="135"/>
      <c r="HF397" s="135"/>
      <c r="HG397" s="134"/>
      <c r="HH397" s="134"/>
      <c r="HI397" s="134"/>
      <c r="HJ397" s="134"/>
      <c r="HK397" s="134"/>
      <c r="HL397" s="134"/>
      <c r="HM397" s="134"/>
      <c r="HN397" s="134"/>
      <c r="HO397" s="135"/>
      <c r="HP397" s="135"/>
      <c r="HQ397" s="134"/>
      <c r="HR397" s="134"/>
      <c r="HS397" s="134"/>
      <c r="HT397" s="134"/>
      <c r="HU397" s="134"/>
      <c r="HV397" s="134"/>
      <c r="HW397" s="134"/>
      <c r="HX397" s="134"/>
      <c r="HY397" s="135"/>
      <c r="HZ397" s="135"/>
      <c r="IA397" s="134"/>
      <c r="IB397" s="134"/>
      <c r="IC397" s="134"/>
      <c r="ID397" s="134"/>
      <c r="IE397" s="134"/>
      <c r="IF397" s="134"/>
      <c r="IG397" s="134"/>
      <c r="IH397" s="134"/>
      <c r="II397" s="135"/>
      <c r="IJ397" s="135"/>
      <c r="IK397" s="134"/>
      <c r="IL397" s="134"/>
      <c r="IM397" s="134"/>
      <c r="IN397" s="134"/>
      <c r="IO397" s="134"/>
      <c r="IP397" s="134"/>
      <c r="IQ397" s="134"/>
      <c r="IR397" s="134"/>
      <c r="IS397" s="135"/>
      <c r="IT397" s="135"/>
      <c r="IU397" s="134"/>
      <c r="IV397" s="134"/>
      <c r="IW397" s="134"/>
      <c r="IX397" s="134"/>
      <c r="IY397" s="134"/>
      <c r="IZ397" s="134"/>
      <c r="JA397" s="134"/>
      <c r="JB397" s="134"/>
      <c r="JC397" s="135"/>
      <c r="JD397" s="135"/>
    </row>
    <row r="398" spans="1:264">
      <c r="A398" s="79" t="s">
        <v>944</v>
      </c>
      <c r="B398" s="362">
        <v>54</v>
      </c>
      <c r="C398" s="362"/>
      <c r="D398" s="362"/>
      <c r="E398" s="604" t="s">
        <v>2131</v>
      </c>
      <c r="F398" s="124" t="s">
        <v>2395</v>
      </c>
      <c r="G398" s="125">
        <v>2012</v>
      </c>
      <c r="H398" s="79">
        <v>22137886</v>
      </c>
      <c r="I398" s="79">
        <v>1</v>
      </c>
      <c r="J398" s="126" t="s">
        <v>1803</v>
      </c>
      <c r="K398" s="127"/>
      <c r="L398" s="79">
        <v>0</v>
      </c>
      <c r="M398" s="79"/>
      <c r="N398" s="153">
        <v>0</v>
      </c>
      <c r="O398" s="128">
        <v>2</v>
      </c>
      <c r="P398" s="79" t="s">
        <v>1220</v>
      </c>
      <c r="Q398" s="79" t="s">
        <v>1216</v>
      </c>
      <c r="R398" s="79" t="s">
        <v>1642</v>
      </c>
      <c r="S398" s="79"/>
      <c r="T398" s="79" t="s">
        <v>24</v>
      </c>
      <c r="U398" s="79"/>
      <c r="V398" s="79"/>
      <c r="W398" s="79" t="s">
        <v>1501</v>
      </c>
      <c r="X398" s="79" t="s">
        <v>1643</v>
      </c>
      <c r="Y398" s="79" t="s">
        <v>1381</v>
      </c>
      <c r="Z398" s="79"/>
      <c r="AA398" s="79" t="s">
        <v>1641</v>
      </c>
      <c r="AB398" s="79" t="s">
        <v>1644</v>
      </c>
      <c r="AC398" s="506"/>
      <c r="AD398" s="573">
        <v>1</v>
      </c>
      <c r="AE398" s="573">
        <v>2</v>
      </c>
      <c r="AF398" s="233" t="s">
        <v>3003</v>
      </c>
      <c r="AG398" s="234" t="s">
        <v>3774</v>
      </c>
      <c r="AH398" s="121">
        <v>5</v>
      </c>
      <c r="AI398" s="484"/>
      <c r="AJ398" s="202" t="s">
        <v>3760</v>
      </c>
      <c r="AK398" s="192">
        <v>0</v>
      </c>
      <c r="AL398" s="203" t="s">
        <v>3764</v>
      </c>
      <c r="AM398" s="411">
        <f>Table668[[#This Row],[Data_Subjects_n_ptsd]]</f>
        <v>8</v>
      </c>
      <c r="AN398" s="121">
        <v>8</v>
      </c>
      <c r="AO398" s="121" t="s">
        <v>3761</v>
      </c>
      <c r="AP398" s="121" t="s">
        <v>803</v>
      </c>
      <c r="AQ398" s="121" t="s">
        <v>24</v>
      </c>
      <c r="AR398" s="121" t="s">
        <v>2494</v>
      </c>
      <c r="AS398" s="121" t="s">
        <v>24</v>
      </c>
      <c r="AT398" s="121" t="s">
        <v>24</v>
      </c>
      <c r="AU398" s="121" t="s">
        <v>24</v>
      </c>
      <c r="AV398" s="121" t="s">
        <v>3762</v>
      </c>
      <c r="AW398" s="121">
        <v>1</v>
      </c>
      <c r="AX398" s="121" t="s">
        <v>3763</v>
      </c>
      <c r="AY398" s="121" t="s">
        <v>24</v>
      </c>
      <c r="AZ398" s="121" t="s">
        <v>3725</v>
      </c>
      <c r="BA398" s="121" t="s">
        <v>3236</v>
      </c>
      <c r="BB398" s="594"/>
      <c r="BC398" s="594"/>
      <c r="BD398" s="156">
        <v>1</v>
      </c>
      <c r="BE398" s="156"/>
      <c r="BF398" s="156"/>
      <c r="BG398" s="156"/>
      <c r="BH398" s="156"/>
      <c r="BI398" s="156"/>
      <c r="BJ398" s="156"/>
      <c r="BK398" s="156"/>
      <c r="BL398" s="156"/>
      <c r="BM398" s="156"/>
      <c r="BN398" s="156"/>
      <c r="BO398" s="156"/>
      <c r="BP398" s="156"/>
      <c r="BQ398" s="595" t="s">
        <v>3735</v>
      </c>
      <c r="BR398" s="157" t="s">
        <v>6595</v>
      </c>
      <c r="BS398" s="660"/>
      <c r="BT398" s="134" t="s">
        <v>2789</v>
      </c>
      <c r="BU398" s="134">
        <v>1</v>
      </c>
      <c r="BV398" s="134" t="s">
        <v>3765</v>
      </c>
      <c r="BW398" s="134" t="s">
        <v>3769</v>
      </c>
      <c r="BX398" s="134" t="s">
        <v>2659</v>
      </c>
      <c r="BY398" s="134" t="s">
        <v>2659</v>
      </c>
      <c r="BZ398" s="259" t="s">
        <v>3773</v>
      </c>
      <c r="CA398" s="454" t="s">
        <v>23</v>
      </c>
      <c r="CB398" s="138" t="s">
        <v>3766</v>
      </c>
      <c r="CC398" s="134">
        <v>38.945999999999998</v>
      </c>
      <c r="CD398" s="134" t="s">
        <v>3770</v>
      </c>
      <c r="CE398" s="134">
        <f>48.2998-Table668[[#This Row],[Data_Outcome1_M]]</f>
        <v>9.3537999999999997</v>
      </c>
      <c r="CF398" s="138" t="s">
        <v>3767</v>
      </c>
      <c r="CG398" s="134">
        <v>47.750599999999999</v>
      </c>
      <c r="CH398" s="134" t="s">
        <v>24</v>
      </c>
      <c r="CI398" s="134">
        <f>55.9359-Table668[[#This Row],[Data_Outcome2_M]]</f>
        <v>8.185299999999998</v>
      </c>
      <c r="CJ398" s="288" t="s">
        <v>3771</v>
      </c>
      <c r="CK398" s="289" t="s">
        <v>24</v>
      </c>
      <c r="CL398" s="138" t="s">
        <v>3768</v>
      </c>
      <c r="CM398" s="134">
        <v>68.247900000000001</v>
      </c>
      <c r="CN398" s="134" t="s">
        <v>24</v>
      </c>
      <c r="CO398" s="134">
        <f>78.104-Table668[[#This Row],[Data_Outcome3_M]]</f>
        <v>9.8560999999999979</v>
      </c>
      <c r="CP398" s="138" t="s">
        <v>24</v>
      </c>
      <c r="CQ398" s="134" t="s">
        <v>24</v>
      </c>
      <c r="CR398" s="134" t="s">
        <v>24</v>
      </c>
      <c r="CS398" s="134" t="s">
        <v>24</v>
      </c>
      <c r="CT398" s="288" t="s">
        <v>3772</v>
      </c>
      <c r="CU398" s="289" t="s">
        <v>24</v>
      </c>
      <c r="CV398" s="276"/>
      <c r="CW398" s="308"/>
      <c r="CX398" s="138"/>
      <c r="CY398" s="134"/>
      <c r="CZ398" s="134"/>
      <c r="DA398" s="134"/>
      <c r="DB398" s="134"/>
      <c r="DC398" s="134"/>
      <c r="DD398" s="134"/>
      <c r="DE398" s="134"/>
      <c r="DF398" s="300"/>
      <c r="DG398" s="301"/>
      <c r="DH398" s="134"/>
      <c r="DI398" s="134"/>
      <c r="DJ398" s="134"/>
      <c r="DK398" s="134"/>
      <c r="DL398" s="134"/>
      <c r="DM398" s="134"/>
      <c r="DN398" s="134"/>
      <c r="DO398" s="134"/>
      <c r="DP398" s="300"/>
      <c r="DQ398" s="301"/>
      <c r="DR398" s="276"/>
      <c r="DS398" s="277"/>
      <c r="DT398" s="134"/>
      <c r="DU398" s="134"/>
      <c r="DV398" s="134"/>
      <c r="DW398" s="134"/>
      <c r="DX398" s="138"/>
      <c r="DY398" s="134"/>
      <c r="DZ398" s="134"/>
      <c r="EA398" s="134"/>
      <c r="EB398" s="301"/>
      <c r="EC398" s="301"/>
      <c r="ED398" s="138"/>
      <c r="EE398" s="134"/>
      <c r="EF398" s="134"/>
      <c r="EG398" s="134"/>
      <c r="EH398" s="138"/>
      <c r="EI398" s="134"/>
      <c r="EJ398" s="134"/>
      <c r="EK398" s="134"/>
      <c r="EL398" s="301"/>
      <c r="EM398" s="301"/>
      <c r="EN398" s="277"/>
      <c r="EO398" s="134"/>
      <c r="EP398" s="134"/>
      <c r="EQ398" s="134"/>
      <c r="ER398" s="134"/>
      <c r="ES398" s="134"/>
      <c r="ET398" s="134"/>
      <c r="EU398" s="134"/>
      <c r="EV398" s="134"/>
      <c r="EW398" s="301"/>
      <c r="EX398" s="301"/>
      <c r="EY398" s="134"/>
      <c r="EZ398" s="134"/>
      <c r="FA398" s="134"/>
      <c r="FB398" s="134"/>
      <c r="FC398" s="134"/>
      <c r="FD398" s="134"/>
      <c r="FE398" s="134"/>
      <c r="FF398" s="134"/>
      <c r="FG398" s="135"/>
      <c r="FH398" s="135"/>
      <c r="FI398" s="134"/>
      <c r="FJ398" s="134"/>
      <c r="FK398" s="134"/>
      <c r="FL398" s="134"/>
      <c r="FM398" s="134"/>
      <c r="FN398" s="134"/>
      <c r="FO398" s="134"/>
      <c r="FP398" s="134"/>
      <c r="FQ398" s="135"/>
      <c r="FR398" s="135"/>
      <c r="FS398" s="134"/>
      <c r="FT398" s="134"/>
      <c r="FU398" s="134"/>
      <c r="FV398" s="134"/>
      <c r="FW398" s="134"/>
      <c r="FX398" s="134"/>
      <c r="FY398" s="134"/>
      <c r="FZ398" s="134"/>
      <c r="GA398" s="135"/>
      <c r="GB398" s="135"/>
      <c r="GC398" s="134"/>
      <c r="GD398" s="134"/>
      <c r="GE398" s="134"/>
      <c r="GF398" s="134"/>
      <c r="GG398" s="134"/>
      <c r="GH398" s="134"/>
      <c r="GI398" s="134"/>
      <c r="GJ398" s="134"/>
      <c r="GK398" s="135"/>
      <c r="GL398" s="135"/>
      <c r="GM398" s="134"/>
      <c r="GN398" s="134"/>
      <c r="GO398" s="134"/>
      <c r="GP398" s="134"/>
      <c r="GQ398" s="134"/>
      <c r="GR398" s="134"/>
      <c r="GS398" s="134"/>
      <c r="GT398" s="134"/>
      <c r="GU398" s="135"/>
      <c r="GV398" s="135"/>
      <c r="GW398" s="134"/>
      <c r="GX398" s="134"/>
      <c r="GY398" s="134"/>
      <c r="GZ398" s="134"/>
      <c r="HA398" s="134"/>
      <c r="HB398" s="134"/>
      <c r="HC398" s="134"/>
      <c r="HD398" s="134"/>
      <c r="HE398" s="135"/>
      <c r="HF398" s="135"/>
      <c r="HG398" s="134"/>
      <c r="HH398" s="134"/>
      <c r="HI398" s="134"/>
      <c r="HJ398" s="134"/>
      <c r="HK398" s="134"/>
      <c r="HL398" s="134"/>
      <c r="HM398" s="134"/>
      <c r="HN398" s="134"/>
      <c r="HO398" s="135"/>
      <c r="HP398" s="135"/>
      <c r="HQ398" s="134"/>
      <c r="HR398" s="134"/>
      <c r="HS398" s="134"/>
      <c r="HT398" s="134"/>
      <c r="HU398" s="134"/>
      <c r="HV398" s="134"/>
      <c r="HW398" s="134"/>
      <c r="HX398" s="134"/>
      <c r="HY398" s="135"/>
      <c r="HZ398" s="135"/>
      <c r="IA398" s="134"/>
      <c r="IB398" s="134"/>
      <c r="IC398" s="134"/>
      <c r="ID398" s="134"/>
      <c r="IE398" s="134"/>
      <c r="IF398" s="134"/>
      <c r="IG398" s="134"/>
      <c r="IH398" s="134"/>
      <c r="II398" s="135"/>
      <c r="IJ398" s="135"/>
      <c r="IK398" s="134"/>
      <c r="IL398" s="134"/>
      <c r="IM398" s="134"/>
      <c r="IN398" s="134"/>
      <c r="IO398" s="134"/>
      <c r="IP398" s="134"/>
      <c r="IQ398" s="134"/>
      <c r="IR398" s="134"/>
      <c r="IS398" s="135"/>
      <c r="IT398" s="135"/>
      <c r="IU398" s="134"/>
      <c r="IV398" s="134"/>
      <c r="IW398" s="134"/>
      <c r="IX398" s="134"/>
      <c r="IY398" s="134"/>
      <c r="IZ398" s="134"/>
      <c r="JA398" s="134"/>
      <c r="JB398" s="134"/>
      <c r="JC398" s="135"/>
      <c r="JD398" s="135"/>
    </row>
    <row r="399" spans="1:264">
      <c r="A399" s="79" t="s">
        <v>941</v>
      </c>
      <c r="B399" s="362">
        <v>55</v>
      </c>
      <c r="C399" s="362"/>
      <c r="D399" s="362"/>
      <c r="E399" s="604" t="s">
        <v>2133</v>
      </c>
      <c r="F399" s="124" t="s">
        <v>2397</v>
      </c>
      <c r="G399" s="125">
        <v>2012</v>
      </c>
      <c r="H399" s="79">
        <v>22421563</v>
      </c>
      <c r="I399" s="79">
        <v>1</v>
      </c>
      <c r="J399" s="170" t="s">
        <v>1803</v>
      </c>
      <c r="K399" s="127"/>
      <c r="L399" s="164">
        <v>1</v>
      </c>
      <c r="M399" s="79"/>
      <c r="N399" s="164">
        <v>0</v>
      </c>
      <c r="O399" s="128">
        <v>2</v>
      </c>
      <c r="P399" s="79" t="s">
        <v>1726</v>
      </c>
      <c r="Q399" s="79" t="s">
        <v>1216</v>
      </c>
      <c r="R399" s="79" t="s">
        <v>1130</v>
      </c>
      <c r="S399" s="79"/>
      <c r="T399" s="79" t="s">
        <v>1495</v>
      </c>
      <c r="U399" s="79" t="s">
        <v>803</v>
      </c>
      <c r="V399" s="79"/>
      <c r="W399" s="79" t="s">
        <v>1723</v>
      </c>
      <c r="X399" s="79"/>
      <c r="Y399" s="79" t="s">
        <v>1649</v>
      </c>
      <c r="Z399" s="79"/>
      <c r="AA399" s="79"/>
      <c r="AB399" s="79" t="s">
        <v>1698</v>
      </c>
      <c r="AC399" s="506"/>
      <c r="AD399" s="573">
        <v>1</v>
      </c>
      <c r="AE399" s="573">
        <v>2</v>
      </c>
      <c r="AF399" s="233">
        <v>1</v>
      </c>
      <c r="AG399" s="412" t="s">
        <v>3792</v>
      </c>
      <c r="AH399" s="121">
        <v>4</v>
      </c>
      <c r="AI399" s="484"/>
      <c r="AJ399" s="202" t="s">
        <v>3779</v>
      </c>
      <c r="AK399" s="419" t="s">
        <v>3797</v>
      </c>
      <c r="AL399" s="203">
        <v>0</v>
      </c>
      <c r="AM399" s="121">
        <v>20</v>
      </c>
      <c r="AN399" s="121">
        <v>10</v>
      </c>
      <c r="AO399" s="121">
        <v>10</v>
      </c>
      <c r="AP399" s="121" t="s">
        <v>803</v>
      </c>
      <c r="AQ399" s="121" t="s">
        <v>803</v>
      </c>
      <c r="AR399" s="355" t="s">
        <v>3403</v>
      </c>
      <c r="AS399" s="121" t="s">
        <v>24</v>
      </c>
      <c r="AT399" s="355" t="s">
        <v>3403</v>
      </c>
      <c r="AU399" s="121" t="s">
        <v>24</v>
      </c>
      <c r="AV399" s="121" t="s">
        <v>3775</v>
      </c>
      <c r="AW399" s="121">
        <v>1</v>
      </c>
      <c r="AX399" s="121" t="s">
        <v>3782</v>
      </c>
      <c r="AY399" s="121" t="s">
        <v>3776</v>
      </c>
      <c r="AZ399" s="121" t="s">
        <v>1130</v>
      </c>
      <c r="BA399" s="121" t="s">
        <v>3279</v>
      </c>
      <c r="BB399" s="594"/>
      <c r="BC399" s="594"/>
      <c r="BD399" s="156">
        <v>1</v>
      </c>
      <c r="BE399" s="156"/>
      <c r="BF399" s="156"/>
      <c r="BG399" s="156"/>
      <c r="BH399" s="156"/>
      <c r="BI399" s="156"/>
      <c r="BJ399" s="156"/>
      <c r="BK399" s="156"/>
      <c r="BL399" s="156"/>
      <c r="BM399" s="156"/>
      <c r="BN399" s="156"/>
      <c r="BO399" s="156"/>
      <c r="BP399" s="156"/>
      <c r="BQ399" s="595" t="s">
        <v>3780</v>
      </c>
      <c r="BR399" s="157" t="s">
        <v>6601</v>
      </c>
      <c r="BS399" s="660"/>
      <c r="BT399" s="134" t="s">
        <v>1876</v>
      </c>
      <c r="BU399" s="134">
        <v>2</v>
      </c>
      <c r="BV399" s="134" t="s">
        <v>3778</v>
      </c>
      <c r="BW399" s="134" t="s">
        <v>3777</v>
      </c>
      <c r="BX399" s="134" t="s">
        <v>3808</v>
      </c>
      <c r="BY399" s="134" t="s">
        <v>2659</v>
      </c>
      <c r="BZ399" s="259" t="s">
        <v>3794</v>
      </c>
      <c r="CA399" s="454" t="s">
        <v>6627</v>
      </c>
      <c r="CB399" s="138" t="s">
        <v>3781</v>
      </c>
      <c r="CC399" s="134">
        <v>60.821899999999999</v>
      </c>
      <c r="CD399" s="134" t="s">
        <v>24</v>
      </c>
      <c r="CE399" s="134">
        <f>70.3196-Table668[[#This Row],[Data_Outcome1_M]]</f>
        <v>9.4976999999999947</v>
      </c>
      <c r="CF399" s="138" t="s">
        <v>3783</v>
      </c>
      <c r="CG399" s="134">
        <v>8.5844699999999996</v>
      </c>
      <c r="CH399" s="134" t="s">
        <v>24</v>
      </c>
      <c r="CI399" s="134">
        <f>12.6027-Table668[[#This Row],[Data_Outcome2_M]]</f>
        <v>4.0182300000000009</v>
      </c>
      <c r="CJ399" s="288" t="s">
        <v>3784</v>
      </c>
      <c r="CK399" s="289" t="s">
        <v>3793</v>
      </c>
      <c r="CL399" s="138" t="s">
        <v>3785</v>
      </c>
      <c r="CM399" s="134">
        <v>6.9387800000000004</v>
      </c>
      <c r="CN399" s="134" t="s">
        <v>24</v>
      </c>
      <c r="CO399" s="134">
        <f>9.52381-Table668[[#This Row],[Data_Outcome3_M]]</f>
        <v>2.5850299999999988</v>
      </c>
      <c r="CP399" s="138" t="s">
        <v>3787</v>
      </c>
      <c r="CQ399" s="134">
        <v>4.0816299999999996</v>
      </c>
      <c r="CR399" s="134" t="s">
        <v>24</v>
      </c>
      <c r="CS399" s="134">
        <f>6.39456-Table668[[#This Row],[Data_Outcome4_M]]</f>
        <v>2.3129300000000006</v>
      </c>
      <c r="CT399" s="288" t="s">
        <v>3789</v>
      </c>
      <c r="CU399" s="289" t="s">
        <v>3790</v>
      </c>
      <c r="CV399" s="276" t="s">
        <v>24</v>
      </c>
      <c r="CW399" s="308" t="s">
        <v>24</v>
      </c>
      <c r="CX399" s="138" t="s">
        <v>3786</v>
      </c>
      <c r="CY399" s="134">
        <v>42.176900000000003</v>
      </c>
      <c r="CZ399" s="134" t="s">
        <v>24</v>
      </c>
      <c r="DA399" s="134">
        <f>52.381-Table668[[#This Row],[Data_Outcome5_M]]</f>
        <v>10.204099999999997</v>
      </c>
      <c r="DB399" s="138" t="s">
        <v>3788</v>
      </c>
      <c r="DC399" s="134">
        <v>8.4353700000000007</v>
      </c>
      <c r="DD399" s="134" t="s">
        <v>24</v>
      </c>
      <c r="DE399" s="134">
        <f>21.517-Table668[[#This Row],[Data_Outcome6_M]]</f>
        <v>13.081629999999999</v>
      </c>
      <c r="DF399" s="300" t="s">
        <v>3791</v>
      </c>
      <c r="DG399" s="301" t="s">
        <v>2555</v>
      </c>
      <c r="DH399" s="134" t="s">
        <v>24</v>
      </c>
      <c r="DI399" s="134" t="s">
        <v>24</v>
      </c>
      <c r="DJ399" s="134"/>
      <c r="DK399" s="134"/>
      <c r="DL399" s="134"/>
      <c r="DM399" s="134"/>
      <c r="DN399" s="134"/>
      <c r="DO399" s="134"/>
      <c r="DP399" s="300"/>
      <c r="DQ399" s="301" t="s">
        <v>24</v>
      </c>
      <c r="DR399" s="276" t="s">
        <v>3796</v>
      </c>
      <c r="DS399" s="276" t="s">
        <v>3795</v>
      </c>
      <c r="DT399" s="134"/>
      <c r="DU399" s="134"/>
      <c r="DV399" s="134"/>
      <c r="DW399" s="134"/>
      <c r="DX399" s="138"/>
      <c r="DY399" s="134"/>
      <c r="DZ399" s="134"/>
      <c r="EA399" s="134"/>
      <c r="EB399" s="301"/>
      <c r="EC399" s="301"/>
      <c r="ED399" s="138"/>
      <c r="EE399" s="134"/>
      <c r="EF399" s="134"/>
      <c r="EG399" s="134"/>
      <c r="EH399" s="138"/>
      <c r="EI399" s="134"/>
      <c r="EJ399" s="134"/>
      <c r="EK399" s="134"/>
      <c r="EL399" s="301"/>
      <c r="EM399" s="301"/>
      <c r="EN399" s="277"/>
      <c r="EO399" s="134"/>
      <c r="EP399" s="134"/>
      <c r="EQ399" s="134"/>
      <c r="ER399" s="134"/>
      <c r="ES399" s="134"/>
      <c r="ET399" s="134"/>
      <c r="EU399" s="134"/>
      <c r="EV399" s="134"/>
      <c r="EW399" s="301"/>
      <c r="EX399" s="301"/>
      <c r="EY399" s="134"/>
      <c r="EZ399" s="134"/>
      <c r="FA399" s="134"/>
      <c r="FB399" s="134"/>
      <c r="FC399" s="134"/>
      <c r="FD399" s="134"/>
      <c r="FE399" s="134"/>
      <c r="FF399" s="134"/>
      <c r="FG399" s="135"/>
      <c r="FH399" s="135"/>
      <c r="FI399" s="134"/>
      <c r="FJ399" s="134"/>
      <c r="FK399" s="134"/>
      <c r="FL399" s="134"/>
      <c r="FM399" s="134"/>
      <c r="FN399" s="134"/>
      <c r="FO399" s="134"/>
      <c r="FP399" s="134"/>
      <c r="FQ399" s="135"/>
      <c r="FR399" s="135"/>
      <c r="FS399" s="134"/>
      <c r="FT399" s="134"/>
      <c r="FU399" s="134"/>
      <c r="FV399" s="134"/>
      <c r="FW399" s="134"/>
      <c r="FX399" s="134"/>
      <c r="FY399" s="134"/>
      <c r="FZ399" s="134"/>
      <c r="GA399" s="135"/>
      <c r="GB399" s="135"/>
      <c r="GC399" s="134"/>
      <c r="GD399" s="134"/>
      <c r="GE399" s="134"/>
      <c r="GF399" s="134"/>
      <c r="GG399" s="134"/>
      <c r="GH399" s="134"/>
      <c r="GI399" s="134"/>
      <c r="GJ399" s="134"/>
      <c r="GK399" s="135"/>
      <c r="GL399" s="135"/>
      <c r="GM399" s="134"/>
      <c r="GN399" s="134"/>
      <c r="GO399" s="134"/>
      <c r="GP399" s="134"/>
      <c r="GQ399" s="134"/>
      <c r="GR399" s="134"/>
      <c r="GS399" s="134"/>
      <c r="GT399" s="134"/>
      <c r="GU399" s="135"/>
      <c r="GV399" s="135"/>
      <c r="GW399" s="134"/>
      <c r="GX399" s="134"/>
      <c r="GY399" s="134"/>
      <c r="GZ399" s="134"/>
      <c r="HA399" s="134"/>
      <c r="HB399" s="134"/>
      <c r="HC399" s="134"/>
      <c r="HD399" s="134"/>
      <c r="HE399" s="135"/>
      <c r="HF399" s="135"/>
      <c r="HG399" s="134"/>
      <c r="HH399" s="134"/>
      <c r="HI399" s="134"/>
      <c r="HJ399" s="134"/>
      <c r="HK399" s="134"/>
      <c r="HL399" s="134"/>
      <c r="HM399" s="134"/>
      <c r="HN399" s="134"/>
      <c r="HO399" s="135"/>
      <c r="HP399" s="135"/>
      <c r="HQ399" s="134"/>
      <c r="HR399" s="134"/>
      <c r="HS399" s="134"/>
      <c r="HT399" s="134"/>
      <c r="HU399" s="134"/>
      <c r="HV399" s="134"/>
      <c r="HW399" s="134"/>
      <c r="HX399" s="134"/>
      <c r="HY399" s="135"/>
      <c r="HZ399" s="135"/>
      <c r="IA399" s="134"/>
      <c r="IB399" s="134"/>
      <c r="IC399" s="134"/>
      <c r="ID399" s="134"/>
      <c r="IE399" s="134"/>
      <c r="IF399" s="134"/>
      <c r="IG399" s="134"/>
      <c r="IH399" s="134"/>
      <c r="II399" s="135"/>
      <c r="IJ399" s="135"/>
      <c r="IK399" s="134"/>
      <c r="IL399" s="134"/>
      <c r="IM399" s="134"/>
      <c r="IN399" s="134"/>
      <c r="IO399" s="134"/>
      <c r="IP399" s="134"/>
      <c r="IQ399" s="134"/>
      <c r="IR399" s="134"/>
      <c r="IS399" s="135"/>
      <c r="IT399" s="135"/>
      <c r="IU399" s="134"/>
      <c r="IV399" s="134"/>
      <c r="IW399" s="134"/>
      <c r="IX399" s="134"/>
      <c r="IY399" s="134"/>
      <c r="IZ399" s="134"/>
      <c r="JA399" s="134"/>
      <c r="JB399" s="134"/>
      <c r="JC399" s="135"/>
      <c r="JD399" s="135"/>
    </row>
    <row r="400" spans="1:264">
      <c r="A400" s="79" t="s">
        <v>942</v>
      </c>
      <c r="B400" s="362">
        <v>56</v>
      </c>
      <c r="C400" s="362"/>
      <c r="D400" s="362"/>
      <c r="E400" s="604" t="s">
        <v>2133</v>
      </c>
      <c r="F400" s="124" t="s">
        <v>2397</v>
      </c>
      <c r="G400" s="125">
        <v>2013</v>
      </c>
      <c r="H400" s="79">
        <v>23318688</v>
      </c>
      <c r="I400" s="79">
        <v>1</v>
      </c>
      <c r="J400" s="170" t="s">
        <v>1803</v>
      </c>
      <c r="K400" s="127"/>
      <c r="L400" s="164">
        <v>1</v>
      </c>
      <c r="M400" s="79"/>
      <c r="N400" s="164">
        <v>0</v>
      </c>
      <c r="O400" s="128">
        <v>2</v>
      </c>
      <c r="P400" s="79" t="s">
        <v>1725</v>
      </c>
      <c r="Q400" s="79" t="s">
        <v>1216</v>
      </c>
      <c r="R400" s="79" t="s">
        <v>1130</v>
      </c>
      <c r="S400" s="79"/>
      <c r="T400" s="79" t="s">
        <v>1495</v>
      </c>
      <c r="U400" s="79" t="s">
        <v>803</v>
      </c>
      <c r="V400" s="79"/>
      <c r="W400" s="79" t="s">
        <v>1724</v>
      </c>
      <c r="X400" s="79"/>
      <c r="Y400" s="79" t="s">
        <v>1648</v>
      </c>
      <c r="Z400" s="79"/>
      <c r="AA400" s="79" t="s">
        <v>1647</v>
      </c>
      <c r="AB400" s="79" t="s">
        <v>1698</v>
      </c>
      <c r="AC400" s="506"/>
      <c r="AD400" s="573">
        <v>1</v>
      </c>
      <c r="AE400" s="573">
        <v>2</v>
      </c>
      <c r="AF400" s="233" t="s">
        <v>1917</v>
      </c>
      <c r="AG400" s="412" t="s">
        <v>3792</v>
      </c>
      <c r="AH400" s="121">
        <v>4</v>
      </c>
      <c r="AI400" s="484"/>
      <c r="AJ400" s="202" t="s">
        <v>3803</v>
      </c>
      <c r="AK400" s="419" t="s">
        <v>3798</v>
      </c>
      <c r="AL400" s="203">
        <v>1</v>
      </c>
      <c r="AM400" s="121">
        <v>20</v>
      </c>
      <c r="AN400" s="121">
        <v>10</v>
      </c>
      <c r="AO400" s="121">
        <v>10</v>
      </c>
      <c r="AP400" s="121" t="s">
        <v>803</v>
      </c>
      <c r="AQ400" s="121" t="s">
        <v>803</v>
      </c>
      <c r="AR400" s="355" t="s">
        <v>3403</v>
      </c>
      <c r="AS400" s="121" t="s">
        <v>24</v>
      </c>
      <c r="AT400" s="355" t="s">
        <v>3403</v>
      </c>
      <c r="AU400" s="121" t="s">
        <v>24</v>
      </c>
      <c r="AV400" s="121" t="s">
        <v>3775</v>
      </c>
      <c r="AW400" s="121">
        <v>1</v>
      </c>
      <c r="AX400" s="121" t="s">
        <v>3782</v>
      </c>
      <c r="AY400" s="121" t="s">
        <v>3776</v>
      </c>
      <c r="AZ400" s="121" t="s">
        <v>1130</v>
      </c>
      <c r="BA400" s="121" t="s">
        <v>3279</v>
      </c>
      <c r="BB400" s="594"/>
      <c r="BC400" s="594"/>
      <c r="BD400" s="156">
        <v>1</v>
      </c>
      <c r="BE400" s="156"/>
      <c r="BF400" s="156"/>
      <c r="BG400" s="156"/>
      <c r="BH400" s="156"/>
      <c r="BI400" s="156"/>
      <c r="BJ400" s="156"/>
      <c r="BK400" s="156"/>
      <c r="BL400" s="156"/>
      <c r="BM400" s="156"/>
      <c r="BN400" s="156"/>
      <c r="BO400" s="156"/>
      <c r="BP400" s="156"/>
      <c r="BQ400" s="595" t="s">
        <v>3780</v>
      </c>
      <c r="BR400" s="157" t="s">
        <v>6601</v>
      </c>
      <c r="BS400" s="660"/>
      <c r="BT400" s="134" t="s">
        <v>1876</v>
      </c>
      <c r="BU400" s="134">
        <v>2</v>
      </c>
      <c r="BV400" s="134" t="s">
        <v>3778</v>
      </c>
      <c r="BW400" s="134" t="s">
        <v>3777</v>
      </c>
      <c r="BX400" s="134" t="s">
        <v>3808</v>
      </c>
      <c r="BY400" s="134" t="s">
        <v>2659</v>
      </c>
      <c r="BZ400" s="259" t="s">
        <v>3794</v>
      </c>
      <c r="CA400" s="454" t="s">
        <v>6627</v>
      </c>
      <c r="CB400" s="138" t="s">
        <v>3801</v>
      </c>
      <c r="CC400" s="134">
        <v>60.578299999999999</v>
      </c>
      <c r="CD400" s="134" t="s">
        <v>24</v>
      </c>
      <c r="CE400" s="134">
        <f>70.0311-Table668[[#This Row],[Data_Outcome1_M]]</f>
        <v>9.4527999999999963</v>
      </c>
      <c r="CF400" s="138" t="s">
        <v>3802</v>
      </c>
      <c r="CG400" s="134">
        <v>26.0871</v>
      </c>
      <c r="CH400" s="134" t="s">
        <v>24</v>
      </c>
      <c r="CI400" s="134">
        <f>37.4657-Table668[[#This Row],[Data_Outcome2_M]]</f>
        <v>11.378599999999999</v>
      </c>
      <c r="CJ400" s="288" t="s">
        <v>3784</v>
      </c>
      <c r="CK400" s="289" t="s">
        <v>3814</v>
      </c>
      <c r="CL400" s="138" t="s">
        <v>3810</v>
      </c>
      <c r="CM400" s="134">
        <v>7.2820799999999997</v>
      </c>
      <c r="CN400" s="134" t="s">
        <v>24</v>
      </c>
      <c r="CO400" s="134">
        <f>9.55779-Table668[[#This Row],[Data_Outcome3_M]]</f>
        <v>2.275710000000001</v>
      </c>
      <c r="CP400" s="138" t="s">
        <v>3811</v>
      </c>
      <c r="CQ400" s="134">
        <v>3.9507500000000002</v>
      </c>
      <c r="CR400" s="134" t="s">
        <v>24</v>
      </c>
      <c r="CS400" s="134">
        <f>6.40152-Table668[[#This Row],[Data_Outcome4_M]]</f>
        <v>2.4507699999999994</v>
      </c>
      <c r="CT400" s="288" t="s">
        <v>3789</v>
      </c>
      <c r="CU400" s="289" t="s">
        <v>3790</v>
      </c>
      <c r="CV400" s="276" t="s">
        <v>24</v>
      </c>
      <c r="CW400" s="308" t="s">
        <v>24</v>
      </c>
      <c r="CX400" s="138" t="s">
        <v>3812</v>
      </c>
      <c r="CY400" s="134">
        <v>42.701799999999999</v>
      </c>
      <c r="CZ400" s="134" t="s">
        <v>24</v>
      </c>
      <c r="DA400" s="134">
        <f>52.8708-Table668[[#This Row],[Data_Outcome5_M]]</f>
        <v>10.169000000000004</v>
      </c>
      <c r="DB400" s="138" t="s">
        <v>3813</v>
      </c>
      <c r="DC400" s="134">
        <v>8.5231300000000001</v>
      </c>
      <c r="DD400" s="134" t="s">
        <v>24</v>
      </c>
      <c r="DE400" s="134">
        <f>12.9091-Table668[[#This Row],[Data_Outcome6_M]]</f>
        <v>4.3859700000000004</v>
      </c>
      <c r="DF400" s="300" t="s">
        <v>3791</v>
      </c>
      <c r="DG400" s="301" t="s">
        <v>2555</v>
      </c>
      <c r="DH400" s="134"/>
      <c r="DI400" s="134"/>
      <c r="DJ400" s="134"/>
      <c r="DK400" s="134"/>
      <c r="DL400" s="134"/>
      <c r="DM400" s="134"/>
      <c r="DN400" s="134"/>
      <c r="DO400" s="134"/>
      <c r="DP400" s="300"/>
      <c r="DQ400" s="301"/>
      <c r="DR400" s="276" t="s">
        <v>3796</v>
      </c>
      <c r="DS400" s="276" t="s">
        <v>3815</v>
      </c>
      <c r="DT400" s="134"/>
      <c r="DU400" s="134"/>
      <c r="DV400" s="134"/>
      <c r="DW400" s="134"/>
      <c r="DX400" s="138"/>
      <c r="DY400" s="134"/>
      <c r="DZ400" s="134"/>
      <c r="EA400" s="134"/>
      <c r="EB400" s="301"/>
      <c r="EC400" s="301"/>
      <c r="ED400" s="138"/>
      <c r="EE400" s="134"/>
      <c r="EF400" s="134"/>
      <c r="EG400" s="134"/>
      <c r="EH400" s="138"/>
      <c r="EI400" s="134"/>
      <c r="EJ400" s="134"/>
      <c r="EK400" s="134"/>
      <c r="EL400" s="301"/>
      <c r="EM400" s="301"/>
      <c r="EN400" s="277"/>
      <c r="EO400" s="134"/>
      <c r="EP400" s="134"/>
      <c r="EQ400" s="134"/>
      <c r="ER400" s="134"/>
      <c r="ES400" s="134"/>
      <c r="ET400" s="134"/>
      <c r="EU400" s="134"/>
      <c r="EV400" s="134"/>
      <c r="EW400" s="301"/>
      <c r="EX400" s="301"/>
      <c r="EY400" s="134"/>
      <c r="EZ400" s="134"/>
      <c r="FA400" s="134"/>
      <c r="FB400" s="134"/>
      <c r="FC400" s="134"/>
      <c r="FD400" s="134"/>
      <c r="FE400" s="134"/>
      <c r="FF400" s="134"/>
      <c r="FG400" s="135"/>
      <c r="FH400" s="135"/>
      <c r="FI400" s="134"/>
      <c r="FJ400" s="134"/>
      <c r="FK400" s="134"/>
      <c r="FL400" s="134"/>
      <c r="FM400" s="134"/>
      <c r="FN400" s="134"/>
      <c r="FO400" s="134"/>
      <c r="FP400" s="134"/>
      <c r="FQ400" s="135"/>
      <c r="FR400" s="135"/>
      <c r="FS400" s="134"/>
      <c r="FT400" s="134"/>
      <c r="FU400" s="134"/>
      <c r="FV400" s="134"/>
      <c r="FW400" s="134"/>
      <c r="FX400" s="134"/>
      <c r="FY400" s="134"/>
      <c r="FZ400" s="134"/>
      <c r="GA400" s="135"/>
      <c r="GB400" s="135"/>
      <c r="GC400" s="134"/>
      <c r="GD400" s="134"/>
      <c r="GE400" s="134"/>
      <c r="GF400" s="134"/>
      <c r="GG400" s="134"/>
      <c r="GH400" s="134"/>
      <c r="GI400" s="134"/>
      <c r="GJ400" s="134"/>
      <c r="GK400" s="135"/>
      <c r="GL400" s="135"/>
      <c r="GM400" s="134"/>
      <c r="GN400" s="134"/>
      <c r="GO400" s="134"/>
      <c r="GP400" s="134"/>
      <c r="GQ400" s="134"/>
      <c r="GR400" s="134"/>
      <c r="GS400" s="134"/>
      <c r="GT400" s="134"/>
      <c r="GU400" s="135"/>
      <c r="GV400" s="135"/>
      <c r="GW400" s="134"/>
      <c r="GX400" s="134"/>
      <c r="GY400" s="134"/>
      <c r="GZ400" s="134"/>
      <c r="HA400" s="134"/>
      <c r="HB400" s="134"/>
      <c r="HC400" s="134"/>
      <c r="HD400" s="134"/>
      <c r="HE400" s="135"/>
      <c r="HF400" s="135"/>
      <c r="HG400" s="134"/>
      <c r="HH400" s="134"/>
      <c r="HI400" s="134"/>
      <c r="HJ400" s="134"/>
      <c r="HK400" s="134"/>
      <c r="HL400" s="134"/>
      <c r="HM400" s="134"/>
      <c r="HN400" s="134"/>
      <c r="HO400" s="135"/>
      <c r="HP400" s="135"/>
      <c r="HQ400" s="134"/>
      <c r="HR400" s="134"/>
      <c r="HS400" s="134"/>
      <c r="HT400" s="134"/>
      <c r="HU400" s="134"/>
      <c r="HV400" s="134"/>
      <c r="HW400" s="134"/>
      <c r="HX400" s="134"/>
      <c r="HY400" s="135"/>
      <c r="HZ400" s="135"/>
      <c r="IA400" s="134"/>
      <c r="IB400" s="134"/>
      <c r="IC400" s="134"/>
      <c r="ID400" s="134"/>
      <c r="IE400" s="134"/>
      <c r="IF400" s="134"/>
      <c r="IG400" s="134"/>
      <c r="IH400" s="134"/>
      <c r="II400" s="135"/>
      <c r="IJ400" s="135"/>
      <c r="IK400" s="134"/>
      <c r="IL400" s="134"/>
      <c r="IM400" s="134"/>
      <c r="IN400" s="134"/>
      <c r="IO400" s="134"/>
      <c r="IP400" s="134"/>
      <c r="IQ400" s="134"/>
      <c r="IR400" s="134"/>
      <c r="IS400" s="135"/>
      <c r="IT400" s="135"/>
      <c r="IU400" s="134"/>
      <c r="IV400" s="134"/>
      <c r="IW400" s="134"/>
      <c r="IX400" s="134"/>
      <c r="IY400" s="134"/>
      <c r="IZ400" s="134"/>
      <c r="JA400" s="134"/>
      <c r="JB400" s="134"/>
      <c r="JC400" s="135"/>
      <c r="JD400" s="135"/>
    </row>
    <row r="401" spans="1:264">
      <c r="A401" s="127" t="s">
        <v>942</v>
      </c>
      <c r="B401" s="619">
        <v>56</v>
      </c>
      <c r="C401" s="619">
        <v>4</v>
      </c>
      <c r="D401" s="619"/>
      <c r="E401" s="611" t="s">
        <v>2133</v>
      </c>
      <c r="F401" s="392" t="s">
        <v>2397</v>
      </c>
      <c r="G401" s="393">
        <v>2013</v>
      </c>
      <c r="H401" s="127">
        <v>23318688</v>
      </c>
      <c r="I401" s="127">
        <v>1</v>
      </c>
      <c r="J401" s="413" t="s">
        <v>1803</v>
      </c>
      <c r="K401" s="127"/>
      <c r="L401" s="413">
        <v>1</v>
      </c>
      <c r="M401" s="127"/>
      <c r="N401" s="413">
        <v>0</v>
      </c>
      <c r="O401" s="221">
        <v>2</v>
      </c>
      <c r="P401" s="127" t="s">
        <v>1725</v>
      </c>
      <c r="Q401" s="127" t="s">
        <v>1216</v>
      </c>
      <c r="R401" s="127" t="s">
        <v>1130</v>
      </c>
      <c r="S401" s="127"/>
      <c r="T401" s="127" t="s">
        <v>1495</v>
      </c>
      <c r="U401" s="127" t="s">
        <v>803</v>
      </c>
      <c r="V401" s="127"/>
      <c r="W401" s="127" t="s">
        <v>1724</v>
      </c>
      <c r="X401" s="127"/>
      <c r="Y401" s="127" t="s">
        <v>1648</v>
      </c>
      <c r="Z401" s="127"/>
      <c r="AA401" s="127" t="s">
        <v>1647</v>
      </c>
      <c r="AB401" s="127" t="s">
        <v>1698</v>
      </c>
      <c r="AC401" s="575"/>
      <c r="AD401" s="573">
        <v>1</v>
      </c>
      <c r="AE401" s="573">
        <v>2</v>
      </c>
      <c r="AF401" s="416" t="s">
        <v>1917</v>
      </c>
      <c r="AG401" s="412" t="s">
        <v>3816</v>
      </c>
      <c r="AH401" s="163">
        <v>4</v>
      </c>
      <c r="AI401" s="486"/>
      <c r="AJ401" s="396" t="s">
        <v>3804</v>
      </c>
      <c r="AK401" s="421" t="s">
        <v>3799</v>
      </c>
      <c r="AL401" s="398">
        <v>1</v>
      </c>
      <c r="AM401" s="163">
        <v>20</v>
      </c>
      <c r="AN401" s="163">
        <v>10</v>
      </c>
      <c r="AO401" s="163">
        <v>10</v>
      </c>
      <c r="AP401" s="163" t="s">
        <v>803</v>
      </c>
      <c r="AQ401" s="163" t="s">
        <v>803</v>
      </c>
      <c r="AR401" s="414" t="s">
        <v>3403</v>
      </c>
      <c r="AS401" s="163" t="s">
        <v>24</v>
      </c>
      <c r="AT401" s="414" t="s">
        <v>3403</v>
      </c>
      <c r="AU401" s="163" t="s">
        <v>24</v>
      </c>
      <c r="AV401" s="163" t="s">
        <v>3775</v>
      </c>
      <c r="AW401" s="163">
        <v>1</v>
      </c>
      <c r="AX401" s="163" t="s">
        <v>3782</v>
      </c>
      <c r="AY401" s="163" t="s">
        <v>3776</v>
      </c>
      <c r="AZ401" s="163" t="s">
        <v>1130</v>
      </c>
      <c r="BA401" s="163" t="s">
        <v>3279</v>
      </c>
      <c r="BB401" s="603"/>
      <c r="BC401" s="603"/>
      <c r="BD401" s="399"/>
      <c r="BE401" s="399"/>
      <c r="BF401" s="399"/>
      <c r="BG401" s="399"/>
      <c r="BH401" s="399"/>
      <c r="BI401" s="399"/>
      <c r="BJ401" s="399">
        <v>1</v>
      </c>
      <c r="BK401" s="399"/>
      <c r="BL401" s="399"/>
      <c r="BM401" s="399"/>
      <c r="BN401" s="399"/>
      <c r="BO401" s="399"/>
      <c r="BP401" s="399"/>
      <c r="BQ401" s="597" t="s">
        <v>1893</v>
      </c>
      <c r="BR401" s="232" t="s">
        <v>6612</v>
      </c>
      <c r="BS401" s="660"/>
      <c r="BT401" s="400" t="s">
        <v>1876</v>
      </c>
      <c r="BU401" s="400">
        <v>2</v>
      </c>
      <c r="BV401" s="400" t="s">
        <v>3800</v>
      </c>
      <c r="BW401" s="400" t="s">
        <v>3777</v>
      </c>
      <c r="BX401" s="400" t="s">
        <v>3809</v>
      </c>
      <c r="BY401" s="400"/>
      <c r="BZ401" s="401" t="s">
        <v>3806</v>
      </c>
      <c r="CA401" s="625" t="s">
        <v>24</v>
      </c>
      <c r="CB401" s="402" t="s">
        <v>3805</v>
      </c>
      <c r="CC401" s="400" t="s">
        <v>24</v>
      </c>
      <c r="CD401" s="400" t="s">
        <v>24</v>
      </c>
      <c r="CE401" s="400" t="s">
        <v>24</v>
      </c>
      <c r="CF401" s="402" t="s">
        <v>24</v>
      </c>
      <c r="CG401" s="400"/>
      <c r="CH401" s="400"/>
      <c r="CI401" s="400"/>
      <c r="CJ401" s="401" t="s">
        <v>3806</v>
      </c>
      <c r="CK401" s="404" t="s">
        <v>3807</v>
      </c>
      <c r="CL401" s="402"/>
      <c r="CM401" s="400"/>
      <c r="CN401" s="400"/>
      <c r="CO401" s="400"/>
      <c r="CP401" s="402"/>
      <c r="CQ401" s="400"/>
      <c r="CR401" s="400"/>
      <c r="CS401" s="400"/>
      <c r="CT401" s="403"/>
      <c r="CU401" s="404"/>
      <c r="CV401" s="405"/>
      <c r="CW401" s="406"/>
      <c r="CX401" s="402"/>
      <c r="CY401" s="400"/>
      <c r="CZ401" s="400"/>
      <c r="DA401" s="400"/>
      <c r="DB401" s="400"/>
      <c r="DC401" s="400"/>
      <c r="DD401" s="400"/>
      <c r="DE401" s="400"/>
      <c r="DF401" s="407"/>
      <c r="DG401" s="408"/>
      <c r="DH401" s="400"/>
      <c r="DI401" s="400"/>
      <c r="DJ401" s="400"/>
      <c r="DK401" s="400"/>
      <c r="DL401" s="400"/>
      <c r="DM401" s="400"/>
      <c r="DN401" s="400"/>
      <c r="DO401" s="400"/>
      <c r="DP401" s="407"/>
      <c r="DQ401" s="408"/>
      <c r="DR401" s="405"/>
      <c r="DS401" s="409"/>
      <c r="DT401" s="400"/>
      <c r="DU401" s="400"/>
      <c r="DV401" s="400"/>
      <c r="DW401" s="400"/>
      <c r="DX401" s="402"/>
      <c r="DY401" s="400"/>
      <c r="DZ401" s="400"/>
      <c r="EA401" s="400"/>
      <c r="EB401" s="408"/>
      <c r="EC401" s="408"/>
      <c r="ED401" s="402"/>
      <c r="EE401" s="400"/>
      <c r="EF401" s="400"/>
      <c r="EG401" s="400"/>
      <c r="EH401" s="402"/>
      <c r="EI401" s="400"/>
      <c r="EJ401" s="400"/>
      <c r="EK401" s="400"/>
      <c r="EL401" s="408"/>
      <c r="EM401" s="408"/>
      <c r="EN401" s="409"/>
      <c r="EO401" s="400"/>
      <c r="EP401" s="400"/>
      <c r="EQ401" s="400"/>
      <c r="ER401" s="400"/>
      <c r="ES401" s="400"/>
      <c r="ET401" s="400"/>
      <c r="EU401" s="400"/>
      <c r="EV401" s="400"/>
      <c r="EW401" s="408"/>
      <c r="EX401" s="408"/>
      <c r="EY401" s="400"/>
      <c r="EZ401" s="400"/>
      <c r="FA401" s="400"/>
      <c r="FB401" s="400"/>
      <c r="FC401" s="134"/>
      <c r="FD401" s="134"/>
      <c r="FE401" s="134"/>
      <c r="FF401" s="134"/>
      <c r="FG401" s="135"/>
      <c r="FH401" s="135"/>
      <c r="FI401" s="134"/>
      <c r="FJ401" s="134"/>
      <c r="FK401" s="134"/>
      <c r="FL401" s="134"/>
      <c r="FM401" s="134"/>
      <c r="FN401" s="134"/>
      <c r="FO401" s="134"/>
      <c r="FP401" s="134"/>
      <c r="FQ401" s="135"/>
      <c r="FR401" s="135"/>
      <c r="FS401" s="134"/>
      <c r="FT401" s="134"/>
      <c r="FU401" s="134"/>
      <c r="FV401" s="134"/>
      <c r="FW401" s="134"/>
      <c r="FX401" s="134"/>
      <c r="FY401" s="134"/>
      <c r="FZ401" s="134"/>
      <c r="GA401" s="135"/>
      <c r="GB401" s="135"/>
      <c r="GC401" s="134"/>
      <c r="GD401" s="134"/>
      <c r="GE401" s="134"/>
      <c r="GF401" s="134"/>
      <c r="GG401" s="134"/>
      <c r="GH401" s="134"/>
      <c r="GI401" s="134"/>
      <c r="GJ401" s="134"/>
      <c r="GK401" s="135"/>
      <c r="GL401" s="135"/>
      <c r="GM401" s="134"/>
      <c r="GN401" s="134"/>
      <c r="GO401" s="134"/>
      <c r="GP401" s="134"/>
      <c r="GQ401" s="134"/>
      <c r="GR401" s="134"/>
      <c r="GS401" s="134"/>
      <c r="GT401" s="134"/>
      <c r="GU401" s="135"/>
      <c r="GV401" s="135"/>
      <c r="GW401" s="134"/>
      <c r="GX401" s="134"/>
      <c r="GY401" s="134"/>
      <c r="GZ401" s="134"/>
      <c r="HA401" s="134"/>
      <c r="HB401" s="134"/>
      <c r="HC401" s="134"/>
      <c r="HD401" s="134"/>
      <c r="HE401" s="135"/>
      <c r="HF401" s="135"/>
      <c r="HG401" s="134"/>
      <c r="HH401" s="134"/>
      <c r="HI401" s="134"/>
      <c r="HJ401" s="134"/>
      <c r="HK401" s="134"/>
      <c r="HL401" s="134"/>
      <c r="HM401" s="134"/>
      <c r="HN401" s="134"/>
      <c r="HO401" s="135"/>
      <c r="HP401" s="135"/>
      <c r="HQ401" s="134"/>
      <c r="HR401" s="134"/>
      <c r="HS401" s="134"/>
      <c r="HT401" s="134"/>
      <c r="HU401" s="134"/>
      <c r="HV401" s="134"/>
      <c r="HW401" s="134"/>
      <c r="HX401" s="134"/>
      <c r="HY401" s="135"/>
      <c r="HZ401" s="135"/>
      <c r="IA401" s="134"/>
      <c r="IB401" s="134"/>
      <c r="IC401" s="134"/>
      <c r="ID401" s="134"/>
      <c r="IE401" s="134"/>
      <c r="IF401" s="134"/>
      <c r="IG401" s="134"/>
      <c r="IH401" s="134"/>
      <c r="II401" s="135"/>
      <c r="IJ401" s="135"/>
      <c r="IK401" s="134"/>
      <c r="IL401" s="134"/>
      <c r="IM401" s="134"/>
      <c r="IN401" s="134"/>
      <c r="IO401" s="134"/>
      <c r="IP401" s="134"/>
      <c r="IQ401" s="134"/>
      <c r="IR401" s="134"/>
      <c r="IS401" s="135"/>
      <c r="IT401" s="135"/>
      <c r="IU401" s="134"/>
      <c r="IV401" s="134"/>
      <c r="IW401" s="134"/>
      <c r="IX401" s="134"/>
      <c r="IY401" s="134"/>
      <c r="IZ401" s="134"/>
      <c r="JA401" s="134"/>
      <c r="JB401" s="134"/>
      <c r="JC401" s="135"/>
      <c r="JD401" s="135"/>
    </row>
    <row r="402" spans="1:264">
      <c r="A402" s="79" t="s">
        <v>998</v>
      </c>
      <c r="B402" s="362">
        <v>188</v>
      </c>
      <c r="C402" s="362"/>
      <c r="D402" s="362">
        <v>69</v>
      </c>
      <c r="E402" s="604" t="s">
        <v>2104</v>
      </c>
      <c r="F402" s="124" t="s">
        <v>2362</v>
      </c>
      <c r="G402" s="125">
        <v>2016</v>
      </c>
      <c r="H402" s="79">
        <v>27616342</v>
      </c>
      <c r="I402" s="79">
        <v>1</v>
      </c>
      <c r="J402" s="126"/>
      <c r="K402" s="127"/>
      <c r="L402" s="79">
        <v>1</v>
      </c>
      <c r="M402" s="79"/>
      <c r="N402" s="79">
        <v>1</v>
      </c>
      <c r="O402" s="128">
        <v>2</v>
      </c>
      <c r="P402" s="79" t="s">
        <v>1472</v>
      </c>
      <c r="Q402" s="79" t="s">
        <v>1166</v>
      </c>
      <c r="R402" s="79" t="s">
        <v>1127</v>
      </c>
      <c r="S402" s="79"/>
      <c r="T402" s="79" t="s">
        <v>1487</v>
      </c>
      <c r="U402" s="79" t="s">
        <v>23</v>
      </c>
      <c r="V402" s="79"/>
      <c r="W402" s="79" t="s">
        <v>1473</v>
      </c>
      <c r="X402" s="79" t="s">
        <v>1474</v>
      </c>
      <c r="Y402" s="79"/>
      <c r="Z402" s="79"/>
      <c r="AA402" s="79"/>
      <c r="AB402" s="79"/>
      <c r="AC402" s="506" t="s">
        <v>6257</v>
      </c>
      <c r="AD402" s="573">
        <v>1</v>
      </c>
      <c r="AE402" s="573" t="s">
        <v>6258</v>
      </c>
      <c r="AF402" s="154"/>
      <c r="AG402" s="155"/>
      <c r="AH402" s="121">
        <v>4</v>
      </c>
      <c r="AI402" s="484"/>
      <c r="AJ402" s="202"/>
      <c r="AK402" s="192"/>
      <c r="AL402" s="203"/>
      <c r="AM402" s="121"/>
      <c r="AN402" s="121"/>
      <c r="AO402" s="121"/>
      <c r="AP402" s="121"/>
      <c r="AQ402" s="121"/>
      <c r="AR402" s="121"/>
      <c r="AS402" s="121"/>
      <c r="AT402" s="121"/>
      <c r="AU402" s="121"/>
      <c r="AV402" s="121"/>
      <c r="AW402" s="121"/>
      <c r="AX402" s="121"/>
      <c r="AY402" s="121"/>
      <c r="AZ402" s="121"/>
      <c r="BA402" s="121"/>
      <c r="BB402" s="594"/>
      <c r="BC402" s="594"/>
      <c r="BD402" s="156"/>
      <c r="BE402" s="156"/>
      <c r="BF402" s="156" t="s">
        <v>6209</v>
      </c>
      <c r="BG402" s="156" t="s">
        <v>1917</v>
      </c>
      <c r="BH402" s="156"/>
      <c r="BI402" s="156" t="s">
        <v>4727</v>
      </c>
      <c r="BJ402" s="156"/>
      <c r="BK402" s="156"/>
      <c r="BL402" s="156"/>
      <c r="BM402" s="156"/>
      <c r="BN402" s="156"/>
      <c r="BO402" s="156"/>
      <c r="BP402" s="156"/>
      <c r="BQ402" s="595"/>
      <c r="BR402" s="157"/>
      <c r="BS402" s="660"/>
      <c r="BT402" s="134"/>
      <c r="BU402" s="134"/>
      <c r="BV402" s="134"/>
      <c r="BW402" s="134"/>
      <c r="BX402" s="134"/>
      <c r="BY402" s="134"/>
      <c r="BZ402" s="259"/>
      <c r="CA402" s="454"/>
      <c r="CB402" s="138"/>
      <c r="CC402" s="134"/>
      <c r="CD402" s="134"/>
      <c r="CE402" s="134"/>
      <c r="CF402" s="138"/>
      <c r="CG402" s="134"/>
      <c r="CH402" s="134"/>
      <c r="CI402" s="134"/>
      <c r="CJ402" s="288"/>
      <c r="CK402" s="289"/>
      <c r="CL402" s="138"/>
      <c r="CM402" s="134"/>
      <c r="CN402" s="134"/>
      <c r="CO402" s="134"/>
      <c r="CP402" s="138"/>
      <c r="CQ402" s="134"/>
      <c r="CR402" s="134"/>
      <c r="CS402" s="134"/>
      <c r="CT402" s="288"/>
      <c r="CU402" s="289"/>
      <c r="CV402" s="276"/>
      <c r="CW402" s="308"/>
      <c r="CX402" s="138"/>
      <c r="CY402" s="134"/>
      <c r="CZ402" s="134"/>
      <c r="DA402" s="134"/>
      <c r="DB402" s="134"/>
      <c r="DC402" s="134"/>
      <c r="DD402" s="134"/>
      <c r="DE402" s="134"/>
      <c r="DF402" s="300"/>
      <c r="DG402" s="301"/>
      <c r="DH402" s="134"/>
      <c r="DI402" s="134"/>
      <c r="DJ402" s="134"/>
      <c r="DK402" s="134"/>
      <c r="DL402" s="134"/>
      <c r="DM402" s="134"/>
      <c r="DN402" s="134"/>
      <c r="DO402" s="134"/>
      <c r="DP402" s="300"/>
      <c r="DQ402" s="301"/>
      <c r="DR402" s="276"/>
      <c r="DS402" s="277"/>
      <c r="DT402" s="134"/>
      <c r="DU402" s="134"/>
      <c r="DV402" s="134"/>
      <c r="DW402" s="134"/>
      <c r="DX402" s="138"/>
      <c r="DY402" s="134"/>
      <c r="DZ402" s="134"/>
      <c r="EA402" s="134"/>
      <c r="EB402" s="301"/>
      <c r="EC402" s="301"/>
      <c r="ED402" s="138"/>
      <c r="EE402" s="134"/>
      <c r="EF402" s="134"/>
      <c r="EG402" s="134"/>
      <c r="EH402" s="138"/>
      <c r="EI402" s="134"/>
      <c r="EJ402" s="134"/>
      <c r="EK402" s="134"/>
      <c r="EL402" s="301"/>
      <c r="EM402" s="301"/>
      <c r="EN402" s="277"/>
      <c r="EO402" s="134"/>
      <c r="EP402" s="134"/>
      <c r="EQ402" s="134"/>
      <c r="ER402" s="134"/>
      <c r="ES402" s="134"/>
      <c r="ET402" s="134"/>
      <c r="EU402" s="134"/>
      <c r="EV402" s="134"/>
      <c r="EW402" s="301"/>
      <c r="EX402" s="301"/>
      <c r="EY402" s="134"/>
      <c r="EZ402" s="134"/>
      <c r="FA402" s="134"/>
      <c r="FB402" s="134"/>
      <c r="FC402" s="134"/>
      <c r="FD402" s="134"/>
      <c r="FE402" s="134"/>
      <c r="FF402" s="134"/>
      <c r="FG402" s="135"/>
      <c r="FH402" s="135"/>
      <c r="FI402" s="134"/>
      <c r="FJ402" s="134"/>
      <c r="FK402" s="134"/>
      <c r="FL402" s="134"/>
      <c r="FM402" s="134"/>
      <c r="FN402" s="134"/>
      <c r="FO402" s="134"/>
      <c r="FP402" s="134"/>
      <c r="FQ402" s="135"/>
      <c r="FR402" s="135"/>
      <c r="FS402" s="134"/>
      <c r="FT402" s="134"/>
      <c r="FU402" s="134"/>
      <c r="FV402" s="134"/>
      <c r="FW402" s="134"/>
      <c r="FX402" s="134"/>
      <c r="FY402" s="134"/>
      <c r="FZ402" s="134"/>
      <c r="GA402" s="135"/>
      <c r="GB402" s="135"/>
      <c r="GC402" s="134"/>
      <c r="GD402" s="134"/>
      <c r="GE402" s="134"/>
      <c r="GF402" s="134"/>
      <c r="GG402" s="134"/>
      <c r="GH402" s="134"/>
      <c r="GI402" s="134"/>
      <c r="GJ402" s="134"/>
      <c r="GK402" s="135"/>
      <c r="GL402" s="135"/>
      <c r="GM402" s="134"/>
      <c r="GN402" s="134"/>
      <c r="GO402" s="134"/>
      <c r="GP402" s="134"/>
      <c r="GQ402" s="134"/>
      <c r="GR402" s="134"/>
      <c r="GS402" s="134"/>
      <c r="GT402" s="134"/>
      <c r="GU402" s="135"/>
      <c r="GV402" s="135"/>
      <c r="GW402" s="134"/>
      <c r="GX402" s="134"/>
      <c r="GY402" s="134"/>
      <c r="GZ402" s="134"/>
      <c r="HA402" s="134"/>
      <c r="HB402" s="134"/>
      <c r="HC402" s="134"/>
      <c r="HD402" s="134"/>
      <c r="HE402" s="135"/>
      <c r="HF402" s="135"/>
      <c r="HG402" s="134"/>
      <c r="HH402" s="134"/>
      <c r="HI402" s="134"/>
      <c r="HJ402" s="134"/>
      <c r="HK402" s="134"/>
      <c r="HL402" s="134"/>
      <c r="HM402" s="134"/>
      <c r="HN402" s="134"/>
      <c r="HO402" s="135"/>
      <c r="HP402" s="135"/>
      <c r="HQ402" s="134"/>
      <c r="HR402" s="134"/>
      <c r="HS402" s="134"/>
      <c r="HT402" s="134"/>
      <c r="HU402" s="134"/>
      <c r="HV402" s="134"/>
      <c r="HW402" s="134"/>
      <c r="HX402" s="134"/>
      <c r="HY402" s="135"/>
      <c r="HZ402" s="135"/>
      <c r="IA402" s="134"/>
      <c r="IB402" s="134"/>
      <c r="IC402" s="134"/>
      <c r="ID402" s="134"/>
      <c r="IE402" s="134"/>
      <c r="IF402" s="134"/>
      <c r="IG402" s="134"/>
      <c r="IH402" s="134"/>
      <c r="II402" s="135"/>
      <c r="IJ402" s="135"/>
      <c r="IK402" s="134"/>
      <c r="IL402" s="134"/>
      <c r="IM402" s="134"/>
      <c r="IN402" s="134"/>
      <c r="IO402" s="134"/>
      <c r="IP402" s="134"/>
      <c r="IQ402" s="134"/>
      <c r="IR402" s="134"/>
      <c r="IS402" s="135"/>
      <c r="IT402" s="135"/>
      <c r="IU402" s="134"/>
      <c r="IV402" s="134"/>
      <c r="IW402" s="134"/>
      <c r="IX402" s="134"/>
      <c r="IY402" s="134"/>
      <c r="IZ402" s="134"/>
      <c r="JA402" s="134"/>
      <c r="JB402" s="134"/>
      <c r="JC402" s="135"/>
      <c r="JD402" s="135"/>
    </row>
    <row r="403" spans="1:264" ht="17" thickBot="1">
      <c r="A403" s="79" t="s">
        <v>991</v>
      </c>
      <c r="B403" s="362">
        <v>191</v>
      </c>
      <c r="C403" s="362"/>
      <c r="D403" s="362">
        <v>71</v>
      </c>
      <c r="E403" s="604" t="s">
        <v>2109</v>
      </c>
      <c r="F403" s="124" t="s">
        <v>2368</v>
      </c>
      <c r="G403" s="125">
        <v>2013</v>
      </c>
      <c r="H403" s="79">
        <v>23624119</v>
      </c>
      <c r="I403" s="79">
        <v>1</v>
      </c>
      <c r="J403" s="126">
        <v>1</v>
      </c>
      <c r="K403" s="127"/>
      <c r="L403" s="79">
        <v>1</v>
      </c>
      <c r="M403" s="79"/>
      <c r="N403" s="79">
        <v>1</v>
      </c>
      <c r="O403" s="128">
        <v>2</v>
      </c>
      <c r="P403" s="79" t="s">
        <v>24</v>
      </c>
      <c r="Q403" s="79"/>
      <c r="R403" s="79" t="s">
        <v>1138</v>
      </c>
      <c r="S403" s="79"/>
      <c r="T403" s="79" t="s">
        <v>1498</v>
      </c>
      <c r="U403" s="79"/>
      <c r="V403" s="79"/>
      <c r="W403" s="79" t="s">
        <v>1521</v>
      </c>
      <c r="X403" s="79"/>
      <c r="Y403" s="79" t="s">
        <v>1132</v>
      </c>
      <c r="Z403" s="79"/>
      <c r="AA403" s="79"/>
      <c r="AB403" s="79" t="s">
        <v>1279</v>
      </c>
      <c r="AC403" s="506" t="s">
        <v>6262</v>
      </c>
      <c r="AD403" s="573">
        <v>1</v>
      </c>
      <c r="AE403" s="573" t="s">
        <v>6264</v>
      </c>
      <c r="AF403" s="178"/>
      <c r="AG403" s="179"/>
      <c r="AH403" s="121">
        <v>5</v>
      </c>
      <c r="AI403" s="484"/>
      <c r="AJ403" s="208"/>
      <c r="AK403" s="209"/>
      <c r="AL403" s="210"/>
      <c r="AM403" s="121"/>
      <c r="AN403" s="121"/>
      <c r="AO403" s="121"/>
      <c r="AP403" s="121"/>
      <c r="AQ403" s="121"/>
      <c r="AR403" s="121"/>
      <c r="AS403" s="121"/>
      <c r="AT403" s="121"/>
      <c r="AU403" s="121"/>
      <c r="AV403" s="121"/>
      <c r="AW403" s="121"/>
      <c r="AX403" s="121"/>
      <c r="AY403" s="121"/>
      <c r="AZ403" s="121"/>
      <c r="BA403" s="121"/>
      <c r="BB403" s="594"/>
      <c r="BC403" s="594"/>
      <c r="BD403" s="156" t="s">
        <v>6263</v>
      </c>
      <c r="BE403" s="156"/>
      <c r="BF403" s="156"/>
      <c r="BG403" s="156"/>
      <c r="BH403" s="156"/>
      <c r="BI403" s="156"/>
      <c r="BJ403" s="156"/>
      <c r="BK403" s="156"/>
      <c r="BL403" s="156"/>
      <c r="BM403" s="156"/>
      <c r="BN403" s="156"/>
      <c r="BO403" s="156"/>
      <c r="BP403" s="156"/>
      <c r="BQ403" s="595"/>
      <c r="BR403" s="157"/>
      <c r="BS403" s="660"/>
      <c r="BT403" s="134"/>
      <c r="BU403" s="134"/>
      <c r="BV403" s="134"/>
      <c r="BW403" s="134"/>
      <c r="BX403" s="134"/>
      <c r="BY403" s="134"/>
      <c r="BZ403" s="259"/>
      <c r="CA403" s="454"/>
      <c r="CB403" s="138"/>
      <c r="CC403" s="134"/>
      <c r="CD403" s="134"/>
      <c r="CE403" s="134"/>
      <c r="CF403" s="138"/>
      <c r="CG403" s="134"/>
      <c r="CH403" s="134"/>
      <c r="CI403" s="134"/>
      <c r="CJ403" s="288"/>
      <c r="CK403" s="289"/>
      <c r="CL403" s="138"/>
      <c r="CM403" s="134"/>
      <c r="CN403" s="134"/>
      <c r="CO403" s="134"/>
      <c r="CP403" s="138"/>
      <c r="CQ403" s="134"/>
      <c r="CR403" s="134"/>
      <c r="CS403" s="134"/>
      <c r="CT403" s="288"/>
      <c r="CU403" s="289"/>
      <c r="CV403" s="276"/>
      <c r="CW403" s="308"/>
      <c r="CX403" s="138"/>
      <c r="CY403" s="134"/>
      <c r="CZ403" s="134"/>
      <c r="DA403" s="134"/>
      <c r="DB403" s="134"/>
      <c r="DC403" s="134"/>
      <c r="DD403" s="134"/>
      <c r="DE403" s="134"/>
      <c r="DF403" s="300"/>
      <c r="DG403" s="301"/>
      <c r="DH403" s="134"/>
      <c r="DI403" s="134"/>
      <c r="DJ403" s="134"/>
      <c r="DK403" s="134"/>
      <c r="DL403" s="134"/>
      <c r="DM403" s="134"/>
      <c r="DN403" s="134"/>
      <c r="DO403" s="134"/>
      <c r="DP403" s="300"/>
      <c r="DQ403" s="301"/>
      <c r="DR403" s="276"/>
      <c r="DS403" s="277"/>
      <c r="DT403" s="134"/>
      <c r="DU403" s="134"/>
      <c r="DV403" s="134"/>
      <c r="DW403" s="134"/>
      <c r="DX403" s="138"/>
      <c r="DY403" s="134"/>
      <c r="DZ403" s="134"/>
      <c r="EA403" s="134"/>
      <c r="EB403" s="301"/>
      <c r="EC403" s="301"/>
      <c r="ED403" s="138"/>
      <c r="EE403" s="134"/>
      <c r="EF403" s="134"/>
      <c r="EG403" s="134"/>
      <c r="EH403" s="138"/>
      <c r="EI403" s="134"/>
      <c r="EJ403" s="134"/>
      <c r="EK403" s="134"/>
      <c r="EL403" s="301"/>
      <c r="EM403" s="301"/>
      <c r="EN403" s="277"/>
      <c r="EO403" s="134"/>
      <c r="EP403" s="134"/>
      <c r="EQ403" s="134"/>
      <c r="ER403" s="134"/>
      <c r="ES403" s="134"/>
      <c r="ET403" s="134"/>
      <c r="EU403" s="134"/>
      <c r="EV403" s="134"/>
      <c r="EW403" s="301"/>
      <c r="EX403" s="301"/>
      <c r="EY403" s="134"/>
      <c r="EZ403" s="134"/>
      <c r="FA403" s="134"/>
      <c r="FB403" s="134"/>
      <c r="FC403" s="134"/>
      <c r="FD403" s="134"/>
      <c r="FE403" s="134"/>
      <c r="FF403" s="134"/>
      <c r="FG403" s="135"/>
      <c r="FH403" s="135"/>
      <c r="FI403" s="134"/>
      <c r="FJ403" s="134"/>
      <c r="FK403" s="134"/>
      <c r="FL403" s="134"/>
      <c r="FM403" s="134"/>
      <c r="FN403" s="134"/>
      <c r="FO403" s="134"/>
      <c r="FP403" s="134"/>
      <c r="FQ403" s="135"/>
      <c r="FR403" s="135"/>
      <c r="FS403" s="134"/>
      <c r="FT403" s="134"/>
      <c r="FU403" s="134"/>
      <c r="FV403" s="134"/>
      <c r="FW403" s="134"/>
      <c r="FX403" s="134"/>
      <c r="FY403" s="134"/>
      <c r="FZ403" s="134"/>
      <c r="GA403" s="135"/>
      <c r="GB403" s="135"/>
      <c r="GC403" s="134"/>
      <c r="GD403" s="134"/>
      <c r="GE403" s="134"/>
      <c r="GF403" s="134"/>
      <c r="GG403" s="134"/>
      <c r="GH403" s="134"/>
      <c r="GI403" s="134"/>
      <c r="GJ403" s="134"/>
      <c r="GK403" s="135"/>
      <c r="GL403" s="135"/>
      <c r="GM403" s="134"/>
      <c r="GN403" s="134"/>
      <c r="GO403" s="134"/>
      <c r="GP403" s="134"/>
      <c r="GQ403" s="134"/>
      <c r="GR403" s="134"/>
      <c r="GS403" s="134"/>
      <c r="GT403" s="134"/>
      <c r="GU403" s="135"/>
      <c r="GV403" s="135"/>
      <c r="GW403" s="134"/>
      <c r="GX403" s="134"/>
      <c r="GY403" s="134"/>
      <c r="GZ403" s="134"/>
      <c r="HA403" s="134"/>
      <c r="HB403" s="134"/>
      <c r="HC403" s="134"/>
      <c r="HD403" s="134"/>
      <c r="HE403" s="135"/>
      <c r="HF403" s="135"/>
      <c r="HG403" s="134"/>
      <c r="HH403" s="134"/>
      <c r="HI403" s="134"/>
      <c r="HJ403" s="134"/>
      <c r="HK403" s="134"/>
      <c r="HL403" s="134"/>
      <c r="HM403" s="134"/>
      <c r="HN403" s="134"/>
      <c r="HO403" s="135"/>
      <c r="HP403" s="135"/>
      <c r="HQ403" s="134"/>
      <c r="HR403" s="134"/>
      <c r="HS403" s="134"/>
      <c r="HT403" s="134"/>
      <c r="HU403" s="134"/>
      <c r="HV403" s="134"/>
      <c r="HW403" s="134"/>
      <c r="HX403" s="134"/>
      <c r="HY403" s="135"/>
      <c r="HZ403" s="135"/>
      <c r="IA403" s="134"/>
      <c r="IB403" s="134"/>
      <c r="IC403" s="134"/>
      <c r="ID403" s="134"/>
      <c r="IE403" s="134"/>
      <c r="IF403" s="134"/>
      <c r="IG403" s="134"/>
      <c r="IH403" s="134"/>
      <c r="II403" s="135"/>
      <c r="IJ403" s="135"/>
      <c r="IK403" s="134"/>
      <c r="IL403" s="134"/>
      <c r="IM403" s="134"/>
      <c r="IN403" s="134"/>
      <c r="IO403" s="134"/>
      <c r="IP403" s="134"/>
      <c r="IQ403" s="134"/>
      <c r="IR403" s="134"/>
      <c r="IS403" s="135"/>
      <c r="IT403" s="135"/>
      <c r="IU403" s="134"/>
      <c r="IV403" s="134"/>
      <c r="IW403" s="134"/>
      <c r="IX403" s="134"/>
      <c r="IY403" s="134"/>
      <c r="IZ403" s="134"/>
      <c r="JA403" s="134"/>
      <c r="JB403" s="134"/>
      <c r="JC403" s="135"/>
      <c r="JD403" s="135"/>
    </row>
  </sheetData>
  <sheetProtection password="DB7D" sheet="1" objects="1" scenarios="1"/>
  <pageMargins left="0.7" right="0.7" top="0.75" bottom="0.75" header="0.3" footer="0.3"/>
  <pageSetup paperSize="9" scale="10" orientation="landscape"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FJ808"/>
  <sheetViews>
    <sheetView tabSelected="1" zoomScaleNormal="86" workbookViewId="0">
      <pane xSplit="1" topLeftCell="BS1" activePane="topRight" state="frozen"/>
      <selection pane="topRight" activeCell="CG3" sqref="CG3"/>
    </sheetView>
  </sheetViews>
  <sheetFormatPr baseColWidth="10" defaultColWidth="10.83203125" defaultRowHeight="16"/>
  <cols>
    <col min="1" max="1" width="13.6640625" style="3" customWidth="1"/>
    <col min="2" max="3" width="4.1640625" style="495" customWidth="1"/>
    <col min="4" max="4" width="4.1640625" style="3" customWidth="1"/>
    <col min="5" max="8" width="10.33203125" style="3" customWidth="1"/>
    <col min="9" max="11" width="4" style="3" customWidth="1"/>
    <col min="12" max="12" width="4.5" style="3" customWidth="1"/>
    <col min="13" max="13" width="4" style="3" customWidth="1"/>
    <col min="14" max="14" width="7.33203125" style="3" customWidth="1"/>
    <col min="15" max="28" width="10.33203125" style="3" customWidth="1"/>
    <col min="29" max="29" width="22" style="3" customWidth="1"/>
    <col min="30" max="30" width="12.6640625" style="3" customWidth="1"/>
    <col min="31" max="31" width="14.33203125" style="3" customWidth="1"/>
    <col min="32" max="32" width="20" style="229" customWidth="1"/>
    <col min="33" max="33" width="35.5" style="3" customWidth="1"/>
    <col min="34" max="34" width="31" style="717" customWidth="1"/>
    <col min="35" max="35" width="5.83203125" style="3" customWidth="1"/>
    <col min="36" max="36" width="6.6640625" style="3" customWidth="1"/>
    <col min="37" max="37" width="6.1640625" style="496" customWidth="1"/>
    <col min="38" max="38" width="7.5" style="496" customWidth="1"/>
    <col min="39" max="39" width="4.33203125" style="496" customWidth="1"/>
    <col min="40" max="40" width="10.83203125" style="3" customWidth="1"/>
    <col min="41" max="41" width="21.6640625" style="3" customWidth="1"/>
    <col min="42" max="42" width="20" style="3" customWidth="1"/>
    <col min="43" max="43" width="11.1640625" style="3" customWidth="1"/>
    <col min="44" max="44" width="7.33203125" style="3" customWidth="1"/>
    <col min="45" max="45" width="13.33203125" style="3" customWidth="1"/>
    <col min="46" max="46" width="6" style="3" customWidth="1"/>
    <col min="47" max="47" width="13.33203125" style="3" customWidth="1"/>
    <col min="48" max="48" width="6.83203125" style="3" customWidth="1"/>
    <col min="49" max="49" width="11.83203125" style="3" customWidth="1"/>
    <col min="50" max="50" width="12.5" style="3" customWidth="1"/>
    <col min="51" max="51" width="9.6640625" style="3" customWidth="1"/>
    <col min="52" max="52" width="14.1640625" style="3" customWidth="1"/>
    <col min="53" max="53" width="3.83203125" style="3" customWidth="1"/>
    <col min="54" max="54" width="3" style="764" customWidth="1"/>
    <col min="55" max="55" width="32.33203125" style="273" customWidth="1"/>
    <col min="56" max="57" width="13.33203125" style="3" customWidth="1"/>
    <col min="58" max="58" width="21.1640625" style="3" customWidth="1"/>
    <col min="59" max="59" width="20.5" style="3" customWidth="1"/>
    <col min="60" max="60" width="4.1640625" style="3" customWidth="1"/>
    <col min="61" max="61" width="3.33203125" style="3" customWidth="1"/>
    <col min="62" max="63" width="3.1640625" style="3" customWidth="1"/>
    <col min="64" max="64" width="3.1640625" style="273" customWidth="1"/>
    <col min="65" max="70" width="3.1640625" style="3" customWidth="1"/>
    <col min="71" max="71" width="3.6640625" style="26" customWidth="1"/>
    <col min="72" max="72" width="3.33203125" style="26" customWidth="1"/>
    <col min="73" max="73" width="3.1640625" style="520" customWidth="1"/>
    <col min="74" max="74" width="3.33203125" style="521" customWidth="1"/>
    <col min="75" max="75" width="23.83203125" style="764" customWidth="1"/>
    <col min="76" max="76" width="9.83203125" style="273" customWidth="1"/>
    <col min="77" max="77" width="10.5" style="3" customWidth="1"/>
    <col min="78" max="78" width="10.5" style="764" customWidth="1"/>
    <col min="79" max="79" width="5.5" style="3" customWidth="1"/>
    <col min="80" max="80" width="7.33203125" style="42" customWidth="1"/>
    <col min="81" max="81" width="6.83203125" style="3" customWidth="1"/>
    <col min="82" max="82" width="6.6640625" style="3" customWidth="1"/>
    <col min="83" max="83" width="6.6640625" style="520" customWidth="1"/>
    <col min="84" max="84" width="7.6640625" style="520" customWidth="1"/>
    <col min="85" max="85" width="74" style="3" customWidth="1"/>
    <col min="86" max="86" width="13.1640625" style="273" customWidth="1"/>
    <col min="87" max="87" width="9.1640625" style="3" customWidth="1"/>
    <col min="88" max="88" width="8.5" style="3" customWidth="1"/>
    <col min="89" max="89" width="47.33203125" style="3" customWidth="1"/>
    <col min="90" max="90" width="29.5" style="3" customWidth="1"/>
    <col min="91" max="91" width="4" style="3" customWidth="1"/>
    <col min="92" max="92" width="2.6640625" style="3" customWidth="1"/>
    <col min="93" max="94" width="5.6640625" style="3" customWidth="1"/>
    <col min="95" max="95" width="6.6640625" style="3" customWidth="1"/>
    <col min="96" max="96" width="5.5" style="3" customWidth="1"/>
    <col min="97" max="97" width="6.33203125" style="273" customWidth="1"/>
    <col min="98" max="98" width="11.6640625" style="3" customWidth="1"/>
    <col min="99" max="99" width="4.1640625" style="3" customWidth="1"/>
    <col min="100" max="100" width="8.1640625" style="3" customWidth="1"/>
    <col min="101" max="101" width="9" style="3" customWidth="1"/>
    <col min="102" max="102" width="77.33203125" style="3" customWidth="1"/>
    <col min="103" max="103" width="9.6640625" style="3" customWidth="1"/>
    <col min="104" max="104" width="18.1640625" style="3" customWidth="1"/>
    <col min="105" max="105" width="17" style="3" customWidth="1"/>
    <col min="106" max="106" width="57" style="3" customWidth="1"/>
    <col min="107" max="107" width="9.6640625" style="493" customWidth="1"/>
    <col min="108" max="110" width="9.6640625" style="3" customWidth="1"/>
    <col min="111" max="111" width="42.6640625" style="3" customWidth="1"/>
    <col min="112" max="119" width="9.6640625" customWidth="1"/>
    <col min="120" max="120" width="2.6640625" customWidth="1"/>
    <col min="121" max="121" width="18.6640625" customWidth="1"/>
    <col min="122" max="166" width="2.6640625" customWidth="1"/>
    <col min="167" max="16384" width="10.83203125" style="3"/>
  </cols>
  <sheetData>
    <row r="1" spans="1:166" s="1300" customFormat="1" ht="16" customHeight="1">
      <c r="A1" s="87" t="s">
        <v>6593</v>
      </c>
      <c r="B1" s="612" t="s">
        <v>6590</v>
      </c>
      <c r="C1" s="613" t="s">
        <v>6591</v>
      </c>
      <c r="D1" s="613" t="s">
        <v>6592</v>
      </c>
      <c r="E1" s="87" t="s">
        <v>6334</v>
      </c>
      <c r="F1" s="87" t="s">
        <v>6335</v>
      </c>
      <c r="G1" s="87" t="s">
        <v>6336</v>
      </c>
      <c r="H1" s="87" t="s">
        <v>6337</v>
      </c>
      <c r="I1" s="87" t="s">
        <v>6338</v>
      </c>
      <c r="J1" s="87" t="s">
        <v>6339</v>
      </c>
      <c r="K1" s="87" t="s">
        <v>6340</v>
      </c>
      <c r="L1" s="87" t="s">
        <v>6341</v>
      </c>
      <c r="M1" s="87" t="s">
        <v>6342</v>
      </c>
      <c r="N1" s="87" t="s">
        <v>6343</v>
      </c>
      <c r="O1" s="107" t="s">
        <v>6344</v>
      </c>
      <c r="P1" s="87" t="s">
        <v>6345</v>
      </c>
      <c r="Q1" s="87" t="s">
        <v>6346</v>
      </c>
      <c r="R1" s="583" t="s">
        <v>6347</v>
      </c>
      <c r="S1" s="87" t="s">
        <v>6348</v>
      </c>
      <c r="T1" s="87" t="s">
        <v>6349</v>
      </c>
      <c r="U1" s="87" t="s">
        <v>6350</v>
      </c>
      <c r="V1" s="87" t="s">
        <v>6351</v>
      </c>
      <c r="W1" s="87" t="s">
        <v>6352</v>
      </c>
      <c r="X1" s="87" t="s">
        <v>6353</v>
      </c>
      <c r="Y1" s="87" t="s">
        <v>6354</v>
      </c>
      <c r="Z1" s="87" t="s">
        <v>6355</v>
      </c>
      <c r="AA1" s="87" t="s">
        <v>6356</v>
      </c>
      <c r="AB1" s="87" t="s">
        <v>6357</v>
      </c>
      <c r="AC1" s="561" t="s">
        <v>6580</v>
      </c>
      <c r="AD1" s="561" t="s">
        <v>6581</v>
      </c>
      <c r="AE1" s="561" t="s">
        <v>6582</v>
      </c>
      <c r="AF1" s="112" t="s">
        <v>7363</v>
      </c>
      <c r="AG1" s="113" t="s">
        <v>6583</v>
      </c>
      <c r="AH1" s="703" t="s">
        <v>7258</v>
      </c>
      <c r="AI1" s="583" t="s">
        <v>6647</v>
      </c>
      <c r="AJ1" s="584" t="s">
        <v>6584</v>
      </c>
      <c r="AK1" s="647" t="s">
        <v>6585</v>
      </c>
      <c r="AL1" s="194" t="s">
        <v>6586</v>
      </c>
      <c r="AM1" s="648" t="s">
        <v>6587</v>
      </c>
      <c r="AN1" s="111" t="s">
        <v>6359</v>
      </c>
      <c r="AO1" s="111" t="s">
        <v>6360</v>
      </c>
      <c r="AP1" s="111" t="s">
        <v>6361</v>
      </c>
      <c r="AQ1" s="111" t="s">
        <v>6362</v>
      </c>
      <c r="AR1" s="111" t="s">
        <v>6363</v>
      </c>
      <c r="AS1" s="111" t="s">
        <v>6364</v>
      </c>
      <c r="AT1" s="111" t="s">
        <v>6365</v>
      </c>
      <c r="AU1" s="111" t="s">
        <v>6366</v>
      </c>
      <c r="AV1" s="111" t="s">
        <v>6367</v>
      </c>
      <c r="AW1" s="111" t="s">
        <v>6368</v>
      </c>
      <c r="AX1" s="111" t="s">
        <v>7640</v>
      </c>
      <c r="AY1" s="111" t="s">
        <v>7639</v>
      </c>
      <c r="AZ1" s="111" t="s">
        <v>7637</v>
      </c>
      <c r="BA1" s="111" t="s">
        <v>6563</v>
      </c>
      <c r="BB1" s="111" t="s">
        <v>6564</v>
      </c>
      <c r="BC1" s="111" t="s">
        <v>6369</v>
      </c>
      <c r="BD1" s="780" t="s">
        <v>7520</v>
      </c>
      <c r="BE1" s="111" t="s">
        <v>8153</v>
      </c>
      <c r="BF1" s="111" t="s">
        <v>6370</v>
      </c>
      <c r="BG1" s="111" t="s">
        <v>6371</v>
      </c>
      <c r="BH1" s="589" t="s">
        <v>6565</v>
      </c>
      <c r="BI1" s="589" t="s">
        <v>6566</v>
      </c>
      <c r="BJ1" s="581" t="s">
        <v>6567</v>
      </c>
      <c r="BK1" s="581" t="s">
        <v>6568</v>
      </c>
      <c r="BL1" s="581" t="s">
        <v>6569</v>
      </c>
      <c r="BM1" s="581" t="s">
        <v>6570</v>
      </c>
      <c r="BN1" s="581" t="s">
        <v>6571</v>
      </c>
      <c r="BO1" s="581" t="s">
        <v>6572</v>
      </c>
      <c r="BP1" s="581" t="s">
        <v>6562</v>
      </c>
      <c r="BQ1" s="581" t="s">
        <v>6573</v>
      </c>
      <c r="BR1" s="581" t="s">
        <v>6574</v>
      </c>
      <c r="BS1" s="581" t="s">
        <v>6575</v>
      </c>
      <c r="BT1" s="581" t="s">
        <v>6576</v>
      </c>
      <c r="BU1" s="581" t="s">
        <v>6577</v>
      </c>
      <c r="BV1" s="581" t="s">
        <v>6578</v>
      </c>
      <c r="BW1" s="362" t="s">
        <v>6579</v>
      </c>
      <c r="BX1" s="117" t="s">
        <v>7612</v>
      </c>
      <c r="BY1" s="795" t="s">
        <v>7618</v>
      </c>
      <c r="BZ1" s="788" t="s">
        <v>7608</v>
      </c>
      <c r="CA1" s="658" t="s">
        <v>7557</v>
      </c>
      <c r="CB1" s="658" t="s">
        <v>7558</v>
      </c>
      <c r="CC1" s="658" t="s">
        <v>7559</v>
      </c>
      <c r="CD1" s="252" t="s">
        <v>6372</v>
      </c>
      <c r="CE1" s="252" t="s">
        <v>6373</v>
      </c>
      <c r="CF1" s="784" t="s">
        <v>7578</v>
      </c>
      <c r="CG1" s="252" t="s">
        <v>6374</v>
      </c>
      <c r="CH1" s="61" t="s">
        <v>7306</v>
      </c>
      <c r="CI1" s="252" t="s">
        <v>6375</v>
      </c>
      <c r="CJ1" s="252" t="s">
        <v>7396</v>
      </c>
      <c r="CK1" s="252" t="s">
        <v>6376</v>
      </c>
      <c r="CL1" s="252" t="s">
        <v>6637</v>
      </c>
      <c r="CM1" s="585" t="s">
        <v>6588</v>
      </c>
      <c r="CN1" s="585" t="s">
        <v>6635</v>
      </c>
      <c r="CO1" s="825" t="s">
        <v>7714</v>
      </c>
      <c r="CP1" s="825" t="s">
        <v>7770</v>
      </c>
      <c r="CQ1" s="825" t="s">
        <v>7769</v>
      </c>
      <c r="CR1" s="825" t="s">
        <v>7713</v>
      </c>
      <c r="CS1" s="825" t="s">
        <v>8013</v>
      </c>
      <c r="CT1" s="825" t="s">
        <v>7830</v>
      </c>
      <c r="CU1" s="1292" t="s">
        <v>8101</v>
      </c>
      <c r="CV1" s="1292" t="s">
        <v>8105</v>
      </c>
      <c r="CW1" s="1292" t="s">
        <v>8106</v>
      </c>
      <c r="CX1" s="252" t="s">
        <v>6377</v>
      </c>
      <c r="CY1" s="252" t="s">
        <v>6378</v>
      </c>
      <c r="CZ1" s="252" t="s">
        <v>6379</v>
      </c>
      <c r="DA1" s="252" t="s">
        <v>6380</v>
      </c>
      <c r="DB1" s="252" t="s">
        <v>6381</v>
      </c>
      <c r="DC1" s="252" t="s">
        <v>6382</v>
      </c>
      <c r="DD1" s="252" t="s">
        <v>6383</v>
      </c>
      <c r="DE1" s="252" t="s">
        <v>6384</v>
      </c>
      <c r="DF1" s="286" t="s">
        <v>6385</v>
      </c>
      <c r="DG1" s="287" t="s">
        <v>6386</v>
      </c>
      <c r="DH1" s="1274" t="s">
        <v>6387</v>
      </c>
      <c r="DI1" s="1274" t="s">
        <v>6388</v>
      </c>
      <c r="DJ1" s="1274" t="s">
        <v>6389</v>
      </c>
      <c r="DK1" s="1274" t="s">
        <v>6390</v>
      </c>
      <c r="DL1" s="1274" t="s">
        <v>6391</v>
      </c>
      <c r="DM1" s="1275" t="s">
        <v>6392</v>
      </c>
      <c r="DN1" s="1275" t="s">
        <v>6393</v>
      </c>
      <c r="DO1" s="1274" t="s">
        <v>6394</v>
      </c>
      <c r="DP1" s="286" t="s">
        <v>6395</v>
      </c>
      <c r="DQ1" s="287" t="s">
        <v>6396</v>
      </c>
      <c r="DR1" s="274" t="s">
        <v>6397</v>
      </c>
      <c r="DS1" s="275" t="s">
        <v>6398</v>
      </c>
      <c r="DT1" s="1274" t="s">
        <v>6399</v>
      </c>
      <c r="DU1" s="1274" t="s">
        <v>6400</v>
      </c>
      <c r="DV1" s="1274" t="s">
        <v>6401</v>
      </c>
      <c r="DW1" s="1274" t="s">
        <v>6402</v>
      </c>
      <c r="DX1" s="1274" t="s">
        <v>6403</v>
      </c>
      <c r="DY1" s="1274" t="s">
        <v>6404</v>
      </c>
      <c r="DZ1" s="1274" t="s">
        <v>6405</v>
      </c>
      <c r="EA1" s="1274" t="s">
        <v>6406</v>
      </c>
      <c r="EB1" s="298" t="s">
        <v>6407</v>
      </c>
      <c r="EC1" s="299" t="s">
        <v>6408</v>
      </c>
      <c r="ED1" s="1274" t="s">
        <v>6409</v>
      </c>
      <c r="EE1" s="1274" t="s">
        <v>6410</v>
      </c>
      <c r="EF1" s="1274" t="s">
        <v>6411</v>
      </c>
      <c r="EG1" s="1274" t="s">
        <v>6412</v>
      </c>
      <c r="EH1" s="1274" t="s">
        <v>6413</v>
      </c>
      <c r="EI1" s="1274" t="s">
        <v>6414</v>
      </c>
      <c r="EJ1" s="1274" t="s">
        <v>6415</v>
      </c>
      <c r="EK1" s="1274" t="s">
        <v>6416</v>
      </c>
      <c r="EL1" s="298" t="s">
        <v>6417</v>
      </c>
      <c r="EM1" s="299" t="s">
        <v>6418</v>
      </c>
      <c r="EN1" s="274" t="s">
        <v>6419</v>
      </c>
      <c r="EO1" s="275" t="s">
        <v>6420</v>
      </c>
      <c r="EP1" s="1274" t="s">
        <v>6421</v>
      </c>
      <c r="EQ1" s="1274" t="s">
        <v>6422</v>
      </c>
      <c r="ER1" s="1274" t="s">
        <v>6423</v>
      </c>
      <c r="ES1" s="1274" t="s">
        <v>6424</v>
      </c>
      <c r="ET1" s="1274" t="s">
        <v>6425</v>
      </c>
      <c r="EU1" s="1274" t="s">
        <v>6426</v>
      </c>
      <c r="EV1" s="1274" t="s">
        <v>6427</v>
      </c>
      <c r="EW1" s="1274" t="s">
        <v>6428</v>
      </c>
      <c r="EX1" s="299" t="s">
        <v>6429</v>
      </c>
      <c r="EY1" s="299" t="s">
        <v>6430</v>
      </c>
      <c r="EZ1" s="1274" t="s">
        <v>6431</v>
      </c>
      <c r="FA1" s="1274" t="s">
        <v>6432</v>
      </c>
      <c r="FB1" s="1274" t="s">
        <v>6433</v>
      </c>
      <c r="FC1" s="1274" t="s">
        <v>6434</v>
      </c>
      <c r="FD1" s="1274" t="s">
        <v>6435</v>
      </c>
      <c r="FE1" s="1274" t="s">
        <v>6436</v>
      </c>
      <c r="FF1" s="1274" t="s">
        <v>6437</v>
      </c>
      <c r="FG1" s="1274" t="s">
        <v>6438</v>
      </c>
      <c r="FH1" s="299" t="s">
        <v>6439</v>
      </c>
      <c r="FI1" s="299" t="s">
        <v>6440</v>
      </c>
      <c r="FJ1" s="275" t="s">
        <v>6441</v>
      </c>
    </row>
    <row r="2" spans="1:166" ht="15" customHeight="1">
      <c r="A2" s="145" t="s">
        <v>75</v>
      </c>
      <c r="B2" s="614">
        <v>2</v>
      </c>
      <c r="C2" s="614"/>
      <c r="D2" s="614"/>
      <c r="E2" s="605" t="s">
        <v>1919</v>
      </c>
      <c r="F2" s="140" t="s">
        <v>2136</v>
      </c>
      <c r="G2" s="141">
        <v>2015</v>
      </c>
      <c r="H2" s="118">
        <v>25444643</v>
      </c>
      <c r="I2" s="118">
        <v>1</v>
      </c>
      <c r="J2" s="118"/>
      <c r="K2" s="118"/>
      <c r="L2" s="118">
        <v>1</v>
      </c>
      <c r="M2" s="118"/>
      <c r="N2" s="118">
        <v>1</v>
      </c>
      <c r="O2" s="142">
        <v>1</v>
      </c>
      <c r="P2" s="118" t="s">
        <v>11</v>
      </c>
      <c r="Q2" s="118" t="s">
        <v>1142</v>
      </c>
      <c r="R2" s="118" t="s">
        <v>10</v>
      </c>
      <c r="S2" s="118">
        <v>1</v>
      </c>
      <c r="T2" s="118"/>
      <c r="U2" s="118"/>
      <c r="V2" s="118"/>
      <c r="W2" s="118" t="s">
        <v>11</v>
      </c>
      <c r="X2" s="118" t="s">
        <v>12</v>
      </c>
      <c r="Y2" s="118" t="s">
        <v>13</v>
      </c>
      <c r="Z2" s="118"/>
      <c r="AA2" s="118"/>
      <c r="AB2" s="118"/>
      <c r="AC2" s="145"/>
      <c r="AD2" s="573">
        <v>1</v>
      </c>
      <c r="AE2" s="573">
        <v>2</v>
      </c>
      <c r="AF2" s="143">
        <v>1</v>
      </c>
      <c r="AG2" s="144" t="s">
        <v>24</v>
      </c>
      <c r="AH2" s="661">
        <v>0</v>
      </c>
      <c r="AI2" s="145">
        <v>1</v>
      </c>
      <c r="AJ2" s="488"/>
      <c r="AK2" s="200"/>
      <c r="AL2" s="191">
        <v>1</v>
      </c>
      <c r="AM2" s="1593">
        <v>0</v>
      </c>
      <c r="AN2" s="465">
        <v>1014</v>
      </c>
      <c r="AO2" s="465">
        <v>42</v>
      </c>
      <c r="AP2" s="465">
        <v>923</v>
      </c>
      <c r="AQ2" s="465" t="s">
        <v>803</v>
      </c>
      <c r="AR2" s="253" t="s">
        <v>803</v>
      </c>
      <c r="AS2" s="253">
        <v>22.63</v>
      </c>
      <c r="AT2" s="465">
        <v>4.08</v>
      </c>
      <c r="AU2" s="253">
        <v>22.23</v>
      </c>
      <c r="AV2" s="253">
        <v>2.81</v>
      </c>
      <c r="AW2" s="253" t="s">
        <v>1874</v>
      </c>
      <c r="AX2" s="253"/>
      <c r="AY2" s="253"/>
      <c r="AZ2" s="1594" t="s">
        <v>1874</v>
      </c>
      <c r="BA2" s="253" t="s">
        <v>24</v>
      </c>
      <c r="BB2" s="253" t="s">
        <v>24</v>
      </c>
      <c r="BC2" s="253" t="s">
        <v>2423</v>
      </c>
      <c r="BD2" s="1594" t="s">
        <v>7521</v>
      </c>
      <c r="BE2" s="1623">
        <v>0</v>
      </c>
      <c r="BF2" s="253" t="s">
        <v>2605</v>
      </c>
      <c r="BG2" s="253" t="s">
        <v>1875</v>
      </c>
      <c r="BH2" s="592"/>
      <c r="BI2" s="592"/>
      <c r="BJ2" s="147">
        <v>1</v>
      </c>
      <c r="BK2" s="147"/>
      <c r="BL2" s="147"/>
      <c r="BM2" s="147"/>
      <c r="BN2" s="147"/>
      <c r="BO2" s="147"/>
      <c r="BP2" s="147"/>
      <c r="BQ2" s="147"/>
      <c r="BR2" s="147"/>
      <c r="BS2" s="147"/>
      <c r="BT2" s="147"/>
      <c r="BU2" s="147"/>
      <c r="BV2" s="147"/>
      <c r="BW2" s="593" t="s">
        <v>2529</v>
      </c>
      <c r="BX2" s="133" t="s">
        <v>6597</v>
      </c>
      <c r="BY2" s="796" t="s">
        <v>7615</v>
      </c>
      <c r="BZ2" s="792" t="s">
        <v>7609</v>
      </c>
      <c r="CA2" s="783">
        <v>4</v>
      </c>
      <c r="CB2" s="765" t="s">
        <v>7556</v>
      </c>
      <c r="CC2" s="783" t="s">
        <v>7380</v>
      </c>
      <c r="CD2" s="186" t="s">
        <v>7427</v>
      </c>
      <c r="CE2" s="253">
        <v>4</v>
      </c>
      <c r="CF2" s="785"/>
      <c r="CG2" s="636" t="s">
        <v>7382</v>
      </c>
      <c r="CH2" s="760" t="s">
        <v>1488</v>
      </c>
      <c r="CI2" s="253" t="s">
        <v>24</v>
      </c>
      <c r="CJ2" s="253">
        <v>1</v>
      </c>
      <c r="CK2" s="253" t="s">
        <v>2400</v>
      </c>
      <c r="CL2" s="253" t="s">
        <v>6638</v>
      </c>
      <c r="CM2" s="256" t="s">
        <v>2527</v>
      </c>
      <c r="CN2" s="627" t="s">
        <v>6627</v>
      </c>
      <c r="CO2" s="826">
        <v>1</v>
      </c>
      <c r="CP2" s="826">
        <v>1</v>
      </c>
      <c r="CQ2" s="826">
        <v>1</v>
      </c>
      <c r="CR2" s="826">
        <v>1</v>
      </c>
      <c r="CS2" s="826">
        <v>-1</v>
      </c>
      <c r="CT2" s="965"/>
      <c r="CU2" s="1288" t="s">
        <v>8103</v>
      </c>
      <c r="CV2" s="1294">
        <v>5</v>
      </c>
      <c r="CW2" s="1294">
        <v>2</v>
      </c>
      <c r="CX2" s="431" t="s">
        <v>2436</v>
      </c>
      <c r="CY2" s="150">
        <v>57.61</v>
      </c>
      <c r="CZ2" s="150">
        <v>8.6300000000000008</v>
      </c>
      <c r="DA2" s="150" t="s">
        <v>24</v>
      </c>
      <c r="DB2" s="431" t="s">
        <v>2434</v>
      </c>
      <c r="DC2" s="450">
        <v>52.29</v>
      </c>
      <c r="DD2" s="150">
        <v>1.66</v>
      </c>
      <c r="DE2" s="150" t="s">
        <v>24</v>
      </c>
      <c r="DF2" s="294" t="s">
        <v>24</v>
      </c>
      <c r="DG2" s="295" t="s">
        <v>24</v>
      </c>
      <c r="DH2" s="1179"/>
      <c r="DI2" s="1169"/>
      <c r="DJ2" s="1169"/>
      <c r="DK2" s="1169"/>
      <c r="DL2" s="1205"/>
      <c r="DM2" s="1164"/>
      <c r="DN2" s="1164"/>
      <c r="DO2" s="1164"/>
      <c r="DP2" s="290"/>
      <c r="DQ2" s="291"/>
      <c r="DR2" s="1168"/>
      <c r="DS2" s="865"/>
      <c r="DT2" s="1171"/>
      <c r="DU2" s="1169"/>
      <c r="DV2" s="1169"/>
      <c r="DW2" s="1169"/>
      <c r="DX2" s="1169"/>
      <c r="DY2" s="1169"/>
      <c r="DZ2" s="1169"/>
      <c r="EA2" s="1169"/>
      <c r="EB2" s="304"/>
      <c r="EC2" s="312"/>
      <c r="ED2" s="1205"/>
      <c r="EE2" s="1164"/>
      <c r="EF2" s="1164"/>
      <c r="EG2" s="1164"/>
      <c r="EH2" s="1205"/>
      <c r="EI2" s="1164"/>
      <c r="EJ2" s="1164"/>
      <c r="EK2" s="1164"/>
      <c r="EL2" s="311"/>
      <c r="EM2" s="313"/>
      <c r="EN2" s="1167"/>
      <c r="EO2" s="1165"/>
      <c r="EP2" s="1164"/>
      <c r="EQ2" s="1164"/>
      <c r="ER2" s="1164"/>
      <c r="ES2" s="1164"/>
      <c r="ET2" s="1166"/>
      <c r="EU2" s="1164"/>
      <c r="EV2" s="1164"/>
      <c r="EW2" s="1164"/>
      <c r="EX2" s="313"/>
      <c r="EY2" s="313"/>
      <c r="EZ2" s="1166"/>
      <c r="FA2" s="1164"/>
      <c r="FB2" s="1164"/>
      <c r="FC2" s="1164"/>
      <c r="FD2" s="1166"/>
      <c r="FE2" s="1164"/>
      <c r="FF2" s="1164"/>
      <c r="FG2" s="1164"/>
      <c r="FH2" s="313"/>
      <c r="FI2" s="313"/>
      <c r="FJ2" s="1165"/>
    </row>
    <row r="3" spans="1:166" ht="15" customHeight="1">
      <c r="A3" s="145" t="s">
        <v>75</v>
      </c>
      <c r="B3" s="614">
        <v>2</v>
      </c>
      <c r="C3" s="614"/>
      <c r="D3" s="614"/>
      <c r="E3" s="605" t="s">
        <v>1919</v>
      </c>
      <c r="F3" s="140" t="s">
        <v>2136</v>
      </c>
      <c r="G3" s="141">
        <v>2015</v>
      </c>
      <c r="H3" s="118">
        <v>25444643</v>
      </c>
      <c r="I3" s="118">
        <v>1</v>
      </c>
      <c r="J3" s="118"/>
      <c r="K3" s="118"/>
      <c r="L3" s="118">
        <v>1</v>
      </c>
      <c r="M3" s="118"/>
      <c r="N3" s="118">
        <v>1</v>
      </c>
      <c r="O3" s="142">
        <v>1</v>
      </c>
      <c r="P3" s="118" t="s">
        <v>11</v>
      </c>
      <c r="Q3" s="118" t="s">
        <v>1142</v>
      </c>
      <c r="R3" s="118" t="s">
        <v>10</v>
      </c>
      <c r="S3" s="118">
        <v>1</v>
      </c>
      <c r="T3" s="118"/>
      <c r="U3" s="118"/>
      <c r="V3" s="118"/>
      <c r="W3" s="118" t="s">
        <v>11</v>
      </c>
      <c r="X3" s="118" t="s">
        <v>12</v>
      </c>
      <c r="Y3" s="118" t="s">
        <v>13</v>
      </c>
      <c r="Z3" s="118"/>
      <c r="AA3" s="118"/>
      <c r="AB3" s="118"/>
      <c r="AC3" s="145"/>
      <c r="AD3" s="573">
        <v>1</v>
      </c>
      <c r="AE3" s="573">
        <v>2</v>
      </c>
      <c r="AF3" s="143">
        <v>1</v>
      </c>
      <c r="AG3" s="144" t="s">
        <v>24</v>
      </c>
      <c r="AH3" s="661">
        <v>0</v>
      </c>
      <c r="AI3" s="145">
        <v>1</v>
      </c>
      <c r="AJ3" s="488"/>
      <c r="AK3" s="200"/>
      <c r="AL3" s="191">
        <v>1</v>
      </c>
      <c r="AM3" s="1593">
        <v>0</v>
      </c>
      <c r="AN3" s="465">
        <v>1014</v>
      </c>
      <c r="AO3" s="465">
        <v>42</v>
      </c>
      <c r="AP3" s="465">
        <v>923</v>
      </c>
      <c r="AQ3" s="465" t="s">
        <v>803</v>
      </c>
      <c r="AR3" s="253" t="s">
        <v>803</v>
      </c>
      <c r="AS3" s="253">
        <v>22.63</v>
      </c>
      <c r="AT3" s="465">
        <v>4.08</v>
      </c>
      <c r="AU3" s="253">
        <v>22.23</v>
      </c>
      <c r="AV3" s="253">
        <v>2.81</v>
      </c>
      <c r="AW3" s="253" t="s">
        <v>1874</v>
      </c>
      <c r="AX3" s="253"/>
      <c r="AY3" s="253"/>
      <c r="AZ3" s="1594" t="s">
        <v>1874</v>
      </c>
      <c r="BA3" s="253" t="s">
        <v>24</v>
      </c>
      <c r="BB3" s="253" t="s">
        <v>24</v>
      </c>
      <c r="BC3" s="253" t="s">
        <v>2423</v>
      </c>
      <c r="BD3" s="1594" t="s">
        <v>7521</v>
      </c>
      <c r="BE3" s="1623">
        <v>0</v>
      </c>
      <c r="BF3" s="253" t="s">
        <v>2605</v>
      </c>
      <c r="BG3" s="253" t="s">
        <v>1875</v>
      </c>
      <c r="BH3" s="592"/>
      <c r="BI3" s="592"/>
      <c r="BJ3" s="147">
        <v>1</v>
      </c>
      <c r="BK3" s="147"/>
      <c r="BL3" s="147"/>
      <c r="BM3" s="147"/>
      <c r="BN3" s="147"/>
      <c r="BO3" s="147"/>
      <c r="BP3" s="147"/>
      <c r="BQ3" s="147"/>
      <c r="BR3" s="147"/>
      <c r="BS3" s="147"/>
      <c r="BT3" s="147"/>
      <c r="BU3" s="147"/>
      <c r="BV3" s="147"/>
      <c r="BW3" s="593" t="s">
        <v>2529</v>
      </c>
      <c r="BX3" s="133" t="s">
        <v>6597</v>
      </c>
      <c r="BY3" s="796" t="s">
        <v>7615</v>
      </c>
      <c r="BZ3" s="792" t="s">
        <v>7609</v>
      </c>
      <c r="CA3" s="783">
        <v>4</v>
      </c>
      <c r="CB3" s="765" t="s">
        <v>7556</v>
      </c>
      <c r="CC3" s="783" t="s">
        <v>7380</v>
      </c>
      <c r="CD3" s="186" t="s">
        <v>7427</v>
      </c>
      <c r="CE3" s="253">
        <v>4</v>
      </c>
      <c r="CF3" s="785"/>
      <c r="CG3" s="636" t="s">
        <v>7382</v>
      </c>
      <c r="CH3" s="760" t="s">
        <v>1488</v>
      </c>
      <c r="CI3" s="253" t="s">
        <v>24</v>
      </c>
      <c r="CJ3" s="253">
        <v>1</v>
      </c>
      <c r="CK3" s="253" t="s">
        <v>2400</v>
      </c>
      <c r="CL3" s="253" t="s">
        <v>6638</v>
      </c>
      <c r="CM3" s="256" t="s">
        <v>2527</v>
      </c>
      <c r="CN3" s="627" t="s">
        <v>6627</v>
      </c>
      <c r="CO3" s="826">
        <v>1</v>
      </c>
      <c r="CP3" s="826">
        <v>1</v>
      </c>
      <c r="CQ3" s="826">
        <v>2</v>
      </c>
      <c r="CR3" s="826">
        <v>1</v>
      </c>
      <c r="CS3" s="826">
        <v>-1</v>
      </c>
      <c r="CT3" s="965"/>
      <c r="CU3" s="1288" t="s">
        <v>8103</v>
      </c>
      <c r="CV3" s="1294">
        <v>5</v>
      </c>
      <c r="CW3" s="1294">
        <v>2</v>
      </c>
      <c r="CX3" s="431" t="s">
        <v>2440</v>
      </c>
      <c r="CY3" s="150">
        <v>42.75</v>
      </c>
      <c r="CZ3" s="150">
        <v>7.16</v>
      </c>
      <c r="DA3" s="150" t="s">
        <v>24</v>
      </c>
      <c r="DB3" s="431" t="s">
        <v>2438</v>
      </c>
      <c r="DC3" s="150">
        <v>30.46</v>
      </c>
      <c r="DD3" s="150">
        <v>1.47</v>
      </c>
      <c r="DE3" s="150" t="s">
        <v>24</v>
      </c>
      <c r="DF3" s="294" t="s">
        <v>24</v>
      </c>
      <c r="DG3" s="295" t="s">
        <v>24</v>
      </c>
      <c r="DH3" s="1179"/>
      <c r="DI3" s="417"/>
      <c r="DJ3" s="1169"/>
      <c r="DK3" s="417"/>
      <c r="DL3" s="1169"/>
      <c r="DM3" s="417"/>
      <c r="DN3" s="1169"/>
      <c r="DO3" s="1151"/>
      <c r="DP3" s="288"/>
      <c r="DQ3" s="441"/>
      <c r="DR3" s="864"/>
      <c r="DS3" s="865"/>
      <c r="DT3" s="1205"/>
      <c r="DU3" s="1164"/>
      <c r="DV3" s="1164"/>
      <c r="DW3" s="1164"/>
      <c r="DX3" s="1205"/>
      <c r="DY3" s="1164"/>
      <c r="DZ3" s="1164"/>
      <c r="EA3" s="1164"/>
      <c r="EB3" s="311"/>
      <c r="EC3" s="313"/>
      <c r="ED3" s="1205"/>
      <c r="EE3" s="1164"/>
      <c r="EF3" s="1164"/>
      <c r="EG3" s="1164"/>
      <c r="EH3" s="1205"/>
      <c r="EI3" s="1164"/>
      <c r="EJ3" s="1164"/>
      <c r="EK3" s="1164"/>
      <c r="EL3" s="311"/>
      <c r="EM3" s="313"/>
      <c r="EN3" s="1167"/>
      <c r="EO3" s="1165"/>
      <c r="EP3" s="1164"/>
      <c r="EQ3" s="1164"/>
      <c r="ER3" s="1164"/>
      <c r="ES3" s="1164"/>
      <c r="ET3" s="1166"/>
      <c r="EU3" s="1164"/>
      <c r="EV3" s="1164"/>
      <c r="EW3" s="1164"/>
      <c r="EX3" s="313"/>
      <c r="EY3" s="313"/>
      <c r="EZ3" s="1166"/>
      <c r="FA3" s="1164"/>
      <c r="FB3" s="1164"/>
      <c r="FC3" s="1164"/>
      <c r="FD3" s="1166"/>
      <c r="FE3" s="1164"/>
      <c r="FF3" s="1164"/>
      <c r="FG3" s="1164"/>
      <c r="FH3" s="313"/>
      <c r="FI3" s="313"/>
      <c r="FJ3" s="1165"/>
    </row>
    <row r="4" spans="1:166" ht="15" customHeight="1">
      <c r="A4" s="145" t="s">
        <v>75</v>
      </c>
      <c r="B4" s="614">
        <v>2</v>
      </c>
      <c r="C4" s="614"/>
      <c r="D4" s="614"/>
      <c r="E4" s="605" t="s">
        <v>1919</v>
      </c>
      <c r="F4" s="140" t="s">
        <v>2136</v>
      </c>
      <c r="G4" s="141">
        <v>2015</v>
      </c>
      <c r="H4" s="118">
        <v>25444643</v>
      </c>
      <c r="I4" s="118">
        <v>1</v>
      </c>
      <c r="J4" s="118"/>
      <c r="K4" s="118"/>
      <c r="L4" s="118">
        <v>1</v>
      </c>
      <c r="M4" s="118"/>
      <c r="N4" s="118">
        <v>1</v>
      </c>
      <c r="O4" s="142">
        <v>1</v>
      </c>
      <c r="P4" s="118" t="s">
        <v>11</v>
      </c>
      <c r="Q4" s="118" t="s">
        <v>1142</v>
      </c>
      <c r="R4" s="118" t="s">
        <v>10</v>
      </c>
      <c r="S4" s="118">
        <v>1</v>
      </c>
      <c r="T4" s="118"/>
      <c r="U4" s="118"/>
      <c r="V4" s="118"/>
      <c r="W4" s="118" t="s">
        <v>11</v>
      </c>
      <c r="X4" s="118" t="s">
        <v>12</v>
      </c>
      <c r="Y4" s="118" t="s">
        <v>13</v>
      </c>
      <c r="Z4" s="118"/>
      <c r="AA4" s="118"/>
      <c r="AB4" s="118"/>
      <c r="AC4" s="145"/>
      <c r="AD4" s="573">
        <v>1</v>
      </c>
      <c r="AE4" s="573">
        <v>2</v>
      </c>
      <c r="AF4" s="143">
        <v>1</v>
      </c>
      <c r="AG4" s="144" t="s">
        <v>24</v>
      </c>
      <c r="AH4" s="661">
        <v>0</v>
      </c>
      <c r="AI4" s="145">
        <v>1</v>
      </c>
      <c r="AJ4" s="488"/>
      <c r="AK4" s="200"/>
      <c r="AL4" s="191">
        <v>1</v>
      </c>
      <c r="AM4" s="1593">
        <v>0</v>
      </c>
      <c r="AN4" s="465">
        <v>1014</v>
      </c>
      <c r="AO4" s="465">
        <v>42</v>
      </c>
      <c r="AP4" s="465">
        <v>923</v>
      </c>
      <c r="AQ4" s="465" t="s">
        <v>803</v>
      </c>
      <c r="AR4" s="253" t="s">
        <v>803</v>
      </c>
      <c r="AS4" s="253">
        <v>22.63</v>
      </c>
      <c r="AT4" s="465">
        <v>4.08</v>
      </c>
      <c r="AU4" s="253">
        <v>22.23</v>
      </c>
      <c r="AV4" s="253">
        <v>2.81</v>
      </c>
      <c r="AW4" s="253" t="s">
        <v>1874</v>
      </c>
      <c r="AX4" s="253"/>
      <c r="AY4" s="253"/>
      <c r="AZ4" s="1594" t="s">
        <v>1874</v>
      </c>
      <c r="BA4" s="253" t="s">
        <v>24</v>
      </c>
      <c r="BB4" s="253" t="s">
        <v>24</v>
      </c>
      <c r="BC4" s="253" t="s">
        <v>2423</v>
      </c>
      <c r="BD4" s="1594" t="s">
        <v>7521</v>
      </c>
      <c r="BE4" s="1623">
        <v>0</v>
      </c>
      <c r="BF4" s="253" t="s">
        <v>2605</v>
      </c>
      <c r="BG4" s="253" t="s">
        <v>1875</v>
      </c>
      <c r="BH4" s="592"/>
      <c r="BI4" s="592"/>
      <c r="BJ4" s="147">
        <v>1</v>
      </c>
      <c r="BK4" s="147"/>
      <c r="BL4" s="147"/>
      <c r="BM4" s="147"/>
      <c r="BN4" s="147"/>
      <c r="BO4" s="147"/>
      <c r="BP4" s="147"/>
      <c r="BQ4" s="147"/>
      <c r="BR4" s="147"/>
      <c r="BS4" s="147"/>
      <c r="BT4" s="147"/>
      <c r="BU4" s="147"/>
      <c r="BV4" s="147"/>
      <c r="BW4" s="593" t="s">
        <v>2529</v>
      </c>
      <c r="BX4" s="133" t="s">
        <v>6597</v>
      </c>
      <c r="BY4" s="796" t="s">
        <v>7615</v>
      </c>
      <c r="BZ4" s="792" t="s">
        <v>7609</v>
      </c>
      <c r="CA4" s="783">
        <v>4</v>
      </c>
      <c r="CB4" s="765" t="s">
        <v>7556</v>
      </c>
      <c r="CC4" s="783" t="s">
        <v>7380</v>
      </c>
      <c r="CD4" s="186" t="s">
        <v>7427</v>
      </c>
      <c r="CE4" s="253">
        <v>4</v>
      </c>
      <c r="CF4" s="785"/>
      <c r="CG4" s="636" t="s">
        <v>7382</v>
      </c>
      <c r="CH4" s="760" t="s">
        <v>1488</v>
      </c>
      <c r="CI4" s="253" t="s">
        <v>24</v>
      </c>
      <c r="CJ4" s="253">
        <v>1</v>
      </c>
      <c r="CK4" s="253" t="s">
        <v>2400</v>
      </c>
      <c r="CL4" s="253" t="s">
        <v>6638</v>
      </c>
      <c r="CM4" s="256" t="s">
        <v>2527</v>
      </c>
      <c r="CN4" s="627" t="s">
        <v>6627</v>
      </c>
      <c r="CO4" s="826">
        <v>1</v>
      </c>
      <c r="CP4" s="826">
        <v>1</v>
      </c>
      <c r="CQ4" s="826">
        <v>3</v>
      </c>
      <c r="CR4" s="826">
        <v>1</v>
      </c>
      <c r="CS4" s="826">
        <v>-1</v>
      </c>
      <c r="CT4" s="965"/>
      <c r="CU4" s="1288" t="s">
        <v>8103</v>
      </c>
      <c r="CV4" s="1294">
        <v>5</v>
      </c>
      <c r="CW4" s="1294">
        <v>2</v>
      </c>
      <c r="CX4" s="431" t="s">
        <v>2442</v>
      </c>
      <c r="CY4" s="150">
        <v>43.3</v>
      </c>
      <c r="CZ4" s="150">
        <v>6.79</v>
      </c>
      <c r="DA4" s="150" t="s">
        <v>24</v>
      </c>
      <c r="DB4" s="431" t="s">
        <v>2441</v>
      </c>
      <c r="DC4" s="150">
        <v>19.63</v>
      </c>
      <c r="DD4" s="150">
        <v>1.47</v>
      </c>
      <c r="DE4" s="150" t="s">
        <v>24</v>
      </c>
      <c r="DF4" s="305" t="s">
        <v>2541</v>
      </c>
      <c r="DG4" s="315" t="s">
        <v>2415</v>
      </c>
      <c r="DH4" s="1179"/>
      <c r="DI4" s="417"/>
      <c r="DJ4" s="1169"/>
      <c r="DK4" s="417"/>
      <c r="DL4" s="1205"/>
      <c r="DM4" s="1164"/>
      <c r="DN4" s="1164"/>
      <c r="DO4" s="1164"/>
      <c r="DP4" s="290"/>
      <c r="DQ4" s="291"/>
      <c r="DR4" s="1168"/>
      <c r="DS4" s="865"/>
      <c r="DT4" s="1205"/>
      <c r="DU4" s="1164"/>
      <c r="DV4" s="1164"/>
      <c r="DW4" s="1164"/>
      <c r="DX4" s="1205"/>
      <c r="DY4" s="1164"/>
      <c r="DZ4" s="1164"/>
      <c r="EA4" s="1164"/>
      <c r="EB4" s="311"/>
      <c r="EC4" s="313"/>
      <c r="ED4" s="1205"/>
      <c r="EE4" s="1164"/>
      <c r="EF4" s="1164"/>
      <c r="EG4" s="1164"/>
      <c r="EH4" s="1205"/>
      <c r="EI4" s="1164"/>
      <c r="EJ4" s="1164"/>
      <c r="EK4" s="1164"/>
      <c r="EL4" s="311"/>
      <c r="EM4" s="313"/>
      <c r="EN4" s="1167"/>
      <c r="EO4" s="1165"/>
      <c r="EP4" s="1164"/>
      <c r="EQ4" s="1164"/>
      <c r="ER4" s="1164"/>
      <c r="ES4" s="1164"/>
      <c r="ET4" s="1166"/>
      <c r="EU4" s="1164"/>
      <c r="EV4" s="1164"/>
      <c r="EW4" s="1164"/>
      <c r="EX4" s="313"/>
      <c r="EY4" s="313"/>
      <c r="EZ4" s="1166"/>
      <c r="FA4" s="1164"/>
      <c r="FB4" s="1164"/>
      <c r="FC4" s="1164"/>
      <c r="FD4" s="1166"/>
      <c r="FE4" s="1164"/>
      <c r="FF4" s="1164"/>
      <c r="FG4" s="1164"/>
      <c r="FH4" s="313"/>
      <c r="FI4" s="313"/>
      <c r="FJ4" s="1165"/>
    </row>
    <row r="5" spans="1:166" ht="15" customHeight="1">
      <c r="A5" s="145" t="s">
        <v>75</v>
      </c>
      <c r="B5" s="614">
        <v>2</v>
      </c>
      <c r="C5" s="614"/>
      <c r="D5" s="614"/>
      <c r="E5" s="605" t="s">
        <v>1919</v>
      </c>
      <c r="F5" s="140" t="s">
        <v>2136</v>
      </c>
      <c r="G5" s="141">
        <v>2015</v>
      </c>
      <c r="H5" s="118">
        <v>25444643</v>
      </c>
      <c r="I5" s="118">
        <v>1</v>
      </c>
      <c r="J5" s="118"/>
      <c r="K5" s="118"/>
      <c r="L5" s="118">
        <v>1</v>
      </c>
      <c r="M5" s="118"/>
      <c r="N5" s="118">
        <v>1</v>
      </c>
      <c r="O5" s="142">
        <v>1</v>
      </c>
      <c r="P5" s="118" t="s">
        <v>11</v>
      </c>
      <c r="Q5" s="118" t="s">
        <v>1142</v>
      </c>
      <c r="R5" s="118" t="s">
        <v>10</v>
      </c>
      <c r="S5" s="118">
        <v>1</v>
      </c>
      <c r="T5" s="118"/>
      <c r="U5" s="118"/>
      <c r="V5" s="118"/>
      <c r="W5" s="118" t="s">
        <v>11</v>
      </c>
      <c r="X5" s="118" t="s">
        <v>12</v>
      </c>
      <c r="Y5" s="118" t="s">
        <v>13</v>
      </c>
      <c r="Z5" s="118"/>
      <c r="AA5" s="118"/>
      <c r="AB5" s="118"/>
      <c r="AC5" s="145"/>
      <c r="AD5" s="573">
        <v>1</v>
      </c>
      <c r="AE5" s="573">
        <v>2</v>
      </c>
      <c r="AF5" s="143">
        <v>1</v>
      </c>
      <c r="AG5" s="144" t="s">
        <v>24</v>
      </c>
      <c r="AH5" s="661">
        <v>0</v>
      </c>
      <c r="AI5" s="145">
        <v>1</v>
      </c>
      <c r="AJ5" s="488"/>
      <c r="AK5" s="200"/>
      <c r="AL5" s="191">
        <v>1</v>
      </c>
      <c r="AM5" s="1593">
        <v>0</v>
      </c>
      <c r="AN5" s="465">
        <v>1014</v>
      </c>
      <c r="AO5" s="465">
        <v>42</v>
      </c>
      <c r="AP5" s="465">
        <v>923</v>
      </c>
      <c r="AQ5" s="465" t="s">
        <v>803</v>
      </c>
      <c r="AR5" s="253" t="s">
        <v>803</v>
      </c>
      <c r="AS5" s="253">
        <v>22.63</v>
      </c>
      <c r="AT5" s="465">
        <v>4.08</v>
      </c>
      <c r="AU5" s="253">
        <v>22.23</v>
      </c>
      <c r="AV5" s="253">
        <v>2.81</v>
      </c>
      <c r="AW5" s="253" t="s">
        <v>1874</v>
      </c>
      <c r="AX5" s="253"/>
      <c r="AY5" s="253"/>
      <c r="AZ5" s="1594" t="s">
        <v>1874</v>
      </c>
      <c r="BA5" s="253" t="s">
        <v>24</v>
      </c>
      <c r="BB5" s="253" t="s">
        <v>24</v>
      </c>
      <c r="BC5" s="253" t="s">
        <v>2423</v>
      </c>
      <c r="BD5" s="1594" t="s">
        <v>7521</v>
      </c>
      <c r="BE5" s="1623">
        <v>0</v>
      </c>
      <c r="BF5" s="253" t="s">
        <v>2605</v>
      </c>
      <c r="BG5" s="253" t="s">
        <v>1875</v>
      </c>
      <c r="BH5" s="592"/>
      <c r="BI5" s="592"/>
      <c r="BJ5" s="147">
        <v>1</v>
      </c>
      <c r="BK5" s="147"/>
      <c r="BL5" s="147"/>
      <c r="BM5" s="147"/>
      <c r="BN5" s="147"/>
      <c r="BO5" s="147"/>
      <c r="BP5" s="147"/>
      <c r="BQ5" s="147"/>
      <c r="BR5" s="147"/>
      <c r="BS5" s="147"/>
      <c r="BT5" s="147"/>
      <c r="BU5" s="147"/>
      <c r="BV5" s="147"/>
      <c r="BW5" s="593" t="s">
        <v>2529</v>
      </c>
      <c r="BX5" s="133" t="s">
        <v>6597</v>
      </c>
      <c r="BY5" s="796" t="s">
        <v>7615</v>
      </c>
      <c r="BZ5" s="792" t="s">
        <v>7609</v>
      </c>
      <c r="CA5" s="783">
        <v>4</v>
      </c>
      <c r="CB5" s="765" t="s">
        <v>7556</v>
      </c>
      <c r="CC5" s="783" t="s">
        <v>7380</v>
      </c>
      <c r="CD5" s="186" t="s">
        <v>7427</v>
      </c>
      <c r="CE5" s="253">
        <v>4</v>
      </c>
      <c r="CF5" s="785"/>
      <c r="CG5" s="636" t="s">
        <v>7382</v>
      </c>
      <c r="CH5" s="760" t="s">
        <v>1488</v>
      </c>
      <c r="CI5" s="253" t="s">
        <v>24</v>
      </c>
      <c r="CJ5" s="253">
        <v>1</v>
      </c>
      <c r="CK5" s="253" t="s">
        <v>2400</v>
      </c>
      <c r="CL5" s="253" t="s">
        <v>6638</v>
      </c>
      <c r="CM5" s="256" t="s">
        <v>2527</v>
      </c>
      <c r="CN5" s="627" t="s">
        <v>6627</v>
      </c>
      <c r="CO5" s="826">
        <v>1</v>
      </c>
      <c r="CP5" s="826">
        <v>1</v>
      </c>
      <c r="CQ5" s="826">
        <v>4</v>
      </c>
      <c r="CR5" s="826">
        <v>1</v>
      </c>
      <c r="CS5" s="826">
        <v>-1</v>
      </c>
      <c r="CT5" s="965"/>
      <c r="CU5" s="1288" t="s">
        <v>8103</v>
      </c>
      <c r="CV5" s="1294">
        <v>5</v>
      </c>
      <c r="CW5" s="1294">
        <v>2</v>
      </c>
      <c r="CX5" s="149" t="s">
        <v>2444</v>
      </c>
      <c r="CY5" s="150">
        <v>29.36</v>
      </c>
      <c r="CZ5" s="150">
        <v>6.6</v>
      </c>
      <c r="DA5" s="150" t="s">
        <v>24</v>
      </c>
      <c r="DB5" s="149" t="s">
        <v>2443</v>
      </c>
      <c r="DC5" s="150">
        <v>13.95</v>
      </c>
      <c r="DD5" s="150">
        <v>1.28</v>
      </c>
      <c r="DE5" s="150" t="s">
        <v>24</v>
      </c>
      <c r="DF5" s="305" t="s">
        <v>7712</v>
      </c>
      <c r="DG5" s="315" t="s">
        <v>2415</v>
      </c>
      <c r="DH5" s="1179"/>
      <c r="DI5" s="417"/>
      <c r="DJ5" s="1169"/>
      <c r="DK5" s="417"/>
      <c r="DL5" s="1205"/>
      <c r="DM5" s="1164"/>
      <c r="DN5" s="1164"/>
      <c r="DO5" s="1164"/>
      <c r="DP5" s="290"/>
      <c r="DQ5" s="291"/>
      <c r="DR5" s="1168"/>
      <c r="DS5" s="865"/>
      <c r="DT5" s="1205"/>
      <c r="DU5" s="1164"/>
      <c r="DV5" s="1164"/>
      <c r="DW5" s="1164"/>
      <c r="DX5" s="1205"/>
      <c r="DY5" s="1164"/>
      <c r="DZ5" s="1164"/>
      <c r="EA5" s="1164"/>
      <c r="EB5" s="311"/>
      <c r="EC5" s="313"/>
      <c r="ED5" s="1205"/>
      <c r="EE5" s="1164"/>
      <c r="EF5" s="1164"/>
      <c r="EG5" s="1164"/>
      <c r="EH5" s="1205"/>
      <c r="EI5" s="1164"/>
      <c r="EJ5" s="1164"/>
      <c r="EK5" s="1164"/>
      <c r="EL5" s="311"/>
      <c r="EM5" s="313"/>
      <c r="EN5" s="1167"/>
      <c r="EO5" s="1165"/>
      <c r="EP5" s="1164"/>
      <c r="EQ5" s="1164"/>
      <c r="ER5" s="1164"/>
      <c r="ES5" s="1164"/>
      <c r="ET5" s="1166"/>
      <c r="EU5" s="1164"/>
      <c r="EV5" s="1164"/>
      <c r="EW5" s="1164"/>
      <c r="EX5" s="313"/>
      <c r="EY5" s="313"/>
      <c r="EZ5" s="1166"/>
      <c r="FA5" s="1164"/>
      <c r="FB5" s="1164"/>
      <c r="FC5" s="1164"/>
      <c r="FD5" s="1166"/>
      <c r="FE5" s="1164"/>
      <c r="FF5" s="1164"/>
      <c r="FG5" s="1164"/>
      <c r="FH5" s="313"/>
      <c r="FI5" s="313"/>
      <c r="FJ5" s="1165"/>
    </row>
    <row r="6" spans="1:166" s="229" customFormat="1" ht="15" customHeight="1">
      <c r="A6" s="118" t="s">
        <v>1083</v>
      </c>
      <c r="B6" s="614">
        <v>13</v>
      </c>
      <c r="C6" s="614"/>
      <c r="D6" s="614"/>
      <c r="E6" s="605" t="s">
        <v>2060</v>
      </c>
      <c r="F6" s="140" t="s">
        <v>2312</v>
      </c>
      <c r="G6" s="141">
        <v>2012</v>
      </c>
      <c r="H6" s="118">
        <v>21925525</v>
      </c>
      <c r="I6" s="118">
        <v>1</v>
      </c>
      <c r="J6" s="118" t="s">
        <v>1831</v>
      </c>
      <c r="K6" s="118"/>
      <c r="L6" s="118">
        <v>0</v>
      </c>
      <c r="M6" s="118"/>
      <c r="N6" s="158">
        <v>0</v>
      </c>
      <c r="O6" s="142">
        <v>2</v>
      </c>
      <c r="P6" s="118" t="s">
        <v>1273</v>
      </c>
      <c r="Q6" s="118" t="s">
        <v>1212</v>
      </c>
      <c r="R6" s="118" t="s">
        <v>1127</v>
      </c>
      <c r="S6" s="118"/>
      <c r="T6" s="118" t="s">
        <v>1829</v>
      </c>
      <c r="U6" s="118"/>
      <c r="V6" s="118"/>
      <c r="W6" s="118" t="s">
        <v>1830</v>
      </c>
      <c r="X6" s="118"/>
      <c r="Y6" s="118"/>
      <c r="Z6" s="118"/>
      <c r="AA6" s="118"/>
      <c r="AB6" s="118" t="s">
        <v>1488</v>
      </c>
      <c r="AC6" s="145"/>
      <c r="AD6" s="573">
        <v>1</v>
      </c>
      <c r="AE6" s="573">
        <v>2</v>
      </c>
      <c r="AF6" s="159">
        <v>1</v>
      </c>
      <c r="AG6" s="160" t="s">
        <v>7665</v>
      </c>
      <c r="AH6" s="704">
        <v>0</v>
      </c>
      <c r="AI6" s="122">
        <v>4</v>
      </c>
      <c r="AJ6" s="485"/>
      <c r="AK6" s="204" t="s">
        <v>2774</v>
      </c>
      <c r="AL6" s="192">
        <v>1</v>
      </c>
      <c r="AM6" s="227">
        <v>0</v>
      </c>
      <c r="AN6" s="150">
        <f>8+8+8</f>
        <v>24</v>
      </c>
      <c r="AO6" s="150">
        <v>8</v>
      </c>
      <c r="AP6" s="150">
        <v>8</v>
      </c>
      <c r="AQ6" s="150" t="s">
        <v>803</v>
      </c>
      <c r="AR6" s="150" t="s">
        <v>803</v>
      </c>
      <c r="AS6" s="150" t="s">
        <v>7502</v>
      </c>
      <c r="AT6" s="150" t="s">
        <v>24</v>
      </c>
      <c r="AU6" s="150" t="s">
        <v>7502</v>
      </c>
      <c r="AV6" s="150" t="s">
        <v>24</v>
      </c>
      <c r="AW6" s="150" t="s">
        <v>7666</v>
      </c>
      <c r="AX6" s="150">
        <v>10</v>
      </c>
      <c r="AY6" s="150">
        <v>0.8</v>
      </c>
      <c r="AZ6" s="753" t="s">
        <v>1814</v>
      </c>
      <c r="BA6" s="150">
        <v>1</v>
      </c>
      <c r="BB6" s="150" t="s">
        <v>3322</v>
      </c>
      <c r="BC6" s="150" t="s">
        <v>7536</v>
      </c>
      <c r="BD6" s="753" t="s">
        <v>7523</v>
      </c>
      <c r="BE6" s="753"/>
      <c r="BF6" s="150" t="s">
        <v>2730</v>
      </c>
      <c r="BG6" s="150" t="s">
        <v>2733</v>
      </c>
      <c r="BH6" s="588"/>
      <c r="BI6" s="588"/>
      <c r="BJ6" s="161">
        <v>1</v>
      </c>
      <c r="BK6" s="161"/>
      <c r="BL6" s="161"/>
      <c r="BM6" s="161"/>
      <c r="BN6" s="161"/>
      <c r="BO6" s="161"/>
      <c r="BP6" s="161"/>
      <c r="BQ6" s="161"/>
      <c r="BR6" s="161"/>
      <c r="BS6" s="161"/>
      <c r="BT6" s="161"/>
      <c r="BU6" s="161"/>
      <c r="BV6" s="161"/>
      <c r="BW6" s="596" t="s">
        <v>2775</v>
      </c>
      <c r="BX6" s="162" t="s">
        <v>6597</v>
      </c>
      <c r="BY6" s="797" t="s">
        <v>7615</v>
      </c>
      <c r="BZ6" s="790" t="s">
        <v>7609</v>
      </c>
      <c r="CA6" s="765">
        <v>4</v>
      </c>
      <c r="CB6" s="765" t="s">
        <v>7556</v>
      </c>
      <c r="CC6" s="765" t="s">
        <v>7380</v>
      </c>
      <c r="CD6" s="150" t="s">
        <v>1876</v>
      </c>
      <c r="CE6" s="150">
        <v>3</v>
      </c>
      <c r="CF6" s="400"/>
      <c r="CG6" s="150" t="s">
        <v>7461</v>
      </c>
      <c r="CH6" s="753" t="s">
        <v>1488</v>
      </c>
      <c r="CI6" s="150" t="s">
        <v>2471</v>
      </c>
      <c r="CJ6" s="150"/>
      <c r="CK6" s="150" t="s">
        <v>2659</v>
      </c>
      <c r="CL6" s="134" t="s">
        <v>2659</v>
      </c>
      <c r="CM6" s="258" t="s">
        <v>7667</v>
      </c>
      <c r="CN6" s="257" t="s">
        <v>6627</v>
      </c>
      <c r="CO6" s="829">
        <v>14</v>
      </c>
      <c r="CP6" s="829">
        <v>1</v>
      </c>
      <c r="CQ6" s="829">
        <v>1</v>
      </c>
      <c r="CR6" s="829">
        <v>1</v>
      </c>
      <c r="CS6" s="829">
        <v>-1</v>
      </c>
      <c r="CT6" s="968"/>
      <c r="CU6" s="1289" t="s">
        <v>8104</v>
      </c>
      <c r="CV6" s="1295">
        <v>70</v>
      </c>
      <c r="CW6" s="1295">
        <v>62</v>
      </c>
      <c r="CX6" s="151" t="s">
        <v>2755</v>
      </c>
      <c r="CY6" s="150">
        <v>47.402099999999997</v>
      </c>
      <c r="CZ6" s="150" t="s">
        <v>24</v>
      </c>
      <c r="DA6" s="266">
        <f>Table66[[#This Row],[Data_Outcome1_M]]-40.6875</f>
        <v>6.7145999999999972</v>
      </c>
      <c r="DB6" s="151" t="s">
        <v>2743</v>
      </c>
      <c r="DC6" s="150">
        <v>17.985600000000002</v>
      </c>
      <c r="DD6" s="150" t="s">
        <v>24</v>
      </c>
      <c r="DE6" s="266">
        <f>19.9041-Table66[[#This Row],[Data_Outcome2_M]]</f>
        <v>1.9184999999999981</v>
      </c>
      <c r="DF6" s="294"/>
      <c r="DG6" s="295"/>
      <c r="DH6" s="121"/>
      <c r="DI6" s="121"/>
      <c r="DJ6" s="1169"/>
      <c r="DK6" s="417"/>
      <c r="DL6" s="1169"/>
      <c r="DM6" s="121"/>
      <c r="DN6" s="1169"/>
      <c r="DO6" s="417"/>
      <c r="DP6" s="290"/>
      <c r="DQ6" s="291"/>
      <c r="DR6" s="1168"/>
      <c r="DS6" s="865"/>
      <c r="DT6" s="1171"/>
      <c r="DU6" s="417"/>
      <c r="DV6" s="1169"/>
      <c r="DW6" s="417"/>
      <c r="DX6" s="1169"/>
      <c r="DY6" s="417"/>
      <c r="DZ6" s="1169"/>
      <c r="EA6" s="417"/>
      <c r="EB6" s="304"/>
      <c r="EC6" s="312"/>
      <c r="ED6" s="1169"/>
      <c r="EE6" s="417"/>
      <c r="EF6" s="1169"/>
      <c r="EG6" s="417"/>
      <c r="EH6" s="1169"/>
      <c r="EI6" s="417"/>
      <c r="EJ6" s="1169"/>
      <c r="EK6" s="417"/>
      <c r="EL6" s="304"/>
      <c r="EM6" s="312"/>
      <c r="EN6" s="317"/>
      <c r="EO6" s="318"/>
      <c r="EP6" s="121"/>
      <c r="EQ6" s="121"/>
      <c r="ER6" s="121"/>
      <c r="ES6" s="121"/>
      <c r="ET6" s="121"/>
      <c r="EU6" s="121"/>
      <c r="EV6" s="121"/>
      <c r="EW6" s="121"/>
      <c r="EX6" s="301"/>
      <c r="EY6" s="301"/>
      <c r="EZ6" s="121"/>
      <c r="FA6" s="121"/>
      <c r="FB6" s="1164"/>
      <c r="FC6" s="1164"/>
      <c r="FD6" s="1169"/>
      <c r="FE6" s="1169"/>
      <c r="FF6" s="1169"/>
      <c r="FG6" s="1169"/>
      <c r="FH6" s="313"/>
      <c r="FI6" s="303"/>
      <c r="FJ6" s="279"/>
    </row>
    <row r="7" spans="1:166" s="229" customFormat="1" ht="15" customHeight="1">
      <c r="A7" s="118" t="s">
        <v>1083</v>
      </c>
      <c r="B7" s="614">
        <v>13</v>
      </c>
      <c r="C7" s="614"/>
      <c r="D7" s="614"/>
      <c r="E7" s="605" t="s">
        <v>2060</v>
      </c>
      <c r="F7" s="140" t="s">
        <v>2312</v>
      </c>
      <c r="G7" s="141">
        <v>2012</v>
      </c>
      <c r="H7" s="118">
        <v>21925525</v>
      </c>
      <c r="I7" s="118">
        <v>1</v>
      </c>
      <c r="J7" s="118" t="s">
        <v>1831</v>
      </c>
      <c r="K7" s="118"/>
      <c r="L7" s="118">
        <v>0</v>
      </c>
      <c r="M7" s="118"/>
      <c r="N7" s="158">
        <v>0</v>
      </c>
      <c r="O7" s="142">
        <v>2</v>
      </c>
      <c r="P7" s="118" t="s">
        <v>1273</v>
      </c>
      <c r="Q7" s="118" t="s">
        <v>1212</v>
      </c>
      <c r="R7" s="118" t="s">
        <v>1127</v>
      </c>
      <c r="S7" s="118"/>
      <c r="T7" s="118" t="s">
        <v>1829</v>
      </c>
      <c r="U7" s="118"/>
      <c r="V7" s="118"/>
      <c r="W7" s="118" t="s">
        <v>1830</v>
      </c>
      <c r="X7" s="118"/>
      <c r="Y7" s="118"/>
      <c r="Z7" s="118"/>
      <c r="AA7" s="118"/>
      <c r="AB7" s="118" t="s">
        <v>1488</v>
      </c>
      <c r="AC7" s="145"/>
      <c r="AD7" s="573">
        <v>1</v>
      </c>
      <c r="AE7" s="573">
        <v>2</v>
      </c>
      <c r="AF7" s="159">
        <v>1</v>
      </c>
      <c r="AG7" s="160" t="s">
        <v>7665</v>
      </c>
      <c r="AH7" s="704">
        <v>0</v>
      </c>
      <c r="AI7" s="122">
        <v>4</v>
      </c>
      <c r="AJ7" s="485"/>
      <c r="AK7" s="204" t="s">
        <v>2774</v>
      </c>
      <c r="AL7" s="192">
        <v>1</v>
      </c>
      <c r="AM7" s="227">
        <v>0</v>
      </c>
      <c r="AN7" s="150">
        <f>8+8+8</f>
        <v>24</v>
      </c>
      <c r="AO7" s="150">
        <v>8</v>
      </c>
      <c r="AP7" s="150">
        <v>8</v>
      </c>
      <c r="AQ7" s="150" t="s">
        <v>803</v>
      </c>
      <c r="AR7" s="150" t="s">
        <v>803</v>
      </c>
      <c r="AS7" s="150" t="s">
        <v>7502</v>
      </c>
      <c r="AT7" s="150" t="s">
        <v>24</v>
      </c>
      <c r="AU7" s="150" t="s">
        <v>7502</v>
      </c>
      <c r="AV7" s="150" t="s">
        <v>24</v>
      </c>
      <c r="AW7" s="150" t="s">
        <v>7666</v>
      </c>
      <c r="AX7" s="150">
        <v>10</v>
      </c>
      <c r="AY7" s="150">
        <v>0.8</v>
      </c>
      <c r="AZ7" s="753" t="s">
        <v>1814</v>
      </c>
      <c r="BA7" s="150">
        <v>1</v>
      </c>
      <c r="BB7" s="150" t="s">
        <v>3322</v>
      </c>
      <c r="BC7" s="150" t="s">
        <v>7536</v>
      </c>
      <c r="BD7" s="753" t="s">
        <v>7523</v>
      </c>
      <c r="BE7" s="753"/>
      <c r="BF7" s="150" t="s">
        <v>2730</v>
      </c>
      <c r="BG7" s="150" t="s">
        <v>2733</v>
      </c>
      <c r="BH7" s="588"/>
      <c r="BI7" s="588"/>
      <c r="BJ7" s="161">
        <v>1</v>
      </c>
      <c r="BK7" s="161"/>
      <c r="BL7" s="161"/>
      <c r="BM7" s="161"/>
      <c r="BN7" s="161"/>
      <c r="BO7" s="161"/>
      <c r="BP7" s="161"/>
      <c r="BQ7" s="161"/>
      <c r="BR7" s="161"/>
      <c r="BS7" s="161"/>
      <c r="BT7" s="161"/>
      <c r="BU7" s="161"/>
      <c r="BV7" s="161"/>
      <c r="BW7" s="596" t="s">
        <v>2775</v>
      </c>
      <c r="BX7" s="162" t="s">
        <v>6597</v>
      </c>
      <c r="BY7" s="797" t="s">
        <v>7615</v>
      </c>
      <c r="BZ7" s="790" t="s">
        <v>7609</v>
      </c>
      <c r="CA7" s="765">
        <v>4</v>
      </c>
      <c r="CB7" s="765" t="s">
        <v>7556</v>
      </c>
      <c r="CC7" s="765" t="s">
        <v>7380</v>
      </c>
      <c r="CD7" s="150" t="s">
        <v>1876</v>
      </c>
      <c r="CE7" s="150">
        <v>3</v>
      </c>
      <c r="CF7" s="400"/>
      <c r="CG7" s="150" t="s">
        <v>7461</v>
      </c>
      <c r="CH7" s="753" t="s">
        <v>1488</v>
      </c>
      <c r="CI7" s="150" t="s">
        <v>2471</v>
      </c>
      <c r="CJ7" s="150"/>
      <c r="CK7" s="150" t="s">
        <v>2659</v>
      </c>
      <c r="CL7" s="134" t="s">
        <v>2659</v>
      </c>
      <c r="CM7" s="258" t="s">
        <v>7667</v>
      </c>
      <c r="CN7" s="257" t="s">
        <v>6627</v>
      </c>
      <c r="CO7" s="829">
        <v>14</v>
      </c>
      <c r="CP7" s="829">
        <v>1</v>
      </c>
      <c r="CQ7" s="829">
        <v>2</v>
      </c>
      <c r="CR7" s="829">
        <v>1</v>
      </c>
      <c r="CS7" s="829">
        <v>-1</v>
      </c>
      <c r="CT7" s="968"/>
      <c r="CU7" s="1289" t="s">
        <v>8104</v>
      </c>
      <c r="CV7" s="1295">
        <v>70</v>
      </c>
      <c r="CW7" s="1295">
        <v>62</v>
      </c>
      <c r="CX7" s="151" t="s">
        <v>2756</v>
      </c>
      <c r="CY7" s="150">
        <v>22.7818</v>
      </c>
      <c r="CZ7" s="150" t="s">
        <v>24</v>
      </c>
      <c r="DA7" s="266">
        <f>Table66[[#This Row],[Data_Outcome1_M]]-18.9448</f>
        <v>3.8369999999999997</v>
      </c>
      <c r="DB7" s="151" t="s">
        <v>2744</v>
      </c>
      <c r="DC7" s="150">
        <v>12.9496</v>
      </c>
      <c r="DD7" s="150" t="s">
        <v>24</v>
      </c>
      <c r="DE7" s="266">
        <f>15.1079-Table66[[#This Row],[Data_Outcome2_M]]</f>
        <v>2.1583000000000006</v>
      </c>
      <c r="DF7" s="549"/>
      <c r="DG7" s="551"/>
      <c r="DH7" s="1179"/>
      <c r="DI7" s="417"/>
      <c r="DJ7" s="1169"/>
      <c r="DK7" s="417"/>
      <c r="DL7" s="311"/>
      <c r="DM7" s="665"/>
      <c r="DN7" s="1169"/>
      <c r="DO7" s="1151"/>
      <c r="DP7" s="288"/>
      <c r="DQ7" s="289"/>
      <c r="DR7" s="864"/>
      <c r="DS7" s="865"/>
      <c r="DT7" s="1171"/>
      <c r="DU7" s="417"/>
      <c r="DV7" s="311"/>
      <c r="DW7" s="665"/>
      <c r="DX7" s="1169"/>
      <c r="DY7" s="417"/>
      <c r="DZ7" s="1169"/>
      <c r="EA7" s="417"/>
      <c r="EB7" s="304"/>
      <c r="EC7" s="312"/>
      <c r="ED7" s="1169"/>
      <c r="EE7" s="417"/>
      <c r="EF7" s="1169"/>
      <c r="EG7" s="417"/>
      <c r="EH7" s="1169"/>
      <c r="EI7" s="417"/>
      <c r="EJ7" s="1169"/>
      <c r="EK7" s="417"/>
      <c r="EL7" s="304"/>
      <c r="EM7" s="312"/>
      <c r="EN7" s="317"/>
      <c r="EO7" s="318"/>
      <c r="EP7" s="121"/>
      <c r="EQ7" s="121"/>
      <c r="ER7" s="121"/>
      <c r="ES7" s="121"/>
      <c r="ET7" s="121"/>
      <c r="EU7" s="121"/>
      <c r="EV7" s="121"/>
      <c r="EW7" s="121"/>
      <c r="EX7" s="301"/>
      <c r="EY7" s="301"/>
      <c r="EZ7" s="121"/>
      <c r="FA7" s="121"/>
      <c r="FB7" s="1164"/>
      <c r="FC7" s="1164"/>
      <c r="FD7" s="1169"/>
      <c r="FE7" s="1169"/>
      <c r="FF7" s="1169"/>
      <c r="FG7" s="1169"/>
      <c r="FH7" s="313"/>
      <c r="FI7" s="303"/>
      <c r="FJ7" s="1165"/>
    </row>
    <row r="8" spans="1:166" s="229" customFormat="1" ht="15" hidden="1" customHeight="1">
      <c r="A8" s="79" t="s">
        <v>77</v>
      </c>
      <c r="B8" s="362">
        <v>59</v>
      </c>
      <c r="C8" s="362"/>
      <c r="D8" s="362">
        <v>3</v>
      </c>
      <c r="E8" s="604" t="s">
        <v>1920</v>
      </c>
      <c r="F8" s="124" t="s">
        <v>2137</v>
      </c>
      <c r="G8" s="125">
        <v>2013</v>
      </c>
      <c r="H8" s="79">
        <v>23823533</v>
      </c>
      <c r="I8" s="79">
        <v>1</v>
      </c>
      <c r="J8" s="126"/>
      <c r="K8" s="127"/>
      <c r="L8" s="79">
        <v>1</v>
      </c>
      <c r="M8" s="79"/>
      <c r="N8" s="79">
        <v>1</v>
      </c>
      <c r="O8" s="128">
        <v>1</v>
      </c>
      <c r="P8" s="79" t="s">
        <v>15</v>
      </c>
      <c r="Q8" s="79" t="s">
        <v>1192</v>
      </c>
      <c r="R8" s="79" t="s">
        <v>17</v>
      </c>
      <c r="S8" s="79">
        <v>1</v>
      </c>
      <c r="T8" s="79"/>
      <c r="U8" s="79"/>
      <c r="V8" s="79"/>
      <c r="W8" s="79" t="s">
        <v>16</v>
      </c>
      <c r="X8" s="79"/>
      <c r="Y8" s="79"/>
      <c r="Z8" s="79"/>
      <c r="AA8" s="79"/>
      <c r="AB8" s="79"/>
      <c r="AC8" s="506" t="s">
        <v>28</v>
      </c>
      <c r="AD8" s="573">
        <v>1</v>
      </c>
      <c r="AE8" s="573">
        <v>0</v>
      </c>
      <c r="AF8" s="924">
        <v>2</v>
      </c>
      <c r="AG8" s="925" t="s">
        <v>7316</v>
      </c>
      <c r="AH8" s="911"/>
      <c r="AI8" s="923">
        <v>2</v>
      </c>
      <c r="AJ8" s="923"/>
      <c r="AK8" s="926"/>
      <c r="AL8" s="588"/>
      <c r="AM8" s="927"/>
      <c r="AN8" s="923"/>
      <c r="AO8" s="923"/>
      <c r="AP8" s="923"/>
      <c r="AQ8" s="923"/>
      <c r="AR8" s="923"/>
      <c r="AS8" s="923"/>
      <c r="AT8" s="923"/>
      <c r="AU8" s="923"/>
      <c r="AV8" s="923"/>
      <c r="AW8" s="923"/>
      <c r="AX8" s="923"/>
      <c r="AY8" s="923"/>
      <c r="AZ8" s="915"/>
      <c r="BA8" s="923"/>
      <c r="BB8" s="923"/>
      <c r="BC8" s="923"/>
      <c r="BD8" s="915"/>
      <c r="BE8" s="915"/>
      <c r="BF8" s="923"/>
      <c r="BG8" s="923"/>
      <c r="BH8" s="594"/>
      <c r="BI8" s="594"/>
      <c r="BJ8" s="156"/>
      <c r="BK8" s="156"/>
      <c r="BL8" s="156"/>
      <c r="BM8" s="156" t="s">
        <v>6175</v>
      </c>
      <c r="BN8" s="156"/>
      <c r="BO8" s="156" t="s">
        <v>4727</v>
      </c>
      <c r="BP8" s="156"/>
      <c r="BQ8" s="156"/>
      <c r="BR8" s="156"/>
      <c r="BS8" s="156"/>
      <c r="BT8" s="156"/>
      <c r="BU8" s="156"/>
      <c r="BV8" s="156"/>
      <c r="BW8" s="928" t="s">
        <v>6163</v>
      </c>
      <c r="BX8" s="929"/>
      <c r="BY8" s="929"/>
      <c r="BZ8" s="929"/>
      <c r="CA8" s="917"/>
      <c r="CB8" s="917"/>
      <c r="CC8" s="917"/>
      <c r="CD8" s="923"/>
      <c r="CE8" s="923"/>
      <c r="CF8" s="923"/>
      <c r="CG8" s="923"/>
      <c r="CH8" s="915"/>
      <c r="CI8" s="923"/>
      <c r="CJ8" s="923"/>
      <c r="CK8" s="923"/>
      <c r="CL8" s="923"/>
      <c r="CM8" s="930"/>
      <c r="CN8" s="931"/>
      <c r="CO8" s="931"/>
      <c r="CP8" s="931"/>
      <c r="CQ8" s="931"/>
      <c r="CR8" s="931"/>
      <c r="CS8" s="931"/>
      <c r="CT8" s="967"/>
      <c r="CU8" s="967"/>
      <c r="CV8" s="967"/>
      <c r="CW8" s="967"/>
      <c r="CX8" s="932"/>
      <c r="CY8" s="934"/>
      <c r="CZ8" s="923"/>
      <c r="DA8" s="934"/>
      <c r="DB8" s="932"/>
      <c r="DC8" s="923"/>
      <c r="DD8" s="923"/>
      <c r="DE8" s="934"/>
      <c r="DF8" s="920"/>
      <c r="DG8" s="598"/>
      <c r="DH8" s="950"/>
      <c r="DI8" s="951"/>
      <c r="DJ8" s="951"/>
      <c r="DK8" s="934"/>
      <c r="DL8" s="950"/>
      <c r="DM8" s="951"/>
      <c r="DN8" s="951"/>
      <c r="DO8" s="934"/>
      <c r="DP8" s="930"/>
      <c r="DQ8" s="594"/>
      <c r="DR8" s="1187"/>
      <c r="DS8" s="1186"/>
      <c r="DT8" s="950"/>
      <c r="DU8" s="951"/>
      <c r="DV8" s="951"/>
      <c r="DW8" s="951"/>
      <c r="DX8" s="951"/>
      <c r="DY8" s="951"/>
      <c r="DZ8" s="951"/>
      <c r="EA8" s="951"/>
      <c r="EB8" s="1185"/>
      <c r="EC8" s="951"/>
      <c r="ED8" s="951"/>
      <c r="EE8" s="951"/>
      <c r="EF8" s="951"/>
      <c r="EG8" s="951"/>
      <c r="EH8" s="951"/>
      <c r="EI8" s="951"/>
      <c r="EJ8" s="951"/>
      <c r="EK8" s="951"/>
      <c r="EL8" s="1185"/>
      <c r="EM8" s="951"/>
      <c r="EN8" s="1185"/>
      <c r="EO8" s="951"/>
      <c r="EP8" s="951"/>
      <c r="EQ8" s="951"/>
      <c r="ER8" s="951"/>
      <c r="ES8" s="951"/>
      <c r="ET8" s="950"/>
      <c r="EU8" s="951"/>
      <c r="EV8" s="951"/>
      <c r="EW8" s="951"/>
      <c r="EX8" s="951"/>
      <c r="EY8" s="951"/>
      <c r="EZ8" s="950"/>
      <c r="FA8" s="951"/>
      <c r="FB8" s="951"/>
      <c r="FC8" s="951"/>
      <c r="FD8" s="950"/>
      <c r="FE8" s="951"/>
      <c r="FF8" s="951"/>
      <c r="FG8" s="951"/>
      <c r="FH8" s="951"/>
      <c r="FI8" s="951"/>
      <c r="FJ8" s="951"/>
    </row>
    <row r="9" spans="1:166" ht="15" hidden="1" customHeight="1">
      <c r="A9" s="153" t="s">
        <v>78</v>
      </c>
      <c r="B9" s="618">
        <v>60</v>
      </c>
      <c r="C9" s="618"/>
      <c r="D9" s="618">
        <v>4</v>
      </c>
      <c r="E9" s="610" t="s">
        <v>1921</v>
      </c>
      <c r="F9" s="368" t="s">
        <v>2138</v>
      </c>
      <c r="G9" s="369">
        <v>2015</v>
      </c>
      <c r="H9" s="153">
        <v>26372003</v>
      </c>
      <c r="I9" s="153">
        <v>1</v>
      </c>
      <c r="J9" s="370"/>
      <c r="K9" s="371"/>
      <c r="L9" s="153">
        <v>1</v>
      </c>
      <c r="M9" s="153"/>
      <c r="N9" s="153">
        <v>1</v>
      </c>
      <c r="O9" s="153">
        <v>1</v>
      </c>
      <c r="P9" s="153"/>
      <c r="Q9" s="153" t="s">
        <v>1146</v>
      </c>
      <c r="R9" s="153" t="s">
        <v>20</v>
      </c>
      <c r="S9" s="153">
        <v>1</v>
      </c>
      <c r="T9" s="153"/>
      <c r="U9" s="153"/>
      <c r="V9" s="153"/>
      <c r="W9" s="153" t="s">
        <v>19</v>
      </c>
      <c r="X9" s="153" t="s">
        <v>12</v>
      </c>
      <c r="Y9" s="153" t="s">
        <v>12</v>
      </c>
      <c r="Z9" s="153"/>
      <c r="AA9" s="153"/>
      <c r="AB9" s="153"/>
      <c r="AC9" s="536"/>
      <c r="AD9" s="536">
        <v>1</v>
      </c>
      <c r="AE9" s="536">
        <v>1</v>
      </c>
      <c r="AF9" s="165">
        <v>0</v>
      </c>
      <c r="AG9" s="166" t="s">
        <v>7213</v>
      </c>
      <c r="AH9" s="509">
        <v>0</v>
      </c>
      <c r="AI9" s="120">
        <v>2</v>
      </c>
      <c r="AJ9" s="120"/>
      <c r="AK9" s="206"/>
      <c r="AL9" s="372"/>
      <c r="AM9" s="207"/>
      <c r="AN9" s="120"/>
      <c r="AO9" s="120"/>
      <c r="AP9" s="120"/>
      <c r="AQ9" s="120"/>
      <c r="AR9" s="120"/>
      <c r="AS9" s="120"/>
      <c r="AT9" s="120"/>
      <c r="AU9" s="120"/>
      <c r="AV9" s="120"/>
      <c r="AW9" s="120"/>
      <c r="AX9" s="120"/>
      <c r="AY9" s="120"/>
      <c r="AZ9" s="755"/>
      <c r="BA9" s="120"/>
      <c r="BB9" s="120"/>
      <c r="BC9" s="120"/>
      <c r="BD9" s="755"/>
      <c r="BE9" s="755"/>
      <c r="BF9" s="120"/>
      <c r="BG9" s="120"/>
      <c r="BH9" s="377"/>
      <c r="BI9" s="377"/>
      <c r="BJ9" s="373"/>
      <c r="BK9" s="373"/>
      <c r="BL9" s="373"/>
      <c r="BM9" s="373" t="s">
        <v>6650</v>
      </c>
      <c r="BN9" s="373"/>
      <c r="BO9" s="373" t="s">
        <v>6650</v>
      </c>
      <c r="BP9" s="373" t="s">
        <v>6174</v>
      </c>
      <c r="BQ9" s="373"/>
      <c r="BR9" s="373"/>
      <c r="BS9" s="373"/>
      <c r="BT9" s="373"/>
      <c r="BU9" s="373"/>
      <c r="BV9" s="373"/>
      <c r="BW9" s="599" t="s">
        <v>6649</v>
      </c>
      <c r="BX9" s="374"/>
      <c r="BY9" s="374"/>
      <c r="BZ9" s="374"/>
      <c r="CA9" s="510"/>
      <c r="CB9" s="510"/>
      <c r="CC9" s="510"/>
      <c r="CD9" s="120"/>
      <c r="CE9" s="120"/>
      <c r="CF9" s="120"/>
      <c r="CG9" s="120"/>
      <c r="CH9" s="755"/>
      <c r="CI9" s="120"/>
      <c r="CJ9" s="120"/>
      <c r="CK9" s="120"/>
      <c r="CL9" s="120"/>
      <c r="CM9" s="375"/>
      <c r="CN9" s="380"/>
      <c r="CO9" s="380"/>
      <c r="CP9" s="380"/>
      <c r="CQ9" s="380"/>
      <c r="CR9" s="380"/>
      <c r="CS9" s="380"/>
      <c r="CT9" s="380"/>
      <c r="CU9" s="380"/>
      <c r="CV9" s="380"/>
      <c r="CW9" s="380"/>
      <c r="CX9" s="376"/>
      <c r="CY9" s="120"/>
      <c r="CZ9" s="120"/>
      <c r="DA9" s="120"/>
      <c r="DB9" s="376"/>
      <c r="DC9" s="120"/>
      <c r="DD9" s="120"/>
      <c r="DE9" s="120"/>
      <c r="DF9" s="515"/>
      <c r="DG9" s="513"/>
      <c r="DH9" s="727"/>
      <c r="DI9" s="384"/>
      <c r="DJ9" s="384"/>
      <c r="DK9" s="120"/>
      <c r="DL9" s="727"/>
      <c r="DM9" s="384"/>
      <c r="DN9" s="384"/>
      <c r="DO9" s="120"/>
      <c r="DP9" s="375"/>
      <c r="DQ9" s="377"/>
      <c r="DR9" s="1182"/>
      <c r="DS9" s="956"/>
      <c r="DT9" s="727"/>
      <c r="DU9" s="683"/>
      <c r="DV9" s="384"/>
      <c r="DW9" s="683"/>
      <c r="DX9" s="384"/>
      <c r="DY9" s="683"/>
      <c r="DZ9" s="384"/>
      <c r="EA9" s="683"/>
      <c r="EB9" s="1012"/>
      <c r="EC9" s="384"/>
      <c r="ED9" s="384"/>
      <c r="EE9" s="683"/>
      <c r="EF9" s="384"/>
      <c r="EG9" s="683"/>
      <c r="EH9" s="384"/>
      <c r="EI9" s="683"/>
      <c r="EJ9" s="384"/>
      <c r="EK9" s="683"/>
      <c r="EL9" s="1012"/>
      <c r="EM9" s="384"/>
      <c r="EN9" s="804"/>
      <c r="EO9" s="683"/>
      <c r="EP9" s="384"/>
      <c r="EQ9" s="384"/>
      <c r="ER9" s="384"/>
      <c r="ES9" s="384"/>
      <c r="ET9" s="727"/>
      <c r="EU9" s="384"/>
      <c r="EV9" s="384"/>
      <c r="EW9" s="384"/>
      <c r="EX9" s="384"/>
      <c r="EY9" s="384"/>
      <c r="EZ9" s="727"/>
      <c r="FA9" s="384"/>
      <c r="FB9" s="384"/>
      <c r="FC9" s="384"/>
      <c r="FD9" s="727"/>
      <c r="FE9" s="384"/>
      <c r="FF9" s="384"/>
      <c r="FG9" s="384"/>
      <c r="FH9" s="384"/>
      <c r="FI9" s="384"/>
      <c r="FJ9" s="384"/>
    </row>
    <row r="10" spans="1:166" s="229" customFormat="1" ht="15" hidden="1" customHeight="1">
      <c r="A10" s="153" t="s">
        <v>79</v>
      </c>
      <c r="B10" s="618">
        <v>61</v>
      </c>
      <c r="C10" s="618"/>
      <c r="D10" s="618">
        <v>5</v>
      </c>
      <c r="E10" s="610" t="s">
        <v>1922</v>
      </c>
      <c r="F10" s="368" t="s">
        <v>2139</v>
      </c>
      <c r="G10" s="369">
        <v>1999</v>
      </c>
      <c r="H10" s="153">
        <v>10217920</v>
      </c>
      <c r="I10" s="153">
        <v>1</v>
      </c>
      <c r="J10" s="370"/>
      <c r="K10" s="371"/>
      <c r="L10" s="153">
        <v>1</v>
      </c>
      <c r="M10" s="153" t="s">
        <v>1730</v>
      </c>
      <c r="N10" s="153">
        <v>1</v>
      </c>
      <c r="O10" s="153">
        <v>1</v>
      </c>
      <c r="P10" s="153" t="s">
        <v>23</v>
      </c>
      <c r="Q10" s="153"/>
      <c r="R10" s="153" t="s">
        <v>25</v>
      </c>
      <c r="S10" s="153">
        <v>1</v>
      </c>
      <c r="T10" s="153"/>
      <c r="U10" s="153"/>
      <c r="V10" s="153"/>
      <c r="W10" s="153" t="s">
        <v>23</v>
      </c>
      <c r="X10" s="153"/>
      <c r="Y10" s="153"/>
      <c r="Z10" s="153"/>
      <c r="AA10" s="153"/>
      <c r="AB10" s="153"/>
      <c r="AC10" s="536"/>
      <c r="AD10" s="536">
        <v>1</v>
      </c>
      <c r="AE10" s="536">
        <v>0</v>
      </c>
      <c r="AF10" s="165">
        <v>0</v>
      </c>
      <c r="AG10" s="166" t="s">
        <v>7211</v>
      </c>
      <c r="AH10" s="509">
        <v>0</v>
      </c>
      <c r="AI10" s="120">
        <v>2</v>
      </c>
      <c r="AJ10" s="120"/>
      <c r="AK10" s="206"/>
      <c r="AL10" s="372"/>
      <c r="AM10" s="207"/>
      <c r="AN10" s="120"/>
      <c r="AO10" s="120"/>
      <c r="AP10" s="120"/>
      <c r="AQ10" s="120"/>
      <c r="AR10" s="120"/>
      <c r="AS10" s="120"/>
      <c r="AT10" s="120"/>
      <c r="AU10" s="120"/>
      <c r="AV10" s="120"/>
      <c r="AW10" s="120"/>
      <c r="AX10" s="120"/>
      <c r="AY10" s="120"/>
      <c r="AZ10" s="755"/>
      <c r="BA10" s="120"/>
      <c r="BB10" s="120"/>
      <c r="BC10" s="120"/>
      <c r="BD10" s="755"/>
      <c r="BE10" s="755"/>
      <c r="BF10" s="120"/>
      <c r="BG10" s="120"/>
      <c r="BH10" s="377"/>
      <c r="BI10" s="377"/>
      <c r="BJ10" s="373"/>
      <c r="BK10" s="373"/>
      <c r="BL10" s="373" t="s">
        <v>5207</v>
      </c>
      <c r="BM10" s="373"/>
      <c r="BN10" s="373"/>
      <c r="BO10" s="373" t="s">
        <v>5207</v>
      </c>
      <c r="BP10" s="373" t="s">
        <v>6160</v>
      </c>
      <c r="BQ10" s="373"/>
      <c r="BR10" s="373" t="s">
        <v>4727</v>
      </c>
      <c r="BS10" s="373"/>
      <c r="BT10" s="373"/>
      <c r="BU10" s="373"/>
      <c r="BV10" s="373"/>
      <c r="BW10" s="599" t="s">
        <v>6165</v>
      </c>
      <c r="BX10" s="374"/>
      <c r="BY10" s="374"/>
      <c r="BZ10" s="374"/>
      <c r="CA10" s="510"/>
      <c r="CB10" s="510"/>
      <c r="CC10" s="510"/>
      <c r="CD10" s="120"/>
      <c r="CE10" s="120"/>
      <c r="CF10" s="120"/>
      <c r="CG10" s="120"/>
      <c r="CH10" s="755"/>
      <c r="CI10" s="120"/>
      <c r="CJ10" s="120"/>
      <c r="CK10" s="120"/>
      <c r="CL10" s="120"/>
      <c r="CM10" s="380"/>
      <c r="CN10" s="380"/>
      <c r="CO10" s="380"/>
      <c r="CP10" s="380"/>
      <c r="CQ10" s="380"/>
      <c r="CR10" s="380"/>
      <c r="CS10" s="380"/>
      <c r="CT10" s="380"/>
      <c r="CU10" s="380"/>
      <c r="CV10" s="380"/>
      <c r="CW10" s="380"/>
      <c r="CX10" s="376"/>
      <c r="CY10" s="120"/>
      <c r="CZ10" s="120"/>
      <c r="DA10" s="120"/>
      <c r="DB10" s="376"/>
      <c r="DC10" s="683"/>
      <c r="DD10" s="683"/>
      <c r="DE10" s="683"/>
      <c r="DF10" s="515"/>
      <c r="DG10" s="513"/>
      <c r="DH10" s="727"/>
      <c r="DI10" s="384"/>
      <c r="DJ10" s="384"/>
      <c r="DK10" s="384"/>
      <c r="DL10" s="727"/>
      <c r="DM10" s="384"/>
      <c r="DN10" s="384"/>
      <c r="DO10" s="384"/>
      <c r="DP10" s="375"/>
      <c r="DQ10" s="377"/>
      <c r="DR10" s="1182"/>
      <c r="DS10" s="956"/>
      <c r="DT10" s="727"/>
      <c r="DU10" s="120"/>
      <c r="DV10" s="384"/>
      <c r="DW10" s="120"/>
      <c r="DX10" s="384"/>
      <c r="DY10" s="683"/>
      <c r="DZ10" s="683"/>
      <c r="EA10" s="683"/>
      <c r="EB10" s="1012"/>
      <c r="EC10" s="384"/>
      <c r="ED10" s="384"/>
      <c r="EE10" s="120"/>
      <c r="EF10" s="384"/>
      <c r="EG10" s="120"/>
      <c r="EH10" s="384"/>
      <c r="EI10" s="120"/>
      <c r="EJ10" s="384"/>
      <c r="EK10" s="120"/>
      <c r="EL10" s="1012"/>
      <c r="EM10" s="384"/>
      <c r="EN10" s="380"/>
      <c r="EO10" s="120"/>
      <c r="EP10" s="384"/>
      <c r="EQ10" s="384"/>
      <c r="ER10" s="384"/>
      <c r="ES10" s="384"/>
      <c r="ET10" s="727"/>
      <c r="EU10" s="384"/>
      <c r="EV10" s="384"/>
      <c r="EW10" s="384"/>
      <c r="EX10" s="384"/>
      <c r="EY10" s="384"/>
      <c r="EZ10" s="727"/>
      <c r="FA10" s="384"/>
      <c r="FB10" s="384"/>
      <c r="FC10" s="384"/>
      <c r="FD10" s="727"/>
      <c r="FE10" s="384"/>
      <c r="FF10" s="384"/>
      <c r="FG10" s="384"/>
      <c r="FH10" s="384"/>
      <c r="FI10" s="384"/>
      <c r="FJ10" s="384"/>
    </row>
    <row r="11" spans="1:166" ht="17" hidden="1" customHeight="1">
      <c r="A11" s="79" t="s">
        <v>83</v>
      </c>
      <c r="B11" s="362">
        <v>62</v>
      </c>
      <c r="C11" s="362"/>
      <c r="D11" s="362">
        <v>6</v>
      </c>
      <c r="E11" s="604" t="s">
        <v>1923</v>
      </c>
      <c r="F11" s="124" t="s">
        <v>2140</v>
      </c>
      <c r="G11" s="125">
        <v>2013</v>
      </c>
      <c r="H11" s="79">
        <v>23496805</v>
      </c>
      <c r="I11" s="79">
        <v>1</v>
      </c>
      <c r="J11" s="126"/>
      <c r="K11" s="127"/>
      <c r="L11" s="79">
        <v>1</v>
      </c>
      <c r="M11" s="79"/>
      <c r="N11" s="79">
        <v>1</v>
      </c>
      <c r="O11" s="128">
        <v>1</v>
      </c>
      <c r="P11" s="79" t="s">
        <v>32</v>
      </c>
      <c r="Q11" s="79" t="s">
        <v>1164</v>
      </c>
      <c r="R11" s="79" t="s">
        <v>25</v>
      </c>
      <c r="S11" s="79">
        <v>1</v>
      </c>
      <c r="T11" s="79"/>
      <c r="U11" s="79"/>
      <c r="V11" s="79"/>
      <c r="W11" s="79" t="s">
        <v>30</v>
      </c>
      <c r="X11" s="79"/>
      <c r="Y11" s="79"/>
      <c r="Z11" s="79"/>
      <c r="AA11" s="79"/>
      <c r="AB11" s="79"/>
      <c r="AC11" s="506" t="s">
        <v>31</v>
      </c>
      <c r="AD11" s="573">
        <v>1</v>
      </c>
      <c r="AE11" s="573">
        <v>0</v>
      </c>
      <c r="AF11" s="924">
        <v>2</v>
      </c>
      <c r="AG11" s="925"/>
      <c r="AH11" s="911"/>
      <c r="AI11" s="923">
        <v>2</v>
      </c>
      <c r="AJ11" s="923"/>
      <c r="AK11" s="926"/>
      <c r="AL11" s="588"/>
      <c r="AM11" s="927"/>
      <c r="AN11" s="923"/>
      <c r="AO11" s="923"/>
      <c r="AP11" s="923"/>
      <c r="AQ11" s="923"/>
      <c r="AR11" s="923"/>
      <c r="AS11" s="923"/>
      <c r="AT11" s="923"/>
      <c r="AU11" s="923"/>
      <c r="AV11" s="923"/>
      <c r="AW11" s="923"/>
      <c r="AX11" s="923"/>
      <c r="AY11" s="923"/>
      <c r="AZ11" s="915"/>
      <c r="BA11" s="923"/>
      <c r="BB11" s="923"/>
      <c r="BC11" s="923"/>
      <c r="BD11" s="915"/>
      <c r="BE11" s="915"/>
      <c r="BF11" s="923"/>
      <c r="BG11" s="923"/>
      <c r="BH11" s="594"/>
      <c r="BI11" s="594"/>
      <c r="BJ11" s="156"/>
      <c r="BK11" s="156"/>
      <c r="BL11" s="156" t="s">
        <v>5207</v>
      </c>
      <c r="BM11" s="156"/>
      <c r="BN11" s="156"/>
      <c r="BO11" s="156"/>
      <c r="BP11" s="156"/>
      <c r="BQ11" s="156"/>
      <c r="BR11" s="156"/>
      <c r="BS11" s="156"/>
      <c r="BT11" s="156"/>
      <c r="BU11" s="156"/>
      <c r="BV11" s="156"/>
      <c r="BW11" s="928" t="s">
        <v>6166</v>
      </c>
      <c r="BX11" s="929"/>
      <c r="BY11" s="929"/>
      <c r="BZ11" s="929"/>
      <c r="CA11" s="917"/>
      <c r="CB11" s="917"/>
      <c r="CC11" s="917"/>
      <c r="CD11" s="923"/>
      <c r="CE11" s="923"/>
      <c r="CF11" s="923"/>
      <c r="CG11" s="923"/>
      <c r="CH11" s="915"/>
      <c r="CI11" s="923"/>
      <c r="CJ11" s="923"/>
      <c r="CK11" s="923"/>
      <c r="CL11" s="923"/>
      <c r="CM11" s="931"/>
      <c r="CN11" s="931"/>
      <c r="CO11" s="931"/>
      <c r="CP11" s="931"/>
      <c r="CQ11" s="931"/>
      <c r="CR11" s="931"/>
      <c r="CS11" s="931"/>
      <c r="CT11" s="967"/>
      <c r="CU11" s="967"/>
      <c r="CV11" s="967"/>
      <c r="CW11" s="967"/>
      <c r="CX11" s="932"/>
      <c r="CY11" s="923"/>
      <c r="CZ11" s="923"/>
      <c r="DA11" s="923"/>
      <c r="DB11" s="932"/>
      <c r="DC11" s="923"/>
      <c r="DD11" s="923"/>
      <c r="DE11" s="923"/>
      <c r="DF11" s="920"/>
      <c r="DG11" s="598"/>
      <c r="DH11" s="935"/>
      <c r="DI11" s="951"/>
      <c r="DJ11" s="951"/>
      <c r="DK11" s="951"/>
      <c r="DL11" s="935"/>
      <c r="DM11" s="951"/>
      <c r="DN11" s="951"/>
      <c r="DO11" s="951"/>
      <c r="DP11" s="930"/>
      <c r="DQ11" s="594"/>
      <c r="DR11" s="1187"/>
      <c r="DS11" s="1186"/>
      <c r="DT11" s="935"/>
      <c r="DU11" s="951"/>
      <c r="DV11" s="951"/>
      <c r="DW11" s="951"/>
      <c r="DX11" s="951"/>
      <c r="DY11" s="934"/>
      <c r="DZ11" s="934"/>
      <c r="EA11" s="934"/>
      <c r="EB11" s="1185"/>
      <c r="EC11" s="951"/>
      <c r="ED11" s="951"/>
      <c r="EE11" s="951"/>
      <c r="EF11" s="951"/>
      <c r="EG11" s="951"/>
      <c r="EH11" s="951"/>
      <c r="EI11" s="951"/>
      <c r="EJ11" s="951"/>
      <c r="EK11" s="951"/>
      <c r="EL11" s="1185"/>
      <c r="EM11" s="951"/>
      <c r="EN11" s="1185"/>
      <c r="EO11" s="951"/>
      <c r="EP11" s="951"/>
      <c r="EQ11" s="951"/>
      <c r="ER11" s="951"/>
      <c r="ES11" s="951"/>
      <c r="ET11" s="950"/>
      <c r="EU11" s="951"/>
      <c r="EV11" s="951"/>
      <c r="EW11" s="951"/>
      <c r="EX11" s="951"/>
      <c r="EY11" s="951"/>
      <c r="EZ11" s="950"/>
      <c r="FA11" s="951"/>
      <c r="FB11" s="951"/>
      <c r="FC11" s="951"/>
      <c r="FD11" s="950"/>
      <c r="FE11" s="951"/>
      <c r="FF11" s="951"/>
      <c r="FG11" s="951"/>
      <c r="FH11" s="951"/>
      <c r="FI11" s="951"/>
      <c r="FJ11" s="951"/>
    </row>
    <row r="12" spans="1:166" s="229" customFormat="1" ht="17" hidden="1" customHeight="1">
      <c r="A12" s="79" t="s">
        <v>84</v>
      </c>
      <c r="B12" s="362">
        <v>63</v>
      </c>
      <c r="C12" s="362"/>
      <c r="D12" s="362">
        <v>7</v>
      </c>
      <c r="E12" s="604" t="s">
        <v>1924</v>
      </c>
      <c r="F12" s="124" t="s">
        <v>2141</v>
      </c>
      <c r="G12" s="125">
        <v>1996</v>
      </c>
      <c r="H12" s="79">
        <v>8770439</v>
      </c>
      <c r="I12" s="79">
        <v>1</v>
      </c>
      <c r="J12" s="126"/>
      <c r="K12" s="127"/>
      <c r="L12" s="164">
        <v>1</v>
      </c>
      <c r="M12" s="79"/>
      <c r="N12" s="79">
        <v>1</v>
      </c>
      <c r="O12" s="128">
        <v>1</v>
      </c>
      <c r="P12" s="79" t="s">
        <v>35</v>
      </c>
      <c r="Q12" s="79" t="s">
        <v>1143</v>
      </c>
      <c r="R12" s="79" t="s">
        <v>25</v>
      </c>
      <c r="S12" s="79">
        <v>1</v>
      </c>
      <c r="T12" s="79"/>
      <c r="U12" s="79"/>
      <c r="V12" s="79"/>
      <c r="W12" s="79" t="s">
        <v>34</v>
      </c>
      <c r="X12" s="79" t="s">
        <v>33</v>
      </c>
      <c r="Y12" s="79" t="s">
        <v>33</v>
      </c>
      <c r="Z12" s="79"/>
      <c r="AA12" s="79"/>
      <c r="AB12" s="79"/>
      <c r="AC12" s="506" t="s">
        <v>6168</v>
      </c>
      <c r="AD12" s="573">
        <v>1</v>
      </c>
      <c r="AE12" s="573">
        <v>0</v>
      </c>
      <c r="AF12" s="924">
        <v>2</v>
      </c>
      <c r="AG12" s="925"/>
      <c r="AH12" s="911"/>
      <c r="AI12" s="923">
        <v>2</v>
      </c>
      <c r="AJ12" s="923"/>
      <c r="AK12" s="926"/>
      <c r="AL12" s="588"/>
      <c r="AM12" s="927"/>
      <c r="AN12" s="923"/>
      <c r="AO12" s="923"/>
      <c r="AP12" s="923"/>
      <c r="AQ12" s="923"/>
      <c r="AR12" s="923"/>
      <c r="AS12" s="936"/>
      <c r="AT12" s="923"/>
      <c r="AU12" s="923"/>
      <c r="AV12" s="923"/>
      <c r="AW12" s="923"/>
      <c r="AX12" s="923"/>
      <c r="AY12" s="923"/>
      <c r="AZ12" s="915"/>
      <c r="BA12" s="923"/>
      <c r="BB12" s="923"/>
      <c r="BC12" s="923"/>
      <c r="BD12" s="915"/>
      <c r="BE12" s="915"/>
      <c r="BF12" s="923"/>
      <c r="BG12" s="923"/>
      <c r="BH12" s="594"/>
      <c r="BI12" s="594"/>
      <c r="BJ12" s="156"/>
      <c r="BK12" s="156"/>
      <c r="BL12" s="156">
        <v>1</v>
      </c>
      <c r="BM12" s="156"/>
      <c r="BN12" s="156"/>
      <c r="BO12" s="156"/>
      <c r="BP12" s="156"/>
      <c r="BQ12" s="156"/>
      <c r="BR12" s="156"/>
      <c r="BS12" s="156"/>
      <c r="BT12" s="156"/>
      <c r="BU12" s="156"/>
      <c r="BV12" s="156"/>
      <c r="BW12" s="928"/>
      <c r="BX12" s="929"/>
      <c r="BY12" s="929"/>
      <c r="BZ12" s="929"/>
      <c r="CA12" s="917"/>
      <c r="CB12" s="917"/>
      <c r="CC12" s="917"/>
      <c r="CD12" s="923"/>
      <c r="CE12" s="923"/>
      <c r="CF12" s="923"/>
      <c r="CG12" s="923"/>
      <c r="CH12" s="915"/>
      <c r="CI12" s="923"/>
      <c r="CJ12" s="923"/>
      <c r="CK12" s="923"/>
      <c r="CL12" s="923"/>
      <c r="CM12" s="930"/>
      <c r="CN12" s="931"/>
      <c r="CO12" s="931"/>
      <c r="CP12" s="931"/>
      <c r="CQ12" s="931"/>
      <c r="CR12" s="931"/>
      <c r="CS12" s="931"/>
      <c r="CT12" s="967"/>
      <c r="CU12" s="967"/>
      <c r="CV12" s="967"/>
      <c r="CW12" s="967"/>
      <c r="CX12" s="932"/>
      <c r="CY12" s="923"/>
      <c r="CZ12" s="923"/>
      <c r="DA12" s="934"/>
      <c r="DB12" s="932"/>
      <c r="DC12" s="934"/>
      <c r="DD12" s="934"/>
      <c r="DE12" s="923"/>
      <c r="DF12" s="920"/>
      <c r="DG12" s="598"/>
      <c r="DH12" s="950"/>
      <c r="DI12" s="951"/>
      <c r="DJ12" s="951"/>
      <c r="DK12" s="951"/>
      <c r="DL12" s="950"/>
      <c r="DM12" s="951"/>
      <c r="DN12" s="951"/>
      <c r="DO12" s="951"/>
      <c r="DP12" s="930"/>
      <c r="DQ12" s="594"/>
      <c r="DR12" s="1187"/>
      <c r="DS12" s="1186"/>
      <c r="DT12" s="950"/>
      <c r="DU12" s="951"/>
      <c r="DV12" s="951"/>
      <c r="DW12" s="951"/>
      <c r="DX12" s="951"/>
      <c r="DY12" s="934"/>
      <c r="DZ12" s="934"/>
      <c r="EA12" s="934"/>
      <c r="EB12" s="1185"/>
      <c r="EC12" s="951"/>
      <c r="ED12" s="951"/>
      <c r="EE12" s="951"/>
      <c r="EF12" s="951"/>
      <c r="EG12" s="951"/>
      <c r="EH12" s="951"/>
      <c r="EI12" s="951"/>
      <c r="EJ12" s="951"/>
      <c r="EK12" s="951"/>
      <c r="EL12" s="1185"/>
      <c r="EM12" s="951"/>
      <c r="EN12" s="1185"/>
      <c r="EO12" s="951"/>
      <c r="EP12" s="951"/>
      <c r="EQ12" s="951"/>
      <c r="ER12" s="951"/>
      <c r="ES12" s="951"/>
      <c r="ET12" s="950"/>
      <c r="EU12" s="951"/>
      <c r="EV12" s="951"/>
      <c r="EW12" s="951"/>
      <c r="EX12" s="951"/>
      <c r="EY12" s="951"/>
      <c r="EZ12" s="950"/>
      <c r="FA12" s="951"/>
      <c r="FB12" s="951"/>
      <c r="FC12" s="951"/>
      <c r="FD12" s="950"/>
      <c r="FE12" s="951"/>
      <c r="FF12" s="951"/>
      <c r="FG12" s="951"/>
      <c r="FH12" s="951"/>
      <c r="FI12" s="951"/>
      <c r="FJ12" s="951"/>
    </row>
    <row r="13" spans="1:166" s="229" customFormat="1" ht="16" hidden="1" customHeight="1">
      <c r="A13" s="153" t="s">
        <v>1115</v>
      </c>
      <c r="B13" s="618">
        <v>64</v>
      </c>
      <c r="C13" s="618"/>
      <c r="D13" s="618">
        <v>8</v>
      </c>
      <c r="E13" s="610" t="s">
        <v>2049</v>
      </c>
      <c r="F13" s="368" t="s">
        <v>2292</v>
      </c>
      <c r="G13" s="369">
        <v>2012</v>
      </c>
      <c r="H13" s="153">
        <v>22522023</v>
      </c>
      <c r="I13" s="153">
        <v>1</v>
      </c>
      <c r="J13" s="370" t="s">
        <v>1835</v>
      </c>
      <c r="K13" s="371"/>
      <c r="L13" s="153">
        <v>0</v>
      </c>
      <c r="M13" s="153"/>
      <c r="N13" s="153">
        <v>0</v>
      </c>
      <c r="O13" s="153">
        <v>2</v>
      </c>
      <c r="P13" s="153" t="s">
        <v>24</v>
      </c>
      <c r="Q13" s="153" t="s">
        <v>1171</v>
      </c>
      <c r="R13" s="153" t="s">
        <v>1130</v>
      </c>
      <c r="S13" s="153"/>
      <c r="T13" s="153" t="s">
        <v>1495</v>
      </c>
      <c r="U13" s="153" t="s">
        <v>1539</v>
      </c>
      <c r="V13" s="153" t="s">
        <v>23</v>
      </c>
      <c r="W13" s="153" t="s">
        <v>1799</v>
      </c>
      <c r="X13" s="153" t="s">
        <v>1131</v>
      </c>
      <c r="Y13" s="153" t="s">
        <v>1132</v>
      </c>
      <c r="Z13" s="153"/>
      <c r="AA13" s="153"/>
      <c r="AB13" s="153" t="s">
        <v>1798</v>
      </c>
      <c r="AC13" s="536" t="s">
        <v>6169</v>
      </c>
      <c r="AD13" s="536">
        <v>1</v>
      </c>
      <c r="AE13" s="536">
        <v>1</v>
      </c>
      <c r="AF13" s="576">
        <v>0</v>
      </c>
      <c r="AG13" s="577" t="s">
        <v>7472</v>
      </c>
      <c r="AH13" s="509"/>
      <c r="AI13" s="120">
        <v>4</v>
      </c>
      <c r="AJ13" s="120"/>
      <c r="AK13" s="206" t="s">
        <v>6658</v>
      </c>
      <c r="AL13" s="372">
        <v>0</v>
      </c>
      <c r="AM13" s="207">
        <v>1</v>
      </c>
      <c r="AN13" s="120"/>
      <c r="AO13" s="120">
        <v>8</v>
      </c>
      <c r="AP13" s="120">
        <v>8</v>
      </c>
      <c r="AQ13" s="120" t="s">
        <v>6661</v>
      </c>
      <c r="AR13" s="120" t="s">
        <v>6661</v>
      </c>
      <c r="AS13" s="120"/>
      <c r="AT13" s="120"/>
      <c r="AU13" s="120"/>
      <c r="AV13" s="120"/>
      <c r="AW13" s="120" t="s">
        <v>6651</v>
      </c>
      <c r="AX13" s="120"/>
      <c r="AY13" s="120"/>
      <c r="AZ13" s="755" t="s">
        <v>7317</v>
      </c>
      <c r="BA13" s="120">
        <v>1</v>
      </c>
      <c r="BB13" s="120">
        <v>1</v>
      </c>
      <c r="BC13" s="120" t="s">
        <v>6652</v>
      </c>
      <c r="BD13" s="755"/>
      <c r="BE13" s="755"/>
      <c r="BF13" s="120" t="s">
        <v>1130</v>
      </c>
      <c r="BG13" s="120" t="s">
        <v>6653</v>
      </c>
      <c r="BH13" s="377" t="s">
        <v>1917</v>
      </c>
      <c r="BI13" s="377"/>
      <c r="BJ13" s="373"/>
      <c r="BK13" s="373"/>
      <c r="BL13" s="373"/>
      <c r="BM13" s="373"/>
      <c r="BN13" s="373"/>
      <c r="BO13" s="373"/>
      <c r="BP13" s="373"/>
      <c r="BQ13" s="373"/>
      <c r="BR13" s="373"/>
      <c r="BS13" s="373"/>
      <c r="BT13" s="373"/>
      <c r="BU13" s="373"/>
      <c r="BV13" s="373"/>
      <c r="BW13" s="599"/>
      <c r="BX13" s="374" t="s">
        <v>7383</v>
      </c>
      <c r="BY13" s="374"/>
      <c r="BZ13" s="374"/>
      <c r="CA13" s="511"/>
      <c r="CB13" s="511"/>
      <c r="CC13" s="511"/>
      <c r="CD13" s="120" t="s">
        <v>1876</v>
      </c>
      <c r="CE13" s="120" t="s">
        <v>3369</v>
      </c>
      <c r="CF13" s="120"/>
      <c r="CG13" s="120" t="s">
        <v>6659</v>
      </c>
      <c r="CH13" s="755"/>
      <c r="CI13" s="120" t="s">
        <v>6655</v>
      </c>
      <c r="CJ13" s="120"/>
      <c r="CK13" s="120" t="s">
        <v>6654</v>
      </c>
      <c r="CL13" s="120" t="s">
        <v>2659</v>
      </c>
      <c r="CM13" s="375"/>
      <c r="CN13" s="380"/>
      <c r="CO13" s="380"/>
      <c r="CP13" s="380"/>
      <c r="CQ13" s="380"/>
      <c r="CR13" s="380"/>
      <c r="CS13" s="380"/>
      <c r="CT13" s="380"/>
      <c r="CU13" s="380"/>
      <c r="CV13" s="380"/>
      <c r="CW13" s="380"/>
      <c r="CX13" s="376"/>
      <c r="CY13" s="120"/>
      <c r="CZ13" s="120"/>
      <c r="DA13" s="120"/>
      <c r="DB13" s="376"/>
      <c r="DC13" s="120"/>
      <c r="DD13" s="120"/>
      <c r="DE13" s="120"/>
      <c r="DF13" s="515"/>
      <c r="DG13" s="513"/>
      <c r="DH13" s="727"/>
      <c r="DI13" s="384"/>
      <c r="DJ13" s="384"/>
      <c r="DK13" s="384"/>
      <c r="DL13" s="727"/>
      <c r="DM13" s="384"/>
      <c r="DN13" s="384"/>
      <c r="DO13" s="384"/>
      <c r="DP13" s="375"/>
      <c r="DQ13" s="377"/>
      <c r="DR13" s="1182"/>
      <c r="DS13" s="956"/>
      <c r="DT13" s="727"/>
      <c r="DU13" s="683"/>
      <c r="DV13" s="384"/>
      <c r="DW13" s="683"/>
      <c r="DX13" s="384"/>
      <c r="DY13" s="683"/>
      <c r="DZ13" s="384"/>
      <c r="EA13" s="683"/>
      <c r="EB13" s="1012"/>
      <c r="EC13" s="384"/>
      <c r="ED13" s="384"/>
      <c r="EE13" s="683"/>
      <c r="EF13" s="384"/>
      <c r="EG13" s="683"/>
      <c r="EH13" s="384"/>
      <c r="EI13" s="683"/>
      <c r="EJ13" s="384"/>
      <c r="EK13" s="683"/>
      <c r="EL13" s="1012"/>
      <c r="EM13" s="384"/>
      <c r="EN13" s="804"/>
      <c r="EO13" s="683"/>
      <c r="EP13" s="384"/>
      <c r="EQ13" s="384"/>
      <c r="ER13" s="384"/>
      <c r="ES13" s="384"/>
      <c r="ET13" s="727"/>
      <c r="EU13" s="384"/>
      <c r="EV13" s="384"/>
      <c r="EW13" s="384"/>
      <c r="EX13" s="384"/>
      <c r="EY13" s="384"/>
      <c r="EZ13" s="727"/>
      <c r="FA13" s="384"/>
      <c r="FB13" s="384"/>
      <c r="FC13" s="384"/>
      <c r="FD13" s="727"/>
      <c r="FE13" s="384"/>
      <c r="FF13" s="384"/>
      <c r="FG13" s="384"/>
      <c r="FH13" s="384"/>
      <c r="FI13" s="384"/>
      <c r="FJ13" s="384"/>
    </row>
    <row r="14" spans="1:166" ht="15" hidden="1" customHeight="1">
      <c r="A14" s="153" t="s">
        <v>87</v>
      </c>
      <c r="B14" s="618">
        <v>65</v>
      </c>
      <c r="C14" s="618"/>
      <c r="D14" s="618">
        <v>9</v>
      </c>
      <c r="E14" s="610" t="s">
        <v>1925</v>
      </c>
      <c r="F14" s="368" t="s">
        <v>2142</v>
      </c>
      <c r="G14" s="369">
        <v>2015</v>
      </c>
      <c r="H14" s="153">
        <v>26184460</v>
      </c>
      <c r="I14" s="153">
        <v>1</v>
      </c>
      <c r="J14" s="370" t="s">
        <v>1773</v>
      </c>
      <c r="K14" s="371" t="s">
        <v>1755</v>
      </c>
      <c r="L14" s="153">
        <v>0</v>
      </c>
      <c r="M14" s="153" t="s">
        <v>1731</v>
      </c>
      <c r="N14" s="153">
        <v>1</v>
      </c>
      <c r="O14" s="153">
        <v>1</v>
      </c>
      <c r="P14" s="153" t="s">
        <v>38</v>
      </c>
      <c r="Q14" s="153" t="s">
        <v>1144</v>
      </c>
      <c r="R14" s="153" t="s">
        <v>25</v>
      </c>
      <c r="S14" s="153">
        <v>1</v>
      </c>
      <c r="T14" s="153"/>
      <c r="U14" s="153"/>
      <c r="V14" s="153"/>
      <c r="W14" s="153"/>
      <c r="X14" s="153" t="s">
        <v>39</v>
      </c>
      <c r="Y14" s="153"/>
      <c r="Z14" s="153"/>
      <c r="AA14" s="153"/>
      <c r="AB14" s="153"/>
      <c r="AC14" s="536" t="s">
        <v>6170</v>
      </c>
      <c r="AD14" s="536">
        <v>1</v>
      </c>
      <c r="AE14" s="536">
        <v>0</v>
      </c>
      <c r="AF14" s="165">
        <v>0</v>
      </c>
      <c r="AG14" s="166" t="s">
        <v>7218</v>
      </c>
      <c r="AH14" s="509">
        <v>0</v>
      </c>
      <c r="AI14" s="120">
        <v>2</v>
      </c>
      <c r="AJ14" s="120"/>
      <c r="AK14" s="206"/>
      <c r="AL14" s="372"/>
      <c r="AM14" s="207"/>
      <c r="AN14" s="120"/>
      <c r="AO14" s="120"/>
      <c r="AP14" s="120"/>
      <c r="AQ14" s="120"/>
      <c r="AR14" s="120"/>
      <c r="AS14" s="120"/>
      <c r="AT14" s="120"/>
      <c r="AU14" s="120"/>
      <c r="AV14" s="120"/>
      <c r="AW14" s="120"/>
      <c r="AX14" s="120"/>
      <c r="AY14" s="120"/>
      <c r="AZ14" s="755"/>
      <c r="BA14" s="120"/>
      <c r="BB14" s="120"/>
      <c r="BC14" s="120"/>
      <c r="BD14" s="755"/>
      <c r="BE14" s="755"/>
      <c r="BF14" s="120"/>
      <c r="BG14" s="120"/>
      <c r="BH14" s="377"/>
      <c r="BI14" s="377">
        <v>1</v>
      </c>
      <c r="BJ14" s="373"/>
      <c r="BK14" s="373"/>
      <c r="BL14" s="373"/>
      <c r="BM14" s="373"/>
      <c r="BN14" s="373"/>
      <c r="BO14" s="373"/>
      <c r="BP14" s="373"/>
      <c r="BQ14" s="373"/>
      <c r="BR14" s="373"/>
      <c r="BS14" s="373"/>
      <c r="BT14" s="373"/>
      <c r="BU14" s="373"/>
      <c r="BV14" s="373">
        <v>1</v>
      </c>
      <c r="BW14" s="599"/>
      <c r="BX14" s="374"/>
      <c r="BY14" s="374"/>
      <c r="BZ14" s="374"/>
      <c r="CA14" s="510"/>
      <c r="CB14" s="510"/>
      <c r="CC14" s="510"/>
      <c r="CD14" s="120"/>
      <c r="CE14" s="120"/>
      <c r="CF14" s="120"/>
      <c r="CG14" s="120"/>
      <c r="CH14" s="755"/>
      <c r="CI14" s="120"/>
      <c r="CJ14" s="120"/>
      <c r="CK14" s="120"/>
      <c r="CL14" s="120"/>
      <c r="CM14" s="380"/>
      <c r="CN14" s="380"/>
      <c r="CO14" s="380"/>
      <c r="CP14" s="380"/>
      <c r="CQ14" s="380"/>
      <c r="CR14" s="380"/>
      <c r="CS14" s="380"/>
      <c r="CT14" s="380"/>
      <c r="CU14" s="380"/>
      <c r="CV14" s="380"/>
      <c r="CW14" s="380"/>
      <c r="CX14" s="376"/>
      <c r="CY14" s="120"/>
      <c r="CZ14" s="120"/>
      <c r="DA14" s="120"/>
      <c r="DB14" s="376"/>
      <c r="DC14" s="120"/>
      <c r="DD14" s="120"/>
      <c r="DE14" s="120"/>
      <c r="DF14" s="515"/>
      <c r="DG14" s="513"/>
      <c r="DH14" s="727"/>
      <c r="DI14" s="384"/>
      <c r="DJ14" s="384"/>
      <c r="DK14" s="384"/>
      <c r="DL14" s="727"/>
      <c r="DM14" s="384"/>
      <c r="DN14" s="384"/>
      <c r="DO14" s="384"/>
      <c r="DP14" s="375"/>
      <c r="DQ14" s="377"/>
      <c r="DR14" s="1182"/>
      <c r="DS14" s="956"/>
      <c r="DT14" s="727"/>
      <c r="DU14" s="384"/>
      <c r="DV14" s="384"/>
      <c r="DW14" s="384"/>
      <c r="DX14" s="384"/>
      <c r="DY14" s="120"/>
      <c r="DZ14" s="120"/>
      <c r="EA14" s="120"/>
      <c r="EB14" s="1012"/>
      <c r="EC14" s="384"/>
      <c r="ED14" s="384"/>
      <c r="EE14" s="384"/>
      <c r="EF14" s="384"/>
      <c r="EG14" s="384"/>
      <c r="EH14" s="384"/>
      <c r="EI14" s="384"/>
      <c r="EJ14" s="384"/>
      <c r="EK14" s="384"/>
      <c r="EL14" s="1012"/>
      <c r="EM14" s="384"/>
      <c r="EN14" s="1012"/>
      <c r="EO14" s="384"/>
      <c r="EP14" s="384"/>
      <c r="EQ14" s="384"/>
      <c r="ER14" s="384"/>
      <c r="ES14" s="384"/>
      <c r="ET14" s="727"/>
      <c r="EU14" s="384"/>
      <c r="EV14" s="384"/>
      <c r="EW14" s="384"/>
      <c r="EX14" s="384"/>
      <c r="EY14" s="384"/>
      <c r="EZ14" s="727"/>
      <c r="FA14" s="384"/>
      <c r="FB14" s="384"/>
      <c r="FC14" s="384"/>
      <c r="FD14" s="727"/>
      <c r="FE14" s="384"/>
      <c r="FF14" s="384"/>
      <c r="FG14" s="384"/>
      <c r="FH14" s="384"/>
      <c r="FI14" s="384"/>
      <c r="FJ14" s="384"/>
    </row>
    <row r="15" spans="1:166" s="229" customFormat="1" ht="15" hidden="1" customHeight="1">
      <c r="A15" s="79" t="s">
        <v>1114</v>
      </c>
      <c r="B15" s="362">
        <v>66</v>
      </c>
      <c r="C15" s="362"/>
      <c r="D15" s="362">
        <v>10</v>
      </c>
      <c r="E15" s="604" t="s">
        <v>2050</v>
      </c>
      <c r="F15" s="124" t="s">
        <v>2293</v>
      </c>
      <c r="G15" s="125">
        <v>2011</v>
      </c>
      <c r="H15" s="79">
        <v>21843541</v>
      </c>
      <c r="I15" s="79">
        <v>1</v>
      </c>
      <c r="J15" s="126">
        <v>1</v>
      </c>
      <c r="K15" s="127" t="s">
        <v>1786</v>
      </c>
      <c r="L15" s="164">
        <v>1</v>
      </c>
      <c r="M15" s="79"/>
      <c r="N15" s="79">
        <v>0</v>
      </c>
      <c r="O15" s="128">
        <v>2</v>
      </c>
      <c r="P15" s="79" t="s">
        <v>1133</v>
      </c>
      <c r="Q15" s="79" t="s">
        <v>1170</v>
      </c>
      <c r="R15" s="79" t="s">
        <v>1127</v>
      </c>
      <c r="S15" s="79"/>
      <c r="T15" s="79" t="s">
        <v>1543</v>
      </c>
      <c r="U15" s="79" t="s">
        <v>23</v>
      </c>
      <c r="V15" s="79" t="s">
        <v>23</v>
      </c>
      <c r="W15" s="79" t="s">
        <v>23</v>
      </c>
      <c r="X15" s="79" t="s">
        <v>1134</v>
      </c>
      <c r="Y15" s="79" t="s">
        <v>24</v>
      </c>
      <c r="Z15" s="79"/>
      <c r="AA15" s="79"/>
      <c r="AB15" s="79" t="s">
        <v>1135</v>
      </c>
      <c r="AC15" s="506" t="s">
        <v>6173</v>
      </c>
      <c r="AD15" s="573">
        <v>1</v>
      </c>
      <c r="AE15" s="573">
        <v>0</v>
      </c>
      <c r="AF15" s="924">
        <v>2</v>
      </c>
      <c r="AG15" s="925"/>
      <c r="AH15" s="911"/>
      <c r="AI15" s="923">
        <v>4</v>
      </c>
      <c r="AJ15" s="923"/>
      <c r="AK15" s="926"/>
      <c r="AL15" s="588"/>
      <c r="AM15" s="927"/>
      <c r="AN15" s="923"/>
      <c r="AO15" s="923"/>
      <c r="AP15" s="923"/>
      <c r="AQ15" s="923"/>
      <c r="AR15" s="923"/>
      <c r="AS15" s="923"/>
      <c r="AT15" s="923"/>
      <c r="AU15" s="923"/>
      <c r="AV15" s="923"/>
      <c r="AW15" s="923"/>
      <c r="AX15" s="923"/>
      <c r="AY15" s="923"/>
      <c r="AZ15" s="915"/>
      <c r="BA15" s="923"/>
      <c r="BB15" s="923"/>
      <c r="BC15" s="923"/>
      <c r="BD15" s="915"/>
      <c r="BE15" s="915"/>
      <c r="BF15" s="923"/>
      <c r="BG15" s="923"/>
      <c r="BH15" s="594"/>
      <c r="BI15" s="594">
        <v>1</v>
      </c>
      <c r="BJ15" s="156"/>
      <c r="BK15" s="156"/>
      <c r="BL15" s="156"/>
      <c r="BM15" s="156" t="s">
        <v>1917</v>
      </c>
      <c r="BN15" s="156"/>
      <c r="BO15" s="156"/>
      <c r="BP15" s="156"/>
      <c r="BQ15" s="156"/>
      <c r="BR15" s="156"/>
      <c r="BS15" s="156"/>
      <c r="BT15" s="156"/>
      <c r="BU15" s="156"/>
      <c r="BV15" s="156"/>
      <c r="BW15" s="928"/>
      <c r="BX15" s="929"/>
      <c r="BY15" s="929"/>
      <c r="BZ15" s="929"/>
      <c r="CA15" s="917"/>
      <c r="CB15" s="917"/>
      <c r="CC15" s="917"/>
      <c r="CD15" s="923"/>
      <c r="CE15" s="923"/>
      <c r="CF15" s="923"/>
      <c r="CG15" s="923"/>
      <c r="CH15" s="915"/>
      <c r="CI15" s="923"/>
      <c r="CJ15" s="923"/>
      <c r="CK15" s="923"/>
      <c r="CL15" s="923"/>
      <c r="CM15" s="930"/>
      <c r="CN15" s="931"/>
      <c r="CO15" s="931"/>
      <c r="CP15" s="931"/>
      <c r="CQ15" s="931"/>
      <c r="CR15" s="931"/>
      <c r="CS15" s="931"/>
      <c r="CT15" s="967"/>
      <c r="CU15" s="967"/>
      <c r="CV15" s="967"/>
      <c r="CW15" s="967"/>
      <c r="CX15" s="932"/>
      <c r="CY15" s="934"/>
      <c r="CZ15" s="923"/>
      <c r="DA15" s="934"/>
      <c r="DB15" s="932"/>
      <c r="DC15" s="923"/>
      <c r="DD15" s="923"/>
      <c r="DE15" s="923"/>
      <c r="DF15" s="920"/>
      <c r="DG15" s="598"/>
      <c r="DH15" s="950"/>
      <c r="DI15" s="951"/>
      <c r="DJ15" s="951"/>
      <c r="DK15" s="951"/>
      <c r="DL15" s="950"/>
      <c r="DM15" s="951"/>
      <c r="DN15" s="951"/>
      <c r="DO15" s="951"/>
      <c r="DP15" s="930"/>
      <c r="DQ15" s="594"/>
      <c r="DR15" s="1187"/>
      <c r="DS15" s="1186"/>
      <c r="DT15" s="950"/>
      <c r="DU15" s="951"/>
      <c r="DV15" s="951"/>
      <c r="DW15" s="951"/>
      <c r="DX15" s="951"/>
      <c r="DY15" s="951"/>
      <c r="DZ15" s="951"/>
      <c r="EA15" s="951"/>
      <c r="EB15" s="1185"/>
      <c r="EC15" s="951"/>
      <c r="ED15" s="951"/>
      <c r="EE15" s="934"/>
      <c r="EF15" s="934"/>
      <c r="EG15" s="934"/>
      <c r="EH15" s="951"/>
      <c r="EI15" s="951"/>
      <c r="EJ15" s="951"/>
      <c r="EK15" s="951"/>
      <c r="EL15" s="1185"/>
      <c r="EM15" s="951"/>
      <c r="EN15" s="1185"/>
      <c r="EO15" s="951"/>
      <c r="EP15" s="951"/>
      <c r="EQ15" s="951"/>
      <c r="ER15" s="951"/>
      <c r="ES15" s="951"/>
      <c r="ET15" s="950"/>
      <c r="EU15" s="951"/>
      <c r="EV15" s="951"/>
      <c r="EW15" s="951"/>
      <c r="EX15" s="951"/>
      <c r="EY15" s="951"/>
      <c r="EZ15" s="950"/>
      <c r="FA15" s="951"/>
      <c r="FB15" s="951"/>
      <c r="FC15" s="951"/>
      <c r="FD15" s="950"/>
      <c r="FE15" s="951"/>
      <c r="FF15" s="951"/>
      <c r="FG15" s="951"/>
      <c r="FH15" s="951"/>
      <c r="FI15" s="951"/>
      <c r="FJ15" s="951"/>
    </row>
    <row r="16" spans="1:166" s="229" customFormat="1" ht="15" hidden="1" customHeight="1">
      <c r="A16" s="79" t="s">
        <v>90</v>
      </c>
      <c r="B16" s="362">
        <v>67</v>
      </c>
      <c r="C16" s="362"/>
      <c r="D16" s="362">
        <v>11</v>
      </c>
      <c r="E16" s="604" t="s">
        <v>1926</v>
      </c>
      <c r="F16" s="124" t="s">
        <v>2143</v>
      </c>
      <c r="G16" s="125">
        <v>2012</v>
      </c>
      <c r="H16" s="79">
        <v>23341282</v>
      </c>
      <c r="I16" s="79">
        <v>1</v>
      </c>
      <c r="J16" s="126"/>
      <c r="K16" s="127"/>
      <c r="L16" s="79">
        <v>1</v>
      </c>
      <c r="M16" s="79"/>
      <c r="N16" s="79">
        <v>1</v>
      </c>
      <c r="O16" s="128">
        <v>1</v>
      </c>
      <c r="P16" s="79" t="s">
        <v>46</v>
      </c>
      <c r="Q16" s="79" t="s">
        <v>1143</v>
      </c>
      <c r="R16" s="79" t="s">
        <v>47</v>
      </c>
      <c r="S16" s="79">
        <v>1</v>
      </c>
      <c r="T16" s="79"/>
      <c r="U16" s="79"/>
      <c r="V16" s="79"/>
      <c r="W16" s="79" t="s">
        <v>46</v>
      </c>
      <c r="X16" s="79" t="s">
        <v>12</v>
      </c>
      <c r="Y16" s="79" t="s">
        <v>12</v>
      </c>
      <c r="Z16" s="79"/>
      <c r="AA16" s="79"/>
      <c r="AB16" s="79"/>
      <c r="AC16" s="506" t="s">
        <v>31</v>
      </c>
      <c r="AD16" s="573">
        <v>1</v>
      </c>
      <c r="AE16" s="573">
        <v>0</v>
      </c>
      <c r="AF16" s="924">
        <v>2</v>
      </c>
      <c r="AG16" s="925"/>
      <c r="AH16" s="911"/>
      <c r="AI16" s="923">
        <v>2</v>
      </c>
      <c r="AJ16" s="923"/>
      <c r="AK16" s="926"/>
      <c r="AL16" s="588"/>
      <c r="AM16" s="927"/>
      <c r="AN16" s="923"/>
      <c r="AO16" s="923"/>
      <c r="AP16" s="923"/>
      <c r="AQ16" s="923"/>
      <c r="AR16" s="923"/>
      <c r="AS16" s="923"/>
      <c r="AT16" s="923"/>
      <c r="AU16" s="923"/>
      <c r="AV16" s="923"/>
      <c r="AW16" s="923"/>
      <c r="AX16" s="923"/>
      <c r="AY16" s="923"/>
      <c r="AZ16" s="915"/>
      <c r="BA16" s="923"/>
      <c r="BB16" s="923"/>
      <c r="BC16" s="923"/>
      <c r="BD16" s="915"/>
      <c r="BE16" s="915"/>
      <c r="BF16" s="923"/>
      <c r="BG16" s="923"/>
      <c r="BH16" s="594"/>
      <c r="BI16" s="594"/>
      <c r="BJ16" s="156"/>
      <c r="BK16" s="156"/>
      <c r="BL16" s="156" t="s">
        <v>5207</v>
      </c>
      <c r="BM16" s="156"/>
      <c r="BN16" s="156"/>
      <c r="BO16" s="156"/>
      <c r="BP16" s="156"/>
      <c r="BQ16" s="156"/>
      <c r="BR16" s="156"/>
      <c r="BS16" s="156"/>
      <c r="BT16" s="156"/>
      <c r="BU16" s="156"/>
      <c r="BV16" s="156"/>
      <c r="BW16" s="928"/>
      <c r="BX16" s="929"/>
      <c r="BY16" s="929"/>
      <c r="BZ16" s="929"/>
      <c r="CA16" s="917"/>
      <c r="CB16" s="917"/>
      <c r="CC16" s="917"/>
      <c r="CD16" s="923"/>
      <c r="CE16" s="923"/>
      <c r="CF16" s="923"/>
      <c r="CG16" s="923"/>
      <c r="CH16" s="915"/>
      <c r="CI16" s="923"/>
      <c r="CJ16" s="923"/>
      <c r="CK16" s="923"/>
      <c r="CL16" s="923"/>
      <c r="CM16" s="930"/>
      <c r="CN16" s="931"/>
      <c r="CO16" s="931"/>
      <c r="CP16" s="931"/>
      <c r="CQ16" s="931"/>
      <c r="CR16" s="931"/>
      <c r="CS16" s="931"/>
      <c r="CT16" s="967"/>
      <c r="CU16" s="967"/>
      <c r="CV16" s="967"/>
      <c r="CW16" s="967"/>
      <c r="CX16" s="932"/>
      <c r="CY16" s="923"/>
      <c r="CZ16" s="923"/>
      <c r="DA16" s="934"/>
      <c r="DB16" s="932"/>
      <c r="DC16" s="923"/>
      <c r="DD16" s="923"/>
      <c r="DE16" s="923"/>
      <c r="DF16" s="920"/>
      <c r="DG16" s="598"/>
      <c r="DH16" s="950"/>
      <c r="DI16" s="951"/>
      <c r="DJ16" s="951"/>
      <c r="DK16" s="951"/>
      <c r="DL16" s="950"/>
      <c r="DM16" s="951"/>
      <c r="DN16" s="951"/>
      <c r="DO16" s="951"/>
      <c r="DP16" s="930"/>
      <c r="DQ16" s="937"/>
      <c r="DR16" s="920"/>
      <c r="DS16" s="184"/>
      <c r="DT16" s="950"/>
      <c r="DU16" s="951"/>
      <c r="DV16" s="951"/>
      <c r="DW16" s="951"/>
      <c r="DX16" s="951"/>
      <c r="DY16" s="951"/>
      <c r="DZ16" s="951"/>
      <c r="EA16" s="951"/>
      <c r="EB16" s="1185"/>
      <c r="EC16" s="951"/>
      <c r="ED16" s="951"/>
      <c r="EE16" s="934"/>
      <c r="EF16" s="934"/>
      <c r="EG16" s="934"/>
      <c r="EH16" s="951"/>
      <c r="EI16" s="951"/>
      <c r="EJ16" s="951"/>
      <c r="EK16" s="951"/>
      <c r="EL16" s="1185"/>
      <c r="EM16" s="951"/>
      <c r="EN16" s="1185"/>
      <c r="EO16" s="951"/>
      <c r="EP16" s="951"/>
      <c r="EQ16" s="951"/>
      <c r="ER16" s="951"/>
      <c r="ES16" s="951"/>
      <c r="ET16" s="950"/>
      <c r="EU16" s="951"/>
      <c r="EV16" s="951"/>
      <c r="EW16" s="951"/>
      <c r="EX16" s="951"/>
      <c r="EY16" s="951"/>
      <c r="EZ16" s="950"/>
      <c r="FA16" s="951"/>
      <c r="FB16" s="951"/>
      <c r="FC16" s="951"/>
      <c r="FD16" s="950"/>
      <c r="FE16" s="951"/>
      <c r="FF16" s="951"/>
      <c r="FG16" s="951"/>
      <c r="FH16" s="951"/>
      <c r="FI16" s="951"/>
      <c r="FJ16" s="951"/>
    </row>
    <row r="17" spans="1:166" s="229" customFormat="1" ht="15" hidden="1" customHeight="1">
      <c r="A17" s="153" t="s">
        <v>1112</v>
      </c>
      <c r="B17" s="618">
        <v>68</v>
      </c>
      <c r="C17" s="618">
        <v>5</v>
      </c>
      <c r="D17" s="618"/>
      <c r="E17" s="610" t="s">
        <v>2051</v>
      </c>
      <c r="F17" s="368" t="s">
        <v>2294</v>
      </c>
      <c r="G17" s="369">
        <v>2011</v>
      </c>
      <c r="H17" s="153">
        <v>20849863</v>
      </c>
      <c r="I17" s="153">
        <v>1</v>
      </c>
      <c r="J17" s="370">
        <v>1</v>
      </c>
      <c r="K17" s="371"/>
      <c r="L17" s="153">
        <v>0</v>
      </c>
      <c r="M17" s="153"/>
      <c r="N17" s="153">
        <v>0</v>
      </c>
      <c r="O17" s="153">
        <v>2</v>
      </c>
      <c r="P17" s="153" t="s">
        <v>1834</v>
      </c>
      <c r="Q17" s="153" t="s">
        <v>24</v>
      </c>
      <c r="R17" s="153" t="s">
        <v>1127</v>
      </c>
      <c r="S17" s="153"/>
      <c r="T17" s="153" t="s">
        <v>1541</v>
      </c>
      <c r="U17" s="153" t="s">
        <v>23</v>
      </c>
      <c r="V17" s="153" t="s">
        <v>23</v>
      </c>
      <c r="W17" s="153" t="s">
        <v>1813</v>
      </c>
      <c r="X17" s="153" t="s">
        <v>23</v>
      </c>
      <c r="Y17" s="153" t="s">
        <v>1137</v>
      </c>
      <c r="Z17" s="153"/>
      <c r="AA17" s="153"/>
      <c r="AB17" s="153" t="s">
        <v>424</v>
      </c>
      <c r="AC17" s="536"/>
      <c r="AD17" s="536">
        <v>1</v>
      </c>
      <c r="AE17" s="536">
        <v>2</v>
      </c>
      <c r="AF17" s="165">
        <v>0</v>
      </c>
      <c r="AG17" s="166" t="s">
        <v>7715</v>
      </c>
      <c r="AH17" s="509">
        <v>0</v>
      </c>
      <c r="AI17" s="120">
        <v>4</v>
      </c>
      <c r="AJ17" s="120"/>
      <c r="AK17" s="834" t="s">
        <v>3831</v>
      </c>
      <c r="AL17" s="372">
        <v>0</v>
      </c>
      <c r="AM17" s="207">
        <v>0</v>
      </c>
      <c r="AN17" s="120">
        <v>20</v>
      </c>
      <c r="AO17" s="120">
        <v>10</v>
      </c>
      <c r="AP17" s="120">
        <v>10</v>
      </c>
      <c r="AQ17" s="120" t="s">
        <v>803</v>
      </c>
      <c r="AR17" s="120" t="s">
        <v>803</v>
      </c>
      <c r="AS17" s="120" t="s">
        <v>2468</v>
      </c>
      <c r="AT17" s="120" t="s">
        <v>24</v>
      </c>
      <c r="AU17" s="120" t="s">
        <v>2468</v>
      </c>
      <c r="AV17" s="120" t="s">
        <v>24</v>
      </c>
      <c r="AW17" s="120" t="s">
        <v>3819</v>
      </c>
      <c r="AX17" s="120">
        <v>10</v>
      </c>
      <c r="AY17" s="120">
        <v>3</v>
      </c>
      <c r="AZ17" s="755" t="s">
        <v>1814</v>
      </c>
      <c r="BA17" s="120">
        <v>1</v>
      </c>
      <c r="BB17" s="120" t="s">
        <v>3820</v>
      </c>
      <c r="BC17" s="120" t="s">
        <v>3821</v>
      </c>
      <c r="BD17" s="755" t="s">
        <v>7523</v>
      </c>
      <c r="BE17" s="755"/>
      <c r="BF17" s="120" t="s">
        <v>2912</v>
      </c>
      <c r="BG17" s="120" t="s">
        <v>3279</v>
      </c>
      <c r="BH17" s="377"/>
      <c r="BI17" s="377"/>
      <c r="BJ17" s="373">
        <v>1</v>
      </c>
      <c r="BK17" s="373"/>
      <c r="BL17" s="373"/>
      <c r="BM17" s="373"/>
      <c r="BN17" s="373"/>
      <c r="BO17" s="373"/>
      <c r="BP17" s="373"/>
      <c r="BQ17" s="373"/>
      <c r="BR17" s="373"/>
      <c r="BS17" s="373"/>
      <c r="BT17" s="373"/>
      <c r="BU17" s="373"/>
      <c r="BV17" s="373"/>
      <c r="BW17" s="599" t="s">
        <v>6701</v>
      </c>
      <c r="BX17" s="374" t="s">
        <v>6657</v>
      </c>
      <c r="BY17" s="799" t="s">
        <v>7613</v>
      </c>
      <c r="BZ17" s="374" t="s">
        <v>803</v>
      </c>
      <c r="CA17" s="511">
        <v>1</v>
      </c>
      <c r="CB17" s="511" t="s">
        <v>7556</v>
      </c>
      <c r="CC17" s="511" t="s">
        <v>7384</v>
      </c>
      <c r="CD17" s="509" t="s">
        <v>7427</v>
      </c>
      <c r="CE17" s="120">
        <v>2</v>
      </c>
      <c r="CF17" s="786" t="s">
        <v>7579</v>
      </c>
      <c r="CG17" s="120" t="s">
        <v>7385</v>
      </c>
      <c r="CH17" s="755" t="s">
        <v>7310</v>
      </c>
      <c r="CI17" s="120" t="s">
        <v>3822</v>
      </c>
      <c r="CJ17" s="120">
        <v>1</v>
      </c>
      <c r="CK17" s="120" t="s">
        <v>3224</v>
      </c>
      <c r="CL17" s="120" t="s">
        <v>2659</v>
      </c>
      <c r="CM17" s="375" t="s">
        <v>3830</v>
      </c>
      <c r="CN17" s="380" t="s">
        <v>6627</v>
      </c>
      <c r="CO17" s="380"/>
      <c r="CP17" s="380"/>
      <c r="CQ17" s="380"/>
      <c r="CR17" s="380"/>
      <c r="CS17" s="380"/>
      <c r="CT17" s="380"/>
      <c r="CU17" s="380"/>
      <c r="CV17" s="380"/>
      <c r="CW17" s="380"/>
      <c r="CX17" s="376" t="s">
        <v>3824</v>
      </c>
      <c r="CY17" s="120">
        <v>15.779500000000001</v>
      </c>
      <c r="CZ17" s="120" t="s">
        <v>24</v>
      </c>
      <c r="DA17" s="683">
        <f>21.673-Table66[[#This Row],[Data_Outcome1_M]]</f>
        <v>5.8934999999999977</v>
      </c>
      <c r="DB17" s="376" t="s">
        <v>3825</v>
      </c>
      <c r="DC17" s="120">
        <v>58.174900000000001</v>
      </c>
      <c r="DD17" s="120" t="s">
        <v>24</v>
      </c>
      <c r="DE17" s="120">
        <f>67.8707-Table66[[#This Row],[Data_Outcome2_M]]</f>
        <v>9.6957999999999984</v>
      </c>
      <c r="DF17" s="515" t="s">
        <v>24</v>
      </c>
      <c r="DG17" s="513" t="s">
        <v>24</v>
      </c>
      <c r="DH17" s="720" t="s">
        <v>3826</v>
      </c>
      <c r="DI17" s="384">
        <v>69.581699999999998</v>
      </c>
      <c r="DJ17" s="384" t="s">
        <v>24</v>
      </c>
      <c r="DK17" s="384">
        <f>76.8061-Table66[[#This Row],[Data_Outcome3_M]]</f>
        <v>7.2244000000000028</v>
      </c>
      <c r="DL17" s="720" t="s">
        <v>3827</v>
      </c>
      <c r="DM17" s="384">
        <v>70.532300000000006</v>
      </c>
      <c r="DN17" s="384" t="s">
        <v>24</v>
      </c>
      <c r="DO17" s="384">
        <f>82.3194-Table66[[#This Row],[Data_Outcome4_M]]</f>
        <v>11.787099999999995</v>
      </c>
      <c r="DP17" s="375" t="s">
        <v>24</v>
      </c>
      <c r="DQ17" s="377" t="s">
        <v>24</v>
      </c>
      <c r="DR17" s="1182" t="s">
        <v>24</v>
      </c>
      <c r="DS17" s="956" t="s">
        <v>24</v>
      </c>
      <c r="DT17" s="720" t="s">
        <v>3828</v>
      </c>
      <c r="DU17" s="384">
        <v>65.779499999999999</v>
      </c>
      <c r="DV17" s="384" t="s">
        <v>24</v>
      </c>
      <c r="DW17" s="384">
        <f>77.9468-Table66[[#This Row],[Data_Outcome5_M]]</f>
        <v>12.167299999999997</v>
      </c>
      <c r="DX17" s="384" t="s">
        <v>24</v>
      </c>
      <c r="DY17" s="120" t="s">
        <v>24</v>
      </c>
      <c r="DZ17" s="120" t="s">
        <v>24</v>
      </c>
      <c r="EA17" s="120" t="s">
        <v>24</v>
      </c>
      <c r="EB17" s="1012" t="s">
        <v>3829</v>
      </c>
      <c r="EC17" s="384"/>
      <c r="ED17" s="384"/>
      <c r="EE17" s="683"/>
      <c r="EF17" s="683"/>
      <c r="EG17" s="683"/>
      <c r="EH17" s="384"/>
      <c r="EI17" s="384"/>
      <c r="EJ17" s="384"/>
      <c r="EK17" s="384"/>
      <c r="EL17" s="1012"/>
      <c r="EM17" s="384"/>
      <c r="EN17" s="1012"/>
      <c r="EO17" s="384"/>
      <c r="EP17" s="384"/>
      <c r="EQ17" s="384"/>
      <c r="ER17" s="384"/>
      <c r="ES17" s="384"/>
      <c r="ET17" s="727"/>
      <c r="EU17" s="384"/>
      <c r="EV17" s="384"/>
      <c r="EW17" s="384"/>
      <c r="EX17" s="384"/>
      <c r="EY17" s="384"/>
      <c r="EZ17" s="727"/>
      <c r="FA17" s="384"/>
      <c r="FB17" s="384"/>
      <c r="FC17" s="384"/>
      <c r="FD17" s="727"/>
      <c r="FE17" s="384"/>
      <c r="FF17" s="384"/>
      <c r="FG17" s="384"/>
      <c r="FH17" s="384"/>
      <c r="FI17" s="384"/>
      <c r="FJ17" s="384"/>
    </row>
    <row r="18" spans="1:166" s="229" customFormat="1" ht="16" hidden="1" customHeight="1">
      <c r="A18" s="79" t="s">
        <v>91</v>
      </c>
      <c r="B18" s="362">
        <v>69</v>
      </c>
      <c r="C18" s="362"/>
      <c r="D18" s="362">
        <v>12</v>
      </c>
      <c r="E18" s="604" t="s">
        <v>1927</v>
      </c>
      <c r="F18" s="124" t="s">
        <v>2144</v>
      </c>
      <c r="G18" s="125">
        <v>1998</v>
      </c>
      <c r="H18" s="79">
        <v>9870231</v>
      </c>
      <c r="I18" s="79">
        <v>1</v>
      </c>
      <c r="J18" s="126"/>
      <c r="K18" s="127"/>
      <c r="L18" s="79">
        <v>1</v>
      </c>
      <c r="M18" s="79"/>
      <c r="N18" s="79">
        <v>1</v>
      </c>
      <c r="O18" s="128">
        <v>1</v>
      </c>
      <c r="P18" s="79" t="s">
        <v>1182</v>
      </c>
      <c r="Q18" s="79" t="s">
        <v>1181</v>
      </c>
      <c r="R18" s="79" t="s">
        <v>47</v>
      </c>
      <c r="S18" s="79">
        <v>1</v>
      </c>
      <c r="T18" s="79"/>
      <c r="U18" s="79"/>
      <c r="V18" s="79"/>
      <c r="W18" s="79" t="s">
        <v>49</v>
      </c>
      <c r="X18" s="79" t="s">
        <v>12</v>
      </c>
      <c r="Y18" s="79" t="s">
        <v>48</v>
      </c>
      <c r="Z18" s="79"/>
      <c r="AA18" s="79"/>
      <c r="AB18" s="79"/>
      <c r="AC18" s="506" t="s">
        <v>6176</v>
      </c>
      <c r="AD18" s="573">
        <v>1</v>
      </c>
      <c r="AE18" s="573">
        <v>0</v>
      </c>
      <c r="AF18" s="924">
        <v>2</v>
      </c>
      <c r="AG18" s="925"/>
      <c r="AH18" s="911"/>
      <c r="AI18" s="923">
        <v>2</v>
      </c>
      <c r="AJ18" s="923"/>
      <c r="AK18" s="926"/>
      <c r="AL18" s="588"/>
      <c r="AM18" s="927"/>
      <c r="AN18" s="923"/>
      <c r="AO18" s="923"/>
      <c r="AP18" s="923"/>
      <c r="AQ18" s="923"/>
      <c r="AR18" s="923"/>
      <c r="AS18" s="923"/>
      <c r="AT18" s="923"/>
      <c r="AU18" s="923"/>
      <c r="AV18" s="923"/>
      <c r="AW18" s="923"/>
      <c r="AX18" s="923"/>
      <c r="AY18" s="923"/>
      <c r="AZ18" s="915"/>
      <c r="BA18" s="923"/>
      <c r="BB18" s="923"/>
      <c r="BC18" s="923"/>
      <c r="BD18" s="915"/>
      <c r="BE18" s="915"/>
      <c r="BF18" s="923"/>
      <c r="BG18" s="923"/>
      <c r="BH18" s="594"/>
      <c r="BI18" s="594"/>
      <c r="BJ18" s="156"/>
      <c r="BK18" s="156"/>
      <c r="BL18" s="156" t="s">
        <v>5207</v>
      </c>
      <c r="BM18" s="156"/>
      <c r="BN18" s="156"/>
      <c r="BO18" s="156" t="s">
        <v>4727</v>
      </c>
      <c r="BP18" s="156"/>
      <c r="BQ18" s="156"/>
      <c r="BR18" s="156"/>
      <c r="BS18" s="156"/>
      <c r="BT18" s="156"/>
      <c r="BU18" s="156"/>
      <c r="BV18" s="156"/>
      <c r="BW18" s="928"/>
      <c r="BX18" s="929"/>
      <c r="BY18" s="929"/>
      <c r="BZ18" s="929"/>
      <c r="CA18" s="917"/>
      <c r="CB18" s="917"/>
      <c r="CC18" s="917"/>
      <c r="CD18" s="923"/>
      <c r="CE18" s="923"/>
      <c r="CF18" s="923"/>
      <c r="CG18" s="923"/>
      <c r="CH18" s="915"/>
      <c r="CI18" s="923"/>
      <c r="CJ18" s="923"/>
      <c r="CK18" s="923"/>
      <c r="CL18" s="923"/>
      <c r="CM18" s="930"/>
      <c r="CN18" s="931"/>
      <c r="CO18" s="931"/>
      <c r="CP18" s="931"/>
      <c r="CQ18" s="931"/>
      <c r="CR18" s="931"/>
      <c r="CS18" s="931"/>
      <c r="CT18" s="967"/>
      <c r="CU18" s="967"/>
      <c r="CV18" s="967"/>
      <c r="CW18" s="967"/>
      <c r="CX18" s="932"/>
      <c r="CY18" s="923"/>
      <c r="CZ18" s="923"/>
      <c r="DA18" s="934"/>
      <c r="DB18" s="938"/>
      <c r="DC18" s="939"/>
      <c r="DD18" s="938"/>
      <c r="DE18" s="940"/>
      <c r="DF18" s="920"/>
      <c r="DG18" s="598"/>
      <c r="DH18" s="950"/>
      <c r="DI18" s="951"/>
      <c r="DJ18" s="951"/>
      <c r="DK18" s="951"/>
      <c r="DL18" s="950"/>
      <c r="DM18" s="951"/>
      <c r="DN18" s="951"/>
      <c r="DO18" s="951"/>
      <c r="DP18" s="930"/>
      <c r="DQ18" s="594"/>
      <c r="DR18" s="1187"/>
      <c r="DS18" s="1186"/>
      <c r="DT18" s="950"/>
      <c r="DU18" s="951"/>
      <c r="DV18" s="951"/>
      <c r="DW18" s="951"/>
      <c r="DX18" s="951"/>
      <c r="DY18" s="951"/>
      <c r="DZ18" s="951"/>
      <c r="EA18" s="951"/>
      <c r="EB18" s="1185"/>
      <c r="EC18" s="951"/>
      <c r="ED18" s="951"/>
      <c r="EE18" s="934"/>
      <c r="EF18" s="934"/>
      <c r="EG18" s="934"/>
      <c r="EH18" s="951"/>
      <c r="EI18" s="951"/>
      <c r="EJ18" s="951"/>
      <c r="EK18" s="951"/>
      <c r="EL18" s="1185"/>
      <c r="EM18" s="951"/>
      <c r="EN18" s="1185"/>
      <c r="EO18" s="951"/>
      <c r="EP18" s="951"/>
      <c r="EQ18" s="951"/>
      <c r="ER18" s="951"/>
      <c r="ES18" s="951"/>
      <c r="ET18" s="950"/>
      <c r="EU18" s="951"/>
      <c r="EV18" s="951"/>
      <c r="EW18" s="951"/>
      <c r="EX18" s="951"/>
      <c r="EY18" s="951"/>
      <c r="EZ18" s="950"/>
      <c r="FA18" s="951"/>
      <c r="FB18" s="951"/>
      <c r="FC18" s="951"/>
      <c r="FD18" s="950"/>
      <c r="FE18" s="951"/>
      <c r="FF18" s="951"/>
      <c r="FG18" s="951"/>
      <c r="FH18" s="951"/>
      <c r="FI18" s="951"/>
      <c r="FJ18" s="951"/>
    </row>
    <row r="19" spans="1:166" s="229" customFormat="1" ht="16" customHeight="1">
      <c r="A19" s="118" t="s">
        <v>1083</v>
      </c>
      <c r="B19" s="614">
        <v>13</v>
      </c>
      <c r="C19" s="614"/>
      <c r="D19" s="614"/>
      <c r="E19" s="605" t="s">
        <v>2060</v>
      </c>
      <c r="F19" s="140" t="s">
        <v>2312</v>
      </c>
      <c r="G19" s="141">
        <v>2012</v>
      </c>
      <c r="H19" s="118">
        <v>21925525</v>
      </c>
      <c r="I19" s="118">
        <v>1</v>
      </c>
      <c r="J19" s="118" t="s">
        <v>1831</v>
      </c>
      <c r="K19" s="118"/>
      <c r="L19" s="118">
        <v>0</v>
      </c>
      <c r="M19" s="118"/>
      <c r="N19" s="158">
        <v>0</v>
      </c>
      <c r="O19" s="142">
        <v>2</v>
      </c>
      <c r="P19" s="118" t="s">
        <v>1273</v>
      </c>
      <c r="Q19" s="118" t="s">
        <v>1212</v>
      </c>
      <c r="R19" s="118" t="s">
        <v>1127</v>
      </c>
      <c r="S19" s="118"/>
      <c r="T19" s="118" t="s">
        <v>1829</v>
      </c>
      <c r="U19" s="118"/>
      <c r="V19" s="118"/>
      <c r="W19" s="118" t="s">
        <v>1830</v>
      </c>
      <c r="X19" s="118"/>
      <c r="Y19" s="118"/>
      <c r="Z19" s="118"/>
      <c r="AA19" s="118"/>
      <c r="AB19" s="118" t="s">
        <v>1488</v>
      </c>
      <c r="AC19" s="145"/>
      <c r="AD19" s="573">
        <v>1</v>
      </c>
      <c r="AE19" s="573">
        <v>2</v>
      </c>
      <c r="AF19" s="159">
        <v>1</v>
      </c>
      <c r="AG19" s="160" t="s">
        <v>7665</v>
      </c>
      <c r="AH19" s="704">
        <v>0</v>
      </c>
      <c r="AI19" s="122">
        <v>4</v>
      </c>
      <c r="AJ19" s="485"/>
      <c r="AK19" s="204" t="s">
        <v>2774</v>
      </c>
      <c r="AL19" s="192">
        <v>1</v>
      </c>
      <c r="AM19" s="227">
        <v>0</v>
      </c>
      <c r="AN19" s="150">
        <f>8+8+8</f>
        <v>24</v>
      </c>
      <c r="AO19" s="150">
        <v>8</v>
      </c>
      <c r="AP19" s="150">
        <v>8</v>
      </c>
      <c r="AQ19" s="150" t="s">
        <v>803</v>
      </c>
      <c r="AR19" s="150" t="s">
        <v>803</v>
      </c>
      <c r="AS19" s="150" t="s">
        <v>7502</v>
      </c>
      <c r="AT19" s="150" t="s">
        <v>24</v>
      </c>
      <c r="AU19" s="150" t="s">
        <v>7502</v>
      </c>
      <c r="AV19" s="150" t="s">
        <v>24</v>
      </c>
      <c r="AW19" s="150" t="s">
        <v>7666</v>
      </c>
      <c r="AX19" s="150">
        <v>10</v>
      </c>
      <c r="AY19" s="150">
        <v>0.8</v>
      </c>
      <c r="AZ19" s="753" t="s">
        <v>1814</v>
      </c>
      <c r="BA19" s="150">
        <v>1</v>
      </c>
      <c r="BB19" s="150" t="s">
        <v>3322</v>
      </c>
      <c r="BC19" s="150" t="s">
        <v>7536</v>
      </c>
      <c r="BD19" s="753" t="s">
        <v>7523</v>
      </c>
      <c r="BE19" s="753"/>
      <c r="BF19" s="150" t="s">
        <v>2730</v>
      </c>
      <c r="BG19" s="150" t="s">
        <v>2733</v>
      </c>
      <c r="BH19" s="588"/>
      <c r="BI19" s="588"/>
      <c r="BJ19" s="161">
        <v>1</v>
      </c>
      <c r="BK19" s="161"/>
      <c r="BL19" s="161"/>
      <c r="BM19" s="161"/>
      <c r="BN19" s="161"/>
      <c r="BO19" s="161"/>
      <c r="BP19" s="161"/>
      <c r="BQ19" s="161"/>
      <c r="BR19" s="161"/>
      <c r="BS19" s="161"/>
      <c r="BT19" s="161"/>
      <c r="BU19" s="161"/>
      <c r="BV19" s="161"/>
      <c r="BW19" s="596" t="s">
        <v>2775</v>
      </c>
      <c r="BX19" s="162" t="s">
        <v>6597</v>
      </c>
      <c r="BY19" s="797" t="s">
        <v>7615</v>
      </c>
      <c r="BZ19" s="790" t="s">
        <v>7609</v>
      </c>
      <c r="CA19" s="765">
        <v>4</v>
      </c>
      <c r="CB19" s="765" t="s">
        <v>7556</v>
      </c>
      <c r="CC19" s="765" t="s">
        <v>7380</v>
      </c>
      <c r="CD19" s="150" t="s">
        <v>1876</v>
      </c>
      <c r="CE19" s="150">
        <v>3</v>
      </c>
      <c r="CF19" s="400"/>
      <c r="CG19" s="150" t="s">
        <v>7461</v>
      </c>
      <c r="CH19" s="753" t="s">
        <v>1488</v>
      </c>
      <c r="CI19" s="150" t="s">
        <v>2471</v>
      </c>
      <c r="CJ19" s="150"/>
      <c r="CK19" s="150" t="s">
        <v>2659</v>
      </c>
      <c r="CL19" s="134" t="s">
        <v>2659</v>
      </c>
      <c r="CM19" s="258" t="s">
        <v>7667</v>
      </c>
      <c r="CN19" s="257" t="s">
        <v>6627</v>
      </c>
      <c r="CO19" s="829">
        <v>14</v>
      </c>
      <c r="CP19" s="829">
        <v>1</v>
      </c>
      <c r="CQ19" s="829">
        <v>3</v>
      </c>
      <c r="CR19" s="829">
        <v>1</v>
      </c>
      <c r="CS19" s="829">
        <v>-1</v>
      </c>
      <c r="CT19" s="968"/>
      <c r="CU19" s="1289" t="s">
        <v>8104</v>
      </c>
      <c r="CV19" s="1295">
        <v>70</v>
      </c>
      <c r="CW19" s="1295">
        <v>62</v>
      </c>
      <c r="CX19" s="151" t="s">
        <v>2757</v>
      </c>
      <c r="CY19" s="150">
        <v>24.540400000000002</v>
      </c>
      <c r="CZ19" s="150" t="s">
        <v>24</v>
      </c>
      <c r="DA19" s="150">
        <f>28.697-Table66[[#This Row],[Data_Outcome1_M]]</f>
        <v>4.1565999999999974</v>
      </c>
      <c r="DB19" s="151" t="s">
        <v>2745</v>
      </c>
      <c r="DC19" s="150">
        <v>11.990399999999999</v>
      </c>
      <c r="DD19" s="150" t="s">
        <v>24</v>
      </c>
      <c r="DE19" s="150">
        <f>14.3885-Table66[[#This Row],[Data_Outcome2_M]]</f>
        <v>2.3981000000000012</v>
      </c>
      <c r="DF19" s="294"/>
      <c r="DG19" s="295"/>
      <c r="DH19" s="1178"/>
      <c r="DI19" s="500"/>
      <c r="DJ19" s="1164"/>
      <c r="DK19" s="500"/>
      <c r="DL19" s="311"/>
      <c r="DM19" s="665"/>
      <c r="DN19" s="1166"/>
      <c r="DO19" s="1150"/>
      <c r="DP19" s="1781"/>
      <c r="DQ19" s="1781"/>
      <c r="DR19" s="1166"/>
      <c r="DS19" s="1164"/>
      <c r="DT19" s="1164"/>
      <c r="DU19" s="1164"/>
      <c r="DV19" s="311"/>
      <c r="DW19" s="313"/>
      <c r="DX19" s="121"/>
      <c r="DY19" s="121"/>
      <c r="DZ19" s="1169"/>
      <c r="EA19" s="121"/>
      <c r="EB19" s="304"/>
      <c r="EC19" s="312"/>
      <c r="ED19" s="1169"/>
      <c r="EE19" s="121"/>
      <c r="EF19" s="1169"/>
      <c r="EG19" s="121"/>
      <c r="EH19" s="1169"/>
      <c r="EI19" s="121"/>
      <c r="EJ19" s="1169"/>
      <c r="EK19" s="121"/>
      <c r="EL19" s="304"/>
      <c r="EM19" s="312"/>
      <c r="EN19" s="276"/>
      <c r="EO19" s="277"/>
      <c r="EP19" s="121"/>
      <c r="EQ19" s="121"/>
      <c r="ER19" s="121"/>
      <c r="ES19" s="121"/>
      <c r="ET19" s="121"/>
      <c r="EU19" s="121"/>
      <c r="EV19" s="121"/>
      <c r="EW19" s="121"/>
      <c r="EX19" s="301"/>
      <c r="EY19" s="301"/>
      <c r="EZ19" s="121"/>
      <c r="FA19" s="121"/>
      <c r="FB19" s="1164"/>
      <c r="FC19" s="1164"/>
      <c r="FD19" s="1169"/>
      <c r="FE19" s="1169"/>
      <c r="FF19" s="1169"/>
      <c r="FG19" s="1169"/>
      <c r="FH19" s="313"/>
      <c r="FI19" s="303"/>
      <c r="FJ19" s="1165"/>
    </row>
    <row r="20" spans="1:166" s="229" customFormat="1" ht="16" customHeight="1">
      <c r="A20" s="118" t="s">
        <v>1083</v>
      </c>
      <c r="B20" s="614">
        <v>13</v>
      </c>
      <c r="C20" s="614"/>
      <c r="D20" s="614"/>
      <c r="E20" s="605" t="s">
        <v>2060</v>
      </c>
      <c r="F20" s="140" t="s">
        <v>2312</v>
      </c>
      <c r="G20" s="141">
        <v>2012</v>
      </c>
      <c r="H20" s="118">
        <v>21925525</v>
      </c>
      <c r="I20" s="118">
        <v>1</v>
      </c>
      <c r="J20" s="118" t="s">
        <v>1831</v>
      </c>
      <c r="K20" s="118"/>
      <c r="L20" s="118">
        <v>0</v>
      </c>
      <c r="M20" s="118"/>
      <c r="N20" s="158">
        <v>0</v>
      </c>
      <c r="O20" s="142">
        <v>2</v>
      </c>
      <c r="P20" s="118" t="s">
        <v>1273</v>
      </c>
      <c r="Q20" s="118" t="s">
        <v>1212</v>
      </c>
      <c r="R20" s="118" t="s">
        <v>1127</v>
      </c>
      <c r="S20" s="118"/>
      <c r="T20" s="118" t="s">
        <v>1829</v>
      </c>
      <c r="U20" s="118"/>
      <c r="V20" s="118"/>
      <c r="W20" s="118" t="s">
        <v>1830</v>
      </c>
      <c r="X20" s="118"/>
      <c r="Y20" s="118"/>
      <c r="Z20" s="118"/>
      <c r="AA20" s="118"/>
      <c r="AB20" s="118" t="s">
        <v>1488</v>
      </c>
      <c r="AC20" s="145"/>
      <c r="AD20" s="573">
        <v>1</v>
      </c>
      <c r="AE20" s="573">
        <v>2</v>
      </c>
      <c r="AF20" s="159">
        <v>1</v>
      </c>
      <c r="AG20" s="160" t="s">
        <v>7665</v>
      </c>
      <c r="AH20" s="704">
        <v>0</v>
      </c>
      <c r="AI20" s="122">
        <v>4</v>
      </c>
      <c r="AJ20" s="485"/>
      <c r="AK20" s="204" t="s">
        <v>2774</v>
      </c>
      <c r="AL20" s="192">
        <v>1</v>
      </c>
      <c r="AM20" s="227">
        <v>0</v>
      </c>
      <c r="AN20" s="150">
        <f>8+8+8</f>
        <v>24</v>
      </c>
      <c r="AO20" s="150">
        <v>8</v>
      </c>
      <c r="AP20" s="150">
        <v>8</v>
      </c>
      <c r="AQ20" s="150" t="s">
        <v>803</v>
      </c>
      <c r="AR20" s="150" t="s">
        <v>803</v>
      </c>
      <c r="AS20" s="150" t="s">
        <v>7502</v>
      </c>
      <c r="AT20" s="150" t="s">
        <v>24</v>
      </c>
      <c r="AU20" s="150" t="s">
        <v>7502</v>
      </c>
      <c r="AV20" s="150" t="s">
        <v>24</v>
      </c>
      <c r="AW20" s="150" t="s">
        <v>7666</v>
      </c>
      <c r="AX20" s="150">
        <v>10</v>
      </c>
      <c r="AY20" s="150">
        <v>0.8</v>
      </c>
      <c r="AZ20" s="753" t="s">
        <v>1814</v>
      </c>
      <c r="BA20" s="150">
        <v>1</v>
      </c>
      <c r="BB20" s="150" t="s">
        <v>3322</v>
      </c>
      <c r="BC20" s="150" t="s">
        <v>7536</v>
      </c>
      <c r="BD20" s="753" t="s">
        <v>7523</v>
      </c>
      <c r="BE20" s="753"/>
      <c r="BF20" s="150" t="s">
        <v>2730</v>
      </c>
      <c r="BG20" s="150" t="s">
        <v>2733</v>
      </c>
      <c r="BH20" s="588"/>
      <c r="BI20" s="588"/>
      <c r="BJ20" s="161">
        <v>1</v>
      </c>
      <c r="BK20" s="161"/>
      <c r="BL20" s="161"/>
      <c r="BM20" s="161"/>
      <c r="BN20" s="161"/>
      <c r="BO20" s="161"/>
      <c r="BP20" s="161"/>
      <c r="BQ20" s="161"/>
      <c r="BR20" s="161"/>
      <c r="BS20" s="161"/>
      <c r="BT20" s="161"/>
      <c r="BU20" s="161"/>
      <c r="BV20" s="161"/>
      <c r="BW20" s="596" t="s">
        <v>2775</v>
      </c>
      <c r="BX20" s="162" t="s">
        <v>6597</v>
      </c>
      <c r="BY20" s="797" t="s">
        <v>7615</v>
      </c>
      <c r="BZ20" s="790" t="s">
        <v>7609</v>
      </c>
      <c r="CA20" s="765">
        <v>4</v>
      </c>
      <c r="CB20" s="765" t="s">
        <v>7556</v>
      </c>
      <c r="CC20" s="765" t="s">
        <v>7380</v>
      </c>
      <c r="CD20" s="150" t="s">
        <v>1876</v>
      </c>
      <c r="CE20" s="150">
        <v>3</v>
      </c>
      <c r="CF20" s="400"/>
      <c r="CG20" s="150" t="s">
        <v>7461</v>
      </c>
      <c r="CH20" s="753" t="s">
        <v>1488</v>
      </c>
      <c r="CI20" s="150" t="s">
        <v>2471</v>
      </c>
      <c r="CJ20" s="150"/>
      <c r="CK20" s="150" t="s">
        <v>2659</v>
      </c>
      <c r="CL20" s="134" t="s">
        <v>2659</v>
      </c>
      <c r="CM20" s="258" t="s">
        <v>7667</v>
      </c>
      <c r="CN20" s="257" t="s">
        <v>6627</v>
      </c>
      <c r="CO20" s="829">
        <v>14</v>
      </c>
      <c r="CP20" s="829">
        <v>1</v>
      </c>
      <c r="CQ20" s="829">
        <v>4</v>
      </c>
      <c r="CR20" s="829">
        <v>1</v>
      </c>
      <c r="CS20" s="829">
        <v>-1</v>
      </c>
      <c r="CT20" s="968"/>
      <c r="CU20" s="1289" t="s">
        <v>8104</v>
      </c>
      <c r="CV20" s="1295">
        <v>70</v>
      </c>
      <c r="CW20" s="1295">
        <v>62</v>
      </c>
      <c r="CX20" s="134" t="s">
        <v>2768</v>
      </c>
      <c r="CY20" s="134">
        <v>19.104700000000001</v>
      </c>
      <c r="CZ20" s="828" t="s">
        <v>24</v>
      </c>
      <c r="DA20" s="134">
        <f>24.3805-Table66[[#This Row],[Data_Outcome1_M]]</f>
        <v>5.2758000000000003</v>
      </c>
      <c r="DB20" s="151" t="s">
        <v>2746</v>
      </c>
      <c r="DC20" s="150">
        <v>4.7961600000000004</v>
      </c>
      <c r="DD20" s="150" t="s">
        <v>24</v>
      </c>
      <c r="DE20" s="150">
        <f>6.23501-Table66[[#This Row],[Data_Outcome2_M]]</f>
        <v>1.4388499999999995</v>
      </c>
      <c r="DF20" s="294"/>
      <c r="DG20" s="295"/>
      <c r="DH20" s="1166"/>
      <c r="DI20" s="122"/>
      <c r="DJ20" s="1164"/>
      <c r="DK20" s="122"/>
      <c r="DL20" s="311"/>
      <c r="DM20" s="313"/>
      <c r="DN20" s="1166"/>
      <c r="DO20" s="1164"/>
      <c r="DP20" s="1781"/>
      <c r="DQ20" s="1818"/>
      <c r="DR20" s="1166"/>
      <c r="DS20" s="1164"/>
      <c r="DT20" s="1164"/>
      <c r="DU20" s="1164"/>
      <c r="DV20" s="311"/>
      <c r="DW20" s="313"/>
      <c r="DX20" s="1169"/>
      <c r="DY20" s="121"/>
      <c r="DZ20" s="1169"/>
      <c r="EA20" s="121"/>
      <c r="EB20" s="304"/>
      <c r="EC20" s="312"/>
      <c r="ED20" s="1169"/>
      <c r="EE20" s="121"/>
      <c r="EF20" s="1169"/>
      <c r="EG20" s="121"/>
      <c r="EH20" s="1169"/>
      <c r="EI20" s="121"/>
      <c r="EJ20" s="1169"/>
      <c r="EK20" s="121"/>
      <c r="EL20" s="304"/>
      <c r="EM20" s="312"/>
      <c r="EN20" s="276"/>
      <c r="EO20" s="277"/>
      <c r="EP20" s="121"/>
      <c r="EQ20" s="121"/>
      <c r="ER20" s="121"/>
      <c r="ES20" s="121"/>
      <c r="ET20" s="121"/>
      <c r="EU20" s="121"/>
      <c r="EV20" s="121"/>
      <c r="EW20" s="121"/>
      <c r="EX20" s="301"/>
      <c r="EY20" s="301"/>
      <c r="EZ20" s="121"/>
      <c r="FA20" s="121"/>
      <c r="FB20" s="1164"/>
      <c r="FC20" s="1164"/>
      <c r="FD20" s="1169"/>
      <c r="FE20" s="1169"/>
      <c r="FF20" s="1169"/>
      <c r="FG20" s="1169"/>
      <c r="FH20" s="313"/>
      <c r="FI20" s="303"/>
      <c r="FJ20" s="1165"/>
    </row>
    <row r="21" spans="1:166" s="1780" customFormat="1" ht="16" hidden="1" customHeight="1">
      <c r="A21" s="1740" t="s">
        <v>965</v>
      </c>
      <c r="B21" s="1741">
        <v>234</v>
      </c>
      <c r="C21" s="1741">
        <v>85</v>
      </c>
      <c r="D21" s="1741"/>
      <c r="E21" s="1742" t="s">
        <v>2120</v>
      </c>
      <c r="F21" s="1743" t="s">
        <v>2381</v>
      </c>
      <c r="G21" s="1744">
        <v>2014</v>
      </c>
      <c r="H21" s="1740">
        <v>24975424</v>
      </c>
      <c r="I21" s="1740">
        <v>1</v>
      </c>
      <c r="J21" s="1740" t="s">
        <v>1788</v>
      </c>
      <c r="K21" s="1740" t="s">
        <v>23</v>
      </c>
      <c r="L21" s="1740">
        <v>1</v>
      </c>
      <c r="M21" s="1740"/>
      <c r="N21" s="1740">
        <v>1</v>
      </c>
      <c r="O21" s="1746">
        <v>2</v>
      </c>
      <c r="P21" s="1740" t="s">
        <v>1398</v>
      </c>
      <c r="Q21" s="1740" t="s">
        <v>1216</v>
      </c>
      <c r="R21" s="1740" t="s">
        <v>1127</v>
      </c>
      <c r="S21" s="1740"/>
      <c r="T21" s="1740" t="s">
        <v>1487</v>
      </c>
      <c r="U21" s="1740" t="s">
        <v>803</v>
      </c>
      <c r="V21" s="1740"/>
      <c r="W21" s="1740" t="s">
        <v>1599</v>
      </c>
      <c r="X21" s="1740"/>
      <c r="Y21" s="1740" t="s">
        <v>1132</v>
      </c>
      <c r="Z21" s="1740"/>
      <c r="AA21" s="1740" t="s">
        <v>1598</v>
      </c>
      <c r="AB21" s="1740"/>
      <c r="AC21" s="1747"/>
      <c r="AD21" s="1748">
        <v>1</v>
      </c>
      <c r="AE21" s="1748">
        <v>2</v>
      </c>
      <c r="AF21" s="1786">
        <v>0</v>
      </c>
      <c r="AG21" s="1750" t="s">
        <v>8289</v>
      </c>
      <c r="AH21" s="1751"/>
      <c r="AI21" s="1747">
        <v>4</v>
      </c>
      <c r="AJ21" s="1752" t="s">
        <v>5875</v>
      </c>
      <c r="AK21" s="1753"/>
      <c r="AL21" s="1754" t="s">
        <v>5860</v>
      </c>
      <c r="AM21" s="1755"/>
      <c r="AN21" s="1747">
        <f>Table66[[#This Row],[Data_Subjects_n_ptsd]]+Table66[[#This Row],[Data_Subjects_n_control]]</f>
        <v>16</v>
      </c>
      <c r="AO21" s="1747">
        <f>6</f>
        <v>6</v>
      </c>
      <c r="AP21" s="1747">
        <v>10</v>
      </c>
      <c r="AQ21" s="1740" t="s">
        <v>803</v>
      </c>
      <c r="AR21" s="1747" t="s">
        <v>803</v>
      </c>
      <c r="AS21" s="1747" t="s">
        <v>7506</v>
      </c>
      <c r="AT21" s="1747" t="s">
        <v>24</v>
      </c>
      <c r="AU21" s="1747" t="s">
        <v>7506</v>
      </c>
      <c r="AV21" s="1747" t="s">
        <v>24</v>
      </c>
      <c r="AW21" s="1747" t="s">
        <v>5854</v>
      </c>
      <c r="AX21" s="1747"/>
      <c r="AY21" s="1747"/>
      <c r="AZ21" s="1747" t="s">
        <v>1487</v>
      </c>
      <c r="BA21" s="1747">
        <v>1</v>
      </c>
      <c r="BB21" s="1747">
        <v>1</v>
      </c>
      <c r="BC21" s="1747" t="s">
        <v>8064</v>
      </c>
      <c r="BD21" s="1747" t="s">
        <v>7521</v>
      </c>
      <c r="BE21" s="1747"/>
      <c r="BF21" s="1747" t="s">
        <v>1130</v>
      </c>
      <c r="BG21" s="1788" t="s">
        <v>5880</v>
      </c>
      <c r="BH21" s="1758"/>
      <c r="BI21" s="1758"/>
      <c r="BJ21" s="1758"/>
      <c r="BK21" s="1758"/>
      <c r="BL21" s="1758"/>
      <c r="BM21" s="1758"/>
      <c r="BN21" s="1758"/>
      <c r="BO21" s="1758"/>
      <c r="BP21" s="1758">
        <v>1</v>
      </c>
      <c r="BQ21" s="1758"/>
      <c r="BR21" s="1758"/>
      <c r="BS21" s="1758"/>
      <c r="BT21" s="1758"/>
      <c r="BU21" s="1758"/>
      <c r="BV21" s="1758"/>
      <c r="BW21" s="1759" t="s">
        <v>5832</v>
      </c>
      <c r="BX21" s="1760" t="s">
        <v>6657</v>
      </c>
      <c r="BY21" s="1761" t="s">
        <v>8288</v>
      </c>
      <c r="BZ21" s="1762" t="s">
        <v>803</v>
      </c>
      <c r="CA21" s="1784"/>
      <c r="CB21" s="1784" t="s">
        <v>7556</v>
      </c>
      <c r="CC21" s="1784"/>
      <c r="CD21" s="1756" t="s">
        <v>1876</v>
      </c>
      <c r="CE21" s="1756" t="s">
        <v>5855</v>
      </c>
      <c r="CF21" s="1756" t="s">
        <v>7589</v>
      </c>
      <c r="CG21" s="1756" t="s">
        <v>5833</v>
      </c>
      <c r="CH21" s="1756" t="s">
        <v>7310</v>
      </c>
      <c r="CI21" s="1756" t="s">
        <v>5829</v>
      </c>
      <c r="CJ21" s="1756"/>
      <c r="CK21" s="1756" t="s">
        <v>5834</v>
      </c>
      <c r="CL21" s="1756" t="s">
        <v>24</v>
      </c>
      <c r="CM21" s="1764" t="s">
        <v>5887</v>
      </c>
      <c r="CN21" s="1765" t="s">
        <v>6627</v>
      </c>
      <c r="CO21" s="1766">
        <v>75</v>
      </c>
      <c r="CP21" s="1766">
        <v>1</v>
      </c>
      <c r="CQ21" s="1766">
        <v>1</v>
      </c>
      <c r="CR21" s="1766">
        <v>1</v>
      </c>
      <c r="CS21" s="1766">
        <v>1</v>
      </c>
      <c r="CT21" s="1767"/>
      <c r="CU21" s="1768" t="s">
        <v>1878</v>
      </c>
      <c r="CV21" s="1769" t="s">
        <v>8130</v>
      </c>
      <c r="CW21" s="1769" t="s">
        <v>8130</v>
      </c>
      <c r="CX21" s="1770" t="s">
        <v>5858</v>
      </c>
      <c r="CY21" s="1756">
        <v>11.016500000000001</v>
      </c>
      <c r="CZ21" s="1756" t="s">
        <v>24</v>
      </c>
      <c r="DA21" s="1756">
        <f>16.8274-Table66[[#This Row],[Data_Outcome1_M]]</f>
        <v>5.8109000000000002</v>
      </c>
      <c r="DB21" s="1770" t="s">
        <v>8059</v>
      </c>
      <c r="DC21" s="1756">
        <v>28.716799999999999</v>
      </c>
      <c r="DD21" s="1756" t="s">
        <v>24</v>
      </c>
      <c r="DE21" s="1756">
        <f>33.4623-Table66[[#This Row],[Data_Outcome2_M]]</f>
        <v>4.7454999999999998</v>
      </c>
      <c r="DF21" s="1771" t="s">
        <v>5882</v>
      </c>
      <c r="DG21" s="1820" t="s">
        <v>5881</v>
      </c>
      <c r="DH21" s="1774"/>
      <c r="DI21" s="1774"/>
      <c r="DJ21" s="1774"/>
      <c r="DK21" s="1774"/>
      <c r="DL21" s="1774"/>
      <c r="DM21" s="1774"/>
      <c r="DN21" s="1774"/>
      <c r="DO21" s="1774"/>
      <c r="DP21" s="1771"/>
      <c r="DQ21" s="1772"/>
      <c r="DR21" s="1775"/>
      <c r="DS21" s="1776"/>
      <c r="DT21" s="1773"/>
      <c r="DU21" s="1774"/>
      <c r="DV21" s="1774"/>
      <c r="DW21" s="1774"/>
      <c r="DX21" s="1774"/>
      <c r="DY21" s="1774"/>
      <c r="DZ21" s="1774"/>
      <c r="EA21" s="1774"/>
      <c r="EB21" s="1777"/>
      <c r="EC21" s="1778"/>
      <c r="ED21" s="1774"/>
      <c r="EE21" s="1774"/>
      <c r="EF21" s="1774"/>
      <c r="EG21" s="1774"/>
      <c r="EH21" s="1774"/>
      <c r="EI21" s="1774"/>
      <c r="EJ21" s="1774"/>
      <c r="EK21" s="1774"/>
      <c r="EL21" s="1777"/>
      <c r="EM21" s="1778"/>
      <c r="EN21" s="1775"/>
      <c r="EO21" s="1779"/>
      <c r="EP21" s="1774"/>
      <c r="EQ21" s="1774"/>
      <c r="ER21" s="1774"/>
      <c r="ES21" s="1774"/>
      <c r="ET21" s="1774"/>
      <c r="EU21" s="1774"/>
      <c r="EV21" s="1774"/>
      <c r="EW21" s="1774"/>
      <c r="EX21" s="1778"/>
      <c r="EY21" s="1778"/>
      <c r="EZ21" s="1774"/>
      <c r="FA21" s="1774"/>
      <c r="FB21" s="1774"/>
      <c r="FC21" s="1774"/>
      <c r="FD21" s="1774"/>
      <c r="FE21" s="1774"/>
      <c r="FF21" s="1774"/>
      <c r="FG21" s="1774"/>
      <c r="FH21" s="1778"/>
      <c r="FI21" s="1778"/>
      <c r="FJ21" s="1779"/>
    </row>
    <row r="22" spans="1:166" s="229" customFormat="1" ht="16" hidden="1" customHeight="1">
      <c r="A22" s="1740" t="s">
        <v>965</v>
      </c>
      <c r="B22" s="1741">
        <v>234</v>
      </c>
      <c r="C22" s="1741">
        <v>85</v>
      </c>
      <c r="D22" s="1741"/>
      <c r="E22" s="1742" t="s">
        <v>2120</v>
      </c>
      <c r="F22" s="1743" t="s">
        <v>2381</v>
      </c>
      <c r="G22" s="1744">
        <v>2014</v>
      </c>
      <c r="H22" s="1740">
        <v>24975424</v>
      </c>
      <c r="I22" s="1740">
        <v>1</v>
      </c>
      <c r="J22" s="1740" t="s">
        <v>1788</v>
      </c>
      <c r="K22" s="1740" t="s">
        <v>23</v>
      </c>
      <c r="L22" s="1740">
        <v>1</v>
      </c>
      <c r="M22" s="1740"/>
      <c r="N22" s="1740">
        <v>1</v>
      </c>
      <c r="O22" s="1746">
        <v>2</v>
      </c>
      <c r="P22" s="1740" t="s">
        <v>1398</v>
      </c>
      <c r="Q22" s="1740" t="s">
        <v>1216</v>
      </c>
      <c r="R22" s="1740" t="s">
        <v>1127</v>
      </c>
      <c r="S22" s="1740"/>
      <c r="T22" s="1740" t="s">
        <v>1487</v>
      </c>
      <c r="U22" s="1740" t="s">
        <v>803</v>
      </c>
      <c r="V22" s="1740"/>
      <c r="W22" s="1740" t="s">
        <v>1599</v>
      </c>
      <c r="X22" s="1740"/>
      <c r="Y22" s="1740" t="s">
        <v>1132</v>
      </c>
      <c r="Z22" s="1740"/>
      <c r="AA22" s="1740" t="s">
        <v>1598</v>
      </c>
      <c r="AB22" s="1740"/>
      <c r="AC22" s="1747"/>
      <c r="AD22" s="1748">
        <v>1</v>
      </c>
      <c r="AE22" s="1748">
        <v>2</v>
      </c>
      <c r="AF22" s="1786">
        <v>0</v>
      </c>
      <c r="AG22" s="1750" t="s">
        <v>8290</v>
      </c>
      <c r="AH22" s="1751"/>
      <c r="AI22" s="1747">
        <v>4</v>
      </c>
      <c r="AJ22" s="1752" t="s">
        <v>5875</v>
      </c>
      <c r="AK22" s="1753"/>
      <c r="AL22" s="1754" t="s">
        <v>5860</v>
      </c>
      <c r="AM22" s="1755"/>
      <c r="AN22" s="1747">
        <f>Table66[[#This Row],[Data_Subjects_n_ptsd]]+Table66[[#This Row],[Data_Subjects_n_control]]</f>
        <v>22</v>
      </c>
      <c r="AO22" s="1747">
        <f>6</f>
        <v>6</v>
      </c>
      <c r="AP22" s="1747">
        <v>16</v>
      </c>
      <c r="AQ22" s="1740" t="s">
        <v>803</v>
      </c>
      <c r="AR22" s="1747" t="s">
        <v>803</v>
      </c>
      <c r="AS22" s="1747" t="s">
        <v>7506</v>
      </c>
      <c r="AT22" s="1747" t="s">
        <v>24</v>
      </c>
      <c r="AU22" s="1747" t="s">
        <v>7506</v>
      </c>
      <c r="AV22" s="1747" t="s">
        <v>24</v>
      </c>
      <c r="AW22" s="1747" t="s">
        <v>5854</v>
      </c>
      <c r="AX22" s="1747"/>
      <c r="AY22" s="1747"/>
      <c r="AZ22" s="1747" t="s">
        <v>1487</v>
      </c>
      <c r="BA22" s="1747">
        <v>1</v>
      </c>
      <c r="BB22" s="1747">
        <v>1</v>
      </c>
      <c r="BC22" s="1747" t="s">
        <v>5831</v>
      </c>
      <c r="BD22" s="1747" t="s">
        <v>7526</v>
      </c>
      <c r="BE22" s="1747"/>
      <c r="BF22" s="1747" t="s">
        <v>1130</v>
      </c>
      <c r="BG22" s="1788" t="s">
        <v>5880</v>
      </c>
      <c r="BH22" s="1758"/>
      <c r="BI22" s="1758"/>
      <c r="BJ22" s="1758"/>
      <c r="BK22" s="1758"/>
      <c r="BL22" s="1758"/>
      <c r="BM22" s="1758"/>
      <c r="BN22" s="1758"/>
      <c r="BO22" s="1758"/>
      <c r="BP22" s="1758">
        <v>1</v>
      </c>
      <c r="BQ22" s="1758"/>
      <c r="BR22" s="1758"/>
      <c r="BS22" s="1758"/>
      <c r="BT22" s="1758"/>
      <c r="BU22" s="1758"/>
      <c r="BV22" s="1758"/>
      <c r="BW22" s="1759" t="s">
        <v>5832</v>
      </c>
      <c r="BX22" s="1760" t="s">
        <v>6657</v>
      </c>
      <c r="BY22" s="1761" t="s">
        <v>8288</v>
      </c>
      <c r="BZ22" s="1762" t="s">
        <v>803</v>
      </c>
      <c r="CA22" s="1784"/>
      <c r="CB22" s="1784" t="s">
        <v>7556</v>
      </c>
      <c r="CC22" s="1784"/>
      <c r="CD22" s="1756" t="s">
        <v>1876</v>
      </c>
      <c r="CE22" s="1756" t="s">
        <v>5855</v>
      </c>
      <c r="CF22" s="1756" t="s">
        <v>7589</v>
      </c>
      <c r="CG22" s="1756" t="s">
        <v>5833</v>
      </c>
      <c r="CH22" s="1756" t="s">
        <v>7310</v>
      </c>
      <c r="CI22" s="1756" t="s">
        <v>5829</v>
      </c>
      <c r="CJ22" s="1756"/>
      <c r="CK22" s="1756" t="s">
        <v>5834</v>
      </c>
      <c r="CL22" s="1756" t="s">
        <v>24</v>
      </c>
      <c r="CM22" s="1764" t="s">
        <v>5887</v>
      </c>
      <c r="CN22" s="1765" t="s">
        <v>6627</v>
      </c>
      <c r="CO22" s="1766">
        <v>75</v>
      </c>
      <c r="CP22" s="1766">
        <v>1</v>
      </c>
      <c r="CQ22" s="1766">
        <v>2</v>
      </c>
      <c r="CR22" s="1766">
        <v>1</v>
      </c>
      <c r="CS22" s="1766">
        <v>1</v>
      </c>
      <c r="CT22" s="1767"/>
      <c r="CU22" s="1768" t="s">
        <v>7609</v>
      </c>
      <c r="CV22" s="1769" t="s">
        <v>8130</v>
      </c>
      <c r="CW22" s="1769">
        <v>115</v>
      </c>
      <c r="CX22" s="1770" t="s">
        <v>5858</v>
      </c>
      <c r="CY22" s="1756">
        <v>11.016500000000001</v>
      </c>
      <c r="CZ22" s="1756" t="s">
        <v>24</v>
      </c>
      <c r="DA22" s="1756">
        <f>16.8274-Table66[[#This Row],[Data_Outcome1_M]]</f>
        <v>5.8109000000000002</v>
      </c>
      <c r="DB22" s="1770" t="s">
        <v>5859</v>
      </c>
      <c r="DC22" s="1756">
        <v>23.5595</v>
      </c>
      <c r="DD22" s="1756" t="s">
        <v>24</v>
      </c>
      <c r="DE22" s="1756">
        <f>26.1743-Table66[[#This Row],[Data_Outcome2_M]]</f>
        <v>2.6147999999999989</v>
      </c>
      <c r="DF22" s="1771"/>
      <c r="DG22" s="1820"/>
      <c r="DH22" s="1782"/>
      <c r="DI22" s="1740"/>
      <c r="DJ22" s="1774"/>
      <c r="DK22" s="1740"/>
      <c r="DL22" s="1773"/>
      <c r="DM22" s="1740"/>
      <c r="DN22" s="1774"/>
      <c r="DO22" s="1783"/>
      <c r="DP22" s="1771"/>
      <c r="DQ22" s="1829"/>
      <c r="DR22" s="1775"/>
      <c r="DS22" s="1776"/>
      <c r="DT22" s="1773"/>
      <c r="DU22" s="1747"/>
      <c r="DV22" s="1774"/>
      <c r="DW22" s="1747"/>
      <c r="DX22" s="1773"/>
      <c r="DY22" s="1747"/>
      <c r="DZ22" s="1774"/>
      <c r="EA22" s="1747"/>
      <c r="EB22" s="1777"/>
      <c r="EC22" s="1778"/>
      <c r="ED22" s="1774"/>
      <c r="EE22" s="1747"/>
      <c r="EF22" s="1774"/>
      <c r="EG22" s="1747"/>
      <c r="EH22" s="1774"/>
      <c r="EI22" s="1747"/>
      <c r="EJ22" s="1774"/>
      <c r="EK22" s="1747"/>
      <c r="EL22" s="1777"/>
      <c r="EM22" s="1778"/>
      <c r="EN22" s="1775"/>
      <c r="EO22" s="1779"/>
      <c r="EP22" s="1747"/>
      <c r="EQ22" s="1747"/>
      <c r="ER22" s="1747"/>
      <c r="ES22" s="1747"/>
      <c r="ET22" s="1747"/>
      <c r="EU22" s="1747"/>
      <c r="EV22" s="1747"/>
      <c r="EW22" s="1747"/>
      <c r="EX22" s="1778"/>
      <c r="EY22" s="1778"/>
      <c r="EZ22" s="1747"/>
      <c r="FA22" s="1747"/>
      <c r="FB22" s="1747"/>
      <c r="FC22" s="1747"/>
      <c r="FD22" s="1747"/>
      <c r="FE22" s="1747"/>
      <c r="FF22" s="1747"/>
      <c r="FG22" s="1747"/>
      <c r="FH22" s="1822"/>
      <c r="FI22" s="1822"/>
      <c r="FJ22" s="1779"/>
    </row>
    <row r="23" spans="1:166" s="229" customFormat="1" ht="15" hidden="1" customHeight="1">
      <c r="A23" s="1740" t="s">
        <v>965</v>
      </c>
      <c r="B23" s="1741">
        <v>234</v>
      </c>
      <c r="C23" s="1741">
        <v>85</v>
      </c>
      <c r="D23" s="1741"/>
      <c r="E23" s="1742" t="s">
        <v>2120</v>
      </c>
      <c r="F23" s="1743" t="s">
        <v>2381</v>
      </c>
      <c r="G23" s="1744">
        <v>2014</v>
      </c>
      <c r="H23" s="1740">
        <v>24975424</v>
      </c>
      <c r="I23" s="1740">
        <v>1</v>
      </c>
      <c r="J23" s="1740" t="s">
        <v>1788</v>
      </c>
      <c r="K23" s="1740" t="s">
        <v>23</v>
      </c>
      <c r="L23" s="1740">
        <v>1</v>
      </c>
      <c r="M23" s="1740"/>
      <c r="N23" s="1740">
        <v>1</v>
      </c>
      <c r="O23" s="1746">
        <v>2</v>
      </c>
      <c r="P23" s="1740" t="s">
        <v>1398</v>
      </c>
      <c r="Q23" s="1740" t="s">
        <v>1216</v>
      </c>
      <c r="R23" s="1740" t="s">
        <v>1127</v>
      </c>
      <c r="S23" s="1740"/>
      <c r="T23" s="1740" t="s">
        <v>1487</v>
      </c>
      <c r="U23" s="1740" t="s">
        <v>803</v>
      </c>
      <c r="V23" s="1740"/>
      <c r="W23" s="1740" t="s">
        <v>1599</v>
      </c>
      <c r="X23" s="1740"/>
      <c r="Y23" s="1740" t="s">
        <v>1132</v>
      </c>
      <c r="Z23" s="1740"/>
      <c r="AA23" s="1740" t="s">
        <v>1598</v>
      </c>
      <c r="AB23" s="1740"/>
      <c r="AC23" s="1747"/>
      <c r="AD23" s="1748">
        <v>1</v>
      </c>
      <c r="AE23" s="1748">
        <v>2</v>
      </c>
      <c r="AF23" s="1786">
        <v>0</v>
      </c>
      <c r="AG23" s="1840" t="s">
        <v>8291</v>
      </c>
      <c r="AH23" s="1751"/>
      <c r="AI23" s="1747">
        <v>4</v>
      </c>
      <c r="AJ23" s="1752" t="s">
        <v>5875</v>
      </c>
      <c r="AK23" s="1753"/>
      <c r="AL23" s="1754" t="s">
        <v>5860</v>
      </c>
      <c r="AM23" s="1755"/>
      <c r="AN23" s="1747">
        <f>Table66[[#This Row],[Data_Subjects_n_ptsd]]+Table66[[#This Row],[Data_Subjects_n_control]]</f>
        <v>16</v>
      </c>
      <c r="AO23" s="1747">
        <f>6</f>
        <v>6</v>
      </c>
      <c r="AP23" s="1747">
        <v>10</v>
      </c>
      <c r="AQ23" s="1747" t="s">
        <v>803</v>
      </c>
      <c r="AR23" s="1747" t="s">
        <v>803</v>
      </c>
      <c r="AS23" s="1747" t="s">
        <v>7506</v>
      </c>
      <c r="AT23" s="1747" t="s">
        <v>24</v>
      </c>
      <c r="AU23" s="1747" t="s">
        <v>7506</v>
      </c>
      <c r="AV23" s="1747" t="s">
        <v>24</v>
      </c>
      <c r="AW23" s="1747" t="s">
        <v>5854</v>
      </c>
      <c r="AX23" s="1747"/>
      <c r="AY23" s="1747"/>
      <c r="AZ23" s="1747" t="s">
        <v>1487</v>
      </c>
      <c r="BA23" s="1747">
        <v>1</v>
      </c>
      <c r="BB23" s="1747">
        <v>1</v>
      </c>
      <c r="BC23" s="1747" t="s">
        <v>8064</v>
      </c>
      <c r="BD23" s="1747" t="s">
        <v>7521</v>
      </c>
      <c r="BE23" s="1747"/>
      <c r="BF23" s="1747" t="s">
        <v>1130</v>
      </c>
      <c r="BG23" s="1788" t="s">
        <v>5880</v>
      </c>
      <c r="BH23" s="1758"/>
      <c r="BI23" s="1758"/>
      <c r="BJ23" s="1758"/>
      <c r="BK23" s="1758"/>
      <c r="BL23" s="1758"/>
      <c r="BM23" s="1758"/>
      <c r="BN23" s="1758"/>
      <c r="BO23" s="1758"/>
      <c r="BP23" s="1758">
        <v>1</v>
      </c>
      <c r="BQ23" s="1758"/>
      <c r="BR23" s="1758"/>
      <c r="BS23" s="1758"/>
      <c r="BT23" s="1758"/>
      <c r="BU23" s="1758"/>
      <c r="BV23" s="1758"/>
      <c r="BW23" s="1759" t="s">
        <v>5832</v>
      </c>
      <c r="BX23" s="1760" t="s">
        <v>6657</v>
      </c>
      <c r="BY23" s="1761" t="s">
        <v>8257</v>
      </c>
      <c r="BZ23" s="1762" t="s">
        <v>803</v>
      </c>
      <c r="CA23" s="1763"/>
      <c r="CB23" s="1763" t="s">
        <v>7556</v>
      </c>
      <c r="CC23" s="1763"/>
      <c r="CD23" s="1756" t="s">
        <v>1876</v>
      </c>
      <c r="CE23" s="1756" t="s">
        <v>5855</v>
      </c>
      <c r="CF23" s="1756" t="s">
        <v>7589</v>
      </c>
      <c r="CG23" s="1756" t="s">
        <v>5833</v>
      </c>
      <c r="CH23" s="1756" t="s">
        <v>7310</v>
      </c>
      <c r="CI23" s="1756" t="s">
        <v>5829</v>
      </c>
      <c r="CJ23" s="1756"/>
      <c r="CK23" s="1756" t="s">
        <v>5834</v>
      </c>
      <c r="CL23" s="1756" t="s">
        <v>24</v>
      </c>
      <c r="CM23" s="1764" t="s">
        <v>5887</v>
      </c>
      <c r="CN23" s="1765" t="s">
        <v>6627</v>
      </c>
      <c r="CO23" s="1766">
        <v>75</v>
      </c>
      <c r="CP23" s="1766">
        <v>1</v>
      </c>
      <c r="CQ23" s="1766">
        <v>6</v>
      </c>
      <c r="CR23" s="1766">
        <v>1</v>
      </c>
      <c r="CS23" s="1766">
        <v>-1</v>
      </c>
      <c r="CT23" s="1767"/>
      <c r="CU23" s="1768" t="s">
        <v>1878</v>
      </c>
      <c r="CV23" s="1769" t="s">
        <v>8130</v>
      </c>
      <c r="CW23" s="1769" t="s">
        <v>8130</v>
      </c>
      <c r="CX23" s="1756" t="s">
        <v>5870</v>
      </c>
      <c r="CY23" s="1746">
        <v>17.584299999999999</v>
      </c>
      <c r="CZ23" s="1756" t="s">
        <v>24</v>
      </c>
      <c r="DA23" s="1746">
        <f>21.4428-Table66[[#This Row],[Data_Outcome1_M]]</f>
        <v>3.8584999999999994</v>
      </c>
      <c r="DB23" s="1756" t="s">
        <v>8062</v>
      </c>
      <c r="DC23" s="1756">
        <v>5.88253</v>
      </c>
      <c r="DD23" s="1756" t="s">
        <v>24</v>
      </c>
      <c r="DE23" s="1756">
        <f>7.96988-Table66[[#This Row],[Data_Outcome2_M]]</f>
        <v>2.0873499999999998</v>
      </c>
      <c r="DF23" s="1821" t="s">
        <v>5884</v>
      </c>
      <c r="DG23" s="1821" t="s">
        <v>5886</v>
      </c>
      <c r="DH23" s="1773"/>
      <c r="DI23" s="1774"/>
      <c r="DJ23" s="1774"/>
      <c r="DK23" s="1774"/>
      <c r="DL23" s="1773"/>
      <c r="DM23" s="1774"/>
      <c r="DN23" s="1774"/>
      <c r="DO23" s="1774"/>
      <c r="DP23" s="1771"/>
      <c r="DQ23" s="1772"/>
      <c r="DR23" s="1775"/>
      <c r="DS23" s="1776"/>
      <c r="DT23" s="1773"/>
      <c r="DU23" s="1774"/>
      <c r="DV23" s="1774"/>
      <c r="DW23" s="1774"/>
      <c r="DX23" s="1773"/>
      <c r="DY23" s="1774"/>
      <c r="DZ23" s="1774"/>
      <c r="EA23" s="1774"/>
      <c r="EB23" s="1777"/>
      <c r="EC23" s="1778"/>
      <c r="ED23" s="1774"/>
      <c r="EE23" s="1774"/>
      <c r="EF23" s="1774"/>
      <c r="EG23" s="1774"/>
      <c r="EH23" s="1774"/>
      <c r="EI23" s="1774"/>
      <c r="EJ23" s="1774"/>
      <c r="EK23" s="1774"/>
      <c r="EL23" s="1777"/>
      <c r="EM23" s="1778"/>
      <c r="EN23" s="1775"/>
      <c r="EO23" s="1779"/>
      <c r="EP23" s="1774"/>
      <c r="EQ23" s="1774"/>
      <c r="ER23" s="1774"/>
      <c r="ES23" s="1774"/>
      <c r="ET23" s="1774"/>
      <c r="EU23" s="1774"/>
      <c r="EV23" s="1774"/>
      <c r="EW23" s="1774"/>
      <c r="EX23" s="1778"/>
      <c r="EY23" s="1778"/>
      <c r="EZ23" s="1774"/>
      <c r="FA23" s="1774"/>
      <c r="FB23" s="1774"/>
      <c r="FC23" s="1774"/>
      <c r="FD23" s="1774"/>
      <c r="FE23" s="1774"/>
      <c r="FF23" s="1774"/>
      <c r="FG23" s="1774"/>
      <c r="FH23" s="1778"/>
      <c r="FI23" s="1778"/>
      <c r="FJ23" s="1779"/>
    </row>
    <row r="24" spans="1:166" s="229" customFormat="1" ht="15" hidden="1" customHeight="1">
      <c r="A24" s="1740" t="s">
        <v>965</v>
      </c>
      <c r="B24" s="1741">
        <v>234</v>
      </c>
      <c r="C24" s="1741">
        <v>85</v>
      </c>
      <c r="D24" s="1741"/>
      <c r="E24" s="1742" t="s">
        <v>2120</v>
      </c>
      <c r="F24" s="1743" t="s">
        <v>2381</v>
      </c>
      <c r="G24" s="1744">
        <v>2014</v>
      </c>
      <c r="H24" s="1740">
        <v>24975424</v>
      </c>
      <c r="I24" s="1740">
        <v>1</v>
      </c>
      <c r="J24" s="1740" t="s">
        <v>1788</v>
      </c>
      <c r="K24" s="1740" t="s">
        <v>23</v>
      </c>
      <c r="L24" s="1740">
        <v>1</v>
      </c>
      <c r="M24" s="1740"/>
      <c r="N24" s="1740">
        <v>1</v>
      </c>
      <c r="O24" s="1746">
        <v>2</v>
      </c>
      <c r="P24" s="1740" t="s">
        <v>1398</v>
      </c>
      <c r="Q24" s="1740" t="s">
        <v>1216</v>
      </c>
      <c r="R24" s="1740" t="s">
        <v>1127</v>
      </c>
      <c r="S24" s="1740"/>
      <c r="T24" s="1740" t="s">
        <v>1487</v>
      </c>
      <c r="U24" s="1740" t="s">
        <v>803</v>
      </c>
      <c r="V24" s="1740"/>
      <c r="W24" s="1740" t="s">
        <v>1599</v>
      </c>
      <c r="X24" s="1740"/>
      <c r="Y24" s="1740" t="s">
        <v>1132</v>
      </c>
      <c r="Z24" s="1740"/>
      <c r="AA24" s="1740" t="s">
        <v>1598</v>
      </c>
      <c r="AB24" s="1740"/>
      <c r="AC24" s="1747"/>
      <c r="AD24" s="1748">
        <v>1</v>
      </c>
      <c r="AE24" s="1748">
        <v>2</v>
      </c>
      <c r="AF24" s="1786">
        <v>0</v>
      </c>
      <c r="AG24" s="1840" t="s">
        <v>8291</v>
      </c>
      <c r="AH24" s="1751"/>
      <c r="AI24" s="1747">
        <v>4</v>
      </c>
      <c r="AJ24" s="1752" t="s">
        <v>5875</v>
      </c>
      <c r="AK24" s="1753"/>
      <c r="AL24" s="1754" t="s">
        <v>5860</v>
      </c>
      <c r="AM24" s="1755"/>
      <c r="AN24" s="1747">
        <f>Table66[[#This Row],[Data_Subjects_n_ptsd]]+Table66[[#This Row],[Data_Subjects_n_control]]</f>
        <v>22</v>
      </c>
      <c r="AO24" s="1747">
        <f>6</f>
        <v>6</v>
      </c>
      <c r="AP24" s="1747">
        <v>16</v>
      </c>
      <c r="AQ24" s="1747" t="s">
        <v>803</v>
      </c>
      <c r="AR24" s="1747" t="s">
        <v>803</v>
      </c>
      <c r="AS24" s="1747" t="s">
        <v>7506</v>
      </c>
      <c r="AT24" s="1747" t="s">
        <v>24</v>
      </c>
      <c r="AU24" s="1747" t="s">
        <v>7506</v>
      </c>
      <c r="AV24" s="1747" t="s">
        <v>24</v>
      </c>
      <c r="AW24" s="1747" t="s">
        <v>5854</v>
      </c>
      <c r="AX24" s="1747"/>
      <c r="AY24" s="1747"/>
      <c r="AZ24" s="1747" t="s">
        <v>1487</v>
      </c>
      <c r="BA24" s="1747">
        <v>1</v>
      </c>
      <c r="BB24" s="1747">
        <v>1</v>
      </c>
      <c r="BC24" s="1747" t="s">
        <v>5831</v>
      </c>
      <c r="BD24" s="1747" t="s">
        <v>7526</v>
      </c>
      <c r="BE24" s="1747"/>
      <c r="BF24" s="1747" t="s">
        <v>1130</v>
      </c>
      <c r="BG24" s="1788" t="s">
        <v>5880</v>
      </c>
      <c r="BH24" s="1758"/>
      <c r="BI24" s="1758"/>
      <c r="BJ24" s="1758"/>
      <c r="BK24" s="1758"/>
      <c r="BL24" s="1758"/>
      <c r="BM24" s="1758"/>
      <c r="BN24" s="1758"/>
      <c r="BO24" s="1758"/>
      <c r="BP24" s="1758">
        <v>1</v>
      </c>
      <c r="BQ24" s="1758"/>
      <c r="BR24" s="1758"/>
      <c r="BS24" s="1758"/>
      <c r="BT24" s="1758"/>
      <c r="BU24" s="1758"/>
      <c r="BV24" s="1758"/>
      <c r="BW24" s="1759" t="s">
        <v>5832</v>
      </c>
      <c r="BX24" s="1760" t="s">
        <v>6657</v>
      </c>
      <c r="BY24" s="1761" t="s">
        <v>8257</v>
      </c>
      <c r="BZ24" s="1762" t="s">
        <v>803</v>
      </c>
      <c r="CA24" s="1763"/>
      <c r="CB24" s="1763" t="s">
        <v>7556</v>
      </c>
      <c r="CC24" s="1763"/>
      <c r="CD24" s="1756" t="s">
        <v>1876</v>
      </c>
      <c r="CE24" s="1756" t="s">
        <v>5855</v>
      </c>
      <c r="CF24" s="1756" t="s">
        <v>7589</v>
      </c>
      <c r="CG24" s="1756" t="s">
        <v>5833</v>
      </c>
      <c r="CH24" s="1756" t="s">
        <v>7310</v>
      </c>
      <c r="CI24" s="1756" t="s">
        <v>5829</v>
      </c>
      <c r="CJ24" s="1756"/>
      <c r="CK24" s="1756" t="s">
        <v>5834</v>
      </c>
      <c r="CL24" s="1756" t="s">
        <v>24</v>
      </c>
      <c r="CM24" s="1764" t="s">
        <v>5887</v>
      </c>
      <c r="CN24" s="1765" t="s">
        <v>6627</v>
      </c>
      <c r="CO24" s="1766">
        <v>75</v>
      </c>
      <c r="CP24" s="1766">
        <v>1</v>
      </c>
      <c r="CQ24" s="1766">
        <v>7</v>
      </c>
      <c r="CR24" s="1766">
        <v>1</v>
      </c>
      <c r="CS24" s="1766">
        <v>-1</v>
      </c>
      <c r="CT24" s="1767"/>
      <c r="CU24" s="1768" t="s">
        <v>7609</v>
      </c>
      <c r="CV24" s="1769" t="s">
        <v>8130</v>
      </c>
      <c r="CW24" s="1769">
        <v>115</v>
      </c>
      <c r="CX24" s="1756" t="s">
        <v>5870</v>
      </c>
      <c r="CY24" s="1756">
        <v>17.584299999999999</v>
      </c>
      <c r="CZ24" s="1756" t="s">
        <v>24</v>
      </c>
      <c r="DA24" s="1756">
        <f>21.4428-Table66[[#This Row],[Data_Outcome1_M]]</f>
        <v>3.8584999999999994</v>
      </c>
      <c r="DB24" s="1756" t="s">
        <v>5845</v>
      </c>
      <c r="DC24" s="1756">
        <v>6.9578300000000004</v>
      </c>
      <c r="DD24" s="1756" t="s">
        <v>24</v>
      </c>
      <c r="DE24" s="1756">
        <f>9.23494-Table66[[#This Row],[Data_Outcome2_M]]</f>
        <v>2.2771099999999995</v>
      </c>
      <c r="DF24" s="1771"/>
      <c r="DG24" s="1820"/>
      <c r="DH24" s="1782"/>
      <c r="DI24" s="1740"/>
      <c r="DJ24" s="1774"/>
      <c r="DK24" s="1740"/>
      <c r="DL24" s="1773"/>
      <c r="DM24" s="1740"/>
      <c r="DN24" s="1774"/>
      <c r="DO24" s="1783"/>
      <c r="DP24" s="1771"/>
      <c r="DQ24" s="1829"/>
      <c r="DR24" s="1849"/>
      <c r="DS24" s="1776"/>
      <c r="DT24" s="1773"/>
      <c r="DU24" s="1747"/>
      <c r="DV24" s="1774"/>
      <c r="DW24" s="1747"/>
      <c r="DX24" s="1773"/>
      <c r="DY24" s="1747"/>
      <c r="DZ24" s="1774"/>
      <c r="EA24" s="1747"/>
      <c r="EB24" s="1777"/>
      <c r="EC24" s="1778"/>
      <c r="ED24" s="1774"/>
      <c r="EE24" s="1747"/>
      <c r="EF24" s="1774"/>
      <c r="EG24" s="1747"/>
      <c r="EH24" s="1774"/>
      <c r="EI24" s="1747"/>
      <c r="EJ24" s="1774"/>
      <c r="EK24" s="1747"/>
      <c r="EL24" s="1777"/>
      <c r="EM24" s="1778"/>
      <c r="EN24" s="1775"/>
      <c r="EO24" s="1779"/>
      <c r="EP24" s="1774"/>
      <c r="EQ24" s="1774"/>
      <c r="ER24" s="1774"/>
      <c r="ES24" s="1774"/>
      <c r="ET24" s="1774"/>
      <c r="EU24" s="1774"/>
      <c r="EV24" s="1774"/>
      <c r="EW24" s="1774"/>
      <c r="EX24" s="1778"/>
      <c r="EY24" s="1778"/>
      <c r="EZ24" s="1774"/>
      <c r="FA24" s="1774"/>
      <c r="FB24" s="1774"/>
      <c r="FC24" s="1774"/>
      <c r="FD24" s="1774"/>
      <c r="FE24" s="1774"/>
      <c r="FF24" s="1774"/>
      <c r="FG24" s="1774"/>
      <c r="FH24" s="1778"/>
      <c r="FI24" s="1778"/>
      <c r="FJ24" s="1779"/>
    </row>
    <row r="25" spans="1:166" s="229" customFormat="1" ht="15" hidden="1" customHeight="1">
      <c r="A25" s="1740" t="s">
        <v>965</v>
      </c>
      <c r="B25" s="1741">
        <v>234</v>
      </c>
      <c r="C25" s="1741">
        <v>85</v>
      </c>
      <c r="D25" s="1741"/>
      <c r="E25" s="1742" t="s">
        <v>2120</v>
      </c>
      <c r="F25" s="1743" t="s">
        <v>2381</v>
      </c>
      <c r="G25" s="1744">
        <v>2014</v>
      </c>
      <c r="H25" s="1740">
        <v>24975424</v>
      </c>
      <c r="I25" s="1740">
        <v>1</v>
      </c>
      <c r="J25" s="1740" t="s">
        <v>1788</v>
      </c>
      <c r="K25" s="1740" t="s">
        <v>23</v>
      </c>
      <c r="L25" s="1740">
        <v>1</v>
      </c>
      <c r="M25" s="1740"/>
      <c r="N25" s="1740">
        <v>1</v>
      </c>
      <c r="O25" s="1746">
        <v>2</v>
      </c>
      <c r="P25" s="1740" t="s">
        <v>1398</v>
      </c>
      <c r="Q25" s="1740" t="s">
        <v>1216</v>
      </c>
      <c r="R25" s="1740" t="s">
        <v>1127</v>
      </c>
      <c r="S25" s="1740"/>
      <c r="T25" s="1740" t="s">
        <v>1487</v>
      </c>
      <c r="U25" s="1740" t="s">
        <v>803</v>
      </c>
      <c r="V25" s="1740"/>
      <c r="W25" s="1740" t="s">
        <v>1599</v>
      </c>
      <c r="X25" s="1740"/>
      <c r="Y25" s="1740" t="s">
        <v>1132</v>
      </c>
      <c r="Z25" s="1740"/>
      <c r="AA25" s="1740" t="s">
        <v>1598</v>
      </c>
      <c r="AB25" s="1740"/>
      <c r="AC25" s="1747"/>
      <c r="AD25" s="1748">
        <v>1</v>
      </c>
      <c r="AE25" s="1748">
        <v>2</v>
      </c>
      <c r="AF25" s="1749">
        <v>0</v>
      </c>
      <c r="AG25" s="1840" t="s">
        <v>8295</v>
      </c>
      <c r="AH25" s="1751"/>
      <c r="AI25" s="1747">
        <v>4</v>
      </c>
      <c r="AJ25" s="1752" t="s">
        <v>5875</v>
      </c>
      <c r="AK25" s="1753"/>
      <c r="AL25" s="1754" t="s">
        <v>5860</v>
      </c>
      <c r="AM25" s="1755"/>
      <c r="AN25" s="1747">
        <f>Table66[[#This Row],[Data_Subjects_n_ptsd]]+Table66[[#This Row],[Data_Subjects_n_control]]</f>
        <v>32</v>
      </c>
      <c r="AO25" s="1747">
        <v>16</v>
      </c>
      <c r="AP25" s="1747">
        <v>16</v>
      </c>
      <c r="AQ25" s="1747" t="s">
        <v>803</v>
      </c>
      <c r="AR25" s="1747" t="s">
        <v>803</v>
      </c>
      <c r="AS25" s="1747" t="s">
        <v>7506</v>
      </c>
      <c r="AT25" s="1747" t="s">
        <v>24</v>
      </c>
      <c r="AU25" s="1747" t="s">
        <v>7506</v>
      </c>
      <c r="AV25" s="1747" t="s">
        <v>24</v>
      </c>
      <c r="AW25" s="1747" t="s">
        <v>5830</v>
      </c>
      <c r="AX25" s="1747"/>
      <c r="AY25" s="1747"/>
      <c r="AZ25" s="1747" t="s">
        <v>1487</v>
      </c>
      <c r="BA25" s="1747">
        <v>1</v>
      </c>
      <c r="BB25" s="1747">
        <v>1</v>
      </c>
      <c r="BC25" s="1747" t="s">
        <v>5831</v>
      </c>
      <c r="BD25" s="1747" t="s">
        <v>7526</v>
      </c>
      <c r="BE25" s="1747"/>
      <c r="BF25" s="1747" t="s">
        <v>1130</v>
      </c>
      <c r="BG25" s="1747" t="s">
        <v>4508</v>
      </c>
      <c r="BH25" s="1757"/>
      <c r="BI25" s="1757"/>
      <c r="BJ25" s="1758"/>
      <c r="BK25" s="1758"/>
      <c r="BL25" s="1758"/>
      <c r="BM25" s="1758"/>
      <c r="BN25" s="1758"/>
      <c r="BO25" s="1758"/>
      <c r="BP25" s="1758">
        <v>1</v>
      </c>
      <c r="BQ25" s="1758"/>
      <c r="BR25" s="1758"/>
      <c r="BS25" s="1758"/>
      <c r="BT25" s="1758"/>
      <c r="BU25" s="1758"/>
      <c r="BV25" s="1758"/>
      <c r="BW25" s="1759" t="s">
        <v>5832</v>
      </c>
      <c r="BX25" s="1760" t="s">
        <v>6657</v>
      </c>
      <c r="BY25" s="1761" t="s">
        <v>8292</v>
      </c>
      <c r="BZ25" s="1762" t="s">
        <v>803</v>
      </c>
      <c r="CA25" s="1763"/>
      <c r="CB25" s="1763" t="s">
        <v>7556</v>
      </c>
      <c r="CC25" s="1763"/>
      <c r="CD25" s="1756" t="s">
        <v>1876</v>
      </c>
      <c r="CE25" s="1756" t="s">
        <v>5856</v>
      </c>
      <c r="CF25" s="1756" t="s">
        <v>7589</v>
      </c>
      <c r="CG25" s="1756" t="s">
        <v>5833</v>
      </c>
      <c r="CH25" s="1756" t="s">
        <v>7310</v>
      </c>
      <c r="CI25" s="1756" t="s">
        <v>5829</v>
      </c>
      <c r="CJ25" s="1756"/>
      <c r="CK25" s="1756" t="s">
        <v>5834</v>
      </c>
      <c r="CL25" s="1756" t="s">
        <v>24</v>
      </c>
      <c r="CM25" s="1764" t="s">
        <v>5852</v>
      </c>
      <c r="CN25" s="1765" t="s">
        <v>6627</v>
      </c>
      <c r="CO25" s="1766">
        <v>75</v>
      </c>
      <c r="CP25" s="1766">
        <v>2</v>
      </c>
      <c r="CQ25" s="1766">
        <v>1</v>
      </c>
      <c r="CR25" s="1766">
        <v>1</v>
      </c>
      <c r="CS25" s="1766">
        <v>1</v>
      </c>
      <c r="CT25" s="1767"/>
      <c r="CU25" s="1768" t="s">
        <v>8104</v>
      </c>
      <c r="CV25" s="1769">
        <v>126</v>
      </c>
      <c r="CW25" s="1769">
        <v>115</v>
      </c>
      <c r="CX25" s="1770" t="s">
        <v>5835</v>
      </c>
      <c r="CY25" s="1756">
        <v>21.710100000000001</v>
      </c>
      <c r="CZ25" s="1756" t="s">
        <v>24</v>
      </c>
      <c r="DA25" s="1756">
        <f>25.9554-Table66[[#This Row],[Data_Outcome1_M]]</f>
        <v>4.2453000000000003</v>
      </c>
      <c r="DB25" s="1770" t="s">
        <v>5836</v>
      </c>
      <c r="DC25" s="1756">
        <v>23.459800000000001</v>
      </c>
      <c r="DD25" s="1756" t="s">
        <v>24</v>
      </c>
      <c r="DE25" s="1756">
        <f>26.1455-Table66[[#This Row],[Data_Outcome2_M]]</f>
        <v>2.6856999999999971</v>
      </c>
      <c r="DF25" s="1785" t="s">
        <v>5840</v>
      </c>
      <c r="DG25" s="1836" t="s">
        <v>3790</v>
      </c>
      <c r="DH25" s="1774"/>
      <c r="DI25" s="1774"/>
      <c r="DJ25" s="1774"/>
      <c r="DK25" s="1774"/>
      <c r="DL25" s="1774"/>
      <c r="DM25" s="1774"/>
      <c r="DN25" s="1774"/>
      <c r="DO25" s="1774"/>
      <c r="DP25" s="1771"/>
      <c r="DQ25" s="1772"/>
      <c r="DR25" s="1775"/>
      <c r="DS25" s="1776"/>
      <c r="DT25" s="1773"/>
      <c r="DU25" s="1774"/>
      <c r="DV25" s="1774"/>
      <c r="DW25" s="1774"/>
      <c r="DX25" s="1774"/>
      <c r="DY25" s="1774"/>
      <c r="DZ25" s="1774"/>
      <c r="EA25" s="1774"/>
      <c r="EB25" s="1777"/>
      <c r="EC25" s="1778"/>
      <c r="ED25" s="1774"/>
      <c r="EE25" s="1774"/>
      <c r="EF25" s="1774"/>
      <c r="EG25" s="1774"/>
      <c r="EH25" s="1774"/>
      <c r="EI25" s="1774"/>
      <c r="EJ25" s="1774"/>
      <c r="EK25" s="1774"/>
      <c r="EL25" s="1777"/>
      <c r="EM25" s="1778"/>
      <c r="EN25" s="1775"/>
      <c r="EO25" s="1779"/>
      <c r="EP25" s="1774"/>
      <c r="EQ25" s="1774"/>
      <c r="ER25" s="1774"/>
      <c r="ES25" s="1774"/>
      <c r="ET25" s="1774"/>
      <c r="EU25" s="1774"/>
      <c r="EV25" s="1774"/>
      <c r="EW25" s="1774"/>
      <c r="EX25" s="1778"/>
      <c r="EY25" s="1778"/>
      <c r="EZ25" s="1773"/>
      <c r="FA25" s="1774"/>
      <c r="FB25" s="1774"/>
      <c r="FC25" s="1774"/>
      <c r="FD25" s="1773"/>
      <c r="FE25" s="1774"/>
      <c r="FF25" s="1774"/>
      <c r="FG25" s="1774"/>
      <c r="FH25" s="1778"/>
      <c r="FI25" s="1778"/>
      <c r="FJ25" s="1779"/>
    </row>
    <row r="26" spans="1:166" s="229" customFormat="1" ht="15" hidden="1" customHeight="1">
      <c r="A26" s="1740" t="s">
        <v>965</v>
      </c>
      <c r="B26" s="1741">
        <v>234</v>
      </c>
      <c r="C26" s="1741">
        <v>85</v>
      </c>
      <c r="D26" s="1741"/>
      <c r="E26" s="1742" t="s">
        <v>2120</v>
      </c>
      <c r="F26" s="1743" t="s">
        <v>2381</v>
      </c>
      <c r="G26" s="1744">
        <v>2014</v>
      </c>
      <c r="H26" s="1740">
        <v>24975424</v>
      </c>
      <c r="I26" s="1740">
        <v>1</v>
      </c>
      <c r="J26" s="1740" t="s">
        <v>1788</v>
      </c>
      <c r="K26" s="1740" t="s">
        <v>23</v>
      </c>
      <c r="L26" s="1740">
        <v>1</v>
      </c>
      <c r="M26" s="1740"/>
      <c r="N26" s="1740">
        <v>1</v>
      </c>
      <c r="O26" s="1746">
        <v>2</v>
      </c>
      <c r="P26" s="1740" t="s">
        <v>1398</v>
      </c>
      <c r="Q26" s="1740" t="s">
        <v>1216</v>
      </c>
      <c r="R26" s="1740" t="s">
        <v>1127</v>
      </c>
      <c r="S26" s="1740"/>
      <c r="T26" s="1740" t="s">
        <v>1487</v>
      </c>
      <c r="U26" s="1740" t="s">
        <v>803</v>
      </c>
      <c r="V26" s="1740"/>
      <c r="W26" s="1740" t="s">
        <v>1599</v>
      </c>
      <c r="X26" s="1740"/>
      <c r="Y26" s="1740" t="s">
        <v>1132</v>
      </c>
      <c r="Z26" s="1740"/>
      <c r="AA26" s="1740" t="s">
        <v>1598</v>
      </c>
      <c r="AB26" s="1740"/>
      <c r="AC26" s="1747"/>
      <c r="AD26" s="1748">
        <v>1</v>
      </c>
      <c r="AE26" s="1748">
        <v>2</v>
      </c>
      <c r="AF26" s="1749">
        <v>0</v>
      </c>
      <c r="AG26" s="1750" t="s">
        <v>8294</v>
      </c>
      <c r="AH26" s="1751"/>
      <c r="AI26" s="1747">
        <v>4</v>
      </c>
      <c r="AJ26" s="1752" t="s">
        <v>5875</v>
      </c>
      <c r="AK26" s="1753"/>
      <c r="AL26" s="1754" t="s">
        <v>5860</v>
      </c>
      <c r="AM26" s="1755"/>
      <c r="AN26" s="1747">
        <f>Table66[[#This Row],[Data_Subjects_n_ptsd]]+Table66[[#This Row],[Data_Subjects_n_control]]</f>
        <v>32</v>
      </c>
      <c r="AO26" s="1747">
        <v>16</v>
      </c>
      <c r="AP26" s="1747">
        <v>16</v>
      </c>
      <c r="AQ26" s="1747" t="s">
        <v>803</v>
      </c>
      <c r="AR26" s="1747" t="s">
        <v>803</v>
      </c>
      <c r="AS26" s="1747" t="s">
        <v>7506</v>
      </c>
      <c r="AT26" s="1747" t="s">
        <v>24</v>
      </c>
      <c r="AU26" s="1747" t="s">
        <v>7506</v>
      </c>
      <c r="AV26" s="1747" t="s">
        <v>24</v>
      </c>
      <c r="AW26" s="1747" t="s">
        <v>5830</v>
      </c>
      <c r="AX26" s="1747"/>
      <c r="AY26" s="1747"/>
      <c r="AZ26" s="1747" t="s">
        <v>1487</v>
      </c>
      <c r="BA26" s="1747">
        <v>1</v>
      </c>
      <c r="BB26" s="1747">
        <v>1</v>
      </c>
      <c r="BC26" s="1747" t="s">
        <v>5831</v>
      </c>
      <c r="BD26" s="1747" t="s">
        <v>7526</v>
      </c>
      <c r="BE26" s="1747"/>
      <c r="BF26" s="1747" t="s">
        <v>1130</v>
      </c>
      <c r="BG26" s="1747" t="s">
        <v>4508</v>
      </c>
      <c r="BH26" s="1757"/>
      <c r="BI26" s="1757"/>
      <c r="BJ26" s="1758"/>
      <c r="BK26" s="1758"/>
      <c r="BL26" s="1758"/>
      <c r="BM26" s="1758"/>
      <c r="BN26" s="1758"/>
      <c r="BO26" s="1758"/>
      <c r="BP26" s="1758">
        <v>1</v>
      </c>
      <c r="BQ26" s="1758"/>
      <c r="BR26" s="1758"/>
      <c r="BS26" s="1758"/>
      <c r="BT26" s="1758"/>
      <c r="BU26" s="1758"/>
      <c r="BV26" s="1758"/>
      <c r="BW26" s="1759" t="s">
        <v>5832</v>
      </c>
      <c r="BX26" s="1760" t="s">
        <v>6657</v>
      </c>
      <c r="BY26" s="1761" t="s">
        <v>8293</v>
      </c>
      <c r="BZ26" s="1762" t="s">
        <v>803</v>
      </c>
      <c r="CA26" s="1763"/>
      <c r="CB26" s="1763" t="s">
        <v>7556</v>
      </c>
      <c r="CC26" s="1763"/>
      <c r="CD26" s="1756" t="s">
        <v>1876</v>
      </c>
      <c r="CE26" s="1756" t="s">
        <v>5856</v>
      </c>
      <c r="CF26" s="1756" t="s">
        <v>7589</v>
      </c>
      <c r="CG26" s="1756" t="s">
        <v>5833</v>
      </c>
      <c r="CH26" s="1756" t="s">
        <v>7310</v>
      </c>
      <c r="CI26" s="1756" t="s">
        <v>5829</v>
      </c>
      <c r="CJ26" s="1756"/>
      <c r="CK26" s="1756" t="s">
        <v>5834</v>
      </c>
      <c r="CL26" s="1756" t="s">
        <v>24</v>
      </c>
      <c r="CM26" s="1764" t="s">
        <v>5852</v>
      </c>
      <c r="CN26" s="1765" t="s">
        <v>6627</v>
      </c>
      <c r="CO26" s="1766">
        <v>75</v>
      </c>
      <c r="CP26" s="1766">
        <v>2</v>
      </c>
      <c r="CQ26" s="1766">
        <v>3</v>
      </c>
      <c r="CR26" s="1766">
        <v>1</v>
      </c>
      <c r="CS26" s="1766">
        <v>-1</v>
      </c>
      <c r="CT26" s="1767"/>
      <c r="CU26" s="1768" t="s">
        <v>8104</v>
      </c>
      <c r="CV26" s="1769">
        <v>126</v>
      </c>
      <c r="CW26" s="1769">
        <v>115</v>
      </c>
      <c r="CX26" s="1770" t="s">
        <v>5844</v>
      </c>
      <c r="CY26" s="1756">
        <v>11.3642</v>
      </c>
      <c r="CZ26" s="1756" t="s">
        <v>24</v>
      </c>
      <c r="DA26" s="1756">
        <f>13.77-Table66[[#This Row],[Data_Outcome1_M]]</f>
        <v>2.4057999999999993</v>
      </c>
      <c r="DB26" s="1770" t="s">
        <v>5845</v>
      </c>
      <c r="DC26" s="1756">
        <v>6.8587999999999996</v>
      </c>
      <c r="DD26" s="1756" t="s">
        <v>24</v>
      </c>
      <c r="DE26" s="1756">
        <f>9.13116-Table66[[#This Row],[Data_Outcome2_M]]</f>
        <v>2.2723599999999999</v>
      </c>
      <c r="DF26" s="1823" t="s">
        <v>5849</v>
      </c>
      <c r="DG26" s="1821" t="s">
        <v>2480</v>
      </c>
      <c r="DH26" s="1773"/>
      <c r="DI26" s="1774"/>
      <c r="DJ26" s="1774"/>
      <c r="DK26" s="1774"/>
      <c r="DL26" s="1773"/>
      <c r="DM26" s="1774"/>
      <c r="DN26" s="1774"/>
      <c r="DO26" s="1774"/>
      <c r="DP26" s="1771"/>
      <c r="DQ26" s="1772"/>
      <c r="DR26" s="1775"/>
      <c r="DS26" s="1776"/>
      <c r="DT26" s="1773"/>
      <c r="DU26" s="1774"/>
      <c r="DV26" s="1774"/>
      <c r="DW26" s="1774"/>
      <c r="DX26" s="1773"/>
      <c r="DY26" s="1774"/>
      <c r="DZ26" s="1774"/>
      <c r="EA26" s="1774"/>
      <c r="EB26" s="1777"/>
      <c r="EC26" s="1778"/>
      <c r="ED26" s="1773"/>
      <c r="EE26" s="1774"/>
      <c r="EF26" s="1774"/>
      <c r="EG26" s="1774"/>
      <c r="EH26" s="1773"/>
      <c r="EI26" s="1774"/>
      <c r="EJ26" s="1774"/>
      <c r="EK26" s="1774"/>
      <c r="EL26" s="1777"/>
      <c r="EM26" s="1778"/>
      <c r="EN26" s="1775"/>
      <c r="EO26" s="1779"/>
      <c r="EP26" s="1773"/>
      <c r="EQ26" s="1774"/>
      <c r="ER26" s="1774"/>
      <c r="ES26" s="1774"/>
      <c r="ET26" s="1773"/>
      <c r="EU26" s="1774"/>
      <c r="EV26" s="1774"/>
      <c r="EW26" s="1774"/>
      <c r="EX26" s="1778"/>
      <c r="EY26" s="1778"/>
      <c r="EZ26" s="1773"/>
      <c r="FA26" s="1774"/>
      <c r="FB26" s="1774"/>
      <c r="FC26" s="1774"/>
      <c r="FD26" s="1773"/>
      <c r="FE26" s="1774"/>
      <c r="FF26" s="1774"/>
      <c r="FG26" s="1774"/>
      <c r="FH26" s="1778"/>
      <c r="FI26" s="1778"/>
      <c r="FJ26" s="1779"/>
    </row>
    <row r="27" spans="1:166" ht="15" hidden="1" customHeight="1">
      <c r="A27" s="79" t="s">
        <v>991</v>
      </c>
      <c r="B27" s="362">
        <v>191</v>
      </c>
      <c r="C27" s="362"/>
      <c r="D27" s="362">
        <v>71</v>
      </c>
      <c r="E27" s="604" t="s">
        <v>2109</v>
      </c>
      <c r="F27" s="124" t="s">
        <v>2368</v>
      </c>
      <c r="G27" s="125">
        <v>2013</v>
      </c>
      <c r="H27" s="79">
        <v>23624119</v>
      </c>
      <c r="I27" s="79">
        <v>1</v>
      </c>
      <c r="J27" s="126">
        <v>1</v>
      </c>
      <c r="K27" s="127"/>
      <c r="L27" s="79">
        <v>1</v>
      </c>
      <c r="M27" s="79"/>
      <c r="N27" s="79">
        <v>1</v>
      </c>
      <c r="O27" s="128">
        <v>2</v>
      </c>
      <c r="P27" s="79" t="s">
        <v>24</v>
      </c>
      <c r="Q27" s="79"/>
      <c r="R27" s="79" t="s">
        <v>1138</v>
      </c>
      <c r="S27" s="79"/>
      <c r="T27" s="79" t="s">
        <v>1498</v>
      </c>
      <c r="U27" s="79"/>
      <c r="V27" s="79"/>
      <c r="W27" s="79" t="s">
        <v>1521</v>
      </c>
      <c r="X27" s="79"/>
      <c r="Y27" s="79" t="s">
        <v>1132</v>
      </c>
      <c r="Z27" s="79"/>
      <c r="AA27" s="79"/>
      <c r="AB27" s="79" t="s">
        <v>1279</v>
      </c>
      <c r="AC27" s="506" t="s">
        <v>6262</v>
      </c>
      <c r="AD27" s="573">
        <v>1</v>
      </c>
      <c r="AE27" s="573">
        <v>2</v>
      </c>
      <c r="AF27" s="154">
        <v>1</v>
      </c>
      <c r="AG27" s="155" t="s">
        <v>7664</v>
      </c>
      <c r="AH27" s="704">
        <v>0</v>
      </c>
      <c r="AI27" s="121">
        <v>5</v>
      </c>
      <c r="AJ27" s="484"/>
      <c r="AK27" s="213"/>
      <c r="AL27" s="192">
        <v>1</v>
      </c>
      <c r="AM27" s="203">
        <v>1</v>
      </c>
      <c r="AN27" s="121">
        <v>20</v>
      </c>
      <c r="AO27" s="121">
        <v>10</v>
      </c>
      <c r="AP27" s="121">
        <v>10</v>
      </c>
      <c r="AQ27" s="121" t="s">
        <v>803</v>
      </c>
      <c r="AR27" s="121" t="s">
        <v>803</v>
      </c>
      <c r="AS27" s="121" t="s">
        <v>7486</v>
      </c>
      <c r="AT27" s="121" t="s">
        <v>24</v>
      </c>
      <c r="AU27" s="121" t="s">
        <v>7486</v>
      </c>
      <c r="AV27" s="121" t="s">
        <v>24</v>
      </c>
      <c r="AW27" s="121" t="s">
        <v>3517</v>
      </c>
      <c r="AX27" s="121">
        <v>15</v>
      </c>
      <c r="AY27" s="121">
        <v>0.8</v>
      </c>
      <c r="AZ27" s="754" t="s">
        <v>1814</v>
      </c>
      <c r="BA27" s="121">
        <v>1</v>
      </c>
      <c r="BB27" s="121" t="s">
        <v>3516</v>
      </c>
      <c r="BC27" s="121" t="s">
        <v>7530</v>
      </c>
      <c r="BD27" s="754" t="s">
        <v>7523</v>
      </c>
      <c r="BE27" s="754"/>
      <c r="BF27" s="121" t="s">
        <v>3513</v>
      </c>
      <c r="BG27" s="121"/>
      <c r="BH27" s="594"/>
      <c r="BI27" s="594"/>
      <c r="BJ27" s="156">
        <v>1</v>
      </c>
      <c r="BK27" s="156"/>
      <c r="BL27" s="156"/>
      <c r="BM27" s="156"/>
      <c r="BN27" s="156"/>
      <c r="BO27" s="156"/>
      <c r="BP27" s="156"/>
      <c r="BQ27" s="156"/>
      <c r="BR27" s="156"/>
      <c r="BS27" s="156"/>
      <c r="BT27" s="156"/>
      <c r="BU27" s="156"/>
      <c r="BV27" s="156"/>
      <c r="BW27" s="595" t="s">
        <v>7376</v>
      </c>
      <c r="BX27" s="157" t="s">
        <v>7561</v>
      </c>
      <c r="BY27" s="797" t="s">
        <v>7613</v>
      </c>
      <c r="BZ27" s="789" t="s">
        <v>803</v>
      </c>
      <c r="CA27" s="765">
        <v>1</v>
      </c>
      <c r="CB27" s="765" t="s">
        <v>7556</v>
      </c>
      <c r="CC27" s="765" t="s">
        <v>7384</v>
      </c>
      <c r="CD27" s="134" t="s">
        <v>1876</v>
      </c>
      <c r="CE27" s="134" t="s">
        <v>3518</v>
      </c>
      <c r="CF27" s="400">
        <v>5</v>
      </c>
      <c r="CG27" s="134" t="s">
        <v>7373</v>
      </c>
      <c r="CH27" s="753" t="s">
        <v>7310</v>
      </c>
      <c r="CI27" s="134" t="s">
        <v>3514</v>
      </c>
      <c r="CJ27" s="134" t="s">
        <v>7374</v>
      </c>
      <c r="CK27" s="134" t="s">
        <v>3224</v>
      </c>
      <c r="CL27" s="150" t="s">
        <v>8296</v>
      </c>
      <c r="CM27" s="259" t="s">
        <v>3530</v>
      </c>
      <c r="CN27" s="454" t="s">
        <v>6627</v>
      </c>
      <c r="CO27" s="828">
        <v>61</v>
      </c>
      <c r="CP27" s="828">
        <v>1</v>
      </c>
      <c r="CQ27" s="828">
        <v>1</v>
      </c>
      <c r="CR27" s="828">
        <v>1</v>
      </c>
      <c r="CS27" s="828">
        <v>1</v>
      </c>
      <c r="CT27" s="967"/>
      <c r="CU27" s="1290" t="s">
        <v>8104</v>
      </c>
      <c r="CV27" s="1295">
        <v>152</v>
      </c>
      <c r="CW27" s="1295">
        <v>143</v>
      </c>
      <c r="CX27" s="138" t="s">
        <v>3520</v>
      </c>
      <c r="CY27" s="134">
        <v>18.5349</v>
      </c>
      <c r="CZ27" s="134" t="s">
        <v>24</v>
      </c>
      <c r="DA27" s="134">
        <f>21.8679-Table66[[#This Row],[Data_Outcome1_M]]</f>
        <v>3.3329999999999984</v>
      </c>
      <c r="DB27" s="138" t="s">
        <v>3521</v>
      </c>
      <c r="DC27" s="134">
        <v>2.8626999999999998</v>
      </c>
      <c r="DD27" s="134" t="s">
        <v>24</v>
      </c>
      <c r="DE27" s="134">
        <f>3.34657-Table66[[#This Row],[Data_Outcome2_M]]</f>
        <v>0.48387000000000002</v>
      </c>
      <c r="DF27" s="642" t="s">
        <v>3529</v>
      </c>
      <c r="DG27" s="821" t="s">
        <v>3526</v>
      </c>
      <c r="DH27" s="1179"/>
      <c r="DI27" s="417"/>
      <c r="DJ27" s="1169"/>
      <c r="DK27" s="417"/>
      <c r="DL27" s="1169"/>
      <c r="DM27" s="417"/>
      <c r="DN27" s="1169"/>
      <c r="DO27" s="1151"/>
      <c r="DP27" s="288"/>
      <c r="DQ27" s="441"/>
      <c r="DR27" s="1168"/>
      <c r="DS27" s="865"/>
      <c r="DT27" s="1171"/>
      <c r="DU27" s="121"/>
      <c r="DV27" s="1169"/>
      <c r="DW27" s="121"/>
      <c r="DX27" s="1169"/>
      <c r="DY27" s="121"/>
      <c r="DZ27" s="1169"/>
      <c r="EA27" s="121"/>
      <c r="EB27" s="304"/>
      <c r="EC27" s="312"/>
      <c r="ED27" s="1169"/>
      <c r="EE27" s="1169"/>
      <c r="EF27" s="1169"/>
      <c r="EG27" s="1169"/>
      <c r="EH27" s="1169"/>
      <c r="EI27" s="1169"/>
      <c r="EJ27" s="1169"/>
      <c r="EK27" s="1169"/>
      <c r="EL27" s="304"/>
      <c r="EM27" s="312"/>
      <c r="EN27" s="309"/>
      <c r="EO27" s="1170"/>
      <c r="EP27" s="1169"/>
      <c r="EQ27" s="1169"/>
      <c r="ER27" s="1169"/>
      <c r="ES27" s="1169"/>
      <c r="ET27" s="1171"/>
      <c r="EU27" s="1169"/>
      <c r="EV27" s="1169"/>
      <c r="EW27" s="1169"/>
      <c r="EX27" s="312"/>
      <c r="EY27" s="312"/>
      <c r="EZ27" s="1171"/>
      <c r="FA27" s="1169"/>
      <c r="FB27" s="1169"/>
      <c r="FC27" s="1169"/>
      <c r="FD27" s="1171"/>
      <c r="FE27" s="1169"/>
      <c r="FF27" s="1169"/>
      <c r="FG27" s="1169"/>
      <c r="FH27" s="312"/>
      <c r="FI27" s="312"/>
      <c r="FJ27" s="1170"/>
    </row>
    <row r="28" spans="1:166" ht="16" hidden="1" customHeight="1">
      <c r="A28" s="79" t="s">
        <v>991</v>
      </c>
      <c r="B28" s="362">
        <v>191</v>
      </c>
      <c r="C28" s="362"/>
      <c r="D28" s="362">
        <v>71</v>
      </c>
      <c r="E28" s="604" t="s">
        <v>2109</v>
      </c>
      <c r="F28" s="124" t="s">
        <v>2368</v>
      </c>
      <c r="G28" s="125">
        <v>2013</v>
      </c>
      <c r="H28" s="79">
        <v>23624119</v>
      </c>
      <c r="I28" s="79">
        <v>1</v>
      </c>
      <c r="J28" s="126">
        <v>1</v>
      </c>
      <c r="K28" s="127"/>
      <c r="L28" s="79">
        <v>1</v>
      </c>
      <c r="M28" s="79"/>
      <c r="N28" s="79">
        <v>1</v>
      </c>
      <c r="O28" s="128">
        <v>2</v>
      </c>
      <c r="P28" s="79" t="s">
        <v>24</v>
      </c>
      <c r="Q28" s="79"/>
      <c r="R28" s="79" t="s">
        <v>1138</v>
      </c>
      <c r="S28" s="79"/>
      <c r="T28" s="79" t="s">
        <v>1498</v>
      </c>
      <c r="U28" s="79"/>
      <c r="V28" s="79"/>
      <c r="W28" s="79" t="s">
        <v>1521</v>
      </c>
      <c r="X28" s="79"/>
      <c r="Y28" s="79" t="s">
        <v>1132</v>
      </c>
      <c r="Z28" s="79"/>
      <c r="AA28" s="79"/>
      <c r="AB28" s="79" t="s">
        <v>1279</v>
      </c>
      <c r="AC28" s="506" t="s">
        <v>6262</v>
      </c>
      <c r="AD28" s="573">
        <v>1</v>
      </c>
      <c r="AE28" s="573">
        <v>2</v>
      </c>
      <c r="AF28" s="154">
        <v>1</v>
      </c>
      <c r="AG28" s="155" t="s">
        <v>7664</v>
      </c>
      <c r="AH28" s="704">
        <v>0</v>
      </c>
      <c r="AI28" s="121">
        <v>5</v>
      </c>
      <c r="AJ28" s="484"/>
      <c r="AK28" s="213"/>
      <c r="AL28" s="192">
        <v>1</v>
      </c>
      <c r="AM28" s="203">
        <v>1</v>
      </c>
      <c r="AN28" s="121">
        <v>20</v>
      </c>
      <c r="AO28" s="121">
        <v>10</v>
      </c>
      <c r="AP28" s="121">
        <v>10</v>
      </c>
      <c r="AQ28" s="121" t="s">
        <v>803</v>
      </c>
      <c r="AR28" s="121" t="s">
        <v>803</v>
      </c>
      <c r="AS28" s="121" t="s">
        <v>7486</v>
      </c>
      <c r="AT28" s="121" t="s">
        <v>24</v>
      </c>
      <c r="AU28" s="121" t="s">
        <v>7486</v>
      </c>
      <c r="AV28" s="121" t="s">
        <v>24</v>
      </c>
      <c r="AW28" s="121" t="s">
        <v>3517</v>
      </c>
      <c r="AX28" s="121">
        <v>15</v>
      </c>
      <c r="AY28" s="121">
        <v>0.8</v>
      </c>
      <c r="AZ28" s="754" t="s">
        <v>1814</v>
      </c>
      <c r="BA28" s="121">
        <v>1</v>
      </c>
      <c r="BB28" s="121" t="s">
        <v>3516</v>
      </c>
      <c r="BC28" s="121" t="s">
        <v>7530</v>
      </c>
      <c r="BD28" s="754" t="s">
        <v>7523</v>
      </c>
      <c r="BE28" s="754"/>
      <c r="BF28" s="121" t="s">
        <v>3513</v>
      </c>
      <c r="BG28" s="121"/>
      <c r="BH28" s="594"/>
      <c r="BI28" s="594"/>
      <c r="BJ28" s="156">
        <v>1</v>
      </c>
      <c r="BK28" s="156"/>
      <c r="BL28" s="156"/>
      <c r="BM28" s="156"/>
      <c r="BN28" s="156"/>
      <c r="BO28" s="156"/>
      <c r="BP28" s="156"/>
      <c r="BQ28" s="156"/>
      <c r="BR28" s="156"/>
      <c r="BS28" s="156"/>
      <c r="BT28" s="156"/>
      <c r="BU28" s="156"/>
      <c r="BV28" s="156"/>
      <c r="BW28" s="595" t="s">
        <v>7376</v>
      </c>
      <c r="BX28" s="157" t="s">
        <v>7561</v>
      </c>
      <c r="BY28" s="797" t="s">
        <v>7613</v>
      </c>
      <c r="BZ28" s="789" t="s">
        <v>803</v>
      </c>
      <c r="CA28" s="765">
        <v>1</v>
      </c>
      <c r="CB28" s="765" t="s">
        <v>7556</v>
      </c>
      <c r="CC28" s="765" t="s">
        <v>7384</v>
      </c>
      <c r="CD28" s="134" t="s">
        <v>1876</v>
      </c>
      <c r="CE28" s="134" t="s">
        <v>3518</v>
      </c>
      <c r="CF28" s="400">
        <v>10</v>
      </c>
      <c r="CG28" s="134" t="s">
        <v>7373</v>
      </c>
      <c r="CH28" s="753" t="s">
        <v>7310</v>
      </c>
      <c r="CI28" s="134" t="s">
        <v>3514</v>
      </c>
      <c r="CJ28" s="134" t="s">
        <v>7374</v>
      </c>
      <c r="CK28" s="134" t="s">
        <v>3224</v>
      </c>
      <c r="CL28" s="150" t="s">
        <v>8296</v>
      </c>
      <c r="CM28" s="259" t="s">
        <v>3530</v>
      </c>
      <c r="CN28" s="454" t="s">
        <v>6627</v>
      </c>
      <c r="CO28" s="828">
        <v>61</v>
      </c>
      <c r="CP28" s="828">
        <v>1</v>
      </c>
      <c r="CQ28" s="828">
        <v>2</v>
      </c>
      <c r="CR28" s="828">
        <v>1</v>
      </c>
      <c r="CS28" s="828">
        <v>1</v>
      </c>
      <c r="CT28" s="967"/>
      <c r="CU28" s="1290" t="s">
        <v>8104</v>
      </c>
      <c r="CV28" s="1295">
        <v>152</v>
      </c>
      <c r="CW28" s="1295">
        <v>143</v>
      </c>
      <c r="CX28" s="138" t="s">
        <v>3522</v>
      </c>
      <c r="CY28" s="134">
        <v>17.241399999999999</v>
      </c>
      <c r="CZ28" s="134" t="s">
        <v>24</v>
      </c>
      <c r="DA28" s="134">
        <f>20.8513-Table66[[#This Row],[Data_Outcome1_M]]</f>
        <v>3.6098999999999997</v>
      </c>
      <c r="DB28" s="138" t="s">
        <v>3523</v>
      </c>
      <c r="DC28" s="134">
        <v>2.4245700000000001</v>
      </c>
      <c r="DD28" s="134" t="s">
        <v>24</v>
      </c>
      <c r="DE28" s="134">
        <f>4.20259-Table66[[#This Row],[Data_Outcome2_M]]</f>
        <v>1.7780199999999997</v>
      </c>
      <c r="DF28" s="300" t="s">
        <v>3528</v>
      </c>
      <c r="DG28" s="301" t="s">
        <v>3526</v>
      </c>
      <c r="DH28" s="1276"/>
      <c r="DI28" s="121"/>
      <c r="DJ28" s="1169"/>
      <c r="DK28" s="121"/>
      <c r="DL28" s="1171"/>
      <c r="DM28" s="121"/>
      <c r="DN28" s="1169"/>
      <c r="DO28" s="121"/>
      <c r="DP28" s="434"/>
      <c r="DQ28" s="436"/>
      <c r="DR28" s="1168"/>
      <c r="DS28" s="865"/>
      <c r="DT28" s="1171"/>
      <c r="DU28" s="417"/>
      <c r="DV28" s="1169"/>
      <c r="DW28" s="417"/>
      <c r="DX28" s="1171"/>
      <c r="DY28" s="417"/>
      <c r="DZ28" s="1169"/>
      <c r="EA28" s="417"/>
      <c r="EB28" s="304"/>
      <c r="EC28" s="312"/>
      <c r="ED28" s="1169"/>
      <c r="EE28" s="121"/>
      <c r="EF28" s="1169"/>
      <c r="EG28" s="121"/>
      <c r="EH28" s="1169"/>
      <c r="EI28" s="121"/>
      <c r="EJ28" s="1169"/>
      <c r="EK28" s="121"/>
      <c r="EL28" s="304"/>
      <c r="EM28" s="312"/>
      <c r="EN28" s="309"/>
      <c r="EO28" s="1170"/>
      <c r="EP28" s="121"/>
      <c r="EQ28" s="121"/>
      <c r="ER28" s="121"/>
      <c r="ES28" s="121"/>
      <c r="ET28" s="1276"/>
      <c r="EU28" s="121"/>
      <c r="EV28" s="121"/>
      <c r="EW28" s="121"/>
      <c r="EX28" s="301"/>
      <c r="EY28" s="301"/>
      <c r="EZ28" s="1276"/>
      <c r="FA28" s="121"/>
      <c r="FB28" s="121"/>
      <c r="FC28" s="121"/>
      <c r="FD28" s="1276"/>
      <c r="FE28" s="121"/>
      <c r="FF28" s="121"/>
      <c r="FG28" s="121"/>
      <c r="FH28" s="301"/>
      <c r="FI28" s="301"/>
      <c r="FJ28" s="277"/>
    </row>
    <row r="29" spans="1:166" s="1780" customFormat="1" ht="16" hidden="1" customHeight="1">
      <c r="A29" s="79" t="s">
        <v>991</v>
      </c>
      <c r="B29" s="362">
        <v>191</v>
      </c>
      <c r="C29" s="362"/>
      <c r="D29" s="362">
        <v>71</v>
      </c>
      <c r="E29" s="604" t="s">
        <v>2109</v>
      </c>
      <c r="F29" s="124" t="s">
        <v>2368</v>
      </c>
      <c r="G29" s="125">
        <v>2013</v>
      </c>
      <c r="H29" s="79">
        <v>23624119</v>
      </c>
      <c r="I29" s="79">
        <v>1</v>
      </c>
      <c r="J29" s="126">
        <v>1</v>
      </c>
      <c r="K29" s="127"/>
      <c r="L29" s="79">
        <v>1</v>
      </c>
      <c r="M29" s="79"/>
      <c r="N29" s="79">
        <v>1</v>
      </c>
      <c r="O29" s="128">
        <v>2</v>
      </c>
      <c r="P29" s="79" t="s">
        <v>24</v>
      </c>
      <c r="Q29" s="79"/>
      <c r="R29" s="79" t="s">
        <v>1138</v>
      </c>
      <c r="S29" s="79"/>
      <c r="T29" s="79" t="s">
        <v>1498</v>
      </c>
      <c r="U29" s="79"/>
      <c r="V29" s="79"/>
      <c r="W29" s="79" t="s">
        <v>1521</v>
      </c>
      <c r="X29" s="79"/>
      <c r="Y29" s="79" t="s">
        <v>1132</v>
      </c>
      <c r="Z29" s="79"/>
      <c r="AA29" s="79"/>
      <c r="AB29" s="79" t="s">
        <v>1279</v>
      </c>
      <c r="AC29" s="506" t="s">
        <v>6262</v>
      </c>
      <c r="AD29" s="573">
        <v>1</v>
      </c>
      <c r="AE29" s="573">
        <v>2</v>
      </c>
      <c r="AF29" s="154">
        <v>1</v>
      </c>
      <c r="AG29" s="155" t="s">
        <v>7664</v>
      </c>
      <c r="AH29" s="704">
        <v>0</v>
      </c>
      <c r="AI29" s="121">
        <v>5</v>
      </c>
      <c r="AJ29" s="484"/>
      <c r="AK29" s="213"/>
      <c r="AL29" s="192">
        <v>1</v>
      </c>
      <c r="AM29" s="203">
        <v>1</v>
      </c>
      <c r="AN29" s="121">
        <v>20</v>
      </c>
      <c r="AO29" s="121">
        <v>10</v>
      </c>
      <c r="AP29" s="121">
        <v>10</v>
      </c>
      <c r="AQ29" s="121" t="s">
        <v>803</v>
      </c>
      <c r="AR29" s="121" t="s">
        <v>803</v>
      </c>
      <c r="AS29" s="121" t="s">
        <v>7486</v>
      </c>
      <c r="AT29" s="121" t="s">
        <v>24</v>
      </c>
      <c r="AU29" s="121" t="s">
        <v>7486</v>
      </c>
      <c r="AV29" s="121" t="s">
        <v>24</v>
      </c>
      <c r="AW29" s="121" t="s">
        <v>3517</v>
      </c>
      <c r="AX29" s="121">
        <v>15</v>
      </c>
      <c r="AY29" s="121">
        <v>0.8</v>
      </c>
      <c r="AZ29" s="754" t="s">
        <v>1814</v>
      </c>
      <c r="BA29" s="121">
        <v>1</v>
      </c>
      <c r="BB29" s="121" t="s">
        <v>3516</v>
      </c>
      <c r="BC29" s="121" t="s">
        <v>7530</v>
      </c>
      <c r="BD29" s="754" t="s">
        <v>7523</v>
      </c>
      <c r="BE29" s="754"/>
      <c r="BF29" s="121" t="s">
        <v>3513</v>
      </c>
      <c r="BG29" s="121"/>
      <c r="BH29" s="594"/>
      <c r="BI29" s="594"/>
      <c r="BJ29" s="156">
        <v>1</v>
      </c>
      <c r="BK29" s="156"/>
      <c r="BL29" s="156"/>
      <c r="BM29" s="156"/>
      <c r="BN29" s="156"/>
      <c r="BO29" s="156"/>
      <c r="BP29" s="156"/>
      <c r="BQ29" s="156"/>
      <c r="BR29" s="156"/>
      <c r="BS29" s="156"/>
      <c r="BT29" s="156"/>
      <c r="BU29" s="156"/>
      <c r="BV29" s="156"/>
      <c r="BW29" s="595" t="s">
        <v>7376</v>
      </c>
      <c r="BX29" s="157" t="s">
        <v>7561</v>
      </c>
      <c r="BY29" s="797" t="s">
        <v>7613</v>
      </c>
      <c r="BZ29" s="789" t="s">
        <v>803</v>
      </c>
      <c r="CA29" s="765">
        <v>1</v>
      </c>
      <c r="CB29" s="765" t="s">
        <v>7556</v>
      </c>
      <c r="CC29" s="765" t="s">
        <v>7384</v>
      </c>
      <c r="CD29" s="134" t="s">
        <v>1876</v>
      </c>
      <c r="CE29" s="134" t="s">
        <v>3518</v>
      </c>
      <c r="CF29" s="400">
        <v>17</v>
      </c>
      <c r="CG29" s="134" t="s">
        <v>7373</v>
      </c>
      <c r="CH29" s="753" t="s">
        <v>7310</v>
      </c>
      <c r="CI29" s="134" t="s">
        <v>3514</v>
      </c>
      <c r="CJ29" s="134" t="s">
        <v>7374</v>
      </c>
      <c r="CK29" s="134" t="s">
        <v>3224</v>
      </c>
      <c r="CL29" s="150" t="s">
        <v>8296</v>
      </c>
      <c r="CM29" s="259" t="s">
        <v>3530</v>
      </c>
      <c r="CN29" s="454" t="s">
        <v>6627</v>
      </c>
      <c r="CO29" s="828">
        <v>61</v>
      </c>
      <c r="CP29" s="828">
        <v>1</v>
      </c>
      <c r="CQ29" s="828">
        <v>3</v>
      </c>
      <c r="CR29" s="828">
        <v>1</v>
      </c>
      <c r="CS29" s="828">
        <v>1</v>
      </c>
      <c r="CT29" s="967"/>
      <c r="CU29" s="1290" t="s">
        <v>8104</v>
      </c>
      <c r="CV29" s="1295">
        <v>152</v>
      </c>
      <c r="CW29" s="1295">
        <v>143</v>
      </c>
      <c r="CX29" s="138" t="s">
        <v>3524</v>
      </c>
      <c r="CY29" s="134">
        <v>19.140799999999999</v>
      </c>
      <c r="CZ29" s="134" t="s">
        <v>24</v>
      </c>
      <c r="DA29" s="134">
        <f>24.2923-Table66[[#This Row],[Data_Outcome1_M]]</f>
        <v>5.1515000000000022</v>
      </c>
      <c r="DB29" s="138" t="s">
        <v>3525</v>
      </c>
      <c r="DC29" s="134">
        <v>1.40201</v>
      </c>
      <c r="DD29" s="134" t="s">
        <v>24</v>
      </c>
      <c r="DE29" s="134">
        <f>2.05418-Table66[[#This Row],[Data_Outcome2_M]]</f>
        <v>0.65217000000000014</v>
      </c>
      <c r="DF29" s="300" t="s">
        <v>3527</v>
      </c>
      <c r="DG29" s="301" t="s">
        <v>3526</v>
      </c>
      <c r="DH29" s="1171"/>
      <c r="DI29" s="1169"/>
      <c r="DJ29" s="1169"/>
      <c r="DK29" s="1169"/>
      <c r="DL29" s="1171"/>
      <c r="DM29" s="121"/>
      <c r="DN29" s="1169"/>
      <c r="DO29" s="121"/>
      <c r="DP29" s="434"/>
      <c r="DQ29" s="436"/>
      <c r="DR29" s="1168"/>
      <c r="DS29" s="865"/>
      <c r="DT29" s="1171"/>
      <c r="DU29" s="121"/>
      <c r="DV29" s="1169"/>
      <c r="DW29" s="121"/>
      <c r="DX29" s="1171"/>
      <c r="DY29" s="1169"/>
      <c r="DZ29" s="1169"/>
      <c r="EA29" s="1169"/>
      <c r="EB29" s="304"/>
      <c r="EC29" s="312"/>
      <c r="ED29" s="1169"/>
      <c r="EE29" s="417"/>
      <c r="EF29" s="1169"/>
      <c r="EG29" s="417"/>
      <c r="EH29" s="1169"/>
      <c r="EI29" s="417"/>
      <c r="EJ29" s="1169"/>
      <c r="EK29" s="417"/>
      <c r="EL29" s="304"/>
      <c r="EM29" s="312"/>
      <c r="EN29" s="309"/>
      <c r="EO29" s="1170"/>
      <c r="EP29" s="1169"/>
      <c r="EQ29" s="1169"/>
      <c r="ER29" s="1169"/>
      <c r="ES29" s="1169"/>
      <c r="ET29" s="1276"/>
      <c r="EU29" s="121"/>
      <c r="EV29" s="121"/>
      <c r="EW29" s="121"/>
      <c r="EX29" s="312"/>
      <c r="EY29" s="312"/>
      <c r="EZ29" s="1276"/>
      <c r="FA29" s="121"/>
      <c r="FB29" s="121"/>
      <c r="FC29" s="121"/>
      <c r="FD29" s="1171"/>
      <c r="FE29" s="1169"/>
      <c r="FF29" s="1169"/>
      <c r="FG29" s="1169"/>
      <c r="FH29" s="312"/>
      <c r="FI29" s="312"/>
      <c r="FJ29" s="1170"/>
    </row>
    <row r="30" spans="1:166" s="1780" customFormat="1" ht="15" hidden="1" customHeight="1">
      <c r="A30" s="1305" t="s">
        <v>1026</v>
      </c>
      <c r="B30" s="1310">
        <v>24</v>
      </c>
      <c r="C30" s="1310"/>
      <c r="D30" s="1310"/>
      <c r="E30" s="1311" t="s">
        <v>2088</v>
      </c>
      <c r="F30" s="1312" t="s">
        <v>2343</v>
      </c>
      <c r="G30" s="1313">
        <v>2012</v>
      </c>
      <c r="H30" s="1305">
        <v>22176467</v>
      </c>
      <c r="I30" s="1305">
        <v>1</v>
      </c>
      <c r="J30" s="1305" t="s">
        <v>1855</v>
      </c>
      <c r="K30" s="1305"/>
      <c r="L30" s="1305">
        <v>0</v>
      </c>
      <c r="M30" s="1305"/>
      <c r="N30" s="1305">
        <v>0</v>
      </c>
      <c r="O30" s="1305">
        <v>2</v>
      </c>
      <c r="P30" s="1305" t="s">
        <v>1404</v>
      </c>
      <c r="Q30" s="1305" t="s">
        <v>1212</v>
      </c>
      <c r="R30" s="1305" t="s">
        <v>1127</v>
      </c>
      <c r="S30" s="1305"/>
      <c r="T30" s="1305" t="s">
        <v>1488</v>
      </c>
      <c r="U30" s="1305" t="s">
        <v>803</v>
      </c>
      <c r="V30" s="1305"/>
      <c r="W30" s="1305" t="s">
        <v>1403</v>
      </c>
      <c r="X30" s="1305"/>
      <c r="Y30" s="1305"/>
      <c r="Z30" s="1305"/>
      <c r="AA30" s="1305"/>
      <c r="AB30" s="1305"/>
      <c r="AC30" s="1306"/>
      <c r="AD30" s="1306">
        <v>1</v>
      </c>
      <c r="AE30" s="1306">
        <v>2</v>
      </c>
      <c r="AF30" s="1314">
        <v>1</v>
      </c>
      <c r="AG30" s="1315" t="s">
        <v>8119</v>
      </c>
      <c r="AH30" s="1306" t="s">
        <v>7700</v>
      </c>
      <c r="AI30" s="1306">
        <v>4</v>
      </c>
      <c r="AJ30" s="1306"/>
      <c r="AK30" s="1316" t="s">
        <v>3052</v>
      </c>
      <c r="AL30" s="1312">
        <v>1</v>
      </c>
      <c r="AM30" s="1317">
        <v>0</v>
      </c>
      <c r="AN30" s="1306">
        <f>Table66[[#This Row],[Data_Subjects_n_ptsd]]+Table66[[#This Row],[Data_Subjects_n_control]]</f>
        <v>24</v>
      </c>
      <c r="AO30" s="1306">
        <v>12</v>
      </c>
      <c r="AP30" s="1306">
        <v>12</v>
      </c>
      <c r="AQ30" s="1306" t="s">
        <v>803</v>
      </c>
      <c r="AR30" s="1306" t="s">
        <v>803</v>
      </c>
      <c r="AS30" s="1306" t="s">
        <v>3031</v>
      </c>
      <c r="AT30" s="1306" t="s">
        <v>24</v>
      </c>
      <c r="AU30" s="1306" t="s">
        <v>3031</v>
      </c>
      <c r="AV30" s="1306" t="s">
        <v>24</v>
      </c>
      <c r="AW30" s="1306" t="s">
        <v>7697</v>
      </c>
      <c r="AX30" s="1306">
        <v>15</v>
      </c>
      <c r="AY30" s="1306">
        <v>1</v>
      </c>
      <c r="AZ30" s="1306" t="s">
        <v>1814</v>
      </c>
      <c r="BA30" s="1306">
        <v>1</v>
      </c>
      <c r="BB30" s="1306" t="s">
        <v>7690</v>
      </c>
      <c r="BC30" s="1306" t="s">
        <v>3032</v>
      </c>
      <c r="BD30" s="1306" t="s">
        <v>7523</v>
      </c>
      <c r="BE30" s="1306"/>
      <c r="BF30" s="1306" t="s">
        <v>2730</v>
      </c>
      <c r="BG30" s="1306" t="s">
        <v>2554</v>
      </c>
      <c r="BH30" s="1312"/>
      <c r="BI30" s="1312"/>
      <c r="BJ30" s="1318">
        <v>1</v>
      </c>
      <c r="BK30" s="1318"/>
      <c r="BL30" s="1318"/>
      <c r="BM30" s="1318"/>
      <c r="BN30" s="1318"/>
      <c r="BO30" s="1318"/>
      <c r="BP30" s="1318"/>
      <c r="BQ30" s="1318"/>
      <c r="BR30" s="1318"/>
      <c r="BS30" s="1318"/>
      <c r="BT30" s="1318"/>
      <c r="BU30" s="1318"/>
      <c r="BV30" s="1318"/>
      <c r="BW30" s="1318" t="s">
        <v>3044</v>
      </c>
      <c r="BX30" s="1309" t="s">
        <v>6657</v>
      </c>
      <c r="BY30" s="1309" t="s">
        <v>7613</v>
      </c>
      <c r="BZ30" s="1309" t="s">
        <v>803</v>
      </c>
      <c r="CA30" s="1318">
        <v>1</v>
      </c>
      <c r="CB30" s="1318" t="s">
        <v>7556</v>
      </c>
      <c r="CC30" s="1318" t="s">
        <v>7384</v>
      </c>
      <c r="CD30" s="1306" t="s">
        <v>1876</v>
      </c>
      <c r="CE30" s="1306" t="s">
        <v>3041</v>
      </c>
      <c r="CF30" s="1306" t="s">
        <v>7703</v>
      </c>
      <c r="CG30" s="1306" t="s">
        <v>7695</v>
      </c>
      <c r="CH30" s="1306" t="s">
        <v>7310</v>
      </c>
      <c r="CI30" s="1306" t="s">
        <v>2471</v>
      </c>
      <c r="CJ30" s="1306"/>
      <c r="CK30" s="1306" t="s">
        <v>2659</v>
      </c>
      <c r="CL30" s="150" t="s">
        <v>8296</v>
      </c>
      <c r="CM30" s="1319" t="s">
        <v>3077</v>
      </c>
      <c r="CN30" s="1307" t="s">
        <v>6627</v>
      </c>
      <c r="CO30" s="1307">
        <v>44</v>
      </c>
      <c r="CP30" s="1307">
        <v>2</v>
      </c>
      <c r="CQ30" s="1307"/>
      <c r="CR30" s="1307">
        <v>1</v>
      </c>
      <c r="CS30" s="1307"/>
      <c r="CT30" s="1307"/>
      <c r="CU30" s="830" t="s">
        <v>8104</v>
      </c>
      <c r="CV30" s="1320">
        <v>97</v>
      </c>
      <c r="CW30" s="1320">
        <v>89</v>
      </c>
      <c r="CX30" s="1309" t="s">
        <v>3075</v>
      </c>
      <c r="CY30" s="1306">
        <v>67.877099999999999</v>
      </c>
      <c r="CZ30" s="1306" t="s">
        <v>24</v>
      </c>
      <c r="DA30" s="1306">
        <f>78.6778-Table66[[#This Row],[Data_Outcome1_M]]</f>
        <v>10.800700000000006</v>
      </c>
      <c r="DB30" s="1309" t="s">
        <v>3074</v>
      </c>
      <c r="DC30" s="1306">
        <v>1.9553100000000001</v>
      </c>
      <c r="DD30" s="1306" t="s">
        <v>24</v>
      </c>
      <c r="DE30" s="1306">
        <f>2.70019-Table66[[#This Row],[Data_Outcome2_M]]</f>
        <v>0.74487999999999999</v>
      </c>
      <c r="DF30" s="1307" t="s">
        <v>3076</v>
      </c>
      <c r="DG30" s="1306" t="s">
        <v>3060</v>
      </c>
      <c r="DH30" s="1309"/>
      <c r="DI30" s="1306"/>
      <c r="DJ30" s="1321"/>
      <c r="DK30" s="1306"/>
      <c r="DL30" s="1309"/>
      <c r="DM30" s="1306"/>
      <c r="DN30" s="1321"/>
      <c r="DO30" s="1306"/>
      <c r="DP30" s="1319"/>
      <c r="DQ30" s="1312"/>
      <c r="DR30" s="1322"/>
      <c r="DS30" s="1323"/>
      <c r="DT30" s="1323"/>
      <c r="DU30" s="1306"/>
      <c r="DV30" s="1321"/>
      <c r="DW30" s="1306"/>
      <c r="DX30" s="1321"/>
      <c r="DY30" s="1321"/>
      <c r="DZ30" s="1321"/>
      <c r="EA30" s="1321"/>
      <c r="EB30" s="1322"/>
      <c r="EC30" s="1321"/>
      <c r="ED30" s="1321"/>
      <c r="EE30" s="1321"/>
      <c r="EF30" s="1321"/>
      <c r="EG30" s="1321"/>
      <c r="EH30" s="1321"/>
      <c r="EI30" s="1321"/>
      <c r="EJ30" s="1321"/>
      <c r="EK30" s="1321"/>
      <c r="EL30" s="1322"/>
      <c r="EM30" s="1321"/>
      <c r="EN30" s="1322"/>
      <c r="EO30" s="1321"/>
      <c r="EP30" s="1305"/>
      <c r="EQ30" s="1305"/>
      <c r="ER30" s="1305"/>
      <c r="ES30" s="1305"/>
      <c r="ET30" s="1810"/>
      <c r="EU30" s="1305"/>
      <c r="EV30" s="1305"/>
      <c r="EW30" s="1305"/>
      <c r="EX30" s="1305"/>
      <c r="EY30" s="1305"/>
      <c r="EZ30" s="1323"/>
      <c r="FA30" s="1321"/>
      <c r="FB30" s="1321"/>
      <c r="FC30" s="1321"/>
      <c r="FD30" s="1323"/>
      <c r="FE30" s="1321"/>
      <c r="FF30" s="1321"/>
      <c r="FG30" s="1321"/>
      <c r="FH30" s="1321"/>
      <c r="FI30" s="1321"/>
      <c r="FJ30" s="1321"/>
    </row>
    <row r="31" spans="1:166" s="717" customFormat="1" ht="15" hidden="1" customHeight="1">
      <c r="A31" s="79" t="s">
        <v>961</v>
      </c>
      <c r="B31" s="617">
        <v>244</v>
      </c>
      <c r="C31" s="617"/>
      <c r="D31" s="617">
        <v>100</v>
      </c>
      <c r="E31" s="608" t="s">
        <v>2124</v>
      </c>
      <c r="F31" s="181" t="s">
        <v>2385</v>
      </c>
      <c r="G31" s="182">
        <v>2012</v>
      </c>
      <c r="H31" s="79">
        <v>22776621</v>
      </c>
      <c r="I31" s="79">
        <v>1</v>
      </c>
      <c r="J31" s="79">
        <v>1</v>
      </c>
      <c r="K31" s="79"/>
      <c r="L31" s="79">
        <v>1</v>
      </c>
      <c r="M31" s="79"/>
      <c r="N31" s="79">
        <v>1</v>
      </c>
      <c r="O31" s="128">
        <v>2</v>
      </c>
      <c r="P31" s="79" t="s">
        <v>1607</v>
      </c>
      <c r="Q31" s="79" t="s">
        <v>1216</v>
      </c>
      <c r="R31" s="79" t="s">
        <v>1130</v>
      </c>
      <c r="S31" s="79"/>
      <c r="T31" s="79" t="s">
        <v>1541</v>
      </c>
      <c r="U31" s="79" t="s">
        <v>1539</v>
      </c>
      <c r="V31" s="79"/>
      <c r="W31" s="79" t="s">
        <v>1689</v>
      </c>
      <c r="X31" s="79"/>
      <c r="Y31" s="79" t="s">
        <v>1606</v>
      </c>
      <c r="Z31" s="79"/>
      <c r="AA31" s="79"/>
      <c r="AB31" s="79"/>
      <c r="AC31" s="506" t="s">
        <v>6308</v>
      </c>
      <c r="AD31" s="573">
        <v>1</v>
      </c>
      <c r="AE31" s="573">
        <v>1</v>
      </c>
      <c r="AF31" s="352">
        <v>1</v>
      </c>
      <c r="AG31" s="353" t="s">
        <v>7668</v>
      </c>
      <c r="AH31" s="704">
        <v>0</v>
      </c>
      <c r="AI31" s="346">
        <v>4</v>
      </c>
      <c r="AJ31" s="487"/>
      <c r="AK31" s="459" t="s">
        <v>7669</v>
      </c>
      <c r="AL31" s="348" t="s">
        <v>7090</v>
      </c>
      <c r="AM31" s="349">
        <v>0</v>
      </c>
      <c r="AN31" s="346">
        <f>Table66[[#This Row],[Data_Subjects_n_ptsd]]+Table66[[#This Row],[Data_Subjects_n_control]]</f>
        <v>24</v>
      </c>
      <c r="AO31" s="346">
        <v>12</v>
      </c>
      <c r="AP31" s="346">
        <f>36/3</f>
        <v>12</v>
      </c>
      <c r="AQ31" s="346" t="s">
        <v>803</v>
      </c>
      <c r="AR31" s="346" t="s">
        <v>803</v>
      </c>
      <c r="AS31" s="346" t="s">
        <v>7082</v>
      </c>
      <c r="AT31" s="346" t="s">
        <v>24</v>
      </c>
      <c r="AU31" s="346" t="s">
        <v>7082</v>
      </c>
      <c r="AV31" s="346" t="s">
        <v>24</v>
      </c>
      <c r="AW31" s="346" t="s">
        <v>7671</v>
      </c>
      <c r="AX31" s="346">
        <v>1</v>
      </c>
      <c r="AY31" s="346">
        <v>2</v>
      </c>
      <c r="AZ31" s="346" t="s">
        <v>1814</v>
      </c>
      <c r="BA31" s="346">
        <v>1</v>
      </c>
      <c r="BB31" s="346" t="s">
        <v>7672</v>
      </c>
      <c r="BC31" s="346" t="s">
        <v>7087</v>
      </c>
      <c r="BD31" s="346" t="s">
        <v>7523</v>
      </c>
      <c r="BE31" s="346"/>
      <c r="BF31" s="346" t="s">
        <v>1130</v>
      </c>
      <c r="BG31" s="346" t="s">
        <v>6653</v>
      </c>
      <c r="BH31" s="598">
        <v>1</v>
      </c>
      <c r="BI31" s="598"/>
      <c r="BJ31" s="184">
        <v>1</v>
      </c>
      <c r="BK31" s="184">
        <v>1</v>
      </c>
      <c r="BL31" s="184"/>
      <c r="BM31" s="184"/>
      <c r="BN31" s="184"/>
      <c r="BO31" s="184"/>
      <c r="BP31" s="184">
        <v>1</v>
      </c>
      <c r="BQ31" s="184"/>
      <c r="BR31" s="184"/>
      <c r="BS31" s="184"/>
      <c r="BT31" s="184"/>
      <c r="BU31" s="184"/>
      <c r="BV31" s="184"/>
      <c r="BW31" s="600" t="s">
        <v>7450</v>
      </c>
      <c r="BX31" s="185" t="s">
        <v>6657</v>
      </c>
      <c r="BY31" s="812" t="s">
        <v>7613</v>
      </c>
      <c r="BZ31" s="791" t="s">
        <v>803</v>
      </c>
      <c r="CA31" s="765">
        <v>1</v>
      </c>
      <c r="CB31" s="765" t="s">
        <v>7556</v>
      </c>
      <c r="CC31" s="765" t="s">
        <v>7384</v>
      </c>
      <c r="CD31" s="186" t="s">
        <v>1876</v>
      </c>
      <c r="CE31" s="186" t="s">
        <v>7673</v>
      </c>
      <c r="CF31" s="186" t="s">
        <v>7590</v>
      </c>
      <c r="CG31" s="186" t="s">
        <v>7101</v>
      </c>
      <c r="CH31" s="186" t="s">
        <v>7310</v>
      </c>
      <c r="CI31" s="186" t="s">
        <v>7083</v>
      </c>
      <c r="CJ31" s="186"/>
      <c r="CK31" s="186" t="s">
        <v>7093</v>
      </c>
      <c r="CL31" s="150" t="s">
        <v>8297</v>
      </c>
      <c r="CM31" s="261" t="s">
        <v>7103</v>
      </c>
      <c r="CN31" s="620" t="s">
        <v>6627</v>
      </c>
      <c r="CO31" s="830">
        <v>81</v>
      </c>
      <c r="CP31" s="830">
        <v>1</v>
      </c>
      <c r="CQ31" s="830">
        <v>1</v>
      </c>
      <c r="CR31" s="830">
        <v>0</v>
      </c>
      <c r="CS31" s="830">
        <v>-1</v>
      </c>
      <c r="CT31" s="969"/>
      <c r="CU31" s="1289" t="s">
        <v>8104</v>
      </c>
      <c r="CV31" s="1295">
        <v>129</v>
      </c>
      <c r="CW31" s="1295">
        <v>118</v>
      </c>
      <c r="CX31" s="632" t="s">
        <v>7094</v>
      </c>
      <c r="CY31" s="271">
        <v>116.589</v>
      </c>
      <c r="CZ31" s="186" t="s">
        <v>24</v>
      </c>
      <c r="DA31" s="271">
        <f>156.998-Table66[[#This Row],[Data_Outcome1_M]]</f>
        <v>40.408999999999992</v>
      </c>
      <c r="DB31" s="632" t="s">
        <v>7095</v>
      </c>
      <c r="DC31" s="186">
        <v>251.80799999999999</v>
      </c>
      <c r="DD31" s="186" t="s">
        <v>24</v>
      </c>
      <c r="DE31" s="186">
        <f>279.563-Table66[[#This Row],[Data_Outcome2_M]]</f>
        <v>27.754999999999995</v>
      </c>
      <c r="DF31" s="294" t="s">
        <v>7674</v>
      </c>
      <c r="DG31" s="295" t="s">
        <v>7675</v>
      </c>
      <c r="DH31" s="346"/>
      <c r="DI31" s="346"/>
      <c r="DJ31" s="1189"/>
      <c r="DK31" s="346"/>
      <c r="DL31" s="1189"/>
      <c r="DM31" s="346"/>
      <c r="DN31" s="1189"/>
      <c r="DO31" s="346"/>
      <c r="DP31" s="294"/>
      <c r="DQ31" s="295"/>
      <c r="DR31" s="1168"/>
      <c r="DS31" s="865"/>
      <c r="DT31" s="1192"/>
      <c r="DU31" s="346"/>
      <c r="DV31" s="1189"/>
      <c r="DW31" s="346"/>
      <c r="DX31" s="1189"/>
      <c r="DY31" s="346"/>
      <c r="DZ31" s="1189"/>
      <c r="EA31" s="346"/>
      <c r="EB31" s="1193"/>
      <c r="EC31" s="1190"/>
      <c r="ED31" s="1189"/>
      <c r="EE31" s="346"/>
      <c r="EF31" s="1189"/>
      <c r="EG31" s="346"/>
      <c r="EH31" s="1189"/>
      <c r="EI31" s="346"/>
      <c r="EJ31" s="1189"/>
      <c r="EK31" s="346"/>
      <c r="EL31" s="1193"/>
      <c r="EM31" s="1190"/>
      <c r="EN31" s="1168"/>
      <c r="EO31" s="1191"/>
      <c r="EP31" s="346"/>
      <c r="EQ31" s="346"/>
      <c r="ER31" s="346"/>
      <c r="ES31" s="346"/>
      <c r="ET31" s="346"/>
      <c r="EU31" s="346"/>
      <c r="EV31" s="346"/>
      <c r="EW31" s="346"/>
      <c r="EX31" s="1190"/>
      <c r="EY31" s="1190"/>
      <c r="EZ31" s="1278"/>
      <c r="FA31" s="346"/>
      <c r="FB31" s="346"/>
      <c r="FC31" s="346"/>
      <c r="FD31" s="1278"/>
      <c r="FE31" s="346"/>
      <c r="FF31" s="346"/>
      <c r="FG31" s="346"/>
      <c r="FH31" s="315"/>
      <c r="FI31" s="315"/>
      <c r="FJ31" s="1191"/>
    </row>
    <row r="32" spans="1:166" s="229" customFormat="1" ht="15" hidden="1" customHeight="1">
      <c r="A32" s="118" t="s">
        <v>961</v>
      </c>
      <c r="B32" s="616">
        <v>244</v>
      </c>
      <c r="C32" s="616"/>
      <c r="D32" s="616">
        <v>100</v>
      </c>
      <c r="E32" s="605" t="s">
        <v>2124</v>
      </c>
      <c r="F32" s="140" t="s">
        <v>2385</v>
      </c>
      <c r="G32" s="141">
        <v>2012</v>
      </c>
      <c r="H32" s="118">
        <v>22776621</v>
      </c>
      <c r="I32" s="118">
        <v>1</v>
      </c>
      <c r="J32" s="118">
        <v>1</v>
      </c>
      <c r="K32" s="118"/>
      <c r="L32" s="118">
        <v>1</v>
      </c>
      <c r="M32" s="118"/>
      <c r="N32" s="118">
        <v>1</v>
      </c>
      <c r="O32" s="142">
        <v>2</v>
      </c>
      <c r="P32" s="118" t="s">
        <v>1607</v>
      </c>
      <c r="Q32" s="118" t="s">
        <v>1216</v>
      </c>
      <c r="R32" s="118" t="s">
        <v>1130</v>
      </c>
      <c r="S32" s="118"/>
      <c r="T32" s="118" t="s">
        <v>1541</v>
      </c>
      <c r="U32" s="118" t="s">
        <v>1539</v>
      </c>
      <c r="V32" s="118"/>
      <c r="W32" s="118" t="s">
        <v>1689</v>
      </c>
      <c r="X32" s="118"/>
      <c r="Y32" s="118" t="s">
        <v>1606</v>
      </c>
      <c r="Z32" s="118"/>
      <c r="AA32" s="118"/>
      <c r="AB32" s="118"/>
      <c r="AC32" s="145" t="s">
        <v>6308</v>
      </c>
      <c r="AD32" s="653">
        <v>1</v>
      </c>
      <c r="AE32" s="653">
        <v>1</v>
      </c>
      <c r="AF32" s="159">
        <v>1</v>
      </c>
      <c r="AG32" s="160" t="s">
        <v>7668</v>
      </c>
      <c r="AH32" s="732">
        <v>0</v>
      </c>
      <c r="AI32" s="122">
        <v>4</v>
      </c>
      <c r="AJ32" s="485"/>
      <c r="AK32" s="204" t="s">
        <v>7670</v>
      </c>
      <c r="AL32" s="192" t="s">
        <v>7091</v>
      </c>
      <c r="AM32" s="205">
        <v>0</v>
      </c>
      <c r="AN32" s="122">
        <f>Table66[[#This Row],[Data_Subjects_n_ptsd]]+Table66[[#This Row],[Data_Subjects_n_control]]</f>
        <v>24</v>
      </c>
      <c r="AO32" s="122">
        <v>12</v>
      </c>
      <c r="AP32" s="122">
        <f>36/3</f>
        <v>12</v>
      </c>
      <c r="AQ32" s="122" t="s">
        <v>1878</v>
      </c>
      <c r="AR32" s="122" t="s">
        <v>1878</v>
      </c>
      <c r="AS32" s="122" t="s">
        <v>7082</v>
      </c>
      <c r="AT32" s="122" t="s">
        <v>24</v>
      </c>
      <c r="AU32" s="122" t="s">
        <v>7082</v>
      </c>
      <c r="AV32" s="122" t="s">
        <v>24</v>
      </c>
      <c r="AW32" s="122" t="s">
        <v>7671</v>
      </c>
      <c r="AX32" s="122">
        <v>1</v>
      </c>
      <c r="AY32" s="122">
        <v>2</v>
      </c>
      <c r="AZ32" s="122" t="s">
        <v>1814</v>
      </c>
      <c r="BA32" s="122">
        <v>1</v>
      </c>
      <c r="BB32" s="122" t="s">
        <v>7672</v>
      </c>
      <c r="BC32" s="122" t="s">
        <v>7087</v>
      </c>
      <c r="BD32" s="122" t="s">
        <v>7523</v>
      </c>
      <c r="BE32" s="122"/>
      <c r="BF32" s="122" t="s">
        <v>1130</v>
      </c>
      <c r="BG32" s="122" t="s">
        <v>6653</v>
      </c>
      <c r="BH32" s="588">
        <v>1</v>
      </c>
      <c r="BI32" s="588"/>
      <c r="BJ32" s="161">
        <v>1</v>
      </c>
      <c r="BK32" s="161">
        <v>1</v>
      </c>
      <c r="BL32" s="161"/>
      <c r="BM32" s="161"/>
      <c r="BN32" s="161"/>
      <c r="BO32" s="161"/>
      <c r="BP32" s="161">
        <v>1</v>
      </c>
      <c r="BQ32" s="161"/>
      <c r="BR32" s="161"/>
      <c r="BS32" s="161"/>
      <c r="BT32" s="161"/>
      <c r="BU32" s="161"/>
      <c r="BV32" s="161"/>
      <c r="BW32" s="596" t="s">
        <v>7358</v>
      </c>
      <c r="BX32" s="162" t="s">
        <v>6657</v>
      </c>
      <c r="BY32" s="1628" t="s">
        <v>7613</v>
      </c>
      <c r="BZ32" s="790" t="s">
        <v>803</v>
      </c>
      <c r="CA32" s="766">
        <v>1</v>
      </c>
      <c r="CB32" s="766" t="s">
        <v>7556</v>
      </c>
      <c r="CC32" s="766" t="s">
        <v>7384</v>
      </c>
      <c r="CD32" s="150" t="s">
        <v>1876</v>
      </c>
      <c r="CE32" s="150" t="s">
        <v>7673</v>
      </c>
      <c r="CF32" s="150" t="s">
        <v>7590</v>
      </c>
      <c r="CG32" s="150" t="s">
        <v>7101</v>
      </c>
      <c r="CH32" s="150" t="s">
        <v>7310</v>
      </c>
      <c r="CI32" s="150" t="s">
        <v>7083</v>
      </c>
      <c r="CJ32" s="150"/>
      <c r="CK32" s="150" t="s">
        <v>7093</v>
      </c>
      <c r="CL32" s="150" t="s">
        <v>8297</v>
      </c>
      <c r="CM32" s="258" t="s">
        <v>7103</v>
      </c>
      <c r="CN32" s="257" t="s">
        <v>6627</v>
      </c>
      <c r="CO32" s="829">
        <v>81</v>
      </c>
      <c r="CP32" s="829">
        <v>2</v>
      </c>
      <c r="CQ32" s="829">
        <v>1</v>
      </c>
      <c r="CR32" s="829">
        <v>0</v>
      </c>
      <c r="CS32" s="829">
        <v>-1</v>
      </c>
      <c r="CT32" s="968"/>
      <c r="CU32" s="1289" t="s">
        <v>8104</v>
      </c>
      <c r="CV32" s="1295">
        <v>130</v>
      </c>
      <c r="CW32" s="1295">
        <v>119</v>
      </c>
      <c r="CX32" s="692" t="s">
        <v>7094</v>
      </c>
      <c r="CY32" s="150">
        <v>11.051299999999999</v>
      </c>
      <c r="CZ32" s="150" t="s">
        <v>24</v>
      </c>
      <c r="DA32" s="150">
        <f>17.9901-Table66[[#This Row],[Data_Outcome1_M]]</f>
        <v>6.9388000000000023</v>
      </c>
      <c r="DB32" s="692" t="s">
        <v>7095</v>
      </c>
      <c r="DC32" s="150">
        <v>247.08600000000001</v>
      </c>
      <c r="DD32" s="150" t="s">
        <v>24</v>
      </c>
      <c r="DE32" s="150">
        <f>260.555-Table66[[#This Row],[Data_Outcome2_M]]</f>
        <v>13.468999999999994</v>
      </c>
      <c r="DF32" s="294" t="s">
        <v>7674</v>
      </c>
      <c r="DG32" s="295" t="s">
        <v>7676</v>
      </c>
      <c r="DH32" s="1183"/>
      <c r="DI32" s="500"/>
      <c r="DJ32" s="1164"/>
      <c r="DK32" s="500"/>
      <c r="DL32" s="1164"/>
      <c r="DM32" s="500"/>
      <c r="DN32" s="1164"/>
      <c r="DO32" s="1150"/>
      <c r="DP32" s="290"/>
      <c r="DQ32" s="388"/>
      <c r="DR32" s="280"/>
      <c r="DS32" s="865"/>
      <c r="DT32" s="1166"/>
      <c r="DU32" s="122"/>
      <c r="DV32" s="1164"/>
      <c r="DW32" s="122"/>
      <c r="DX32" s="1164"/>
      <c r="DY32" s="122"/>
      <c r="DZ32" s="1164"/>
      <c r="EA32" s="122"/>
      <c r="EB32" s="311"/>
      <c r="EC32" s="313"/>
      <c r="ED32" s="1164"/>
      <c r="EE32" s="122"/>
      <c r="EF32" s="1164"/>
      <c r="EG32" s="122"/>
      <c r="EH32" s="1164"/>
      <c r="EI32" s="122"/>
      <c r="EJ32" s="1164"/>
      <c r="EK32" s="122"/>
      <c r="EL32" s="311"/>
      <c r="EM32" s="313"/>
      <c r="EN32" s="1167"/>
      <c r="EO32" s="1165"/>
      <c r="EP32" s="122"/>
      <c r="EQ32" s="122"/>
      <c r="ER32" s="122"/>
      <c r="ES32" s="122"/>
      <c r="ET32" s="122"/>
      <c r="EU32" s="122"/>
      <c r="EV32" s="122"/>
      <c r="EW32" s="122"/>
      <c r="EX32" s="303"/>
      <c r="EY32" s="303"/>
      <c r="EZ32" s="1166"/>
      <c r="FA32" s="1164"/>
      <c r="FB32" s="1164"/>
      <c r="FC32" s="1164"/>
      <c r="FD32" s="1166"/>
      <c r="FE32" s="122"/>
      <c r="FF32" s="1164"/>
      <c r="FG32" s="1164"/>
      <c r="FH32" s="313"/>
      <c r="FI32" s="313"/>
      <c r="FJ32" s="1165"/>
    </row>
    <row r="33" spans="1:166" s="1780" customFormat="1" ht="15" hidden="1" customHeight="1">
      <c r="A33" s="1305" t="s">
        <v>1026</v>
      </c>
      <c r="B33" s="1310">
        <v>24</v>
      </c>
      <c r="C33" s="1310"/>
      <c r="D33" s="1310"/>
      <c r="E33" s="1311" t="s">
        <v>2088</v>
      </c>
      <c r="F33" s="1312" t="s">
        <v>2343</v>
      </c>
      <c r="G33" s="1313">
        <v>2012</v>
      </c>
      <c r="H33" s="1305">
        <v>22176467</v>
      </c>
      <c r="I33" s="1305">
        <v>1</v>
      </c>
      <c r="J33" s="1305" t="s">
        <v>1855</v>
      </c>
      <c r="K33" s="1305"/>
      <c r="L33" s="1305">
        <v>0</v>
      </c>
      <c r="M33" s="1305"/>
      <c r="N33" s="1305">
        <v>0</v>
      </c>
      <c r="O33" s="1305">
        <v>2</v>
      </c>
      <c r="P33" s="1305" t="s">
        <v>1404</v>
      </c>
      <c r="Q33" s="1305" t="s">
        <v>1212</v>
      </c>
      <c r="R33" s="1305" t="s">
        <v>1127</v>
      </c>
      <c r="S33" s="1305"/>
      <c r="T33" s="1305" t="s">
        <v>1488</v>
      </c>
      <c r="U33" s="1305" t="s">
        <v>803</v>
      </c>
      <c r="V33" s="1305"/>
      <c r="W33" s="1305" t="s">
        <v>1403</v>
      </c>
      <c r="X33" s="1305"/>
      <c r="Y33" s="1305"/>
      <c r="Z33" s="1305"/>
      <c r="AA33" s="1305"/>
      <c r="AB33" s="1305"/>
      <c r="AC33" s="1306"/>
      <c r="AD33" s="1306">
        <v>1</v>
      </c>
      <c r="AE33" s="1306">
        <v>2</v>
      </c>
      <c r="AF33" s="1314">
        <v>1</v>
      </c>
      <c r="AG33" s="1315" t="s">
        <v>8120</v>
      </c>
      <c r="AH33" s="1306" t="s">
        <v>7700</v>
      </c>
      <c r="AI33" s="1306">
        <v>4</v>
      </c>
      <c r="AJ33" s="1306"/>
      <c r="AK33" s="1316" t="s">
        <v>3050</v>
      </c>
      <c r="AL33" s="1312">
        <v>1</v>
      </c>
      <c r="AM33" s="1317">
        <v>0</v>
      </c>
      <c r="AN33" s="1306">
        <f>Table66[[#This Row],[Data_Subjects_n_ptsd]]+Table66[[#This Row],[Data_Subjects_n_control]]</f>
        <v>15</v>
      </c>
      <c r="AO33" s="1306">
        <v>7</v>
      </c>
      <c r="AP33" s="1306">
        <v>8</v>
      </c>
      <c r="AQ33" s="1306" t="s">
        <v>803</v>
      </c>
      <c r="AR33" s="1306" t="s">
        <v>803</v>
      </c>
      <c r="AS33" s="1306" t="s">
        <v>3031</v>
      </c>
      <c r="AT33" s="1306" t="s">
        <v>24</v>
      </c>
      <c r="AU33" s="1306" t="s">
        <v>3031</v>
      </c>
      <c r="AV33" s="1306" t="s">
        <v>24</v>
      </c>
      <c r="AW33" s="1306" t="s">
        <v>7697</v>
      </c>
      <c r="AX33" s="1306">
        <v>15</v>
      </c>
      <c r="AY33" s="1306">
        <v>1</v>
      </c>
      <c r="AZ33" s="1306" t="s">
        <v>1814</v>
      </c>
      <c r="BA33" s="1306">
        <v>1</v>
      </c>
      <c r="BB33" s="1306" t="s">
        <v>7690</v>
      </c>
      <c r="BC33" s="1306" t="s">
        <v>3032</v>
      </c>
      <c r="BD33" s="1306" t="s">
        <v>7523</v>
      </c>
      <c r="BE33" s="1306"/>
      <c r="BF33" s="1306" t="s">
        <v>2730</v>
      </c>
      <c r="BG33" s="1306" t="s">
        <v>2554</v>
      </c>
      <c r="BH33" s="1312"/>
      <c r="BI33" s="1312"/>
      <c r="BJ33" s="1318">
        <v>1</v>
      </c>
      <c r="BK33" s="1318"/>
      <c r="BL33" s="1318"/>
      <c r="BM33" s="1318"/>
      <c r="BN33" s="1318"/>
      <c r="BO33" s="1318"/>
      <c r="BP33" s="1318"/>
      <c r="BQ33" s="1318"/>
      <c r="BR33" s="1318"/>
      <c r="BS33" s="1318"/>
      <c r="BT33" s="1318"/>
      <c r="BU33" s="1318"/>
      <c r="BV33" s="1318"/>
      <c r="BW33" s="1318" t="s">
        <v>3040</v>
      </c>
      <c r="BX33" s="1309" t="s">
        <v>6657</v>
      </c>
      <c r="BY33" s="1309" t="s">
        <v>7613</v>
      </c>
      <c r="BZ33" s="1309" t="s">
        <v>803</v>
      </c>
      <c r="CA33" s="1318">
        <v>1</v>
      </c>
      <c r="CB33" s="1318" t="s">
        <v>7556</v>
      </c>
      <c r="CC33" s="1318" t="s">
        <v>7384</v>
      </c>
      <c r="CD33" s="1306" t="s">
        <v>1876</v>
      </c>
      <c r="CE33" s="1306" t="s">
        <v>3041</v>
      </c>
      <c r="CF33" s="1306" t="s">
        <v>7701</v>
      </c>
      <c r="CG33" s="1306" t="s">
        <v>7692</v>
      </c>
      <c r="CH33" s="1306" t="s">
        <v>7310</v>
      </c>
      <c r="CI33" s="1306" t="s">
        <v>2471</v>
      </c>
      <c r="CJ33" s="1306"/>
      <c r="CK33" s="1306" t="s">
        <v>2659</v>
      </c>
      <c r="CL33" s="150" t="s">
        <v>8296</v>
      </c>
      <c r="CM33" s="1319" t="s">
        <v>8124</v>
      </c>
      <c r="CN33" s="1307" t="s">
        <v>6627</v>
      </c>
      <c r="CO33" s="1307">
        <v>44</v>
      </c>
      <c r="CP33" s="1307">
        <v>1</v>
      </c>
      <c r="CQ33" s="1307"/>
      <c r="CR33" s="1307">
        <v>1</v>
      </c>
      <c r="CS33" s="1307"/>
      <c r="CT33" s="1307"/>
      <c r="CU33" s="830" t="s">
        <v>8104</v>
      </c>
      <c r="CV33" s="1320">
        <v>96</v>
      </c>
      <c r="CW33" s="1320">
        <v>88</v>
      </c>
      <c r="CX33" s="1309" t="s">
        <v>3067</v>
      </c>
      <c r="CY33" s="1306">
        <v>79.832700000000003</v>
      </c>
      <c r="CZ33" s="1306" t="s">
        <v>24</v>
      </c>
      <c r="DA33" s="1306">
        <f>90.6966-Table66[[#This Row],[Data_Outcome1_M]]</f>
        <v>10.863900000000001</v>
      </c>
      <c r="DB33" s="1309" t="s">
        <v>3066</v>
      </c>
      <c r="DC33" s="1306">
        <v>19.359400000000001</v>
      </c>
      <c r="DD33" s="1306" t="s">
        <v>24</v>
      </c>
      <c r="DE33" s="1306">
        <f>26.9314-Table66[[#This Row],[Data_Outcome2_M]]</f>
        <v>7.5719999999999992</v>
      </c>
      <c r="DF33" s="1307" t="s">
        <v>3070</v>
      </c>
      <c r="DG33" s="1306" t="s">
        <v>2555</v>
      </c>
      <c r="DH33" s="186"/>
      <c r="DI33" s="186"/>
      <c r="DJ33" s="272"/>
      <c r="DK33" s="186"/>
      <c r="DL33" s="272"/>
      <c r="DM33" s="186"/>
      <c r="DN33" s="272"/>
      <c r="DO33" s="186"/>
      <c r="DP33" s="1320"/>
      <c r="DQ33" s="1848"/>
      <c r="DR33" s="1322"/>
      <c r="DS33" s="1323"/>
      <c r="DT33" s="1323"/>
      <c r="DU33" s="1305"/>
      <c r="DV33" s="1321"/>
      <c r="DW33" s="1305"/>
      <c r="DX33" s="1321"/>
      <c r="DY33" s="1305"/>
      <c r="DZ33" s="1321"/>
      <c r="EA33" s="1305"/>
      <c r="EB33" s="1322"/>
      <c r="EC33" s="1321"/>
      <c r="ED33" s="1321"/>
      <c r="EE33" s="1321"/>
      <c r="EF33" s="1321"/>
      <c r="EG33" s="1321"/>
      <c r="EH33" s="1321"/>
      <c r="EI33" s="1321"/>
      <c r="EJ33" s="1321"/>
      <c r="EK33" s="1321"/>
      <c r="EL33" s="1322"/>
      <c r="EM33" s="1321"/>
      <c r="EN33" s="1322"/>
      <c r="EO33" s="1321"/>
      <c r="EP33" s="1321"/>
      <c r="EQ33" s="1306"/>
      <c r="ER33" s="1306"/>
      <c r="ES33" s="1306"/>
      <c r="ET33" s="1309"/>
      <c r="EU33" s="1306"/>
      <c r="EV33" s="1321"/>
      <c r="EW33" s="1321"/>
      <c r="EX33" s="1321"/>
      <c r="EY33" s="1321"/>
      <c r="EZ33" s="1323"/>
      <c r="FA33" s="1321"/>
      <c r="FB33" s="1321"/>
      <c r="FC33" s="1321"/>
      <c r="FD33" s="1323"/>
      <c r="FE33" s="1321"/>
      <c r="FF33" s="1321"/>
      <c r="FG33" s="1321"/>
      <c r="FH33" s="1321"/>
      <c r="FI33" s="1321"/>
      <c r="FJ33" s="1321"/>
    </row>
    <row r="34" spans="1:166" s="229" customFormat="1" ht="15" hidden="1" customHeight="1">
      <c r="A34" s="153" t="s">
        <v>1104</v>
      </c>
      <c r="B34" s="618">
        <v>70</v>
      </c>
      <c r="C34" s="618"/>
      <c r="D34" s="618">
        <v>13</v>
      </c>
      <c r="E34" s="610" t="s">
        <v>2054</v>
      </c>
      <c r="F34" s="368" t="s">
        <v>2297</v>
      </c>
      <c r="G34" s="369">
        <v>2006</v>
      </c>
      <c r="H34" s="153">
        <v>19412447</v>
      </c>
      <c r="I34" s="153">
        <v>1</v>
      </c>
      <c r="J34" s="370">
        <v>1</v>
      </c>
      <c r="K34" s="371"/>
      <c r="L34" s="153">
        <v>1</v>
      </c>
      <c r="M34" s="153"/>
      <c r="N34" s="153">
        <v>1</v>
      </c>
      <c r="O34" s="153">
        <v>2</v>
      </c>
      <c r="P34" s="153" t="s">
        <v>1206</v>
      </c>
      <c r="Q34" s="153" t="s">
        <v>1207</v>
      </c>
      <c r="R34" s="153" t="s">
        <v>1127</v>
      </c>
      <c r="S34" s="153"/>
      <c r="T34" s="153" t="s">
        <v>1506</v>
      </c>
      <c r="U34" s="153" t="s">
        <v>23</v>
      </c>
      <c r="V34" s="153" t="s">
        <v>23</v>
      </c>
      <c r="W34" s="153" t="s">
        <v>1205</v>
      </c>
      <c r="X34" s="153" t="s">
        <v>24</v>
      </c>
      <c r="Y34" s="153" t="s">
        <v>1209</v>
      </c>
      <c r="Z34" s="153"/>
      <c r="AA34" s="153" t="s">
        <v>1208</v>
      </c>
      <c r="AB34" s="153"/>
      <c r="AC34" s="536" t="s">
        <v>6177</v>
      </c>
      <c r="AD34" s="536">
        <v>1</v>
      </c>
      <c r="AE34" s="536">
        <v>1</v>
      </c>
      <c r="AF34" s="576">
        <v>0</v>
      </c>
      <c r="AG34" s="577" t="s">
        <v>7961</v>
      </c>
      <c r="AH34" s="509" t="s">
        <v>7257</v>
      </c>
      <c r="AI34" s="120">
        <v>4</v>
      </c>
      <c r="AJ34" s="120"/>
      <c r="AK34" s="206" t="s">
        <v>6662</v>
      </c>
      <c r="AL34" s="372"/>
      <c r="AM34" s="207"/>
      <c r="AN34" s="120"/>
      <c r="AO34" s="120"/>
      <c r="AP34" s="120"/>
      <c r="AQ34" s="120"/>
      <c r="AR34" s="120"/>
      <c r="AS34" s="120"/>
      <c r="AT34" s="120"/>
      <c r="AU34" s="120"/>
      <c r="AV34" s="120"/>
      <c r="AW34" s="120"/>
      <c r="AX34" s="120"/>
      <c r="AY34" s="120"/>
      <c r="AZ34" s="755"/>
      <c r="BA34" s="120"/>
      <c r="BB34" s="120"/>
      <c r="BC34" s="120"/>
      <c r="BD34" s="755"/>
      <c r="BE34" s="755"/>
      <c r="BF34" s="120"/>
      <c r="BG34" s="120"/>
      <c r="BH34" s="377"/>
      <c r="BI34" s="377"/>
      <c r="BJ34" s="373" t="s">
        <v>4727</v>
      </c>
      <c r="BK34" s="373" t="s">
        <v>5545</v>
      </c>
      <c r="BL34" s="373"/>
      <c r="BM34" s="373"/>
      <c r="BN34" s="373"/>
      <c r="BO34" s="373"/>
      <c r="BP34" s="373" t="s">
        <v>5545</v>
      </c>
      <c r="BQ34" s="373"/>
      <c r="BR34" s="373"/>
      <c r="BS34" s="373"/>
      <c r="BT34" s="373"/>
      <c r="BU34" s="373"/>
      <c r="BV34" s="373"/>
      <c r="BW34" s="599" t="s">
        <v>6665</v>
      </c>
      <c r="BX34" s="374"/>
      <c r="BY34" s="799"/>
      <c r="BZ34" s="374"/>
      <c r="CA34" s="511"/>
      <c r="CB34" s="511"/>
      <c r="CC34" s="511"/>
      <c r="CD34" s="120"/>
      <c r="CE34" s="120"/>
      <c r="CF34" s="786"/>
      <c r="CG34" s="120"/>
      <c r="CH34" s="755"/>
      <c r="CI34" s="120"/>
      <c r="CJ34" s="120"/>
      <c r="CK34" s="120"/>
      <c r="CL34" s="120"/>
      <c r="CM34" s="375"/>
      <c r="CN34" s="380"/>
      <c r="CO34" s="380"/>
      <c r="CP34" s="380"/>
      <c r="CQ34" s="380"/>
      <c r="CR34" s="380"/>
      <c r="CS34" s="380"/>
      <c r="CT34" s="380"/>
      <c r="CU34" s="380"/>
      <c r="CV34" s="380"/>
      <c r="CW34" s="380"/>
      <c r="CX34" s="376"/>
      <c r="CY34" s="120"/>
      <c r="CZ34" s="120"/>
      <c r="DA34" s="120"/>
      <c r="DB34" s="376"/>
      <c r="DC34" s="120"/>
      <c r="DD34" s="120"/>
      <c r="DE34" s="120"/>
      <c r="DF34" s="515"/>
      <c r="DG34" s="513"/>
      <c r="DH34" s="376"/>
      <c r="DI34" s="384"/>
      <c r="DJ34" s="384"/>
      <c r="DK34" s="384"/>
      <c r="DL34" s="376"/>
      <c r="DM34" s="384"/>
      <c r="DN34" s="384"/>
      <c r="DO34" s="384"/>
      <c r="DP34" s="375"/>
      <c r="DQ34" s="377"/>
      <c r="DR34" s="1182"/>
      <c r="DS34" s="956"/>
      <c r="DT34" s="376"/>
      <c r="DU34" s="384"/>
      <c r="DV34" s="384"/>
      <c r="DW34" s="384"/>
      <c r="DX34" s="633"/>
      <c r="DY34" s="384"/>
      <c r="DZ34" s="384"/>
      <c r="EA34" s="384"/>
      <c r="EB34" s="380"/>
      <c r="EC34" s="120"/>
      <c r="ED34" s="120"/>
      <c r="EE34" s="384"/>
      <c r="EF34" s="384"/>
      <c r="EG34" s="384"/>
      <c r="EH34" s="120"/>
      <c r="EI34" s="384"/>
      <c r="EJ34" s="384"/>
      <c r="EK34" s="384"/>
      <c r="EL34" s="380"/>
      <c r="EM34" s="120"/>
      <c r="EN34" s="1012"/>
      <c r="EO34" s="384"/>
      <c r="EP34" s="384"/>
      <c r="EQ34" s="384"/>
      <c r="ER34" s="384"/>
      <c r="ES34" s="384"/>
      <c r="ET34" s="727"/>
      <c r="EU34" s="384"/>
      <c r="EV34" s="384"/>
      <c r="EW34" s="384"/>
      <c r="EX34" s="384"/>
      <c r="EY34" s="384"/>
      <c r="EZ34" s="727"/>
      <c r="FA34" s="384"/>
      <c r="FB34" s="384"/>
      <c r="FC34" s="384"/>
      <c r="FD34" s="727"/>
      <c r="FE34" s="384"/>
      <c r="FF34" s="384"/>
      <c r="FG34" s="384"/>
      <c r="FH34" s="384"/>
      <c r="FI34" s="384"/>
      <c r="FJ34" s="384"/>
    </row>
    <row r="35" spans="1:166" s="229" customFormat="1" ht="15" hidden="1" customHeight="1">
      <c r="A35" s="153" t="s">
        <v>1105</v>
      </c>
      <c r="B35" s="618">
        <v>71</v>
      </c>
      <c r="C35" s="618"/>
      <c r="D35" s="618">
        <v>14</v>
      </c>
      <c r="E35" s="610" t="s">
        <v>2054</v>
      </c>
      <c r="F35" s="368" t="s">
        <v>2298</v>
      </c>
      <c r="G35" s="369">
        <v>2005</v>
      </c>
      <c r="H35" s="153">
        <v>18568126</v>
      </c>
      <c r="I35" s="153">
        <v>1</v>
      </c>
      <c r="J35" s="370">
        <v>1</v>
      </c>
      <c r="K35" s="371"/>
      <c r="L35" s="153">
        <v>1</v>
      </c>
      <c r="M35" s="153"/>
      <c r="N35" s="153">
        <v>1</v>
      </c>
      <c r="O35" s="153">
        <v>2</v>
      </c>
      <c r="P35" s="153" t="s">
        <v>1206</v>
      </c>
      <c r="Q35" s="153" t="s">
        <v>1207</v>
      </c>
      <c r="R35" s="153" t="s">
        <v>1127</v>
      </c>
      <c r="S35" s="153"/>
      <c r="T35" s="153" t="s">
        <v>1805</v>
      </c>
      <c r="U35" s="153" t="s">
        <v>23</v>
      </c>
      <c r="V35" s="153" t="s">
        <v>23</v>
      </c>
      <c r="W35" s="153" t="s">
        <v>1205</v>
      </c>
      <c r="X35" s="153" t="s">
        <v>24</v>
      </c>
      <c r="Y35" s="153" t="s">
        <v>1209</v>
      </c>
      <c r="Z35" s="153"/>
      <c r="AA35" s="153"/>
      <c r="AB35" s="153"/>
      <c r="AC35" s="536" t="s">
        <v>6178</v>
      </c>
      <c r="AD35" s="536">
        <v>1</v>
      </c>
      <c r="AE35" s="536">
        <v>1</v>
      </c>
      <c r="AF35" s="165">
        <v>0</v>
      </c>
      <c r="AG35" s="1533" t="s">
        <v>7962</v>
      </c>
      <c r="AH35" s="509" t="s">
        <v>7257</v>
      </c>
      <c r="AI35" s="120">
        <v>4</v>
      </c>
      <c r="AJ35" s="120"/>
      <c r="AK35" s="206"/>
      <c r="AL35" s="372"/>
      <c r="AM35" s="207"/>
      <c r="AN35" s="683"/>
      <c r="AO35" s="120"/>
      <c r="AP35" s="120"/>
      <c r="AQ35" s="120"/>
      <c r="AR35" s="120"/>
      <c r="AS35" s="120"/>
      <c r="AT35" s="120"/>
      <c r="AU35" s="120"/>
      <c r="AV35" s="120"/>
      <c r="AW35" s="120"/>
      <c r="AX35" s="120"/>
      <c r="AY35" s="120"/>
      <c r="AZ35" s="755"/>
      <c r="BA35" s="120"/>
      <c r="BB35" s="120"/>
      <c r="BC35" s="120"/>
      <c r="BD35" s="755"/>
      <c r="BE35" s="755"/>
      <c r="BF35" s="120"/>
      <c r="BG35" s="120"/>
      <c r="BH35" s="377"/>
      <c r="BI35" s="377"/>
      <c r="BJ35" s="373" t="s">
        <v>4727</v>
      </c>
      <c r="BK35" s="373" t="s">
        <v>5545</v>
      </c>
      <c r="BL35" s="373"/>
      <c r="BM35" s="373"/>
      <c r="BN35" s="373"/>
      <c r="BO35" s="373"/>
      <c r="BP35" s="373" t="s">
        <v>5545</v>
      </c>
      <c r="BQ35" s="373"/>
      <c r="BR35" s="373"/>
      <c r="BS35" s="373"/>
      <c r="BT35" s="373"/>
      <c r="BU35" s="373"/>
      <c r="BV35" s="373"/>
      <c r="BW35" s="599" t="s">
        <v>6665</v>
      </c>
      <c r="BX35" s="374"/>
      <c r="BY35" s="799"/>
      <c r="BZ35" s="374"/>
      <c r="CA35" s="511"/>
      <c r="CB35" s="511"/>
      <c r="CC35" s="511"/>
      <c r="CD35" s="120"/>
      <c r="CE35" s="120"/>
      <c r="CF35" s="786"/>
      <c r="CG35" s="120"/>
      <c r="CH35" s="755"/>
      <c r="CI35" s="120"/>
      <c r="CJ35" s="120"/>
      <c r="CK35" s="120"/>
      <c r="CL35" s="120"/>
      <c r="CM35" s="375"/>
      <c r="CN35" s="380"/>
      <c r="CO35" s="380"/>
      <c r="CP35" s="380"/>
      <c r="CQ35" s="380"/>
      <c r="CR35" s="380"/>
      <c r="CS35" s="380"/>
      <c r="CT35" s="380"/>
      <c r="CU35" s="380"/>
      <c r="CV35" s="380"/>
      <c r="CW35" s="380"/>
      <c r="CX35" s="376"/>
      <c r="CY35" s="120"/>
      <c r="CZ35" s="120"/>
      <c r="DA35" s="120"/>
      <c r="DB35" s="376"/>
      <c r="DC35" s="120"/>
      <c r="DD35" s="120"/>
      <c r="DE35" s="120"/>
      <c r="DF35" s="515"/>
      <c r="DG35" s="513"/>
      <c r="DH35" s="727"/>
      <c r="DI35" s="384"/>
      <c r="DJ35" s="384"/>
      <c r="DK35" s="384"/>
      <c r="DL35" s="727"/>
      <c r="DM35" s="384"/>
      <c r="DN35" s="384"/>
      <c r="DO35" s="384"/>
      <c r="DP35" s="375"/>
      <c r="DQ35" s="377"/>
      <c r="DR35" s="1182"/>
      <c r="DS35" s="956"/>
      <c r="DT35" s="727"/>
      <c r="DU35" s="384"/>
      <c r="DV35" s="384"/>
      <c r="DW35" s="384"/>
      <c r="DX35" s="384"/>
      <c r="DY35" s="384"/>
      <c r="DZ35" s="384"/>
      <c r="EA35" s="384"/>
      <c r="EB35" s="1012"/>
      <c r="EC35" s="384"/>
      <c r="ED35" s="384"/>
      <c r="EE35" s="384"/>
      <c r="EF35" s="384"/>
      <c r="EG35" s="384"/>
      <c r="EH35" s="384"/>
      <c r="EI35" s="384"/>
      <c r="EJ35" s="384"/>
      <c r="EK35" s="384"/>
      <c r="EL35" s="1012"/>
      <c r="EM35" s="384"/>
      <c r="EN35" s="1012"/>
      <c r="EO35" s="384"/>
      <c r="EP35" s="384"/>
      <c r="EQ35" s="384"/>
      <c r="ER35" s="384"/>
      <c r="ES35" s="384"/>
      <c r="ET35" s="727"/>
      <c r="EU35" s="384"/>
      <c r="EV35" s="384"/>
      <c r="EW35" s="384"/>
      <c r="EX35" s="384"/>
      <c r="EY35" s="384"/>
      <c r="EZ35" s="727"/>
      <c r="FA35" s="384"/>
      <c r="FB35" s="384"/>
      <c r="FC35" s="384"/>
      <c r="FD35" s="727"/>
      <c r="FE35" s="384"/>
      <c r="FF35" s="384"/>
      <c r="FG35" s="384"/>
      <c r="FH35" s="384"/>
      <c r="FI35" s="384"/>
      <c r="FJ35" s="683"/>
    </row>
    <row r="36" spans="1:166" s="229" customFormat="1" ht="15" hidden="1" customHeight="1">
      <c r="A36" s="153" t="s">
        <v>97</v>
      </c>
      <c r="B36" s="618">
        <v>72</v>
      </c>
      <c r="C36" s="618">
        <v>6</v>
      </c>
      <c r="D36" s="618"/>
      <c r="E36" s="610" t="s">
        <v>1928</v>
      </c>
      <c r="F36" s="368" t="s">
        <v>2145</v>
      </c>
      <c r="G36" s="369">
        <v>2009</v>
      </c>
      <c r="H36" s="153">
        <v>19485102</v>
      </c>
      <c r="I36" s="153">
        <v>1</v>
      </c>
      <c r="J36" s="370"/>
      <c r="K36" s="371"/>
      <c r="L36" s="153">
        <v>1</v>
      </c>
      <c r="M36" s="153"/>
      <c r="N36" s="153">
        <v>1</v>
      </c>
      <c r="O36" s="153">
        <v>1</v>
      </c>
      <c r="P36" s="153" t="s">
        <v>64</v>
      </c>
      <c r="Q36" s="153" t="s">
        <v>1173</v>
      </c>
      <c r="R36" s="153" t="s">
        <v>62</v>
      </c>
      <c r="S36" s="153">
        <v>0</v>
      </c>
      <c r="T36" s="153"/>
      <c r="U36" s="153"/>
      <c r="V36" s="153"/>
      <c r="W36" s="153" t="s">
        <v>63</v>
      </c>
      <c r="X36" s="153" t="s">
        <v>56</v>
      </c>
      <c r="Y36" s="153"/>
      <c r="Z36" s="153"/>
      <c r="AA36" s="153"/>
      <c r="AB36" s="153" t="s">
        <v>65</v>
      </c>
      <c r="AC36" s="536"/>
      <c r="AD36" s="536">
        <v>1</v>
      </c>
      <c r="AE36" s="536">
        <v>2</v>
      </c>
      <c r="AF36" s="165">
        <v>0</v>
      </c>
      <c r="AG36" s="166" t="s">
        <v>7215</v>
      </c>
      <c r="AH36" s="509">
        <v>0</v>
      </c>
      <c r="AI36" s="509">
        <v>2</v>
      </c>
      <c r="AJ36" s="509"/>
      <c r="AK36" s="512" t="s">
        <v>3837</v>
      </c>
      <c r="AL36" s="513" t="s">
        <v>3838</v>
      </c>
      <c r="AM36" s="514" t="s">
        <v>24</v>
      </c>
      <c r="AN36" s="509" t="s">
        <v>3839</v>
      </c>
      <c r="AO36" s="509">
        <v>13</v>
      </c>
      <c r="AP36" s="509" t="s">
        <v>3832</v>
      </c>
      <c r="AQ36" s="509" t="s">
        <v>3833</v>
      </c>
      <c r="AR36" s="509" t="s">
        <v>24</v>
      </c>
      <c r="AS36" s="536">
        <v>55.2</v>
      </c>
      <c r="AT36" s="509">
        <v>5.3</v>
      </c>
      <c r="AU36" s="509" t="s">
        <v>24</v>
      </c>
      <c r="AV36" s="509" t="s">
        <v>24</v>
      </c>
      <c r="AW36" s="509" t="s">
        <v>3834</v>
      </c>
      <c r="AX36" s="509"/>
      <c r="AY36" s="509"/>
      <c r="AZ36" s="755" t="s">
        <v>1874</v>
      </c>
      <c r="BA36" s="509" t="s">
        <v>24</v>
      </c>
      <c r="BB36" s="509" t="s">
        <v>24</v>
      </c>
      <c r="BC36" s="509" t="s">
        <v>24</v>
      </c>
      <c r="BD36" s="755"/>
      <c r="BE36" s="755"/>
      <c r="BF36" s="509" t="s">
        <v>3835</v>
      </c>
      <c r="BG36" s="509" t="s">
        <v>3836</v>
      </c>
      <c r="BH36" s="513"/>
      <c r="BI36" s="513"/>
      <c r="BJ36" s="511"/>
      <c r="BK36" s="511"/>
      <c r="BL36" s="511" t="s">
        <v>3840</v>
      </c>
      <c r="BM36" s="511"/>
      <c r="BN36" s="511"/>
      <c r="BO36" s="511"/>
      <c r="BP36" s="511">
        <v>1</v>
      </c>
      <c r="BQ36" s="511"/>
      <c r="BR36" s="511"/>
      <c r="BS36" s="511"/>
      <c r="BT36" s="511"/>
      <c r="BU36" s="511"/>
      <c r="BV36" s="511" t="s">
        <v>3840</v>
      </c>
      <c r="BW36" s="511" t="s">
        <v>3843</v>
      </c>
      <c r="BX36" s="510"/>
      <c r="BY36" s="510"/>
      <c r="BZ36" s="510"/>
      <c r="CA36" s="510"/>
      <c r="CB36" s="510"/>
      <c r="CC36" s="510"/>
      <c r="CD36" s="509" t="s">
        <v>3849</v>
      </c>
      <c r="CE36" s="509" t="s">
        <v>3841</v>
      </c>
      <c r="CF36" s="509"/>
      <c r="CG36" s="509" t="s">
        <v>3842</v>
      </c>
      <c r="CH36" s="755" t="s">
        <v>7307</v>
      </c>
      <c r="CI36" s="509" t="s">
        <v>24</v>
      </c>
      <c r="CJ36" s="509"/>
      <c r="CK36" s="509" t="s">
        <v>3845</v>
      </c>
      <c r="CL36" s="509"/>
      <c r="CM36" s="515" t="s">
        <v>3847</v>
      </c>
      <c r="CN36" s="621">
        <v>0</v>
      </c>
      <c r="CO36" s="621"/>
      <c r="CP36" s="621"/>
      <c r="CQ36" s="621"/>
      <c r="CR36" s="621"/>
      <c r="CS36" s="621"/>
      <c r="CT36" s="621"/>
      <c r="CU36" s="621"/>
      <c r="CV36" s="621"/>
      <c r="CW36" s="621"/>
      <c r="CX36" s="376" t="s">
        <v>3844</v>
      </c>
      <c r="CY36" s="120">
        <v>40.299999999999997</v>
      </c>
      <c r="CZ36" s="120" t="s">
        <v>3846</v>
      </c>
      <c r="DA36" s="120"/>
      <c r="DB36" s="376" t="s">
        <v>24</v>
      </c>
      <c r="DC36" s="120" t="s">
        <v>24</v>
      </c>
      <c r="DD36" s="120" t="s">
        <v>24</v>
      </c>
      <c r="DE36" s="120" t="s">
        <v>24</v>
      </c>
      <c r="DF36" s="515" t="s">
        <v>23</v>
      </c>
      <c r="DG36" s="513"/>
      <c r="DH36" s="727"/>
      <c r="DI36" s="384"/>
      <c r="DJ36" s="384"/>
      <c r="DK36" s="384"/>
      <c r="DL36" s="727"/>
      <c r="DM36" s="384"/>
      <c r="DN36" s="384"/>
      <c r="DO36" s="384"/>
      <c r="DP36" s="375"/>
      <c r="DQ36" s="377"/>
      <c r="DR36" s="1182"/>
      <c r="DS36" s="956"/>
      <c r="DT36" s="727"/>
      <c r="DU36" s="384"/>
      <c r="DV36" s="384"/>
      <c r="DW36" s="384"/>
      <c r="DX36" s="384"/>
      <c r="DY36" s="384"/>
      <c r="DZ36" s="384"/>
      <c r="EA36" s="384"/>
      <c r="EB36" s="1012"/>
      <c r="EC36" s="384"/>
      <c r="ED36" s="384"/>
      <c r="EE36" s="384"/>
      <c r="EF36" s="384"/>
      <c r="EG36" s="384"/>
      <c r="EH36" s="384"/>
      <c r="EI36" s="384"/>
      <c r="EJ36" s="384"/>
      <c r="EK36" s="384"/>
      <c r="EL36" s="1012"/>
      <c r="EM36" s="384"/>
      <c r="EN36" s="1012"/>
      <c r="EO36" s="384"/>
      <c r="EP36" s="384"/>
      <c r="EQ36" s="384"/>
      <c r="ER36" s="384"/>
      <c r="ES36" s="384"/>
      <c r="ET36" s="727"/>
      <c r="EU36" s="384"/>
      <c r="EV36" s="384"/>
      <c r="EW36" s="384"/>
      <c r="EX36" s="384"/>
      <c r="EY36" s="384"/>
      <c r="EZ36" s="727"/>
      <c r="FA36" s="384"/>
      <c r="FB36" s="384"/>
      <c r="FC36" s="384"/>
      <c r="FD36" s="727"/>
      <c r="FE36" s="384"/>
      <c r="FF36" s="384"/>
      <c r="FG36" s="384"/>
      <c r="FH36" s="384"/>
      <c r="FI36" s="384"/>
      <c r="FJ36" s="384"/>
    </row>
    <row r="37" spans="1:166" s="717" customFormat="1" ht="15" hidden="1" customHeight="1">
      <c r="A37" s="153" t="s">
        <v>98</v>
      </c>
      <c r="B37" s="618">
        <v>73</v>
      </c>
      <c r="C37" s="618"/>
      <c r="D37" s="618">
        <v>15</v>
      </c>
      <c r="E37" s="610" t="s">
        <v>1929</v>
      </c>
      <c r="F37" s="368" t="s">
        <v>2146</v>
      </c>
      <c r="G37" s="369">
        <v>1985</v>
      </c>
      <c r="H37" s="153">
        <v>3989520</v>
      </c>
      <c r="I37" s="153">
        <v>1</v>
      </c>
      <c r="J37" s="370"/>
      <c r="K37" s="371"/>
      <c r="L37" s="153">
        <v>1</v>
      </c>
      <c r="M37" s="153"/>
      <c r="N37" s="153">
        <v>1</v>
      </c>
      <c r="O37" s="153">
        <v>1</v>
      </c>
      <c r="P37" s="153" t="s">
        <v>1179</v>
      </c>
      <c r="Q37" s="153" t="s">
        <v>1142</v>
      </c>
      <c r="R37" s="153" t="s">
        <v>25</v>
      </c>
      <c r="S37" s="153">
        <v>1</v>
      </c>
      <c r="T37" s="153"/>
      <c r="U37" s="153"/>
      <c r="V37" s="153"/>
      <c r="W37" s="153" t="s">
        <v>67</v>
      </c>
      <c r="X37" s="153" t="s">
        <v>12</v>
      </c>
      <c r="Y37" s="153"/>
      <c r="Z37" s="153"/>
      <c r="AA37" s="153"/>
      <c r="AB37" s="153"/>
      <c r="AC37" s="536" t="s">
        <v>6179</v>
      </c>
      <c r="AD37" s="536">
        <v>1</v>
      </c>
      <c r="AE37" s="536">
        <v>0</v>
      </c>
      <c r="AF37" s="165">
        <v>0</v>
      </c>
      <c r="AG37" s="166" t="s">
        <v>7219</v>
      </c>
      <c r="AH37" s="509">
        <v>0</v>
      </c>
      <c r="AI37" s="120">
        <v>2</v>
      </c>
      <c r="AJ37" s="120"/>
      <c r="AK37" s="206"/>
      <c r="AL37" s="372"/>
      <c r="AM37" s="207"/>
      <c r="AN37" s="120"/>
      <c r="AO37" s="120"/>
      <c r="AP37" s="120"/>
      <c r="AQ37" s="120"/>
      <c r="AR37" s="120"/>
      <c r="AS37" s="120"/>
      <c r="AT37" s="120"/>
      <c r="AU37" s="120"/>
      <c r="AV37" s="120"/>
      <c r="AW37" s="120"/>
      <c r="AX37" s="120"/>
      <c r="AY37" s="120"/>
      <c r="AZ37" s="755"/>
      <c r="BA37" s="120"/>
      <c r="BB37" s="120"/>
      <c r="BC37" s="120"/>
      <c r="BD37" s="755"/>
      <c r="BE37" s="755"/>
      <c r="BF37" s="120"/>
      <c r="BG37" s="120"/>
      <c r="BH37" s="377"/>
      <c r="BI37" s="377"/>
      <c r="BJ37" s="373"/>
      <c r="BK37" s="373"/>
      <c r="BL37" s="373"/>
      <c r="BM37" s="373"/>
      <c r="BN37" s="373"/>
      <c r="BO37" s="373"/>
      <c r="BP37" s="373"/>
      <c r="BQ37" s="373"/>
      <c r="BR37" s="373"/>
      <c r="BS37" s="373"/>
      <c r="BT37" s="373"/>
      <c r="BU37" s="373"/>
      <c r="BV37" s="373"/>
      <c r="BW37" s="599"/>
      <c r="BX37" s="374"/>
      <c r="BY37" s="374"/>
      <c r="BZ37" s="374"/>
      <c r="CA37" s="510"/>
      <c r="CB37" s="510"/>
      <c r="CC37" s="510"/>
      <c r="CD37" s="120"/>
      <c r="CE37" s="120"/>
      <c r="CF37" s="120"/>
      <c r="CG37" s="120"/>
      <c r="CH37" s="755"/>
      <c r="CI37" s="120"/>
      <c r="CJ37" s="120"/>
      <c r="CK37" s="120"/>
      <c r="CL37" s="120"/>
      <c r="CM37" s="375"/>
      <c r="CN37" s="380"/>
      <c r="CO37" s="380"/>
      <c r="CP37" s="380"/>
      <c r="CQ37" s="380"/>
      <c r="CR37" s="380"/>
      <c r="CS37" s="380"/>
      <c r="CT37" s="380"/>
      <c r="CU37" s="380"/>
      <c r="CV37" s="380"/>
      <c r="CW37" s="380"/>
      <c r="CX37" s="376"/>
      <c r="CY37" s="120"/>
      <c r="CZ37" s="120"/>
      <c r="DA37" s="120"/>
      <c r="DB37" s="376"/>
      <c r="DC37" s="120"/>
      <c r="DD37" s="120"/>
      <c r="DE37" s="120"/>
      <c r="DF37" s="515"/>
      <c r="DG37" s="513"/>
      <c r="DH37" s="727"/>
      <c r="DI37" s="384"/>
      <c r="DJ37" s="384"/>
      <c r="DK37" s="384"/>
      <c r="DL37" s="727"/>
      <c r="DM37" s="384"/>
      <c r="DN37" s="384"/>
      <c r="DO37" s="384"/>
      <c r="DP37" s="375"/>
      <c r="DQ37" s="377"/>
      <c r="DR37" s="1182"/>
      <c r="DS37" s="956"/>
      <c r="DT37" s="727"/>
      <c r="DU37" s="384"/>
      <c r="DV37" s="384"/>
      <c r="DW37" s="384"/>
      <c r="DX37" s="633"/>
      <c r="DY37" s="384"/>
      <c r="DZ37" s="384"/>
      <c r="EA37" s="384"/>
      <c r="EB37" s="1012"/>
      <c r="EC37" s="384"/>
      <c r="ED37" s="384"/>
      <c r="EE37" s="384"/>
      <c r="EF37" s="384"/>
      <c r="EG37" s="384"/>
      <c r="EH37" s="384"/>
      <c r="EI37" s="384"/>
      <c r="EJ37" s="384"/>
      <c r="EK37" s="384"/>
      <c r="EL37" s="1012"/>
      <c r="EM37" s="384"/>
      <c r="EN37" s="1012"/>
      <c r="EO37" s="384"/>
      <c r="EP37" s="384"/>
      <c r="EQ37" s="384"/>
      <c r="ER37" s="384"/>
      <c r="ES37" s="384"/>
      <c r="ET37" s="727"/>
      <c r="EU37" s="384"/>
      <c r="EV37" s="384"/>
      <c r="EW37" s="384"/>
      <c r="EX37" s="384"/>
      <c r="EY37" s="384"/>
      <c r="EZ37" s="727"/>
      <c r="FA37" s="384"/>
      <c r="FB37" s="384"/>
      <c r="FC37" s="384"/>
      <c r="FD37" s="727"/>
      <c r="FE37" s="384"/>
      <c r="FF37" s="384"/>
      <c r="FG37" s="384"/>
      <c r="FH37" s="384"/>
      <c r="FI37" s="384"/>
      <c r="FJ37" s="384"/>
    </row>
    <row r="38" spans="1:166" s="229" customFormat="1" ht="15" hidden="1" customHeight="1">
      <c r="A38" s="153" t="s">
        <v>100</v>
      </c>
      <c r="B38" s="618">
        <v>74</v>
      </c>
      <c r="C38" s="618"/>
      <c r="D38" s="618">
        <v>16</v>
      </c>
      <c r="E38" s="610" t="s">
        <v>1930</v>
      </c>
      <c r="F38" s="368" t="s">
        <v>2147</v>
      </c>
      <c r="G38" s="369">
        <v>2005</v>
      </c>
      <c r="H38" s="153">
        <v>15820703</v>
      </c>
      <c r="I38" s="153">
        <v>1</v>
      </c>
      <c r="J38" s="370" t="s">
        <v>1774</v>
      </c>
      <c r="K38" s="371" t="s">
        <v>1756</v>
      </c>
      <c r="L38" s="153">
        <v>1</v>
      </c>
      <c r="M38" s="153" t="s">
        <v>1733</v>
      </c>
      <c r="N38" s="153">
        <v>1</v>
      </c>
      <c r="O38" s="153">
        <v>1</v>
      </c>
      <c r="P38" s="153" t="s">
        <v>1179</v>
      </c>
      <c r="Q38" s="153" t="s">
        <v>1142</v>
      </c>
      <c r="R38" s="153" t="s">
        <v>25</v>
      </c>
      <c r="S38" s="153">
        <v>1</v>
      </c>
      <c r="T38" s="153"/>
      <c r="U38" s="153"/>
      <c r="V38" s="153"/>
      <c r="W38" s="153" t="s">
        <v>69</v>
      </c>
      <c r="X38" s="153" t="s">
        <v>56</v>
      </c>
      <c r="Y38" s="153"/>
      <c r="Z38" s="153"/>
      <c r="AA38" s="153"/>
      <c r="AB38" s="153"/>
      <c r="AC38" s="536" t="s">
        <v>6181</v>
      </c>
      <c r="AD38" s="536">
        <v>1</v>
      </c>
      <c r="AE38" s="536">
        <v>0</v>
      </c>
      <c r="AF38" s="165">
        <v>0</v>
      </c>
      <c r="AG38" s="708" t="s">
        <v>7220</v>
      </c>
      <c r="AH38" s="536">
        <v>0</v>
      </c>
      <c r="AI38" s="120">
        <v>2</v>
      </c>
      <c r="AJ38" s="120"/>
      <c r="AK38" s="206"/>
      <c r="AL38" s="372"/>
      <c r="AM38" s="207"/>
      <c r="AN38" s="120"/>
      <c r="AO38" s="120"/>
      <c r="AP38" s="120"/>
      <c r="AQ38" s="120"/>
      <c r="AR38" s="120"/>
      <c r="AS38" s="120"/>
      <c r="AT38" s="120"/>
      <c r="AU38" s="120"/>
      <c r="AV38" s="120"/>
      <c r="AW38" s="120"/>
      <c r="AX38" s="120"/>
      <c r="AY38" s="120"/>
      <c r="AZ38" s="755"/>
      <c r="BA38" s="120"/>
      <c r="BB38" s="120"/>
      <c r="BC38" s="120"/>
      <c r="BD38" s="755"/>
      <c r="BE38" s="755"/>
      <c r="BF38" s="120"/>
      <c r="BG38" s="120"/>
      <c r="BH38" s="377"/>
      <c r="BI38" s="377"/>
      <c r="BJ38" s="373"/>
      <c r="BK38" s="373"/>
      <c r="BL38" s="373"/>
      <c r="BM38" s="373"/>
      <c r="BN38" s="373"/>
      <c r="BO38" s="373"/>
      <c r="BP38" s="373"/>
      <c r="BQ38" s="373"/>
      <c r="BR38" s="373"/>
      <c r="BS38" s="373"/>
      <c r="BT38" s="373"/>
      <c r="BU38" s="373"/>
      <c r="BV38" s="373"/>
      <c r="BW38" s="599"/>
      <c r="BX38" s="374"/>
      <c r="BY38" s="374"/>
      <c r="BZ38" s="374"/>
      <c r="CA38" s="510"/>
      <c r="CB38" s="510"/>
      <c r="CC38" s="510"/>
      <c r="CD38" s="120"/>
      <c r="CE38" s="120"/>
      <c r="CF38" s="120"/>
      <c r="CG38" s="120"/>
      <c r="CH38" s="755"/>
      <c r="CI38" s="120"/>
      <c r="CJ38" s="120"/>
      <c r="CK38" s="120"/>
      <c r="CL38" s="120"/>
      <c r="CM38" s="375"/>
      <c r="CN38" s="380"/>
      <c r="CO38" s="380"/>
      <c r="CP38" s="380"/>
      <c r="CQ38" s="380"/>
      <c r="CR38" s="380"/>
      <c r="CS38" s="380"/>
      <c r="CT38" s="380"/>
      <c r="CU38" s="380"/>
      <c r="CV38" s="380"/>
      <c r="CW38" s="380"/>
      <c r="CX38" s="376"/>
      <c r="CY38" s="120"/>
      <c r="CZ38" s="120"/>
      <c r="DA38" s="120"/>
      <c r="DB38" s="376"/>
      <c r="DC38" s="120"/>
      <c r="DD38" s="120"/>
      <c r="DE38" s="120"/>
      <c r="DF38" s="515"/>
      <c r="DG38" s="513"/>
      <c r="DH38" s="376"/>
      <c r="DI38" s="120"/>
      <c r="DJ38" s="384"/>
      <c r="DK38" s="120"/>
      <c r="DL38" s="727"/>
      <c r="DM38" s="120"/>
      <c r="DN38" s="384"/>
      <c r="DO38" s="120"/>
      <c r="DP38" s="375"/>
      <c r="DQ38" s="377"/>
      <c r="DR38" s="1182"/>
      <c r="DS38" s="956"/>
      <c r="DT38" s="727"/>
      <c r="DU38" s="384"/>
      <c r="DV38" s="384"/>
      <c r="DW38" s="384"/>
      <c r="DX38" s="384"/>
      <c r="DY38" s="384"/>
      <c r="DZ38" s="384"/>
      <c r="EA38" s="384"/>
      <c r="EB38" s="1012"/>
      <c r="EC38" s="384"/>
      <c r="ED38" s="384"/>
      <c r="EE38" s="384"/>
      <c r="EF38" s="384"/>
      <c r="EG38" s="384"/>
      <c r="EH38" s="384"/>
      <c r="EI38" s="384"/>
      <c r="EJ38" s="384"/>
      <c r="EK38" s="384"/>
      <c r="EL38" s="1012"/>
      <c r="EM38" s="384"/>
      <c r="EN38" s="1012"/>
      <c r="EO38" s="384"/>
      <c r="EP38" s="384"/>
      <c r="EQ38" s="384"/>
      <c r="ER38" s="384"/>
      <c r="ES38" s="384"/>
      <c r="ET38" s="727"/>
      <c r="EU38" s="384"/>
      <c r="EV38" s="384"/>
      <c r="EW38" s="384"/>
      <c r="EX38" s="384"/>
      <c r="EY38" s="384"/>
      <c r="EZ38" s="727"/>
      <c r="FA38" s="384"/>
      <c r="FB38" s="384"/>
      <c r="FC38" s="384"/>
      <c r="FD38" s="727"/>
      <c r="FE38" s="384"/>
      <c r="FF38" s="384"/>
      <c r="FG38" s="384"/>
      <c r="FH38" s="384"/>
      <c r="FI38" s="384"/>
      <c r="FJ38" s="384"/>
    </row>
    <row r="39" spans="1:166" s="229" customFormat="1" ht="15" hidden="1" customHeight="1">
      <c r="A39" s="153" t="s">
        <v>102</v>
      </c>
      <c r="B39" s="618">
        <v>75</v>
      </c>
      <c r="C39" s="618">
        <v>7</v>
      </c>
      <c r="D39" s="618"/>
      <c r="E39" s="610" t="s">
        <v>1931</v>
      </c>
      <c r="F39" s="368" t="s">
        <v>2148</v>
      </c>
      <c r="G39" s="369">
        <v>2016</v>
      </c>
      <c r="H39" s="153">
        <v>27236589</v>
      </c>
      <c r="I39" s="153">
        <v>1</v>
      </c>
      <c r="J39" s="370"/>
      <c r="K39" s="371"/>
      <c r="L39" s="153">
        <v>1</v>
      </c>
      <c r="M39" s="153"/>
      <c r="N39" s="153">
        <v>1</v>
      </c>
      <c r="O39" s="153">
        <v>1</v>
      </c>
      <c r="P39" s="153" t="s">
        <v>72</v>
      </c>
      <c r="Q39" s="153" t="s">
        <v>1148</v>
      </c>
      <c r="R39" s="153" t="s">
        <v>25</v>
      </c>
      <c r="S39" s="153">
        <v>1</v>
      </c>
      <c r="T39" s="153"/>
      <c r="U39" s="153"/>
      <c r="V39" s="153"/>
      <c r="W39" s="153" t="s">
        <v>71</v>
      </c>
      <c r="X39" s="153"/>
      <c r="Y39" s="153"/>
      <c r="Z39" s="153"/>
      <c r="AA39" s="153"/>
      <c r="AB39" s="153"/>
      <c r="AC39" s="536"/>
      <c r="AD39" s="536">
        <v>1</v>
      </c>
      <c r="AE39" s="536">
        <v>2</v>
      </c>
      <c r="AF39" s="165">
        <v>0</v>
      </c>
      <c r="AG39" s="166" t="s">
        <v>7470</v>
      </c>
      <c r="AH39" s="509">
        <v>0</v>
      </c>
      <c r="AI39" s="120">
        <v>2</v>
      </c>
      <c r="AJ39" s="120"/>
      <c r="AK39" s="206" t="s">
        <v>3851</v>
      </c>
      <c r="AL39" s="372">
        <v>0</v>
      </c>
      <c r="AM39" s="207" t="s">
        <v>24</v>
      </c>
      <c r="AN39" s="120">
        <v>62</v>
      </c>
      <c r="AO39" s="120" t="s">
        <v>3855</v>
      </c>
      <c r="AP39" s="120" t="s">
        <v>3854</v>
      </c>
      <c r="AQ39" s="120" t="s">
        <v>3853</v>
      </c>
      <c r="AR39" s="120" t="s">
        <v>3852</v>
      </c>
      <c r="AS39" s="120">
        <v>35.92</v>
      </c>
      <c r="AT39" s="120">
        <v>6.95</v>
      </c>
      <c r="AU39" s="120">
        <v>34.5</v>
      </c>
      <c r="AV39" s="120">
        <v>8.68</v>
      </c>
      <c r="AW39" s="120" t="s">
        <v>3834</v>
      </c>
      <c r="AX39" s="120"/>
      <c r="AY39" s="120"/>
      <c r="AZ39" s="755" t="s">
        <v>1874</v>
      </c>
      <c r="BA39" s="120" t="s">
        <v>24</v>
      </c>
      <c r="BB39" s="120" t="s">
        <v>24</v>
      </c>
      <c r="BC39" s="120" t="s">
        <v>2423</v>
      </c>
      <c r="BD39" s="755"/>
      <c r="BE39" s="755"/>
      <c r="BF39" s="120" t="s">
        <v>3835</v>
      </c>
      <c r="BG39" s="120" t="s">
        <v>3850</v>
      </c>
      <c r="BH39" s="377"/>
      <c r="BI39" s="377"/>
      <c r="BJ39" s="373"/>
      <c r="BK39" s="373"/>
      <c r="BL39" s="373"/>
      <c r="BM39" s="373"/>
      <c r="BN39" s="726" t="s">
        <v>3840</v>
      </c>
      <c r="BO39" s="726"/>
      <c r="BP39" s="373"/>
      <c r="BQ39" s="373">
        <v>1</v>
      </c>
      <c r="BR39" s="373"/>
      <c r="BS39" s="373"/>
      <c r="BT39" s="373"/>
      <c r="BU39" s="373"/>
      <c r="BV39" s="373"/>
      <c r="BW39" s="599" t="s">
        <v>3863</v>
      </c>
      <c r="BX39" s="374"/>
      <c r="BY39" s="374"/>
      <c r="BZ39" s="374"/>
      <c r="CA39" s="510"/>
      <c r="CB39" s="510"/>
      <c r="CC39" s="510"/>
      <c r="CD39" s="120" t="s">
        <v>1876</v>
      </c>
      <c r="CE39" s="120" t="s">
        <v>3856</v>
      </c>
      <c r="CF39" s="120"/>
      <c r="CG39" s="120" t="s">
        <v>3857</v>
      </c>
      <c r="CH39" s="755"/>
      <c r="CI39" s="120" t="s">
        <v>24</v>
      </c>
      <c r="CJ39" s="120"/>
      <c r="CK39" s="120" t="s">
        <v>3858</v>
      </c>
      <c r="CL39" s="120"/>
      <c r="CM39" s="375" t="s">
        <v>3861</v>
      </c>
      <c r="CN39" s="380"/>
      <c r="CO39" s="380"/>
      <c r="CP39" s="380"/>
      <c r="CQ39" s="380"/>
      <c r="CR39" s="380"/>
      <c r="CS39" s="380"/>
      <c r="CT39" s="380"/>
      <c r="CU39" s="380"/>
      <c r="CV39" s="380"/>
      <c r="CW39" s="380"/>
      <c r="CX39" s="376" t="s">
        <v>3859</v>
      </c>
      <c r="CY39" s="120">
        <v>4.54915</v>
      </c>
      <c r="CZ39" s="120" t="s">
        <v>24</v>
      </c>
      <c r="DA39" s="120">
        <f>4.73612-Table66[[#This Row],[Data_Outcome1_M]]</f>
        <v>0.18696999999999964</v>
      </c>
      <c r="DB39" s="376" t="s">
        <v>3860</v>
      </c>
      <c r="DC39" s="120">
        <v>4.9229599999999998</v>
      </c>
      <c r="DD39" s="120" t="s">
        <v>24</v>
      </c>
      <c r="DE39" s="120">
        <f>5.11843-Table66[[#This Row],[Data_Outcome2_M]]</f>
        <v>0.19547000000000025</v>
      </c>
      <c r="DF39" s="515" t="s">
        <v>3861</v>
      </c>
      <c r="DG39" s="513" t="s">
        <v>3862</v>
      </c>
      <c r="DH39" s="727"/>
      <c r="DI39" s="384"/>
      <c r="DJ39" s="384"/>
      <c r="DK39" s="384"/>
      <c r="DL39" s="727"/>
      <c r="DM39" s="384"/>
      <c r="DN39" s="384"/>
      <c r="DO39" s="384"/>
      <c r="DP39" s="375"/>
      <c r="DQ39" s="377"/>
      <c r="DR39" s="1182"/>
      <c r="DS39" s="956"/>
      <c r="DT39" s="727"/>
      <c r="DU39" s="384"/>
      <c r="DV39" s="384"/>
      <c r="DW39" s="384"/>
      <c r="DX39" s="384"/>
      <c r="DY39" s="384"/>
      <c r="DZ39" s="384"/>
      <c r="EA39" s="384"/>
      <c r="EB39" s="1012"/>
      <c r="EC39" s="384"/>
      <c r="ED39" s="384"/>
      <c r="EE39" s="683"/>
      <c r="EF39" s="384"/>
      <c r="EG39" s="384"/>
      <c r="EH39" s="384"/>
      <c r="EI39" s="384"/>
      <c r="EJ39" s="384"/>
      <c r="EK39" s="384"/>
      <c r="EL39" s="1012"/>
      <c r="EM39" s="384"/>
      <c r="EN39" s="1012"/>
      <c r="EO39" s="384"/>
      <c r="EP39" s="384"/>
      <c r="EQ39" s="384"/>
      <c r="ER39" s="384"/>
      <c r="ES39" s="384"/>
      <c r="ET39" s="727"/>
      <c r="EU39" s="384"/>
      <c r="EV39" s="384"/>
      <c r="EW39" s="384"/>
      <c r="EX39" s="384"/>
      <c r="EY39" s="384"/>
      <c r="EZ39" s="727"/>
      <c r="FA39" s="384"/>
      <c r="FB39" s="384"/>
      <c r="FC39" s="384"/>
      <c r="FD39" s="727"/>
      <c r="FE39" s="384"/>
      <c r="FF39" s="384"/>
      <c r="FG39" s="384"/>
      <c r="FH39" s="384"/>
      <c r="FI39" s="384"/>
      <c r="FJ39" s="384"/>
    </row>
    <row r="40" spans="1:166" s="229" customFormat="1" ht="15" hidden="1" customHeight="1">
      <c r="A40" s="79" t="s">
        <v>103</v>
      </c>
      <c r="B40" s="362">
        <v>76</v>
      </c>
      <c r="C40" s="362">
        <v>8</v>
      </c>
      <c r="D40" s="362"/>
      <c r="E40" s="604" t="s">
        <v>1931</v>
      </c>
      <c r="F40" s="124" t="s">
        <v>2149</v>
      </c>
      <c r="G40" s="125">
        <v>2013</v>
      </c>
      <c r="H40" s="79">
        <v>22200095</v>
      </c>
      <c r="I40" s="79">
        <v>1</v>
      </c>
      <c r="J40" s="126"/>
      <c r="K40" s="127"/>
      <c r="L40" s="79">
        <v>1</v>
      </c>
      <c r="M40" s="79"/>
      <c r="N40" s="79">
        <v>1</v>
      </c>
      <c r="O40" s="128">
        <v>1</v>
      </c>
      <c r="P40" s="79" t="s">
        <v>74</v>
      </c>
      <c r="Q40" s="79" t="s">
        <v>1147</v>
      </c>
      <c r="R40" s="79" t="s">
        <v>25</v>
      </c>
      <c r="S40" s="79"/>
      <c r="T40" s="79"/>
      <c r="U40" s="79"/>
      <c r="V40" s="79"/>
      <c r="W40" s="79"/>
      <c r="X40" s="79"/>
      <c r="Y40" s="79"/>
      <c r="Z40" s="79"/>
      <c r="AA40" s="79"/>
      <c r="AB40" s="79"/>
      <c r="AC40" s="506"/>
      <c r="AD40" s="573">
        <v>1</v>
      </c>
      <c r="AE40" s="573">
        <v>2</v>
      </c>
      <c r="AF40" s="154">
        <v>1</v>
      </c>
      <c r="AG40" s="155" t="s">
        <v>3892</v>
      </c>
      <c r="AH40" s="704"/>
      <c r="AI40" s="121">
        <v>2</v>
      </c>
      <c r="AJ40" s="484"/>
      <c r="AK40" s="202"/>
      <c r="AL40" s="192">
        <v>1</v>
      </c>
      <c r="AM40" s="215">
        <v>0</v>
      </c>
      <c r="AN40" s="134">
        <v>28</v>
      </c>
      <c r="AO40" s="134">
        <v>12</v>
      </c>
      <c r="AP40" s="134">
        <v>16</v>
      </c>
      <c r="AQ40" s="134" t="s">
        <v>3867</v>
      </c>
      <c r="AR40" s="134" t="s">
        <v>3867</v>
      </c>
      <c r="AS40" s="134">
        <v>30.25</v>
      </c>
      <c r="AT40" s="134">
        <v>6.03</v>
      </c>
      <c r="AU40" s="134">
        <v>31.38</v>
      </c>
      <c r="AV40" s="134">
        <v>8.69</v>
      </c>
      <c r="AW40" s="134" t="s">
        <v>1874</v>
      </c>
      <c r="AX40" s="134"/>
      <c r="AY40" s="134"/>
      <c r="AZ40" s="753" t="s">
        <v>1874</v>
      </c>
      <c r="BA40" s="134" t="s">
        <v>24</v>
      </c>
      <c r="BB40" s="134" t="s">
        <v>24</v>
      </c>
      <c r="BC40" s="134" t="s">
        <v>2423</v>
      </c>
      <c r="BD40" s="753" t="s">
        <v>7521</v>
      </c>
      <c r="BE40" s="1623">
        <v>0</v>
      </c>
      <c r="BF40" s="134" t="s">
        <v>3835</v>
      </c>
      <c r="BG40" s="134" t="s">
        <v>1875</v>
      </c>
      <c r="BH40" s="594"/>
      <c r="BI40" s="594"/>
      <c r="BJ40" s="156"/>
      <c r="BK40" s="156"/>
      <c r="BL40" s="156"/>
      <c r="BM40" s="156"/>
      <c r="BN40" s="156"/>
      <c r="BO40" s="156"/>
      <c r="BP40" s="156">
        <v>1</v>
      </c>
      <c r="BQ40" s="156"/>
      <c r="BR40" s="156"/>
      <c r="BS40" s="156"/>
      <c r="BT40" s="156"/>
      <c r="BU40" s="156"/>
      <c r="BV40" s="156"/>
      <c r="BW40" s="595" t="s">
        <v>7719</v>
      </c>
      <c r="BX40" s="157" t="s">
        <v>6609</v>
      </c>
      <c r="BY40" s="797" t="s">
        <v>7616</v>
      </c>
      <c r="BZ40" s="789" t="s">
        <v>803</v>
      </c>
      <c r="CA40" s="765">
        <v>2</v>
      </c>
      <c r="CB40" s="765" t="s">
        <v>7556</v>
      </c>
      <c r="CC40" s="765" t="s">
        <v>24</v>
      </c>
      <c r="CD40" s="134" t="s">
        <v>7427</v>
      </c>
      <c r="CE40" s="134">
        <v>2</v>
      </c>
      <c r="CF40" s="400"/>
      <c r="CG40" s="134" t="s">
        <v>3869</v>
      </c>
      <c r="CH40" s="753" t="s">
        <v>7425</v>
      </c>
      <c r="CI40" s="134" t="s">
        <v>24</v>
      </c>
      <c r="CJ40" s="134">
        <v>1</v>
      </c>
      <c r="CK40" s="134" t="s">
        <v>3868</v>
      </c>
      <c r="CL40" s="134" t="s">
        <v>6643</v>
      </c>
      <c r="CM40" s="259" t="s">
        <v>3890</v>
      </c>
      <c r="CN40" s="454" t="s">
        <v>24</v>
      </c>
      <c r="CO40" s="828">
        <v>4</v>
      </c>
      <c r="CP40" s="828">
        <v>1</v>
      </c>
      <c r="CQ40" s="828">
        <v>1</v>
      </c>
      <c r="CR40" s="828">
        <v>1</v>
      </c>
      <c r="CS40" s="828">
        <v>1</v>
      </c>
      <c r="CT40" s="967"/>
      <c r="CU40" s="1288" t="s">
        <v>8103</v>
      </c>
      <c r="CV40" s="1294">
        <v>7</v>
      </c>
      <c r="CW40" s="1294">
        <v>5</v>
      </c>
      <c r="CX40" s="138" t="s">
        <v>3870</v>
      </c>
      <c r="CY40" s="506">
        <v>5.81</v>
      </c>
      <c r="CZ40" s="134">
        <v>3.17</v>
      </c>
      <c r="DA40" s="134" t="s">
        <v>24</v>
      </c>
      <c r="DB40" s="138" t="s">
        <v>3871</v>
      </c>
      <c r="DC40" s="134">
        <v>9.1300000000000008</v>
      </c>
      <c r="DD40" s="134">
        <v>0.95</v>
      </c>
      <c r="DE40" s="134" t="s">
        <v>24</v>
      </c>
      <c r="DF40" s="294" t="s">
        <v>3878</v>
      </c>
      <c r="DG40" s="295" t="s">
        <v>3879</v>
      </c>
      <c r="DH40" s="1171"/>
      <c r="DI40" s="1169"/>
      <c r="DJ40" s="1169"/>
      <c r="DK40" s="1169"/>
      <c r="DL40" s="1171"/>
      <c r="DM40" s="1169"/>
      <c r="DN40" s="1169"/>
      <c r="DO40" s="1169"/>
      <c r="DP40" s="288"/>
      <c r="DQ40" s="289"/>
      <c r="DR40" s="1168"/>
      <c r="DS40" s="865"/>
      <c r="DT40" s="1154"/>
      <c r="DU40" s="448"/>
      <c r="DV40" s="448"/>
      <c r="DW40" s="448"/>
      <c r="DX40" s="1154"/>
      <c r="DY40" s="448"/>
      <c r="DZ40" s="448"/>
      <c r="EA40" s="448"/>
      <c r="EB40" s="304"/>
      <c r="EC40" s="312"/>
      <c r="ED40" s="1154"/>
      <c r="EE40" s="448"/>
      <c r="EF40" s="448"/>
      <c r="EG40" s="448"/>
      <c r="EH40" s="1154"/>
      <c r="EI40" s="448"/>
      <c r="EJ40" s="448"/>
      <c r="EK40" s="448"/>
      <c r="EL40" s="304"/>
      <c r="EM40" s="312"/>
      <c r="EN40" s="309"/>
      <c r="EO40" s="1170"/>
      <c r="EP40" s="1169"/>
      <c r="EQ40" s="1169"/>
      <c r="ER40" s="1169"/>
      <c r="ES40" s="1169"/>
      <c r="ET40" s="1171"/>
      <c r="EU40" s="1169"/>
      <c r="EV40" s="1169"/>
      <c r="EW40" s="1169"/>
      <c r="EX40" s="312"/>
      <c r="EY40" s="312"/>
      <c r="EZ40" s="1171"/>
      <c r="FA40" s="1169"/>
      <c r="FB40" s="1169"/>
      <c r="FC40" s="1169"/>
      <c r="FD40" s="1171"/>
      <c r="FE40" s="1169"/>
      <c r="FF40" s="1169"/>
      <c r="FG40" s="1169"/>
      <c r="FH40" s="312"/>
      <c r="FI40" s="312"/>
      <c r="FJ40" s="1170"/>
    </row>
    <row r="41" spans="1:166" s="229" customFormat="1" ht="15" hidden="1" customHeight="1">
      <c r="A41" s="79" t="s">
        <v>103</v>
      </c>
      <c r="B41" s="362">
        <v>76</v>
      </c>
      <c r="C41" s="362">
        <v>8</v>
      </c>
      <c r="D41" s="362"/>
      <c r="E41" s="604" t="s">
        <v>1931</v>
      </c>
      <c r="F41" s="124" t="s">
        <v>2149</v>
      </c>
      <c r="G41" s="125">
        <v>2013</v>
      </c>
      <c r="H41" s="79">
        <v>22200095</v>
      </c>
      <c r="I41" s="79">
        <v>1</v>
      </c>
      <c r="J41" s="126"/>
      <c r="K41" s="127"/>
      <c r="L41" s="79">
        <v>1</v>
      </c>
      <c r="M41" s="79"/>
      <c r="N41" s="79">
        <v>1</v>
      </c>
      <c r="O41" s="128">
        <v>1</v>
      </c>
      <c r="P41" s="79" t="s">
        <v>74</v>
      </c>
      <c r="Q41" s="79" t="s">
        <v>1147</v>
      </c>
      <c r="R41" s="79" t="s">
        <v>25</v>
      </c>
      <c r="S41" s="79"/>
      <c r="T41" s="79"/>
      <c r="U41" s="79"/>
      <c r="V41" s="79"/>
      <c r="W41" s="79"/>
      <c r="X41" s="79"/>
      <c r="Y41" s="79"/>
      <c r="Z41" s="79"/>
      <c r="AA41" s="79"/>
      <c r="AB41" s="79"/>
      <c r="AC41" s="506"/>
      <c r="AD41" s="573">
        <v>1</v>
      </c>
      <c r="AE41" s="573">
        <v>2</v>
      </c>
      <c r="AF41" s="154">
        <v>1</v>
      </c>
      <c r="AG41" s="155" t="s">
        <v>3892</v>
      </c>
      <c r="AH41" s="704"/>
      <c r="AI41" s="121">
        <v>2</v>
      </c>
      <c r="AJ41" s="484"/>
      <c r="AK41" s="202"/>
      <c r="AL41" s="192">
        <v>1</v>
      </c>
      <c r="AM41" s="215">
        <v>0</v>
      </c>
      <c r="AN41" s="134">
        <v>28</v>
      </c>
      <c r="AO41" s="134">
        <v>12</v>
      </c>
      <c r="AP41" s="134">
        <v>16</v>
      </c>
      <c r="AQ41" s="134" t="s">
        <v>3867</v>
      </c>
      <c r="AR41" s="134" t="s">
        <v>3867</v>
      </c>
      <c r="AS41" s="134">
        <v>30.25</v>
      </c>
      <c r="AT41" s="134">
        <v>6.03</v>
      </c>
      <c r="AU41" s="134">
        <v>31.38</v>
      </c>
      <c r="AV41" s="134">
        <v>8.69</v>
      </c>
      <c r="AW41" s="134" t="s">
        <v>1874</v>
      </c>
      <c r="AX41" s="134"/>
      <c r="AY41" s="134"/>
      <c r="AZ41" s="753" t="s">
        <v>1874</v>
      </c>
      <c r="BA41" s="134" t="s">
        <v>24</v>
      </c>
      <c r="BB41" s="134" t="s">
        <v>24</v>
      </c>
      <c r="BC41" s="134" t="s">
        <v>2423</v>
      </c>
      <c r="BD41" s="753" t="s">
        <v>7521</v>
      </c>
      <c r="BE41" s="1623">
        <v>0</v>
      </c>
      <c r="BF41" s="134" t="s">
        <v>3835</v>
      </c>
      <c r="BG41" s="134" t="s">
        <v>1875</v>
      </c>
      <c r="BH41" s="594"/>
      <c r="BI41" s="594"/>
      <c r="BJ41" s="156"/>
      <c r="BK41" s="156"/>
      <c r="BL41" s="156"/>
      <c r="BM41" s="156"/>
      <c r="BN41" s="156"/>
      <c r="BO41" s="156"/>
      <c r="BP41" s="156">
        <v>1</v>
      </c>
      <c r="BQ41" s="156"/>
      <c r="BR41" s="156"/>
      <c r="BS41" s="156"/>
      <c r="BT41" s="156"/>
      <c r="BU41" s="156"/>
      <c r="BV41" s="156"/>
      <c r="BW41" s="595" t="s">
        <v>7719</v>
      </c>
      <c r="BX41" s="157" t="s">
        <v>6609</v>
      </c>
      <c r="BY41" s="797" t="s">
        <v>7616</v>
      </c>
      <c r="BZ41" s="789" t="s">
        <v>803</v>
      </c>
      <c r="CA41" s="765">
        <v>2</v>
      </c>
      <c r="CB41" s="765" t="s">
        <v>7556</v>
      </c>
      <c r="CC41" s="765" t="s">
        <v>24</v>
      </c>
      <c r="CD41" s="134" t="s">
        <v>7427</v>
      </c>
      <c r="CE41" s="134">
        <v>2</v>
      </c>
      <c r="CF41" s="400"/>
      <c r="CG41" s="134" t="s">
        <v>3869</v>
      </c>
      <c r="CH41" s="753" t="s">
        <v>7425</v>
      </c>
      <c r="CI41" s="134" t="s">
        <v>24</v>
      </c>
      <c r="CJ41" s="134">
        <v>1</v>
      </c>
      <c r="CK41" s="134" t="s">
        <v>3868</v>
      </c>
      <c r="CL41" s="134" t="s">
        <v>6643</v>
      </c>
      <c r="CM41" s="259" t="s">
        <v>3890</v>
      </c>
      <c r="CN41" s="454" t="s">
        <v>24</v>
      </c>
      <c r="CO41" s="828">
        <v>4</v>
      </c>
      <c r="CP41" s="828">
        <v>1</v>
      </c>
      <c r="CQ41" s="828">
        <v>2</v>
      </c>
      <c r="CR41" s="828">
        <v>1</v>
      </c>
      <c r="CS41" s="828">
        <v>1</v>
      </c>
      <c r="CT41" s="967"/>
      <c r="CU41" s="1288" t="s">
        <v>8103</v>
      </c>
      <c r="CV41" s="1294">
        <v>7</v>
      </c>
      <c r="CW41" s="1294">
        <v>5</v>
      </c>
      <c r="CX41" s="138" t="s">
        <v>3872</v>
      </c>
      <c r="CY41" s="134">
        <v>5.26</v>
      </c>
      <c r="CZ41" s="134">
        <v>3.17</v>
      </c>
      <c r="DA41" s="134" t="s">
        <v>24</v>
      </c>
      <c r="DB41" s="138" t="s">
        <v>3873</v>
      </c>
      <c r="DC41" s="134">
        <v>8.83</v>
      </c>
      <c r="DD41" s="134">
        <v>1.0900000000000001</v>
      </c>
      <c r="DE41" s="134" t="s">
        <v>24</v>
      </c>
      <c r="DF41" s="294" t="s">
        <v>3880</v>
      </c>
      <c r="DG41" s="295" t="s">
        <v>3881</v>
      </c>
      <c r="DH41" s="1179"/>
      <c r="DI41" s="417"/>
      <c r="DJ41" s="1169"/>
      <c r="DK41" s="417"/>
      <c r="DL41" s="1169"/>
      <c r="DM41" s="417"/>
      <c r="DN41" s="1169"/>
      <c r="DO41" s="1151"/>
      <c r="DP41" s="288"/>
      <c r="DQ41" s="441"/>
      <c r="DR41" s="1168"/>
      <c r="DS41" s="865"/>
      <c r="DT41" s="1154"/>
      <c r="DU41" s="448"/>
      <c r="DV41" s="448"/>
      <c r="DW41" s="448"/>
      <c r="DX41" s="1154"/>
      <c r="DY41" s="448"/>
      <c r="DZ41" s="448"/>
      <c r="EA41" s="448"/>
      <c r="EB41" s="304"/>
      <c r="EC41" s="312"/>
      <c r="ED41" s="1154"/>
      <c r="EE41" s="448"/>
      <c r="EF41" s="448"/>
      <c r="EG41" s="448"/>
      <c r="EH41" s="1154"/>
      <c r="EI41" s="448"/>
      <c r="EJ41" s="448"/>
      <c r="EK41" s="448"/>
      <c r="EL41" s="304"/>
      <c r="EM41" s="312"/>
      <c r="EN41" s="309"/>
      <c r="EO41" s="1170"/>
      <c r="EP41" s="1169"/>
      <c r="EQ41" s="1169"/>
      <c r="ER41" s="1169"/>
      <c r="ES41" s="1169"/>
      <c r="ET41" s="1171"/>
      <c r="EU41" s="1169"/>
      <c r="EV41" s="1169"/>
      <c r="EW41" s="1169"/>
      <c r="EX41" s="312"/>
      <c r="EY41" s="312"/>
      <c r="EZ41" s="1171"/>
      <c r="FA41" s="1169"/>
      <c r="FB41" s="1169"/>
      <c r="FC41" s="1169"/>
      <c r="FD41" s="1171"/>
      <c r="FE41" s="1169"/>
      <c r="FF41" s="1169"/>
      <c r="FG41" s="1169"/>
      <c r="FH41" s="312"/>
      <c r="FI41" s="312"/>
      <c r="FJ41" s="1170"/>
    </row>
    <row r="42" spans="1:166" s="229" customFormat="1" ht="15" hidden="1" customHeight="1">
      <c r="A42" s="153" t="s">
        <v>103</v>
      </c>
      <c r="B42" s="618">
        <v>76</v>
      </c>
      <c r="C42" s="618">
        <v>8</v>
      </c>
      <c r="D42" s="618"/>
      <c r="E42" s="610" t="s">
        <v>1931</v>
      </c>
      <c r="F42" s="368" t="s">
        <v>2149</v>
      </c>
      <c r="G42" s="369">
        <v>2013</v>
      </c>
      <c r="H42" s="153">
        <v>22200095</v>
      </c>
      <c r="I42" s="153">
        <v>1</v>
      </c>
      <c r="J42" s="370"/>
      <c r="K42" s="371"/>
      <c r="L42" s="153">
        <v>1</v>
      </c>
      <c r="M42" s="153"/>
      <c r="N42" s="153">
        <v>1</v>
      </c>
      <c r="O42" s="153">
        <v>1</v>
      </c>
      <c r="P42" s="153" t="s">
        <v>74</v>
      </c>
      <c r="Q42" s="153" t="s">
        <v>1147</v>
      </c>
      <c r="R42" s="153" t="s">
        <v>25</v>
      </c>
      <c r="S42" s="153"/>
      <c r="T42" s="153"/>
      <c r="U42" s="153"/>
      <c r="V42" s="153"/>
      <c r="W42" s="153"/>
      <c r="X42" s="153"/>
      <c r="Y42" s="153"/>
      <c r="Z42" s="153"/>
      <c r="AA42" s="153"/>
      <c r="AB42" s="153"/>
      <c r="AC42" s="536"/>
      <c r="AD42" s="536">
        <v>1</v>
      </c>
      <c r="AE42" s="536">
        <v>2</v>
      </c>
      <c r="AF42" s="165">
        <v>0</v>
      </c>
      <c r="AG42" s="166" t="s">
        <v>7721</v>
      </c>
      <c r="AH42" s="509"/>
      <c r="AI42" s="120">
        <v>2</v>
      </c>
      <c r="AJ42" s="120"/>
      <c r="AK42" s="206"/>
      <c r="AL42" s="372">
        <v>1</v>
      </c>
      <c r="AM42" s="207">
        <v>0</v>
      </c>
      <c r="AN42" s="120">
        <v>28</v>
      </c>
      <c r="AO42" s="120">
        <v>12</v>
      </c>
      <c r="AP42" s="120">
        <v>16</v>
      </c>
      <c r="AQ42" s="120" t="s">
        <v>3867</v>
      </c>
      <c r="AR42" s="120" t="s">
        <v>3867</v>
      </c>
      <c r="AS42" s="120">
        <v>30.25</v>
      </c>
      <c r="AT42" s="120">
        <v>6.03</v>
      </c>
      <c r="AU42" s="120">
        <v>31.38</v>
      </c>
      <c r="AV42" s="120">
        <v>8.69</v>
      </c>
      <c r="AW42" s="120" t="s">
        <v>1874</v>
      </c>
      <c r="AX42" s="120"/>
      <c r="AY42" s="120"/>
      <c r="AZ42" s="755" t="s">
        <v>1874</v>
      </c>
      <c r="BA42" s="120" t="s">
        <v>24</v>
      </c>
      <c r="BB42" s="120" t="s">
        <v>24</v>
      </c>
      <c r="BC42" s="120" t="s">
        <v>2423</v>
      </c>
      <c r="BD42" s="755" t="s">
        <v>7521</v>
      </c>
      <c r="BE42" s="755"/>
      <c r="BF42" s="120" t="s">
        <v>3835</v>
      </c>
      <c r="BG42" s="120" t="s">
        <v>1875</v>
      </c>
      <c r="BH42" s="377"/>
      <c r="BI42" s="377"/>
      <c r="BJ42" s="373"/>
      <c r="BK42" s="373"/>
      <c r="BL42" s="373"/>
      <c r="BM42" s="373"/>
      <c r="BN42" s="373"/>
      <c r="BO42" s="373"/>
      <c r="BP42" s="373">
        <v>1</v>
      </c>
      <c r="BQ42" s="373"/>
      <c r="BR42" s="373"/>
      <c r="BS42" s="373"/>
      <c r="BT42" s="373"/>
      <c r="BU42" s="373"/>
      <c r="BV42" s="373"/>
      <c r="BW42" s="599" t="s">
        <v>7720</v>
      </c>
      <c r="BX42" s="374" t="s">
        <v>7717</v>
      </c>
      <c r="BY42" s="799" t="s">
        <v>7616</v>
      </c>
      <c r="BZ42" s="374" t="s">
        <v>7718</v>
      </c>
      <c r="CA42" s="511">
        <v>2</v>
      </c>
      <c r="CB42" s="511" t="s">
        <v>7556</v>
      </c>
      <c r="CC42" s="511" t="s">
        <v>24</v>
      </c>
      <c r="CD42" s="120" t="s">
        <v>7427</v>
      </c>
      <c r="CE42" s="120">
        <v>2</v>
      </c>
      <c r="CF42" s="786"/>
      <c r="CG42" s="120" t="s">
        <v>3869</v>
      </c>
      <c r="CH42" s="755" t="s">
        <v>7425</v>
      </c>
      <c r="CI42" s="120" t="s">
        <v>24</v>
      </c>
      <c r="CJ42" s="120">
        <v>1</v>
      </c>
      <c r="CK42" s="120" t="s">
        <v>3868</v>
      </c>
      <c r="CL42" s="120" t="s">
        <v>6643</v>
      </c>
      <c r="CM42" s="375" t="s">
        <v>3890</v>
      </c>
      <c r="CN42" s="380" t="s">
        <v>24</v>
      </c>
      <c r="CO42" s="380">
        <v>4</v>
      </c>
      <c r="CP42" s="380">
        <v>1</v>
      </c>
      <c r="CQ42" s="380">
        <v>3</v>
      </c>
      <c r="CR42" s="380">
        <v>1</v>
      </c>
      <c r="CS42" s="380"/>
      <c r="CT42" s="380"/>
      <c r="CU42" s="380"/>
      <c r="CV42" s="380"/>
      <c r="CW42" s="380"/>
      <c r="CX42" s="709" t="s">
        <v>3874</v>
      </c>
      <c r="CY42" s="633">
        <v>4.34</v>
      </c>
      <c r="CZ42" s="633">
        <v>2.93</v>
      </c>
      <c r="DA42" s="633" t="s">
        <v>24</v>
      </c>
      <c r="DB42" s="709" t="s">
        <v>3875</v>
      </c>
      <c r="DC42" s="633">
        <v>9</v>
      </c>
      <c r="DD42" s="633">
        <v>1.03</v>
      </c>
      <c r="DE42" s="633" t="s">
        <v>24</v>
      </c>
      <c r="DF42" s="621" t="s">
        <v>3884</v>
      </c>
      <c r="DG42" s="509" t="s">
        <v>3885</v>
      </c>
      <c r="DH42" s="378"/>
      <c r="DI42" s="683"/>
      <c r="DJ42" s="384"/>
      <c r="DK42" s="683"/>
      <c r="DL42" s="384"/>
      <c r="DM42" s="683"/>
      <c r="DN42" s="384"/>
      <c r="DO42" s="815"/>
      <c r="DP42" s="375"/>
      <c r="DQ42" s="379"/>
      <c r="DR42" s="868"/>
      <c r="DS42" s="956"/>
      <c r="DT42" s="727"/>
      <c r="DU42" s="683"/>
      <c r="DV42" s="384"/>
      <c r="DW42" s="683"/>
      <c r="DX42" s="384"/>
      <c r="DY42" s="683"/>
      <c r="DZ42" s="384"/>
      <c r="EA42" s="683"/>
      <c r="EB42" s="1012"/>
      <c r="EC42" s="384"/>
      <c r="ED42" s="384"/>
      <c r="EE42" s="683"/>
      <c r="EF42" s="384"/>
      <c r="EG42" s="683"/>
      <c r="EH42" s="384"/>
      <c r="EI42" s="683"/>
      <c r="EJ42" s="384"/>
      <c r="EK42" s="683"/>
      <c r="EL42" s="1012"/>
      <c r="EM42" s="384"/>
      <c r="EN42" s="1012"/>
      <c r="EO42" s="384"/>
      <c r="EP42" s="384"/>
      <c r="EQ42" s="384"/>
      <c r="ER42" s="384"/>
      <c r="ES42" s="384"/>
      <c r="ET42" s="727"/>
      <c r="EU42" s="384"/>
      <c r="EV42" s="384"/>
      <c r="EW42" s="384"/>
      <c r="EX42" s="384"/>
      <c r="EY42" s="384"/>
      <c r="EZ42" s="727"/>
      <c r="FA42" s="384"/>
      <c r="FB42" s="384"/>
      <c r="FC42" s="384"/>
      <c r="FD42" s="727"/>
      <c r="FE42" s="384"/>
      <c r="FF42" s="384"/>
      <c r="FG42" s="384"/>
      <c r="FH42" s="384"/>
      <c r="FI42" s="384"/>
      <c r="FJ42" s="384"/>
    </row>
    <row r="43" spans="1:166" s="229" customFormat="1" ht="15" hidden="1" customHeight="1">
      <c r="A43" s="153" t="s">
        <v>103</v>
      </c>
      <c r="B43" s="618">
        <v>76</v>
      </c>
      <c r="C43" s="618">
        <v>8</v>
      </c>
      <c r="D43" s="618"/>
      <c r="E43" s="610" t="s">
        <v>1931</v>
      </c>
      <c r="F43" s="368" t="s">
        <v>2149</v>
      </c>
      <c r="G43" s="369">
        <v>2013</v>
      </c>
      <c r="H43" s="153">
        <v>22200095</v>
      </c>
      <c r="I43" s="153">
        <v>1</v>
      </c>
      <c r="J43" s="370"/>
      <c r="K43" s="371"/>
      <c r="L43" s="153">
        <v>1</v>
      </c>
      <c r="M43" s="153"/>
      <c r="N43" s="153">
        <v>1</v>
      </c>
      <c r="O43" s="153">
        <v>1</v>
      </c>
      <c r="P43" s="153" t="s">
        <v>74</v>
      </c>
      <c r="Q43" s="153" t="s">
        <v>1147</v>
      </c>
      <c r="R43" s="153" t="s">
        <v>25</v>
      </c>
      <c r="S43" s="153"/>
      <c r="T43" s="153"/>
      <c r="U43" s="153"/>
      <c r="V43" s="153"/>
      <c r="W43" s="153"/>
      <c r="X43" s="153"/>
      <c r="Y43" s="153"/>
      <c r="Z43" s="153"/>
      <c r="AA43" s="153"/>
      <c r="AB43" s="153"/>
      <c r="AC43" s="536"/>
      <c r="AD43" s="536">
        <v>1</v>
      </c>
      <c r="AE43" s="536">
        <v>2</v>
      </c>
      <c r="AF43" s="165">
        <v>0</v>
      </c>
      <c r="AG43" s="166" t="s">
        <v>7721</v>
      </c>
      <c r="AH43" s="509"/>
      <c r="AI43" s="120">
        <v>2</v>
      </c>
      <c r="AJ43" s="120"/>
      <c r="AK43" s="206"/>
      <c r="AL43" s="372">
        <v>1</v>
      </c>
      <c r="AM43" s="207">
        <v>0</v>
      </c>
      <c r="AN43" s="120">
        <v>28</v>
      </c>
      <c r="AO43" s="120">
        <v>12</v>
      </c>
      <c r="AP43" s="120">
        <v>16</v>
      </c>
      <c r="AQ43" s="120" t="s">
        <v>3867</v>
      </c>
      <c r="AR43" s="120" t="s">
        <v>3867</v>
      </c>
      <c r="AS43" s="120">
        <v>30.25</v>
      </c>
      <c r="AT43" s="120">
        <v>6.03</v>
      </c>
      <c r="AU43" s="120">
        <v>31.38</v>
      </c>
      <c r="AV43" s="120">
        <v>8.69</v>
      </c>
      <c r="AW43" s="120" t="s">
        <v>1874</v>
      </c>
      <c r="AX43" s="120"/>
      <c r="AY43" s="120"/>
      <c r="AZ43" s="755" t="s">
        <v>1874</v>
      </c>
      <c r="BA43" s="120" t="s">
        <v>24</v>
      </c>
      <c r="BB43" s="120" t="s">
        <v>24</v>
      </c>
      <c r="BC43" s="120" t="s">
        <v>2423</v>
      </c>
      <c r="BD43" s="755" t="s">
        <v>7521</v>
      </c>
      <c r="BE43" s="755"/>
      <c r="BF43" s="120" t="s">
        <v>3835</v>
      </c>
      <c r="BG43" s="120" t="s">
        <v>1875</v>
      </c>
      <c r="BH43" s="377"/>
      <c r="BI43" s="377"/>
      <c r="BJ43" s="373"/>
      <c r="BK43" s="373"/>
      <c r="BL43" s="373"/>
      <c r="BM43" s="373"/>
      <c r="BN43" s="373"/>
      <c r="BO43" s="373"/>
      <c r="BP43" s="373">
        <v>1</v>
      </c>
      <c r="BQ43" s="373"/>
      <c r="BR43" s="373"/>
      <c r="BS43" s="373"/>
      <c r="BT43" s="373"/>
      <c r="BU43" s="373"/>
      <c r="BV43" s="373"/>
      <c r="BW43" s="599" t="s">
        <v>7720</v>
      </c>
      <c r="BX43" s="374" t="s">
        <v>7717</v>
      </c>
      <c r="BY43" s="799" t="s">
        <v>7616</v>
      </c>
      <c r="BZ43" s="374" t="s">
        <v>7718</v>
      </c>
      <c r="CA43" s="511">
        <v>2</v>
      </c>
      <c r="CB43" s="511" t="s">
        <v>7556</v>
      </c>
      <c r="CC43" s="511" t="s">
        <v>24</v>
      </c>
      <c r="CD43" s="120" t="s">
        <v>7427</v>
      </c>
      <c r="CE43" s="120">
        <v>2</v>
      </c>
      <c r="CF43" s="786"/>
      <c r="CG43" s="120" t="s">
        <v>3869</v>
      </c>
      <c r="CH43" s="755" t="s">
        <v>7425</v>
      </c>
      <c r="CI43" s="120" t="s">
        <v>24</v>
      </c>
      <c r="CJ43" s="120">
        <v>1</v>
      </c>
      <c r="CK43" s="120" t="s">
        <v>3868</v>
      </c>
      <c r="CL43" s="120" t="s">
        <v>6643</v>
      </c>
      <c r="CM43" s="375" t="s">
        <v>3890</v>
      </c>
      <c r="CN43" s="380" t="s">
        <v>24</v>
      </c>
      <c r="CO43" s="380">
        <v>4</v>
      </c>
      <c r="CP43" s="380">
        <v>1</v>
      </c>
      <c r="CQ43" s="380">
        <v>4</v>
      </c>
      <c r="CR43" s="380">
        <v>1</v>
      </c>
      <c r="CS43" s="380"/>
      <c r="CT43" s="380"/>
      <c r="CU43" s="380"/>
      <c r="CV43" s="380"/>
      <c r="CW43" s="380"/>
      <c r="CX43" s="709" t="s">
        <v>3876</v>
      </c>
      <c r="CY43" s="633">
        <v>5.34</v>
      </c>
      <c r="CZ43" s="633">
        <v>2.63</v>
      </c>
      <c r="DA43" s="633" t="s">
        <v>24</v>
      </c>
      <c r="DB43" s="709" t="s">
        <v>3877</v>
      </c>
      <c r="DC43" s="633">
        <v>9.25</v>
      </c>
      <c r="DD43" s="633">
        <v>1.65</v>
      </c>
      <c r="DE43" s="633" t="s">
        <v>24</v>
      </c>
      <c r="DF43" s="621" t="s">
        <v>3886</v>
      </c>
      <c r="DG43" s="509" t="s">
        <v>3887</v>
      </c>
      <c r="DH43" s="1012"/>
      <c r="DI43" s="633"/>
      <c r="DJ43" s="633"/>
      <c r="DK43" s="633"/>
      <c r="DL43" s="709"/>
      <c r="DM43" s="633"/>
      <c r="DN43" s="633"/>
      <c r="DO43" s="633"/>
      <c r="DP43" s="380"/>
      <c r="DQ43" s="120"/>
      <c r="DR43" s="1182"/>
      <c r="DS43" s="956"/>
      <c r="DT43" s="727"/>
      <c r="DU43" s="683"/>
      <c r="DV43" s="384"/>
      <c r="DW43" s="683"/>
      <c r="DX43" s="384"/>
      <c r="DY43" s="683"/>
      <c r="DZ43" s="384"/>
      <c r="EA43" s="683"/>
      <c r="EB43" s="1012"/>
      <c r="EC43" s="384"/>
      <c r="ED43" s="384"/>
      <c r="EE43" s="683"/>
      <c r="EF43" s="384"/>
      <c r="EG43" s="683"/>
      <c r="EH43" s="384"/>
      <c r="EI43" s="683"/>
      <c r="EJ43" s="384"/>
      <c r="EK43" s="683"/>
      <c r="EL43" s="1012"/>
      <c r="EM43" s="384"/>
      <c r="EN43" s="1012"/>
      <c r="EO43" s="384"/>
      <c r="EP43" s="384"/>
      <c r="EQ43" s="384"/>
      <c r="ER43" s="384"/>
      <c r="ES43" s="384"/>
      <c r="ET43" s="727"/>
      <c r="EU43" s="384"/>
      <c r="EV43" s="384"/>
      <c r="EW43" s="384"/>
      <c r="EX43" s="384"/>
      <c r="EY43" s="384"/>
      <c r="EZ43" s="727"/>
      <c r="FA43" s="384"/>
      <c r="FB43" s="384"/>
      <c r="FC43" s="384"/>
      <c r="FD43" s="727"/>
      <c r="FE43" s="384"/>
      <c r="FF43" s="384"/>
      <c r="FG43" s="384"/>
      <c r="FH43" s="384"/>
      <c r="FI43" s="384"/>
      <c r="FJ43" s="384"/>
    </row>
    <row r="44" spans="1:166" s="717" customFormat="1" ht="15" hidden="1" customHeight="1">
      <c r="A44" s="153" t="s">
        <v>1102</v>
      </c>
      <c r="B44" s="1534">
        <v>6</v>
      </c>
      <c r="C44" s="1535">
        <v>1</v>
      </c>
      <c r="D44" s="1535"/>
      <c r="E44" s="610" t="s">
        <v>2055</v>
      </c>
      <c r="F44" s="368" t="s">
        <v>2299</v>
      </c>
      <c r="G44" s="369">
        <v>2014</v>
      </c>
      <c r="H44" s="153">
        <v>24677338</v>
      </c>
      <c r="I44" s="153">
        <v>1</v>
      </c>
      <c r="J44" s="370" t="s">
        <v>1791</v>
      </c>
      <c r="K44" s="371" t="s">
        <v>1790</v>
      </c>
      <c r="L44" s="153">
        <v>1</v>
      </c>
      <c r="M44" s="153" t="s">
        <v>1747</v>
      </c>
      <c r="N44" s="153">
        <v>0</v>
      </c>
      <c r="O44" s="153">
        <v>2</v>
      </c>
      <c r="P44" s="153" t="s">
        <v>1215</v>
      </c>
      <c r="Q44" s="153" t="s">
        <v>1216</v>
      </c>
      <c r="R44" s="153" t="s">
        <v>1127</v>
      </c>
      <c r="S44" s="153"/>
      <c r="T44" s="153" t="s">
        <v>24</v>
      </c>
      <c r="U44" s="153" t="s">
        <v>1539</v>
      </c>
      <c r="V44" s="153" t="s">
        <v>23</v>
      </c>
      <c r="W44" s="153" t="s">
        <v>1694</v>
      </c>
      <c r="X44" s="153" t="s">
        <v>1213</v>
      </c>
      <c r="Y44" s="153" t="s">
        <v>24</v>
      </c>
      <c r="Z44" s="153"/>
      <c r="AA44" s="153"/>
      <c r="AB44" s="153" t="s">
        <v>1806</v>
      </c>
      <c r="AC44" s="536"/>
      <c r="AD44" s="536">
        <v>1</v>
      </c>
      <c r="AE44" s="536">
        <v>2</v>
      </c>
      <c r="AF44" s="165">
        <v>0</v>
      </c>
      <c r="AG44" s="166" t="s">
        <v>7231</v>
      </c>
      <c r="AH44" s="509" t="s">
        <v>7266</v>
      </c>
      <c r="AI44" s="120">
        <v>4</v>
      </c>
      <c r="AJ44" s="120"/>
      <c r="AK44" s="206"/>
      <c r="AL44" s="372">
        <v>0</v>
      </c>
      <c r="AM44" s="207"/>
      <c r="AN44" s="120"/>
      <c r="AO44" s="120"/>
      <c r="AP44" s="120"/>
      <c r="AQ44" s="120"/>
      <c r="AR44" s="120"/>
      <c r="AS44" s="120"/>
      <c r="AT44" s="120"/>
      <c r="AU44" s="120"/>
      <c r="AV44" s="120"/>
      <c r="AW44" s="120" t="s">
        <v>3312</v>
      </c>
      <c r="AX44" s="120"/>
      <c r="AY44" s="120"/>
      <c r="AZ44" s="755" t="s">
        <v>1283</v>
      </c>
      <c r="BA44" s="120">
        <v>1</v>
      </c>
      <c r="BB44" s="120">
        <v>0</v>
      </c>
      <c r="BC44" s="120"/>
      <c r="BD44" s="755"/>
      <c r="BE44" s="755"/>
      <c r="BF44" s="120"/>
      <c r="BG44" s="120"/>
      <c r="BH44" s="377"/>
      <c r="BI44" s="377"/>
      <c r="BJ44" s="373"/>
      <c r="BK44" s="373"/>
      <c r="BL44" s="373"/>
      <c r="BM44" s="373"/>
      <c r="BN44" s="373"/>
      <c r="BO44" s="373"/>
      <c r="BP44" s="373">
        <v>1</v>
      </c>
      <c r="BQ44" s="373"/>
      <c r="BR44" s="373"/>
      <c r="BS44" s="373"/>
      <c r="BT44" s="373"/>
      <c r="BU44" s="373"/>
      <c r="BV44" s="373"/>
      <c r="BW44" s="599"/>
      <c r="BX44" s="374"/>
      <c r="BY44" s="374"/>
      <c r="BZ44" s="374"/>
      <c r="CA44" s="510"/>
      <c r="CB44" s="510"/>
      <c r="CC44" s="510"/>
      <c r="CD44" s="120"/>
      <c r="CE44" s="120"/>
      <c r="CF44" s="120"/>
      <c r="CG44" s="120"/>
      <c r="CH44" s="755"/>
      <c r="CI44" s="120"/>
      <c r="CJ44" s="120"/>
      <c r="CK44" s="120"/>
      <c r="CL44" s="120"/>
      <c r="CM44" s="375" t="s">
        <v>24</v>
      </c>
      <c r="CN44" s="380"/>
      <c r="CO44" s="380"/>
      <c r="CP44" s="380"/>
      <c r="CQ44" s="380"/>
      <c r="CR44" s="380"/>
      <c r="CS44" s="380"/>
      <c r="CT44" s="380"/>
      <c r="CU44" s="380"/>
      <c r="CV44" s="380"/>
      <c r="CW44" s="380"/>
      <c r="CX44" s="376"/>
      <c r="CY44" s="120"/>
      <c r="CZ44" s="120"/>
      <c r="DA44" s="120"/>
      <c r="DB44" s="376"/>
      <c r="DC44" s="120"/>
      <c r="DD44" s="120"/>
      <c r="DE44" s="120"/>
      <c r="DF44" s="515"/>
      <c r="DG44" s="513"/>
      <c r="DH44" s="376"/>
      <c r="DI44" s="384"/>
      <c r="DJ44" s="384"/>
      <c r="DK44" s="384"/>
      <c r="DL44" s="709"/>
      <c r="DM44" s="384"/>
      <c r="DN44" s="384"/>
      <c r="DO44" s="384"/>
      <c r="DP44" s="375"/>
      <c r="DQ44" s="377"/>
      <c r="DR44" s="1182"/>
      <c r="DS44" s="956"/>
      <c r="DT44" s="709"/>
      <c r="DU44" s="384"/>
      <c r="DV44" s="384"/>
      <c r="DW44" s="384"/>
      <c r="DX44" s="633"/>
      <c r="DY44" s="384"/>
      <c r="DZ44" s="384"/>
      <c r="EA44" s="384"/>
      <c r="EB44" s="380"/>
      <c r="EC44" s="120"/>
      <c r="ED44" s="384"/>
      <c r="EE44" s="384"/>
      <c r="EF44" s="384"/>
      <c r="EG44" s="384"/>
      <c r="EH44" s="384"/>
      <c r="EI44" s="384"/>
      <c r="EJ44" s="384"/>
      <c r="EK44" s="384"/>
      <c r="EL44" s="380"/>
      <c r="EM44" s="120"/>
      <c r="EN44" s="1012"/>
      <c r="EO44" s="384"/>
      <c r="EP44" s="384"/>
      <c r="EQ44" s="384"/>
      <c r="ER44" s="683"/>
      <c r="ES44" s="683"/>
      <c r="ET44" s="727"/>
      <c r="EU44" s="384"/>
      <c r="EV44" s="683"/>
      <c r="EW44" s="384"/>
      <c r="EX44" s="384"/>
      <c r="EY44" s="384"/>
      <c r="EZ44" s="727"/>
      <c r="FA44" s="384"/>
      <c r="FB44" s="384"/>
      <c r="FC44" s="384"/>
      <c r="FD44" s="727"/>
      <c r="FE44" s="384"/>
      <c r="FF44" s="384"/>
      <c r="FG44" s="384"/>
      <c r="FH44" s="384"/>
      <c r="FI44" s="384"/>
      <c r="FJ44" s="384"/>
    </row>
    <row r="45" spans="1:166" s="229" customFormat="1" ht="16" hidden="1" customHeight="1">
      <c r="A45" s="153" t="s">
        <v>104</v>
      </c>
      <c r="B45" s="618">
        <v>77</v>
      </c>
      <c r="C45" s="618">
        <v>9</v>
      </c>
      <c r="D45" s="618"/>
      <c r="E45" s="610" t="s">
        <v>1932</v>
      </c>
      <c r="F45" s="368" t="s">
        <v>2150</v>
      </c>
      <c r="G45" s="369">
        <v>2015</v>
      </c>
      <c r="H45" s="153">
        <v>25915799</v>
      </c>
      <c r="I45" s="153">
        <v>1</v>
      </c>
      <c r="J45" s="370"/>
      <c r="K45" s="371"/>
      <c r="L45" s="153">
        <v>1</v>
      </c>
      <c r="M45" s="153"/>
      <c r="N45" s="153">
        <v>1</v>
      </c>
      <c r="O45" s="153">
        <v>1</v>
      </c>
      <c r="P45" s="153" t="s">
        <v>370</v>
      </c>
      <c r="Q45" s="153" t="s">
        <v>1147</v>
      </c>
      <c r="R45" s="153" t="s">
        <v>369</v>
      </c>
      <c r="S45" s="153"/>
      <c r="T45" s="153"/>
      <c r="U45" s="153"/>
      <c r="V45" s="153"/>
      <c r="W45" s="153"/>
      <c r="X45" s="153" t="s">
        <v>368</v>
      </c>
      <c r="Y45" s="153"/>
      <c r="Z45" s="153"/>
      <c r="AA45" s="153"/>
      <c r="AB45" s="153"/>
      <c r="AC45" s="536"/>
      <c r="AD45" s="536">
        <v>1</v>
      </c>
      <c r="AE45" s="536">
        <v>2</v>
      </c>
      <c r="AF45" s="165">
        <v>0</v>
      </c>
      <c r="AG45" s="166" t="s">
        <v>7471</v>
      </c>
      <c r="AH45" s="509" t="s">
        <v>7273</v>
      </c>
      <c r="AI45" s="120"/>
      <c r="AJ45" s="120"/>
      <c r="AK45" s="206" t="s">
        <v>3893</v>
      </c>
      <c r="AL45" s="372"/>
      <c r="AM45" s="207"/>
      <c r="AN45" s="120"/>
      <c r="AO45" s="120"/>
      <c r="AP45" s="120"/>
      <c r="AQ45" s="120"/>
      <c r="AR45" s="120"/>
      <c r="AS45" s="120"/>
      <c r="AT45" s="683"/>
      <c r="AU45" s="120"/>
      <c r="AV45" s="120"/>
      <c r="AW45" s="120"/>
      <c r="AX45" s="120"/>
      <c r="AY45" s="120"/>
      <c r="AZ45" s="755"/>
      <c r="BA45" s="120"/>
      <c r="BB45" s="120"/>
      <c r="BC45" s="120"/>
      <c r="BD45" s="755"/>
      <c r="BE45" s="755"/>
      <c r="BF45" s="120"/>
      <c r="BG45" s="120"/>
      <c r="BH45" s="377"/>
      <c r="BI45" s="377"/>
      <c r="BJ45" s="373"/>
      <c r="BK45" s="373"/>
      <c r="BL45" s="373"/>
      <c r="BM45" s="373"/>
      <c r="BN45" s="373"/>
      <c r="BO45" s="373"/>
      <c r="BP45" s="373">
        <v>1</v>
      </c>
      <c r="BQ45" s="373"/>
      <c r="BR45" s="373"/>
      <c r="BS45" s="373"/>
      <c r="BT45" s="373"/>
      <c r="BU45" s="373"/>
      <c r="BV45" s="373"/>
      <c r="BW45" s="599"/>
      <c r="BX45" s="374"/>
      <c r="BY45" s="374"/>
      <c r="BZ45" s="374"/>
      <c r="CA45" s="510"/>
      <c r="CB45" s="510"/>
      <c r="CC45" s="510"/>
      <c r="CD45" s="120"/>
      <c r="CE45" s="120"/>
      <c r="CF45" s="120"/>
      <c r="CG45" s="120"/>
      <c r="CH45" s="755"/>
      <c r="CI45" s="120"/>
      <c r="CJ45" s="120"/>
      <c r="CK45" s="120"/>
      <c r="CL45" s="120"/>
      <c r="CM45" s="375" t="s">
        <v>24</v>
      </c>
      <c r="CN45" s="380"/>
      <c r="CO45" s="380"/>
      <c r="CP45" s="380"/>
      <c r="CQ45" s="380"/>
      <c r="CR45" s="380"/>
      <c r="CS45" s="380"/>
      <c r="CT45" s="380"/>
      <c r="CU45" s="380"/>
      <c r="CV45" s="380"/>
      <c r="CW45" s="380"/>
      <c r="CX45" s="376"/>
      <c r="CY45" s="683"/>
      <c r="CZ45" s="120"/>
      <c r="DA45" s="120"/>
      <c r="DB45" s="376"/>
      <c r="DC45" s="120"/>
      <c r="DD45" s="120"/>
      <c r="DE45" s="120"/>
      <c r="DF45" s="515"/>
      <c r="DG45" s="513"/>
      <c r="DH45" s="727"/>
      <c r="DI45" s="683"/>
      <c r="DJ45" s="384"/>
      <c r="DK45" s="384"/>
      <c r="DL45" s="727"/>
      <c r="DM45" s="384"/>
      <c r="DN45" s="384"/>
      <c r="DO45" s="384"/>
      <c r="DP45" s="375"/>
      <c r="DQ45" s="377"/>
      <c r="DR45" s="1182"/>
      <c r="DS45" s="956"/>
      <c r="DT45" s="727"/>
      <c r="DU45" s="683"/>
      <c r="DV45" s="384"/>
      <c r="DW45" s="384"/>
      <c r="DX45" s="384"/>
      <c r="DY45" s="384"/>
      <c r="DZ45" s="384"/>
      <c r="EA45" s="384"/>
      <c r="EB45" s="380"/>
      <c r="EC45" s="120"/>
      <c r="ED45" s="384"/>
      <c r="EE45" s="683"/>
      <c r="EF45" s="384"/>
      <c r="EG45" s="384"/>
      <c r="EH45" s="384"/>
      <c r="EI45" s="384"/>
      <c r="EJ45" s="384"/>
      <c r="EK45" s="384"/>
      <c r="EL45" s="380"/>
      <c r="EM45" s="120"/>
      <c r="EN45" s="1012"/>
      <c r="EO45" s="384"/>
      <c r="EP45" s="384"/>
      <c r="EQ45" s="384"/>
      <c r="ER45" s="384"/>
      <c r="ES45" s="384"/>
      <c r="ET45" s="727"/>
      <c r="EU45" s="384"/>
      <c r="EV45" s="384"/>
      <c r="EW45" s="384"/>
      <c r="EX45" s="384"/>
      <c r="EY45" s="384"/>
      <c r="EZ45" s="727"/>
      <c r="FA45" s="384"/>
      <c r="FB45" s="384"/>
      <c r="FC45" s="384"/>
      <c r="FD45" s="727"/>
      <c r="FE45" s="384"/>
      <c r="FF45" s="384"/>
      <c r="FG45" s="384"/>
      <c r="FH45" s="384"/>
      <c r="FI45" s="384"/>
      <c r="FJ45" s="384"/>
    </row>
    <row r="46" spans="1:166" s="229" customFormat="1" ht="15" hidden="1" customHeight="1">
      <c r="A46" s="158" t="s">
        <v>1101</v>
      </c>
      <c r="B46" s="1535">
        <v>7</v>
      </c>
      <c r="C46" s="1535"/>
      <c r="D46" s="1535"/>
      <c r="E46" s="1095" t="s">
        <v>2056</v>
      </c>
      <c r="F46" s="711" t="s">
        <v>2300</v>
      </c>
      <c r="G46" s="1096">
        <v>2015</v>
      </c>
      <c r="H46" s="158">
        <v>26210936</v>
      </c>
      <c r="I46" s="158">
        <v>1</v>
      </c>
      <c r="J46" s="158">
        <v>1</v>
      </c>
      <c r="K46" s="158"/>
      <c r="L46" s="158">
        <v>1</v>
      </c>
      <c r="M46" s="158"/>
      <c r="N46" s="158">
        <v>1</v>
      </c>
      <c r="O46" s="158">
        <v>2</v>
      </c>
      <c r="P46" s="158" t="s">
        <v>1220</v>
      </c>
      <c r="Q46" s="158" t="s">
        <v>1224</v>
      </c>
      <c r="R46" s="158" t="s">
        <v>1127</v>
      </c>
      <c r="S46" s="158"/>
      <c r="T46" s="158" t="s">
        <v>1217</v>
      </c>
      <c r="U46" s="158"/>
      <c r="V46" s="158"/>
      <c r="W46" s="158" t="s">
        <v>1218</v>
      </c>
      <c r="X46" s="158" t="s">
        <v>1219</v>
      </c>
      <c r="Y46" s="158"/>
      <c r="Z46" s="158"/>
      <c r="AA46" s="158" t="s">
        <v>1655</v>
      </c>
      <c r="AB46" s="158" t="s">
        <v>1654</v>
      </c>
      <c r="AC46" s="800"/>
      <c r="AD46" s="536">
        <v>1</v>
      </c>
      <c r="AE46" s="536">
        <v>2</v>
      </c>
      <c r="AF46" s="576">
        <v>0</v>
      </c>
      <c r="AG46" s="577" t="s">
        <v>7296</v>
      </c>
      <c r="AH46" s="509" t="s">
        <v>7264</v>
      </c>
      <c r="AI46" s="734">
        <v>4</v>
      </c>
      <c r="AJ46" s="734"/>
      <c r="AK46" s="739" t="s">
        <v>2602</v>
      </c>
      <c r="AL46" s="372">
        <v>1</v>
      </c>
      <c r="AM46" s="724">
        <v>1</v>
      </c>
      <c r="AN46" s="734" t="s">
        <v>2600</v>
      </c>
      <c r="AO46" s="734" t="s">
        <v>2601</v>
      </c>
      <c r="AP46" s="734" t="s">
        <v>2601</v>
      </c>
      <c r="AQ46" s="734" t="s">
        <v>803</v>
      </c>
      <c r="AR46" s="734" t="s">
        <v>803</v>
      </c>
      <c r="AS46" s="734" t="s">
        <v>2468</v>
      </c>
      <c r="AT46" s="734" t="s">
        <v>24</v>
      </c>
      <c r="AU46" s="734" t="s">
        <v>2468</v>
      </c>
      <c r="AV46" s="734" t="s">
        <v>24</v>
      </c>
      <c r="AW46" s="734" t="s">
        <v>2599</v>
      </c>
      <c r="AX46" s="734"/>
      <c r="AY46" s="734"/>
      <c r="AZ46" s="755" t="s">
        <v>7318</v>
      </c>
      <c r="BA46" s="734">
        <v>0</v>
      </c>
      <c r="BB46" s="120" t="s">
        <v>3343</v>
      </c>
      <c r="BC46" s="734"/>
      <c r="BD46" s="755"/>
      <c r="BE46" s="755"/>
      <c r="BF46" s="734" t="s">
        <v>1130</v>
      </c>
      <c r="BG46" s="734" t="s">
        <v>2554</v>
      </c>
      <c r="BH46" s="372"/>
      <c r="BI46" s="372"/>
      <c r="BJ46" s="735">
        <v>1</v>
      </c>
      <c r="BK46" s="735"/>
      <c r="BL46" s="735"/>
      <c r="BM46" s="735"/>
      <c r="BN46" s="735"/>
      <c r="BO46" s="735"/>
      <c r="BP46" s="735"/>
      <c r="BQ46" s="735"/>
      <c r="BR46" s="735"/>
      <c r="BS46" s="735"/>
      <c r="BT46" s="735"/>
      <c r="BU46" s="735"/>
      <c r="BV46" s="735"/>
      <c r="BW46" s="735" t="s">
        <v>2609</v>
      </c>
      <c r="BX46" s="374" t="s">
        <v>6598</v>
      </c>
      <c r="BY46" s="374"/>
      <c r="BZ46" s="374"/>
      <c r="CA46" s="510"/>
      <c r="CB46" s="510"/>
      <c r="CC46" s="510"/>
      <c r="CD46" s="734" t="s">
        <v>1876</v>
      </c>
      <c r="CE46" s="734" t="s">
        <v>2608</v>
      </c>
      <c r="CF46" s="734"/>
      <c r="CG46" s="734" t="s">
        <v>1501</v>
      </c>
      <c r="CH46" s="755" t="s">
        <v>1488</v>
      </c>
      <c r="CI46" s="734" t="s">
        <v>2606</v>
      </c>
      <c r="CJ46" s="734"/>
      <c r="CK46" s="734" t="s">
        <v>2659</v>
      </c>
      <c r="CL46" s="120" t="s">
        <v>2659</v>
      </c>
      <c r="CM46" s="740" t="s">
        <v>2653</v>
      </c>
      <c r="CN46" s="741" t="s">
        <v>6627</v>
      </c>
      <c r="CO46" s="741"/>
      <c r="CP46" s="741"/>
      <c r="CQ46" s="741"/>
      <c r="CR46" s="741"/>
      <c r="CS46" s="741"/>
      <c r="CT46" s="741"/>
      <c r="CU46" s="741"/>
      <c r="CV46" s="741"/>
      <c r="CW46" s="741"/>
      <c r="CX46" s="736" t="s">
        <v>2612</v>
      </c>
      <c r="CY46" s="742">
        <v>33.714100000000002</v>
      </c>
      <c r="CZ46" s="734" t="s">
        <v>24</v>
      </c>
      <c r="DA46" s="742">
        <f>37.6124-Table66[[#This Row],[Data_Outcome1_M]]</f>
        <v>3.898299999999999</v>
      </c>
      <c r="DB46" s="735" t="s">
        <v>2615</v>
      </c>
      <c r="DC46" s="734">
        <v>18.7044</v>
      </c>
      <c r="DD46" s="734" t="s">
        <v>24</v>
      </c>
      <c r="DE46" s="734">
        <f>22.4081-Table66[[#This Row],[Data_Outcome2_M]]</f>
        <v>3.7037000000000013</v>
      </c>
      <c r="DF46" s="515" t="s">
        <v>2646</v>
      </c>
      <c r="DG46" s="513" t="s">
        <v>2415</v>
      </c>
      <c r="DH46" s="819" t="s">
        <v>2617</v>
      </c>
      <c r="DI46" s="734">
        <v>9.8058499999999995</v>
      </c>
      <c r="DJ46" s="778" t="s">
        <v>24</v>
      </c>
      <c r="DK46" s="734">
        <f>13.5656-Table66[[#This Row],[Data_Outcome3_M]]</f>
        <v>3.7597500000000004</v>
      </c>
      <c r="DL46" s="736" t="s">
        <v>2616</v>
      </c>
      <c r="DM46" s="778">
        <v>3.47533</v>
      </c>
      <c r="DN46" s="778" t="s">
        <v>24</v>
      </c>
      <c r="DO46" s="778">
        <f>7.08021-Table66[[#This Row],[Data_Outcome4_M]]</f>
        <v>3.6048800000000001</v>
      </c>
      <c r="DP46" s="737" t="s">
        <v>2647</v>
      </c>
      <c r="DQ46" s="372" t="s">
        <v>2415</v>
      </c>
      <c r="DR46" s="1182"/>
      <c r="DS46" s="956"/>
      <c r="DT46" s="1180"/>
      <c r="DU46" s="778"/>
      <c r="DV46" s="778"/>
      <c r="DW46" s="734"/>
      <c r="DX46" s="778"/>
      <c r="DY46" s="778"/>
      <c r="DZ46" s="778"/>
      <c r="EA46" s="778"/>
      <c r="EB46" s="738"/>
      <c r="EC46" s="734"/>
      <c r="ED46" s="778"/>
      <c r="EE46" s="778"/>
      <c r="EF46" s="778"/>
      <c r="EG46" s="778"/>
      <c r="EH46" s="778"/>
      <c r="EI46" s="778"/>
      <c r="EJ46" s="778"/>
      <c r="EK46" s="778"/>
      <c r="EL46" s="1181"/>
      <c r="EM46" s="778"/>
      <c r="EN46" s="1181"/>
      <c r="EO46" s="778"/>
      <c r="EP46" s="778"/>
      <c r="EQ46" s="778"/>
      <c r="ER46" s="778"/>
      <c r="ES46" s="778"/>
      <c r="ET46" s="1180"/>
      <c r="EU46" s="778"/>
      <c r="EV46" s="778"/>
      <c r="EW46" s="778"/>
      <c r="EX46" s="778"/>
      <c r="EY46" s="778"/>
      <c r="EZ46" s="1180"/>
      <c r="FA46" s="778"/>
      <c r="FB46" s="778"/>
      <c r="FC46" s="778"/>
      <c r="FD46" s="1180"/>
      <c r="FE46" s="778"/>
      <c r="FF46" s="778"/>
      <c r="FG46" s="778"/>
      <c r="FH46" s="778"/>
      <c r="FI46" s="778"/>
      <c r="FJ46" s="778" t="s">
        <v>2650</v>
      </c>
    </row>
    <row r="47" spans="1:166" s="229" customFormat="1" ht="15" hidden="1" customHeight="1">
      <c r="A47" s="158" t="s">
        <v>1101</v>
      </c>
      <c r="B47" s="1535">
        <v>7</v>
      </c>
      <c r="C47" s="1535"/>
      <c r="D47" s="1535"/>
      <c r="E47" s="1095" t="s">
        <v>2056</v>
      </c>
      <c r="F47" s="711" t="s">
        <v>2300</v>
      </c>
      <c r="G47" s="1096">
        <v>2015</v>
      </c>
      <c r="H47" s="158">
        <v>26210936</v>
      </c>
      <c r="I47" s="158">
        <v>1</v>
      </c>
      <c r="J47" s="158">
        <v>1</v>
      </c>
      <c r="K47" s="158"/>
      <c r="L47" s="158">
        <v>1</v>
      </c>
      <c r="M47" s="158"/>
      <c r="N47" s="158">
        <v>1</v>
      </c>
      <c r="O47" s="158">
        <v>2</v>
      </c>
      <c r="P47" s="158" t="s">
        <v>1220</v>
      </c>
      <c r="Q47" s="158" t="s">
        <v>1224</v>
      </c>
      <c r="R47" s="158" t="s">
        <v>1127</v>
      </c>
      <c r="S47" s="158"/>
      <c r="T47" s="158" t="s">
        <v>1217</v>
      </c>
      <c r="U47" s="158"/>
      <c r="V47" s="158"/>
      <c r="W47" s="158" t="s">
        <v>1218</v>
      </c>
      <c r="X47" s="158" t="s">
        <v>1219</v>
      </c>
      <c r="Y47" s="158"/>
      <c r="Z47" s="158"/>
      <c r="AA47" s="158" t="s">
        <v>1655</v>
      </c>
      <c r="AB47" s="158" t="s">
        <v>1654</v>
      </c>
      <c r="AC47" s="800"/>
      <c r="AD47" s="536">
        <v>1</v>
      </c>
      <c r="AE47" s="536">
        <v>2</v>
      </c>
      <c r="AF47" s="576">
        <v>0</v>
      </c>
      <c r="AG47" s="577" t="s">
        <v>7296</v>
      </c>
      <c r="AH47" s="509" t="s">
        <v>7264</v>
      </c>
      <c r="AI47" s="734">
        <v>4</v>
      </c>
      <c r="AJ47" s="734"/>
      <c r="AK47" s="739" t="s">
        <v>2602</v>
      </c>
      <c r="AL47" s="372">
        <v>1</v>
      </c>
      <c r="AM47" s="724">
        <v>1</v>
      </c>
      <c r="AN47" s="734" t="s">
        <v>2600</v>
      </c>
      <c r="AO47" s="734" t="s">
        <v>2601</v>
      </c>
      <c r="AP47" s="734" t="s">
        <v>2601</v>
      </c>
      <c r="AQ47" s="734" t="s">
        <v>803</v>
      </c>
      <c r="AR47" s="734" t="s">
        <v>803</v>
      </c>
      <c r="AS47" s="734" t="s">
        <v>2468</v>
      </c>
      <c r="AT47" s="734" t="s">
        <v>24</v>
      </c>
      <c r="AU47" s="734" t="s">
        <v>2468</v>
      </c>
      <c r="AV47" s="734" t="s">
        <v>24</v>
      </c>
      <c r="AW47" s="734" t="s">
        <v>2599</v>
      </c>
      <c r="AX47" s="734"/>
      <c r="AY47" s="734"/>
      <c r="AZ47" s="755" t="s">
        <v>7318</v>
      </c>
      <c r="BA47" s="734">
        <v>0</v>
      </c>
      <c r="BB47" s="120" t="s">
        <v>3343</v>
      </c>
      <c r="BC47" s="734"/>
      <c r="BD47" s="755"/>
      <c r="BE47" s="755"/>
      <c r="BF47" s="734" t="s">
        <v>1130</v>
      </c>
      <c r="BG47" s="734" t="s">
        <v>2554</v>
      </c>
      <c r="BH47" s="372"/>
      <c r="BI47" s="372"/>
      <c r="BJ47" s="735">
        <v>1</v>
      </c>
      <c r="BK47" s="735"/>
      <c r="BL47" s="735"/>
      <c r="BM47" s="735"/>
      <c r="BN47" s="735"/>
      <c r="BO47" s="735"/>
      <c r="BP47" s="735"/>
      <c r="BQ47" s="735"/>
      <c r="BR47" s="735"/>
      <c r="BS47" s="735"/>
      <c r="BT47" s="735"/>
      <c r="BU47" s="735"/>
      <c r="BV47" s="735"/>
      <c r="BW47" s="735" t="s">
        <v>2529</v>
      </c>
      <c r="BX47" s="736" t="s">
        <v>6597</v>
      </c>
      <c r="BY47" s="736"/>
      <c r="BZ47" s="736"/>
      <c r="CA47" s="510"/>
      <c r="CB47" s="510"/>
      <c r="CC47" s="510"/>
      <c r="CD47" s="734" t="s">
        <v>1876</v>
      </c>
      <c r="CE47" s="734" t="s">
        <v>2608</v>
      </c>
      <c r="CF47" s="734"/>
      <c r="CG47" s="734" t="s">
        <v>1501</v>
      </c>
      <c r="CH47" s="755" t="s">
        <v>1488</v>
      </c>
      <c r="CI47" s="734" t="s">
        <v>2606</v>
      </c>
      <c r="CJ47" s="734"/>
      <c r="CK47" s="734" t="s">
        <v>2659</v>
      </c>
      <c r="CL47" s="120" t="s">
        <v>2659</v>
      </c>
      <c r="CM47" s="737" t="s">
        <v>2652</v>
      </c>
      <c r="CN47" s="738" t="s">
        <v>24</v>
      </c>
      <c r="CO47" s="738"/>
      <c r="CP47" s="738"/>
      <c r="CQ47" s="738"/>
      <c r="CR47" s="738"/>
      <c r="CS47" s="738"/>
      <c r="CT47" s="738"/>
      <c r="CU47" s="738"/>
      <c r="CV47" s="738"/>
      <c r="CW47" s="738"/>
      <c r="CX47" s="736" t="s">
        <v>2611</v>
      </c>
      <c r="CY47" s="742">
        <v>81.508300000000006</v>
      </c>
      <c r="CZ47" s="734" t="s">
        <v>24</v>
      </c>
      <c r="DA47" s="742">
        <f>86.7722-Table66[[#This Row],[Data_Outcome1_M]]</f>
        <v>5.2638999999999925</v>
      </c>
      <c r="DB47" s="735" t="s">
        <v>2614</v>
      </c>
      <c r="DC47" s="742">
        <v>74.100099999999998</v>
      </c>
      <c r="DD47" s="734" t="s">
        <v>24</v>
      </c>
      <c r="DE47" s="742">
        <f>Table66[[#This Row],[Data_Outcome2_M]]-70.5917</f>
        <v>3.5083999999999946</v>
      </c>
      <c r="DF47" s="515" t="s">
        <v>2639</v>
      </c>
      <c r="DG47" s="513" t="s">
        <v>2480</v>
      </c>
      <c r="DH47" s="819" t="s">
        <v>2618</v>
      </c>
      <c r="DI47" s="734">
        <v>75.883600000000001</v>
      </c>
      <c r="DJ47" s="778" t="s">
        <v>24</v>
      </c>
      <c r="DK47" s="734">
        <f>80.1721-Table66[[#This Row],[Data_Outcome3_M]]</f>
        <v>4.2884999999999991</v>
      </c>
      <c r="DL47" s="736" t="s">
        <v>2619</v>
      </c>
      <c r="DM47" s="778">
        <v>65.162000000000006</v>
      </c>
      <c r="DN47" s="778" t="s">
        <v>24</v>
      </c>
      <c r="DO47" s="778">
        <f>Table66[[#This Row],[Data_Outcome4_M]]-60.484</f>
        <v>4.6780000000000044</v>
      </c>
      <c r="DP47" s="737" t="s">
        <v>2638</v>
      </c>
      <c r="DQ47" s="372" t="s">
        <v>2480</v>
      </c>
      <c r="DR47" s="1182"/>
      <c r="DS47" s="956"/>
      <c r="DT47" s="1180" t="s">
        <v>2620</v>
      </c>
      <c r="DU47" s="734">
        <v>64.021100000000004</v>
      </c>
      <c r="DV47" s="778" t="s">
        <v>24</v>
      </c>
      <c r="DW47" s="734">
        <f>70.4531-Table66[[#This Row],[Data_Outcome5_M]]</f>
        <v>6.4320000000000022</v>
      </c>
      <c r="DX47" s="778" t="s">
        <v>2621</v>
      </c>
      <c r="DY47" s="778">
        <v>47.842199999999998</v>
      </c>
      <c r="DZ47" s="778" t="s">
        <v>24</v>
      </c>
      <c r="EA47" s="778">
        <f>52.91-Table66[[#This Row],[Data_Outcome6_M]]</f>
        <v>5.0677999999999983</v>
      </c>
      <c r="EB47" s="1181" t="s">
        <v>2641</v>
      </c>
      <c r="EC47" s="778" t="s">
        <v>2415</v>
      </c>
      <c r="ED47" s="1180" t="s">
        <v>2622</v>
      </c>
      <c r="EE47" s="778">
        <v>35.394100000000002</v>
      </c>
      <c r="EF47" s="778" t="s">
        <v>24</v>
      </c>
      <c r="EG47" s="778">
        <f>40.0725-Table66[[#This Row],[Data_Outcome7_M]]</f>
        <v>4.6783999999999963</v>
      </c>
      <c r="EH47" s="1180" t="s">
        <v>2623</v>
      </c>
      <c r="EI47" s="778">
        <v>30.910699999999999</v>
      </c>
      <c r="EJ47" s="778" t="s">
        <v>24</v>
      </c>
      <c r="EK47" s="778">
        <f>Table66[[#This Row],[Data_Outcome8_M]]-27.7918</f>
        <v>3.1189</v>
      </c>
      <c r="EL47" s="1181" t="s">
        <v>2642</v>
      </c>
      <c r="EM47" s="778" t="s">
        <v>2643</v>
      </c>
      <c r="EN47" s="1181"/>
      <c r="EO47" s="778"/>
      <c r="EP47" s="1180" t="s">
        <v>2624</v>
      </c>
      <c r="EQ47" s="778">
        <v>28.014600000000002</v>
      </c>
      <c r="ER47" s="778" t="s">
        <v>24</v>
      </c>
      <c r="ES47" s="778">
        <f>30.5488-Table66[[#This Row],[Data_Outcome9_M]]</f>
        <v>2.5341999999999985</v>
      </c>
      <c r="ET47" s="1180" t="s">
        <v>2625</v>
      </c>
      <c r="EU47" s="778">
        <v>15.149100000000001</v>
      </c>
      <c r="EV47" s="778" t="s">
        <v>24</v>
      </c>
      <c r="EW47" s="778">
        <f>Table66[[#This Row],[Data_Outcome10_M]]-12.615</f>
        <v>2.5341000000000005</v>
      </c>
      <c r="EX47" s="778" t="s">
        <v>2644</v>
      </c>
      <c r="EY47" s="778" t="s">
        <v>2415</v>
      </c>
      <c r="EZ47" s="1180" t="s">
        <v>2631</v>
      </c>
      <c r="FA47" s="778">
        <v>23.949400000000001</v>
      </c>
      <c r="FB47" s="778" t="s">
        <v>24</v>
      </c>
      <c r="FC47" s="778">
        <f>26.6785-Table66[[#This Row],[Data_Outcome11_M]]</f>
        <v>2.729099999999999</v>
      </c>
      <c r="FD47" s="1180" t="s">
        <v>2632</v>
      </c>
      <c r="FE47" s="778">
        <v>15.567</v>
      </c>
      <c r="FF47" s="778" t="s">
        <v>24</v>
      </c>
      <c r="FG47" s="778">
        <f>19.4656-Table66[[#This Row],[Data_Outcome12_M]]</f>
        <v>3.8985999999999983</v>
      </c>
      <c r="FH47" s="778" t="s">
        <v>2645</v>
      </c>
      <c r="FI47" s="778" t="s">
        <v>2415</v>
      </c>
      <c r="FJ47" s="778" t="s">
        <v>2651</v>
      </c>
    </row>
    <row r="48" spans="1:166" s="229" customFormat="1" ht="15" hidden="1" customHeight="1">
      <c r="A48" s="153" t="s">
        <v>1101</v>
      </c>
      <c r="B48" s="1535">
        <v>7</v>
      </c>
      <c r="C48" s="1535"/>
      <c r="D48" s="1535"/>
      <c r="E48" s="610" t="s">
        <v>2056</v>
      </c>
      <c r="F48" s="368" t="s">
        <v>2300</v>
      </c>
      <c r="G48" s="369">
        <v>2015</v>
      </c>
      <c r="H48" s="153">
        <v>26210936</v>
      </c>
      <c r="I48" s="153">
        <v>1</v>
      </c>
      <c r="J48" s="370">
        <v>1</v>
      </c>
      <c r="K48" s="371"/>
      <c r="L48" s="153">
        <v>1</v>
      </c>
      <c r="M48" s="153"/>
      <c r="N48" s="153">
        <v>1</v>
      </c>
      <c r="O48" s="153">
        <v>2</v>
      </c>
      <c r="P48" s="153" t="s">
        <v>1220</v>
      </c>
      <c r="Q48" s="153" t="s">
        <v>1224</v>
      </c>
      <c r="R48" s="153" t="s">
        <v>1127</v>
      </c>
      <c r="S48" s="153"/>
      <c r="T48" s="153" t="s">
        <v>1217</v>
      </c>
      <c r="U48" s="153"/>
      <c r="V48" s="153"/>
      <c r="W48" s="153" t="s">
        <v>1218</v>
      </c>
      <c r="X48" s="153" t="s">
        <v>1219</v>
      </c>
      <c r="Y48" s="153"/>
      <c r="Z48" s="153"/>
      <c r="AA48" s="153" t="s">
        <v>1655</v>
      </c>
      <c r="AB48" s="153" t="s">
        <v>1654</v>
      </c>
      <c r="AC48" s="536"/>
      <c r="AD48" s="536">
        <v>1</v>
      </c>
      <c r="AE48" s="536">
        <v>2</v>
      </c>
      <c r="AF48" s="576">
        <v>0</v>
      </c>
      <c r="AG48" s="577" t="s">
        <v>7296</v>
      </c>
      <c r="AH48" s="509" t="s">
        <v>7264</v>
      </c>
      <c r="AI48" s="120">
        <v>4</v>
      </c>
      <c r="AJ48" s="120"/>
      <c r="AK48" s="206" t="s">
        <v>2602</v>
      </c>
      <c r="AL48" s="372">
        <v>1</v>
      </c>
      <c r="AM48" s="207">
        <v>1</v>
      </c>
      <c r="AN48" s="120" t="s">
        <v>2600</v>
      </c>
      <c r="AO48" s="120" t="s">
        <v>2601</v>
      </c>
      <c r="AP48" s="120" t="s">
        <v>2601</v>
      </c>
      <c r="AQ48" s="120" t="s">
        <v>803</v>
      </c>
      <c r="AR48" s="120" t="s">
        <v>803</v>
      </c>
      <c r="AS48" s="120" t="s">
        <v>2468</v>
      </c>
      <c r="AT48" s="120" t="s">
        <v>24</v>
      </c>
      <c r="AU48" s="120" t="s">
        <v>2468</v>
      </c>
      <c r="AV48" s="120" t="s">
        <v>24</v>
      </c>
      <c r="AW48" s="120" t="s">
        <v>2599</v>
      </c>
      <c r="AX48" s="120"/>
      <c r="AY48" s="120"/>
      <c r="AZ48" s="755" t="s">
        <v>7318</v>
      </c>
      <c r="BA48" s="120">
        <v>0</v>
      </c>
      <c r="BB48" s="120" t="s">
        <v>3343</v>
      </c>
      <c r="BC48" s="120"/>
      <c r="BD48" s="755"/>
      <c r="BE48" s="755"/>
      <c r="BF48" s="120" t="s">
        <v>1130</v>
      </c>
      <c r="BG48" s="734" t="s">
        <v>2554</v>
      </c>
      <c r="BH48" s="372"/>
      <c r="BI48" s="372"/>
      <c r="BJ48" s="373">
        <v>1</v>
      </c>
      <c r="BK48" s="373"/>
      <c r="BL48" s="373"/>
      <c r="BM48" s="373"/>
      <c r="BN48" s="373"/>
      <c r="BO48" s="373"/>
      <c r="BP48" s="373"/>
      <c r="BQ48" s="373"/>
      <c r="BR48" s="373"/>
      <c r="BS48" s="373"/>
      <c r="BT48" s="373"/>
      <c r="BU48" s="373"/>
      <c r="BV48" s="373"/>
      <c r="BW48" s="599" t="s">
        <v>2528</v>
      </c>
      <c r="BX48" s="374" t="s">
        <v>6596</v>
      </c>
      <c r="BY48" s="374"/>
      <c r="BZ48" s="374"/>
      <c r="CA48" s="510"/>
      <c r="CB48" s="510"/>
      <c r="CC48" s="510"/>
      <c r="CD48" s="120" t="s">
        <v>1876</v>
      </c>
      <c r="CE48" s="120" t="s">
        <v>2608</v>
      </c>
      <c r="CF48" s="120"/>
      <c r="CG48" s="120" t="s">
        <v>1501</v>
      </c>
      <c r="CH48" s="755" t="s">
        <v>1488</v>
      </c>
      <c r="CI48" s="120" t="s">
        <v>2606</v>
      </c>
      <c r="CJ48" s="120"/>
      <c r="CK48" s="120" t="s">
        <v>2659</v>
      </c>
      <c r="CL48" s="120" t="s">
        <v>2659</v>
      </c>
      <c r="CM48" s="375" t="s">
        <v>2648</v>
      </c>
      <c r="CN48" s="380">
        <v>0</v>
      </c>
      <c r="CO48" s="380"/>
      <c r="CP48" s="380"/>
      <c r="CQ48" s="380"/>
      <c r="CR48" s="380"/>
      <c r="CS48" s="380"/>
      <c r="CT48" s="380"/>
      <c r="CU48" s="380"/>
      <c r="CV48" s="380"/>
      <c r="CW48" s="380"/>
      <c r="CX48" s="376" t="s">
        <v>2610</v>
      </c>
      <c r="CY48" s="683">
        <v>12.2875</v>
      </c>
      <c r="CZ48" s="120" t="s">
        <v>24</v>
      </c>
      <c r="DA48" s="120">
        <f>15.6006-Table66[[#This Row],[Data_Outcome1_M]]</f>
        <v>3.3131000000000004</v>
      </c>
      <c r="DB48" s="376" t="s">
        <v>2613</v>
      </c>
      <c r="DC48" s="120">
        <v>12.233000000000001</v>
      </c>
      <c r="DD48" s="120" t="s">
        <v>24</v>
      </c>
      <c r="DE48" s="120">
        <f>14.7573-Table66[[#This Row],[Data_Outcome2_M]]</f>
        <v>2.5243000000000002</v>
      </c>
      <c r="DF48" s="515" t="s">
        <v>2640</v>
      </c>
      <c r="DG48" s="513" t="s">
        <v>2480</v>
      </c>
      <c r="DH48" s="376" t="s">
        <v>24</v>
      </c>
      <c r="DI48" s="683" t="s">
        <v>24</v>
      </c>
      <c r="DJ48" s="384"/>
      <c r="DK48" s="120"/>
      <c r="DL48" s="727"/>
      <c r="DM48" s="120"/>
      <c r="DN48" s="384"/>
      <c r="DO48" s="120"/>
      <c r="DP48" s="375"/>
      <c r="DQ48" s="377"/>
      <c r="DR48" s="1182"/>
      <c r="DS48" s="956"/>
      <c r="DT48" s="727"/>
      <c r="DU48" s="120"/>
      <c r="DV48" s="384"/>
      <c r="DW48" s="120"/>
      <c r="DX48" s="384"/>
      <c r="DY48" s="384"/>
      <c r="DZ48" s="384"/>
      <c r="EA48" s="384"/>
      <c r="EB48" s="1012"/>
      <c r="EC48" s="384"/>
      <c r="ED48" s="384"/>
      <c r="EE48" s="384"/>
      <c r="EF48" s="384"/>
      <c r="EG48" s="384"/>
      <c r="EH48" s="384"/>
      <c r="EI48" s="384"/>
      <c r="EJ48" s="384"/>
      <c r="EK48" s="384"/>
      <c r="EL48" s="1012"/>
      <c r="EM48" s="384"/>
      <c r="EN48" s="1012"/>
      <c r="EO48" s="384"/>
      <c r="EP48" s="384"/>
      <c r="EQ48" s="384"/>
      <c r="ER48" s="384"/>
      <c r="ES48" s="384"/>
      <c r="ET48" s="727"/>
      <c r="EU48" s="384"/>
      <c r="EV48" s="384"/>
      <c r="EW48" s="384"/>
      <c r="EX48" s="384"/>
      <c r="EY48" s="384"/>
      <c r="EZ48" s="727"/>
      <c r="FA48" s="384"/>
      <c r="FB48" s="384"/>
      <c r="FC48" s="384"/>
      <c r="FD48" s="727"/>
      <c r="FE48" s="384"/>
      <c r="FF48" s="384"/>
      <c r="FG48" s="384"/>
      <c r="FH48" s="384"/>
      <c r="FI48" s="384"/>
      <c r="FJ48" s="384"/>
    </row>
    <row r="49" spans="1:166" s="229" customFormat="1" ht="15" hidden="1" customHeight="1">
      <c r="A49" s="158" t="s">
        <v>105</v>
      </c>
      <c r="B49" s="1094">
        <v>78</v>
      </c>
      <c r="C49" s="1094">
        <v>10</v>
      </c>
      <c r="D49" s="1094"/>
      <c r="E49" s="1095" t="s">
        <v>1933</v>
      </c>
      <c r="F49" s="711" t="s">
        <v>2151</v>
      </c>
      <c r="G49" s="1096">
        <v>2008</v>
      </c>
      <c r="H49" s="158">
        <v>17352380</v>
      </c>
      <c r="I49" s="158">
        <v>1</v>
      </c>
      <c r="J49" s="158"/>
      <c r="K49" s="158"/>
      <c r="L49" s="158">
        <v>1</v>
      </c>
      <c r="M49" s="158"/>
      <c r="N49" s="158">
        <v>1</v>
      </c>
      <c r="O49" s="158">
        <v>1</v>
      </c>
      <c r="P49" s="158" t="s">
        <v>73</v>
      </c>
      <c r="Q49" s="158" t="s">
        <v>1147</v>
      </c>
      <c r="R49" s="158" t="s">
        <v>25</v>
      </c>
      <c r="S49" s="158"/>
      <c r="T49" s="158"/>
      <c r="U49" s="158"/>
      <c r="V49" s="158"/>
      <c r="W49" s="158" t="s">
        <v>371</v>
      </c>
      <c r="X49" s="158"/>
      <c r="Y49" s="158"/>
      <c r="Z49" s="158"/>
      <c r="AA49" s="158"/>
      <c r="AB49" s="158" t="s">
        <v>372</v>
      </c>
      <c r="AC49" s="800"/>
      <c r="AD49" s="536">
        <v>1</v>
      </c>
      <c r="AE49" s="536">
        <v>2</v>
      </c>
      <c r="AF49" s="743">
        <v>0</v>
      </c>
      <c r="AG49" s="744" t="s">
        <v>7748</v>
      </c>
      <c r="AH49" s="509" t="s">
        <v>7722</v>
      </c>
      <c r="AI49" s="734">
        <v>2</v>
      </c>
      <c r="AJ49" s="734"/>
      <c r="AK49" s="739" t="s">
        <v>3902</v>
      </c>
      <c r="AL49" s="372" t="s">
        <v>3926</v>
      </c>
      <c r="AM49" s="724">
        <v>0</v>
      </c>
      <c r="AN49" s="734">
        <f>Table66[[#This Row],[Data_Subjects_n_ptsd]]+Table66[[#This Row],[Data_Subjects_n_control]]</f>
        <v>39.5</v>
      </c>
      <c r="AO49" s="734">
        <f>29/2</f>
        <v>14.5</v>
      </c>
      <c r="AP49" s="734">
        <v>25</v>
      </c>
      <c r="AQ49" s="734" t="s">
        <v>3905</v>
      </c>
      <c r="AR49" s="734" t="s">
        <v>3905</v>
      </c>
      <c r="AS49" s="734" t="s">
        <v>7483</v>
      </c>
      <c r="AT49" s="734" t="s">
        <v>3905</v>
      </c>
      <c r="AU49" s="734" t="s">
        <v>7483</v>
      </c>
      <c r="AV49" s="734" t="s">
        <v>3905</v>
      </c>
      <c r="AW49" s="734" t="s">
        <v>1874</v>
      </c>
      <c r="AX49" s="734"/>
      <c r="AY49" s="734"/>
      <c r="AZ49" s="755" t="s">
        <v>1874</v>
      </c>
      <c r="BA49" s="734" t="s">
        <v>24</v>
      </c>
      <c r="BB49" s="734" t="s">
        <v>24</v>
      </c>
      <c r="BC49" s="734" t="s">
        <v>2423</v>
      </c>
      <c r="BD49" s="755" t="s">
        <v>7524</v>
      </c>
      <c r="BE49" s="755"/>
      <c r="BF49" s="734" t="s">
        <v>3835</v>
      </c>
      <c r="BG49" s="734" t="s">
        <v>3894</v>
      </c>
      <c r="BH49" s="372"/>
      <c r="BI49" s="372"/>
      <c r="BJ49" s="735"/>
      <c r="BK49" s="735"/>
      <c r="BL49" s="735"/>
      <c r="BM49" s="735"/>
      <c r="BN49" s="735"/>
      <c r="BO49" s="735"/>
      <c r="BP49" s="735">
        <v>1</v>
      </c>
      <c r="BQ49" s="735"/>
      <c r="BR49" s="735" t="s">
        <v>3840</v>
      </c>
      <c r="BS49" s="735"/>
      <c r="BT49" s="735"/>
      <c r="BU49" s="735"/>
      <c r="BV49" s="735"/>
      <c r="BW49" s="735" t="s">
        <v>7734</v>
      </c>
      <c r="BX49" s="736" t="s">
        <v>7735</v>
      </c>
      <c r="BY49" s="799" t="s">
        <v>7616</v>
      </c>
      <c r="BZ49" s="374" t="s">
        <v>803</v>
      </c>
      <c r="CA49" s="511">
        <v>2</v>
      </c>
      <c r="CB49" s="511" t="s">
        <v>7556</v>
      </c>
      <c r="CC49" s="511" t="s">
        <v>24</v>
      </c>
      <c r="CD49" s="734" t="s">
        <v>1876</v>
      </c>
      <c r="CE49" s="734" t="s">
        <v>3901</v>
      </c>
      <c r="CF49" s="786"/>
      <c r="CG49" s="734" t="s">
        <v>7339</v>
      </c>
      <c r="CH49" s="755" t="s">
        <v>7340</v>
      </c>
      <c r="CI49" s="734" t="s">
        <v>24</v>
      </c>
      <c r="CJ49" s="734">
        <v>0</v>
      </c>
      <c r="CK49" s="734" t="s">
        <v>3927</v>
      </c>
      <c r="CL49" s="734" t="s">
        <v>6644</v>
      </c>
      <c r="CM49" s="737" t="s">
        <v>3933</v>
      </c>
      <c r="CN49" s="738" t="s">
        <v>24</v>
      </c>
      <c r="CO49" s="738">
        <v>5</v>
      </c>
      <c r="CP49" s="738">
        <v>1</v>
      </c>
      <c r="CQ49" s="738">
        <v>1</v>
      </c>
      <c r="CR49" s="738">
        <v>1</v>
      </c>
      <c r="CS49" s="738"/>
      <c r="CT49" s="738"/>
      <c r="CU49" s="738"/>
      <c r="CV49" s="738"/>
      <c r="CW49" s="738"/>
      <c r="CX49" s="736" t="s">
        <v>3928</v>
      </c>
      <c r="CY49" s="734">
        <v>9.2552500000000002</v>
      </c>
      <c r="CZ49" s="734" t="s">
        <v>24</v>
      </c>
      <c r="DA49" s="734">
        <f>9.91556-Table66[[#This Row],[Data_Outcome1_M]]</f>
        <v>0.66030999999999906</v>
      </c>
      <c r="DB49" s="736" t="s">
        <v>3929</v>
      </c>
      <c r="DC49" s="734">
        <v>12.444599999999999</v>
      </c>
      <c r="DD49" s="734" t="s">
        <v>24</v>
      </c>
      <c r="DE49" s="734">
        <f>13.4097-Table66[[#This Row],[Data_Outcome2_M]]</f>
        <v>0.9651000000000014</v>
      </c>
      <c r="DF49" s="621" t="s">
        <v>3932</v>
      </c>
      <c r="DG49" s="510" t="s">
        <v>3931</v>
      </c>
      <c r="DH49" s="1180"/>
      <c r="DI49" s="734"/>
      <c r="DJ49" s="778"/>
      <c r="DK49" s="734"/>
      <c r="DL49" s="1180"/>
      <c r="DM49" s="778"/>
      <c r="DN49" s="778"/>
      <c r="DO49" s="778"/>
      <c r="DP49" s="737"/>
      <c r="DQ49" s="372"/>
      <c r="DR49" s="868"/>
      <c r="DS49" s="956"/>
      <c r="DT49" s="1180"/>
      <c r="DU49" s="778"/>
      <c r="DV49" s="778"/>
      <c r="DW49" s="778"/>
      <c r="DX49" s="778"/>
      <c r="DY49" s="778"/>
      <c r="DZ49" s="778"/>
      <c r="EA49" s="778"/>
      <c r="EB49" s="1181"/>
      <c r="EC49" s="778"/>
      <c r="ED49" s="778"/>
      <c r="EE49" s="778"/>
      <c r="EF49" s="778"/>
      <c r="EG49" s="778"/>
      <c r="EH49" s="778"/>
      <c r="EI49" s="778"/>
      <c r="EJ49" s="778"/>
      <c r="EK49" s="778"/>
      <c r="EL49" s="1181"/>
      <c r="EM49" s="778"/>
      <c r="EN49" s="1181"/>
      <c r="EO49" s="778"/>
      <c r="EP49" s="778"/>
      <c r="EQ49" s="778"/>
      <c r="ER49" s="778"/>
      <c r="ES49" s="778"/>
      <c r="ET49" s="1180"/>
      <c r="EU49" s="778"/>
      <c r="EV49" s="778"/>
      <c r="EW49" s="778"/>
      <c r="EX49" s="778"/>
      <c r="EY49" s="778"/>
      <c r="EZ49" s="1180"/>
      <c r="FA49" s="778"/>
      <c r="FB49" s="778"/>
      <c r="FC49" s="778"/>
      <c r="FD49" s="1180"/>
      <c r="FE49" s="778"/>
      <c r="FF49" s="778"/>
      <c r="FG49" s="778"/>
      <c r="FH49" s="778"/>
      <c r="FI49" s="778"/>
      <c r="FJ49" s="778"/>
    </row>
    <row r="50" spans="1:166" s="229" customFormat="1" ht="15" hidden="1" customHeight="1">
      <c r="A50" s="158" t="s">
        <v>105</v>
      </c>
      <c r="B50" s="1094">
        <v>78</v>
      </c>
      <c r="C50" s="1094">
        <v>10</v>
      </c>
      <c r="D50" s="1094"/>
      <c r="E50" s="1095" t="s">
        <v>1933</v>
      </c>
      <c r="F50" s="711" t="s">
        <v>2151</v>
      </c>
      <c r="G50" s="1096">
        <v>2008</v>
      </c>
      <c r="H50" s="158">
        <v>17352380</v>
      </c>
      <c r="I50" s="158">
        <v>1</v>
      </c>
      <c r="J50" s="158"/>
      <c r="K50" s="158"/>
      <c r="L50" s="158">
        <v>1</v>
      </c>
      <c r="M50" s="158"/>
      <c r="N50" s="158">
        <v>1</v>
      </c>
      <c r="O50" s="158">
        <v>1</v>
      </c>
      <c r="P50" s="158" t="s">
        <v>73</v>
      </c>
      <c r="Q50" s="158" t="s">
        <v>1147</v>
      </c>
      <c r="R50" s="158" t="s">
        <v>25</v>
      </c>
      <c r="S50" s="158"/>
      <c r="T50" s="158"/>
      <c r="U50" s="158"/>
      <c r="V50" s="158"/>
      <c r="W50" s="158" t="s">
        <v>371</v>
      </c>
      <c r="X50" s="158"/>
      <c r="Y50" s="158"/>
      <c r="Z50" s="158"/>
      <c r="AA50" s="158"/>
      <c r="AB50" s="158" t="s">
        <v>372</v>
      </c>
      <c r="AC50" s="800"/>
      <c r="AD50" s="536">
        <v>1</v>
      </c>
      <c r="AE50" s="536">
        <v>2</v>
      </c>
      <c r="AF50" s="743">
        <v>0</v>
      </c>
      <c r="AG50" s="744" t="s">
        <v>7749</v>
      </c>
      <c r="AH50" s="509" t="s">
        <v>7722</v>
      </c>
      <c r="AI50" s="734">
        <v>2</v>
      </c>
      <c r="AJ50" s="734"/>
      <c r="AK50" s="739" t="s">
        <v>3902</v>
      </c>
      <c r="AL50" s="372" t="s">
        <v>3926</v>
      </c>
      <c r="AM50" s="724">
        <v>0</v>
      </c>
      <c r="AN50" s="734">
        <f>Table66[[#This Row],[Data_Subjects_n_ptsd]]+Table66[[#This Row],[Data_Subjects_n_control]]</f>
        <v>40.5</v>
      </c>
      <c r="AO50" s="734">
        <f>29/2</f>
        <v>14.5</v>
      </c>
      <c r="AP50" s="734">
        <v>26</v>
      </c>
      <c r="AQ50" s="734" t="s">
        <v>3905</v>
      </c>
      <c r="AR50" s="734" t="s">
        <v>3905</v>
      </c>
      <c r="AS50" s="734" t="s">
        <v>7483</v>
      </c>
      <c r="AT50" s="734" t="s">
        <v>3905</v>
      </c>
      <c r="AU50" s="734" t="s">
        <v>7483</v>
      </c>
      <c r="AV50" s="734" t="s">
        <v>3905</v>
      </c>
      <c r="AW50" s="734" t="s">
        <v>1874</v>
      </c>
      <c r="AX50" s="734"/>
      <c r="AY50" s="734"/>
      <c r="AZ50" s="755" t="s">
        <v>1874</v>
      </c>
      <c r="BA50" s="734" t="s">
        <v>24</v>
      </c>
      <c r="BB50" s="734" t="s">
        <v>24</v>
      </c>
      <c r="BC50" s="734" t="s">
        <v>7725</v>
      </c>
      <c r="BD50" s="755" t="s">
        <v>7524</v>
      </c>
      <c r="BE50" s="755"/>
      <c r="BF50" s="734" t="s">
        <v>3835</v>
      </c>
      <c r="BG50" s="734" t="s">
        <v>3894</v>
      </c>
      <c r="BH50" s="372"/>
      <c r="BI50" s="372"/>
      <c r="BJ50" s="735"/>
      <c r="BK50" s="735"/>
      <c r="BL50" s="735"/>
      <c r="BM50" s="735"/>
      <c r="BN50" s="735"/>
      <c r="BO50" s="735"/>
      <c r="BP50" s="735">
        <v>1</v>
      </c>
      <c r="BQ50" s="735"/>
      <c r="BR50" s="735" t="s">
        <v>3840</v>
      </c>
      <c r="BS50" s="735"/>
      <c r="BT50" s="735"/>
      <c r="BU50" s="735"/>
      <c r="BV50" s="735"/>
      <c r="BW50" s="735" t="s">
        <v>7734</v>
      </c>
      <c r="BX50" s="736" t="s">
        <v>7735</v>
      </c>
      <c r="BY50" s="799" t="s">
        <v>7616</v>
      </c>
      <c r="BZ50" s="374" t="s">
        <v>803</v>
      </c>
      <c r="CA50" s="511">
        <v>2</v>
      </c>
      <c r="CB50" s="511" t="s">
        <v>7556</v>
      </c>
      <c r="CC50" s="511" t="s">
        <v>24</v>
      </c>
      <c r="CD50" s="734" t="s">
        <v>1876</v>
      </c>
      <c r="CE50" s="734" t="s">
        <v>3901</v>
      </c>
      <c r="CF50" s="786"/>
      <c r="CG50" s="734" t="s">
        <v>7339</v>
      </c>
      <c r="CH50" s="755" t="s">
        <v>7340</v>
      </c>
      <c r="CI50" s="734" t="s">
        <v>24</v>
      </c>
      <c r="CJ50" s="734">
        <v>0</v>
      </c>
      <c r="CK50" s="734" t="s">
        <v>3927</v>
      </c>
      <c r="CL50" s="734" t="s">
        <v>6644</v>
      </c>
      <c r="CM50" s="737" t="s">
        <v>3933</v>
      </c>
      <c r="CN50" s="738" t="s">
        <v>24</v>
      </c>
      <c r="CO50" s="738">
        <v>5</v>
      </c>
      <c r="CP50" s="738">
        <v>1</v>
      </c>
      <c r="CQ50" s="738">
        <v>2</v>
      </c>
      <c r="CR50" s="738">
        <v>1</v>
      </c>
      <c r="CS50" s="738"/>
      <c r="CT50" s="738"/>
      <c r="CU50" s="738"/>
      <c r="CV50" s="738"/>
      <c r="CW50" s="738"/>
      <c r="CX50" s="736" t="s">
        <v>3928</v>
      </c>
      <c r="CY50" s="734">
        <v>9.2552500000000002</v>
      </c>
      <c r="CZ50" s="734" t="s">
        <v>24</v>
      </c>
      <c r="DA50" s="734">
        <f>9.91556-Table66[[#This Row],[Data_Outcome1_M]]</f>
        <v>0.66030999999999906</v>
      </c>
      <c r="DB50" s="736" t="s">
        <v>3930</v>
      </c>
      <c r="DC50" s="734">
        <v>11.5449</v>
      </c>
      <c r="DD50" s="734" t="s">
        <v>24</v>
      </c>
      <c r="DE50" s="734">
        <f>12.5353-Table66[[#This Row],[Data_Outcome2_M]]</f>
        <v>0.99039999999999928</v>
      </c>
      <c r="DF50" s="621" t="s">
        <v>3932</v>
      </c>
      <c r="DG50" s="510" t="s">
        <v>3931</v>
      </c>
      <c r="DH50" s="378"/>
      <c r="DI50" s="683"/>
      <c r="DJ50" s="384"/>
      <c r="DK50" s="683"/>
      <c r="DL50" s="384"/>
      <c r="DM50" s="778"/>
      <c r="DN50" s="778"/>
      <c r="DO50" s="778"/>
      <c r="DP50" s="737"/>
      <c r="DQ50" s="372"/>
      <c r="DR50" s="1182"/>
      <c r="DS50" s="956"/>
      <c r="DT50" s="1180"/>
      <c r="DU50" s="778"/>
      <c r="DV50" s="778"/>
      <c r="DW50" s="778"/>
      <c r="DX50" s="778"/>
      <c r="DY50" s="778"/>
      <c r="DZ50" s="778"/>
      <c r="EA50" s="778"/>
      <c r="EB50" s="1181"/>
      <c r="EC50" s="778"/>
      <c r="ED50" s="778"/>
      <c r="EE50" s="778"/>
      <c r="EF50" s="778"/>
      <c r="EG50" s="778"/>
      <c r="EH50" s="778"/>
      <c r="EI50" s="778"/>
      <c r="EJ50" s="778"/>
      <c r="EK50" s="778"/>
      <c r="EL50" s="1181"/>
      <c r="EM50" s="778"/>
      <c r="EN50" s="1181"/>
      <c r="EO50" s="778"/>
      <c r="EP50" s="778"/>
      <c r="EQ50" s="778"/>
      <c r="ER50" s="778"/>
      <c r="ES50" s="778"/>
      <c r="ET50" s="1180"/>
      <c r="EU50" s="778"/>
      <c r="EV50" s="778"/>
      <c r="EW50" s="778"/>
      <c r="EX50" s="778"/>
      <c r="EY50" s="778"/>
      <c r="EZ50" s="1180"/>
      <c r="FA50" s="778"/>
      <c r="FB50" s="778"/>
      <c r="FC50" s="778"/>
      <c r="FD50" s="1180"/>
      <c r="FE50" s="778"/>
      <c r="FF50" s="778"/>
      <c r="FG50" s="778"/>
      <c r="FH50" s="778"/>
      <c r="FI50" s="778"/>
      <c r="FJ50" s="778"/>
    </row>
    <row r="51" spans="1:166" s="1301" customFormat="1" ht="15" hidden="1" customHeight="1">
      <c r="A51" s="79" t="s">
        <v>365</v>
      </c>
      <c r="B51" s="362">
        <v>261</v>
      </c>
      <c r="C51" s="362">
        <v>94</v>
      </c>
      <c r="D51" s="362"/>
      <c r="E51" s="604" t="s">
        <v>2047</v>
      </c>
      <c r="F51" s="124" t="s">
        <v>2289</v>
      </c>
      <c r="G51" s="125">
        <v>2007</v>
      </c>
      <c r="H51" s="79">
        <v>17392739</v>
      </c>
      <c r="I51" s="79">
        <v>1</v>
      </c>
      <c r="J51" s="126"/>
      <c r="K51" s="127"/>
      <c r="L51" s="79">
        <v>1</v>
      </c>
      <c r="M51" s="79"/>
      <c r="N51" s="79">
        <v>1</v>
      </c>
      <c r="O51" s="128">
        <v>1</v>
      </c>
      <c r="P51" s="79" t="s">
        <v>938</v>
      </c>
      <c r="Q51" s="79" t="s">
        <v>1153</v>
      </c>
      <c r="R51" s="79" t="s">
        <v>25</v>
      </c>
      <c r="S51" s="79">
        <v>1</v>
      </c>
      <c r="T51" s="79"/>
      <c r="U51" s="79"/>
      <c r="V51" s="79"/>
      <c r="W51" s="79" t="s">
        <v>938</v>
      </c>
      <c r="X51" s="79"/>
      <c r="Y51" s="79" t="s">
        <v>565</v>
      </c>
      <c r="Z51" s="79"/>
      <c r="AA51" s="79"/>
      <c r="AB51" s="79"/>
      <c r="AC51" s="506"/>
      <c r="AD51" s="573">
        <v>1</v>
      </c>
      <c r="AE51" s="573">
        <v>2</v>
      </c>
      <c r="AF51" s="154">
        <v>1</v>
      </c>
      <c r="AG51" s="155"/>
      <c r="AH51" s="704"/>
      <c r="AI51" s="121">
        <v>2</v>
      </c>
      <c r="AJ51" s="484" t="s">
        <v>6111</v>
      </c>
      <c r="AK51" s="202" t="s">
        <v>6112</v>
      </c>
      <c r="AL51" s="192">
        <v>0</v>
      </c>
      <c r="AM51" s="203" t="s">
        <v>6104</v>
      </c>
      <c r="AN51" s="121">
        <f>Table66[[#This Row],[Data_Subjects_n_ptsd]]+Table66[[#This Row],[Data_Subjects_n_control]]</f>
        <v>30</v>
      </c>
      <c r="AO51" s="121">
        <v>13</v>
      </c>
      <c r="AP51" s="121">
        <v>17</v>
      </c>
      <c r="AQ51" s="121" t="s">
        <v>803</v>
      </c>
      <c r="AR51" s="121" t="s">
        <v>803</v>
      </c>
      <c r="AS51" s="121">
        <v>60.1</v>
      </c>
      <c r="AT51" s="121">
        <v>7.3</v>
      </c>
      <c r="AU51" s="121">
        <v>64.599999999999994</v>
      </c>
      <c r="AV51" s="121">
        <v>9.8000000000000007</v>
      </c>
      <c r="AW51" s="121" t="s">
        <v>6105</v>
      </c>
      <c r="AX51" s="121"/>
      <c r="AY51" s="121"/>
      <c r="AZ51" s="754" t="s">
        <v>1874</v>
      </c>
      <c r="BA51" s="121" t="s">
        <v>24</v>
      </c>
      <c r="BB51" s="121" t="s">
        <v>24</v>
      </c>
      <c r="BC51" s="121" t="s">
        <v>6106</v>
      </c>
      <c r="BD51" s="754" t="s">
        <v>7524</v>
      </c>
      <c r="BE51" s="187" t="s">
        <v>8154</v>
      </c>
      <c r="BF51" s="121" t="s">
        <v>3835</v>
      </c>
      <c r="BG51" s="121" t="s">
        <v>5976</v>
      </c>
      <c r="BH51" s="594"/>
      <c r="BI51" s="594"/>
      <c r="BJ51" s="156"/>
      <c r="BK51" s="156"/>
      <c r="BL51" s="156" t="s">
        <v>4727</v>
      </c>
      <c r="BM51" s="156"/>
      <c r="BN51" s="156"/>
      <c r="BO51" s="156"/>
      <c r="BP51" s="156">
        <v>1</v>
      </c>
      <c r="BQ51" s="156"/>
      <c r="BR51" s="156" t="s">
        <v>4727</v>
      </c>
      <c r="BS51" s="156"/>
      <c r="BT51" s="156"/>
      <c r="BU51" s="156"/>
      <c r="BV51" s="156"/>
      <c r="BW51" s="595" t="s">
        <v>6121</v>
      </c>
      <c r="BX51" s="157" t="s">
        <v>6611</v>
      </c>
      <c r="BY51" s="797" t="s">
        <v>7616</v>
      </c>
      <c r="BZ51" s="789" t="s">
        <v>7610</v>
      </c>
      <c r="CA51" s="765">
        <v>2</v>
      </c>
      <c r="CB51" s="765" t="s">
        <v>7556</v>
      </c>
      <c r="CC51" s="854" t="s">
        <v>7380</v>
      </c>
      <c r="CD51" s="134" t="s">
        <v>1876</v>
      </c>
      <c r="CE51" s="134">
        <v>2</v>
      </c>
      <c r="CF51" s="400"/>
      <c r="CG51" s="134" t="s">
        <v>5965</v>
      </c>
      <c r="CH51" s="855" t="s">
        <v>7308</v>
      </c>
      <c r="CI51" s="134" t="s">
        <v>24</v>
      </c>
      <c r="CJ51" s="134"/>
      <c r="CK51" s="134" t="s">
        <v>6117</v>
      </c>
      <c r="CL51" s="186" t="s">
        <v>8261</v>
      </c>
      <c r="CM51" s="259" t="s">
        <v>6120</v>
      </c>
      <c r="CN51" s="454" t="s">
        <v>24</v>
      </c>
      <c r="CO51" s="828">
        <v>88</v>
      </c>
      <c r="CP51" s="828">
        <v>1</v>
      </c>
      <c r="CQ51" s="828">
        <v>1</v>
      </c>
      <c r="CR51" s="828">
        <v>1</v>
      </c>
      <c r="CS51" s="828">
        <v>1</v>
      </c>
      <c r="CT51" s="967"/>
      <c r="CU51" s="1288" t="s">
        <v>8103</v>
      </c>
      <c r="CV51" s="1294">
        <v>43</v>
      </c>
      <c r="CW51" s="1294">
        <v>37</v>
      </c>
      <c r="CX51" s="138" t="s">
        <v>6109</v>
      </c>
      <c r="CY51" s="134">
        <v>12.3</v>
      </c>
      <c r="CZ51" s="134" t="s">
        <v>24</v>
      </c>
      <c r="DA51" s="134">
        <v>1.8</v>
      </c>
      <c r="DB51" s="138" t="s">
        <v>6110</v>
      </c>
      <c r="DC51" s="134">
        <v>13.2</v>
      </c>
      <c r="DD51" s="134" t="s">
        <v>24</v>
      </c>
      <c r="DE51" s="134">
        <v>2</v>
      </c>
      <c r="DF51" s="280" t="s">
        <v>6119</v>
      </c>
      <c r="DG51" s="310" t="s">
        <v>6118</v>
      </c>
      <c r="DH51" s="121"/>
      <c r="DI51" s="121"/>
      <c r="DJ51" s="121"/>
      <c r="DK51" s="121"/>
      <c r="DL51" s="1169"/>
      <c r="DM51" s="121"/>
      <c r="DN51" s="1169"/>
      <c r="DO51" s="121"/>
      <c r="DP51" s="288"/>
      <c r="DQ51" s="289"/>
      <c r="DR51" s="1168"/>
      <c r="DS51" s="865"/>
      <c r="DT51" s="1171"/>
      <c r="DU51" s="121"/>
      <c r="DV51" s="1169"/>
      <c r="DW51" s="121"/>
      <c r="DX51" s="1169"/>
      <c r="DY51" s="121"/>
      <c r="DZ51" s="1169"/>
      <c r="EA51" s="121"/>
      <c r="EB51" s="300"/>
      <c r="EC51" s="301"/>
      <c r="ED51" s="1169"/>
      <c r="EE51" s="121"/>
      <c r="EF51" s="1169"/>
      <c r="EG51" s="121"/>
      <c r="EH51" s="1169"/>
      <c r="EI51" s="121"/>
      <c r="EJ51" s="1169"/>
      <c r="EK51" s="121"/>
      <c r="EL51" s="300"/>
      <c r="EM51" s="301"/>
      <c r="EN51" s="276"/>
      <c r="EO51" s="277"/>
      <c r="EP51" s="1169"/>
      <c r="EQ51" s="1169"/>
      <c r="ER51" s="1169"/>
      <c r="ES51" s="1169"/>
      <c r="ET51" s="1171"/>
      <c r="EU51" s="1169"/>
      <c r="EV51" s="1169"/>
      <c r="EW51" s="1169"/>
      <c r="EX51" s="312"/>
      <c r="EY51" s="312"/>
      <c r="EZ51" s="1171"/>
      <c r="FA51" s="1169"/>
      <c r="FB51" s="1169"/>
      <c r="FC51" s="1169"/>
      <c r="FD51" s="1171"/>
      <c r="FE51" s="1169"/>
      <c r="FF51" s="1169"/>
      <c r="FG51" s="1169"/>
      <c r="FH51" s="312"/>
      <c r="FI51" s="312"/>
      <c r="FJ51" s="1170"/>
    </row>
    <row r="52" spans="1:166" s="1301" customFormat="1" ht="15" hidden="1" customHeight="1">
      <c r="A52" s="118" t="s">
        <v>143</v>
      </c>
      <c r="B52" s="616">
        <v>109</v>
      </c>
      <c r="C52" s="616">
        <v>22</v>
      </c>
      <c r="D52" s="616"/>
      <c r="E52" s="605" t="s">
        <v>1951</v>
      </c>
      <c r="F52" s="140" t="s">
        <v>2170</v>
      </c>
      <c r="G52" s="141">
        <v>2009</v>
      </c>
      <c r="H52" s="118">
        <v>18800372</v>
      </c>
      <c r="I52" s="118">
        <v>1</v>
      </c>
      <c r="J52" s="118"/>
      <c r="K52" s="118"/>
      <c r="L52" s="118">
        <v>1</v>
      </c>
      <c r="M52" s="118"/>
      <c r="N52" s="118">
        <v>1</v>
      </c>
      <c r="O52" s="142">
        <v>1</v>
      </c>
      <c r="P52" s="118" t="s">
        <v>450</v>
      </c>
      <c r="Q52" s="118" t="s">
        <v>1147</v>
      </c>
      <c r="R52" s="118" t="s">
        <v>25</v>
      </c>
      <c r="S52" s="118">
        <v>1</v>
      </c>
      <c r="T52" s="118"/>
      <c r="U52" s="118"/>
      <c r="V52" s="118"/>
      <c r="W52" s="118" t="s">
        <v>449</v>
      </c>
      <c r="X52" s="118"/>
      <c r="Y52" s="118"/>
      <c r="Z52" s="118"/>
      <c r="AA52" s="118"/>
      <c r="AB52" s="118"/>
      <c r="AC52" s="145"/>
      <c r="AD52" s="573">
        <v>1</v>
      </c>
      <c r="AE52" s="573">
        <v>2</v>
      </c>
      <c r="AF52" s="159">
        <v>1</v>
      </c>
      <c r="AG52" s="160"/>
      <c r="AH52" s="704"/>
      <c r="AI52" s="122">
        <v>2</v>
      </c>
      <c r="AJ52" s="485"/>
      <c r="AK52" s="204" t="s">
        <v>4207</v>
      </c>
      <c r="AL52" s="192">
        <v>1</v>
      </c>
      <c r="AM52" s="205">
        <v>0</v>
      </c>
      <c r="AN52" s="122">
        <f>Table66[[#This Row],[Data_Subjects_n_ptsd]]+Table66[[#This Row],[Data_Subjects_n_control]]</f>
        <v>50</v>
      </c>
      <c r="AO52" s="122">
        <v>25</v>
      </c>
      <c r="AP52" s="122">
        <v>25</v>
      </c>
      <c r="AQ52" s="122" t="s">
        <v>803</v>
      </c>
      <c r="AR52" s="122" t="s">
        <v>803</v>
      </c>
      <c r="AS52" s="150">
        <v>33.32</v>
      </c>
      <c r="AT52" s="150">
        <v>4.76</v>
      </c>
      <c r="AU52" s="150">
        <v>34.799999999999997</v>
      </c>
      <c r="AV52" s="150">
        <v>4.5999999999999996</v>
      </c>
      <c r="AW52" s="150" t="s">
        <v>4160</v>
      </c>
      <c r="AX52" s="122"/>
      <c r="AY52" s="122"/>
      <c r="AZ52" s="754" t="s">
        <v>1874</v>
      </c>
      <c r="BA52" s="122" t="s">
        <v>24</v>
      </c>
      <c r="BB52" s="122" t="s">
        <v>24</v>
      </c>
      <c r="BC52" s="122" t="s">
        <v>4161</v>
      </c>
      <c r="BD52" s="754" t="s">
        <v>7521</v>
      </c>
      <c r="BE52" s="187">
        <v>0</v>
      </c>
      <c r="BF52" s="122" t="s">
        <v>3835</v>
      </c>
      <c r="BG52" s="122" t="s">
        <v>4162</v>
      </c>
      <c r="BH52" s="588"/>
      <c r="BI52" s="588"/>
      <c r="BJ52" s="161"/>
      <c r="BK52" s="161"/>
      <c r="BL52" s="161"/>
      <c r="BM52" s="161"/>
      <c r="BN52" s="161"/>
      <c r="BO52" s="161"/>
      <c r="BP52" s="161">
        <v>1</v>
      </c>
      <c r="BQ52" s="161"/>
      <c r="BR52" s="161"/>
      <c r="BS52" s="161"/>
      <c r="BT52" s="161"/>
      <c r="BU52" s="161"/>
      <c r="BV52" s="161"/>
      <c r="BW52" s="596" t="s">
        <v>4208</v>
      </c>
      <c r="BX52" s="162" t="s">
        <v>6609</v>
      </c>
      <c r="BY52" s="797" t="s">
        <v>7616</v>
      </c>
      <c r="BZ52" s="790" t="s">
        <v>7610</v>
      </c>
      <c r="CA52" s="765">
        <v>2</v>
      </c>
      <c r="CB52" s="765" t="s">
        <v>7556</v>
      </c>
      <c r="CC52" s="854" t="s">
        <v>7380</v>
      </c>
      <c r="CD52" s="150" t="s">
        <v>1876</v>
      </c>
      <c r="CE52" s="150">
        <v>2</v>
      </c>
      <c r="CF52" s="400"/>
      <c r="CG52" s="150" t="s">
        <v>4180</v>
      </c>
      <c r="CH52" s="855" t="s">
        <v>7308</v>
      </c>
      <c r="CI52" s="150" t="s">
        <v>24</v>
      </c>
      <c r="CJ52" s="150">
        <v>1</v>
      </c>
      <c r="CK52" s="649" t="s">
        <v>4195</v>
      </c>
      <c r="CL52" s="186" t="s">
        <v>8261</v>
      </c>
      <c r="CM52" s="476" t="s">
        <v>4234</v>
      </c>
      <c r="CN52" s="622" t="s">
        <v>24</v>
      </c>
      <c r="CO52" s="831">
        <v>21</v>
      </c>
      <c r="CP52" s="831">
        <v>1</v>
      </c>
      <c r="CQ52" s="831">
        <v>11</v>
      </c>
      <c r="CR52" s="831">
        <v>1</v>
      </c>
      <c r="CS52" s="831">
        <v>1</v>
      </c>
      <c r="CT52" s="972"/>
      <c r="CU52" s="1288" t="s">
        <v>8103</v>
      </c>
      <c r="CV52" s="1294">
        <v>11</v>
      </c>
      <c r="CW52" s="1294">
        <v>10</v>
      </c>
      <c r="CX52" s="151" t="s">
        <v>4197</v>
      </c>
      <c r="CY52" s="150">
        <v>25.48</v>
      </c>
      <c r="CZ52" s="150">
        <v>7.08</v>
      </c>
      <c r="DA52" s="150" t="s">
        <v>24</v>
      </c>
      <c r="DB52" s="151" t="s">
        <v>4198</v>
      </c>
      <c r="DC52" s="150">
        <v>30.76</v>
      </c>
      <c r="DD52" s="150">
        <v>6.35</v>
      </c>
      <c r="DE52" s="150" t="s">
        <v>24</v>
      </c>
      <c r="DF52" s="549" t="s">
        <v>4212</v>
      </c>
      <c r="DG52" s="551" t="s">
        <v>4211</v>
      </c>
      <c r="DH52" s="1179"/>
      <c r="DI52" s="417"/>
      <c r="DJ52" s="419"/>
      <c r="DK52" s="417"/>
      <c r="DL52" s="1169"/>
      <c r="DM52" s="417"/>
      <c r="DN52" s="1169"/>
      <c r="DO52" s="1151"/>
      <c r="DP52" s="288"/>
      <c r="DQ52" s="441"/>
      <c r="DR52" s="1168"/>
      <c r="DS52" s="865"/>
      <c r="DT52" s="1166"/>
      <c r="DU52" s="500"/>
      <c r="DV52" s="1164"/>
      <c r="DW52" s="500"/>
      <c r="DX52" s="1164"/>
      <c r="DY52" s="500"/>
      <c r="DZ52" s="1164"/>
      <c r="EA52" s="500"/>
      <c r="EB52" s="311"/>
      <c r="EC52" s="313"/>
      <c r="ED52" s="1164"/>
      <c r="EE52" s="500"/>
      <c r="EF52" s="1164"/>
      <c r="EG52" s="500"/>
      <c r="EH52" s="1164"/>
      <c r="EI52" s="500"/>
      <c r="EJ52" s="1164"/>
      <c r="EK52" s="500"/>
      <c r="EL52" s="311"/>
      <c r="EM52" s="313"/>
      <c r="EN52" s="446"/>
      <c r="EO52" s="1729"/>
      <c r="EP52" s="1164"/>
      <c r="EQ52" s="1164"/>
      <c r="ER52" s="1164"/>
      <c r="ES52" s="1164"/>
      <c r="ET52" s="1164"/>
      <c r="EU52" s="1164"/>
      <c r="EV52" s="1164"/>
      <c r="EW52" s="1164"/>
      <c r="EX52" s="303"/>
      <c r="EY52" s="303"/>
      <c r="EZ52" s="526"/>
      <c r="FA52" s="122"/>
      <c r="FB52" s="122"/>
      <c r="FC52" s="122"/>
      <c r="FD52" s="526"/>
      <c r="FE52" s="1164"/>
      <c r="FF52" s="1164"/>
      <c r="FG52" s="1164"/>
      <c r="FH52" s="313"/>
      <c r="FI52" s="313"/>
      <c r="FJ52" s="1165"/>
    </row>
    <row r="53" spans="1:166" s="1089" customFormat="1" ht="15" hidden="1" customHeight="1">
      <c r="A53" s="79" t="s">
        <v>280</v>
      </c>
      <c r="B53" s="617">
        <v>200</v>
      </c>
      <c r="C53" s="617">
        <v>70</v>
      </c>
      <c r="D53" s="617"/>
      <c r="E53" s="608" t="s">
        <v>2009</v>
      </c>
      <c r="F53" s="181" t="s">
        <v>2241</v>
      </c>
      <c r="G53" s="182">
        <v>2006</v>
      </c>
      <c r="H53" s="79">
        <v>17100516</v>
      </c>
      <c r="I53" s="79">
        <v>1</v>
      </c>
      <c r="J53" s="79"/>
      <c r="K53" s="79"/>
      <c r="L53" s="79">
        <v>1</v>
      </c>
      <c r="M53" s="79"/>
      <c r="N53" s="79">
        <v>1</v>
      </c>
      <c r="O53" s="128">
        <v>1</v>
      </c>
      <c r="P53" s="79" t="s">
        <v>735</v>
      </c>
      <c r="Q53" s="79" t="s">
        <v>1154</v>
      </c>
      <c r="R53" s="79" t="s">
        <v>736</v>
      </c>
      <c r="S53" s="79">
        <v>1</v>
      </c>
      <c r="T53" s="79"/>
      <c r="U53" s="79"/>
      <c r="V53" s="79"/>
      <c r="W53" s="79" t="s">
        <v>492</v>
      </c>
      <c r="X53" s="79" t="s">
        <v>24</v>
      </c>
      <c r="Y53" s="79" t="s">
        <v>24</v>
      </c>
      <c r="Z53" s="79" t="s">
        <v>737</v>
      </c>
      <c r="AA53" s="79"/>
      <c r="AB53" s="79"/>
      <c r="AC53" s="506"/>
      <c r="AD53" s="573">
        <v>1</v>
      </c>
      <c r="AE53" s="573">
        <v>2</v>
      </c>
      <c r="AF53" s="352">
        <v>1</v>
      </c>
      <c r="AG53" s="353"/>
      <c r="AH53" s="704"/>
      <c r="AI53" s="346">
        <v>2</v>
      </c>
      <c r="AJ53" s="487" t="s">
        <v>5426</v>
      </c>
      <c r="AK53" s="459" t="s">
        <v>5394</v>
      </c>
      <c r="AL53" s="348">
        <v>1</v>
      </c>
      <c r="AM53" s="349">
        <v>0</v>
      </c>
      <c r="AN53" s="346">
        <f>Table66[[#This Row],[Data_Subjects_n_ptsd]]+Table66[[#This Row],[Data_Subjects_n_control]]</f>
        <v>68</v>
      </c>
      <c r="AO53" s="346">
        <v>37</v>
      </c>
      <c r="AP53" s="346">
        <v>31</v>
      </c>
      <c r="AQ53" s="346" t="s">
        <v>5395</v>
      </c>
      <c r="AR53" s="346" t="s">
        <v>5395</v>
      </c>
      <c r="AS53" s="346">
        <v>47.89</v>
      </c>
      <c r="AT53" s="346">
        <v>9.4</v>
      </c>
      <c r="AU53" s="346">
        <v>46.42</v>
      </c>
      <c r="AV53" s="346">
        <v>9.6</v>
      </c>
      <c r="AW53" s="346" t="s">
        <v>5414</v>
      </c>
      <c r="AX53" s="346"/>
      <c r="AY53" s="346"/>
      <c r="AZ53" s="754" t="s">
        <v>1874</v>
      </c>
      <c r="BA53" s="346" t="s">
        <v>24</v>
      </c>
      <c r="BB53" s="346" t="s">
        <v>24</v>
      </c>
      <c r="BC53" s="346" t="s">
        <v>2423</v>
      </c>
      <c r="BD53" s="754" t="s">
        <v>7521</v>
      </c>
      <c r="BE53" s="187">
        <v>0</v>
      </c>
      <c r="BF53" s="346" t="s">
        <v>3835</v>
      </c>
      <c r="BG53" s="346" t="s">
        <v>5209</v>
      </c>
      <c r="BH53" s="598"/>
      <c r="BI53" s="598"/>
      <c r="BJ53" s="184"/>
      <c r="BK53" s="184"/>
      <c r="BL53" s="184" t="s">
        <v>4727</v>
      </c>
      <c r="BM53" s="184"/>
      <c r="BN53" s="184"/>
      <c r="BO53" s="184" t="s">
        <v>4727</v>
      </c>
      <c r="BP53" s="184">
        <v>1</v>
      </c>
      <c r="BQ53" s="184"/>
      <c r="BR53" s="184" t="s">
        <v>4727</v>
      </c>
      <c r="BS53" s="184"/>
      <c r="BT53" s="184" t="s">
        <v>4727</v>
      </c>
      <c r="BU53" s="184"/>
      <c r="BV53" s="184"/>
      <c r="BW53" s="600" t="s">
        <v>5398</v>
      </c>
      <c r="BX53" s="185" t="s">
        <v>6611</v>
      </c>
      <c r="BY53" s="797" t="s">
        <v>7616</v>
      </c>
      <c r="BZ53" s="789" t="s">
        <v>7610</v>
      </c>
      <c r="CA53" s="769">
        <v>2</v>
      </c>
      <c r="CB53" s="765" t="s">
        <v>7556</v>
      </c>
      <c r="CC53" s="854" t="s">
        <v>7380</v>
      </c>
      <c r="CD53" s="186" t="s">
        <v>1876</v>
      </c>
      <c r="CE53" s="186" t="s">
        <v>5396</v>
      </c>
      <c r="CF53" s="400"/>
      <c r="CG53" s="186" t="s">
        <v>8006</v>
      </c>
      <c r="CH53" s="855" t="s">
        <v>7308</v>
      </c>
      <c r="CI53" s="186" t="s">
        <v>24</v>
      </c>
      <c r="CJ53" s="186"/>
      <c r="CK53" s="186" t="s">
        <v>8251</v>
      </c>
      <c r="CL53" s="186" t="s">
        <v>8261</v>
      </c>
      <c r="CM53" s="261" t="s">
        <v>5430</v>
      </c>
      <c r="CN53" s="620" t="s">
        <v>6630</v>
      </c>
      <c r="CO53" s="830">
        <v>64</v>
      </c>
      <c r="CP53" s="830">
        <v>1</v>
      </c>
      <c r="CQ53" s="830">
        <v>4</v>
      </c>
      <c r="CR53" s="830">
        <v>1</v>
      </c>
      <c r="CS53" s="830">
        <v>1</v>
      </c>
      <c r="CT53" s="969"/>
      <c r="CU53" s="1288" t="s">
        <v>8103</v>
      </c>
      <c r="CV53" s="1294">
        <v>33</v>
      </c>
      <c r="CW53" s="1294">
        <v>26</v>
      </c>
      <c r="CX53" s="186" t="s">
        <v>5408</v>
      </c>
      <c r="CY53" s="186">
        <v>45.34</v>
      </c>
      <c r="CZ53" s="186">
        <v>10.199999999999999</v>
      </c>
      <c r="DA53" s="186" t="s">
        <v>24</v>
      </c>
      <c r="DB53" s="186" t="s">
        <v>5409</v>
      </c>
      <c r="DC53" s="186">
        <v>49.68</v>
      </c>
      <c r="DD53" s="186">
        <v>8</v>
      </c>
      <c r="DE53" s="186" t="s">
        <v>24</v>
      </c>
      <c r="DF53" s="305" t="s">
        <v>5423</v>
      </c>
      <c r="DG53" s="315" t="s">
        <v>5424</v>
      </c>
      <c r="DH53" s="1195"/>
      <c r="DI53" s="676"/>
      <c r="DJ53" s="1802"/>
      <c r="DK53" s="676"/>
      <c r="DL53" s="1192"/>
      <c r="DM53" s="676"/>
      <c r="DN53" s="1189"/>
      <c r="DO53" s="1152"/>
      <c r="DP53" s="294"/>
      <c r="DQ53" s="1116"/>
      <c r="DR53" s="1168"/>
      <c r="DS53" s="865"/>
      <c r="DT53" s="1192"/>
      <c r="DU53" s="676"/>
      <c r="DV53" s="1189"/>
      <c r="DW53" s="676"/>
      <c r="DX53" s="1192"/>
      <c r="DY53" s="676"/>
      <c r="DZ53" s="1189"/>
      <c r="EA53" s="676"/>
      <c r="EB53" s="1193"/>
      <c r="EC53" s="1190"/>
      <c r="ED53" s="1189"/>
      <c r="EE53" s="676"/>
      <c r="EF53" s="1189"/>
      <c r="EG53" s="676"/>
      <c r="EH53" s="1189"/>
      <c r="EI53" s="676"/>
      <c r="EJ53" s="1189"/>
      <c r="EK53" s="676"/>
      <c r="EL53" s="1193"/>
      <c r="EM53" s="1190"/>
      <c r="EN53" s="572"/>
      <c r="EO53" s="1148"/>
      <c r="EP53" s="1189"/>
      <c r="EQ53" s="1189"/>
      <c r="ER53" s="1189"/>
      <c r="ES53" s="1189"/>
      <c r="ET53" s="1189"/>
      <c r="EU53" s="1189"/>
      <c r="EV53" s="1189"/>
      <c r="EW53" s="1189"/>
      <c r="EX53" s="1190"/>
      <c r="EY53" s="1190"/>
      <c r="EZ53" s="1189"/>
      <c r="FA53" s="1189"/>
      <c r="FB53" s="1189"/>
      <c r="FC53" s="1189"/>
      <c r="FD53" s="1189"/>
      <c r="FE53" s="1189"/>
      <c r="FF53" s="1189"/>
      <c r="FG53" s="1189"/>
      <c r="FH53" s="1190"/>
      <c r="FI53" s="1190"/>
      <c r="FJ53" s="1191"/>
    </row>
    <row r="54" spans="1:166" s="1301" customFormat="1" ht="15" hidden="1" customHeight="1">
      <c r="A54" s="79" t="s">
        <v>355</v>
      </c>
      <c r="B54" s="362">
        <v>255</v>
      </c>
      <c r="C54" s="362">
        <v>91</v>
      </c>
      <c r="D54" s="362"/>
      <c r="E54" s="604" t="s">
        <v>2044</v>
      </c>
      <c r="F54" s="124" t="s">
        <v>2283</v>
      </c>
      <c r="G54" s="125">
        <v>2009</v>
      </c>
      <c r="H54" s="79">
        <v>19703322</v>
      </c>
      <c r="I54" s="79">
        <v>1</v>
      </c>
      <c r="J54" s="126"/>
      <c r="K54" s="127"/>
      <c r="L54" s="79">
        <v>1</v>
      </c>
      <c r="M54" s="79"/>
      <c r="N54" s="79">
        <v>1</v>
      </c>
      <c r="O54" s="128">
        <v>1</v>
      </c>
      <c r="P54" s="79" t="s">
        <v>457</v>
      </c>
      <c r="Q54" s="79" t="s">
        <v>1147</v>
      </c>
      <c r="R54" s="79" t="s">
        <v>819</v>
      </c>
      <c r="S54" s="79">
        <v>1</v>
      </c>
      <c r="T54" s="79"/>
      <c r="U54" s="79"/>
      <c r="V54" s="79"/>
      <c r="W54" s="79"/>
      <c r="X54" s="79" t="s">
        <v>917</v>
      </c>
      <c r="Y54" s="79"/>
      <c r="Z54" s="79"/>
      <c r="AA54" s="79"/>
      <c r="AB54" s="79"/>
      <c r="AC54" s="506"/>
      <c r="AD54" s="573">
        <v>1</v>
      </c>
      <c r="AE54" s="573">
        <v>2</v>
      </c>
      <c r="AF54" s="154">
        <v>1</v>
      </c>
      <c r="AG54" s="155"/>
      <c r="AH54" s="704"/>
      <c r="AI54" s="121">
        <v>2</v>
      </c>
      <c r="AJ54" s="484" t="s">
        <v>5915</v>
      </c>
      <c r="AK54" s="202" t="s">
        <v>5916</v>
      </c>
      <c r="AL54" s="192">
        <v>1</v>
      </c>
      <c r="AM54" s="203">
        <v>0</v>
      </c>
      <c r="AN54" s="121">
        <v>95</v>
      </c>
      <c r="AO54" s="121">
        <f>23+25</f>
        <v>48</v>
      </c>
      <c r="AP54" s="121">
        <f>19+28</f>
        <v>47</v>
      </c>
      <c r="AQ54" s="121" t="s">
        <v>5914</v>
      </c>
      <c r="AR54" s="121" t="s">
        <v>5914</v>
      </c>
      <c r="AS54" s="121">
        <f>AVERAGE(50.2,48.3)</f>
        <v>49.25</v>
      </c>
      <c r="AT54" s="121">
        <f>AVERAGE(7.3,9)</f>
        <v>8.15</v>
      </c>
      <c r="AU54" s="121">
        <f>AVERAGE(47.1,45.9)</f>
        <v>46.5</v>
      </c>
      <c r="AV54" s="121">
        <f>AVERAGE(11.1,9.5)</f>
        <v>10.3</v>
      </c>
      <c r="AW54" s="121" t="s">
        <v>5913</v>
      </c>
      <c r="AX54" s="121"/>
      <c r="AY54" s="121"/>
      <c r="AZ54" s="754" t="s">
        <v>1874</v>
      </c>
      <c r="BA54" s="121" t="s">
        <v>24</v>
      </c>
      <c r="BB54" s="121" t="s">
        <v>24</v>
      </c>
      <c r="BC54" s="121" t="s">
        <v>5912</v>
      </c>
      <c r="BD54" s="754" t="s">
        <v>7521</v>
      </c>
      <c r="BE54" s="187">
        <v>0</v>
      </c>
      <c r="BF54" s="121" t="s">
        <v>3835</v>
      </c>
      <c r="BG54" s="121" t="s">
        <v>5911</v>
      </c>
      <c r="BH54" s="594"/>
      <c r="BI54" s="594"/>
      <c r="BJ54" s="156"/>
      <c r="BK54" s="156"/>
      <c r="BL54" s="156"/>
      <c r="BM54" s="156"/>
      <c r="BN54" s="156"/>
      <c r="BO54" s="156"/>
      <c r="BP54" s="156">
        <v>1</v>
      </c>
      <c r="BQ54" s="156"/>
      <c r="BR54" s="156"/>
      <c r="BS54" s="156"/>
      <c r="BT54" s="156"/>
      <c r="BU54" s="156"/>
      <c r="BV54" s="156"/>
      <c r="BW54" s="595" t="s">
        <v>5923</v>
      </c>
      <c r="BX54" s="157" t="s">
        <v>6609</v>
      </c>
      <c r="BY54" s="797" t="s">
        <v>7616</v>
      </c>
      <c r="BZ54" s="789" t="s">
        <v>7610</v>
      </c>
      <c r="CA54" s="765">
        <v>2</v>
      </c>
      <c r="CB54" s="765" t="s">
        <v>7556</v>
      </c>
      <c r="CC54" s="854" t="s">
        <v>7380</v>
      </c>
      <c r="CD54" s="134" t="s">
        <v>1876</v>
      </c>
      <c r="CE54" s="134" t="s">
        <v>5917</v>
      </c>
      <c r="CF54" s="400"/>
      <c r="CG54" s="134" t="s">
        <v>5920</v>
      </c>
      <c r="CH54" s="855" t="s">
        <v>7308</v>
      </c>
      <c r="CI54" s="134" t="s">
        <v>24</v>
      </c>
      <c r="CJ54" s="134"/>
      <c r="CK54" s="134" t="s">
        <v>5926</v>
      </c>
      <c r="CL54" s="134" t="s">
        <v>8266</v>
      </c>
      <c r="CM54" s="259" t="s">
        <v>5957</v>
      </c>
      <c r="CN54" s="454" t="s">
        <v>24</v>
      </c>
      <c r="CO54" s="828">
        <v>85</v>
      </c>
      <c r="CP54" s="828">
        <v>1</v>
      </c>
      <c r="CQ54" s="828">
        <v>6</v>
      </c>
      <c r="CR54" s="828">
        <v>1</v>
      </c>
      <c r="CS54" s="828">
        <v>1</v>
      </c>
      <c r="CT54" s="967"/>
      <c r="CU54" s="1288" t="s">
        <v>8103</v>
      </c>
      <c r="CV54" s="1294">
        <v>41</v>
      </c>
      <c r="CW54" s="1294">
        <v>35</v>
      </c>
      <c r="CX54" s="138" t="s">
        <v>5930</v>
      </c>
      <c r="CY54" s="134">
        <v>27.9</v>
      </c>
      <c r="CZ54" s="134">
        <v>5.7</v>
      </c>
      <c r="DA54" s="134" t="s">
        <v>24</v>
      </c>
      <c r="DB54" s="138" t="s">
        <v>5931</v>
      </c>
      <c r="DC54" s="134">
        <v>32.799999999999997</v>
      </c>
      <c r="DD54" s="134">
        <v>5.5</v>
      </c>
      <c r="DE54" s="134" t="s">
        <v>24</v>
      </c>
      <c r="DF54" s="280" t="s">
        <v>5949</v>
      </c>
      <c r="DG54" s="310" t="s">
        <v>5948</v>
      </c>
      <c r="DH54" s="1179"/>
      <c r="DI54" s="417"/>
      <c r="DJ54" s="121"/>
      <c r="DK54" s="417"/>
      <c r="DL54" s="1169"/>
      <c r="DM54" s="121"/>
      <c r="DN54" s="1169"/>
      <c r="DO54" s="121"/>
      <c r="DP54" s="435"/>
      <c r="DQ54" s="437"/>
      <c r="DR54" s="864"/>
      <c r="DS54" s="865"/>
      <c r="DT54" s="1171"/>
      <c r="DU54" s="121"/>
      <c r="DV54" s="1169"/>
      <c r="DW54" s="121"/>
      <c r="DX54" s="1169"/>
      <c r="DY54" s="121"/>
      <c r="DZ54" s="1169"/>
      <c r="EA54" s="121"/>
      <c r="EB54" s="304"/>
      <c r="EC54" s="312"/>
      <c r="ED54" s="1169"/>
      <c r="EE54" s="121"/>
      <c r="EF54" s="1169"/>
      <c r="EG54" s="121"/>
      <c r="EH54" s="1169"/>
      <c r="EI54" s="121"/>
      <c r="EJ54" s="1169"/>
      <c r="EK54" s="121"/>
      <c r="EL54" s="304"/>
      <c r="EM54" s="312"/>
      <c r="EN54" s="276"/>
      <c r="EO54" s="277"/>
      <c r="EP54" s="121"/>
      <c r="EQ54" s="121"/>
      <c r="ER54" s="1169"/>
      <c r="ES54" s="121"/>
      <c r="ET54" s="1276"/>
      <c r="EU54" s="1169"/>
      <c r="EV54" s="1169"/>
      <c r="EW54" s="1169"/>
      <c r="EX54" s="312"/>
      <c r="EY54" s="312"/>
      <c r="EZ54" s="1171"/>
      <c r="FA54" s="121"/>
      <c r="FB54" s="121"/>
      <c r="FC54" s="121"/>
      <c r="FD54" s="1276"/>
      <c r="FE54" s="1169"/>
      <c r="FF54" s="1169"/>
      <c r="FG54" s="1169"/>
      <c r="FH54" s="312"/>
      <c r="FI54" s="312"/>
      <c r="FJ54" s="1170"/>
    </row>
    <row r="55" spans="1:166" s="1301" customFormat="1" ht="15" hidden="1" customHeight="1">
      <c r="A55" s="118" t="s">
        <v>243</v>
      </c>
      <c r="B55" s="616">
        <v>178</v>
      </c>
      <c r="C55" s="616">
        <v>61</v>
      </c>
      <c r="D55" s="616"/>
      <c r="E55" s="605" t="s">
        <v>1997</v>
      </c>
      <c r="F55" s="140" t="s">
        <v>2227</v>
      </c>
      <c r="G55" s="141">
        <v>2004</v>
      </c>
      <c r="H55" s="118">
        <v>15027792</v>
      </c>
      <c r="I55" s="118">
        <v>1</v>
      </c>
      <c r="J55" s="118"/>
      <c r="K55" s="118"/>
      <c r="L55" s="118">
        <v>1</v>
      </c>
      <c r="M55" s="118"/>
      <c r="N55" s="118">
        <v>1</v>
      </c>
      <c r="O55" s="142">
        <v>1</v>
      </c>
      <c r="P55" s="118" t="s">
        <v>662</v>
      </c>
      <c r="Q55" s="118" t="s">
        <v>1172</v>
      </c>
      <c r="R55" s="118" t="s">
        <v>1174</v>
      </c>
      <c r="S55" s="118">
        <v>1</v>
      </c>
      <c r="T55" s="118"/>
      <c r="U55" s="118"/>
      <c r="V55" s="118"/>
      <c r="W55" s="118" t="s">
        <v>665</v>
      </c>
      <c r="X55" s="118" t="s">
        <v>663</v>
      </c>
      <c r="Y55" s="118"/>
      <c r="Z55" s="118" t="s">
        <v>664</v>
      </c>
      <c r="AA55" s="118"/>
      <c r="AB55" s="118"/>
      <c r="AC55" s="145"/>
      <c r="AD55" s="573">
        <v>1</v>
      </c>
      <c r="AE55" s="573">
        <v>2</v>
      </c>
      <c r="AF55" s="159">
        <v>1</v>
      </c>
      <c r="AG55" s="160" t="s">
        <v>3157</v>
      </c>
      <c r="AH55" s="704" t="s">
        <v>7519</v>
      </c>
      <c r="AI55" s="122">
        <v>2</v>
      </c>
      <c r="AJ55" s="485" t="s">
        <v>5189</v>
      </c>
      <c r="AK55" s="204" t="s">
        <v>5208</v>
      </c>
      <c r="AL55" s="192">
        <v>1</v>
      </c>
      <c r="AM55" s="205">
        <v>0</v>
      </c>
      <c r="AN55" s="122">
        <f>Table66[[#This Row],[Data_Subjects_n_ptsd]]+Table66[[#This Row],[Data_Subjects_n_control]]</f>
        <v>47</v>
      </c>
      <c r="AO55" s="122">
        <v>24</v>
      </c>
      <c r="AP55" s="122">
        <v>23</v>
      </c>
      <c r="AQ55" s="122" t="s">
        <v>803</v>
      </c>
      <c r="AR55" s="150" t="s">
        <v>803</v>
      </c>
      <c r="AS55" s="150">
        <v>51</v>
      </c>
      <c r="AT55" s="150">
        <v>2.5</v>
      </c>
      <c r="AU55" s="150">
        <v>52.4</v>
      </c>
      <c r="AV55" s="150">
        <v>3.1</v>
      </c>
      <c r="AW55" s="150" t="s">
        <v>5151</v>
      </c>
      <c r="AX55" s="122"/>
      <c r="AY55" s="122"/>
      <c r="AZ55" s="754" t="s">
        <v>1874</v>
      </c>
      <c r="BA55" s="122" t="s">
        <v>24</v>
      </c>
      <c r="BB55" s="122" t="s">
        <v>24</v>
      </c>
      <c r="BC55" s="122" t="s">
        <v>5150</v>
      </c>
      <c r="BD55" s="754" t="s">
        <v>7521</v>
      </c>
      <c r="BE55" s="187">
        <v>0</v>
      </c>
      <c r="BF55" s="122" t="s">
        <v>3835</v>
      </c>
      <c r="BG55" s="122" t="s">
        <v>5149</v>
      </c>
      <c r="BH55" s="588"/>
      <c r="BI55" s="588"/>
      <c r="BJ55" s="161"/>
      <c r="BK55" s="161"/>
      <c r="BL55" s="161" t="s">
        <v>5207</v>
      </c>
      <c r="BM55" s="161"/>
      <c r="BN55" s="161"/>
      <c r="BO55" s="161"/>
      <c r="BP55" s="161">
        <v>1</v>
      </c>
      <c r="BQ55" s="161"/>
      <c r="BR55" s="161"/>
      <c r="BS55" s="161"/>
      <c r="BT55" s="161"/>
      <c r="BU55" s="161"/>
      <c r="BV55" s="161"/>
      <c r="BW55" s="596" t="s">
        <v>5156</v>
      </c>
      <c r="BX55" s="162" t="s">
        <v>6621</v>
      </c>
      <c r="BY55" s="797" t="s">
        <v>7617</v>
      </c>
      <c r="BZ55" s="790" t="s">
        <v>7610</v>
      </c>
      <c r="CA55" s="769">
        <v>2</v>
      </c>
      <c r="CB55" s="765" t="s">
        <v>7556</v>
      </c>
      <c r="CC55" s="854" t="s">
        <v>7380</v>
      </c>
      <c r="CD55" s="150" t="s">
        <v>1876</v>
      </c>
      <c r="CE55" s="150">
        <v>2</v>
      </c>
      <c r="CF55" s="400"/>
      <c r="CG55" s="150" t="s">
        <v>5164</v>
      </c>
      <c r="CH55" s="855" t="s">
        <v>7308</v>
      </c>
      <c r="CI55" s="150" t="s">
        <v>24</v>
      </c>
      <c r="CJ55" s="150"/>
      <c r="CK55" s="150" t="s">
        <v>7972</v>
      </c>
      <c r="CL55" s="150" t="s">
        <v>8264</v>
      </c>
      <c r="CM55" s="258" t="s">
        <v>5204</v>
      </c>
      <c r="CN55" s="257">
        <v>0</v>
      </c>
      <c r="CO55" s="829">
        <v>55</v>
      </c>
      <c r="CP55" s="829">
        <v>1</v>
      </c>
      <c r="CQ55" s="829">
        <v>10</v>
      </c>
      <c r="CR55" s="829">
        <v>1</v>
      </c>
      <c r="CS55" s="829">
        <v>1</v>
      </c>
      <c r="CT55" s="968"/>
      <c r="CU55" s="1288" t="s">
        <v>8103</v>
      </c>
      <c r="CV55" s="1294">
        <v>22</v>
      </c>
      <c r="CW55" s="1294">
        <v>24</v>
      </c>
      <c r="CX55" s="151" t="s">
        <v>5167</v>
      </c>
      <c r="CY55" s="150">
        <v>43</v>
      </c>
      <c r="CZ55" s="150">
        <v>8.5</v>
      </c>
      <c r="DA55" s="150" t="s">
        <v>24</v>
      </c>
      <c r="DB55" s="151" t="s">
        <v>5174</v>
      </c>
      <c r="DC55" s="150">
        <v>42.7</v>
      </c>
      <c r="DD55" s="150">
        <v>10.3</v>
      </c>
      <c r="DE55" s="150" t="s">
        <v>24</v>
      </c>
      <c r="DF55" s="440" t="s">
        <v>3229</v>
      </c>
      <c r="DG55" s="553" t="s">
        <v>5196</v>
      </c>
      <c r="DH55" s="1178"/>
      <c r="DI55" s="500"/>
      <c r="DJ55" s="1781"/>
      <c r="DK55" s="500"/>
      <c r="DL55" s="1166"/>
      <c r="DM55" s="500"/>
      <c r="DN55" s="1164"/>
      <c r="DO55" s="1150"/>
      <c r="DP55" s="290"/>
      <c r="DQ55" s="1117"/>
      <c r="DR55" s="1168"/>
      <c r="DS55" s="865"/>
      <c r="DT55" s="1166" t="s">
        <v>5169</v>
      </c>
      <c r="DU55" s="1164">
        <v>28.3</v>
      </c>
      <c r="DV55" s="1164">
        <v>3</v>
      </c>
      <c r="DW55" s="1164" t="s">
        <v>24</v>
      </c>
      <c r="DX55" s="1166" t="s">
        <v>5171</v>
      </c>
      <c r="DY55" s="1164">
        <v>27.9</v>
      </c>
      <c r="DZ55" s="1164">
        <v>2.5</v>
      </c>
      <c r="EA55" s="1164" t="s">
        <v>24</v>
      </c>
      <c r="EB55" s="1214" t="s">
        <v>3229</v>
      </c>
      <c r="EC55" s="1203" t="s">
        <v>5197</v>
      </c>
      <c r="ED55" s="1164" t="s">
        <v>24</v>
      </c>
      <c r="EE55" s="1164" t="s">
        <v>24</v>
      </c>
      <c r="EF55" s="1164" t="s">
        <v>24</v>
      </c>
      <c r="EG55" s="1164" t="s">
        <v>24</v>
      </c>
      <c r="EH55" s="1164" t="s">
        <v>24</v>
      </c>
      <c r="EI55" s="1164" t="s">
        <v>24</v>
      </c>
      <c r="EJ55" s="1164" t="s">
        <v>24</v>
      </c>
      <c r="EK55" s="1164" t="s">
        <v>24</v>
      </c>
      <c r="EL55" s="311" t="s">
        <v>24</v>
      </c>
      <c r="EM55" s="313" t="s">
        <v>24</v>
      </c>
      <c r="EN55" s="1167" t="s">
        <v>24</v>
      </c>
      <c r="EO55" s="1165" t="s">
        <v>24</v>
      </c>
      <c r="EP55" s="1164"/>
      <c r="EQ55" s="1164"/>
      <c r="ER55" s="1164"/>
      <c r="ES55" s="1164"/>
      <c r="ET55" s="1166"/>
      <c r="EU55" s="1164"/>
      <c r="EV55" s="1164"/>
      <c r="EW55" s="1164"/>
      <c r="EX55" s="313"/>
      <c r="EY55" s="313"/>
      <c r="EZ55" s="1166"/>
      <c r="FA55" s="1164"/>
      <c r="FB55" s="1164"/>
      <c r="FC55" s="1164"/>
      <c r="FD55" s="1166"/>
      <c r="FE55" s="1164"/>
      <c r="FF55" s="1164"/>
      <c r="FG55" s="1164"/>
      <c r="FH55" s="313"/>
      <c r="FI55" s="313"/>
      <c r="FJ55" s="1165"/>
    </row>
    <row r="56" spans="1:166" s="1089" customFormat="1" ht="15" hidden="1" customHeight="1">
      <c r="A56" s="118" t="s">
        <v>279</v>
      </c>
      <c r="B56" s="616">
        <v>199</v>
      </c>
      <c r="C56" s="616">
        <v>69</v>
      </c>
      <c r="D56" s="616"/>
      <c r="E56" s="605" t="s">
        <v>2009</v>
      </c>
      <c r="F56" s="140" t="s">
        <v>2240</v>
      </c>
      <c r="G56" s="141">
        <v>2009</v>
      </c>
      <c r="H56" s="118">
        <v>19703319</v>
      </c>
      <c r="I56" s="118">
        <v>1</v>
      </c>
      <c r="J56" s="118"/>
      <c r="K56" s="118"/>
      <c r="L56" s="118">
        <v>1</v>
      </c>
      <c r="M56" s="118"/>
      <c r="N56" s="118">
        <v>1</v>
      </c>
      <c r="O56" s="142">
        <v>1</v>
      </c>
      <c r="P56" s="118" t="s">
        <v>733</v>
      </c>
      <c r="Q56" s="118" t="s">
        <v>1147</v>
      </c>
      <c r="R56" s="118" t="s">
        <v>25</v>
      </c>
      <c r="S56" s="118">
        <v>1</v>
      </c>
      <c r="T56" s="118"/>
      <c r="U56" s="118"/>
      <c r="V56" s="118"/>
      <c r="W56" s="118" t="s">
        <v>732</v>
      </c>
      <c r="X56" s="118"/>
      <c r="Y56" s="118"/>
      <c r="Z56" s="118"/>
      <c r="AA56" s="118"/>
      <c r="AB56" s="118" t="s">
        <v>734</v>
      </c>
      <c r="AC56" s="145"/>
      <c r="AD56" s="573">
        <v>1</v>
      </c>
      <c r="AE56" s="573">
        <v>2</v>
      </c>
      <c r="AF56" s="159">
        <v>1</v>
      </c>
      <c r="AG56" s="160" t="s">
        <v>5335</v>
      </c>
      <c r="AH56" s="704"/>
      <c r="AI56" s="122">
        <v>2</v>
      </c>
      <c r="AJ56" s="485"/>
      <c r="AK56" s="204" t="s">
        <v>5393</v>
      </c>
      <c r="AL56" s="192">
        <v>1</v>
      </c>
      <c r="AM56" s="205">
        <v>0</v>
      </c>
      <c r="AN56" s="122">
        <v>47</v>
      </c>
      <c r="AO56" s="122">
        <v>25</v>
      </c>
      <c r="AP56" s="122">
        <v>22</v>
      </c>
      <c r="AQ56" s="122" t="s">
        <v>803</v>
      </c>
      <c r="AR56" s="122" t="s">
        <v>803</v>
      </c>
      <c r="AS56" s="121" t="s">
        <v>7996</v>
      </c>
      <c r="AT56" s="121">
        <v>5.5</v>
      </c>
      <c r="AU56" s="121" t="s">
        <v>7998</v>
      </c>
      <c r="AV56" s="121">
        <v>5.6</v>
      </c>
      <c r="AW56" s="122" t="s">
        <v>4249</v>
      </c>
      <c r="AX56" s="122"/>
      <c r="AY56" s="122"/>
      <c r="AZ56" s="754" t="s">
        <v>1874</v>
      </c>
      <c r="BA56" s="122" t="s">
        <v>24</v>
      </c>
      <c r="BB56" s="122" t="s">
        <v>24</v>
      </c>
      <c r="BC56" s="122" t="s">
        <v>2423</v>
      </c>
      <c r="BD56" s="754" t="s">
        <v>7521</v>
      </c>
      <c r="BE56" s="187">
        <v>0</v>
      </c>
      <c r="BF56" s="122" t="s">
        <v>3835</v>
      </c>
      <c r="BG56" s="122" t="s">
        <v>4521</v>
      </c>
      <c r="BH56" s="588"/>
      <c r="BI56" s="588"/>
      <c r="BJ56" s="161"/>
      <c r="BK56" s="161"/>
      <c r="BL56" s="161"/>
      <c r="BM56" s="161"/>
      <c r="BN56" s="161"/>
      <c r="BO56" s="161"/>
      <c r="BP56" s="161">
        <v>1</v>
      </c>
      <c r="BQ56" s="161"/>
      <c r="BR56" s="161" t="s">
        <v>4727</v>
      </c>
      <c r="BS56" s="161"/>
      <c r="BT56" s="161" t="s">
        <v>4727</v>
      </c>
      <c r="BU56" s="161"/>
      <c r="BV56" s="161"/>
      <c r="BW56" s="596" t="s">
        <v>5337</v>
      </c>
      <c r="BX56" s="162" t="s">
        <v>6612</v>
      </c>
      <c r="BY56" s="797" t="s">
        <v>7617</v>
      </c>
      <c r="BZ56" s="790" t="s">
        <v>7610</v>
      </c>
      <c r="CA56" s="769">
        <v>2</v>
      </c>
      <c r="CB56" s="765" t="s">
        <v>7556</v>
      </c>
      <c r="CC56" s="854" t="s">
        <v>7380</v>
      </c>
      <c r="CD56" s="150" t="s">
        <v>1876</v>
      </c>
      <c r="CE56" s="150">
        <v>2</v>
      </c>
      <c r="CF56" s="400"/>
      <c r="CG56" s="150" t="s">
        <v>5338</v>
      </c>
      <c r="CH56" s="855" t="s">
        <v>7308</v>
      </c>
      <c r="CI56" s="150" t="s">
        <v>24</v>
      </c>
      <c r="CJ56" s="150"/>
      <c r="CK56" s="150" t="s">
        <v>5339</v>
      </c>
      <c r="CL56" s="150" t="s">
        <v>8264</v>
      </c>
      <c r="CM56" s="258" t="s">
        <v>5391</v>
      </c>
      <c r="CN56" s="257" t="s">
        <v>24</v>
      </c>
      <c r="CO56" s="829">
        <v>63</v>
      </c>
      <c r="CP56" s="828">
        <v>1</v>
      </c>
      <c r="CQ56" s="828">
        <v>9</v>
      </c>
      <c r="CR56" s="828">
        <v>1</v>
      </c>
      <c r="CS56" s="828">
        <v>1</v>
      </c>
      <c r="CT56" s="968"/>
      <c r="CU56" s="1288" t="s">
        <v>8103</v>
      </c>
      <c r="CV56" s="1294">
        <v>32</v>
      </c>
      <c r="CW56" s="1294">
        <v>25</v>
      </c>
      <c r="CX56" s="150" t="s">
        <v>5366</v>
      </c>
      <c r="CY56" s="150">
        <v>41.08</v>
      </c>
      <c r="CZ56" s="150">
        <v>11.4</v>
      </c>
      <c r="DA56" s="150" t="s">
        <v>24</v>
      </c>
      <c r="DB56" s="150" t="s">
        <v>5367</v>
      </c>
      <c r="DC56" s="150">
        <v>37.479999999999997</v>
      </c>
      <c r="DD56" s="150">
        <v>12.3</v>
      </c>
      <c r="DE56" s="150" t="s">
        <v>24</v>
      </c>
      <c r="DF56" s="303" t="s">
        <v>5379</v>
      </c>
      <c r="DG56" s="303" t="s">
        <v>5386</v>
      </c>
      <c r="DH56" s="1178"/>
      <c r="DI56" s="500"/>
      <c r="DJ56" s="1781"/>
      <c r="DK56" s="500"/>
      <c r="DL56" s="1166"/>
      <c r="DM56" s="500"/>
      <c r="DN56" s="1164"/>
      <c r="DO56" s="1150"/>
      <c r="DP56" s="290"/>
      <c r="DQ56" s="388"/>
      <c r="DR56" s="1168"/>
      <c r="DS56" s="865"/>
      <c r="DT56" s="1205"/>
      <c r="DU56" s="1205"/>
      <c r="DV56" s="146"/>
      <c r="DW56" s="146"/>
      <c r="DX56" s="1205"/>
      <c r="DY56" s="1164"/>
      <c r="DZ56" s="1164"/>
      <c r="EA56" s="1164"/>
      <c r="EB56" s="311"/>
      <c r="EC56" s="313"/>
      <c r="ED56" s="1205"/>
      <c r="EE56" s="1205"/>
      <c r="EF56" s="146"/>
      <c r="EG56" s="146"/>
      <c r="EH56" s="1205"/>
      <c r="EI56" s="1164"/>
      <c r="EJ56" s="1164"/>
      <c r="EK56" s="1164"/>
      <c r="EL56" s="311"/>
      <c r="EM56" s="313"/>
      <c r="EN56" s="1167"/>
      <c r="EO56" s="1165"/>
      <c r="EP56" s="1164"/>
      <c r="EQ56" s="1164"/>
      <c r="ER56" s="1164"/>
      <c r="ES56" s="1164"/>
      <c r="ET56" s="1164"/>
      <c r="EU56" s="1164"/>
      <c r="EV56" s="1164"/>
      <c r="EW56" s="1164"/>
      <c r="EX56" s="313"/>
      <c r="EY56" s="313"/>
      <c r="EZ56" s="1164"/>
      <c r="FA56" s="1164"/>
      <c r="FB56" s="1164"/>
      <c r="FC56" s="1164"/>
      <c r="FD56" s="1164"/>
      <c r="FE56" s="1164"/>
      <c r="FF56" s="1164"/>
      <c r="FG56" s="1164"/>
      <c r="FH56" s="313"/>
      <c r="FI56" s="313"/>
      <c r="FJ56" s="1165"/>
    </row>
    <row r="57" spans="1:166" s="1301" customFormat="1" ht="15" hidden="1" customHeight="1">
      <c r="A57" s="118" t="s">
        <v>279</v>
      </c>
      <c r="B57" s="616">
        <v>199</v>
      </c>
      <c r="C57" s="616">
        <v>69</v>
      </c>
      <c r="D57" s="616"/>
      <c r="E57" s="605" t="s">
        <v>2009</v>
      </c>
      <c r="F57" s="140" t="s">
        <v>2240</v>
      </c>
      <c r="G57" s="141">
        <v>2009</v>
      </c>
      <c r="H57" s="118">
        <v>19703319</v>
      </c>
      <c r="I57" s="118">
        <v>1</v>
      </c>
      <c r="J57" s="118"/>
      <c r="K57" s="118"/>
      <c r="L57" s="118">
        <v>1</v>
      </c>
      <c r="M57" s="118"/>
      <c r="N57" s="118">
        <v>1</v>
      </c>
      <c r="O57" s="142">
        <v>1</v>
      </c>
      <c r="P57" s="118" t="s">
        <v>733</v>
      </c>
      <c r="Q57" s="118" t="s">
        <v>1147</v>
      </c>
      <c r="R57" s="118" t="s">
        <v>25</v>
      </c>
      <c r="S57" s="118">
        <v>1</v>
      </c>
      <c r="T57" s="118"/>
      <c r="U57" s="118"/>
      <c r="V57" s="118"/>
      <c r="W57" s="118" t="s">
        <v>732</v>
      </c>
      <c r="X57" s="118"/>
      <c r="Y57" s="118"/>
      <c r="Z57" s="118"/>
      <c r="AA57" s="118"/>
      <c r="AB57" s="118" t="s">
        <v>734</v>
      </c>
      <c r="AC57" s="145"/>
      <c r="AD57" s="573">
        <v>1</v>
      </c>
      <c r="AE57" s="573">
        <v>2</v>
      </c>
      <c r="AF57" s="159">
        <v>1</v>
      </c>
      <c r="AG57" s="160" t="s">
        <v>5335</v>
      </c>
      <c r="AH57" s="704"/>
      <c r="AI57" s="122">
        <v>2</v>
      </c>
      <c r="AJ57" s="485"/>
      <c r="AK57" s="204" t="s">
        <v>5393</v>
      </c>
      <c r="AL57" s="192">
        <v>1</v>
      </c>
      <c r="AM57" s="205">
        <v>0</v>
      </c>
      <c r="AN57" s="122">
        <v>47</v>
      </c>
      <c r="AO57" s="122">
        <v>25</v>
      </c>
      <c r="AP57" s="122">
        <v>22</v>
      </c>
      <c r="AQ57" s="122" t="s">
        <v>803</v>
      </c>
      <c r="AR57" s="122" t="s">
        <v>803</v>
      </c>
      <c r="AS57" s="121" t="s">
        <v>7997</v>
      </c>
      <c r="AT57" s="121">
        <v>5.6</v>
      </c>
      <c r="AU57" s="121" t="s">
        <v>7999</v>
      </c>
      <c r="AV57" s="121">
        <v>5.7</v>
      </c>
      <c r="AW57" s="122" t="s">
        <v>4249</v>
      </c>
      <c r="AX57" s="122"/>
      <c r="AY57" s="122"/>
      <c r="AZ57" s="754" t="s">
        <v>1874</v>
      </c>
      <c r="BA57" s="122" t="s">
        <v>24</v>
      </c>
      <c r="BB57" s="122" t="s">
        <v>24</v>
      </c>
      <c r="BC57" s="122" t="s">
        <v>2423</v>
      </c>
      <c r="BD57" s="754" t="s">
        <v>7521</v>
      </c>
      <c r="BE57" s="187">
        <v>0</v>
      </c>
      <c r="BF57" s="122" t="s">
        <v>3835</v>
      </c>
      <c r="BG57" s="122" t="s">
        <v>4521</v>
      </c>
      <c r="BH57" s="588"/>
      <c r="BI57" s="588"/>
      <c r="BJ57" s="161"/>
      <c r="BK57" s="161"/>
      <c r="BL57" s="161"/>
      <c r="BM57" s="161"/>
      <c r="BN57" s="161"/>
      <c r="BO57" s="161"/>
      <c r="BP57" s="161">
        <v>1</v>
      </c>
      <c r="BQ57" s="161"/>
      <c r="BR57" s="161" t="s">
        <v>4727</v>
      </c>
      <c r="BS57" s="161"/>
      <c r="BT57" s="161" t="s">
        <v>4727</v>
      </c>
      <c r="BU57" s="161"/>
      <c r="BV57" s="161"/>
      <c r="BW57" s="596" t="s">
        <v>5337</v>
      </c>
      <c r="BX57" s="162" t="s">
        <v>6612</v>
      </c>
      <c r="BY57" s="797" t="s">
        <v>7617</v>
      </c>
      <c r="BZ57" s="790" t="s">
        <v>7610</v>
      </c>
      <c r="CA57" s="769">
        <v>2</v>
      </c>
      <c r="CB57" s="765" t="s">
        <v>7556</v>
      </c>
      <c r="CC57" s="854" t="s">
        <v>7380</v>
      </c>
      <c r="CD57" s="150" t="s">
        <v>1876</v>
      </c>
      <c r="CE57" s="150">
        <v>2</v>
      </c>
      <c r="CF57" s="400"/>
      <c r="CG57" s="150" t="s">
        <v>5338</v>
      </c>
      <c r="CH57" s="855" t="s">
        <v>7308</v>
      </c>
      <c r="CI57" s="150" t="s">
        <v>24</v>
      </c>
      <c r="CJ57" s="150"/>
      <c r="CK57" s="150" t="s">
        <v>5339</v>
      </c>
      <c r="CL57" s="150" t="s">
        <v>8264</v>
      </c>
      <c r="CM57" s="258" t="s">
        <v>5391</v>
      </c>
      <c r="CN57" s="257" t="s">
        <v>24</v>
      </c>
      <c r="CO57" s="829">
        <v>63</v>
      </c>
      <c r="CP57" s="828">
        <v>1</v>
      </c>
      <c r="CQ57" s="828">
        <v>10</v>
      </c>
      <c r="CR57" s="828">
        <v>1</v>
      </c>
      <c r="CS57" s="828">
        <v>1</v>
      </c>
      <c r="CT57" s="968"/>
      <c r="CU57" s="1288" t="s">
        <v>8103</v>
      </c>
      <c r="CV57" s="1294">
        <v>32</v>
      </c>
      <c r="CW57" s="1294">
        <v>25</v>
      </c>
      <c r="CX57" s="150" t="s">
        <v>5368</v>
      </c>
      <c r="CY57" s="150">
        <v>36.04</v>
      </c>
      <c r="CZ57" s="150">
        <v>12.6</v>
      </c>
      <c r="DA57" s="150" t="s">
        <v>24</v>
      </c>
      <c r="DB57" s="150" t="s">
        <v>5369</v>
      </c>
      <c r="DC57" s="150">
        <v>33.86</v>
      </c>
      <c r="DD57" s="150">
        <v>10.8</v>
      </c>
      <c r="DE57" s="150" t="s">
        <v>24</v>
      </c>
      <c r="DF57" s="303" t="s">
        <v>5379</v>
      </c>
      <c r="DG57" s="303" t="s">
        <v>5387</v>
      </c>
      <c r="DH57" s="1178"/>
      <c r="DI57" s="500"/>
      <c r="DJ57" s="1164"/>
      <c r="DK57" s="500"/>
      <c r="DL57" s="1166"/>
      <c r="DM57" s="1164"/>
      <c r="DN57" s="1164"/>
      <c r="DO57" s="1164"/>
      <c r="DP57" s="440"/>
      <c r="DQ57" s="442"/>
      <c r="DR57" s="1168"/>
      <c r="DS57" s="865"/>
      <c r="DT57" s="1205"/>
      <c r="DU57" s="1205"/>
      <c r="DV57" s="146"/>
      <c r="DW57" s="146"/>
      <c r="DX57" s="1205"/>
      <c r="DY57" s="1164"/>
      <c r="DZ57" s="1164"/>
      <c r="EA57" s="1164"/>
      <c r="EB57" s="311"/>
      <c r="EC57" s="313"/>
      <c r="ED57" s="1205"/>
      <c r="EE57" s="1205"/>
      <c r="EF57" s="146"/>
      <c r="EG57" s="146"/>
      <c r="EH57" s="1205"/>
      <c r="EI57" s="1164"/>
      <c r="EJ57" s="1164"/>
      <c r="EK57" s="1164"/>
      <c r="EL57" s="311"/>
      <c r="EM57" s="313"/>
      <c r="EN57" s="1167"/>
      <c r="EO57" s="1165"/>
      <c r="EP57" s="1164"/>
      <c r="EQ57" s="1164"/>
      <c r="ER57" s="1164"/>
      <c r="ES57" s="1164"/>
      <c r="ET57" s="1164"/>
      <c r="EU57" s="1164"/>
      <c r="EV57" s="1164"/>
      <c r="EW57" s="1164"/>
      <c r="EX57" s="313"/>
      <c r="EY57" s="313"/>
      <c r="EZ57" s="1164"/>
      <c r="FA57" s="1164"/>
      <c r="FB57" s="1164"/>
      <c r="FC57" s="1164"/>
      <c r="FD57" s="1164"/>
      <c r="FE57" s="1164"/>
      <c r="FF57" s="1164"/>
      <c r="FG57" s="1164"/>
      <c r="FH57" s="313"/>
      <c r="FI57" s="313"/>
      <c r="FJ57" s="1165"/>
    </row>
    <row r="58" spans="1:166" s="1301" customFormat="1" ht="15" hidden="1" customHeight="1">
      <c r="A58" s="118" t="s">
        <v>243</v>
      </c>
      <c r="B58" s="616">
        <v>178</v>
      </c>
      <c r="C58" s="616">
        <v>61</v>
      </c>
      <c r="D58" s="616"/>
      <c r="E58" s="605" t="s">
        <v>1997</v>
      </c>
      <c r="F58" s="140" t="s">
        <v>2227</v>
      </c>
      <c r="G58" s="141">
        <v>2004</v>
      </c>
      <c r="H58" s="118">
        <v>15027792</v>
      </c>
      <c r="I58" s="118">
        <v>1</v>
      </c>
      <c r="J58" s="118"/>
      <c r="K58" s="118"/>
      <c r="L58" s="118">
        <v>1</v>
      </c>
      <c r="M58" s="118"/>
      <c r="N58" s="118">
        <v>1</v>
      </c>
      <c r="O58" s="142">
        <v>1</v>
      </c>
      <c r="P58" s="118" t="s">
        <v>662</v>
      </c>
      <c r="Q58" s="118" t="s">
        <v>1172</v>
      </c>
      <c r="R58" s="118" t="s">
        <v>1174</v>
      </c>
      <c r="S58" s="118">
        <v>1</v>
      </c>
      <c r="T58" s="118"/>
      <c r="U58" s="118"/>
      <c r="V58" s="118"/>
      <c r="W58" s="118" t="s">
        <v>665</v>
      </c>
      <c r="X58" s="118" t="s">
        <v>663</v>
      </c>
      <c r="Y58" s="118"/>
      <c r="Z58" s="118" t="s">
        <v>664</v>
      </c>
      <c r="AA58" s="118"/>
      <c r="AB58" s="118"/>
      <c r="AC58" s="145"/>
      <c r="AD58" s="573">
        <v>1</v>
      </c>
      <c r="AE58" s="573">
        <v>2</v>
      </c>
      <c r="AF58" s="159">
        <v>1</v>
      </c>
      <c r="AG58" s="160" t="s">
        <v>3157</v>
      </c>
      <c r="AH58" s="704" t="s">
        <v>7519</v>
      </c>
      <c r="AI58" s="122">
        <v>2</v>
      </c>
      <c r="AJ58" s="485" t="s">
        <v>5189</v>
      </c>
      <c r="AK58" s="204" t="s">
        <v>5208</v>
      </c>
      <c r="AL58" s="192">
        <v>1</v>
      </c>
      <c r="AM58" s="205">
        <v>0</v>
      </c>
      <c r="AN58" s="122">
        <f>Table66[[#This Row],[Data_Subjects_n_ptsd]]+Table66[[#This Row],[Data_Subjects_n_control]]</f>
        <v>47</v>
      </c>
      <c r="AO58" s="122">
        <v>24</v>
      </c>
      <c r="AP58" s="122">
        <v>23</v>
      </c>
      <c r="AQ58" s="122" t="s">
        <v>803</v>
      </c>
      <c r="AR58" s="150" t="s">
        <v>803</v>
      </c>
      <c r="AS58" s="150">
        <v>51</v>
      </c>
      <c r="AT58" s="150">
        <v>2.5</v>
      </c>
      <c r="AU58" s="150">
        <v>52.4</v>
      </c>
      <c r="AV58" s="150">
        <v>3.1</v>
      </c>
      <c r="AW58" s="150" t="s">
        <v>5151</v>
      </c>
      <c r="AX58" s="122"/>
      <c r="AY58" s="122"/>
      <c r="AZ58" s="754" t="s">
        <v>1874</v>
      </c>
      <c r="BA58" s="122" t="s">
        <v>24</v>
      </c>
      <c r="BB58" s="122" t="s">
        <v>24</v>
      </c>
      <c r="BC58" s="122" t="s">
        <v>5150</v>
      </c>
      <c r="BD58" s="754" t="s">
        <v>7521</v>
      </c>
      <c r="BE58" s="187">
        <v>0</v>
      </c>
      <c r="BF58" s="122" t="s">
        <v>3835</v>
      </c>
      <c r="BG58" s="122" t="s">
        <v>5149</v>
      </c>
      <c r="BH58" s="588"/>
      <c r="BI58" s="588"/>
      <c r="BJ58" s="161"/>
      <c r="BK58" s="161"/>
      <c r="BL58" s="161" t="s">
        <v>5207</v>
      </c>
      <c r="BM58" s="161"/>
      <c r="BN58" s="161"/>
      <c r="BO58" s="161"/>
      <c r="BP58" s="161">
        <v>1</v>
      </c>
      <c r="BQ58" s="161"/>
      <c r="BR58" s="161"/>
      <c r="BS58" s="161"/>
      <c r="BT58" s="161"/>
      <c r="BU58" s="161"/>
      <c r="BV58" s="161"/>
      <c r="BW58" s="596" t="s">
        <v>5156</v>
      </c>
      <c r="BX58" s="162" t="s">
        <v>6621</v>
      </c>
      <c r="BY58" s="797" t="s">
        <v>7617</v>
      </c>
      <c r="BZ58" s="790" t="s">
        <v>7610</v>
      </c>
      <c r="CA58" s="769">
        <v>2</v>
      </c>
      <c r="CB58" s="765" t="s">
        <v>7556</v>
      </c>
      <c r="CC58" s="854" t="s">
        <v>7380</v>
      </c>
      <c r="CD58" s="150" t="s">
        <v>1876</v>
      </c>
      <c r="CE58" s="150">
        <v>2</v>
      </c>
      <c r="CF58" s="400"/>
      <c r="CG58" s="150" t="s">
        <v>7969</v>
      </c>
      <c r="CH58" s="855" t="s">
        <v>7308</v>
      </c>
      <c r="CI58" s="150" t="s">
        <v>24</v>
      </c>
      <c r="CJ58" s="150"/>
      <c r="CK58" s="150" t="s">
        <v>7971</v>
      </c>
      <c r="CL58" s="150" t="s">
        <v>8262</v>
      </c>
      <c r="CM58" s="258" t="s">
        <v>5204</v>
      </c>
      <c r="CN58" s="257">
        <v>0</v>
      </c>
      <c r="CO58" s="829">
        <v>55</v>
      </c>
      <c r="CP58" s="829">
        <v>1</v>
      </c>
      <c r="CQ58" s="829">
        <v>9</v>
      </c>
      <c r="CR58" s="829">
        <v>1</v>
      </c>
      <c r="CS58" s="829">
        <v>1</v>
      </c>
      <c r="CT58" s="968"/>
      <c r="CU58" s="1288" t="s">
        <v>8103</v>
      </c>
      <c r="CV58" s="1294">
        <v>22</v>
      </c>
      <c r="CW58" s="1294">
        <v>24</v>
      </c>
      <c r="CX58" s="151" t="s">
        <v>5168</v>
      </c>
      <c r="CY58" s="150">
        <v>37.6</v>
      </c>
      <c r="CZ58" s="150">
        <v>4.3</v>
      </c>
      <c r="DA58" s="150" t="s">
        <v>24</v>
      </c>
      <c r="DB58" s="151" t="s">
        <v>5176</v>
      </c>
      <c r="DC58" s="150">
        <v>37.9</v>
      </c>
      <c r="DD58" s="150">
        <v>3.6</v>
      </c>
      <c r="DE58" s="150" t="s">
        <v>24</v>
      </c>
      <c r="DF58" s="549" t="s">
        <v>3229</v>
      </c>
      <c r="DG58" s="551" t="s">
        <v>5195</v>
      </c>
      <c r="DH58" s="1179"/>
      <c r="DI58" s="417"/>
      <c r="DJ58" s="419"/>
      <c r="DK58" s="417"/>
      <c r="DL58" s="1169"/>
      <c r="DM58" s="417"/>
      <c r="DN58" s="1169"/>
      <c r="DO58" s="1151"/>
      <c r="DP58" s="288"/>
      <c r="DQ58" s="441"/>
      <c r="DR58" s="1168"/>
      <c r="DS58" s="865"/>
      <c r="DT58" s="1171"/>
      <c r="DU58" s="121"/>
      <c r="DV58" s="1169"/>
      <c r="DW58" s="121"/>
      <c r="DX58" s="1169"/>
      <c r="DY58" s="121"/>
      <c r="DZ58" s="1169"/>
      <c r="EA58" s="121"/>
      <c r="EB58" s="304"/>
      <c r="EC58" s="312"/>
      <c r="ED58" s="1164" t="s">
        <v>24</v>
      </c>
      <c r="EE58" s="122" t="s">
        <v>24</v>
      </c>
      <c r="EF58" s="1164" t="s">
        <v>24</v>
      </c>
      <c r="EG58" s="122" t="s">
        <v>24</v>
      </c>
      <c r="EH58" s="1164" t="s">
        <v>24</v>
      </c>
      <c r="EI58" s="122" t="s">
        <v>24</v>
      </c>
      <c r="EJ58" s="1164" t="s">
        <v>24</v>
      </c>
      <c r="EK58" s="122" t="s">
        <v>24</v>
      </c>
      <c r="EL58" s="311" t="s">
        <v>24</v>
      </c>
      <c r="EM58" s="313" t="s">
        <v>24</v>
      </c>
      <c r="EN58" s="1167" t="s">
        <v>24</v>
      </c>
      <c r="EO58" s="1165" t="s">
        <v>24</v>
      </c>
      <c r="EP58" s="122"/>
      <c r="EQ58" s="122"/>
      <c r="ER58" s="122"/>
      <c r="ES58" s="122"/>
      <c r="ET58" s="526"/>
      <c r="EU58" s="122"/>
      <c r="EV58" s="122"/>
      <c r="EW58" s="122"/>
      <c r="EX58" s="303"/>
      <c r="EY58" s="303"/>
      <c r="EZ58" s="526"/>
      <c r="FA58" s="122"/>
      <c r="FB58" s="122"/>
      <c r="FC58" s="122"/>
      <c r="FD58" s="526"/>
      <c r="FE58" s="122"/>
      <c r="FF58" s="122"/>
      <c r="FG58" s="122"/>
      <c r="FH58" s="303"/>
      <c r="FI58" s="303"/>
      <c r="FJ58" s="1165"/>
    </row>
    <row r="59" spans="1:166" s="1089" customFormat="1" ht="15" hidden="1" customHeight="1">
      <c r="A59" s="118" t="s">
        <v>279</v>
      </c>
      <c r="B59" s="616">
        <v>199</v>
      </c>
      <c r="C59" s="616">
        <v>69</v>
      </c>
      <c r="D59" s="616"/>
      <c r="E59" s="605" t="s">
        <v>2009</v>
      </c>
      <c r="F59" s="140" t="s">
        <v>2240</v>
      </c>
      <c r="G59" s="141">
        <v>2009</v>
      </c>
      <c r="H59" s="118">
        <v>19703319</v>
      </c>
      <c r="I59" s="118">
        <v>1</v>
      </c>
      <c r="J59" s="118"/>
      <c r="K59" s="118"/>
      <c r="L59" s="118">
        <v>1</v>
      </c>
      <c r="M59" s="118"/>
      <c r="N59" s="118">
        <v>1</v>
      </c>
      <c r="O59" s="142">
        <v>1</v>
      </c>
      <c r="P59" s="118" t="s">
        <v>733</v>
      </c>
      <c r="Q59" s="118" t="s">
        <v>1147</v>
      </c>
      <c r="R59" s="118" t="s">
        <v>25</v>
      </c>
      <c r="S59" s="118">
        <v>1</v>
      </c>
      <c r="T59" s="118"/>
      <c r="U59" s="118"/>
      <c r="V59" s="118"/>
      <c r="W59" s="118" t="s">
        <v>732</v>
      </c>
      <c r="X59" s="118"/>
      <c r="Y59" s="118"/>
      <c r="Z59" s="118"/>
      <c r="AA59" s="118"/>
      <c r="AB59" s="118" t="s">
        <v>734</v>
      </c>
      <c r="AC59" s="145"/>
      <c r="AD59" s="573">
        <v>1</v>
      </c>
      <c r="AE59" s="573">
        <v>2</v>
      </c>
      <c r="AF59" s="159">
        <v>1</v>
      </c>
      <c r="AG59" s="160" t="s">
        <v>5335</v>
      </c>
      <c r="AH59" s="704"/>
      <c r="AI59" s="122">
        <v>2</v>
      </c>
      <c r="AJ59" s="485"/>
      <c r="AK59" s="204" t="s">
        <v>5393</v>
      </c>
      <c r="AL59" s="192">
        <v>1</v>
      </c>
      <c r="AM59" s="205">
        <v>0</v>
      </c>
      <c r="AN59" s="122">
        <v>47</v>
      </c>
      <c r="AO59" s="122">
        <v>25</v>
      </c>
      <c r="AP59" s="122">
        <v>22</v>
      </c>
      <c r="AQ59" s="122" t="s">
        <v>803</v>
      </c>
      <c r="AR59" s="122" t="s">
        <v>803</v>
      </c>
      <c r="AS59" s="121" t="s">
        <v>7996</v>
      </c>
      <c r="AT59" s="121">
        <v>5.5</v>
      </c>
      <c r="AU59" s="121" t="s">
        <v>7998</v>
      </c>
      <c r="AV59" s="121">
        <v>5.6</v>
      </c>
      <c r="AW59" s="122" t="s">
        <v>4249</v>
      </c>
      <c r="AX59" s="122"/>
      <c r="AY59" s="122"/>
      <c r="AZ59" s="754" t="s">
        <v>1874</v>
      </c>
      <c r="BA59" s="122" t="s">
        <v>24</v>
      </c>
      <c r="BB59" s="122" t="s">
        <v>24</v>
      </c>
      <c r="BC59" s="122" t="s">
        <v>2423</v>
      </c>
      <c r="BD59" s="754" t="s">
        <v>7521</v>
      </c>
      <c r="BE59" s="187">
        <v>0</v>
      </c>
      <c r="BF59" s="122" t="s">
        <v>3835</v>
      </c>
      <c r="BG59" s="122" t="s">
        <v>4521</v>
      </c>
      <c r="BH59" s="588"/>
      <c r="BI59" s="588"/>
      <c r="BJ59" s="161"/>
      <c r="BK59" s="161"/>
      <c r="BL59" s="161"/>
      <c r="BM59" s="161"/>
      <c r="BN59" s="161"/>
      <c r="BO59" s="161"/>
      <c r="BP59" s="161">
        <v>1</v>
      </c>
      <c r="BQ59" s="161"/>
      <c r="BR59" s="161" t="s">
        <v>4727</v>
      </c>
      <c r="BS59" s="161"/>
      <c r="BT59" s="161" t="s">
        <v>4727</v>
      </c>
      <c r="BU59" s="161"/>
      <c r="BV59" s="161"/>
      <c r="BW59" s="596" t="s">
        <v>5337</v>
      </c>
      <c r="BX59" s="162" t="s">
        <v>6612</v>
      </c>
      <c r="BY59" s="797" t="s">
        <v>7617</v>
      </c>
      <c r="BZ59" s="790" t="s">
        <v>7610</v>
      </c>
      <c r="CA59" s="769">
        <v>2</v>
      </c>
      <c r="CB59" s="765" t="s">
        <v>7556</v>
      </c>
      <c r="CC59" s="854" t="s">
        <v>7380</v>
      </c>
      <c r="CD59" s="150" t="s">
        <v>1876</v>
      </c>
      <c r="CE59" s="150">
        <v>2</v>
      </c>
      <c r="CF59" s="400"/>
      <c r="CG59" s="150" t="s">
        <v>5338</v>
      </c>
      <c r="CH59" s="855" t="s">
        <v>7308</v>
      </c>
      <c r="CI59" s="150" t="s">
        <v>24</v>
      </c>
      <c r="CJ59" s="150"/>
      <c r="CK59" s="150" t="s">
        <v>5339</v>
      </c>
      <c r="CL59" s="150" t="s">
        <v>8262</v>
      </c>
      <c r="CM59" s="258" t="s">
        <v>5391</v>
      </c>
      <c r="CN59" s="257" t="s">
        <v>24</v>
      </c>
      <c r="CO59" s="829">
        <v>63</v>
      </c>
      <c r="CP59" s="828">
        <v>1</v>
      </c>
      <c r="CQ59" s="828">
        <v>5</v>
      </c>
      <c r="CR59" s="828">
        <v>1</v>
      </c>
      <c r="CS59" s="828">
        <v>1</v>
      </c>
      <c r="CT59" s="968"/>
      <c r="CU59" s="1288" t="s">
        <v>8103</v>
      </c>
      <c r="CV59" s="1294">
        <v>32</v>
      </c>
      <c r="CW59" s="1294">
        <v>25</v>
      </c>
      <c r="CX59" s="151" t="s">
        <v>5358</v>
      </c>
      <c r="CY59" s="150">
        <v>36.770000000000003</v>
      </c>
      <c r="CZ59" s="150">
        <v>4.7</v>
      </c>
      <c r="DA59" s="150" t="s">
        <v>24</v>
      </c>
      <c r="DB59" s="151" t="s">
        <v>5359</v>
      </c>
      <c r="DC59" s="150">
        <v>36.64</v>
      </c>
      <c r="DD59" s="150">
        <v>4.5999999999999996</v>
      </c>
      <c r="DE59" s="150" t="s">
        <v>24</v>
      </c>
      <c r="DF59" s="549" t="s">
        <v>5374</v>
      </c>
      <c r="DG59" s="551" t="s">
        <v>5375</v>
      </c>
      <c r="DH59" s="1179"/>
      <c r="DI59" s="417"/>
      <c r="DJ59" s="419"/>
      <c r="DK59" s="417"/>
      <c r="DL59" s="1169"/>
      <c r="DM59" s="417"/>
      <c r="DN59" s="1169"/>
      <c r="DO59" s="1151"/>
      <c r="DP59" s="288"/>
      <c r="DQ59" s="441"/>
      <c r="DR59" s="1168"/>
      <c r="DS59" s="865"/>
      <c r="DT59" s="1171"/>
      <c r="DU59" s="1169"/>
      <c r="DV59" s="1169"/>
      <c r="DW59" s="1169"/>
      <c r="DX59" s="1169"/>
      <c r="DY59" s="1169"/>
      <c r="DZ59" s="1169"/>
      <c r="EA59" s="1169"/>
      <c r="EB59" s="304"/>
      <c r="EC59" s="312"/>
      <c r="ED59" s="1169"/>
      <c r="EE59" s="1169"/>
      <c r="EF59" s="1169"/>
      <c r="EG59" s="1169"/>
      <c r="EH59" s="1169"/>
      <c r="EI59" s="1169"/>
      <c r="EJ59" s="1169"/>
      <c r="EK59" s="1169"/>
      <c r="EL59" s="304"/>
      <c r="EM59" s="312"/>
      <c r="EN59" s="1167"/>
      <c r="EO59" s="1165"/>
      <c r="EP59" s="1169"/>
      <c r="EQ59" s="1169"/>
      <c r="ER59" s="1169"/>
      <c r="ES59" s="1169"/>
      <c r="ET59" s="1169"/>
      <c r="EU59" s="1169"/>
      <c r="EV59" s="1169"/>
      <c r="EW59" s="1169"/>
      <c r="EX59" s="312"/>
      <c r="EY59" s="312"/>
      <c r="EZ59" s="1169"/>
      <c r="FA59" s="1169"/>
      <c r="FB59" s="1169"/>
      <c r="FC59" s="1169"/>
      <c r="FD59" s="1169"/>
      <c r="FE59" s="1169"/>
      <c r="FF59" s="1169"/>
      <c r="FG59" s="1169"/>
      <c r="FH59" s="312"/>
      <c r="FI59" s="312"/>
      <c r="FJ59" s="1165"/>
    </row>
    <row r="60" spans="1:166" s="229" customFormat="1" ht="15" hidden="1" customHeight="1">
      <c r="A60" s="153" t="s">
        <v>1100</v>
      </c>
      <c r="B60" s="1535">
        <v>8</v>
      </c>
      <c r="C60" s="1535"/>
      <c r="D60" s="1535"/>
      <c r="E60" s="610" t="s">
        <v>2057</v>
      </c>
      <c r="F60" s="368" t="s">
        <v>2301</v>
      </c>
      <c r="G60" s="369">
        <v>2013</v>
      </c>
      <c r="H60" s="153">
        <v>21736515</v>
      </c>
      <c r="I60" s="153">
        <v>1</v>
      </c>
      <c r="J60" s="370">
        <v>1</v>
      </c>
      <c r="K60" s="371"/>
      <c r="L60" s="153">
        <v>1</v>
      </c>
      <c r="M60" s="153"/>
      <c r="N60" s="153">
        <v>1</v>
      </c>
      <c r="O60" s="153">
        <v>2</v>
      </c>
      <c r="P60" s="153" t="s">
        <v>1223</v>
      </c>
      <c r="Q60" s="153" t="s">
        <v>1171</v>
      </c>
      <c r="R60" s="153" t="s">
        <v>1221</v>
      </c>
      <c r="S60" s="153"/>
      <c r="T60" s="153" t="s">
        <v>1488</v>
      </c>
      <c r="U60" s="153" t="s">
        <v>23</v>
      </c>
      <c r="V60" s="153" t="s">
        <v>23</v>
      </c>
      <c r="W60" s="153" t="s">
        <v>1686</v>
      </c>
      <c r="X60" s="153"/>
      <c r="Y60" s="153" t="s">
        <v>13</v>
      </c>
      <c r="Z60" s="153"/>
      <c r="AA60" s="153" t="s">
        <v>1222</v>
      </c>
      <c r="AB60" s="153"/>
      <c r="AC60" s="536"/>
      <c r="AD60" s="536">
        <v>1</v>
      </c>
      <c r="AE60" s="536">
        <v>2</v>
      </c>
      <c r="AF60" s="165">
        <v>0</v>
      </c>
      <c r="AG60" s="166" t="s">
        <v>7686</v>
      </c>
      <c r="AH60" s="509">
        <v>0</v>
      </c>
      <c r="AI60" s="120">
        <v>5</v>
      </c>
      <c r="AJ60" s="120"/>
      <c r="AK60" s="206" t="s">
        <v>2666</v>
      </c>
      <c r="AL60" s="372">
        <v>0</v>
      </c>
      <c r="AM60" s="207">
        <v>0</v>
      </c>
      <c r="AN60" s="120">
        <f>6+10</f>
        <v>16</v>
      </c>
      <c r="AO60" s="120">
        <v>6</v>
      </c>
      <c r="AP60" s="120">
        <v>10</v>
      </c>
      <c r="AQ60" s="120" t="s">
        <v>803</v>
      </c>
      <c r="AR60" s="120" t="s">
        <v>803</v>
      </c>
      <c r="AS60" s="120" t="s">
        <v>2654</v>
      </c>
      <c r="AT60" s="120" t="s">
        <v>24</v>
      </c>
      <c r="AU60" s="120" t="s">
        <v>2654</v>
      </c>
      <c r="AV60" s="120" t="s">
        <v>24</v>
      </c>
      <c r="AW60" s="120" t="s">
        <v>7649</v>
      </c>
      <c r="AX60" s="120">
        <v>1</v>
      </c>
      <c r="AY60" s="120">
        <v>0.7</v>
      </c>
      <c r="AZ60" s="755" t="s">
        <v>1814</v>
      </c>
      <c r="BA60" s="120">
        <v>1</v>
      </c>
      <c r="BB60" s="120" t="s">
        <v>3317</v>
      </c>
      <c r="BC60" s="120" t="s">
        <v>7428</v>
      </c>
      <c r="BD60" s="755" t="s">
        <v>7523</v>
      </c>
      <c r="BE60" s="755"/>
      <c r="BF60" s="120" t="s">
        <v>1221</v>
      </c>
      <c r="BG60" s="734" t="s">
        <v>2554</v>
      </c>
      <c r="BH60" s="372"/>
      <c r="BI60" s="372"/>
      <c r="BJ60" s="373">
        <v>1</v>
      </c>
      <c r="BK60" s="373"/>
      <c r="BL60" s="373"/>
      <c r="BM60" s="373"/>
      <c r="BN60" s="373"/>
      <c r="BO60" s="373"/>
      <c r="BP60" s="373"/>
      <c r="BQ60" s="373"/>
      <c r="BR60" s="373"/>
      <c r="BS60" s="373"/>
      <c r="BT60" s="373"/>
      <c r="BU60" s="373"/>
      <c r="BV60" s="373"/>
      <c r="BW60" s="599" t="s">
        <v>6701</v>
      </c>
      <c r="BX60" s="374" t="s">
        <v>6657</v>
      </c>
      <c r="BY60" s="799" t="s">
        <v>7613</v>
      </c>
      <c r="BZ60" s="374" t="s">
        <v>803</v>
      </c>
      <c r="CA60" s="511">
        <v>1</v>
      </c>
      <c r="CB60" s="511" t="s">
        <v>7556</v>
      </c>
      <c r="CC60" s="511" t="s">
        <v>7384</v>
      </c>
      <c r="CD60" s="120" t="s">
        <v>1876</v>
      </c>
      <c r="CE60" s="120" t="s">
        <v>2656</v>
      </c>
      <c r="CF60" s="786" t="s">
        <v>7579</v>
      </c>
      <c r="CG60" s="120" t="s">
        <v>7429</v>
      </c>
      <c r="CH60" s="755" t="s">
        <v>7310</v>
      </c>
      <c r="CI60" s="120" t="s">
        <v>1121</v>
      </c>
      <c r="CJ60" s="120">
        <v>0</v>
      </c>
      <c r="CK60" s="120" t="s">
        <v>2659</v>
      </c>
      <c r="CL60" s="120" t="s">
        <v>2659</v>
      </c>
      <c r="CM60" s="675" t="s">
        <v>2665</v>
      </c>
      <c r="CN60" s="380" t="s">
        <v>6627</v>
      </c>
      <c r="CO60" s="380"/>
      <c r="CP60" s="380"/>
      <c r="CQ60" s="380"/>
      <c r="CR60" s="380"/>
      <c r="CS60" s="380"/>
      <c r="CT60" s="380"/>
      <c r="CU60" s="380"/>
      <c r="CV60" s="380"/>
      <c r="CW60" s="380"/>
      <c r="CX60" s="376" t="s">
        <v>2661</v>
      </c>
      <c r="CY60" s="683">
        <v>38.89</v>
      </c>
      <c r="CZ60" s="120" t="s">
        <v>24</v>
      </c>
      <c r="DA60" s="683">
        <v>9.9700000000000006</v>
      </c>
      <c r="DB60" s="376" t="s">
        <v>2662</v>
      </c>
      <c r="DC60" s="683">
        <v>5.56</v>
      </c>
      <c r="DD60" s="120" t="s">
        <v>24</v>
      </c>
      <c r="DE60" s="815">
        <v>3.8</v>
      </c>
      <c r="DF60" s="515" t="s">
        <v>2663</v>
      </c>
      <c r="DG60" s="513" t="s">
        <v>2664</v>
      </c>
      <c r="DH60" s="718" t="s">
        <v>24</v>
      </c>
      <c r="DI60" s="683" t="s">
        <v>24</v>
      </c>
      <c r="DJ60" s="384"/>
      <c r="DK60" s="683"/>
      <c r="DL60" s="718"/>
      <c r="DM60" s="683"/>
      <c r="DN60" s="384"/>
      <c r="DO60" s="815"/>
      <c r="DP60" s="375"/>
      <c r="DQ60" s="379"/>
      <c r="DR60" s="868"/>
      <c r="DS60" s="956"/>
      <c r="DT60" s="727"/>
      <c r="DU60" s="683"/>
      <c r="DV60" s="384"/>
      <c r="DW60" s="683"/>
      <c r="DX60" s="384"/>
      <c r="DY60" s="683"/>
      <c r="DZ60" s="384"/>
      <c r="EA60" s="683"/>
      <c r="EB60" s="1012"/>
      <c r="EC60" s="384"/>
      <c r="ED60" s="384"/>
      <c r="EE60" s="683"/>
      <c r="EF60" s="384"/>
      <c r="EG60" s="683"/>
      <c r="EH60" s="384"/>
      <c r="EI60" s="683"/>
      <c r="EJ60" s="384"/>
      <c r="EK60" s="683"/>
      <c r="EL60" s="1012"/>
      <c r="EM60" s="384"/>
      <c r="EN60" s="804"/>
      <c r="EO60" s="683"/>
      <c r="EP60" s="683"/>
      <c r="EQ60" s="683"/>
      <c r="ER60" s="683"/>
      <c r="ES60" s="683"/>
      <c r="ET60" s="719"/>
      <c r="EU60" s="683"/>
      <c r="EV60" s="683"/>
      <c r="EW60" s="683"/>
      <c r="EX60" s="683"/>
      <c r="EY60" s="683"/>
      <c r="EZ60" s="719"/>
      <c r="FA60" s="683"/>
      <c r="FB60" s="683"/>
      <c r="FC60" s="683"/>
      <c r="FD60" s="719"/>
      <c r="FE60" s="683"/>
      <c r="FF60" s="683"/>
      <c r="FG60" s="683"/>
      <c r="FH60" s="683"/>
      <c r="FI60" s="683"/>
      <c r="FJ60" s="683"/>
    </row>
    <row r="61" spans="1:166" s="229" customFormat="1" ht="15" hidden="1" customHeight="1">
      <c r="A61" s="153" t="s">
        <v>1099</v>
      </c>
      <c r="B61" s="1535">
        <v>9</v>
      </c>
      <c r="C61" s="1535"/>
      <c r="D61" s="1535"/>
      <c r="E61" s="610" t="s">
        <v>2058</v>
      </c>
      <c r="F61" s="368" t="s">
        <v>2302</v>
      </c>
      <c r="G61" s="369">
        <v>2006</v>
      </c>
      <c r="H61" s="153">
        <v>16971540</v>
      </c>
      <c r="I61" s="153">
        <v>1</v>
      </c>
      <c r="J61" s="370">
        <v>1</v>
      </c>
      <c r="K61" s="371"/>
      <c r="L61" s="153">
        <v>1</v>
      </c>
      <c r="M61" s="153"/>
      <c r="N61" s="153">
        <v>1</v>
      </c>
      <c r="O61" s="153">
        <v>2</v>
      </c>
      <c r="P61" s="153" t="s">
        <v>1220</v>
      </c>
      <c r="Q61" s="153" t="s">
        <v>1162</v>
      </c>
      <c r="R61" s="153" t="s">
        <v>1225</v>
      </c>
      <c r="S61" s="153"/>
      <c r="T61" s="153" t="s">
        <v>1501</v>
      </c>
      <c r="U61" s="153" t="s">
        <v>23</v>
      </c>
      <c r="V61" s="153" t="s">
        <v>23</v>
      </c>
      <c r="W61" s="153" t="s">
        <v>1501</v>
      </c>
      <c r="X61" s="153" t="s">
        <v>24</v>
      </c>
      <c r="Y61" s="153" t="s">
        <v>24</v>
      </c>
      <c r="Z61" s="153"/>
      <c r="AA61" s="153" t="s">
        <v>1226</v>
      </c>
      <c r="AB61" s="153"/>
      <c r="AC61" s="536"/>
      <c r="AD61" s="536">
        <v>1</v>
      </c>
      <c r="AE61" s="536">
        <v>2</v>
      </c>
      <c r="AF61" s="165">
        <v>0</v>
      </c>
      <c r="AG61" s="166" t="s">
        <v>7685</v>
      </c>
      <c r="AH61" s="509">
        <v>0</v>
      </c>
      <c r="AI61" s="120">
        <v>5</v>
      </c>
      <c r="AJ61" s="120"/>
      <c r="AK61" s="206" t="s">
        <v>2671</v>
      </c>
      <c r="AL61" s="372">
        <v>0</v>
      </c>
      <c r="AM61" s="207">
        <v>1</v>
      </c>
      <c r="AN61" s="120">
        <v>24</v>
      </c>
      <c r="AO61" s="120">
        <v>12</v>
      </c>
      <c r="AP61" s="120" t="s">
        <v>2672</v>
      </c>
      <c r="AQ61" s="120" t="s">
        <v>803</v>
      </c>
      <c r="AR61" s="120" t="s">
        <v>803</v>
      </c>
      <c r="AS61" s="120" t="s">
        <v>2667</v>
      </c>
      <c r="AT61" s="120" t="s">
        <v>24</v>
      </c>
      <c r="AU61" s="120" t="s">
        <v>2667</v>
      </c>
      <c r="AV61" s="120" t="s">
        <v>24</v>
      </c>
      <c r="AW61" s="120" t="s">
        <v>7430</v>
      </c>
      <c r="AX61" s="120">
        <v>2</v>
      </c>
      <c r="AY61" s="120">
        <v>0.5</v>
      </c>
      <c r="AZ61" s="755" t="s">
        <v>1814</v>
      </c>
      <c r="BA61" s="120">
        <v>1</v>
      </c>
      <c r="BB61" s="120" t="s">
        <v>3320</v>
      </c>
      <c r="BC61" s="120" t="s">
        <v>2674</v>
      </c>
      <c r="BD61" s="755"/>
      <c r="BE61" s="755"/>
      <c r="BF61" s="120" t="s">
        <v>2668</v>
      </c>
      <c r="BG61" s="120" t="s">
        <v>2669</v>
      </c>
      <c r="BH61" s="377"/>
      <c r="BI61" s="377"/>
      <c r="BJ61" s="373">
        <v>1</v>
      </c>
      <c r="BK61" s="373"/>
      <c r="BL61" s="373"/>
      <c r="BM61" s="373"/>
      <c r="BN61" s="373"/>
      <c r="BO61" s="373"/>
      <c r="BP61" s="373"/>
      <c r="BQ61" s="373"/>
      <c r="BR61" s="373"/>
      <c r="BS61" s="373"/>
      <c r="BT61" s="373"/>
      <c r="BU61" s="373"/>
      <c r="BV61" s="373"/>
      <c r="BW61" s="599" t="s">
        <v>7431</v>
      </c>
      <c r="BX61" s="374" t="s">
        <v>6657</v>
      </c>
      <c r="BY61" s="374"/>
      <c r="BZ61" s="374"/>
      <c r="CA61" s="511">
        <v>1</v>
      </c>
      <c r="CB61" s="511"/>
      <c r="CC61" s="511" t="s">
        <v>7384</v>
      </c>
      <c r="CD61" s="120" t="s">
        <v>1876</v>
      </c>
      <c r="CE61" s="120" t="s">
        <v>2670</v>
      </c>
      <c r="CF61" s="120" t="s">
        <v>7659</v>
      </c>
      <c r="CG61" s="120" t="s">
        <v>2675</v>
      </c>
      <c r="CH61" s="755" t="s">
        <v>7310</v>
      </c>
      <c r="CI61" s="120" t="s">
        <v>23</v>
      </c>
      <c r="CJ61" s="120">
        <v>0</v>
      </c>
      <c r="CK61" s="120" t="s">
        <v>2659</v>
      </c>
      <c r="CL61" s="120" t="s">
        <v>2659</v>
      </c>
      <c r="CM61" s="375" t="s">
        <v>2680</v>
      </c>
      <c r="CN61" s="380" t="s">
        <v>23</v>
      </c>
      <c r="CO61" s="380"/>
      <c r="CP61" s="380"/>
      <c r="CQ61" s="380"/>
      <c r="CR61" s="380"/>
      <c r="CS61" s="380"/>
      <c r="CT61" s="380"/>
      <c r="CU61" s="380"/>
      <c r="CV61" s="380"/>
      <c r="CW61" s="380"/>
      <c r="CX61" s="376" t="s">
        <v>2676</v>
      </c>
      <c r="CY61" s="120">
        <v>62.957799999999999</v>
      </c>
      <c r="CZ61" s="120" t="s">
        <v>24</v>
      </c>
      <c r="DA61" s="120">
        <f>68.3645-Table66[[#This Row],[Data_Outcome1_M]]</f>
        <v>5.4067000000000078</v>
      </c>
      <c r="DB61" s="376" t="s">
        <v>2677</v>
      </c>
      <c r="DC61" s="120">
        <v>62.246299999999998</v>
      </c>
      <c r="DD61" s="120" t="s">
        <v>24</v>
      </c>
      <c r="DE61" s="120">
        <f>66.2302-Table66[[#This Row],[Data_Outcome2_M]]</f>
        <v>3.9838999999999984</v>
      </c>
      <c r="DF61" s="515" t="s">
        <v>2678</v>
      </c>
      <c r="DG61" s="513" t="s">
        <v>2679</v>
      </c>
      <c r="DH61" s="727" t="s">
        <v>24</v>
      </c>
      <c r="DI61" s="384" t="s">
        <v>24</v>
      </c>
      <c r="DJ61" s="384"/>
      <c r="DK61" s="384"/>
      <c r="DL61" s="727"/>
      <c r="DM61" s="384"/>
      <c r="DN61" s="384"/>
      <c r="DO61" s="384"/>
      <c r="DP61" s="375"/>
      <c r="DQ61" s="377"/>
      <c r="DR61" s="1182"/>
      <c r="DS61" s="956"/>
      <c r="DT61" s="727"/>
      <c r="DU61" s="384"/>
      <c r="DV61" s="384"/>
      <c r="DW61" s="384"/>
      <c r="DX61" s="384"/>
      <c r="DY61" s="384"/>
      <c r="DZ61" s="384"/>
      <c r="EA61" s="384"/>
      <c r="EB61" s="1012"/>
      <c r="EC61" s="384"/>
      <c r="ED61" s="384"/>
      <c r="EE61" s="384"/>
      <c r="EF61" s="384"/>
      <c r="EG61" s="384"/>
      <c r="EH61" s="384"/>
      <c r="EI61" s="384"/>
      <c r="EJ61" s="384"/>
      <c r="EK61" s="384"/>
      <c r="EL61" s="1012"/>
      <c r="EM61" s="384"/>
      <c r="EN61" s="1012"/>
      <c r="EO61" s="384"/>
      <c r="EP61" s="384"/>
      <c r="EQ61" s="384"/>
      <c r="ER61" s="384"/>
      <c r="ES61" s="384"/>
      <c r="ET61" s="727"/>
      <c r="EU61" s="384"/>
      <c r="EV61" s="384"/>
      <c r="EW61" s="384"/>
      <c r="EX61" s="384"/>
      <c r="EY61" s="384"/>
      <c r="EZ61" s="727"/>
      <c r="FA61" s="384"/>
      <c r="FB61" s="384"/>
      <c r="FC61" s="384"/>
      <c r="FD61" s="727"/>
      <c r="FE61" s="384"/>
      <c r="FF61" s="384"/>
      <c r="FG61" s="384"/>
      <c r="FH61" s="384"/>
      <c r="FI61" s="384"/>
      <c r="FJ61" s="384"/>
    </row>
    <row r="62" spans="1:166" ht="15" hidden="1" customHeight="1">
      <c r="A62" s="79" t="s">
        <v>111</v>
      </c>
      <c r="B62" s="362">
        <v>79</v>
      </c>
      <c r="C62" s="362"/>
      <c r="D62" s="362">
        <v>17</v>
      </c>
      <c r="E62" s="604" t="s">
        <v>1934</v>
      </c>
      <c r="F62" s="124" t="s">
        <v>2152</v>
      </c>
      <c r="G62" s="125">
        <v>1999</v>
      </c>
      <c r="H62" s="79">
        <v>10378168</v>
      </c>
      <c r="I62" s="79">
        <v>1</v>
      </c>
      <c r="J62" s="126"/>
      <c r="K62" s="127"/>
      <c r="L62" s="79">
        <v>1</v>
      </c>
      <c r="M62" s="79" t="s">
        <v>1734</v>
      </c>
      <c r="N62" s="171">
        <v>1</v>
      </c>
      <c r="O62" s="128">
        <v>1</v>
      </c>
      <c r="P62" s="79" t="s">
        <v>383</v>
      </c>
      <c r="Q62" s="79" t="s">
        <v>1143</v>
      </c>
      <c r="R62" s="79" t="s">
        <v>25</v>
      </c>
      <c r="S62" s="79">
        <v>1</v>
      </c>
      <c r="T62" s="79"/>
      <c r="U62" s="79"/>
      <c r="V62" s="79"/>
      <c r="W62" s="79" t="s">
        <v>382</v>
      </c>
      <c r="X62" s="79"/>
      <c r="Y62" s="79"/>
      <c r="Z62" s="79"/>
      <c r="AA62" s="79"/>
      <c r="AB62" s="79"/>
      <c r="AC62" s="506" t="s">
        <v>31</v>
      </c>
      <c r="AD62" s="573">
        <v>1</v>
      </c>
      <c r="AE62" s="573">
        <v>0</v>
      </c>
      <c r="AF62" s="924">
        <v>2</v>
      </c>
      <c r="AG62" s="925"/>
      <c r="AH62" s="911"/>
      <c r="AI62" s="923">
        <v>2</v>
      </c>
      <c r="AJ62" s="923"/>
      <c r="AK62" s="926"/>
      <c r="AL62" s="588"/>
      <c r="AM62" s="927"/>
      <c r="AN62" s="923"/>
      <c r="AO62" s="923"/>
      <c r="AP62" s="923"/>
      <c r="AQ62" s="923"/>
      <c r="AR62" s="923"/>
      <c r="AS62" s="923"/>
      <c r="AT62" s="923"/>
      <c r="AU62" s="923"/>
      <c r="AV62" s="923"/>
      <c r="AW62" s="923"/>
      <c r="AX62" s="923"/>
      <c r="AY62" s="923"/>
      <c r="AZ62" s="915"/>
      <c r="BA62" s="923"/>
      <c r="BB62" s="923"/>
      <c r="BC62" s="923"/>
      <c r="BD62" s="915"/>
      <c r="BE62" s="915"/>
      <c r="BF62" s="923"/>
      <c r="BG62" s="923"/>
      <c r="BH62" s="594"/>
      <c r="BI62" s="594"/>
      <c r="BJ62" s="156"/>
      <c r="BK62" s="156"/>
      <c r="BL62" s="156" t="s">
        <v>5207</v>
      </c>
      <c r="BM62" s="156"/>
      <c r="BN62" s="156"/>
      <c r="BO62" s="156"/>
      <c r="BP62" s="156"/>
      <c r="BQ62" s="156"/>
      <c r="BR62" s="156"/>
      <c r="BS62" s="156"/>
      <c r="BT62" s="156"/>
      <c r="BU62" s="156"/>
      <c r="BV62" s="156"/>
      <c r="BW62" s="928"/>
      <c r="BX62" s="929"/>
      <c r="BY62" s="929"/>
      <c r="BZ62" s="929"/>
      <c r="CA62" s="917"/>
      <c r="CB62" s="917"/>
      <c r="CC62" s="917"/>
      <c r="CD62" s="923"/>
      <c r="CE62" s="923"/>
      <c r="CF62" s="923"/>
      <c r="CG62" s="923"/>
      <c r="CH62" s="915"/>
      <c r="CI62" s="923"/>
      <c r="CJ62" s="923"/>
      <c r="CK62" s="923"/>
      <c r="CL62" s="923"/>
      <c r="CM62" s="930"/>
      <c r="CN62" s="931"/>
      <c r="CO62" s="931"/>
      <c r="CP62" s="931"/>
      <c r="CQ62" s="931"/>
      <c r="CR62" s="931"/>
      <c r="CS62" s="931"/>
      <c r="CT62" s="967"/>
      <c r="CU62" s="967"/>
      <c r="CV62" s="967"/>
      <c r="CW62" s="967"/>
      <c r="CX62" s="932"/>
      <c r="CY62" s="923"/>
      <c r="CZ62" s="923"/>
      <c r="DA62" s="923"/>
      <c r="DB62" s="932"/>
      <c r="DC62" s="923"/>
      <c r="DD62" s="923"/>
      <c r="DE62" s="923"/>
      <c r="DF62" s="920"/>
      <c r="DG62" s="598"/>
      <c r="DH62" s="950"/>
      <c r="DI62" s="951"/>
      <c r="DJ62" s="951"/>
      <c r="DK62" s="951"/>
      <c r="DL62" s="950"/>
      <c r="DM62" s="951"/>
      <c r="DN62" s="951"/>
      <c r="DO62" s="951"/>
      <c r="DP62" s="930"/>
      <c r="DQ62" s="594"/>
      <c r="DR62" s="1187"/>
      <c r="DS62" s="1186"/>
      <c r="DT62" s="950"/>
      <c r="DU62" s="951"/>
      <c r="DV62" s="951"/>
      <c r="DW62" s="951"/>
      <c r="DX62" s="951"/>
      <c r="DY62" s="951"/>
      <c r="DZ62" s="951"/>
      <c r="EA62" s="951"/>
      <c r="EB62" s="1185"/>
      <c r="EC62" s="951"/>
      <c r="ED62" s="951"/>
      <c r="EE62" s="951"/>
      <c r="EF62" s="951"/>
      <c r="EG62" s="951"/>
      <c r="EH62" s="951"/>
      <c r="EI62" s="951"/>
      <c r="EJ62" s="951"/>
      <c r="EK62" s="951"/>
      <c r="EL62" s="1185"/>
      <c r="EM62" s="951"/>
      <c r="EN62" s="1185"/>
      <c r="EO62" s="951"/>
      <c r="EP62" s="951"/>
      <c r="EQ62" s="951"/>
      <c r="ER62" s="951"/>
      <c r="ES62" s="951"/>
      <c r="ET62" s="950"/>
      <c r="EU62" s="951"/>
      <c r="EV62" s="951"/>
      <c r="EW62" s="951"/>
      <c r="EX62" s="951"/>
      <c r="EY62" s="951"/>
      <c r="EZ62" s="950"/>
      <c r="FA62" s="951"/>
      <c r="FB62" s="951"/>
      <c r="FC62" s="951"/>
      <c r="FD62" s="950"/>
      <c r="FE62" s="951"/>
      <c r="FF62" s="951"/>
      <c r="FG62" s="951"/>
      <c r="FH62" s="951"/>
      <c r="FI62" s="951"/>
      <c r="FJ62" s="951"/>
    </row>
    <row r="63" spans="1:166" ht="15" hidden="1" customHeight="1">
      <c r="A63" s="153" t="s">
        <v>112</v>
      </c>
      <c r="B63" s="1535">
        <v>10</v>
      </c>
      <c r="C63" s="1535"/>
      <c r="D63" s="1535"/>
      <c r="E63" s="610" t="s">
        <v>1935</v>
      </c>
      <c r="F63" s="368" t="s">
        <v>2153</v>
      </c>
      <c r="G63" s="369">
        <v>2013</v>
      </c>
      <c r="H63" s="153">
        <v>23673864</v>
      </c>
      <c r="I63" s="153">
        <v>1</v>
      </c>
      <c r="J63" s="370"/>
      <c r="K63" s="371"/>
      <c r="L63" s="153">
        <v>1</v>
      </c>
      <c r="M63" s="153" t="s">
        <v>1735</v>
      </c>
      <c r="N63" s="153">
        <v>1</v>
      </c>
      <c r="O63" s="153">
        <v>1</v>
      </c>
      <c r="P63" s="153" t="s">
        <v>384</v>
      </c>
      <c r="Q63" s="153"/>
      <c r="R63" s="153" t="s">
        <v>386</v>
      </c>
      <c r="S63" s="153"/>
      <c r="T63" s="153"/>
      <c r="U63" s="153"/>
      <c r="V63" s="153"/>
      <c r="W63" s="153" t="s">
        <v>385</v>
      </c>
      <c r="X63" s="153" t="s">
        <v>44</v>
      </c>
      <c r="Y63" s="153"/>
      <c r="Z63" s="153"/>
      <c r="AA63" s="153"/>
      <c r="AB63" s="153" t="s">
        <v>387</v>
      </c>
      <c r="AC63" s="536"/>
      <c r="AD63" s="536">
        <v>1</v>
      </c>
      <c r="AE63" s="536">
        <v>2</v>
      </c>
      <c r="AF63" s="165">
        <v>0</v>
      </c>
      <c r="AG63" s="166" t="s">
        <v>7250</v>
      </c>
      <c r="AH63" s="509">
        <v>0</v>
      </c>
      <c r="AI63" s="120">
        <v>3</v>
      </c>
      <c r="AJ63" s="120"/>
      <c r="AK63" s="206" t="s">
        <v>2681</v>
      </c>
      <c r="AL63" s="372">
        <v>0</v>
      </c>
      <c r="AM63" s="207"/>
      <c r="AN63" s="120"/>
      <c r="AO63" s="120">
        <v>17</v>
      </c>
      <c r="AP63" s="120">
        <v>38</v>
      </c>
      <c r="AQ63" s="120" t="s">
        <v>2683</v>
      </c>
      <c r="AR63" s="120" t="s">
        <v>2684</v>
      </c>
      <c r="AS63" s="120"/>
      <c r="AT63" s="120"/>
      <c r="AU63" s="120"/>
      <c r="AV63" s="120"/>
      <c r="AW63" s="120"/>
      <c r="AX63" s="120"/>
      <c r="AY63" s="120"/>
      <c r="AZ63" s="755"/>
      <c r="BA63" s="120"/>
      <c r="BB63" s="120"/>
      <c r="BC63" s="120"/>
      <c r="BD63" s="755"/>
      <c r="BE63" s="755"/>
      <c r="BF63" s="120"/>
      <c r="BG63" s="120" t="s">
        <v>2682</v>
      </c>
      <c r="BH63" s="377"/>
      <c r="BI63" s="377"/>
      <c r="BJ63" s="373"/>
      <c r="BK63" s="373"/>
      <c r="BL63" s="373"/>
      <c r="BM63" s="373"/>
      <c r="BN63" s="373"/>
      <c r="BO63" s="373"/>
      <c r="BP63" s="373"/>
      <c r="BQ63" s="373"/>
      <c r="BR63" s="373"/>
      <c r="BS63" s="373"/>
      <c r="BT63" s="373"/>
      <c r="BU63" s="373"/>
      <c r="BV63" s="373" t="s">
        <v>1917</v>
      </c>
      <c r="BW63" s="599"/>
      <c r="BX63" s="374"/>
      <c r="BY63" s="374"/>
      <c r="BZ63" s="374"/>
      <c r="CA63" s="510"/>
      <c r="CB63" s="510"/>
      <c r="CC63" s="510"/>
      <c r="CD63" s="120"/>
      <c r="CE63" s="120"/>
      <c r="CF63" s="120"/>
      <c r="CG63" s="120"/>
      <c r="CH63" s="755"/>
      <c r="CI63" s="120"/>
      <c r="CJ63" s="120"/>
      <c r="CK63" s="120"/>
      <c r="CL63" s="120"/>
      <c r="CM63" s="375"/>
      <c r="CN63" s="380"/>
      <c r="CO63" s="380"/>
      <c r="CP63" s="380"/>
      <c r="CQ63" s="380"/>
      <c r="CR63" s="380"/>
      <c r="CS63" s="380"/>
      <c r="CT63" s="380"/>
      <c r="CU63" s="380"/>
      <c r="CV63" s="380"/>
      <c r="CW63" s="380"/>
      <c r="CX63" s="376"/>
      <c r="CY63" s="120"/>
      <c r="CZ63" s="120"/>
      <c r="DA63" s="120"/>
      <c r="DB63" s="376"/>
      <c r="DC63" s="120"/>
      <c r="DD63" s="120"/>
      <c r="DE63" s="120"/>
      <c r="DF63" s="515"/>
      <c r="DG63" s="513"/>
      <c r="DH63" s="727"/>
      <c r="DI63" s="384"/>
      <c r="DJ63" s="384"/>
      <c r="DK63" s="384"/>
      <c r="DL63" s="727"/>
      <c r="DM63" s="384"/>
      <c r="DN63" s="384"/>
      <c r="DO63" s="384"/>
      <c r="DP63" s="375"/>
      <c r="DQ63" s="377"/>
      <c r="DR63" s="1182"/>
      <c r="DS63" s="956"/>
      <c r="DT63" s="727"/>
      <c r="DU63" s="384"/>
      <c r="DV63" s="384"/>
      <c r="DW63" s="384"/>
      <c r="DX63" s="384"/>
      <c r="DY63" s="384"/>
      <c r="DZ63" s="384"/>
      <c r="EA63" s="384"/>
      <c r="EB63" s="1012"/>
      <c r="EC63" s="384"/>
      <c r="ED63" s="384"/>
      <c r="EE63" s="384"/>
      <c r="EF63" s="384"/>
      <c r="EG63" s="384"/>
      <c r="EH63" s="384"/>
      <c r="EI63" s="384"/>
      <c r="EJ63" s="384"/>
      <c r="EK63" s="384"/>
      <c r="EL63" s="1012"/>
      <c r="EM63" s="384"/>
      <c r="EN63" s="1012"/>
      <c r="EO63" s="384"/>
      <c r="EP63" s="384"/>
      <c r="EQ63" s="384"/>
      <c r="ER63" s="384"/>
      <c r="ES63" s="384"/>
      <c r="ET63" s="727"/>
      <c r="EU63" s="384"/>
      <c r="EV63" s="384"/>
      <c r="EW63" s="384"/>
      <c r="EX63" s="384"/>
      <c r="EY63" s="384"/>
      <c r="EZ63" s="727"/>
      <c r="FA63" s="384"/>
      <c r="FB63" s="384"/>
      <c r="FC63" s="384"/>
      <c r="FD63" s="727"/>
      <c r="FE63" s="384"/>
      <c r="FF63" s="384"/>
      <c r="FG63" s="384"/>
      <c r="FH63" s="384"/>
      <c r="FI63" s="384"/>
      <c r="FJ63" s="384"/>
    </row>
    <row r="64" spans="1:166" ht="15" customHeight="1">
      <c r="A64" s="118" t="s">
        <v>1083</v>
      </c>
      <c r="B64" s="614">
        <v>13</v>
      </c>
      <c r="C64" s="614"/>
      <c r="D64" s="614"/>
      <c r="E64" s="605" t="s">
        <v>2060</v>
      </c>
      <c r="F64" s="140" t="s">
        <v>2312</v>
      </c>
      <c r="G64" s="141">
        <v>2012</v>
      </c>
      <c r="H64" s="118">
        <v>21925525</v>
      </c>
      <c r="I64" s="118">
        <v>1</v>
      </c>
      <c r="J64" s="118" t="s">
        <v>1831</v>
      </c>
      <c r="K64" s="118"/>
      <c r="L64" s="118">
        <v>0</v>
      </c>
      <c r="M64" s="118"/>
      <c r="N64" s="158">
        <v>0</v>
      </c>
      <c r="O64" s="142">
        <v>2</v>
      </c>
      <c r="P64" s="118" t="s">
        <v>1273</v>
      </c>
      <c r="Q64" s="118" t="s">
        <v>1212</v>
      </c>
      <c r="R64" s="118" t="s">
        <v>1127</v>
      </c>
      <c r="S64" s="118"/>
      <c r="T64" s="118" t="s">
        <v>1829</v>
      </c>
      <c r="U64" s="118"/>
      <c r="V64" s="118"/>
      <c r="W64" s="118" t="s">
        <v>1830</v>
      </c>
      <c r="X64" s="118"/>
      <c r="Y64" s="118"/>
      <c r="Z64" s="118"/>
      <c r="AA64" s="118"/>
      <c r="AB64" s="118" t="s">
        <v>1488</v>
      </c>
      <c r="AC64" s="145"/>
      <c r="AD64" s="573">
        <v>1</v>
      </c>
      <c r="AE64" s="573">
        <v>2</v>
      </c>
      <c r="AF64" s="159">
        <v>1</v>
      </c>
      <c r="AG64" s="160" t="s">
        <v>7665</v>
      </c>
      <c r="AH64" s="704">
        <v>0</v>
      </c>
      <c r="AI64" s="122">
        <v>4</v>
      </c>
      <c r="AJ64" s="485"/>
      <c r="AK64" s="204" t="s">
        <v>2774</v>
      </c>
      <c r="AL64" s="192">
        <v>1</v>
      </c>
      <c r="AM64" s="227">
        <v>0</v>
      </c>
      <c r="AN64" s="150">
        <f>8+8+8</f>
        <v>24</v>
      </c>
      <c r="AO64" s="150">
        <v>8</v>
      </c>
      <c r="AP64" s="150">
        <v>8</v>
      </c>
      <c r="AQ64" s="150" t="s">
        <v>803</v>
      </c>
      <c r="AR64" s="150" t="s">
        <v>803</v>
      </c>
      <c r="AS64" s="150" t="s">
        <v>7502</v>
      </c>
      <c r="AT64" s="150" t="s">
        <v>24</v>
      </c>
      <c r="AU64" s="150" t="s">
        <v>7502</v>
      </c>
      <c r="AV64" s="150" t="s">
        <v>24</v>
      </c>
      <c r="AW64" s="150" t="s">
        <v>7666</v>
      </c>
      <c r="AX64" s="150">
        <v>10</v>
      </c>
      <c r="AY64" s="150">
        <v>0.8</v>
      </c>
      <c r="AZ64" s="753" t="s">
        <v>1814</v>
      </c>
      <c r="BA64" s="150">
        <v>1</v>
      </c>
      <c r="BB64" s="150" t="s">
        <v>3322</v>
      </c>
      <c r="BC64" s="150" t="s">
        <v>7536</v>
      </c>
      <c r="BD64" s="753" t="s">
        <v>7523</v>
      </c>
      <c r="BE64" s="753"/>
      <c r="BF64" s="150" t="s">
        <v>2730</v>
      </c>
      <c r="BG64" s="150" t="s">
        <v>2733</v>
      </c>
      <c r="BH64" s="588"/>
      <c r="BI64" s="588"/>
      <c r="BJ64" s="161">
        <v>1</v>
      </c>
      <c r="BK64" s="161"/>
      <c r="BL64" s="161"/>
      <c r="BM64" s="161"/>
      <c r="BN64" s="161"/>
      <c r="BO64" s="161"/>
      <c r="BP64" s="161"/>
      <c r="BQ64" s="161"/>
      <c r="BR64" s="161"/>
      <c r="BS64" s="161"/>
      <c r="BT64" s="161"/>
      <c r="BU64" s="161"/>
      <c r="BV64" s="161"/>
      <c r="BW64" s="596" t="s">
        <v>2775</v>
      </c>
      <c r="BX64" s="162" t="s">
        <v>6597</v>
      </c>
      <c r="BY64" s="797" t="s">
        <v>7615</v>
      </c>
      <c r="BZ64" s="790" t="s">
        <v>7609</v>
      </c>
      <c r="CA64" s="765">
        <v>4</v>
      </c>
      <c r="CB64" s="765" t="s">
        <v>7556</v>
      </c>
      <c r="CC64" s="765" t="s">
        <v>7380</v>
      </c>
      <c r="CD64" s="150" t="s">
        <v>1876</v>
      </c>
      <c r="CE64" s="150">
        <v>3</v>
      </c>
      <c r="CF64" s="400"/>
      <c r="CG64" s="150" t="s">
        <v>7461</v>
      </c>
      <c r="CH64" s="753" t="s">
        <v>1488</v>
      </c>
      <c r="CI64" s="150" t="s">
        <v>2471</v>
      </c>
      <c r="CJ64" s="150"/>
      <c r="CK64" s="150" t="s">
        <v>2659</v>
      </c>
      <c r="CL64" s="134" t="s">
        <v>2659</v>
      </c>
      <c r="CM64" s="258" t="s">
        <v>7667</v>
      </c>
      <c r="CN64" s="257" t="s">
        <v>6627</v>
      </c>
      <c r="CO64" s="829">
        <v>14</v>
      </c>
      <c r="CP64" s="829">
        <v>1</v>
      </c>
      <c r="CQ64" s="829">
        <v>5</v>
      </c>
      <c r="CR64" s="829">
        <v>1</v>
      </c>
      <c r="CS64" s="829">
        <v>-1</v>
      </c>
      <c r="CT64" s="968"/>
      <c r="CU64" s="1289" t="s">
        <v>8104</v>
      </c>
      <c r="CV64" s="1295">
        <v>70</v>
      </c>
      <c r="CW64" s="1295">
        <v>62</v>
      </c>
      <c r="CX64" s="134" t="s">
        <v>2770</v>
      </c>
      <c r="CY64" s="134">
        <v>16.546800000000001</v>
      </c>
      <c r="CZ64" s="134" t="s">
        <v>24</v>
      </c>
      <c r="DA64" s="134">
        <f>21.0232-Table66[[#This Row],[Data_Outcome1_M]]</f>
        <v>4.4763999999999982</v>
      </c>
      <c r="DB64" s="151" t="s">
        <v>2747</v>
      </c>
      <c r="DC64" s="150">
        <v>7.9136699999999998</v>
      </c>
      <c r="DD64" s="150" t="s">
        <v>24</v>
      </c>
      <c r="DE64" s="150">
        <f>10.0719-Table66[[#This Row],[Data_Outcome2_M]]</f>
        <v>2.1582299999999996</v>
      </c>
      <c r="DF64" s="294"/>
      <c r="DG64" s="295"/>
      <c r="DH64" s="1166"/>
      <c r="DI64" s="122"/>
      <c r="DJ64" s="1164"/>
      <c r="DK64" s="122"/>
      <c r="DL64" s="311"/>
      <c r="DM64" s="313"/>
      <c r="DN64" s="1166"/>
      <c r="DO64" s="1164"/>
      <c r="DP64" s="1781"/>
      <c r="DQ64" s="1781"/>
      <c r="DR64" s="1166"/>
      <c r="DS64" s="1164"/>
      <c r="DT64" s="1164"/>
      <c r="DU64" s="1164"/>
      <c r="DV64" s="311"/>
      <c r="DW64" s="313"/>
      <c r="DX64" s="1169"/>
      <c r="DY64" s="121"/>
      <c r="DZ64" s="1169"/>
      <c r="EA64" s="121"/>
      <c r="EB64" s="304"/>
      <c r="EC64" s="312"/>
      <c r="ED64" s="1169"/>
      <c r="EE64" s="121"/>
      <c r="EF64" s="1169"/>
      <c r="EG64" s="121"/>
      <c r="EH64" s="1169"/>
      <c r="EI64" s="121"/>
      <c r="EJ64" s="1169"/>
      <c r="EK64" s="121"/>
      <c r="EL64" s="304"/>
      <c r="EM64" s="312"/>
      <c r="EN64" s="276"/>
      <c r="EO64" s="277"/>
      <c r="EP64" s="121"/>
      <c r="EQ64" s="121"/>
      <c r="ER64" s="121"/>
      <c r="ES64" s="121"/>
      <c r="ET64" s="121"/>
      <c r="EU64" s="121"/>
      <c r="EV64" s="121"/>
      <c r="EW64" s="121"/>
      <c r="EX64" s="301"/>
      <c r="EY64" s="301"/>
      <c r="EZ64" s="121"/>
      <c r="FA64" s="121"/>
      <c r="FB64" s="1164"/>
      <c r="FC64" s="1164"/>
      <c r="FD64" s="1169"/>
      <c r="FE64" s="1169"/>
      <c r="FF64" s="1169"/>
      <c r="FG64" s="1169"/>
      <c r="FH64" s="313"/>
      <c r="FI64" s="303"/>
      <c r="FJ64" s="1165"/>
    </row>
    <row r="65" spans="1:166" ht="15" customHeight="1">
      <c r="A65" s="118" t="s">
        <v>1071</v>
      </c>
      <c r="B65" s="614">
        <v>16</v>
      </c>
      <c r="C65" s="614"/>
      <c r="D65" s="614"/>
      <c r="E65" s="605" t="s">
        <v>2067</v>
      </c>
      <c r="F65" s="140" t="s">
        <v>2319</v>
      </c>
      <c r="G65" s="141">
        <v>2012</v>
      </c>
      <c r="H65" s="118">
        <v>21918506</v>
      </c>
      <c r="I65" s="118">
        <v>1</v>
      </c>
      <c r="J65" s="118">
        <v>1</v>
      </c>
      <c r="K65" s="118"/>
      <c r="L65" s="118">
        <v>1</v>
      </c>
      <c r="M65" s="118"/>
      <c r="N65" s="118">
        <v>1</v>
      </c>
      <c r="O65" s="142">
        <v>2</v>
      </c>
      <c r="P65" s="118" t="s">
        <v>1306</v>
      </c>
      <c r="Q65" s="118" t="s">
        <v>1232</v>
      </c>
      <c r="R65" s="118" t="s">
        <v>1127</v>
      </c>
      <c r="S65" s="118"/>
      <c r="T65" s="118" t="s">
        <v>1487</v>
      </c>
      <c r="U65" s="118" t="s">
        <v>803</v>
      </c>
      <c r="V65" s="118" t="s">
        <v>23</v>
      </c>
      <c r="W65" s="118" t="s">
        <v>1305</v>
      </c>
      <c r="X65" s="118"/>
      <c r="Y65" s="118" t="s">
        <v>1304</v>
      </c>
      <c r="Z65" s="118"/>
      <c r="AA65" s="118"/>
      <c r="AB65" s="118"/>
      <c r="AC65" s="145"/>
      <c r="AD65" s="573">
        <v>1</v>
      </c>
      <c r="AE65" s="573">
        <v>2</v>
      </c>
      <c r="AF65" s="159">
        <v>1</v>
      </c>
      <c r="AG65" s="155" t="s">
        <v>7771</v>
      </c>
      <c r="AH65" s="704"/>
      <c r="AI65" s="122">
        <v>4</v>
      </c>
      <c r="AJ65" s="485"/>
      <c r="AK65" s="204" t="s">
        <v>2870</v>
      </c>
      <c r="AL65" s="192" t="s">
        <v>3099</v>
      </c>
      <c r="AM65" s="227">
        <v>1</v>
      </c>
      <c r="AN65" s="150">
        <f>Table66[[#This Row],[Data_Subjects_n_ptsd]]+Table66[[#This Row],[Data_Subjects_n_control]]</f>
        <v>23</v>
      </c>
      <c r="AO65" s="150">
        <v>13</v>
      </c>
      <c r="AP65" s="150">
        <v>10</v>
      </c>
      <c r="AQ65" s="150" t="s">
        <v>803</v>
      </c>
      <c r="AR65" s="150" t="s">
        <v>803</v>
      </c>
      <c r="AS65" s="150" t="s">
        <v>2796</v>
      </c>
      <c r="AT65" s="150" t="s">
        <v>24</v>
      </c>
      <c r="AU65" s="150" t="s">
        <v>2796</v>
      </c>
      <c r="AV65" s="150" t="s">
        <v>24</v>
      </c>
      <c r="AW65" s="150" t="s">
        <v>2799</v>
      </c>
      <c r="AX65" s="150"/>
      <c r="AY65" s="150"/>
      <c r="AZ65" s="753" t="s">
        <v>1487</v>
      </c>
      <c r="BA65" s="150">
        <v>1</v>
      </c>
      <c r="BB65" s="150">
        <v>1</v>
      </c>
      <c r="BC65" s="150" t="s">
        <v>2797</v>
      </c>
      <c r="BD65" s="753" t="s">
        <v>7526</v>
      </c>
      <c r="BE65" s="753"/>
      <c r="BF65" s="150" t="s">
        <v>1130</v>
      </c>
      <c r="BG65" s="150" t="s">
        <v>2798</v>
      </c>
      <c r="BH65" s="588"/>
      <c r="BI65" s="588"/>
      <c r="BJ65" s="161">
        <v>1</v>
      </c>
      <c r="BK65" s="161">
        <v>1</v>
      </c>
      <c r="BL65" s="161"/>
      <c r="BM65" s="161"/>
      <c r="BN65" s="161"/>
      <c r="BO65" s="161"/>
      <c r="BP65" s="161"/>
      <c r="BQ65" s="161"/>
      <c r="BR65" s="161"/>
      <c r="BS65" s="161"/>
      <c r="BT65" s="161"/>
      <c r="BU65" s="161"/>
      <c r="BV65" s="161"/>
      <c r="BW65" s="596" t="s">
        <v>2801</v>
      </c>
      <c r="BX65" s="157" t="s">
        <v>6603</v>
      </c>
      <c r="BY65" s="797" t="s">
        <v>7615</v>
      </c>
      <c r="BZ65" s="789" t="s">
        <v>7609</v>
      </c>
      <c r="CA65" s="765">
        <v>4</v>
      </c>
      <c r="CB65" s="765" t="s">
        <v>7556</v>
      </c>
      <c r="CC65" s="765" t="s">
        <v>7384</v>
      </c>
      <c r="CD65" s="150" t="s">
        <v>1876</v>
      </c>
      <c r="CE65" s="150" t="s">
        <v>2822</v>
      </c>
      <c r="CF65" s="400" t="s">
        <v>7601</v>
      </c>
      <c r="CG65" s="150" t="s">
        <v>7453</v>
      </c>
      <c r="CH65" s="753" t="s">
        <v>1488</v>
      </c>
      <c r="CI65" s="150" t="s">
        <v>2471</v>
      </c>
      <c r="CJ65" s="150">
        <v>1</v>
      </c>
      <c r="CK65" s="150" t="s">
        <v>2803</v>
      </c>
      <c r="CL65" s="134" t="s">
        <v>6639</v>
      </c>
      <c r="CM65" s="258" t="s">
        <v>2867</v>
      </c>
      <c r="CN65" s="257" t="s">
        <v>6627</v>
      </c>
      <c r="CO65" s="829">
        <v>19</v>
      </c>
      <c r="CP65" s="829">
        <v>1</v>
      </c>
      <c r="CQ65" s="829">
        <v>2</v>
      </c>
      <c r="CR65" s="829">
        <v>1</v>
      </c>
      <c r="CS65" s="829">
        <v>-1</v>
      </c>
      <c r="CT65" s="968"/>
      <c r="CU65" s="1289" t="s">
        <v>8104</v>
      </c>
      <c r="CV65" s="1295">
        <v>74</v>
      </c>
      <c r="CW65" s="1295">
        <v>66</v>
      </c>
      <c r="CX65" s="151" t="s">
        <v>2819</v>
      </c>
      <c r="CY65" s="150">
        <v>100.119</v>
      </c>
      <c r="CZ65" s="150" t="s">
        <v>24</v>
      </c>
      <c r="DA65" s="150">
        <f>121.048-Table66[[#This Row],[Data_Outcome1_M]]</f>
        <v>20.929000000000002</v>
      </c>
      <c r="DB65" s="151" t="s">
        <v>2816</v>
      </c>
      <c r="DC65" s="150">
        <v>35.414499999999997</v>
      </c>
      <c r="DD65" s="150" t="s">
        <v>24</v>
      </c>
      <c r="DE65" s="150">
        <f>52.6224-Table66[[#This Row],[Data_Outcome2_M]]</f>
        <v>17.207900000000002</v>
      </c>
      <c r="DF65" s="294" t="s">
        <v>2856</v>
      </c>
      <c r="DG65" s="295" t="s">
        <v>2847</v>
      </c>
      <c r="DH65" s="1179"/>
      <c r="DI65" s="417"/>
      <c r="DJ65" s="1169"/>
      <c r="DK65" s="417"/>
      <c r="DL65" s="1169"/>
      <c r="DM65" s="417"/>
      <c r="DN65" s="1169"/>
      <c r="DO65" s="1151"/>
      <c r="DP65" s="288"/>
      <c r="DQ65" s="441"/>
      <c r="DR65" s="1168"/>
      <c r="DS65" s="865"/>
      <c r="DT65" s="1166"/>
      <c r="DU65" s="122"/>
      <c r="DV65" s="1164"/>
      <c r="DW65" s="122"/>
      <c r="DX65" s="1164"/>
      <c r="DY65" s="122"/>
      <c r="DZ65" s="1164"/>
      <c r="EA65" s="122"/>
      <c r="EB65" s="311"/>
      <c r="EC65" s="313"/>
      <c r="ED65" s="1164"/>
      <c r="EE65" s="122"/>
      <c r="EF65" s="1164"/>
      <c r="EG65" s="122"/>
      <c r="EH65" s="1164"/>
      <c r="EI65" s="122"/>
      <c r="EJ65" s="1164"/>
      <c r="EK65" s="122"/>
      <c r="EL65" s="311"/>
      <c r="EM65" s="313"/>
      <c r="EN65" s="278"/>
      <c r="EO65" s="1165"/>
      <c r="EP65" s="1164"/>
      <c r="EQ65" s="1164"/>
      <c r="ER65" s="1164"/>
      <c r="ES65" s="1164"/>
      <c r="ET65" s="1166"/>
      <c r="EU65" s="1164"/>
      <c r="EV65" s="1164"/>
      <c r="EW65" s="1164"/>
      <c r="EX65" s="313"/>
      <c r="EY65" s="313"/>
      <c r="EZ65" s="1166"/>
      <c r="FA65" s="1164"/>
      <c r="FB65" s="1164"/>
      <c r="FC65" s="1164"/>
      <c r="FD65" s="1166"/>
      <c r="FE65" s="1164"/>
      <c r="FF65" s="1164"/>
      <c r="FG65" s="1164"/>
      <c r="FH65" s="313"/>
      <c r="FI65" s="313"/>
      <c r="FJ65" s="1165"/>
    </row>
    <row r="66" spans="1:166" ht="15" customHeight="1">
      <c r="A66" s="118" t="s">
        <v>1071</v>
      </c>
      <c r="B66" s="614">
        <v>16</v>
      </c>
      <c r="C66" s="614"/>
      <c r="D66" s="614"/>
      <c r="E66" s="605" t="s">
        <v>2067</v>
      </c>
      <c r="F66" s="140" t="s">
        <v>2319</v>
      </c>
      <c r="G66" s="141">
        <v>2012</v>
      </c>
      <c r="H66" s="118">
        <v>21918506</v>
      </c>
      <c r="I66" s="118">
        <v>1</v>
      </c>
      <c r="J66" s="118">
        <v>1</v>
      </c>
      <c r="K66" s="118"/>
      <c r="L66" s="118">
        <v>1</v>
      </c>
      <c r="M66" s="118"/>
      <c r="N66" s="118">
        <v>1</v>
      </c>
      <c r="O66" s="142">
        <v>2</v>
      </c>
      <c r="P66" s="118" t="s">
        <v>1306</v>
      </c>
      <c r="Q66" s="118" t="s">
        <v>1232</v>
      </c>
      <c r="R66" s="118" t="s">
        <v>1127</v>
      </c>
      <c r="S66" s="118"/>
      <c r="T66" s="118" t="s">
        <v>1487</v>
      </c>
      <c r="U66" s="118" t="s">
        <v>803</v>
      </c>
      <c r="V66" s="118" t="s">
        <v>23</v>
      </c>
      <c r="W66" s="118" t="s">
        <v>1305</v>
      </c>
      <c r="X66" s="118"/>
      <c r="Y66" s="118" t="s">
        <v>1304</v>
      </c>
      <c r="Z66" s="118"/>
      <c r="AA66" s="118"/>
      <c r="AB66" s="118"/>
      <c r="AC66" s="145"/>
      <c r="AD66" s="573">
        <v>1</v>
      </c>
      <c r="AE66" s="573">
        <v>2</v>
      </c>
      <c r="AF66" s="159">
        <v>1</v>
      </c>
      <c r="AG66" s="155" t="s">
        <v>7771</v>
      </c>
      <c r="AH66" s="704"/>
      <c r="AI66" s="122">
        <v>4</v>
      </c>
      <c r="AJ66" s="485"/>
      <c r="AK66" s="204" t="s">
        <v>2870</v>
      </c>
      <c r="AL66" s="192" t="s">
        <v>3099</v>
      </c>
      <c r="AM66" s="227">
        <v>1</v>
      </c>
      <c r="AN66" s="150">
        <f>Table66[[#This Row],[Data_Subjects_n_ptsd]]+Table66[[#This Row],[Data_Subjects_n_control]]</f>
        <v>23</v>
      </c>
      <c r="AO66" s="150">
        <v>13</v>
      </c>
      <c r="AP66" s="150">
        <v>10</v>
      </c>
      <c r="AQ66" s="150" t="s">
        <v>803</v>
      </c>
      <c r="AR66" s="150" t="s">
        <v>803</v>
      </c>
      <c r="AS66" s="150" t="s">
        <v>2796</v>
      </c>
      <c r="AT66" s="150" t="s">
        <v>24</v>
      </c>
      <c r="AU66" s="150" t="s">
        <v>2796</v>
      </c>
      <c r="AV66" s="150" t="s">
        <v>24</v>
      </c>
      <c r="AW66" s="150" t="s">
        <v>2799</v>
      </c>
      <c r="AX66" s="150"/>
      <c r="AY66" s="150"/>
      <c r="AZ66" s="753" t="s">
        <v>1487</v>
      </c>
      <c r="BA66" s="150">
        <v>1</v>
      </c>
      <c r="BB66" s="150">
        <v>1</v>
      </c>
      <c r="BC66" s="150" t="s">
        <v>2797</v>
      </c>
      <c r="BD66" s="753" t="s">
        <v>7526</v>
      </c>
      <c r="BE66" s="753"/>
      <c r="BF66" s="150" t="s">
        <v>1130</v>
      </c>
      <c r="BG66" s="150" t="s">
        <v>2798</v>
      </c>
      <c r="BH66" s="588"/>
      <c r="BI66" s="588"/>
      <c r="BJ66" s="161">
        <v>1</v>
      </c>
      <c r="BK66" s="161">
        <v>1</v>
      </c>
      <c r="BL66" s="161"/>
      <c r="BM66" s="161"/>
      <c r="BN66" s="161"/>
      <c r="BO66" s="161"/>
      <c r="BP66" s="161"/>
      <c r="BQ66" s="161"/>
      <c r="BR66" s="161"/>
      <c r="BS66" s="161"/>
      <c r="BT66" s="161"/>
      <c r="BU66" s="161"/>
      <c r="BV66" s="161"/>
      <c r="BW66" s="596" t="s">
        <v>2801</v>
      </c>
      <c r="BX66" s="157" t="s">
        <v>6603</v>
      </c>
      <c r="BY66" s="797" t="s">
        <v>7615</v>
      </c>
      <c r="BZ66" s="789" t="s">
        <v>7609</v>
      </c>
      <c r="CA66" s="765">
        <v>4</v>
      </c>
      <c r="CB66" s="765" t="s">
        <v>7556</v>
      </c>
      <c r="CC66" s="765" t="s">
        <v>7384</v>
      </c>
      <c r="CD66" s="150" t="s">
        <v>1876</v>
      </c>
      <c r="CE66" s="150" t="s">
        <v>2822</v>
      </c>
      <c r="CF66" s="400" t="s">
        <v>7601</v>
      </c>
      <c r="CG66" s="150" t="s">
        <v>7453</v>
      </c>
      <c r="CH66" s="753" t="s">
        <v>1488</v>
      </c>
      <c r="CI66" s="150" t="s">
        <v>2471</v>
      </c>
      <c r="CJ66" s="150">
        <v>1</v>
      </c>
      <c r="CK66" s="150" t="s">
        <v>2803</v>
      </c>
      <c r="CL66" s="134" t="s">
        <v>6639</v>
      </c>
      <c r="CM66" s="258" t="s">
        <v>2867</v>
      </c>
      <c r="CN66" s="257">
        <v>0</v>
      </c>
      <c r="CO66" s="829">
        <v>19</v>
      </c>
      <c r="CP66" s="829">
        <v>1</v>
      </c>
      <c r="CQ66" s="829">
        <v>3</v>
      </c>
      <c r="CR66" s="829">
        <v>1</v>
      </c>
      <c r="CS66" s="829">
        <v>-1</v>
      </c>
      <c r="CT66" s="968"/>
      <c r="CU66" s="1289" t="s">
        <v>8104</v>
      </c>
      <c r="CV66" s="1295">
        <v>74</v>
      </c>
      <c r="CW66" s="1295">
        <v>66</v>
      </c>
      <c r="CX66" s="151" t="s">
        <v>2818</v>
      </c>
      <c r="CY66" s="150">
        <v>26.860800000000001</v>
      </c>
      <c r="CZ66" s="150" t="s">
        <v>24</v>
      </c>
      <c r="DA66" s="150">
        <f>39.8841-Table66[[#This Row],[Data_Outcome1_M]]</f>
        <v>13.023299999999995</v>
      </c>
      <c r="DB66" s="151" t="s">
        <v>2817</v>
      </c>
      <c r="DC66" s="150">
        <v>12.856999999999999</v>
      </c>
      <c r="DD66" s="150" t="s">
        <v>24</v>
      </c>
      <c r="DE66" s="150">
        <f>18.9022-Table66[[#This Row],[Data_Outcome2_M]]</f>
        <v>6.0452000000000012</v>
      </c>
      <c r="DF66" s="290" t="s">
        <v>2848</v>
      </c>
      <c r="DG66" s="291" t="s">
        <v>2480</v>
      </c>
      <c r="DH66" s="1178"/>
      <c r="DI66" s="500"/>
      <c r="DJ66" s="1164"/>
      <c r="DK66" s="500"/>
      <c r="DL66" s="1166"/>
      <c r="DM66" s="500"/>
      <c r="DN66" s="1164"/>
      <c r="DO66" s="1150"/>
      <c r="DP66" s="290"/>
      <c r="DQ66" s="388"/>
      <c r="DR66" s="1168"/>
      <c r="DS66" s="865"/>
      <c r="DT66" s="1166"/>
      <c r="DU66" s="122"/>
      <c r="DV66" s="1164"/>
      <c r="DW66" s="122"/>
      <c r="DX66" s="1164"/>
      <c r="DY66" s="1164"/>
      <c r="DZ66" s="1164"/>
      <c r="EA66" s="1164"/>
      <c r="EB66" s="311"/>
      <c r="EC66" s="313"/>
      <c r="ED66" s="1164"/>
      <c r="EE66" s="1164"/>
      <c r="EF66" s="1164"/>
      <c r="EG66" s="1164"/>
      <c r="EH66" s="122"/>
      <c r="EI66" s="1164"/>
      <c r="EJ66" s="1164"/>
      <c r="EK66" s="1164"/>
      <c r="EL66" s="311"/>
      <c r="EM66" s="313"/>
      <c r="EN66" s="1167"/>
      <c r="EO66" s="1165"/>
      <c r="EP66" s="122"/>
      <c r="EQ66" s="122"/>
      <c r="ER66" s="122"/>
      <c r="ES66" s="122"/>
      <c r="ET66" s="1166"/>
      <c r="EU66" s="1164"/>
      <c r="EV66" s="1164"/>
      <c r="EW66" s="1164"/>
      <c r="EX66" s="313"/>
      <c r="EY66" s="313"/>
      <c r="EZ66" s="1166"/>
      <c r="FA66" s="1164"/>
      <c r="FB66" s="1164"/>
      <c r="FC66" s="1164"/>
      <c r="FD66" s="1166"/>
      <c r="FE66" s="1164"/>
      <c r="FF66" s="1164"/>
      <c r="FG66" s="1164"/>
      <c r="FH66" s="313"/>
      <c r="FI66" s="313"/>
      <c r="FJ66" s="1165"/>
    </row>
    <row r="67" spans="1:166" ht="16" customHeight="1">
      <c r="A67" s="118" t="s">
        <v>1071</v>
      </c>
      <c r="B67" s="614">
        <v>16</v>
      </c>
      <c r="C67" s="614"/>
      <c r="D67" s="614"/>
      <c r="E67" s="605" t="s">
        <v>2067</v>
      </c>
      <c r="F67" s="140" t="s">
        <v>2319</v>
      </c>
      <c r="G67" s="141">
        <v>2012</v>
      </c>
      <c r="H67" s="118">
        <v>21918506</v>
      </c>
      <c r="I67" s="118">
        <v>1</v>
      </c>
      <c r="J67" s="118">
        <v>1</v>
      </c>
      <c r="K67" s="118"/>
      <c r="L67" s="118">
        <v>1</v>
      </c>
      <c r="M67" s="118"/>
      <c r="N67" s="118">
        <v>1</v>
      </c>
      <c r="O67" s="142">
        <v>2</v>
      </c>
      <c r="P67" s="118" t="s">
        <v>1306</v>
      </c>
      <c r="Q67" s="118" t="s">
        <v>1232</v>
      </c>
      <c r="R67" s="118" t="s">
        <v>1127</v>
      </c>
      <c r="S67" s="118"/>
      <c r="T67" s="118" t="s">
        <v>1487</v>
      </c>
      <c r="U67" s="118" t="s">
        <v>803</v>
      </c>
      <c r="V67" s="118" t="s">
        <v>23</v>
      </c>
      <c r="W67" s="118" t="s">
        <v>1305</v>
      </c>
      <c r="X67" s="118"/>
      <c r="Y67" s="118" t="s">
        <v>1304</v>
      </c>
      <c r="Z67" s="118"/>
      <c r="AA67" s="118"/>
      <c r="AB67" s="118"/>
      <c r="AC67" s="145"/>
      <c r="AD67" s="573">
        <v>1</v>
      </c>
      <c r="AE67" s="573">
        <v>2</v>
      </c>
      <c r="AF67" s="159">
        <v>1</v>
      </c>
      <c r="AG67" s="155" t="s">
        <v>7771</v>
      </c>
      <c r="AH67" s="704"/>
      <c r="AI67" s="122">
        <v>4</v>
      </c>
      <c r="AJ67" s="485"/>
      <c r="AK67" s="204" t="s">
        <v>2870</v>
      </c>
      <c r="AL67" s="192" t="s">
        <v>3099</v>
      </c>
      <c r="AM67" s="227">
        <v>1</v>
      </c>
      <c r="AN67" s="150">
        <f>Table66[[#This Row],[Data_Subjects_n_ptsd]]+Table66[[#This Row],[Data_Subjects_n_control]]</f>
        <v>23</v>
      </c>
      <c r="AO67" s="150">
        <v>12</v>
      </c>
      <c r="AP67" s="150">
        <v>11</v>
      </c>
      <c r="AQ67" s="150" t="s">
        <v>803</v>
      </c>
      <c r="AR67" s="150" t="s">
        <v>803</v>
      </c>
      <c r="AS67" s="150" t="s">
        <v>2796</v>
      </c>
      <c r="AT67" s="150" t="s">
        <v>24</v>
      </c>
      <c r="AU67" s="150" t="s">
        <v>2796</v>
      </c>
      <c r="AV67" s="150" t="s">
        <v>24</v>
      </c>
      <c r="AW67" s="150" t="s">
        <v>2799</v>
      </c>
      <c r="AX67" s="150"/>
      <c r="AY67" s="150"/>
      <c r="AZ67" s="753" t="s">
        <v>1487</v>
      </c>
      <c r="BA67" s="150">
        <v>1</v>
      </c>
      <c r="BB67" s="150">
        <v>1</v>
      </c>
      <c r="BC67" s="150" t="s">
        <v>2797</v>
      </c>
      <c r="BD67" s="753" t="s">
        <v>7526</v>
      </c>
      <c r="BE67" s="753"/>
      <c r="BF67" s="150" t="s">
        <v>1130</v>
      </c>
      <c r="BG67" s="150" t="s">
        <v>2798</v>
      </c>
      <c r="BH67" s="588"/>
      <c r="BI67" s="588"/>
      <c r="BJ67" s="161">
        <v>1</v>
      </c>
      <c r="BK67" s="161">
        <v>1</v>
      </c>
      <c r="BL67" s="161"/>
      <c r="BM67" s="161"/>
      <c r="BN67" s="161"/>
      <c r="BO67" s="161"/>
      <c r="BP67" s="161"/>
      <c r="BQ67" s="161"/>
      <c r="BR67" s="161"/>
      <c r="BS67" s="161"/>
      <c r="BT67" s="161"/>
      <c r="BU67" s="161"/>
      <c r="BV67" s="161"/>
      <c r="BW67" s="596" t="s">
        <v>2801</v>
      </c>
      <c r="BX67" s="157" t="s">
        <v>6603</v>
      </c>
      <c r="BY67" s="797" t="s">
        <v>7615</v>
      </c>
      <c r="BZ67" s="789" t="s">
        <v>7609</v>
      </c>
      <c r="CA67" s="765">
        <v>4</v>
      </c>
      <c r="CB67" s="765" t="s">
        <v>7556</v>
      </c>
      <c r="CC67" s="765" t="s">
        <v>7384</v>
      </c>
      <c r="CD67" s="150" t="s">
        <v>1876</v>
      </c>
      <c r="CE67" s="150" t="s">
        <v>2821</v>
      </c>
      <c r="CF67" s="400" t="s">
        <v>7601</v>
      </c>
      <c r="CG67" s="150" t="s">
        <v>7453</v>
      </c>
      <c r="CH67" s="753" t="s">
        <v>1488</v>
      </c>
      <c r="CI67" s="150" t="s">
        <v>2471</v>
      </c>
      <c r="CJ67" s="150">
        <v>1</v>
      </c>
      <c r="CK67" s="150" t="s">
        <v>2803</v>
      </c>
      <c r="CL67" s="134" t="s">
        <v>6639</v>
      </c>
      <c r="CM67" s="258" t="s">
        <v>2867</v>
      </c>
      <c r="CN67" s="257" t="s">
        <v>6627</v>
      </c>
      <c r="CO67" s="829">
        <v>19</v>
      </c>
      <c r="CP67" s="829">
        <v>2</v>
      </c>
      <c r="CQ67" s="829">
        <v>2</v>
      </c>
      <c r="CR67" s="829">
        <v>1</v>
      </c>
      <c r="CS67" s="829">
        <v>-1</v>
      </c>
      <c r="CT67" s="968"/>
      <c r="CU67" s="1289" t="s">
        <v>8104</v>
      </c>
      <c r="CV67" s="1295">
        <v>75</v>
      </c>
      <c r="CW67" s="1295">
        <v>67</v>
      </c>
      <c r="CX67" s="151" t="s">
        <v>2828</v>
      </c>
      <c r="CY67" s="150">
        <v>115.86199999999999</v>
      </c>
      <c r="CZ67" s="150" t="s">
        <v>24</v>
      </c>
      <c r="DA67" s="150">
        <f>136.552-Table66[[#This Row],[Data_Outcome1_M]]</f>
        <v>20.689999999999998</v>
      </c>
      <c r="DB67" s="151" t="s">
        <v>2827</v>
      </c>
      <c r="DC67" s="150">
        <v>53.333300000000001</v>
      </c>
      <c r="DD67" s="150" t="s">
        <v>24</v>
      </c>
      <c r="DE67" s="150">
        <f>68.9655-Table66[[#This Row],[Data_Outcome2_M]]</f>
        <v>15.632200000000005</v>
      </c>
      <c r="DF67" s="294" t="s">
        <v>2866</v>
      </c>
      <c r="DG67" s="295" t="s">
        <v>2855</v>
      </c>
      <c r="DH67" s="121"/>
      <c r="DI67" s="1169"/>
      <c r="DJ67" s="1169"/>
      <c r="DK67" s="1169"/>
      <c r="DL67" s="121"/>
      <c r="DM67" s="1169"/>
      <c r="DN67" s="1169"/>
      <c r="DO67" s="1169"/>
      <c r="DP67" s="288"/>
      <c r="DQ67" s="289"/>
      <c r="DR67" s="1168"/>
      <c r="DS67" s="865"/>
      <c r="DT67" s="1166"/>
      <c r="DU67" s="122"/>
      <c r="DV67" s="1164"/>
      <c r="DW67" s="122"/>
      <c r="DX67" s="1164"/>
      <c r="DY67" s="1164"/>
      <c r="DZ67" s="1164"/>
      <c r="EA67" s="1164"/>
      <c r="EB67" s="311"/>
      <c r="EC67" s="313"/>
      <c r="ED67" s="1164"/>
      <c r="EE67" s="1164"/>
      <c r="EF67" s="1164"/>
      <c r="EG67" s="1164"/>
      <c r="EH67" s="122"/>
      <c r="EI67" s="1164"/>
      <c r="EJ67" s="1164"/>
      <c r="EK67" s="1164"/>
      <c r="EL67" s="311"/>
      <c r="EM67" s="313"/>
      <c r="EN67" s="1167"/>
      <c r="EO67" s="1165"/>
      <c r="EP67" s="122"/>
      <c r="EQ67" s="122"/>
      <c r="ER67" s="122"/>
      <c r="ES67" s="122"/>
      <c r="ET67" s="1166"/>
      <c r="EU67" s="1164"/>
      <c r="EV67" s="1164"/>
      <c r="EW67" s="1164"/>
      <c r="EX67" s="313"/>
      <c r="EY67" s="313"/>
      <c r="EZ67" s="1166"/>
      <c r="FA67" s="1164"/>
      <c r="FB67" s="1164"/>
      <c r="FC67" s="1164"/>
      <c r="FD67" s="1166"/>
      <c r="FE67" s="1164"/>
      <c r="FF67" s="1164"/>
      <c r="FG67" s="1164"/>
      <c r="FH67" s="313"/>
      <c r="FI67" s="313"/>
      <c r="FJ67" s="1165"/>
    </row>
    <row r="68" spans="1:166" ht="15" customHeight="1">
      <c r="A68" s="118" t="s">
        <v>1071</v>
      </c>
      <c r="B68" s="614">
        <v>16</v>
      </c>
      <c r="C68" s="614"/>
      <c r="D68" s="614"/>
      <c r="E68" s="605" t="s">
        <v>2067</v>
      </c>
      <c r="F68" s="140" t="s">
        <v>2319</v>
      </c>
      <c r="G68" s="141">
        <v>2012</v>
      </c>
      <c r="H68" s="118">
        <v>21918506</v>
      </c>
      <c r="I68" s="118">
        <v>1</v>
      </c>
      <c r="J68" s="118">
        <v>1</v>
      </c>
      <c r="K68" s="118"/>
      <c r="L68" s="118">
        <v>1</v>
      </c>
      <c r="M68" s="118"/>
      <c r="N68" s="118">
        <v>1</v>
      </c>
      <c r="O68" s="142">
        <v>2</v>
      </c>
      <c r="P68" s="118" t="s">
        <v>1306</v>
      </c>
      <c r="Q68" s="118" t="s">
        <v>1232</v>
      </c>
      <c r="R68" s="118" t="s">
        <v>1127</v>
      </c>
      <c r="S68" s="118"/>
      <c r="T68" s="118" t="s">
        <v>1487</v>
      </c>
      <c r="U68" s="118" t="s">
        <v>803</v>
      </c>
      <c r="V68" s="118" t="s">
        <v>23</v>
      </c>
      <c r="W68" s="118" t="s">
        <v>1305</v>
      </c>
      <c r="X68" s="118"/>
      <c r="Y68" s="118" t="s">
        <v>1304</v>
      </c>
      <c r="Z68" s="118"/>
      <c r="AA68" s="118"/>
      <c r="AB68" s="118"/>
      <c r="AC68" s="145"/>
      <c r="AD68" s="573">
        <v>1</v>
      </c>
      <c r="AE68" s="573">
        <v>2</v>
      </c>
      <c r="AF68" s="159">
        <v>1</v>
      </c>
      <c r="AG68" s="155" t="s">
        <v>7771</v>
      </c>
      <c r="AH68" s="704"/>
      <c r="AI68" s="122">
        <v>4</v>
      </c>
      <c r="AJ68" s="485"/>
      <c r="AK68" s="204" t="s">
        <v>2870</v>
      </c>
      <c r="AL68" s="192" t="s">
        <v>3099</v>
      </c>
      <c r="AM68" s="205">
        <v>1</v>
      </c>
      <c r="AN68" s="122">
        <f>Table66[[#This Row],[Data_Subjects_n_ptsd]]+Table66[[#This Row],[Data_Subjects_n_control]]</f>
        <v>23</v>
      </c>
      <c r="AO68" s="122">
        <v>12</v>
      </c>
      <c r="AP68" s="122">
        <v>11</v>
      </c>
      <c r="AQ68" s="122" t="s">
        <v>803</v>
      </c>
      <c r="AR68" s="122" t="s">
        <v>803</v>
      </c>
      <c r="AS68" s="122" t="s">
        <v>2796</v>
      </c>
      <c r="AT68" s="122" t="s">
        <v>24</v>
      </c>
      <c r="AU68" s="122" t="s">
        <v>2796</v>
      </c>
      <c r="AV68" s="122" t="s">
        <v>24</v>
      </c>
      <c r="AW68" s="122" t="s">
        <v>2799</v>
      </c>
      <c r="AX68" s="122"/>
      <c r="AY68" s="122"/>
      <c r="AZ68" s="754" t="s">
        <v>1487</v>
      </c>
      <c r="BA68" s="122">
        <v>1</v>
      </c>
      <c r="BB68" s="122">
        <v>1</v>
      </c>
      <c r="BC68" s="122" t="s">
        <v>2797</v>
      </c>
      <c r="BD68" s="754" t="s">
        <v>7526</v>
      </c>
      <c r="BE68" s="754"/>
      <c r="BF68" s="122" t="s">
        <v>1130</v>
      </c>
      <c r="BG68" s="122" t="s">
        <v>2798</v>
      </c>
      <c r="BH68" s="588"/>
      <c r="BI68" s="588"/>
      <c r="BJ68" s="161">
        <v>1</v>
      </c>
      <c r="BK68" s="161">
        <v>1</v>
      </c>
      <c r="BL68" s="161"/>
      <c r="BM68" s="161"/>
      <c r="BN68" s="161"/>
      <c r="BO68" s="161"/>
      <c r="BP68" s="161"/>
      <c r="BQ68" s="161"/>
      <c r="BR68" s="161"/>
      <c r="BS68" s="161"/>
      <c r="BT68" s="161"/>
      <c r="BU68" s="161"/>
      <c r="BV68" s="161"/>
      <c r="BW68" s="596" t="s">
        <v>2801</v>
      </c>
      <c r="BX68" s="157" t="s">
        <v>6603</v>
      </c>
      <c r="BY68" s="797" t="s">
        <v>7615</v>
      </c>
      <c r="BZ68" s="789" t="s">
        <v>7609</v>
      </c>
      <c r="CA68" s="765">
        <v>4</v>
      </c>
      <c r="CB68" s="765" t="s">
        <v>7556</v>
      </c>
      <c r="CC68" s="765" t="s">
        <v>7384</v>
      </c>
      <c r="CD68" s="150" t="s">
        <v>1876</v>
      </c>
      <c r="CE68" s="150" t="s">
        <v>2821</v>
      </c>
      <c r="CF68" s="400" t="s">
        <v>7601</v>
      </c>
      <c r="CG68" s="150" t="s">
        <v>7453</v>
      </c>
      <c r="CH68" s="753" t="s">
        <v>1488</v>
      </c>
      <c r="CI68" s="150" t="s">
        <v>2471</v>
      </c>
      <c r="CJ68" s="150">
        <v>1</v>
      </c>
      <c r="CK68" s="150" t="s">
        <v>2803</v>
      </c>
      <c r="CL68" s="134" t="s">
        <v>6639</v>
      </c>
      <c r="CM68" s="258" t="s">
        <v>2867</v>
      </c>
      <c r="CN68" s="257">
        <v>0</v>
      </c>
      <c r="CO68" s="829">
        <v>19</v>
      </c>
      <c r="CP68" s="829">
        <v>2</v>
      </c>
      <c r="CQ68" s="829">
        <v>3</v>
      </c>
      <c r="CR68" s="829">
        <v>1</v>
      </c>
      <c r="CS68" s="829">
        <v>-1</v>
      </c>
      <c r="CT68" s="968"/>
      <c r="CU68" s="1289" t="s">
        <v>8104</v>
      </c>
      <c r="CV68" s="1295">
        <v>75</v>
      </c>
      <c r="CW68" s="1295">
        <v>67</v>
      </c>
      <c r="CX68" s="151" t="s">
        <v>2830</v>
      </c>
      <c r="CY68" s="150">
        <v>54.712600000000002</v>
      </c>
      <c r="CZ68" s="150" t="s">
        <v>24</v>
      </c>
      <c r="DA68" s="150">
        <f>76.7816-Table66[[#This Row],[Data_Outcome1_M]]</f>
        <v>22.068999999999996</v>
      </c>
      <c r="DB68" s="151" t="s">
        <v>2829</v>
      </c>
      <c r="DC68" s="150">
        <v>21.1494</v>
      </c>
      <c r="DD68" s="150" t="s">
        <v>24</v>
      </c>
      <c r="DE68" s="150">
        <f>23.908-Table66[[#This Row],[Data_Outcome2_M]]</f>
        <v>2.7586000000000013</v>
      </c>
      <c r="DF68" s="290" t="s">
        <v>2857</v>
      </c>
      <c r="DG68" s="291" t="s">
        <v>2480</v>
      </c>
      <c r="DH68" s="526"/>
      <c r="DI68" s="122"/>
      <c r="DJ68" s="1164"/>
      <c r="DK68" s="122"/>
      <c r="DL68" s="1166"/>
      <c r="DM68" s="122"/>
      <c r="DN68" s="1164"/>
      <c r="DO68" s="122"/>
      <c r="DP68" s="290"/>
      <c r="DQ68" s="291"/>
      <c r="DR68" s="1168"/>
      <c r="DS68" s="865"/>
      <c r="DT68" s="1156"/>
      <c r="DU68" s="122"/>
      <c r="DV68" s="122"/>
      <c r="DW68" s="122"/>
      <c r="DX68" s="689"/>
      <c r="DY68" s="1164"/>
      <c r="DZ68" s="1164"/>
      <c r="EA68" s="1164"/>
      <c r="EB68" s="311"/>
      <c r="EC68" s="313"/>
      <c r="ED68" s="1164"/>
      <c r="EE68" s="1164"/>
      <c r="EF68" s="1164"/>
      <c r="EG68" s="1164"/>
      <c r="EH68" s="1164"/>
      <c r="EI68" s="1164"/>
      <c r="EJ68" s="1164"/>
      <c r="EK68" s="1164"/>
      <c r="EL68" s="311"/>
      <c r="EM68" s="313"/>
      <c r="EN68" s="1167"/>
      <c r="EO68" s="1165"/>
      <c r="EP68" s="122"/>
      <c r="EQ68" s="122"/>
      <c r="ER68" s="122"/>
      <c r="ES68" s="122"/>
      <c r="ET68" s="526"/>
      <c r="EU68" s="1164"/>
      <c r="EV68" s="1164"/>
      <c r="EW68" s="1164"/>
      <c r="EX68" s="313"/>
      <c r="EY68" s="313"/>
      <c r="EZ68" s="1166"/>
      <c r="FA68" s="1164"/>
      <c r="FB68" s="1164"/>
      <c r="FC68" s="1164"/>
      <c r="FD68" s="1166"/>
      <c r="FE68" s="1164"/>
      <c r="FF68" s="1164"/>
      <c r="FG68" s="1164"/>
      <c r="FH68" s="313"/>
      <c r="FI68" s="313"/>
      <c r="FJ68" s="1165"/>
    </row>
    <row r="69" spans="1:166" ht="15" customHeight="1">
      <c r="A69" s="118" t="s">
        <v>1071</v>
      </c>
      <c r="B69" s="614">
        <v>16</v>
      </c>
      <c r="C69" s="614"/>
      <c r="D69" s="614"/>
      <c r="E69" s="605" t="s">
        <v>2067</v>
      </c>
      <c r="F69" s="140" t="s">
        <v>2319</v>
      </c>
      <c r="G69" s="141">
        <v>2012</v>
      </c>
      <c r="H69" s="118">
        <v>21918506</v>
      </c>
      <c r="I69" s="118">
        <v>1</v>
      </c>
      <c r="J69" s="118">
        <v>1</v>
      </c>
      <c r="K69" s="118"/>
      <c r="L69" s="118">
        <v>1</v>
      </c>
      <c r="M69" s="118"/>
      <c r="N69" s="118">
        <v>1</v>
      </c>
      <c r="O69" s="142">
        <v>2</v>
      </c>
      <c r="P69" s="118" t="s">
        <v>1306</v>
      </c>
      <c r="Q69" s="118" t="s">
        <v>1232</v>
      </c>
      <c r="R69" s="118" t="s">
        <v>1127</v>
      </c>
      <c r="S69" s="118"/>
      <c r="T69" s="118" t="s">
        <v>1487</v>
      </c>
      <c r="U69" s="118" t="s">
        <v>803</v>
      </c>
      <c r="V69" s="118" t="s">
        <v>23</v>
      </c>
      <c r="W69" s="118" t="s">
        <v>1305</v>
      </c>
      <c r="X69" s="118"/>
      <c r="Y69" s="118" t="s">
        <v>1304</v>
      </c>
      <c r="Z69" s="118"/>
      <c r="AA69" s="118"/>
      <c r="AB69" s="118"/>
      <c r="AC69" s="145"/>
      <c r="AD69" s="573">
        <v>1</v>
      </c>
      <c r="AE69" s="573">
        <v>2</v>
      </c>
      <c r="AF69" s="159">
        <v>1</v>
      </c>
      <c r="AG69" s="155" t="s">
        <v>7771</v>
      </c>
      <c r="AH69" s="704"/>
      <c r="AI69" s="122">
        <v>4</v>
      </c>
      <c r="AJ69" s="485"/>
      <c r="AK69" s="204" t="s">
        <v>2870</v>
      </c>
      <c r="AL69" s="192" t="s">
        <v>3099</v>
      </c>
      <c r="AM69" s="205">
        <v>1</v>
      </c>
      <c r="AN69" s="122">
        <f>Table66[[#This Row],[Data_Subjects_n_ptsd]]+Table66[[#This Row],[Data_Subjects_n_control]]</f>
        <v>24</v>
      </c>
      <c r="AO69" s="122">
        <v>12</v>
      </c>
      <c r="AP69" s="122">
        <v>12</v>
      </c>
      <c r="AQ69" s="122" t="s">
        <v>803</v>
      </c>
      <c r="AR69" s="122" t="s">
        <v>803</v>
      </c>
      <c r="AS69" s="122" t="s">
        <v>2796</v>
      </c>
      <c r="AT69" s="122" t="s">
        <v>24</v>
      </c>
      <c r="AU69" s="122" t="s">
        <v>2796</v>
      </c>
      <c r="AV69" s="122" t="s">
        <v>24</v>
      </c>
      <c r="AW69" s="122" t="s">
        <v>2799</v>
      </c>
      <c r="AX69" s="122"/>
      <c r="AY69" s="122"/>
      <c r="AZ69" s="754" t="s">
        <v>1487</v>
      </c>
      <c r="BA69" s="122">
        <v>1</v>
      </c>
      <c r="BB69" s="122">
        <v>1</v>
      </c>
      <c r="BC69" s="122" t="s">
        <v>2797</v>
      </c>
      <c r="BD69" s="754" t="s">
        <v>7526</v>
      </c>
      <c r="BE69" s="754"/>
      <c r="BF69" s="122" t="s">
        <v>1130</v>
      </c>
      <c r="BG69" s="122" t="s">
        <v>2798</v>
      </c>
      <c r="BH69" s="588"/>
      <c r="BI69" s="588"/>
      <c r="BJ69" s="161">
        <v>1</v>
      </c>
      <c r="BK69" s="161">
        <v>1</v>
      </c>
      <c r="BL69" s="161"/>
      <c r="BM69" s="161"/>
      <c r="BN69" s="161"/>
      <c r="BO69" s="161"/>
      <c r="BP69" s="161"/>
      <c r="BQ69" s="161"/>
      <c r="BR69" s="161"/>
      <c r="BS69" s="161"/>
      <c r="BT69" s="161"/>
      <c r="BU69" s="161"/>
      <c r="BV69" s="161"/>
      <c r="BW69" s="596" t="s">
        <v>2801</v>
      </c>
      <c r="BX69" s="157" t="s">
        <v>6603</v>
      </c>
      <c r="BY69" s="797" t="s">
        <v>7615</v>
      </c>
      <c r="BZ69" s="789" t="s">
        <v>7609</v>
      </c>
      <c r="CA69" s="765">
        <v>4</v>
      </c>
      <c r="CB69" s="765" t="s">
        <v>7556</v>
      </c>
      <c r="CC69" s="765" t="s">
        <v>7384</v>
      </c>
      <c r="CD69" s="150" t="s">
        <v>1876</v>
      </c>
      <c r="CE69" s="150" t="s">
        <v>2823</v>
      </c>
      <c r="CF69" s="400" t="s">
        <v>7601</v>
      </c>
      <c r="CG69" s="150" t="s">
        <v>7453</v>
      </c>
      <c r="CH69" s="753" t="s">
        <v>1488</v>
      </c>
      <c r="CI69" s="150" t="s">
        <v>2471</v>
      </c>
      <c r="CJ69" s="150">
        <v>1</v>
      </c>
      <c r="CK69" s="150" t="s">
        <v>2803</v>
      </c>
      <c r="CL69" s="134" t="s">
        <v>6639</v>
      </c>
      <c r="CM69" s="258" t="s">
        <v>2867</v>
      </c>
      <c r="CN69" s="257" t="s">
        <v>6627</v>
      </c>
      <c r="CO69" s="829">
        <v>19</v>
      </c>
      <c r="CP69" s="829">
        <v>3</v>
      </c>
      <c r="CQ69" s="829">
        <v>2</v>
      </c>
      <c r="CR69" s="829">
        <v>1</v>
      </c>
      <c r="CS69" s="829">
        <v>-1</v>
      </c>
      <c r="CT69" s="968"/>
      <c r="CU69" s="1289" t="s">
        <v>8104</v>
      </c>
      <c r="CV69" s="1295">
        <v>76</v>
      </c>
      <c r="CW69" s="1295">
        <v>68</v>
      </c>
      <c r="CX69" s="151" t="s">
        <v>2834</v>
      </c>
      <c r="CY69" s="150">
        <v>118.447</v>
      </c>
      <c r="CZ69" s="150" t="s">
        <v>24</v>
      </c>
      <c r="DA69" s="150">
        <f>139.806-Table66[[#This Row],[Data_Outcome1_M]]</f>
        <v>21.359000000000009</v>
      </c>
      <c r="DB69" s="151" t="s">
        <v>2833</v>
      </c>
      <c r="DC69" s="150">
        <v>40.2913</v>
      </c>
      <c r="DD69" s="150" t="s">
        <v>24</v>
      </c>
      <c r="DE69" s="150">
        <f>54.8544-Table66[[#This Row],[Data_Outcome2_M]]</f>
        <v>14.563099999999999</v>
      </c>
      <c r="DF69" s="294" t="s">
        <v>2865</v>
      </c>
      <c r="DG69" s="295" t="s">
        <v>2846</v>
      </c>
      <c r="DH69" s="121"/>
      <c r="DI69" s="121"/>
      <c r="DJ69" s="1169"/>
      <c r="DK69" s="121"/>
      <c r="DL69" s="1169"/>
      <c r="DM69" s="121"/>
      <c r="DN69" s="1169"/>
      <c r="DO69" s="121"/>
      <c r="DP69" s="288"/>
      <c r="DQ69" s="289"/>
      <c r="DR69" s="1168"/>
      <c r="DS69" s="865"/>
      <c r="DT69" s="1156"/>
      <c r="DU69" s="122"/>
      <c r="DV69" s="122"/>
      <c r="DW69" s="122"/>
      <c r="DX69" s="689"/>
      <c r="DY69" s="122"/>
      <c r="DZ69" s="1164"/>
      <c r="EA69" s="122"/>
      <c r="EB69" s="311"/>
      <c r="EC69" s="313"/>
      <c r="ED69" s="1164"/>
      <c r="EE69" s="122"/>
      <c r="EF69" s="1164"/>
      <c r="EG69" s="122"/>
      <c r="EH69" s="1164"/>
      <c r="EI69" s="122"/>
      <c r="EJ69" s="1164"/>
      <c r="EK69" s="122"/>
      <c r="EL69" s="311"/>
      <c r="EM69" s="313"/>
      <c r="EN69" s="1167"/>
      <c r="EO69" s="1165"/>
      <c r="EP69" s="122"/>
      <c r="EQ69" s="122"/>
      <c r="ER69" s="122"/>
      <c r="ES69" s="122"/>
      <c r="ET69" s="526"/>
      <c r="EU69" s="1164"/>
      <c r="EV69" s="1164"/>
      <c r="EW69" s="1164"/>
      <c r="EX69" s="313"/>
      <c r="EY69" s="313"/>
      <c r="EZ69" s="1166"/>
      <c r="FA69" s="1164"/>
      <c r="FB69" s="1164"/>
      <c r="FC69" s="1164"/>
      <c r="FD69" s="1166"/>
      <c r="FE69" s="1164"/>
      <c r="FF69" s="1164"/>
      <c r="FG69" s="1164"/>
      <c r="FH69" s="313"/>
      <c r="FI69" s="313"/>
      <c r="FJ69" s="1165"/>
    </row>
    <row r="70" spans="1:166" s="1302" customFormat="1" ht="15" hidden="1" customHeight="1">
      <c r="A70" s="153" t="s">
        <v>1093</v>
      </c>
      <c r="B70" s="618">
        <v>80</v>
      </c>
      <c r="C70" s="618"/>
      <c r="D70" s="618">
        <v>18</v>
      </c>
      <c r="E70" s="610" t="s">
        <v>2059</v>
      </c>
      <c r="F70" s="368" t="s">
        <v>2304</v>
      </c>
      <c r="G70" s="369">
        <v>2011</v>
      </c>
      <c r="H70" s="153">
        <v>21701068</v>
      </c>
      <c r="I70" s="153">
        <v>1</v>
      </c>
      <c r="J70" s="370"/>
      <c r="K70" s="371"/>
      <c r="L70" s="153">
        <v>1</v>
      </c>
      <c r="M70" s="153"/>
      <c r="N70" s="153">
        <v>1</v>
      </c>
      <c r="O70" s="153">
        <v>2</v>
      </c>
      <c r="P70" s="153" t="s">
        <v>1240</v>
      </c>
      <c r="Q70" s="153" t="s">
        <v>1244</v>
      </c>
      <c r="R70" s="153"/>
      <c r="S70" s="153"/>
      <c r="T70" s="153" t="s">
        <v>1493</v>
      </c>
      <c r="U70" s="153"/>
      <c r="V70" s="153"/>
      <c r="W70" s="153" t="s">
        <v>1239</v>
      </c>
      <c r="X70" s="153" t="s">
        <v>1243</v>
      </c>
      <c r="Y70" s="153" t="s">
        <v>1242</v>
      </c>
      <c r="Z70" s="153"/>
      <c r="AA70" s="153"/>
      <c r="AB70" s="153" t="s">
        <v>1241</v>
      </c>
      <c r="AC70" s="536" t="s">
        <v>6183</v>
      </c>
      <c r="AD70" s="536">
        <v>1</v>
      </c>
      <c r="AE70" s="536">
        <v>1</v>
      </c>
      <c r="AF70" s="165">
        <v>0</v>
      </c>
      <c r="AG70" s="166" t="s">
        <v>7247</v>
      </c>
      <c r="AH70" s="509" t="s">
        <v>7285</v>
      </c>
      <c r="AI70" s="120"/>
      <c r="AJ70" s="120"/>
      <c r="AK70" s="206"/>
      <c r="AL70" s="372"/>
      <c r="AM70" s="207"/>
      <c r="AN70" s="120"/>
      <c r="AO70" s="120"/>
      <c r="AP70" s="120"/>
      <c r="AQ70" s="120"/>
      <c r="AR70" s="120"/>
      <c r="AS70" s="120"/>
      <c r="AT70" s="120"/>
      <c r="AU70" s="120"/>
      <c r="AV70" s="120"/>
      <c r="AW70" s="120"/>
      <c r="AX70" s="120"/>
      <c r="AY70" s="120"/>
      <c r="AZ70" s="755"/>
      <c r="BA70" s="120"/>
      <c r="BB70" s="120"/>
      <c r="BC70" s="120"/>
      <c r="BD70" s="755"/>
      <c r="BE70" s="755"/>
      <c r="BF70" s="120"/>
      <c r="BG70" s="120"/>
      <c r="BH70" s="377"/>
      <c r="BI70" s="377"/>
      <c r="BJ70" s="373"/>
      <c r="BK70" s="373"/>
      <c r="BL70" s="373"/>
      <c r="BM70" s="373"/>
      <c r="BN70" s="373"/>
      <c r="BO70" s="373"/>
      <c r="BP70" s="373"/>
      <c r="BQ70" s="373"/>
      <c r="BR70" s="373"/>
      <c r="BS70" s="373" t="s">
        <v>6205</v>
      </c>
      <c r="BT70" s="373"/>
      <c r="BU70" s="373"/>
      <c r="BV70" s="373"/>
      <c r="BW70" s="599"/>
      <c r="BX70" s="374"/>
      <c r="BY70" s="374"/>
      <c r="BZ70" s="374"/>
      <c r="CA70" s="510"/>
      <c r="CB70" s="510"/>
      <c r="CC70" s="510"/>
      <c r="CD70" s="120"/>
      <c r="CE70" s="120"/>
      <c r="CF70" s="120"/>
      <c r="CG70" s="120"/>
      <c r="CH70" s="755"/>
      <c r="CI70" s="120"/>
      <c r="CJ70" s="120"/>
      <c r="CK70" s="120"/>
      <c r="CL70" s="120"/>
      <c r="CM70" s="375"/>
      <c r="CN70" s="380"/>
      <c r="CO70" s="380"/>
      <c r="CP70" s="380"/>
      <c r="CQ70" s="380"/>
      <c r="CR70" s="380"/>
      <c r="CS70" s="380"/>
      <c r="CT70" s="380"/>
      <c r="CU70" s="380"/>
      <c r="CV70" s="380"/>
      <c r="CW70" s="380"/>
      <c r="CX70" s="376"/>
      <c r="CY70" s="120"/>
      <c r="CZ70" s="120"/>
      <c r="DA70" s="120"/>
      <c r="DB70" s="376"/>
      <c r="DC70" s="120"/>
      <c r="DD70" s="120"/>
      <c r="DE70" s="120"/>
      <c r="DF70" s="515"/>
      <c r="DG70" s="513"/>
      <c r="DH70" s="376"/>
      <c r="DI70" s="120"/>
      <c r="DJ70" s="384"/>
      <c r="DK70" s="120"/>
      <c r="DL70" s="727"/>
      <c r="DM70" s="120"/>
      <c r="DN70" s="384"/>
      <c r="DO70" s="120"/>
      <c r="DP70" s="375"/>
      <c r="DQ70" s="377"/>
      <c r="DR70" s="1182"/>
      <c r="DS70" s="956"/>
      <c r="DT70" s="727"/>
      <c r="DU70" s="384"/>
      <c r="DV70" s="384"/>
      <c r="DW70" s="384"/>
      <c r="DX70" s="384"/>
      <c r="DY70" s="384"/>
      <c r="DZ70" s="384"/>
      <c r="EA70" s="384"/>
      <c r="EB70" s="1012"/>
      <c r="EC70" s="384"/>
      <c r="ED70" s="384"/>
      <c r="EE70" s="384"/>
      <c r="EF70" s="384"/>
      <c r="EG70" s="384"/>
      <c r="EH70" s="384"/>
      <c r="EI70" s="384"/>
      <c r="EJ70" s="384"/>
      <c r="EK70" s="384"/>
      <c r="EL70" s="1012"/>
      <c r="EM70" s="384"/>
      <c r="EN70" s="1012"/>
      <c r="EO70" s="384"/>
      <c r="EP70" s="384"/>
      <c r="EQ70" s="384"/>
      <c r="ER70" s="384"/>
      <c r="ES70" s="384"/>
      <c r="ET70" s="727"/>
      <c r="EU70" s="384"/>
      <c r="EV70" s="384"/>
      <c r="EW70" s="384"/>
      <c r="EX70" s="384"/>
      <c r="EY70" s="384"/>
      <c r="EZ70" s="727"/>
      <c r="FA70" s="384"/>
      <c r="FB70" s="384"/>
      <c r="FC70" s="384"/>
      <c r="FD70" s="727"/>
      <c r="FE70" s="384"/>
      <c r="FF70" s="384"/>
      <c r="FG70" s="384"/>
      <c r="FH70" s="384"/>
      <c r="FI70" s="384"/>
      <c r="FJ70" s="384"/>
    </row>
    <row r="71" spans="1:166" s="1302" customFormat="1" ht="15" hidden="1" customHeight="1">
      <c r="A71" s="153" t="s">
        <v>114</v>
      </c>
      <c r="B71" s="618">
        <v>81</v>
      </c>
      <c r="C71" s="618">
        <v>11</v>
      </c>
      <c r="D71" s="618"/>
      <c r="E71" s="610" t="s">
        <v>1936</v>
      </c>
      <c r="F71" s="368" t="s">
        <v>2154</v>
      </c>
      <c r="G71" s="369">
        <v>2014</v>
      </c>
      <c r="H71" s="153">
        <v>24766521</v>
      </c>
      <c r="I71" s="153">
        <v>1</v>
      </c>
      <c r="J71" s="370"/>
      <c r="K71" s="371"/>
      <c r="L71" s="153">
        <v>1</v>
      </c>
      <c r="M71" s="153"/>
      <c r="N71" s="153">
        <v>1</v>
      </c>
      <c r="O71" s="153">
        <v>1</v>
      </c>
      <c r="P71" s="153" t="s">
        <v>394</v>
      </c>
      <c r="Q71" s="153" t="s">
        <v>1147</v>
      </c>
      <c r="R71" s="153" t="s">
        <v>25</v>
      </c>
      <c r="S71" s="153"/>
      <c r="T71" s="153"/>
      <c r="U71" s="153"/>
      <c r="V71" s="153"/>
      <c r="W71" s="153" t="s">
        <v>393</v>
      </c>
      <c r="X71" s="153"/>
      <c r="Y71" s="153"/>
      <c r="Z71" s="153"/>
      <c r="AA71" s="153"/>
      <c r="AB71" s="153"/>
      <c r="AC71" s="536"/>
      <c r="AD71" s="536">
        <v>1</v>
      </c>
      <c r="AE71" s="536">
        <v>2</v>
      </c>
      <c r="AF71" s="165">
        <v>0</v>
      </c>
      <c r="AG71" s="166" t="s">
        <v>7260</v>
      </c>
      <c r="AH71" s="509">
        <v>0</v>
      </c>
      <c r="AI71" s="120">
        <v>2</v>
      </c>
      <c r="AJ71" s="120"/>
      <c r="AK71" s="206" t="s">
        <v>3934</v>
      </c>
      <c r="AL71" s="372"/>
      <c r="AM71" s="207"/>
      <c r="AN71" s="120">
        <v>189</v>
      </c>
      <c r="AO71" s="120"/>
      <c r="AP71" s="120"/>
      <c r="AQ71" s="120"/>
      <c r="AR71" s="120"/>
      <c r="AS71" s="120"/>
      <c r="AT71" s="120"/>
      <c r="AU71" s="120"/>
      <c r="AV71" s="120"/>
      <c r="AW71" s="120"/>
      <c r="AX71" s="120"/>
      <c r="AY71" s="120"/>
      <c r="AZ71" s="755"/>
      <c r="BA71" s="120"/>
      <c r="BB71" s="120"/>
      <c r="BC71" s="120"/>
      <c r="BD71" s="755"/>
      <c r="BE71" s="755"/>
      <c r="BF71" s="120" t="s">
        <v>3835</v>
      </c>
      <c r="BG71" s="120" t="s">
        <v>1875</v>
      </c>
      <c r="BH71" s="377"/>
      <c r="BI71" s="377"/>
      <c r="BJ71" s="373"/>
      <c r="BK71" s="373"/>
      <c r="BL71" s="373"/>
      <c r="BM71" s="373"/>
      <c r="BN71" s="373"/>
      <c r="BO71" s="373"/>
      <c r="BP71" s="373">
        <v>1</v>
      </c>
      <c r="BQ71" s="373"/>
      <c r="BR71" s="373"/>
      <c r="BS71" s="373"/>
      <c r="BT71" s="373"/>
      <c r="BU71" s="373"/>
      <c r="BV71" s="373"/>
      <c r="BW71" s="599"/>
      <c r="BX71" s="374"/>
      <c r="BY71" s="374"/>
      <c r="BZ71" s="374"/>
      <c r="CA71" s="510"/>
      <c r="CB71" s="510"/>
      <c r="CC71" s="510"/>
      <c r="CD71" s="120"/>
      <c r="CE71" s="120"/>
      <c r="CF71" s="120"/>
      <c r="CG71" s="120"/>
      <c r="CH71" s="755"/>
      <c r="CI71" s="120"/>
      <c r="CJ71" s="120"/>
      <c r="CK71" s="120"/>
      <c r="CL71" s="120"/>
      <c r="CM71" s="375" t="s">
        <v>3935</v>
      </c>
      <c r="CN71" s="380" t="s">
        <v>24</v>
      </c>
      <c r="CO71" s="380"/>
      <c r="CP71" s="380"/>
      <c r="CQ71" s="380"/>
      <c r="CR71" s="380"/>
      <c r="CS71" s="380"/>
      <c r="CT71" s="380"/>
      <c r="CU71" s="380"/>
      <c r="CV71" s="380"/>
      <c r="CW71" s="380"/>
      <c r="CX71" s="376"/>
      <c r="CY71" s="120"/>
      <c r="CZ71" s="120"/>
      <c r="DA71" s="120"/>
      <c r="DB71" s="376"/>
      <c r="DC71" s="120"/>
      <c r="DD71" s="120"/>
      <c r="DE71" s="120"/>
      <c r="DF71" s="515"/>
      <c r="DG71" s="513"/>
      <c r="DH71" s="727"/>
      <c r="DI71" s="384"/>
      <c r="DJ71" s="384"/>
      <c r="DK71" s="384"/>
      <c r="DL71" s="727"/>
      <c r="DM71" s="384"/>
      <c r="DN71" s="384"/>
      <c r="DO71" s="384"/>
      <c r="DP71" s="375"/>
      <c r="DQ71" s="377"/>
      <c r="DR71" s="1182"/>
      <c r="DS71" s="956"/>
      <c r="DT71" s="727"/>
      <c r="DU71" s="120"/>
      <c r="DV71" s="384"/>
      <c r="DW71" s="120"/>
      <c r="DX71" s="384"/>
      <c r="DY71" s="120"/>
      <c r="DZ71" s="384"/>
      <c r="EA71" s="120"/>
      <c r="EB71" s="1012"/>
      <c r="EC71" s="384"/>
      <c r="ED71" s="384"/>
      <c r="EE71" s="384"/>
      <c r="EF71" s="384"/>
      <c r="EG71" s="384"/>
      <c r="EH71" s="384"/>
      <c r="EI71" s="384"/>
      <c r="EJ71" s="384"/>
      <c r="EK71" s="384"/>
      <c r="EL71" s="1012"/>
      <c r="EM71" s="384"/>
      <c r="EN71" s="1012"/>
      <c r="EO71" s="384"/>
      <c r="EP71" s="384"/>
      <c r="EQ71" s="384"/>
      <c r="ER71" s="384"/>
      <c r="ES71" s="384"/>
      <c r="ET71" s="727"/>
      <c r="EU71" s="384"/>
      <c r="EV71" s="384"/>
      <c r="EW71" s="384"/>
      <c r="EX71" s="384"/>
      <c r="EY71" s="384"/>
      <c r="EZ71" s="727"/>
      <c r="FA71" s="384"/>
      <c r="FB71" s="384"/>
      <c r="FC71" s="384"/>
      <c r="FD71" s="727"/>
      <c r="FE71" s="384"/>
      <c r="FF71" s="384"/>
      <c r="FG71" s="384"/>
      <c r="FH71" s="384"/>
      <c r="FI71" s="384"/>
      <c r="FJ71" s="384"/>
    </row>
    <row r="72" spans="1:166" s="1302" customFormat="1" ht="15" hidden="1" customHeight="1">
      <c r="A72" s="153" t="s">
        <v>115</v>
      </c>
      <c r="B72" s="618">
        <v>82</v>
      </c>
      <c r="C72" s="618">
        <v>12</v>
      </c>
      <c r="D72" s="618"/>
      <c r="E72" s="610" t="s">
        <v>1936</v>
      </c>
      <c r="F72" s="368" t="s">
        <v>2155</v>
      </c>
      <c r="G72" s="369">
        <v>2016</v>
      </c>
      <c r="H72" s="153">
        <v>27058006</v>
      </c>
      <c r="I72" s="153">
        <v>1</v>
      </c>
      <c r="J72" s="370"/>
      <c r="K72" s="371"/>
      <c r="L72" s="153">
        <v>1</v>
      </c>
      <c r="M72" s="153"/>
      <c r="N72" s="153">
        <v>1</v>
      </c>
      <c r="O72" s="153">
        <v>1</v>
      </c>
      <c r="P72" s="153" t="s">
        <v>390</v>
      </c>
      <c r="Q72" s="153" t="s">
        <v>1147</v>
      </c>
      <c r="R72" s="153" t="s">
        <v>391</v>
      </c>
      <c r="S72" s="153">
        <v>1</v>
      </c>
      <c r="T72" s="153"/>
      <c r="U72" s="153"/>
      <c r="V72" s="153"/>
      <c r="W72" s="153"/>
      <c r="X72" s="153" t="s">
        <v>389</v>
      </c>
      <c r="Y72" s="153"/>
      <c r="Z72" s="153"/>
      <c r="AA72" s="153"/>
      <c r="AB72" s="153" t="s">
        <v>392</v>
      </c>
      <c r="AC72" s="536"/>
      <c r="AD72" s="536">
        <v>1</v>
      </c>
      <c r="AE72" s="536">
        <v>2</v>
      </c>
      <c r="AF72" s="165">
        <v>0</v>
      </c>
      <c r="AG72" s="166" t="s">
        <v>7261</v>
      </c>
      <c r="AH72" s="509" t="s">
        <v>7273</v>
      </c>
      <c r="AI72" s="120">
        <v>2</v>
      </c>
      <c r="AJ72" s="120"/>
      <c r="AK72" s="206"/>
      <c r="AL72" s="372"/>
      <c r="AM72" s="207"/>
      <c r="AN72" s="120"/>
      <c r="AO72" s="120"/>
      <c r="AP72" s="120"/>
      <c r="AQ72" s="120"/>
      <c r="AR72" s="120"/>
      <c r="AS72" s="120"/>
      <c r="AT72" s="120"/>
      <c r="AU72" s="120"/>
      <c r="AV72" s="120"/>
      <c r="AW72" s="120"/>
      <c r="AX72" s="120"/>
      <c r="AY72" s="120"/>
      <c r="AZ72" s="755"/>
      <c r="BA72" s="120"/>
      <c r="BB72" s="120"/>
      <c r="BC72" s="120"/>
      <c r="BD72" s="755"/>
      <c r="BE72" s="755"/>
      <c r="BF72" s="120"/>
      <c r="BG72" s="120"/>
      <c r="BH72" s="377"/>
      <c r="BI72" s="377"/>
      <c r="BJ72" s="373"/>
      <c r="BK72" s="373"/>
      <c r="BL72" s="373"/>
      <c r="BM72" s="373"/>
      <c r="BN72" s="373"/>
      <c r="BO72" s="373"/>
      <c r="BP72" s="373">
        <v>1</v>
      </c>
      <c r="BQ72" s="373"/>
      <c r="BR72" s="373"/>
      <c r="BS72" s="373"/>
      <c r="BT72" s="373"/>
      <c r="BU72" s="373"/>
      <c r="BV72" s="373"/>
      <c r="BW72" s="599"/>
      <c r="BX72" s="374"/>
      <c r="BY72" s="374"/>
      <c r="BZ72" s="374"/>
      <c r="CA72" s="510"/>
      <c r="CB72" s="510"/>
      <c r="CC72" s="510"/>
      <c r="CD72" s="120"/>
      <c r="CE72" s="120"/>
      <c r="CF72" s="120"/>
      <c r="CG72" s="120"/>
      <c r="CH72" s="755"/>
      <c r="CI72" s="120"/>
      <c r="CJ72" s="120"/>
      <c r="CK72" s="120"/>
      <c r="CL72" s="120"/>
      <c r="CM72" s="375" t="s">
        <v>24</v>
      </c>
      <c r="CN72" s="380"/>
      <c r="CO72" s="380"/>
      <c r="CP72" s="380"/>
      <c r="CQ72" s="380"/>
      <c r="CR72" s="380"/>
      <c r="CS72" s="380"/>
      <c r="CT72" s="380"/>
      <c r="CU72" s="380"/>
      <c r="CV72" s="380"/>
      <c r="CW72" s="380"/>
      <c r="CX72" s="376"/>
      <c r="CY72" s="120"/>
      <c r="CZ72" s="120"/>
      <c r="DA72" s="120"/>
      <c r="DB72" s="376"/>
      <c r="DC72" s="120"/>
      <c r="DD72" s="120"/>
      <c r="DE72" s="120"/>
      <c r="DF72" s="515"/>
      <c r="DG72" s="513"/>
      <c r="DH72" s="727"/>
      <c r="DI72" s="384"/>
      <c r="DJ72" s="384"/>
      <c r="DK72" s="384"/>
      <c r="DL72" s="727"/>
      <c r="DM72" s="384"/>
      <c r="DN72" s="384"/>
      <c r="DO72" s="384"/>
      <c r="DP72" s="375"/>
      <c r="DQ72" s="377"/>
      <c r="DR72" s="1182"/>
      <c r="DS72" s="956"/>
      <c r="DT72" s="727"/>
      <c r="DU72" s="384"/>
      <c r="DV72" s="384"/>
      <c r="DW72" s="384"/>
      <c r="DX72" s="384"/>
      <c r="DY72" s="384"/>
      <c r="DZ72" s="384"/>
      <c r="EA72" s="384"/>
      <c r="EB72" s="380"/>
      <c r="EC72" s="120"/>
      <c r="ED72" s="384"/>
      <c r="EE72" s="384"/>
      <c r="EF72" s="384"/>
      <c r="EG72" s="384"/>
      <c r="EH72" s="384"/>
      <c r="EI72" s="384"/>
      <c r="EJ72" s="384"/>
      <c r="EK72" s="384"/>
      <c r="EL72" s="380"/>
      <c r="EM72" s="120"/>
      <c r="EN72" s="1012"/>
      <c r="EO72" s="384"/>
      <c r="EP72" s="384"/>
      <c r="EQ72" s="384"/>
      <c r="ER72" s="384"/>
      <c r="ES72" s="384"/>
      <c r="ET72" s="727"/>
      <c r="EU72" s="384"/>
      <c r="EV72" s="384"/>
      <c r="EW72" s="384"/>
      <c r="EX72" s="384"/>
      <c r="EY72" s="384"/>
      <c r="EZ72" s="727"/>
      <c r="FA72" s="384"/>
      <c r="FB72" s="384"/>
      <c r="FC72" s="384"/>
      <c r="FD72" s="727"/>
      <c r="FE72" s="384"/>
      <c r="FF72" s="384"/>
      <c r="FG72" s="384"/>
      <c r="FH72" s="384"/>
      <c r="FI72" s="384"/>
      <c r="FJ72" s="384"/>
    </row>
    <row r="73" spans="1:166" s="1302" customFormat="1" ht="15" hidden="1" customHeight="1">
      <c r="A73" s="79" t="s">
        <v>117</v>
      </c>
      <c r="B73" s="362">
        <v>83</v>
      </c>
      <c r="C73" s="362"/>
      <c r="D73" s="362">
        <v>19</v>
      </c>
      <c r="E73" s="604" t="s">
        <v>1937</v>
      </c>
      <c r="F73" s="124" t="s">
        <v>2156</v>
      </c>
      <c r="G73" s="125">
        <v>2016</v>
      </c>
      <c r="H73" s="79">
        <v>27252673</v>
      </c>
      <c r="I73" s="79">
        <v>1</v>
      </c>
      <c r="J73" s="126"/>
      <c r="K73" s="127"/>
      <c r="L73" s="79">
        <v>1</v>
      </c>
      <c r="M73" s="79"/>
      <c r="N73" s="79">
        <v>1</v>
      </c>
      <c r="O73" s="128">
        <v>1</v>
      </c>
      <c r="P73" s="79" t="s">
        <v>397</v>
      </c>
      <c r="Q73" s="79" t="s">
        <v>1183</v>
      </c>
      <c r="R73" s="79" t="s">
        <v>25</v>
      </c>
      <c r="S73" s="79">
        <v>1</v>
      </c>
      <c r="T73" s="79"/>
      <c r="U73" s="79"/>
      <c r="V73" s="79"/>
      <c r="W73" s="79" t="s">
        <v>398</v>
      </c>
      <c r="X73" s="79"/>
      <c r="Y73" s="79"/>
      <c r="Z73" s="79"/>
      <c r="AA73" s="79"/>
      <c r="AB73" s="79"/>
      <c r="AC73" s="506" t="s">
        <v>6185</v>
      </c>
      <c r="AD73" s="573">
        <v>1</v>
      </c>
      <c r="AE73" s="573">
        <v>0</v>
      </c>
      <c r="AF73" s="924">
        <v>2</v>
      </c>
      <c r="AG73" s="925"/>
      <c r="AH73" s="911"/>
      <c r="AI73" s="923">
        <v>2</v>
      </c>
      <c r="AJ73" s="923"/>
      <c r="AK73" s="926"/>
      <c r="AL73" s="588"/>
      <c r="AM73" s="927"/>
      <c r="AN73" s="923"/>
      <c r="AO73" s="923"/>
      <c r="AP73" s="923"/>
      <c r="AQ73" s="923"/>
      <c r="AR73" s="923"/>
      <c r="AS73" s="923"/>
      <c r="AT73" s="923"/>
      <c r="AU73" s="923"/>
      <c r="AV73" s="923"/>
      <c r="AW73" s="923"/>
      <c r="AX73" s="923"/>
      <c r="AY73" s="923"/>
      <c r="AZ73" s="915"/>
      <c r="BA73" s="923"/>
      <c r="BB73" s="923"/>
      <c r="BC73" s="923"/>
      <c r="BD73" s="915"/>
      <c r="BE73" s="915"/>
      <c r="BF73" s="923"/>
      <c r="BG73" s="923"/>
      <c r="BH73" s="594"/>
      <c r="BI73" s="594" t="s">
        <v>6186</v>
      </c>
      <c r="BJ73" s="156"/>
      <c r="BK73" s="156"/>
      <c r="BL73" s="156"/>
      <c r="BM73" s="156"/>
      <c r="BN73" s="156"/>
      <c r="BO73" s="156"/>
      <c r="BP73" s="156"/>
      <c r="BQ73" s="156"/>
      <c r="BR73" s="156"/>
      <c r="BS73" s="156" t="s">
        <v>5545</v>
      </c>
      <c r="BT73" s="156"/>
      <c r="BU73" s="156"/>
      <c r="BV73" s="156"/>
      <c r="BW73" s="928"/>
      <c r="BX73" s="929"/>
      <c r="BY73" s="929"/>
      <c r="BZ73" s="929"/>
      <c r="CA73" s="917"/>
      <c r="CB73" s="917"/>
      <c r="CC73" s="917"/>
      <c r="CD73" s="923"/>
      <c r="CE73" s="923"/>
      <c r="CF73" s="923"/>
      <c r="CG73" s="923"/>
      <c r="CH73" s="915"/>
      <c r="CI73" s="923"/>
      <c r="CJ73" s="923"/>
      <c r="CK73" s="923"/>
      <c r="CL73" s="923"/>
      <c r="CM73" s="930"/>
      <c r="CN73" s="931"/>
      <c r="CO73" s="931"/>
      <c r="CP73" s="931"/>
      <c r="CQ73" s="931"/>
      <c r="CR73" s="931"/>
      <c r="CS73" s="931"/>
      <c r="CT73" s="967"/>
      <c r="CU73" s="967"/>
      <c r="CV73" s="967"/>
      <c r="CW73" s="967"/>
      <c r="CX73" s="932"/>
      <c r="CY73" s="923"/>
      <c r="CZ73" s="923"/>
      <c r="DA73" s="923"/>
      <c r="DB73" s="932"/>
      <c r="DC73" s="923"/>
      <c r="DD73" s="923"/>
      <c r="DE73" s="923"/>
      <c r="DF73" s="920"/>
      <c r="DG73" s="598"/>
      <c r="DH73" s="950"/>
      <c r="DI73" s="951"/>
      <c r="DJ73" s="951"/>
      <c r="DK73" s="951"/>
      <c r="DL73" s="950"/>
      <c r="DM73" s="951"/>
      <c r="DN73" s="951"/>
      <c r="DO73" s="951"/>
      <c r="DP73" s="930"/>
      <c r="DQ73" s="594"/>
      <c r="DR73" s="1187"/>
      <c r="DS73" s="1186"/>
      <c r="DT73" s="950"/>
      <c r="DU73" s="951"/>
      <c r="DV73" s="951"/>
      <c r="DW73" s="951"/>
      <c r="DX73" s="951"/>
      <c r="DY73" s="951"/>
      <c r="DZ73" s="951"/>
      <c r="EA73" s="951"/>
      <c r="EB73" s="1185"/>
      <c r="EC73" s="951"/>
      <c r="ED73" s="951"/>
      <c r="EE73" s="951"/>
      <c r="EF73" s="951"/>
      <c r="EG73" s="951"/>
      <c r="EH73" s="951"/>
      <c r="EI73" s="951"/>
      <c r="EJ73" s="951"/>
      <c r="EK73" s="951"/>
      <c r="EL73" s="1185"/>
      <c r="EM73" s="951"/>
      <c r="EN73" s="1185"/>
      <c r="EO73" s="951"/>
      <c r="EP73" s="951"/>
      <c r="EQ73" s="951"/>
      <c r="ER73" s="951"/>
      <c r="ES73" s="951"/>
      <c r="ET73" s="950"/>
      <c r="EU73" s="951"/>
      <c r="EV73" s="951"/>
      <c r="EW73" s="951"/>
      <c r="EX73" s="951"/>
      <c r="EY73" s="951"/>
      <c r="EZ73" s="950"/>
      <c r="FA73" s="951"/>
      <c r="FB73" s="951"/>
      <c r="FC73" s="951"/>
      <c r="FD73" s="950"/>
      <c r="FE73" s="951"/>
      <c r="FF73" s="951"/>
      <c r="FG73" s="951"/>
      <c r="FH73" s="951"/>
      <c r="FI73" s="951"/>
      <c r="FJ73" s="951"/>
    </row>
    <row r="74" spans="1:166" s="1302" customFormat="1" ht="15" hidden="1" customHeight="1">
      <c r="A74" s="79" t="s">
        <v>119</v>
      </c>
      <c r="B74" s="362">
        <v>84</v>
      </c>
      <c r="C74" s="362">
        <v>13</v>
      </c>
      <c r="D74" s="362"/>
      <c r="E74" s="604" t="s">
        <v>1938</v>
      </c>
      <c r="F74" s="124" t="s">
        <v>2157</v>
      </c>
      <c r="G74" s="125">
        <v>2013</v>
      </c>
      <c r="H74" s="79">
        <v>24330891</v>
      </c>
      <c r="I74" s="172" t="s">
        <v>1796</v>
      </c>
      <c r="J74" s="126"/>
      <c r="K74" s="127"/>
      <c r="L74" s="79">
        <v>1</v>
      </c>
      <c r="M74" s="79"/>
      <c r="N74" s="79">
        <v>1</v>
      </c>
      <c r="O74" s="128">
        <v>1</v>
      </c>
      <c r="P74" s="79" t="s">
        <v>401</v>
      </c>
      <c r="Q74" s="79" t="s">
        <v>1180</v>
      </c>
      <c r="R74" s="79" t="s">
        <v>402</v>
      </c>
      <c r="S74" s="79">
        <v>1</v>
      </c>
      <c r="T74" s="79"/>
      <c r="U74" s="79"/>
      <c r="V74" s="79"/>
      <c r="W74" s="79" t="s">
        <v>400</v>
      </c>
      <c r="X74" s="79" t="s">
        <v>24</v>
      </c>
      <c r="Y74" s="79"/>
      <c r="Z74" s="79"/>
      <c r="AA74" s="79"/>
      <c r="AB74" s="79"/>
      <c r="AC74" s="506"/>
      <c r="AD74" s="573">
        <v>1</v>
      </c>
      <c r="AE74" s="573">
        <v>2</v>
      </c>
      <c r="AF74" s="154">
        <v>1</v>
      </c>
      <c r="AG74" s="155"/>
      <c r="AH74" s="704"/>
      <c r="AI74" s="121">
        <v>2</v>
      </c>
      <c r="AJ74" s="484"/>
      <c r="AK74" s="202" t="s">
        <v>3938</v>
      </c>
      <c r="AL74" s="192">
        <v>1</v>
      </c>
      <c r="AM74" s="215">
        <v>0</v>
      </c>
      <c r="AN74" s="134">
        <v>535</v>
      </c>
      <c r="AO74" s="134">
        <v>196</v>
      </c>
      <c r="AP74" s="134">
        <v>339</v>
      </c>
      <c r="AQ74" s="134" t="s">
        <v>3941</v>
      </c>
      <c r="AR74" s="134" t="s">
        <v>3940</v>
      </c>
      <c r="AS74" s="134">
        <v>55.9</v>
      </c>
      <c r="AT74" s="134">
        <v>10</v>
      </c>
      <c r="AU74" s="134">
        <v>54.2</v>
      </c>
      <c r="AV74" s="134">
        <v>8.9</v>
      </c>
      <c r="AW74" s="134" t="s">
        <v>3942</v>
      </c>
      <c r="AX74" s="134"/>
      <c r="AY74" s="134"/>
      <c r="AZ74" s="753" t="s">
        <v>1874</v>
      </c>
      <c r="BA74" s="134" t="s">
        <v>24</v>
      </c>
      <c r="BB74" s="134" t="s">
        <v>24</v>
      </c>
      <c r="BC74" s="134" t="s">
        <v>2423</v>
      </c>
      <c r="BD74" s="753" t="s">
        <v>7521</v>
      </c>
      <c r="BE74" s="187">
        <v>0</v>
      </c>
      <c r="BF74" s="134" t="s">
        <v>3939</v>
      </c>
      <c r="BG74" s="134" t="s">
        <v>3943</v>
      </c>
      <c r="BH74" s="594"/>
      <c r="BI74" s="594"/>
      <c r="BJ74" s="156"/>
      <c r="BK74" s="156"/>
      <c r="BL74" s="156"/>
      <c r="BM74" s="156" t="s">
        <v>3840</v>
      </c>
      <c r="BN74" s="156"/>
      <c r="BO74" s="156" t="s">
        <v>3840</v>
      </c>
      <c r="BP74" s="156">
        <v>1</v>
      </c>
      <c r="BQ74" s="156"/>
      <c r="BR74" s="156" t="s">
        <v>3840</v>
      </c>
      <c r="BS74" s="156"/>
      <c r="BT74" s="156"/>
      <c r="BU74" s="156"/>
      <c r="BV74" s="156"/>
      <c r="BW74" s="595" t="s">
        <v>3956</v>
      </c>
      <c r="BX74" s="157" t="s">
        <v>6610</v>
      </c>
      <c r="BY74" s="797" t="s">
        <v>7616</v>
      </c>
      <c r="BZ74" s="789" t="s">
        <v>7610</v>
      </c>
      <c r="CA74" s="765">
        <v>2</v>
      </c>
      <c r="CB74" s="765" t="s">
        <v>7556</v>
      </c>
      <c r="CC74" s="765" t="s">
        <v>24</v>
      </c>
      <c r="CD74" s="134" t="s">
        <v>1876</v>
      </c>
      <c r="CE74" s="134">
        <v>2</v>
      </c>
      <c r="CF74" s="400"/>
      <c r="CG74" s="134" t="s">
        <v>3955</v>
      </c>
      <c r="CH74" s="753" t="s">
        <v>7346</v>
      </c>
      <c r="CI74" s="134" t="s">
        <v>24</v>
      </c>
      <c r="CJ74" s="134">
        <v>1</v>
      </c>
      <c r="CK74" s="134" t="s">
        <v>3945</v>
      </c>
      <c r="CL74" s="134" t="s">
        <v>8224</v>
      </c>
      <c r="CM74" s="259" t="s">
        <v>3954</v>
      </c>
      <c r="CN74" s="454" t="s">
        <v>24</v>
      </c>
      <c r="CO74" s="828">
        <v>7</v>
      </c>
      <c r="CP74" s="828">
        <v>1</v>
      </c>
      <c r="CQ74" s="828">
        <v>1</v>
      </c>
      <c r="CR74" s="828">
        <v>1</v>
      </c>
      <c r="CS74" s="828">
        <v>1</v>
      </c>
      <c r="CT74" s="967"/>
      <c r="CU74" s="1288" t="s">
        <v>8103</v>
      </c>
      <c r="CV74" s="1294">
        <v>9</v>
      </c>
      <c r="CW74" s="1294">
        <v>8</v>
      </c>
      <c r="CX74" s="138" t="s">
        <v>3946</v>
      </c>
      <c r="CY74" s="134">
        <v>7</v>
      </c>
      <c r="CZ74" s="134">
        <v>1.7</v>
      </c>
      <c r="DA74" s="134" t="s">
        <v>24</v>
      </c>
      <c r="DB74" s="138" t="s">
        <v>3947</v>
      </c>
      <c r="DC74" s="134">
        <v>7.5</v>
      </c>
      <c r="DD74" s="134">
        <v>1.5</v>
      </c>
      <c r="DE74" s="134" t="s">
        <v>24</v>
      </c>
      <c r="DF74" s="294" t="s">
        <v>3948</v>
      </c>
      <c r="DG74" s="295" t="s">
        <v>2846</v>
      </c>
      <c r="DH74" s="1179"/>
      <c r="DI74" s="417"/>
      <c r="DJ74" s="1169"/>
      <c r="DK74" s="417"/>
      <c r="DL74" s="1169"/>
      <c r="DM74" s="417"/>
      <c r="DN74" s="1169"/>
      <c r="DO74" s="1151"/>
      <c r="DP74" s="288"/>
      <c r="DQ74" s="441"/>
      <c r="DR74" s="1168"/>
      <c r="DS74" s="865"/>
      <c r="DT74" s="1171"/>
      <c r="DU74" s="1169"/>
      <c r="DV74" s="1169"/>
      <c r="DW74" s="1169"/>
      <c r="DX74" s="1169"/>
      <c r="DY74" s="1169"/>
      <c r="DZ74" s="1169"/>
      <c r="EA74" s="1169"/>
      <c r="EB74" s="304"/>
      <c r="EC74" s="312"/>
      <c r="ED74" s="1169"/>
      <c r="EE74" s="1169"/>
      <c r="EF74" s="1169"/>
      <c r="EG74" s="1169"/>
      <c r="EH74" s="1169"/>
      <c r="EI74" s="1169"/>
      <c r="EJ74" s="1169"/>
      <c r="EK74" s="1169"/>
      <c r="EL74" s="304"/>
      <c r="EM74" s="312"/>
      <c r="EN74" s="309"/>
      <c r="EO74" s="1170"/>
      <c r="EP74" s="1169"/>
      <c r="EQ74" s="1169"/>
      <c r="ER74" s="1169"/>
      <c r="ES74" s="1169"/>
      <c r="ET74" s="1171"/>
      <c r="EU74" s="1169"/>
      <c r="EV74" s="1169"/>
      <c r="EW74" s="1169"/>
      <c r="EX74" s="312"/>
      <c r="EY74" s="312"/>
      <c r="EZ74" s="1171"/>
      <c r="FA74" s="1169"/>
      <c r="FB74" s="1169"/>
      <c r="FC74" s="1169"/>
      <c r="FD74" s="1171"/>
      <c r="FE74" s="1169"/>
      <c r="FF74" s="1169"/>
      <c r="FG74" s="1169"/>
      <c r="FH74" s="312"/>
      <c r="FI74" s="312"/>
      <c r="FJ74" s="1170"/>
    </row>
    <row r="75" spans="1:166" s="1302" customFormat="1" ht="15" hidden="1" customHeight="1">
      <c r="A75" s="79" t="s">
        <v>119</v>
      </c>
      <c r="B75" s="362">
        <v>84</v>
      </c>
      <c r="C75" s="362">
        <v>13</v>
      </c>
      <c r="D75" s="362"/>
      <c r="E75" s="604" t="s">
        <v>1938</v>
      </c>
      <c r="F75" s="124" t="s">
        <v>2157</v>
      </c>
      <c r="G75" s="125">
        <v>2013</v>
      </c>
      <c r="H75" s="79">
        <v>24330891</v>
      </c>
      <c r="I75" s="172" t="s">
        <v>1796</v>
      </c>
      <c r="J75" s="126"/>
      <c r="K75" s="127"/>
      <c r="L75" s="79">
        <v>1</v>
      </c>
      <c r="M75" s="79"/>
      <c r="N75" s="79">
        <v>1</v>
      </c>
      <c r="O75" s="128">
        <v>1</v>
      </c>
      <c r="P75" s="79" t="s">
        <v>401</v>
      </c>
      <c r="Q75" s="79" t="s">
        <v>1180</v>
      </c>
      <c r="R75" s="79" t="s">
        <v>402</v>
      </c>
      <c r="S75" s="79">
        <v>1</v>
      </c>
      <c r="T75" s="79"/>
      <c r="U75" s="79"/>
      <c r="V75" s="79"/>
      <c r="W75" s="79" t="s">
        <v>400</v>
      </c>
      <c r="X75" s="79" t="s">
        <v>24</v>
      </c>
      <c r="Y75" s="79"/>
      <c r="Z75" s="79"/>
      <c r="AA75" s="79"/>
      <c r="AB75" s="79"/>
      <c r="AC75" s="506"/>
      <c r="AD75" s="573">
        <v>1</v>
      </c>
      <c r="AE75" s="573">
        <v>2</v>
      </c>
      <c r="AF75" s="154">
        <v>1</v>
      </c>
      <c r="AG75" s="155"/>
      <c r="AH75" s="704"/>
      <c r="AI75" s="121">
        <v>2</v>
      </c>
      <c r="AJ75" s="484"/>
      <c r="AK75" s="202" t="s">
        <v>3938</v>
      </c>
      <c r="AL75" s="192">
        <v>1</v>
      </c>
      <c r="AM75" s="215">
        <v>0</v>
      </c>
      <c r="AN75" s="134">
        <v>535</v>
      </c>
      <c r="AO75" s="134">
        <v>196</v>
      </c>
      <c r="AP75" s="134">
        <v>339</v>
      </c>
      <c r="AQ75" s="134" t="s">
        <v>3941</v>
      </c>
      <c r="AR75" s="134" t="s">
        <v>3940</v>
      </c>
      <c r="AS75" s="134">
        <v>55.9</v>
      </c>
      <c r="AT75" s="134">
        <v>10</v>
      </c>
      <c r="AU75" s="134">
        <v>54.2</v>
      </c>
      <c r="AV75" s="134">
        <v>8.9</v>
      </c>
      <c r="AW75" s="134" t="s">
        <v>3942</v>
      </c>
      <c r="AX75" s="134"/>
      <c r="AY75" s="134"/>
      <c r="AZ75" s="753" t="s">
        <v>1874</v>
      </c>
      <c r="BA75" s="134" t="s">
        <v>24</v>
      </c>
      <c r="BB75" s="134" t="s">
        <v>24</v>
      </c>
      <c r="BC75" s="134" t="s">
        <v>2423</v>
      </c>
      <c r="BD75" s="753" t="s">
        <v>7521</v>
      </c>
      <c r="BE75" s="187">
        <v>0</v>
      </c>
      <c r="BF75" s="134" t="s">
        <v>3939</v>
      </c>
      <c r="BG75" s="134" t="s">
        <v>3943</v>
      </c>
      <c r="BH75" s="594"/>
      <c r="BI75" s="594"/>
      <c r="BJ75" s="156"/>
      <c r="BK75" s="156"/>
      <c r="BL75" s="156"/>
      <c r="BM75" s="156" t="s">
        <v>3840</v>
      </c>
      <c r="BN75" s="156"/>
      <c r="BO75" s="156" t="s">
        <v>3840</v>
      </c>
      <c r="BP75" s="156">
        <v>1</v>
      </c>
      <c r="BQ75" s="156"/>
      <c r="BR75" s="156" t="s">
        <v>3840</v>
      </c>
      <c r="BS75" s="156"/>
      <c r="BT75" s="156"/>
      <c r="BU75" s="156"/>
      <c r="BV75" s="156"/>
      <c r="BW75" s="595" t="s">
        <v>3956</v>
      </c>
      <c r="BX75" s="157" t="s">
        <v>6609</v>
      </c>
      <c r="BY75" s="797" t="s">
        <v>7616</v>
      </c>
      <c r="BZ75" s="789" t="s">
        <v>803</v>
      </c>
      <c r="CA75" s="765">
        <v>2</v>
      </c>
      <c r="CB75" s="765" t="s">
        <v>7556</v>
      </c>
      <c r="CC75" s="765" t="s">
        <v>24</v>
      </c>
      <c r="CD75" s="134" t="s">
        <v>1876</v>
      </c>
      <c r="CE75" s="134">
        <v>2</v>
      </c>
      <c r="CF75" s="400"/>
      <c r="CG75" s="134" t="s">
        <v>3955</v>
      </c>
      <c r="CH75" s="753" t="s">
        <v>7346</v>
      </c>
      <c r="CI75" s="134" t="s">
        <v>24</v>
      </c>
      <c r="CJ75" s="134">
        <v>1</v>
      </c>
      <c r="CK75" s="134" t="s">
        <v>3945</v>
      </c>
      <c r="CL75" s="134" t="s">
        <v>8225</v>
      </c>
      <c r="CM75" s="259" t="s">
        <v>3954</v>
      </c>
      <c r="CN75" s="454">
        <v>0</v>
      </c>
      <c r="CO75" s="828">
        <v>7</v>
      </c>
      <c r="CP75" s="828">
        <v>1</v>
      </c>
      <c r="CQ75" s="828">
        <v>2</v>
      </c>
      <c r="CR75" s="828">
        <v>1</v>
      </c>
      <c r="CS75" s="828">
        <v>1</v>
      </c>
      <c r="CT75" s="967"/>
      <c r="CU75" s="1288" t="s">
        <v>8103</v>
      </c>
      <c r="CV75" s="1294">
        <v>9</v>
      </c>
      <c r="CW75" s="1294">
        <v>8</v>
      </c>
      <c r="CX75" s="138" t="s">
        <v>3949</v>
      </c>
      <c r="CY75" s="134">
        <v>10.7</v>
      </c>
      <c r="CZ75" s="134">
        <v>1.4</v>
      </c>
      <c r="DA75" s="134" t="s">
        <v>24</v>
      </c>
      <c r="DB75" s="138" t="s">
        <v>3950</v>
      </c>
      <c r="DC75" s="134">
        <v>10.9</v>
      </c>
      <c r="DD75" s="134">
        <v>1.3</v>
      </c>
      <c r="DE75" s="134" t="s">
        <v>24</v>
      </c>
      <c r="DF75" s="288" t="s">
        <v>3951</v>
      </c>
      <c r="DG75" s="289" t="s">
        <v>3952</v>
      </c>
      <c r="DH75" s="1171"/>
      <c r="DI75" s="1169"/>
      <c r="DJ75" s="1169"/>
      <c r="DK75" s="1169"/>
      <c r="DL75" s="1171"/>
      <c r="DM75" s="1169"/>
      <c r="DN75" s="1169"/>
      <c r="DO75" s="1169"/>
      <c r="DP75" s="288"/>
      <c r="DQ75" s="289"/>
      <c r="DR75" s="1168"/>
      <c r="DS75" s="865"/>
      <c r="DT75" s="1171"/>
      <c r="DU75" s="1169"/>
      <c r="DV75" s="1169"/>
      <c r="DW75" s="1169"/>
      <c r="DX75" s="1169"/>
      <c r="DY75" s="1169"/>
      <c r="DZ75" s="1169"/>
      <c r="EA75" s="1169"/>
      <c r="EB75" s="304"/>
      <c r="EC75" s="312"/>
      <c r="ED75" s="1169"/>
      <c r="EE75" s="1169"/>
      <c r="EF75" s="1169"/>
      <c r="EG75" s="1169"/>
      <c r="EH75" s="1169"/>
      <c r="EI75" s="1169"/>
      <c r="EJ75" s="1169"/>
      <c r="EK75" s="1169"/>
      <c r="EL75" s="304"/>
      <c r="EM75" s="312"/>
      <c r="EN75" s="309"/>
      <c r="EO75" s="1170"/>
      <c r="EP75" s="1169"/>
      <c r="EQ75" s="1169"/>
      <c r="ER75" s="1169"/>
      <c r="ES75" s="1169"/>
      <c r="ET75" s="1171"/>
      <c r="EU75" s="1169"/>
      <c r="EV75" s="1169"/>
      <c r="EW75" s="1169"/>
      <c r="EX75" s="312"/>
      <c r="EY75" s="312"/>
      <c r="EZ75" s="1171"/>
      <c r="FA75" s="1169"/>
      <c r="FB75" s="1169"/>
      <c r="FC75" s="1169"/>
      <c r="FD75" s="1171"/>
      <c r="FE75" s="1169"/>
      <c r="FF75" s="1169"/>
      <c r="FG75" s="1169"/>
      <c r="FH75" s="312"/>
      <c r="FI75" s="312"/>
      <c r="FJ75" s="1170"/>
    </row>
    <row r="76" spans="1:166" s="229" customFormat="1" ht="15" hidden="1" customHeight="1">
      <c r="A76" s="1305" t="s">
        <v>1026</v>
      </c>
      <c r="B76" s="1310">
        <v>24</v>
      </c>
      <c r="C76" s="1310"/>
      <c r="D76" s="1310"/>
      <c r="E76" s="1311" t="s">
        <v>2088</v>
      </c>
      <c r="F76" s="1312" t="s">
        <v>2343</v>
      </c>
      <c r="G76" s="1313">
        <v>2012</v>
      </c>
      <c r="H76" s="1305">
        <v>22176467</v>
      </c>
      <c r="I76" s="1305">
        <v>1</v>
      </c>
      <c r="J76" s="1305" t="s">
        <v>1855</v>
      </c>
      <c r="K76" s="1305"/>
      <c r="L76" s="1305">
        <v>0</v>
      </c>
      <c r="M76" s="1305"/>
      <c r="N76" s="1305">
        <v>0</v>
      </c>
      <c r="O76" s="1305">
        <v>2</v>
      </c>
      <c r="P76" s="1305" t="s">
        <v>1404</v>
      </c>
      <c r="Q76" s="1305" t="s">
        <v>1212</v>
      </c>
      <c r="R76" s="1305" t="s">
        <v>1127</v>
      </c>
      <c r="S76" s="1305"/>
      <c r="T76" s="1305" t="s">
        <v>1488</v>
      </c>
      <c r="U76" s="1305" t="s">
        <v>803</v>
      </c>
      <c r="V76" s="1305"/>
      <c r="W76" s="1305" t="s">
        <v>1403</v>
      </c>
      <c r="X76" s="1305"/>
      <c r="Y76" s="1305"/>
      <c r="Z76" s="1305"/>
      <c r="AA76" s="1305"/>
      <c r="AB76" s="1305"/>
      <c r="AC76" s="1306"/>
      <c r="AD76" s="1306">
        <v>1</v>
      </c>
      <c r="AE76" s="1306">
        <v>2</v>
      </c>
      <c r="AF76" s="1314">
        <v>1</v>
      </c>
      <c r="AG76" s="1315" t="s">
        <v>8120</v>
      </c>
      <c r="AH76" s="1306" t="s">
        <v>7700</v>
      </c>
      <c r="AI76" s="1306">
        <v>4</v>
      </c>
      <c r="AJ76" s="1306"/>
      <c r="AK76" s="1316" t="s">
        <v>3050</v>
      </c>
      <c r="AL76" s="1312">
        <v>1</v>
      </c>
      <c r="AM76" s="1317">
        <v>0</v>
      </c>
      <c r="AN76" s="1306">
        <f>Table66[[#This Row],[Data_Subjects_n_ptsd]]+Table66[[#This Row],[Data_Subjects_n_control]]</f>
        <v>15</v>
      </c>
      <c r="AO76" s="1306">
        <v>7</v>
      </c>
      <c r="AP76" s="1306">
        <v>8</v>
      </c>
      <c r="AQ76" s="1306" t="s">
        <v>803</v>
      </c>
      <c r="AR76" s="1306" t="s">
        <v>803</v>
      </c>
      <c r="AS76" s="1306" t="s">
        <v>3031</v>
      </c>
      <c r="AT76" s="1306" t="s">
        <v>24</v>
      </c>
      <c r="AU76" s="1306" t="s">
        <v>3031</v>
      </c>
      <c r="AV76" s="1306" t="s">
        <v>24</v>
      </c>
      <c r="AW76" s="1306" t="s">
        <v>7697</v>
      </c>
      <c r="AX76" s="1306">
        <v>15</v>
      </c>
      <c r="AY76" s="1306">
        <v>1</v>
      </c>
      <c r="AZ76" s="1306" t="s">
        <v>1814</v>
      </c>
      <c r="BA76" s="1306">
        <v>1</v>
      </c>
      <c r="BB76" s="1306" t="s">
        <v>7690</v>
      </c>
      <c r="BC76" s="1306" t="s">
        <v>3032</v>
      </c>
      <c r="BD76" s="1306" t="s">
        <v>7523</v>
      </c>
      <c r="BE76" s="1306"/>
      <c r="BF76" s="1306" t="s">
        <v>2730</v>
      </c>
      <c r="BG76" s="1306" t="s">
        <v>2554</v>
      </c>
      <c r="BH76" s="1312"/>
      <c r="BI76" s="1312"/>
      <c r="BJ76" s="1318">
        <v>1</v>
      </c>
      <c r="BK76" s="1318"/>
      <c r="BL76" s="1318"/>
      <c r="BM76" s="1318"/>
      <c r="BN76" s="1318"/>
      <c r="BO76" s="1318"/>
      <c r="BP76" s="1318"/>
      <c r="BQ76" s="1318"/>
      <c r="BR76" s="1318"/>
      <c r="BS76" s="1318"/>
      <c r="BT76" s="1318"/>
      <c r="BU76" s="1318"/>
      <c r="BV76" s="1318"/>
      <c r="BW76" s="1318" t="s">
        <v>3040</v>
      </c>
      <c r="BX76" s="1309" t="s">
        <v>6657</v>
      </c>
      <c r="BY76" s="1309" t="s">
        <v>7613</v>
      </c>
      <c r="BZ76" s="1309" t="s">
        <v>803</v>
      </c>
      <c r="CA76" s="1318">
        <v>1</v>
      </c>
      <c r="CB76" s="1318" t="s">
        <v>7556</v>
      </c>
      <c r="CC76" s="1318" t="s">
        <v>7384</v>
      </c>
      <c r="CD76" s="1306" t="s">
        <v>1876</v>
      </c>
      <c r="CE76" s="1306" t="s">
        <v>3041</v>
      </c>
      <c r="CF76" s="1306" t="s">
        <v>7701</v>
      </c>
      <c r="CG76" s="1306" t="s">
        <v>7692</v>
      </c>
      <c r="CH76" s="1306" t="s">
        <v>7310</v>
      </c>
      <c r="CI76" s="1306" t="s">
        <v>2471</v>
      </c>
      <c r="CJ76" s="1306"/>
      <c r="CK76" s="1306" t="s">
        <v>2659</v>
      </c>
      <c r="CL76" s="150" t="s">
        <v>8296</v>
      </c>
      <c r="CM76" s="1319" t="s">
        <v>3073</v>
      </c>
      <c r="CN76" s="1307" t="s">
        <v>6627</v>
      </c>
      <c r="CO76" s="1307">
        <v>44</v>
      </c>
      <c r="CP76" s="1307">
        <v>1</v>
      </c>
      <c r="CQ76" s="1307"/>
      <c r="CR76" s="1307">
        <v>1</v>
      </c>
      <c r="CS76" s="1307"/>
      <c r="CT76" s="1307"/>
      <c r="CU76" s="830" t="s">
        <v>8104</v>
      </c>
      <c r="CV76" s="1320">
        <v>96</v>
      </c>
      <c r="CW76" s="1320">
        <v>88</v>
      </c>
      <c r="CX76" s="1309" t="s">
        <v>3069</v>
      </c>
      <c r="CY76" s="1306">
        <v>70.147000000000006</v>
      </c>
      <c r="CZ76" s="1321" t="s">
        <v>24</v>
      </c>
      <c r="DA76" s="1306">
        <f>74.7563-Table66[[#This Row],[Data_Outcome1_M]]</f>
        <v>4.6092999999999904</v>
      </c>
      <c r="DB76" s="1309" t="s">
        <v>3068</v>
      </c>
      <c r="DC76" s="1306">
        <v>4.7354900000000004</v>
      </c>
      <c r="DD76" s="1321" t="s">
        <v>24</v>
      </c>
      <c r="DE76" s="1306">
        <f>7.2049-Table66[[#This Row],[Data_Outcome2_M]]</f>
        <v>2.4694099999999999</v>
      </c>
      <c r="DF76" s="1319" t="s">
        <v>3071</v>
      </c>
      <c r="DG76" s="1312" t="s">
        <v>3060</v>
      </c>
      <c r="DH76" s="1309"/>
      <c r="DI76" s="1306"/>
      <c r="DJ76" s="1321"/>
      <c r="DK76" s="1306"/>
      <c r="DL76" s="1309"/>
      <c r="DM76" s="1306"/>
      <c r="DN76" s="1321"/>
      <c r="DO76" s="1306"/>
      <c r="DP76" s="1319"/>
      <c r="DQ76" s="1312"/>
      <c r="DR76" s="1322"/>
      <c r="DS76" s="1323"/>
      <c r="DT76" s="1323"/>
      <c r="DU76" s="1306"/>
      <c r="DV76" s="1321"/>
      <c r="DW76" s="1306"/>
      <c r="DX76" s="1321"/>
      <c r="DY76" s="1321"/>
      <c r="DZ76" s="1321"/>
      <c r="EA76" s="1321"/>
      <c r="EB76" s="1322"/>
      <c r="EC76" s="1321"/>
      <c r="ED76" s="1321"/>
      <c r="EE76" s="1321"/>
      <c r="EF76" s="1321"/>
      <c r="EG76" s="1321"/>
      <c r="EH76" s="1321"/>
      <c r="EI76" s="1321"/>
      <c r="EJ76" s="1321"/>
      <c r="EK76" s="1321"/>
      <c r="EL76" s="1322"/>
      <c r="EM76" s="1321"/>
      <c r="EN76" s="1322"/>
      <c r="EO76" s="1321"/>
      <c r="EP76" s="1321"/>
      <c r="EQ76" s="1306"/>
      <c r="ER76" s="1306"/>
      <c r="ES76" s="1306"/>
      <c r="ET76" s="1309"/>
      <c r="EU76" s="1306"/>
      <c r="EV76" s="1321"/>
      <c r="EW76" s="1321"/>
      <c r="EX76" s="1321"/>
      <c r="EY76" s="1321"/>
      <c r="EZ76" s="1323"/>
      <c r="FA76" s="1321"/>
      <c r="FB76" s="1321"/>
      <c r="FC76" s="1321"/>
      <c r="FD76" s="1323"/>
      <c r="FE76" s="1321"/>
      <c r="FF76" s="1321"/>
      <c r="FG76" s="1321"/>
      <c r="FH76" s="1321"/>
      <c r="FI76" s="1321"/>
      <c r="FJ76" s="1321"/>
    </row>
    <row r="77" spans="1:166" s="229" customFormat="1" ht="15" hidden="1" customHeight="1">
      <c r="A77" s="128" t="s">
        <v>1111</v>
      </c>
      <c r="B77" s="614">
        <v>4</v>
      </c>
      <c r="C77" s="614"/>
      <c r="D77" s="614"/>
      <c r="E77" s="607" t="s">
        <v>2052</v>
      </c>
      <c r="F77" s="218" t="s">
        <v>2295</v>
      </c>
      <c r="G77" s="219">
        <v>2015</v>
      </c>
      <c r="H77" s="128">
        <v>25585683</v>
      </c>
      <c r="I77" s="128">
        <v>1</v>
      </c>
      <c r="J77" s="220">
        <v>1</v>
      </c>
      <c r="K77" s="221"/>
      <c r="L77" s="128">
        <v>1</v>
      </c>
      <c r="M77" s="128"/>
      <c r="N77" s="128">
        <v>1</v>
      </c>
      <c r="O77" s="128">
        <v>2</v>
      </c>
      <c r="P77" s="128" t="s">
        <v>1220</v>
      </c>
      <c r="Q77" s="128" t="s">
        <v>1232</v>
      </c>
      <c r="R77" s="128" t="s">
        <v>1138</v>
      </c>
      <c r="S77" s="128"/>
      <c r="T77" s="128" t="s">
        <v>1541</v>
      </c>
      <c r="U77" s="128" t="s">
        <v>23</v>
      </c>
      <c r="V77" s="128" t="s">
        <v>23</v>
      </c>
      <c r="W77" s="128" t="s">
        <v>1139</v>
      </c>
      <c r="X77" s="128" t="s">
        <v>24</v>
      </c>
      <c r="Y77" s="128" t="s">
        <v>1132</v>
      </c>
      <c r="Z77" s="128"/>
      <c r="AA77" s="128"/>
      <c r="AB77" s="128"/>
      <c r="AC77" s="466"/>
      <c r="AD77" s="573">
        <v>1</v>
      </c>
      <c r="AE77" s="573">
        <v>2</v>
      </c>
      <c r="AF77" s="352">
        <v>1</v>
      </c>
      <c r="AG77" s="155" t="s">
        <v>3316</v>
      </c>
      <c r="AH77" s="704"/>
      <c r="AI77" s="134">
        <v>5</v>
      </c>
      <c r="AJ77" s="484"/>
      <c r="AK77" s="213" t="s">
        <v>2484</v>
      </c>
      <c r="AL77" s="192">
        <v>1</v>
      </c>
      <c r="AM77" s="215"/>
      <c r="AN77" s="134">
        <v>14</v>
      </c>
      <c r="AO77" s="134">
        <v>7</v>
      </c>
      <c r="AP77" s="134">
        <v>7</v>
      </c>
      <c r="AQ77" s="134" t="s">
        <v>803</v>
      </c>
      <c r="AR77" s="134" t="s">
        <v>803</v>
      </c>
      <c r="AS77" s="134" t="s">
        <v>2468</v>
      </c>
      <c r="AT77" s="134" t="s">
        <v>24</v>
      </c>
      <c r="AU77" s="134" t="s">
        <v>2468</v>
      </c>
      <c r="AV77" s="134" t="s">
        <v>24</v>
      </c>
      <c r="AW77" s="134" t="s">
        <v>2474</v>
      </c>
      <c r="AX77" s="134">
        <v>1</v>
      </c>
      <c r="AY77" s="134">
        <v>1.5</v>
      </c>
      <c r="AZ77" s="753" t="s">
        <v>1814</v>
      </c>
      <c r="BA77" s="134">
        <v>1</v>
      </c>
      <c r="BB77" s="134" t="s">
        <v>3317</v>
      </c>
      <c r="BC77" s="134" t="s">
        <v>2473</v>
      </c>
      <c r="BD77" s="753" t="s">
        <v>7523</v>
      </c>
      <c r="BE77" s="753"/>
      <c r="BF77" s="134" t="s">
        <v>2603</v>
      </c>
      <c r="BG77" s="134" t="s">
        <v>2554</v>
      </c>
      <c r="BH77" s="594"/>
      <c r="BI77" s="594"/>
      <c r="BJ77" s="156"/>
      <c r="BK77" s="156">
        <v>1</v>
      </c>
      <c r="BL77" s="156"/>
      <c r="BM77" s="156"/>
      <c r="BN77" s="156"/>
      <c r="BO77" s="156"/>
      <c r="BP77" s="156"/>
      <c r="BQ77" s="156"/>
      <c r="BR77" s="156"/>
      <c r="BS77" s="156"/>
      <c r="BT77" s="156"/>
      <c r="BU77" s="156"/>
      <c r="BV77" s="156"/>
      <c r="BW77" s="600" t="s">
        <v>7634</v>
      </c>
      <c r="BX77" s="185" t="s">
        <v>6657</v>
      </c>
      <c r="BY77" s="185" t="s">
        <v>7613</v>
      </c>
      <c r="BZ77" s="185" t="s">
        <v>803</v>
      </c>
      <c r="CA77" s="765">
        <v>1</v>
      </c>
      <c r="CB77" s="765" t="s">
        <v>7556</v>
      </c>
      <c r="CC77" s="765" t="s">
        <v>7384</v>
      </c>
      <c r="CD77" s="134" t="s">
        <v>1876</v>
      </c>
      <c r="CE77" s="134">
        <v>2</v>
      </c>
      <c r="CF77" s="134" t="s">
        <v>7879</v>
      </c>
      <c r="CG77" s="134" t="s">
        <v>7708</v>
      </c>
      <c r="CH77" s="753" t="s">
        <v>7310</v>
      </c>
      <c r="CI77" s="134" t="s">
        <v>2471</v>
      </c>
      <c r="CJ77" s="134" t="s">
        <v>7377</v>
      </c>
      <c r="CK77" s="134" t="s">
        <v>2660</v>
      </c>
      <c r="CL77" s="134" t="s">
        <v>8283</v>
      </c>
      <c r="CM77" s="259" t="s">
        <v>7409</v>
      </c>
      <c r="CN77" s="454" t="s">
        <v>6627</v>
      </c>
      <c r="CO77" s="828">
        <v>2</v>
      </c>
      <c r="CP77" s="828">
        <v>1</v>
      </c>
      <c r="CQ77" s="828">
        <v>4</v>
      </c>
      <c r="CR77" s="828">
        <v>1</v>
      </c>
      <c r="CS77" s="828">
        <v>1</v>
      </c>
      <c r="CT77" s="967"/>
      <c r="CU77" s="1289" t="s">
        <v>8104</v>
      </c>
      <c r="CV77" s="1295">
        <v>140</v>
      </c>
      <c r="CW77" s="1295">
        <v>131</v>
      </c>
      <c r="CX77" s="138" t="s">
        <v>2477</v>
      </c>
      <c r="CY77" s="134">
        <v>418.31099999999998</v>
      </c>
      <c r="CZ77" s="134" t="s">
        <v>24</v>
      </c>
      <c r="DA77" s="134">
        <v>65.265000000000001</v>
      </c>
      <c r="DB77" s="138" t="s">
        <v>2478</v>
      </c>
      <c r="DC77" s="134">
        <v>54.4985</v>
      </c>
      <c r="DD77" s="134" t="s">
        <v>24</v>
      </c>
      <c r="DE77" s="134">
        <v>10.4907</v>
      </c>
      <c r="DF77" s="294" t="s">
        <v>2553</v>
      </c>
      <c r="DG77" s="295" t="s">
        <v>7716</v>
      </c>
      <c r="DH77" s="121"/>
      <c r="DI77" s="121"/>
      <c r="DJ77" s="1169"/>
      <c r="DK77" s="121"/>
      <c r="DL77" s="1169"/>
      <c r="DM77" s="121"/>
      <c r="DN77" s="1169"/>
      <c r="DO77" s="121"/>
      <c r="DP77" s="288"/>
      <c r="DQ77" s="289"/>
      <c r="DR77" s="1168"/>
      <c r="DS77" s="865"/>
      <c r="DT77" s="1171"/>
      <c r="DU77" s="121"/>
      <c r="DV77" s="1169"/>
      <c r="DW77" s="121"/>
      <c r="DX77" s="1169"/>
      <c r="DY77" s="121"/>
      <c r="DZ77" s="1169"/>
      <c r="EA77" s="121"/>
      <c r="EB77" s="304"/>
      <c r="EC77" s="312"/>
      <c r="ED77" s="1169"/>
      <c r="EE77" s="1169"/>
      <c r="EF77" s="1169"/>
      <c r="EG77" s="1169"/>
      <c r="EH77" s="1169"/>
      <c r="EI77" s="1169"/>
      <c r="EJ77" s="1169"/>
      <c r="EK77" s="1169"/>
      <c r="EL77" s="304"/>
      <c r="EM77" s="312"/>
      <c r="EN77" s="309"/>
      <c r="EO77" s="1170"/>
      <c r="EP77" s="1169"/>
      <c r="EQ77" s="1169"/>
      <c r="ER77" s="1169"/>
      <c r="ES77" s="1169"/>
      <c r="ET77" s="1171"/>
      <c r="EU77" s="1169"/>
      <c r="EV77" s="1169"/>
      <c r="EW77" s="1169"/>
      <c r="EX77" s="312"/>
      <c r="EY77" s="312"/>
      <c r="EZ77" s="1171"/>
      <c r="FA77" s="1169"/>
      <c r="FB77" s="1169"/>
      <c r="FC77" s="1169"/>
      <c r="FD77" s="1171"/>
      <c r="FE77" s="1169"/>
      <c r="FF77" s="1169"/>
      <c r="FG77" s="1169"/>
      <c r="FH77" s="312"/>
      <c r="FI77" s="312"/>
      <c r="FJ77" s="1170"/>
    </row>
    <row r="78" spans="1:166" s="229" customFormat="1" ht="15" hidden="1" customHeight="1">
      <c r="A78" s="79" t="s">
        <v>967</v>
      </c>
      <c r="B78" s="362">
        <v>231</v>
      </c>
      <c r="C78" s="362"/>
      <c r="D78" s="362">
        <v>94</v>
      </c>
      <c r="E78" s="604" t="s">
        <v>2119</v>
      </c>
      <c r="F78" s="124" t="s">
        <v>2380</v>
      </c>
      <c r="G78" s="125">
        <v>2014</v>
      </c>
      <c r="H78" s="79">
        <v>25451096</v>
      </c>
      <c r="I78" s="79">
        <v>1</v>
      </c>
      <c r="J78" s="126" t="s">
        <v>1787</v>
      </c>
      <c r="K78" s="127" t="s">
        <v>1771</v>
      </c>
      <c r="L78" s="164">
        <v>0</v>
      </c>
      <c r="M78" s="79"/>
      <c r="N78" s="164">
        <v>1</v>
      </c>
      <c r="O78" s="128">
        <v>2</v>
      </c>
      <c r="P78" s="79" t="s">
        <v>1593</v>
      </c>
      <c r="Q78" s="79" t="s">
        <v>1377</v>
      </c>
      <c r="R78" s="79" t="s">
        <v>1127</v>
      </c>
      <c r="S78" s="79"/>
      <c r="T78" s="79" t="s">
        <v>1594</v>
      </c>
      <c r="U78" s="79" t="s">
        <v>803</v>
      </c>
      <c r="V78" s="79"/>
      <c r="W78" s="79" t="s">
        <v>1592</v>
      </c>
      <c r="X78" s="79" t="s">
        <v>1591</v>
      </c>
      <c r="Y78" s="79"/>
      <c r="Z78" s="79"/>
      <c r="AA78" s="79" t="s">
        <v>1581</v>
      </c>
      <c r="AB78" s="79"/>
      <c r="AC78" s="506" t="s">
        <v>6299</v>
      </c>
      <c r="AD78" s="573">
        <v>1</v>
      </c>
      <c r="AE78" s="573">
        <v>1</v>
      </c>
      <c r="AF78" s="352">
        <v>1</v>
      </c>
      <c r="AG78" s="155" t="s">
        <v>7066</v>
      </c>
      <c r="AH78" s="704"/>
      <c r="AI78" s="121">
        <v>4</v>
      </c>
      <c r="AJ78" s="484"/>
      <c r="AK78" s="202" t="s">
        <v>7069</v>
      </c>
      <c r="AL78" s="192" t="s">
        <v>7052</v>
      </c>
      <c r="AM78" s="215">
        <v>0</v>
      </c>
      <c r="AN78" s="134">
        <f>Table66[[#This Row],[Data_Subjects_n_ptsd]]+Table66[[#This Row],[Data_Subjects_n_control]]</f>
        <v>32</v>
      </c>
      <c r="AO78" s="134">
        <v>16</v>
      </c>
      <c r="AP78" s="134">
        <v>16</v>
      </c>
      <c r="AQ78" s="134" t="s">
        <v>803</v>
      </c>
      <c r="AR78" s="134" t="s">
        <v>803</v>
      </c>
      <c r="AS78" s="134" t="s">
        <v>2654</v>
      </c>
      <c r="AT78" s="134" t="s">
        <v>24</v>
      </c>
      <c r="AU78" s="134" t="s">
        <v>2654</v>
      </c>
      <c r="AV78" s="134" t="s">
        <v>24</v>
      </c>
      <c r="AW78" s="134" t="s">
        <v>7064</v>
      </c>
      <c r="AX78" s="134">
        <v>60</v>
      </c>
      <c r="AY78" s="134">
        <v>0.8</v>
      </c>
      <c r="AZ78" s="753" t="s">
        <v>1814</v>
      </c>
      <c r="BA78" s="134">
        <v>1</v>
      </c>
      <c r="BB78" s="134">
        <v>1</v>
      </c>
      <c r="BC78" s="134" t="s">
        <v>7109</v>
      </c>
      <c r="BD78" s="753" t="s">
        <v>7523</v>
      </c>
      <c r="BE78" s="753"/>
      <c r="BF78" s="134" t="s">
        <v>2912</v>
      </c>
      <c r="BG78" s="134" t="s">
        <v>6653</v>
      </c>
      <c r="BH78" s="594"/>
      <c r="BI78" s="594"/>
      <c r="BJ78" s="156">
        <v>1</v>
      </c>
      <c r="BK78" s="156">
        <v>1</v>
      </c>
      <c r="BL78" s="156"/>
      <c r="BM78" s="156"/>
      <c r="BN78" s="156"/>
      <c r="BO78" s="156"/>
      <c r="BP78" s="156">
        <v>1</v>
      </c>
      <c r="BQ78" s="156"/>
      <c r="BR78" s="156"/>
      <c r="BS78" s="156"/>
      <c r="BT78" s="156"/>
      <c r="BU78" s="156"/>
      <c r="BV78" s="156"/>
      <c r="BW78" s="595" t="s">
        <v>7051</v>
      </c>
      <c r="BX78" s="157" t="s">
        <v>6657</v>
      </c>
      <c r="BY78" s="797" t="s">
        <v>7613</v>
      </c>
      <c r="BZ78" s="789" t="s">
        <v>803</v>
      </c>
      <c r="CA78" s="765">
        <v>1</v>
      </c>
      <c r="CB78" s="765" t="s">
        <v>7556</v>
      </c>
      <c r="CC78" s="765" t="s">
        <v>7384</v>
      </c>
      <c r="CD78" s="134" t="s">
        <v>1876</v>
      </c>
      <c r="CE78" s="134" t="s">
        <v>7065</v>
      </c>
      <c r="CF78" s="400" t="s">
        <v>7581</v>
      </c>
      <c r="CG78" s="150" t="s">
        <v>7067</v>
      </c>
      <c r="CH78" s="753" t="s">
        <v>7310</v>
      </c>
      <c r="CI78" s="134" t="s">
        <v>7084</v>
      </c>
      <c r="CJ78" s="134"/>
      <c r="CK78" s="134" t="s">
        <v>7076</v>
      </c>
      <c r="CL78" s="134" t="s">
        <v>8301</v>
      </c>
      <c r="CM78" s="259" t="s">
        <v>7053</v>
      </c>
      <c r="CN78" s="454" t="s">
        <v>6627</v>
      </c>
      <c r="CO78" s="828">
        <v>74</v>
      </c>
      <c r="CP78" s="828">
        <v>1</v>
      </c>
      <c r="CQ78" s="828">
        <v>3</v>
      </c>
      <c r="CR78" s="828">
        <v>1</v>
      </c>
      <c r="CS78" s="828">
        <v>-1</v>
      </c>
      <c r="CT78" s="967"/>
      <c r="CU78" s="1289" t="s">
        <v>8104</v>
      </c>
      <c r="CV78" s="1295">
        <v>125</v>
      </c>
      <c r="CW78" s="1295">
        <v>114</v>
      </c>
      <c r="CX78" s="138" t="s">
        <v>7071</v>
      </c>
      <c r="CY78" s="134">
        <v>5.7</v>
      </c>
      <c r="CZ78" s="134" t="s">
        <v>24</v>
      </c>
      <c r="DA78" s="134">
        <v>1.3</v>
      </c>
      <c r="DB78" s="134" t="s">
        <v>7072</v>
      </c>
      <c r="DC78" s="134">
        <v>15.9</v>
      </c>
      <c r="DD78" s="134" t="s">
        <v>24</v>
      </c>
      <c r="DE78" s="134">
        <v>0.7</v>
      </c>
      <c r="DF78" s="821" t="s">
        <v>7077</v>
      </c>
      <c r="DG78" s="295" t="s">
        <v>3060</v>
      </c>
      <c r="DH78" s="1276"/>
      <c r="DI78" s="1155"/>
      <c r="DJ78" s="1169"/>
      <c r="DK78" s="417"/>
      <c r="DL78" s="1169"/>
      <c r="DM78" s="121"/>
      <c r="DN78" s="1169"/>
      <c r="DO78" s="121"/>
      <c r="DP78" s="288"/>
      <c r="DQ78" s="289"/>
      <c r="DR78" s="280"/>
      <c r="DS78" s="865"/>
      <c r="DT78" s="1171"/>
      <c r="DU78" s="121"/>
      <c r="DV78" s="1169"/>
      <c r="DW78" s="121"/>
      <c r="DX78" s="1169"/>
      <c r="DY78" s="121"/>
      <c r="DZ78" s="1169"/>
      <c r="EA78" s="121"/>
      <c r="EB78" s="304"/>
      <c r="EC78" s="312"/>
      <c r="ED78" s="1169"/>
      <c r="EE78" s="121"/>
      <c r="EF78" s="1169"/>
      <c r="EG78" s="121"/>
      <c r="EH78" s="1169"/>
      <c r="EI78" s="121"/>
      <c r="EJ78" s="1169"/>
      <c r="EK78" s="121"/>
      <c r="EL78" s="304"/>
      <c r="EM78" s="312"/>
      <c r="EN78" s="309"/>
      <c r="EO78" s="1170"/>
      <c r="EP78" s="1169"/>
      <c r="EQ78" s="1169"/>
      <c r="ER78" s="1169"/>
      <c r="ES78" s="1169"/>
      <c r="ET78" s="1171"/>
      <c r="EU78" s="1169"/>
      <c r="EV78" s="1169"/>
      <c r="EW78" s="1169"/>
      <c r="EX78" s="312"/>
      <c r="EY78" s="312"/>
      <c r="EZ78" s="1171"/>
      <c r="FA78" s="1169"/>
      <c r="FB78" s="1169"/>
      <c r="FC78" s="1169"/>
      <c r="FD78" s="1171"/>
      <c r="FE78" s="1169"/>
      <c r="FF78" s="1169"/>
      <c r="FG78" s="1169"/>
      <c r="FH78" s="312"/>
      <c r="FI78" s="312"/>
      <c r="FJ78" s="1170"/>
    </row>
    <row r="79" spans="1:166" s="717" customFormat="1" ht="15" hidden="1" customHeight="1">
      <c r="A79" s="153" t="s">
        <v>1089</v>
      </c>
      <c r="B79" s="1097">
        <v>87</v>
      </c>
      <c r="C79" s="1097">
        <v>15</v>
      </c>
      <c r="D79" s="1097"/>
      <c r="E79" s="1098" t="s">
        <v>1938</v>
      </c>
      <c r="F79" s="1021" t="s">
        <v>2307</v>
      </c>
      <c r="G79" s="1099">
        <v>2009</v>
      </c>
      <c r="H79" s="153">
        <v>18700055</v>
      </c>
      <c r="I79" s="153">
        <v>1</v>
      </c>
      <c r="J79" s="153"/>
      <c r="K79" s="153"/>
      <c r="L79" s="153">
        <v>1</v>
      </c>
      <c r="M79" s="153"/>
      <c r="N79" s="153">
        <v>1</v>
      </c>
      <c r="O79" s="153">
        <v>2</v>
      </c>
      <c r="P79" s="153" t="s">
        <v>1258</v>
      </c>
      <c r="Q79" s="153" t="s">
        <v>1251</v>
      </c>
      <c r="R79" s="153" t="s">
        <v>1127</v>
      </c>
      <c r="S79" s="153"/>
      <c r="T79" s="153" t="s">
        <v>1707</v>
      </c>
      <c r="U79" s="153" t="s">
        <v>23</v>
      </c>
      <c r="V79" s="153" t="s">
        <v>23</v>
      </c>
      <c r="W79" s="153" t="s">
        <v>1257</v>
      </c>
      <c r="X79" s="153" t="s">
        <v>24</v>
      </c>
      <c r="Y79" s="153" t="s">
        <v>1132</v>
      </c>
      <c r="Z79" s="153"/>
      <c r="AA79" s="153"/>
      <c r="AB79" s="153"/>
      <c r="AC79" s="536"/>
      <c r="AD79" s="536">
        <v>1</v>
      </c>
      <c r="AE79" s="536">
        <v>2</v>
      </c>
      <c r="AF79" s="576">
        <v>0</v>
      </c>
      <c r="AG79" s="1686" t="s">
        <v>8174</v>
      </c>
      <c r="AH79" s="509" t="s">
        <v>7291</v>
      </c>
      <c r="AI79" s="509">
        <v>4</v>
      </c>
      <c r="AJ79" s="509"/>
      <c r="AK79" s="512" t="s">
        <v>3972</v>
      </c>
      <c r="AL79" s="513" t="s">
        <v>4089</v>
      </c>
      <c r="AM79" s="514">
        <v>0</v>
      </c>
      <c r="AN79" s="509" t="s">
        <v>4087</v>
      </c>
      <c r="AO79" s="509">
        <f>33/2</f>
        <v>16.5</v>
      </c>
      <c r="AP79" s="509">
        <f>33/2</f>
        <v>16.5</v>
      </c>
      <c r="AQ79" s="509" t="s">
        <v>803</v>
      </c>
      <c r="AR79" s="509" t="s">
        <v>803</v>
      </c>
      <c r="AS79" s="509" t="s">
        <v>2687</v>
      </c>
      <c r="AT79" s="509" t="s">
        <v>24</v>
      </c>
      <c r="AU79" s="509" t="s">
        <v>2687</v>
      </c>
      <c r="AV79" s="509" t="s">
        <v>24</v>
      </c>
      <c r="AW79" s="509" t="s">
        <v>4086</v>
      </c>
      <c r="AX79" s="509"/>
      <c r="AY79" s="509"/>
      <c r="AZ79" s="509" t="s">
        <v>7317</v>
      </c>
      <c r="BA79" s="509">
        <v>1</v>
      </c>
      <c r="BB79" s="509">
        <v>1</v>
      </c>
      <c r="BC79" s="509" t="s">
        <v>7533</v>
      </c>
      <c r="BD79" s="509" t="s">
        <v>7526</v>
      </c>
      <c r="BE79" s="509"/>
      <c r="BF79" s="509" t="s">
        <v>1130</v>
      </c>
      <c r="BG79" s="509" t="s">
        <v>3279</v>
      </c>
      <c r="BH79" s="513"/>
      <c r="BI79" s="513"/>
      <c r="BJ79" s="511">
        <v>1</v>
      </c>
      <c r="BK79" s="511"/>
      <c r="BL79" s="511"/>
      <c r="BM79" s="511"/>
      <c r="BN79" s="511"/>
      <c r="BO79" s="511"/>
      <c r="BP79" s="511"/>
      <c r="BQ79" s="511"/>
      <c r="BR79" s="511"/>
      <c r="BS79" s="511"/>
      <c r="BT79" s="511"/>
      <c r="BU79" s="511"/>
      <c r="BV79" s="511"/>
      <c r="BW79" s="511" t="s">
        <v>7747</v>
      </c>
      <c r="BX79" s="510" t="s">
        <v>6595</v>
      </c>
      <c r="BY79" s="510" t="s">
        <v>7615</v>
      </c>
      <c r="BZ79" s="510" t="s">
        <v>803</v>
      </c>
      <c r="CA79" s="511">
        <v>4</v>
      </c>
      <c r="CB79" s="511" t="s">
        <v>7563</v>
      </c>
      <c r="CC79" s="511" t="s">
        <v>7454</v>
      </c>
      <c r="CD79" s="509" t="s">
        <v>1876</v>
      </c>
      <c r="CE79" s="509">
        <v>4</v>
      </c>
      <c r="CF79" s="509"/>
      <c r="CG79" s="509" t="s">
        <v>7567</v>
      </c>
      <c r="CH79" s="509" t="s">
        <v>1488</v>
      </c>
      <c r="CI79" s="509" t="s">
        <v>1121</v>
      </c>
      <c r="CJ79" s="509"/>
      <c r="CK79" s="509" t="s">
        <v>4091</v>
      </c>
      <c r="CL79" s="509" t="s">
        <v>2659</v>
      </c>
      <c r="CM79" s="515" t="s">
        <v>4105</v>
      </c>
      <c r="CN79" s="621" t="s">
        <v>24</v>
      </c>
      <c r="CO79" s="621">
        <v>10</v>
      </c>
      <c r="CP79" s="621">
        <v>2</v>
      </c>
      <c r="CQ79" s="621">
        <v>1</v>
      </c>
      <c r="CR79" s="621">
        <v>0</v>
      </c>
      <c r="CS79" s="621">
        <v>1</v>
      </c>
      <c r="CT79" s="621"/>
      <c r="CU79" s="621" t="s">
        <v>8104</v>
      </c>
      <c r="CV79" s="515"/>
      <c r="CW79" s="515"/>
      <c r="CX79" s="510" t="s">
        <v>4098</v>
      </c>
      <c r="CY79" s="509">
        <v>263.00599999999997</v>
      </c>
      <c r="CZ79" s="509" t="s">
        <v>24</v>
      </c>
      <c r="DA79" s="509">
        <f>276.688-Table66[[#This Row],[Data_Outcome1_M]]</f>
        <v>13.682000000000016</v>
      </c>
      <c r="DB79" s="510" t="s">
        <v>4100</v>
      </c>
      <c r="DC79" s="509">
        <v>19.113</v>
      </c>
      <c r="DD79" s="509" t="s">
        <v>24</v>
      </c>
      <c r="DE79" s="509">
        <f>21.8494-Table66[[#This Row],[Data_Outcome2_M]]</f>
        <v>2.7363999999999997</v>
      </c>
      <c r="DF79" s="621" t="s">
        <v>7737</v>
      </c>
      <c r="DG79" s="509" t="s">
        <v>4102</v>
      </c>
      <c r="DH79" s="510" t="s">
        <v>4092</v>
      </c>
      <c r="DI79" s="509">
        <v>28.1922</v>
      </c>
      <c r="DJ79" s="509" t="s">
        <v>24</v>
      </c>
      <c r="DK79" s="509" t="e">
        <v>#REF!</v>
      </c>
      <c r="DL79" s="956" t="s">
        <v>4093</v>
      </c>
      <c r="DM79" s="1194">
        <v>279.77199999999999</v>
      </c>
      <c r="DN79" s="1194" t="s">
        <v>24</v>
      </c>
      <c r="DO79" s="1194" t="e">
        <v>#REF!</v>
      </c>
      <c r="DP79" s="515" t="s">
        <v>4094</v>
      </c>
      <c r="DQ79" s="513" t="s">
        <v>2483</v>
      </c>
      <c r="DR79" s="1182"/>
      <c r="DS79" s="956"/>
      <c r="DT79" s="956"/>
      <c r="DU79" s="1194"/>
      <c r="DV79" s="1194"/>
      <c r="DW79" s="1194"/>
      <c r="DX79" s="716"/>
      <c r="DY79" s="1194"/>
      <c r="DZ79" s="1194"/>
      <c r="EA79" s="1194"/>
      <c r="EB79" s="1182"/>
      <c r="EC79" s="1194"/>
      <c r="ED79" s="1194"/>
      <c r="EE79" s="1194"/>
      <c r="EF79" s="1194"/>
      <c r="EG79" s="1194"/>
      <c r="EH79" s="1194"/>
      <c r="EI79" s="1194"/>
      <c r="EJ79" s="1194"/>
      <c r="EK79" s="1194"/>
      <c r="EL79" s="1182"/>
      <c r="EM79" s="1194"/>
      <c r="EN79" s="1182"/>
      <c r="EO79" s="1194"/>
      <c r="EP79" s="1194"/>
      <c r="EQ79" s="1194"/>
      <c r="ER79" s="1194"/>
      <c r="ES79" s="1194"/>
      <c r="ET79" s="956"/>
      <c r="EU79" s="1194"/>
      <c r="EV79" s="1194"/>
      <c r="EW79" s="1194"/>
      <c r="EX79" s="1194"/>
      <c r="EY79" s="1194"/>
      <c r="EZ79" s="956"/>
      <c r="FA79" s="1194"/>
      <c r="FB79" s="1194"/>
      <c r="FC79" s="1194"/>
      <c r="FD79" s="956"/>
      <c r="FE79" s="1194"/>
      <c r="FF79" s="1194"/>
      <c r="FG79" s="1194"/>
      <c r="FH79" s="1194"/>
      <c r="FI79" s="1194"/>
      <c r="FJ79" s="1194"/>
    </row>
    <row r="80" spans="1:166" s="229" customFormat="1" ht="15" customHeight="1">
      <c r="A80" s="118" t="s">
        <v>1071</v>
      </c>
      <c r="B80" s="614">
        <v>16</v>
      </c>
      <c r="C80" s="614"/>
      <c r="D80" s="614"/>
      <c r="E80" s="605" t="s">
        <v>2067</v>
      </c>
      <c r="F80" s="140" t="s">
        <v>2319</v>
      </c>
      <c r="G80" s="141">
        <v>2012</v>
      </c>
      <c r="H80" s="118">
        <v>21918506</v>
      </c>
      <c r="I80" s="118">
        <v>1</v>
      </c>
      <c r="J80" s="118">
        <v>1</v>
      </c>
      <c r="K80" s="118"/>
      <c r="L80" s="118">
        <v>1</v>
      </c>
      <c r="M80" s="118"/>
      <c r="N80" s="118">
        <v>1</v>
      </c>
      <c r="O80" s="142">
        <v>2</v>
      </c>
      <c r="P80" s="118" t="s">
        <v>1306</v>
      </c>
      <c r="Q80" s="118" t="s">
        <v>1232</v>
      </c>
      <c r="R80" s="118" t="s">
        <v>1127</v>
      </c>
      <c r="S80" s="118"/>
      <c r="T80" s="118" t="s">
        <v>1487</v>
      </c>
      <c r="U80" s="118" t="s">
        <v>803</v>
      </c>
      <c r="V80" s="118" t="s">
        <v>23</v>
      </c>
      <c r="W80" s="118" t="s">
        <v>1305</v>
      </c>
      <c r="X80" s="118"/>
      <c r="Y80" s="118" t="s">
        <v>1304</v>
      </c>
      <c r="Z80" s="118"/>
      <c r="AA80" s="118"/>
      <c r="AB80" s="118"/>
      <c r="AC80" s="145"/>
      <c r="AD80" s="573">
        <v>1</v>
      </c>
      <c r="AE80" s="573">
        <v>2</v>
      </c>
      <c r="AF80" s="159">
        <v>1</v>
      </c>
      <c r="AG80" s="155" t="s">
        <v>7771</v>
      </c>
      <c r="AH80" s="704"/>
      <c r="AI80" s="122">
        <v>4</v>
      </c>
      <c r="AJ80" s="485"/>
      <c r="AK80" s="204" t="s">
        <v>2870</v>
      </c>
      <c r="AL80" s="192" t="s">
        <v>3099</v>
      </c>
      <c r="AM80" s="205">
        <v>1</v>
      </c>
      <c r="AN80" s="122">
        <f>Table66[[#This Row],[Data_Subjects_n_ptsd]]+Table66[[#This Row],[Data_Subjects_n_control]]</f>
        <v>24</v>
      </c>
      <c r="AO80" s="122">
        <v>12</v>
      </c>
      <c r="AP80" s="122">
        <v>12</v>
      </c>
      <c r="AQ80" s="122" t="s">
        <v>803</v>
      </c>
      <c r="AR80" s="122" t="s">
        <v>803</v>
      </c>
      <c r="AS80" s="122" t="s">
        <v>2796</v>
      </c>
      <c r="AT80" s="122" t="s">
        <v>24</v>
      </c>
      <c r="AU80" s="122" t="s">
        <v>2796</v>
      </c>
      <c r="AV80" s="122" t="s">
        <v>24</v>
      </c>
      <c r="AW80" s="122" t="s">
        <v>2799</v>
      </c>
      <c r="AX80" s="122"/>
      <c r="AY80" s="122"/>
      <c r="AZ80" s="754" t="s">
        <v>1487</v>
      </c>
      <c r="BA80" s="122">
        <v>1</v>
      </c>
      <c r="BB80" s="122">
        <v>1</v>
      </c>
      <c r="BC80" s="122" t="s">
        <v>2797</v>
      </c>
      <c r="BD80" s="754" t="s">
        <v>7526</v>
      </c>
      <c r="BE80" s="754"/>
      <c r="BF80" s="122" t="s">
        <v>1130</v>
      </c>
      <c r="BG80" s="122" t="s">
        <v>2798</v>
      </c>
      <c r="BH80" s="588"/>
      <c r="BI80" s="588"/>
      <c r="BJ80" s="161">
        <v>1</v>
      </c>
      <c r="BK80" s="161">
        <v>1</v>
      </c>
      <c r="BL80" s="161"/>
      <c r="BM80" s="161"/>
      <c r="BN80" s="161"/>
      <c r="BO80" s="161"/>
      <c r="BP80" s="161"/>
      <c r="BQ80" s="161"/>
      <c r="BR80" s="161"/>
      <c r="BS80" s="161"/>
      <c r="BT80" s="161"/>
      <c r="BU80" s="161"/>
      <c r="BV80" s="161"/>
      <c r="BW80" s="596" t="s">
        <v>2801</v>
      </c>
      <c r="BX80" s="157" t="s">
        <v>6603</v>
      </c>
      <c r="BY80" s="797" t="s">
        <v>7615</v>
      </c>
      <c r="BZ80" s="789" t="s">
        <v>7609</v>
      </c>
      <c r="CA80" s="765">
        <v>4</v>
      </c>
      <c r="CB80" s="765" t="s">
        <v>7556</v>
      </c>
      <c r="CC80" s="765" t="s">
        <v>7384</v>
      </c>
      <c r="CD80" s="150" t="s">
        <v>1876</v>
      </c>
      <c r="CE80" s="150" t="s">
        <v>2823</v>
      </c>
      <c r="CF80" s="400" t="s">
        <v>7601</v>
      </c>
      <c r="CG80" s="150" t="s">
        <v>7453</v>
      </c>
      <c r="CH80" s="753" t="s">
        <v>1488</v>
      </c>
      <c r="CI80" s="150" t="s">
        <v>2471</v>
      </c>
      <c r="CJ80" s="150">
        <v>1</v>
      </c>
      <c r="CK80" s="150" t="s">
        <v>2803</v>
      </c>
      <c r="CL80" s="134" t="s">
        <v>6639</v>
      </c>
      <c r="CM80" s="258" t="s">
        <v>2867</v>
      </c>
      <c r="CN80" s="257">
        <v>0</v>
      </c>
      <c r="CO80" s="829">
        <v>19</v>
      </c>
      <c r="CP80" s="829">
        <v>3</v>
      </c>
      <c r="CQ80" s="829">
        <v>3</v>
      </c>
      <c r="CR80" s="829">
        <v>1</v>
      </c>
      <c r="CS80" s="829">
        <v>-1</v>
      </c>
      <c r="CT80" s="968"/>
      <c r="CU80" s="1289" t="s">
        <v>8104</v>
      </c>
      <c r="CV80" s="1295">
        <v>76</v>
      </c>
      <c r="CW80" s="1295">
        <v>68</v>
      </c>
      <c r="CX80" s="151" t="s">
        <v>2836</v>
      </c>
      <c r="CY80" s="266">
        <v>30.5825</v>
      </c>
      <c r="CZ80" s="150" t="s">
        <v>24</v>
      </c>
      <c r="DA80" s="266">
        <f>44.6602-Table66[[#This Row],[Data_Outcome1_M]]</f>
        <v>14.077700000000004</v>
      </c>
      <c r="DB80" s="151" t="s">
        <v>2835</v>
      </c>
      <c r="DC80" s="150">
        <v>15.534000000000001</v>
      </c>
      <c r="DD80" s="150" t="s">
        <v>24</v>
      </c>
      <c r="DE80" s="150">
        <f>21.8447-Table66[[#This Row],[Data_Outcome2_M]]</f>
        <v>6.3106999999999989</v>
      </c>
      <c r="DF80" s="440" t="s">
        <v>2857</v>
      </c>
      <c r="DG80" s="442" t="s">
        <v>2480</v>
      </c>
      <c r="DH80" s="526"/>
      <c r="DI80" s="122"/>
      <c r="DJ80" s="1164"/>
      <c r="DK80" s="122"/>
      <c r="DL80" s="1166"/>
      <c r="DM80" s="122"/>
      <c r="DN80" s="1164"/>
      <c r="DO80" s="122"/>
      <c r="DP80" s="290"/>
      <c r="DQ80" s="291"/>
      <c r="DR80" s="1168"/>
      <c r="DS80" s="865"/>
      <c r="DT80" s="1166"/>
      <c r="DU80" s="1164"/>
      <c r="DV80" s="1164"/>
      <c r="DW80" s="1164"/>
      <c r="DX80" s="1164"/>
      <c r="DY80" s="1164"/>
      <c r="DZ80" s="1164"/>
      <c r="EA80" s="1164"/>
      <c r="EB80" s="311"/>
      <c r="EC80" s="313"/>
      <c r="ED80" s="1164"/>
      <c r="EE80" s="1164"/>
      <c r="EF80" s="1164"/>
      <c r="EG80" s="1164"/>
      <c r="EH80" s="1164"/>
      <c r="EI80" s="1164"/>
      <c r="EJ80" s="1164"/>
      <c r="EK80" s="1164"/>
      <c r="EL80" s="311"/>
      <c r="EM80" s="313"/>
      <c r="EN80" s="1167"/>
      <c r="EO80" s="1165"/>
      <c r="EP80" s="1164"/>
      <c r="EQ80" s="1164"/>
      <c r="ER80" s="122"/>
      <c r="ES80" s="122"/>
      <c r="ET80" s="526"/>
      <c r="EU80" s="122"/>
      <c r="EV80" s="1164"/>
      <c r="EW80" s="1164"/>
      <c r="EX80" s="313"/>
      <c r="EY80" s="313"/>
      <c r="EZ80" s="526"/>
      <c r="FA80" s="122"/>
      <c r="FB80" s="122"/>
      <c r="FC80" s="122"/>
      <c r="FD80" s="526"/>
      <c r="FE80" s="122"/>
      <c r="FF80" s="1164"/>
      <c r="FG80" s="1164"/>
      <c r="FH80" s="313"/>
      <c r="FI80" s="313"/>
      <c r="FJ80" s="1165"/>
    </row>
    <row r="81" spans="1:166" s="1019" customFormat="1" ht="15" customHeight="1">
      <c r="A81" s="118" t="s">
        <v>1071</v>
      </c>
      <c r="B81" s="614">
        <v>16</v>
      </c>
      <c r="C81" s="614"/>
      <c r="D81" s="614"/>
      <c r="E81" s="605" t="s">
        <v>2067</v>
      </c>
      <c r="F81" s="140" t="s">
        <v>2319</v>
      </c>
      <c r="G81" s="141">
        <v>2012</v>
      </c>
      <c r="H81" s="118">
        <v>21918506</v>
      </c>
      <c r="I81" s="118">
        <v>1</v>
      </c>
      <c r="J81" s="118">
        <v>1</v>
      </c>
      <c r="K81" s="118"/>
      <c r="L81" s="118">
        <v>1</v>
      </c>
      <c r="M81" s="118"/>
      <c r="N81" s="118">
        <v>1</v>
      </c>
      <c r="O81" s="142">
        <v>2</v>
      </c>
      <c r="P81" s="118" t="s">
        <v>1306</v>
      </c>
      <c r="Q81" s="118" t="s">
        <v>1232</v>
      </c>
      <c r="R81" s="118" t="s">
        <v>1127</v>
      </c>
      <c r="S81" s="118"/>
      <c r="T81" s="118" t="s">
        <v>1487</v>
      </c>
      <c r="U81" s="118" t="s">
        <v>803</v>
      </c>
      <c r="V81" s="118" t="s">
        <v>23</v>
      </c>
      <c r="W81" s="118" t="s">
        <v>1305</v>
      </c>
      <c r="X81" s="118"/>
      <c r="Y81" s="118" t="s">
        <v>1304</v>
      </c>
      <c r="Z81" s="118"/>
      <c r="AA81" s="118"/>
      <c r="AB81" s="118"/>
      <c r="AC81" s="145"/>
      <c r="AD81" s="573">
        <v>1</v>
      </c>
      <c r="AE81" s="573">
        <v>2</v>
      </c>
      <c r="AF81" s="159">
        <v>1</v>
      </c>
      <c r="AG81" s="155" t="s">
        <v>7771</v>
      </c>
      <c r="AH81" s="704"/>
      <c r="AI81" s="122">
        <v>4</v>
      </c>
      <c r="AJ81" s="485"/>
      <c r="AK81" s="204" t="s">
        <v>2870</v>
      </c>
      <c r="AL81" s="192" t="s">
        <v>3099</v>
      </c>
      <c r="AM81" s="205">
        <v>1</v>
      </c>
      <c r="AN81" s="122">
        <f>Table66[[#This Row],[Data_Subjects_n_ptsd]]+Table66[[#This Row],[Data_Subjects_n_control]]</f>
        <v>25</v>
      </c>
      <c r="AO81" s="122">
        <v>12</v>
      </c>
      <c r="AP81" s="122">
        <v>13</v>
      </c>
      <c r="AQ81" s="122" t="s">
        <v>803</v>
      </c>
      <c r="AR81" s="122" t="s">
        <v>803</v>
      </c>
      <c r="AS81" s="122" t="s">
        <v>2796</v>
      </c>
      <c r="AT81" s="122" t="s">
        <v>24</v>
      </c>
      <c r="AU81" s="122" t="s">
        <v>2796</v>
      </c>
      <c r="AV81" s="122" t="s">
        <v>24</v>
      </c>
      <c r="AW81" s="122" t="s">
        <v>2799</v>
      </c>
      <c r="AX81" s="122"/>
      <c r="AY81" s="122"/>
      <c r="AZ81" s="754" t="s">
        <v>1487</v>
      </c>
      <c r="BA81" s="122">
        <v>1</v>
      </c>
      <c r="BB81" s="122">
        <v>1</v>
      </c>
      <c r="BC81" s="122" t="s">
        <v>2797</v>
      </c>
      <c r="BD81" s="754" t="s">
        <v>7526</v>
      </c>
      <c r="BE81" s="754"/>
      <c r="BF81" s="122" t="s">
        <v>1130</v>
      </c>
      <c r="BG81" s="122" t="s">
        <v>2798</v>
      </c>
      <c r="BH81" s="588"/>
      <c r="BI81" s="588"/>
      <c r="BJ81" s="161">
        <v>1</v>
      </c>
      <c r="BK81" s="161">
        <v>1</v>
      </c>
      <c r="BL81" s="161"/>
      <c r="BM81" s="161"/>
      <c r="BN81" s="161"/>
      <c r="BO81" s="161"/>
      <c r="BP81" s="161"/>
      <c r="BQ81" s="161"/>
      <c r="BR81" s="161"/>
      <c r="BS81" s="161"/>
      <c r="BT81" s="161"/>
      <c r="BU81" s="161"/>
      <c r="BV81" s="161"/>
      <c r="BW81" s="596" t="s">
        <v>2801</v>
      </c>
      <c r="BX81" s="157" t="s">
        <v>6603</v>
      </c>
      <c r="BY81" s="797" t="s">
        <v>7615</v>
      </c>
      <c r="BZ81" s="789" t="s">
        <v>7609</v>
      </c>
      <c r="CA81" s="765">
        <v>4</v>
      </c>
      <c r="CB81" s="765" t="s">
        <v>7556</v>
      </c>
      <c r="CC81" s="765" t="s">
        <v>7384</v>
      </c>
      <c r="CD81" s="150" t="s">
        <v>1876</v>
      </c>
      <c r="CE81" s="150" t="s">
        <v>2824</v>
      </c>
      <c r="CF81" s="400" t="s">
        <v>7601</v>
      </c>
      <c r="CG81" s="150" t="s">
        <v>7453</v>
      </c>
      <c r="CH81" s="753" t="s">
        <v>1488</v>
      </c>
      <c r="CI81" s="150" t="s">
        <v>2471</v>
      </c>
      <c r="CJ81" s="150">
        <v>1</v>
      </c>
      <c r="CK81" s="150" t="s">
        <v>2803</v>
      </c>
      <c r="CL81" s="134" t="s">
        <v>6639</v>
      </c>
      <c r="CM81" s="258" t="s">
        <v>2867</v>
      </c>
      <c r="CN81" s="257" t="s">
        <v>6627</v>
      </c>
      <c r="CO81" s="829">
        <v>19</v>
      </c>
      <c r="CP81" s="829">
        <v>4</v>
      </c>
      <c r="CQ81" s="829">
        <v>2</v>
      </c>
      <c r="CR81" s="829">
        <v>1</v>
      </c>
      <c r="CS81" s="829">
        <v>-1</v>
      </c>
      <c r="CT81" s="968"/>
      <c r="CU81" s="1289" t="s">
        <v>8104</v>
      </c>
      <c r="CV81" s="1295">
        <v>77</v>
      </c>
      <c r="CW81" s="1295">
        <v>69</v>
      </c>
      <c r="CX81" s="151" t="s">
        <v>2840</v>
      </c>
      <c r="CY81" s="150">
        <v>101.732</v>
      </c>
      <c r="CZ81" s="150" t="s">
        <v>24</v>
      </c>
      <c r="DA81" s="150">
        <f>122.078-Table66[[#This Row],[Data_Outcome1_M]]</f>
        <v>20.346000000000004</v>
      </c>
      <c r="DB81" s="151" t="s">
        <v>2839</v>
      </c>
      <c r="DC81" s="150">
        <v>31.601700000000001</v>
      </c>
      <c r="DD81" s="150" t="s">
        <v>24</v>
      </c>
      <c r="DE81" s="150">
        <f>44.5887-Table66[[#This Row],[Data_Outcome2_M]]</f>
        <v>12.987000000000002</v>
      </c>
      <c r="DF81" s="294" t="s">
        <v>2868</v>
      </c>
      <c r="DG81" s="295" t="s">
        <v>2869</v>
      </c>
      <c r="DH81" s="1179"/>
      <c r="DI81" s="417"/>
      <c r="DJ81" s="1169"/>
      <c r="DK81" s="417"/>
      <c r="DL81" s="1169"/>
      <c r="DM81" s="121"/>
      <c r="DN81" s="1169"/>
      <c r="DO81" s="121"/>
      <c r="DP81" s="288"/>
      <c r="DQ81" s="289"/>
      <c r="DR81" s="1168"/>
      <c r="DS81" s="865"/>
      <c r="DT81" s="1166"/>
      <c r="DU81" s="1164"/>
      <c r="DV81" s="1164"/>
      <c r="DW81" s="1164"/>
      <c r="DX81" s="1164"/>
      <c r="DY81" s="1164"/>
      <c r="DZ81" s="1164"/>
      <c r="EA81" s="1164"/>
      <c r="EB81" s="311"/>
      <c r="EC81" s="313"/>
      <c r="ED81" s="1164"/>
      <c r="EE81" s="1164"/>
      <c r="EF81" s="1164"/>
      <c r="EG81" s="1164"/>
      <c r="EH81" s="1164"/>
      <c r="EI81" s="1164"/>
      <c r="EJ81" s="1164"/>
      <c r="EK81" s="1164"/>
      <c r="EL81" s="311"/>
      <c r="EM81" s="313"/>
      <c r="EN81" s="1167"/>
      <c r="EO81" s="1165"/>
      <c r="EP81" s="1164"/>
      <c r="EQ81" s="1164"/>
      <c r="ER81" s="122"/>
      <c r="ES81" s="122"/>
      <c r="ET81" s="526"/>
      <c r="EU81" s="122"/>
      <c r="EV81" s="1164"/>
      <c r="EW81" s="1164"/>
      <c r="EX81" s="313"/>
      <c r="EY81" s="313"/>
      <c r="EZ81" s="526"/>
      <c r="FA81" s="122"/>
      <c r="FB81" s="122"/>
      <c r="FC81" s="122"/>
      <c r="FD81" s="526"/>
      <c r="FE81" s="122"/>
      <c r="FF81" s="1164"/>
      <c r="FG81" s="1164"/>
      <c r="FH81" s="313"/>
      <c r="FI81" s="313"/>
      <c r="FJ81" s="1165"/>
    </row>
    <row r="82" spans="1:166" s="229" customFormat="1" ht="15" customHeight="1">
      <c r="A82" s="118" t="s">
        <v>1071</v>
      </c>
      <c r="B82" s="614">
        <v>16</v>
      </c>
      <c r="C82" s="614"/>
      <c r="D82" s="614"/>
      <c r="E82" s="605" t="s">
        <v>2067</v>
      </c>
      <c r="F82" s="140" t="s">
        <v>2319</v>
      </c>
      <c r="G82" s="141">
        <v>2012</v>
      </c>
      <c r="H82" s="118">
        <v>21918506</v>
      </c>
      <c r="I82" s="118">
        <v>1</v>
      </c>
      <c r="J82" s="118">
        <v>1</v>
      </c>
      <c r="K82" s="118"/>
      <c r="L82" s="118">
        <v>1</v>
      </c>
      <c r="M82" s="118"/>
      <c r="N82" s="118">
        <v>1</v>
      </c>
      <c r="O82" s="142">
        <v>2</v>
      </c>
      <c r="P82" s="118" t="s">
        <v>1306</v>
      </c>
      <c r="Q82" s="118" t="s">
        <v>1232</v>
      </c>
      <c r="R82" s="118" t="s">
        <v>1127</v>
      </c>
      <c r="S82" s="118"/>
      <c r="T82" s="118" t="s">
        <v>1487</v>
      </c>
      <c r="U82" s="118" t="s">
        <v>803</v>
      </c>
      <c r="V82" s="118" t="s">
        <v>23</v>
      </c>
      <c r="W82" s="118" t="s">
        <v>1305</v>
      </c>
      <c r="X82" s="118"/>
      <c r="Y82" s="118" t="s">
        <v>1304</v>
      </c>
      <c r="Z82" s="118"/>
      <c r="AA82" s="118"/>
      <c r="AB82" s="118"/>
      <c r="AC82" s="145"/>
      <c r="AD82" s="573">
        <v>1</v>
      </c>
      <c r="AE82" s="573">
        <v>2</v>
      </c>
      <c r="AF82" s="159">
        <v>1</v>
      </c>
      <c r="AG82" s="155" t="s">
        <v>7771</v>
      </c>
      <c r="AH82" s="704"/>
      <c r="AI82" s="122">
        <v>4</v>
      </c>
      <c r="AJ82" s="485"/>
      <c r="AK82" s="204" t="s">
        <v>2870</v>
      </c>
      <c r="AL82" s="192" t="s">
        <v>3099</v>
      </c>
      <c r="AM82" s="205">
        <v>1</v>
      </c>
      <c r="AN82" s="122">
        <f>Table66[[#This Row],[Data_Subjects_n_ptsd]]+Table66[[#This Row],[Data_Subjects_n_control]]</f>
        <v>25</v>
      </c>
      <c r="AO82" s="122">
        <v>12</v>
      </c>
      <c r="AP82" s="122">
        <v>13</v>
      </c>
      <c r="AQ82" s="122" t="s">
        <v>803</v>
      </c>
      <c r="AR82" s="122" t="s">
        <v>803</v>
      </c>
      <c r="AS82" s="122" t="s">
        <v>2796</v>
      </c>
      <c r="AT82" s="122" t="s">
        <v>24</v>
      </c>
      <c r="AU82" s="122" t="s">
        <v>2796</v>
      </c>
      <c r="AV82" s="122" t="s">
        <v>24</v>
      </c>
      <c r="AW82" s="122" t="s">
        <v>2799</v>
      </c>
      <c r="AX82" s="122"/>
      <c r="AY82" s="122"/>
      <c r="AZ82" s="754" t="s">
        <v>1487</v>
      </c>
      <c r="BA82" s="122">
        <v>1</v>
      </c>
      <c r="BB82" s="122">
        <v>1</v>
      </c>
      <c r="BC82" s="122" t="s">
        <v>2797</v>
      </c>
      <c r="BD82" s="754" t="s">
        <v>7526</v>
      </c>
      <c r="BE82" s="754"/>
      <c r="BF82" s="122" t="s">
        <v>1130</v>
      </c>
      <c r="BG82" s="122" t="s">
        <v>2798</v>
      </c>
      <c r="BH82" s="588"/>
      <c r="BI82" s="588"/>
      <c r="BJ82" s="161">
        <v>1</v>
      </c>
      <c r="BK82" s="161">
        <v>1</v>
      </c>
      <c r="BL82" s="161"/>
      <c r="BM82" s="161"/>
      <c r="BN82" s="161"/>
      <c r="BO82" s="161"/>
      <c r="BP82" s="161"/>
      <c r="BQ82" s="161"/>
      <c r="BR82" s="161"/>
      <c r="BS82" s="161"/>
      <c r="BT82" s="161"/>
      <c r="BU82" s="161"/>
      <c r="BV82" s="161"/>
      <c r="BW82" s="596" t="s">
        <v>2801</v>
      </c>
      <c r="BX82" s="157" t="s">
        <v>6603</v>
      </c>
      <c r="BY82" s="797" t="s">
        <v>7615</v>
      </c>
      <c r="BZ82" s="789" t="s">
        <v>7609</v>
      </c>
      <c r="CA82" s="765">
        <v>4</v>
      </c>
      <c r="CB82" s="765" t="s">
        <v>7556</v>
      </c>
      <c r="CC82" s="765" t="s">
        <v>7384</v>
      </c>
      <c r="CD82" s="150" t="s">
        <v>1876</v>
      </c>
      <c r="CE82" s="150" t="s">
        <v>2824</v>
      </c>
      <c r="CF82" s="400" t="s">
        <v>7601</v>
      </c>
      <c r="CG82" s="150" t="s">
        <v>7453</v>
      </c>
      <c r="CH82" s="753" t="s">
        <v>1488</v>
      </c>
      <c r="CI82" s="150" t="s">
        <v>2471</v>
      </c>
      <c r="CJ82" s="150">
        <v>1</v>
      </c>
      <c r="CK82" s="150" t="s">
        <v>2803</v>
      </c>
      <c r="CL82" s="134" t="s">
        <v>6639</v>
      </c>
      <c r="CM82" s="258" t="s">
        <v>2867</v>
      </c>
      <c r="CN82" s="257">
        <v>0</v>
      </c>
      <c r="CO82" s="829">
        <v>19</v>
      </c>
      <c r="CP82" s="829">
        <v>4</v>
      </c>
      <c r="CQ82" s="829">
        <v>3</v>
      </c>
      <c r="CR82" s="829">
        <v>1</v>
      </c>
      <c r="CS82" s="829">
        <v>-1</v>
      </c>
      <c r="CT82" s="968"/>
      <c r="CU82" s="1289" t="s">
        <v>8104</v>
      </c>
      <c r="CV82" s="1295">
        <v>77</v>
      </c>
      <c r="CW82" s="1295">
        <v>69</v>
      </c>
      <c r="CX82" s="151" t="s">
        <v>2842</v>
      </c>
      <c r="CY82" s="150">
        <v>28.571400000000001</v>
      </c>
      <c r="CZ82" s="150" t="s">
        <v>24</v>
      </c>
      <c r="DA82" s="150">
        <f>42.4242-Table66[[#This Row],[Data_Outcome1_M]]</f>
        <v>13.852799999999998</v>
      </c>
      <c r="DB82" s="151" t="s">
        <v>2841</v>
      </c>
      <c r="DC82" s="150">
        <v>9.0909099999999992</v>
      </c>
      <c r="DD82" s="150" t="s">
        <v>24</v>
      </c>
      <c r="DE82" s="150">
        <f>11.2554-Table66[[#This Row],[Data_Outcome2_M]]</f>
        <v>2.1644900000000007</v>
      </c>
      <c r="DF82" s="290" t="s">
        <v>2857</v>
      </c>
      <c r="DG82" s="291" t="s">
        <v>2480</v>
      </c>
      <c r="DH82" s="1178"/>
      <c r="DI82" s="122"/>
      <c r="DJ82" s="1164"/>
      <c r="DK82" s="122"/>
      <c r="DL82" s="1166"/>
      <c r="DM82" s="500"/>
      <c r="DN82" s="1164"/>
      <c r="DO82" s="1150"/>
      <c r="DP82" s="290"/>
      <c r="DQ82" s="291"/>
      <c r="DR82" s="1168"/>
      <c r="DS82" s="865"/>
      <c r="DT82" s="1166"/>
      <c r="DU82" s="500"/>
      <c r="DV82" s="1164"/>
      <c r="DW82" s="500"/>
      <c r="DX82" s="1164"/>
      <c r="DY82" s="1164"/>
      <c r="DZ82" s="1164"/>
      <c r="EA82" s="1164"/>
      <c r="EB82" s="311"/>
      <c r="EC82" s="313"/>
      <c r="ED82" s="1164"/>
      <c r="EE82" s="1164"/>
      <c r="EF82" s="1164"/>
      <c r="EG82" s="1164"/>
      <c r="EH82" s="1164"/>
      <c r="EI82" s="500"/>
      <c r="EJ82" s="1164"/>
      <c r="EK82" s="500"/>
      <c r="EL82" s="311"/>
      <c r="EM82" s="313"/>
      <c r="EN82" s="1167"/>
      <c r="EO82" s="1165"/>
      <c r="EP82" s="1164"/>
      <c r="EQ82" s="122"/>
      <c r="ER82" s="122"/>
      <c r="ES82" s="122"/>
      <c r="ET82" s="526"/>
      <c r="EU82" s="500"/>
      <c r="EV82" s="500"/>
      <c r="EW82" s="500"/>
      <c r="EX82" s="313"/>
      <c r="EY82" s="313"/>
      <c r="EZ82" s="526"/>
      <c r="FA82" s="500"/>
      <c r="FB82" s="122"/>
      <c r="FC82" s="500"/>
      <c r="FD82" s="526"/>
      <c r="FE82" s="122"/>
      <c r="FF82" s="1164"/>
      <c r="FG82" s="1164"/>
      <c r="FH82" s="313"/>
      <c r="FI82" s="313"/>
      <c r="FJ82" s="1165"/>
    </row>
    <row r="83" spans="1:166" s="229" customFormat="1" ht="15" customHeight="1">
      <c r="A83" s="118" t="s">
        <v>152</v>
      </c>
      <c r="B83" s="614">
        <v>3</v>
      </c>
      <c r="C83" s="614"/>
      <c r="D83" s="614"/>
      <c r="E83" s="605" t="s">
        <v>1955</v>
      </c>
      <c r="F83" s="140" t="s">
        <v>2176</v>
      </c>
      <c r="G83" s="141">
        <v>1999</v>
      </c>
      <c r="H83" s="118">
        <v>10066999</v>
      </c>
      <c r="I83" s="118">
        <v>1</v>
      </c>
      <c r="J83" s="118"/>
      <c r="K83" s="118"/>
      <c r="L83" s="118">
        <v>1</v>
      </c>
      <c r="M83" s="118"/>
      <c r="N83" s="118">
        <v>1</v>
      </c>
      <c r="O83" s="142">
        <v>1</v>
      </c>
      <c r="P83" s="118" t="s">
        <v>11</v>
      </c>
      <c r="Q83" s="118" t="s">
        <v>1162</v>
      </c>
      <c r="R83" s="118" t="s">
        <v>25</v>
      </c>
      <c r="S83" s="118">
        <v>1</v>
      </c>
      <c r="T83" s="118"/>
      <c r="U83" s="118"/>
      <c r="V83" s="118"/>
      <c r="W83" s="118" t="s">
        <v>11</v>
      </c>
      <c r="X83" s="118" t="s">
        <v>24</v>
      </c>
      <c r="Y83" s="118" t="s">
        <v>13</v>
      </c>
      <c r="Z83" s="118"/>
      <c r="AA83" s="118"/>
      <c r="AB83" s="118"/>
      <c r="AC83" s="145"/>
      <c r="AD83" s="573">
        <v>1</v>
      </c>
      <c r="AE83" s="573">
        <v>2</v>
      </c>
      <c r="AF83" s="143">
        <v>1</v>
      </c>
      <c r="AG83" s="144" t="s">
        <v>24</v>
      </c>
      <c r="AH83" s="771" t="s">
        <v>7464</v>
      </c>
      <c r="AI83" s="145">
        <v>2</v>
      </c>
      <c r="AJ83" s="488"/>
      <c r="AK83" s="200"/>
      <c r="AL83" s="192">
        <v>1</v>
      </c>
      <c r="AM83" s="201">
        <v>0</v>
      </c>
      <c r="AN83" s="145">
        <v>24</v>
      </c>
      <c r="AO83" s="145">
        <v>12</v>
      </c>
      <c r="AP83" s="146">
        <v>12</v>
      </c>
      <c r="AQ83" s="146" t="s">
        <v>803</v>
      </c>
      <c r="AR83" s="146" t="s">
        <v>803</v>
      </c>
      <c r="AS83" s="253">
        <v>33.6</v>
      </c>
      <c r="AT83" s="253">
        <v>6.2</v>
      </c>
      <c r="AU83" s="465">
        <v>38.4</v>
      </c>
      <c r="AV83" s="253">
        <v>11.7</v>
      </c>
      <c r="AW83" s="253" t="s">
        <v>1874</v>
      </c>
      <c r="AX83" s="146"/>
      <c r="AY83" s="146"/>
      <c r="AZ83" s="756" t="s">
        <v>1874</v>
      </c>
      <c r="BA83" s="146" t="s">
        <v>24</v>
      </c>
      <c r="BB83" s="146" t="s">
        <v>24</v>
      </c>
      <c r="BC83" s="146" t="s">
        <v>2423</v>
      </c>
      <c r="BD83" s="756" t="s">
        <v>7521</v>
      </c>
      <c r="BE83" s="187">
        <v>0</v>
      </c>
      <c r="BF83" s="146" t="s">
        <v>2605</v>
      </c>
      <c r="BG83" s="146" t="s">
        <v>1875</v>
      </c>
      <c r="BH83" s="592"/>
      <c r="BI83" s="592"/>
      <c r="BJ83" s="147">
        <v>1</v>
      </c>
      <c r="BK83" s="147"/>
      <c r="BL83" s="147"/>
      <c r="BM83" s="147"/>
      <c r="BN83" s="147"/>
      <c r="BO83" s="147"/>
      <c r="BP83" s="147"/>
      <c r="BQ83" s="147"/>
      <c r="BR83" s="147"/>
      <c r="BS83" s="147"/>
      <c r="BT83" s="147"/>
      <c r="BU83" s="147"/>
      <c r="BV83" s="147"/>
      <c r="BW83" s="593" t="s">
        <v>7802</v>
      </c>
      <c r="BX83" s="148" t="s">
        <v>6597</v>
      </c>
      <c r="BY83" s="796" t="s">
        <v>7615</v>
      </c>
      <c r="BZ83" s="793" t="s">
        <v>7609</v>
      </c>
      <c r="CA83" s="783">
        <v>4</v>
      </c>
      <c r="CB83" s="765" t="s">
        <v>7556</v>
      </c>
      <c r="CC83" s="783" t="s">
        <v>7380</v>
      </c>
      <c r="CD83" s="465" t="s">
        <v>1876</v>
      </c>
      <c r="CE83" s="253">
        <v>2</v>
      </c>
      <c r="CF83" s="785"/>
      <c r="CG83" s="636" t="s">
        <v>7463</v>
      </c>
      <c r="CH83" s="760" t="s">
        <v>1488</v>
      </c>
      <c r="CI83" s="253" t="s">
        <v>24</v>
      </c>
      <c r="CJ83" s="253">
        <v>1</v>
      </c>
      <c r="CK83" s="150" t="s">
        <v>8275</v>
      </c>
      <c r="CL83" s="150" t="s">
        <v>6638</v>
      </c>
      <c r="CM83" s="258" t="s">
        <v>2532</v>
      </c>
      <c r="CN83" s="257">
        <v>0</v>
      </c>
      <c r="CO83" s="829">
        <v>24</v>
      </c>
      <c r="CP83" s="829">
        <v>1</v>
      </c>
      <c r="CQ83" s="829">
        <v>1</v>
      </c>
      <c r="CR83" s="829">
        <v>1</v>
      </c>
      <c r="CS83" s="829">
        <v>1</v>
      </c>
      <c r="CT83" s="968" t="s">
        <v>7836</v>
      </c>
      <c r="CU83" s="1288" t="s">
        <v>8103</v>
      </c>
      <c r="CV83" s="1294">
        <v>13</v>
      </c>
      <c r="CW83" s="1294">
        <v>12</v>
      </c>
      <c r="CX83" s="151" t="s">
        <v>2453</v>
      </c>
      <c r="CY83" s="150">
        <f>AVERAGE(219.72,229.35,194.98)</f>
        <v>214.68333333333331</v>
      </c>
      <c r="CZ83" s="150">
        <f>STDEV(219.72,229.35,194.98)</f>
        <v>17.729924797734856</v>
      </c>
      <c r="DA83" s="150" t="s">
        <v>24</v>
      </c>
      <c r="DB83" s="151" t="s">
        <v>2452</v>
      </c>
      <c r="DC83" s="150">
        <f>AVERAGE(274.57947, 212.49274, 247.73543)</f>
        <v>244.93588</v>
      </c>
      <c r="DD83" s="150">
        <f>STDEV(274.57947, 212.49274, 247.73543)</f>
        <v>31.137896856966954</v>
      </c>
      <c r="DE83" s="150" t="s">
        <v>24</v>
      </c>
      <c r="DF83" s="549" t="s">
        <v>24</v>
      </c>
      <c r="DG83" s="551"/>
      <c r="DH83" s="121"/>
      <c r="DI83" s="417"/>
      <c r="DJ83" s="1169"/>
      <c r="DK83" s="417"/>
      <c r="DL83" s="1169"/>
      <c r="DM83" s="1169"/>
      <c r="DN83" s="1169"/>
      <c r="DO83" s="1169"/>
      <c r="DP83" s="290"/>
      <c r="DQ83" s="291"/>
      <c r="DR83" s="1168"/>
      <c r="DS83" s="865"/>
      <c r="DT83" s="1166"/>
      <c r="DU83" s="122"/>
      <c r="DV83" s="1164"/>
      <c r="DW83" s="1164"/>
      <c r="DX83" s="1166"/>
      <c r="DY83" s="1164"/>
      <c r="DZ83" s="1164"/>
      <c r="EA83" s="1164"/>
      <c r="EB83" s="302"/>
      <c r="EC83" s="313"/>
      <c r="ED83" s="526"/>
      <c r="EE83" s="122"/>
      <c r="EF83" s="122"/>
      <c r="EG83" s="122"/>
      <c r="EH83" s="526"/>
      <c r="EI83" s="500"/>
      <c r="EJ83" s="1164"/>
      <c r="EK83" s="500"/>
      <c r="EL83" s="311"/>
      <c r="EM83" s="313"/>
      <c r="EN83" s="1167"/>
      <c r="EO83" s="1165"/>
      <c r="EP83" s="1164"/>
      <c r="EQ83" s="122"/>
      <c r="ER83" s="1164"/>
      <c r="ES83" s="1164"/>
      <c r="ET83" s="1166"/>
      <c r="EU83" s="500"/>
      <c r="EV83" s="500"/>
      <c r="EW83" s="500"/>
      <c r="EX83" s="313"/>
      <c r="EY83" s="313"/>
      <c r="EZ83" s="1166"/>
      <c r="FA83" s="500"/>
      <c r="FB83" s="1164"/>
      <c r="FC83" s="500"/>
      <c r="FD83" s="1166"/>
      <c r="FE83" s="1164"/>
      <c r="FF83" s="1164"/>
      <c r="FG83" s="1164"/>
      <c r="FH83" s="313"/>
      <c r="FI83" s="313"/>
      <c r="FJ83" s="1165"/>
    </row>
    <row r="84" spans="1:166" s="229" customFormat="1" ht="15" hidden="1" customHeight="1">
      <c r="A84" s="153" t="s">
        <v>1089</v>
      </c>
      <c r="B84" s="1097">
        <v>87</v>
      </c>
      <c r="C84" s="1097">
        <v>15</v>
      </c>
      <c r="D84" s="1097"/>
      <c r="E84" s="1098" t="s">
        <v>1938</v>
      </c>
      <c r="F84" s="1021" t="s">
        <v>2307</v>
      </c>
      <c r="G84" s="1099">
        <v>2009</v>
      </c>
      <c r="H84" s="153">
        <v>18700055</v>
      </c>
      <c r="I84" s="153">
        <v>1</v>
      </c>
      <c r="J84" s="153"/>
      <c r="K84" s="153"/>
      <c r="L84" s="153">
        <v>1</v>
      </c>
      <c r="M84" s="153"/>
      <c r="N84" s="153">
        <v>1</v>
      </c>
      <c r="O84" s="153">
        <v>2</v>
      </c>
      <c r="P84" s="153" t="s">
        <v>1258</v>
      </c>
      <c r="Q84" s="153" t="s">
        <v>1251</v>
      </c>
      <c r="R84" s="153" t="s">
        <v>1127</v>
      </c>
      <c r="S84" s="153"/>
      <c r="T84" s="153" t="s">
        <v>1707</v>
      </c>
      <c r="U84" s="153" t="s">
        <v>23</v>
      </c>
      <c r="V84" s="153" t="s">
        <v>23</v>
      </c>
      <c r="W84" s="153" t="s">
        <v>1257</v>
      </c>
      <c r="X84" s="153" t="s">
        <v>24</v>
      </c>
      <c r="Y84" s="153" t="s">
        <v>1132</v>
      </c>
      <c r="Z84" s="153"/>
      <c r="AA84" s="153"/>
      <c r="AB84" s="153"/>
      <c r="AC84" s="536"/>
      <c r="AD84" s="536">
        <v>1</v>
      </c>
      <c r="AE84" s="536">
        <v>2</v>
      </c>
      <c r="AF84" s="576">
        <v>0</v>
      </c>
      <c r="AG84" s="577" t="s">
        <v>7746</v>
      </c>
      <c r="AH84" s="509" t="s">
        <v>7291</v>
      </c>
      <c r="AI84" s="509">
        <v>4</v>
      </c>
      <c r="AJ84" s="509"/>
      <c r="AK84" s="512" t="s">
        <v>3972</v>
      </c>
      <c r="AL84" s="513" t="s">
        <v>7739</v>
      </c>
      <c r="AM84" s="514">
        <v>0</v>
      </c>
      <c r="AN84" s="509">
        <v>108</v>
      </c>
      <c r="AO84" s="509">
        <v>10</v>
      </c>
      <c r="AP84" s="509">
        <v>17</v>
      </c>
      <c r="AQ84" s="509" t="s">
        <v>803</v>
      </c>
      <c r="AR84" s="509" t="s">
        <v>803</v>
      </c>
      <c r="AS84" s="734" t="s">
        <v>2687</v>
      </c>
      <c r="AT84" s="734" t="s">
        <v>24</v>
      </c>
      <c r="AU84" s="734" t="s">
        <v>2687</v>
      </c>
      <c r="AV84" s="509" t="s">
        <v>24</v>
      </c>
      <c r="AW84" s="509" t="s">
        <v>7745</v>
      </c>
      <c r="AX84" s="509"/>
      <c r="AY84" s="509"/>
      <c r="AZ84" s="755" t="s">
        <v>7744</v>
      </c>
      <c r="BA84" s="509">
        <v>0</v>
      </c>
      <c r="BB84" s="509">
        <v>0</v>
      </c>
      <c r="BC84" s="734" t="s">
        <v>7533</v>
      </c>
      <c r="BD84" s="755" t="s">
        <v>7526</v>
      </c>
      <c r="BE84" s="755"/>
      <c r="BF84" s="509" t="s">
        <v>1130</v>
      </c>
      <c r="BG84" s="509" t="s">
        <v>3279</v>
      </c>
      <c r="BH84" s="513"/>
      <c r="BI84" s="513"/>
      <c r="BJ84" s="511">
        <v>1</v>
      </c>
      <c r="BK84" s="511"/>
      <c r="BL84" s="511"/>
      <c r="BM84" s="511"/>
      <c r="BN84" s="511"/>
      <c r="BO84" s="511"/>
      <c r="BP84" s="511"/>
      <c r="BQ84" s="511"/>
      <c r="BR84" s="511"/>
      <c r="BS84" s="511"/>
      <c r="BT84" s="511"/>
      <c r="BU84" s="511"/>
      <c r="BV84" s="511"/>
      <c r="BW84" s="511" t="s">
        <v>4088</v>
      </c>
      <c r="BX84" s="374" t="s">
        <v>6595</v>
      </c>
      <c r="BY84" s="799" t="s">
        <v>7615</v>
      </c>
      <c r="BZ84" s="374" t="s">
        <v>803</v>
      </c>
      <c r="CA84" s="511">
        <v>4</v>
      </c>
      <c r="CB84" s="511" t="s">
        <v>7556</v>
      </c>
      <c r="CC84" s="511" t="s">
        <v>7454</v>
      </c>
      <c r="CD84" s="509" t="s">
        <v>1876</v>
      </c>
      <c r="CE84" s="509">
        <v>5</v>
      </c>
      <c r="CF84" s="786"/>
      <c r="CG84" s="509" t="s">
        <v>7569</v>
      </c>
      <c r="CH84" s="755" t="s">
        <v>1488</v>
      </c>
      <c r="CI84" s="509" t="s">
        <v>1121</v>
      </c>
      <c r="CJ84" s="509"/>
      <c r="CK84" s="509" t="s">
        <v>4091</v>
      </c>
      <c r="CL84" s="120" t="s">
        <v>2659</v>
      </c>
      <c r="CM84" s="515" t="s">
        <v>4084</v>
      </c>
      <c r="CN84" s="621" t="s">
        <v>6627</v>
      </c>
      <c r="CO84" s="621">
        <v>10</v>
      </c>
      <c r="CP84" s="621">
        <v>4</v>
      </c>
      <c r="CQ84" s="621">
        <v>4</v>
      </c>
      <c r="CR84" s="621">
        <v>1</v>
      </c>
      <c r="CS84" s="621"/>
      <c r="CT84" s="621"/>
      <c r="CU84" s="621"/>
      <c r="CV84" s="621"/>
      <c r="CW84" s="621"/>
      <c r="CX84" s="510" t="s">
        <v>4075</v>
      </c>
      <c r="CY84" s="509">
        <v>46.0169</v>
      </c>
      <c r="CZ84" s="509" t="s">
        <v>24</v>
      </c>
      <c r="DA84" s="509">
        <f>49.8305-Table66[[#This Row],[Data_Outcome1_M]]</f>
        <v>3.813600000000001</v>
      </c>
      <c r="DB84" s="510" t="s">
        <v>4072</v>
      </c>
      <c r="DC84" s="509">
        <v>23.389800000000001</v>
      </c>
      <c r="DD84" s="509" t="s">
        <v>24</v>
      </c>
      <c r="DE84" s="509">
        <f>36.6102-Table66[[#This Row],[Data_Outcome2_M]]</f>
        <v>13.220399999999998</v>
      </c>
      <c r="DF84" s="621" t="s">
        <v>4079</v>
      </c>
      <c r="DG84" s="509" t="s">
        <v>4080</v>
      </c>
      <c r="DH84" s="378"/>
      <c r="DI84" s="683"/>
      <c r="DJ84" s="384"/>
      <c r="DK84" s="683"/>
      <c r="DL84" s="956"/>
      <c r="DM84" s="1194"/>
      <c r="DN84" s="1194"/>
      <c r="DO84" s="1194"/>
      <c r="DP84" s="515"/>
      <c r="DQ84" s="513"/>
      <c r="DR84" s="1182"/>
      <c r="DS84" s="956"/>
      <c r="DT84" s="956"/>
      <c r="DU84" s="1194"/>
      <c r="DV84" s="1194"/>
      <c r="DW84" s="1194"/>
      <c r="DX84" s="1194"/>
      <c r="DY84" s="1194"/>
      <c r="DZ84" s="1194"/>
      <c r="EA84" s="1194"/>
      <c r="EB84" s="1182"/>
      <c r="EC84" s="1194"/>
      <c r="ED84" s="1194"/>
      <c r="EE84" s="1194"/>
      <c r="EF84" s="1194"/>
      <c r="EG84" s="1194"/>
      <c r="EH84" s="1194"/>
      <c r="EI84" s="635"/>
      <c r="EJ84" s="1194"/>
      <c r="EK84" s="635"/>
      <c r="EL84" s="1182"/>
      <c r="EM84" s="1194"/>
      <c r="EN84" s="1182"/>
      <c r="EO84" s="1194"/>
      <c r="EP84" s="1194"/>
      <c r="EQ84" s="1194"/>
      <c r="ER84" s="1194"/>
      <c r="ES84" s="1194"/>
      <c r="ET84" s="956"/>
      <c r="EU84" s="635"/>
      <c r="EV84" s="635"/>
      <c r="EW84" s="635"/>
      <c r="EX84" s="1194"/>
      <c r="EY84" s="1194"/>
      <c r="EZ84" s="956"/>
      <c r="FA84" s="635"/>
      <c r="FB84" s="1194"/>
      <c r="FC84" s="635"/>
      <c r="FD84" s="956"/>
      <c r="FE84" s="1194"/>
      <c r="FF84" s="1194"/>
      <c r="FG84" s="1194"/>
      <c r="FH84" s="1194"/>
      <c r="FI84" s="1194"/>
      <c r="FJ84" s="1194"/>
    </row>
    <row r="85" spans="1:166" s="717" customFormat="1" ht="15" hidden="1" customHeight="1">
      <c r="A85" s="153" t="s">
        <v>1089</v>
      </c>
      <c r="B85" s="1097">
        <v>87</v>
      </c>
      <c r="C85" s="1097">
        <v>15</v>
      </c>
      <c r="D85" s="1097"/>
      <c r="E85" s="1098" t="s">
        <v>1938</v>
      </c>
      <c r="F85" s="1021" t="s">
        <v>2307</v>
      </c>
      <c r="G85" s="1099">
        <v>2009</v>
      </c>
      <c r="H85" s="153">
        <v>18700055</v>
      </c>
      <c r="I85" s="153">
        <v>1</v>
      </c>
      <c r="J85" s="153"/>
      <c r="K85" s="153"/>
      <c r="L85" s="153">
        <v>1</v>
      </c>
      <c r="M85" s="153"/>
      <c r="N85" s="153">
        <v>1</v>
      </c>
      <c r="O85" s="153">
        <v>2</v>
      </c>
      <c r="P85" s="153" t="s">
        <v>1258</v>
      </c>
      <c r="Q85" s="153" t="s">
        <v>1251</v>
      </c>
      <c r="R85" s="153" t="s">
        <v>1127</v>
      </c>
      <c r="S85" s="153"/>
      <c r="T85" s="153" t="s">
        <v>1707</v>
      </c>
      <c r="U85" s="153" t="s">
        <v>23</v>
      </c>
      <c r="V85" s="153" t="s">
        <v>23</v>
      </c>
      <c r="W85" s="153" t="s">
        <v>1257</v>
      </c>
      <c r="X85" s="153" t="s">
        <v>24</v>
      </c>
      <c r="Y85" s="153" t="s">
        <v>1132</v>
      </c>
      <c r="Z85" s="153"/>
      <c r="AA85" s="153"/>
      <c r="AB85" s="153"/>
      <c r="AC85" s="536"/>
      <c r="AD85" s="536">
        <v>1</v>
      </c>
      <c r="AE85" s="536">
        <v>2</v>
      </c>
      <c r="AF85" s="576">
        <v>0</v>
      </c>
      <c r="AG85" s="1686" t="s">
        <v>8175</v>
      </c>
      <c r="AH85" s="509" t="s">
        <v>7738</v>
      </c>
      <c r="AI85" s="509">
        <v>4</v>
      </c>
      <c r="AJ85" s="509"/>
      <c r="AK85" s="512" t="s">
        <v>3972</v>
      </c>
      <c r="AL85" s="513" t="s">
        <v>4089</v>
      </c>
      <c r="AM85" s="514">
        <v>0</v>
      </c>
      <c r="AN85" s="509" t="s">
        <v>4087</v>
      </c>
      <c r="AO85" s="509">
        <f>33/2</f>
        <v>16.5</v>
      </c>
      <c r="AP85" s="509">
        <f>33/2</f>
        <v>16.5</v>
      </c>
      <c r="AQ85" s="509" t="s">
        <v>803</v>
      </c>
      <c r="AR85" s="509" t="s">
        <v>803</v>
      </c>
      <c r="AS85" s="509" t="s">
        <v>2687</v>
      </c>
      <c r="AT85" s="509" t="s">
        <v>24</v>
      </c>
      <c r="AU85" s="509" t="s">
        <v>2687</v>
      </c>
      <c r="AV85" s="509" t="s">
        <v>24</v>
      </c>
      <c r="AW85" s="509" t="s">
        <v>4086</v>
      </c>
      <c r="AX85" s="509"/>
      <c r="AY85" s="509"/>
      <c r="AZ85" s="509" t="s">
        <v>7317</v>
      </c>
      <c r="BA85" s="509">
        <v>1</v>
      </c>
      <c r="BB85" s="509">
        <v>1</v>
      </c>
      <c r="BC85" s="509" t="s">
        <v>7533</v>
      </c>
      <c r="BD85" s="509" t="s">
        <v>7526</v>
      </c>
      <c r="BE85" s="509"/>
      <c r="BF85" s="509" t="s">
        <v>1130</v>
      </c>
      <c r="BG85" s="509" t="s">
        <v>3279</v>
      </c>
      <c r="BH85" s="513"/>
      <c r="BI85" s="513"/>
      <c r="BJ85" s="511">
        <v>1</v>
      </c>
      <c r="BK85" s="511"/>
      <c r="BL85" s="511"/>
      <c r="BM85" s="511"/>
      <c r="BN85" s="511"/>
      <c r="BO85" s="511"/>
      <c r="BP85" s="511"/>
      <c r="BQ85" s="511"/>
      <c r="BR85" s="511"/>
      <c r="BS85" s="511"/>
      <c r="BT85" s="511"/>
      <c r="BU85" s="511"/>
      <c r="BV85" s="511"/>
      <c r="BW85" s="511" t="s">
        <v>7747</v>
      </c>
      <c r="BX85" s="510" t="s">
        <v>6595</v>
      </c>
      <c r="BY85" s="510" t="s">
        <v>7615</v>
      </c>
      <c r="BZ85" s="510" t="s">
        <v>803</v>
      </c>
      <c r="CA85" s="511">
        <v>4</v>
      </c>
      <c r="CB85" s="511" t="s">
        <v>7563</v>
      </c>
      <c r="CC85" s="511" t="s">
        <v>7454</v>
      </c>
      <c r="CD85" s="509" t="s">
        <v>1876</v>
      </c>
      <c r="CE85" s="509">
        <v>4</v>
      </c>
      <c r="CF85" s="509"/>
      <c r="CG85" s="509" t="s">
        <v>7567</v>
      </c>
      <c r="CH85" s="509" t="s">
        <v>1488</v>
      </c>
      <c r="CI85" s="509" t="s">
        <v>1121</v>
      </c>
      <c r="CJ85" s="509"/>
      <c r="CK85" s="509" t="s">
        <v>4091</v>
      </c>
      <c r="CL85" s="509" t="s">
        <v>2659</v>
      </c>
      <c r="CM85" s="515" t="s">
        <v>4105</v>
      </c>
      <c r="CN85" s="621" t="s">
        <v>24</v>
      </c>
      <c r="CO85" s="621">
        <v>10</v>
      </c>
      <c r="CP85" s="621">
        <v>1</v>
      </c>
      <c r="CQ85" s="621">
        <v>1</v>
      </c>
      <c r="CR85" s="621">
        <v>0</v>
      </c>
      <c r="CS85" s="621">
        <v>1</v>
      </c>
      <c r="CT85" s="621"/>
      <c r="CU85" s="621" t="s">
        <v>8104</v>
      </c>
      <c r="CV85" s="515"/>
      <c r="CW85" s="515"/>
      <c r="CX85" s="510" t="s">
        <v>4097</v>
      </c>
      <c r="CY85" s="509">
        <v>342.18799999999999</v>
      </c>
      <c r="CZ85" s="509" t="s">
        <v>24</v>
      </c>
      <c r="DA85" s="509">
        <f>359.519-Table66[[#This Row],[Data_Outcome1_M]]</f>
        <v>17.331000000000017</v>
      </c>
      <c r="DB85" s="710" t="s">
        <v>4099</v>
      </c>
      <c r="DC85" s="509">
        <v>209.58</v>
      </c>
      <c r="DD85" s="509" t="s">
        <v>24</v>
      </c>
      <c r="DE85" s="509">
        <f>222.35-Table66[[#This Row],[Data_Outcome2_M]]</f>
        <v>12.769999999999982</v>
      </c>
      <c r="DF85" s="621" t="s">
        <v>7737</v>
      </c>
      <c r="DG85" s="509" t="s">
        <v>4102</v>
      </c>
      <c r="DH85" s="1135" t="s">
        <v>4092</v>
      </c>
      <c r="DI85" s="635">
        <v>28.1922</v>
      </c>
      <c r="DJ85" s="1194" t="s">
        <v>24</v>
      </c>
      <c r="DK85" s="635" t="e">
        <v>#REF!</v>
      </c>
      <c r="DL85" s="956" t="s">
        <v>4093</v>
      </c>
      <c r="DM85" s="1194">
        <v>279.77199999999999</v>
      </c>
      <c r="DN85" s="1194" t="s">
        <v>24</v>
      </c>
      <c r="DO85" s="1194" t="e">
        <v>#REF!</v>
      </c>
      <c r="DP85" s="515" t="s">
        <v>4094</v>
      </c>
      <c r="DQ85" s="513" t="s">
        <v>2483</v>
      </c>
      <c r="DR85" s="1182"/>
      <c r="DS85" s="956"/>
      <c r="DT85" s="956"/>
      <c r="DU85" s="1194"/>
      <c r="DV85" s="1194"/>
      <c r="DW85" s="1194"/>
      <c r="DX85" s="716"/>
      <c r="DY85" s="1194"/>
      <c r="DZ85" s="1194"/>
      <c r="EA85" s="1194"/>
      <c r="EB85" s="1182"/>
      <c r="EC85" s="1194"/>
      <c r="ED85" s="1194"/>
      <c r="EE85" s="1194"/>
      <c r="EF85" s="1194"/>
      <c r="EG85" s="1194"/>
      <c r="EH85" s="1194"/>
      <c r="EI85" s="635"/>
      <c r="EJ85" s="1194"/>
      <c r="EK85" s="635"/>
      <c r="EL85" s="1182"/>
      <c r="EM85" s="1194"/>
      <c r="EN85" s="1182"/>
      <c r="EO85" s="1194"/>
      <c r="EP85" s="1194"/>
      <c r="EQ85" s="1194"/>
      <c r="ER85" s="1194"/>
      <c r="ES85" s="1194"/>
      <c r="ET85" s="956"/>
      <c r="EU85" s="635"/>
      <c r="EV85" s="635"/>
      <c r="EW85" s="635"/>
      <c r="EX85" s="1194"/>
      <c r="EY85" s="1194"/>
      <c r="EZ85" s="956"/>
      <c r="FA85" s="635"/>
      <c r="FB85" s="1194"/>
      <c r="FC85" s="635"/>
      <c r="FD85" s="956"/>
      <c r="FE85" s="1194"/>
      <c r="FF85" s="1194"/>
      <c r="FG85" s="1194"/>
      <c r="FH85" s="1194"/>
      <c r="FI85" s="1194"/>
      <c r="FJ85" s="1194"/>
    </row>
    <row r="86" spans="1:166" ht="15" hidden="1" customHeight="1">
      <c r="A86" s="118" t="s">
        <v>960</v>
      </c>
      <c r="B86" s="616">
        <v>245</v>
      </c>
      <c r="C86" s="616"/>
      <c r="D86" s="616">
        <v>101</v>
      </c>
      <c r="E86" s="605" t="s">
        <v>2125</v>
      </c>
      <c r="F86" s="140" t="s">
        <v>2386</v>
      </c>
      <c r="G86" s="141">
        <v>2007</v>
      </c>
      <c r="H86" s="118">
        <v>17254618</v>
      </c>
      <c r="I86" s="118">
        <v>1</v>
      </c>
      <c r="J86" s="118">
        <v>1</v>
      </c>
      <c r="K86" s="118"/>
      <c r="L86" s="118">
        <v>1</v>
      </c>
      <c r="M86" s="118"/>
      <c r="N86" s="118">
        <v>1</v>
      </c>
      <c r="O86" s="142">
        <v>2</v>
      </c>
      <c r="P86" s="118" t="s">
        <v>1609</v>
      </c>
      <c r="Q86" s="118" t="s">
        <v>1216</v>
      </c>
      <c r="R86" s="118" t="s">
        <v>1608</v>
      </c>
      <c r="S86" s="118"/>
      <c r="T86" s="118" t="s">
        <v>1498</v>
      </c>
      <c r="U86" s="118" t="s">
        <v>803</v>
      </c>
      <c r="V86" s="118"/>
      <c r="W86" s="118" t="s">
        <v>1682</v>
      </c>
      <c r="X86" s="118"/>
      <c r="Y86" s="118"/>
      <c r="Z86" s="118"/>
      <c r="AA86" s="118"/>
      <c r="AB86" s="118"/>
      <c r="AC86" s="145" t="s">
        <v>6309</v>
      </c>
      <c r="AD86" s="653">
        <v>1</v>
      </c>
      <c r="AE86" s="653">
        <v>1</v>
      </c>
      <c r="AF86" s="159">
        <v>1</v>
      </c>
      <c r="AG86" s="160" t="s">
        <v>7292</v>
      </c>
      <c r="AH86" s="732">
        <v>0</v>
      </c>
      <c r="AI86" s="122">
        <v>4</v>
      </c>
      <c r="AJ86" s="485"/>
      <c r="AK86" s="204" t="s">
        <v>7107</v>
      </c>
      <c r="AL86" s="192" t="s">
        <v>7111</v>
      </c>
      <c r="AM86" s="205">
        <v>0</v>
      </c>
      <c r="AN86" s="122">
        <f>Table66[[#This Row],[Data_Subjects_n_ptsd]]+Table66[[#This Row],[Data_Subjects_n_control]]</f>
        <v>31</v>
      </c>
      <c r="AO86" s="122">
        <v>15</v>
      </c>
      <c r="AP86" s="122">
        <v>16</v>
      </c>
      <c r="AQ86" s="122" t="s">
        <v>803</v>
      </c>
      <c r="AR86" s="122" t="s">
        <v>803</v>
      </c>
      <c r="AS86" s="122" t="s">
        <v>7104</v>
      </c>
      <c r="AT86" s="122" t="s">
        <v>24</v>
      </c>
      <c r="AU86" s="122" t="s">
        <v>7104</v>
      </c>
      <c r="AV86" s="122" t="s">
        <v>24</v>
      </c>
      <c r="AW86" s="122" t="s">
        <v>7108</v>
      </c>
      <c r="AX86" s="122">
        <v>60</v>
      </c>
      <c r="AY86" s="122">
        <v>0.8</v>
      </c>
      <c r="AZ86" s="754" t="s">
        <v>1814</v>
      </c>
      <c r="BA86" s="122">
        <v>1</v>
      </c>
      <c r="BB86" s="122">
        <v>1</v>
      </c>
      <c r="BC86" s="122" t="s">
        <v>7109</v>
      </c>
      <c r="BD86" s="753" t="s">
        <v>7523</v>
      </c>
      <c r="BE86" s="753"/>
      <c r="BF86" s="122" t="s">
        <v>7117</v>
      </c>
      <c r="BG86" s="122" t="s">
        <v>6653</v>
      </c>
      <c r="BH86" s="588"/>
      <c r="BI86" s="588"/>
      <c r="BJ86" s="161">
        <v>1</v>
      </c>
      <c r="BK86" s="161">
        <v>1</v>
      </c>
      <c r="BL86" s="161"/>
      <c r="BM86" s="161"/>
      <c r="BN86" s="161"/>
      <c r="BO86" s="161"/>
      <c r="BP86" s="161">
        <v>1</v>
      </c>
      <c r="BQ86" s="161"/>
      <c r="BR86" s="161"/>
      <c r="BS86" s="161"/>
      <c r="BT86" s="161"/>
      <c r="BU86" s="161"/>
      <c r="BV86" s="161"/>
      <c r="BW86" s="596" t="s">
        <v>7051</v>
      </c>
      <c r="BX86" s="162" t="s">
        <v>6657</v>
      </c>
      <c r="BY86" s="797" t="s">
        <v>7613</v>
      </c>
      <c r="BZ86" s="789" t="s">
        <v>803</v>
      </c>
      <c r="CA86" s="766">
        <v>1</v>
      </c>
      <c r="CB86" s="765" t="s">
        <v>7556</v>
      </c>
      <c r="CC86" s="766" t="s">
        <v>7384</v>
      </c>
      <c r="CD86" s="150" t="s">
        <v>1876</v>
      </c>
      <c r="CE86" s="150" t="s">
        <v>7106</v>
      </c>
      <c r="CF86" s="400" t="s">
        <v>7581</v>
      </c>
      <c r="CG86" s="477" t="s">
        <v>7110</v>
      </c>
      <c r="CH86" s="763" t="s">
        <v>7310</v>
      </c>
      <c r="CI86" s="150" t="s">
        <v>7105</v>
      </c>
      <c r="CJ86" s="150"/>
      <c r="CK86" s="477" t="s">
        <v>7118</v>
      </c>
      <c r="CL86" s="134" t="s">
        <v>8301</v>
      </c>
      <c r="CM86" s="258" t="s">
        <v>7130</v>
      </c>
      <c r="CN86" s="257" t="s">
        <v>6627</v>
      </c>
      <c r="CO86" s="829">
        <v>82</v>
      </c>
      <c r="CP86" s="829">
        <v>1</v>
      </c>
      <c r="CQ86" s="829">
        <v>4</v>
      </c>
      <c r="CR86" s="829">
        <v>1</v>
      </c>
      <c r="CS86" s="829">
        <v>-1</v>
      </c>
      <c r="CT86" s="968"/>
      <c r="CU86" s="1289" t="s">
        <v>8104</v>
      </c>
      <c r="CV86" s="1295">
        <v>131</v>
      </c>
      <c r="CW86" s="1295">
        <v>120</v>
      </c>
      <c r="CX86" s="151" t="s">
        <v>7040</v>
      </c>
      <c r="CY86" s="150">
        <v>2.0270299999999999</v>
      </c>
      <c r="CZ86" s="150" t="s">
        <v>24</v>
      </c>
      <c r="DA86" s="150">
        <f>3.01802-Table66[[#This Row],[Data_Outcome1_M]]</f>
        <v>0.99099000000000004</v>
      </c>
      <c r="DB86" s="150" t="s">
        <v>7041</v>
      </c>
      <c r="DC86" s="150">
        <v>12.973000000000001</v>
      </c>
      <c r="DD86" s="150" t="s">
        <v>24</v>
      </c>
      <c r="DE86" s="150">
        <f>13.6937-Table66[[#This Row],[Data_Outcome2_M]]</f>
        <v>0.72069999999999901</v>
      </c>
      <c r="DF86" s="294" t="s">
        <v>7043</v>
      </c>
      <c r="DG86" s="873" t="s">
        <v>7125</v>
      </c>
      <c r="DH86" s="1166"/>
      <c r="DI86" s="1166"/>
      <c r="DJ86" s="1164"/>
      <c r="DK86" s="1164"/>
      <c r="DL86" s="1164"/>
      <c r="DM86" s="1164"/>
      <c r="DN86" s="1164"/>
      <c r="DO86" s="1164"/>
      <c r="DP86" s="290"/>
      <c r="DQ86" s="291"/>
      <c r="DR86" s="1168"/>
      <c r="DS86" s="865"/>
      <c r="DT86" s="1166"/>
      <c r="DU86" s="526"/>
      <c r="DV86" s="1164"/>
      <c r="DW86" s="122"/>
      <c r="DX86" s="1164"/>
      <c r="DY86" s="122"/>
      <c r="DZ86" s="1164"/>
      <c r="EA86" s="122"/>
      <c r="EB86" s="311"/>
      <c r="EC86" s="313"/>
      <c r="ED86" s="1166"/>
      <c r="EE86" s="526"/>
      <c r="EF86" s="1164"/>
      <c r="EG86" s="122"/>
      <c r="EH86" s="1164"/>
      <c r="EI86" s="500"/>
      <c r="EJ86" s="1164"/>
      <c r="EK86" s="500"/>
      <c r="EL86" s="311"/>
      <c r="EM86" s="313"/>
      <c r="EN86" s="278"/>
      <c r="EO86" s="1165"/>
      <c r="EP86" s="1164"/>
      <c r="EQ86" s="1164"/>
      <c r="ER86" s="1164"/>
      <c r="ES86" s="1164"/>
      <c r="ET86" s="1166"/>
      <c r="EU86" s="500"/>
      <c r="EV86" s="500"/>
      <c r="EW86" s="500"/>
      <c r="EX86" s="313"/>
      <c r="EY86" s="313"/>
      <c r="EZ86" s="1166"/>
      <c r="FA86" s="1164"/>
      <c r="FB86" s="1164"/>
      <c r="FC86" s="1164"/>
      <c r="FD86" s="1166"/>
      <c r="FE86" s="1164"/>
      <c r="FF86" s="1164"/>
      <c r="FG86" s="1164"/>
      <c r="FH86" s="313"/>
      <c r="FI86" s="313"/>
      <c r="FJ86" s="1165"/>
    </row>
    <row r="87" spans="1:166" s="229" customFormat="1" ht="15" hidden="1" customHeight="1">
      <c r="A87" s="118" t="s">
        <v>960</v>
      </c>
      <c r="B87" s="616">
        <v>245</v>
      </c>
      <c r="C87" s="616"/>
      <c r="D87" s="616">
        <v>101</v>
      </c>
      <c r="E87" s="605" t="s">
        <v>2125</v>
      </c>
      <c r="F87" s="140" t="s">
        <v>2386</v>
      </c>
      <c r="G87" s="141">
        <v>2007</v>
      </c>
      <c r="H87" s="118">
        <v>17254618</v>
      </c>
      <c r="I87" s="118">
        <v>1</v>
      </c>
      <c r="J87" s="118">
        <v>1</v>
      </c>
      <c r="K87" s="118"/>
      <c r="L87" s="118">
        <v>1</v>
      </c>
      <c r="M87" s="118"/>
      <c r="N87" s="118">
        <v>1</v>
      </c>
      <c r="O87" s="142">
        <v>2</v>
      </c>
      <c r="P87" s="118" t="s">
        <v>1609</v>
      </c>
      <c r="Q87" s="118" t="s">
        <v>1216</v>
      </c>
      <c r="R87" s="118" t="s">
        <v>1608</v>
      </c>
      <c r="S87" s="118"/>
      <c r="T87" s="118" t="s">
        <v>1498</v>
      </c>
      <c r="U87" s="118" t="s">
        <v>803</v>
      </c>
      <c r="V87" s="118"/>
      <c r="W87" s="118" t="s">
        <v>1682</v>
      </c>
      <c r="X87" s="118"/>
      <c r="Y87" s="118"/>
      <c r="Z87" s="118"/>
      <c r="AA87" s="118"/>
      <c r="AB87" s="118"/>
      <c r="AC87" s="145" t="s">
        <v>6309</v>
      </c>
      <c r="AD87" s="653">
        <v>1</v>
      </c>
      <c r="AE87" s="653">
        <v>1</v>
      </c>
      <c r="AF87" s="159">
        <v>1</v>
      </c>
      <c r="AG87" s="160" t="s">
        <v>7292</v>
      </c>
      <c r="AH87" s="732">
        <v>0</v>
      </c>
      <c r="AI87" s="122">
        <v>4</v>
      </c>
      <c r="AJ87" s="485"/>
      <c r="AK87" s="204" t="s">
        <v>7107</v>
      </c>
      <c r="AL87" s="192" t="s">
        <v>7111</v>
      </c>
      <c r="AM87" s="205">
        <v>0</v>
      </c>
      <c r="AN87" s="122">
        <f>Table66[[#This Row],[Data_Subjects_n_ptsd]]+Table66[[#This Row],[Data_Subjects_n_control]]</f>
        <v>32</v>
      </c>
      <c r="AO87" s="122">
        <v>16</v>
      </c>
      <c r="AP87" s="122">
        <v>16</v>
      </c>
      <c r="AQ87" s="122" t="s">
        <v>803</v>
      </c>
      <c r="AR87" s="122" t="s">
        <v>803</v>
      </c>
      <c r="AS87" s="122" t="s">
        <v>7104</v>
      </c>
      <c r="AT87" s="122" t="s">
        <v>24</v>
      </c>
      <c r="AU87" s="122" t="s">
        <v>7104</v>
      </c>
      <c r="AV87" s="122" t="s">
        <v>24</v>
      </c>
      <c r="AW87" s="122" t="s">
        <v>7108</v>
      </c>
      <c r="AX87" s="122">
        <v>60</v>
      </c>
      <c r="AY87" s="122">
        <v>0.8</v>
      </c>
      <c r="AZ87" s="754" t="s">
        <v>1814</v>
      </c>
      <c r="BA87" s="122">
        <v>1</v>
      </c>
      <c r="BB87" s="122">
        <v>1</v>
      </c>
      <c r="BC87" s="122" t="s">
        <v>7109</v>
      </c>
      <c r="BD87" s="753" t="s">
        <v>7523</v>
      </c>
      <c r="BE87" s="753"/>
      <c r="BF87" s="122" t="s">
        <v>1321</v>
      </c>
      <c r="BG87" s="122" t="s">
        <v>6653</v>
      </c>
      <c r="BH87" s="588"/>
      <c r="BI87" s="588"/>
      <c r="BJ87" s="161">
        <v>1</v>
      </c>
      <c r="BK87" s="161">
        <v>1</v>
      </c>
      <c r="BL87" s="161"/>
      <c r="BM87" s="161"/>
      <c r="BN87" s="161"/>
      <c r="BO87" s="161"/>
      <c r="BP87" s="161">
        <v>1</v>
      </c>
      <c r="BQ87" s="161"/>
      <c r="BR87" s="161"/>
      <c r="BS87" s="161"/>
      <c r="BT87" s="161"/>
      <c r="BU87" s="161"/>
      <c r="BV87" s="161"/>
      <c r="BW87" s="596" t="s">
        <v>7051</v>
      </c>
      <c r="BX87" s="162" t="s">
        <v>6657</v>
      </c>
      <c r="BY87" s="797" t="s">
        <v>7613</v>
      </c>
      <c r="BZ87" s="789" t="s">
        <v>803</v>
      </c>
      <c r="CA87" s="766">
        <v>1</v>
      </c>
      <c r="CB87" s="765" t="s">
        <v>7556</v>
      </c>
      <c r="CC87" s="766" t="s">
        <v>7384</v>
      </c>
      <c r="CD87" s="150" t="s">
        <v>1876</v>
      </c>
      <c r="CE87" s="150" t="s">
        <v>7106</v>
      </c>
      <c r="CF87" s="400" t="s">
        <v>7581</v>
      </c>
      <c r="CG87" s="477" t="s">
        <v>7110</v>
      </c>
      <c r="CH87" s="763" t="s">
        <v>7310</v>
      </c>
      <c r="CI87" s="150" t="s">
        <v>7105</v>
      </c>
      <c r="CJ87" s="150"/>
      <c r="CK87" s="477" t="s">
        <v>7118</v>
      </c>
      <c r="CL87" s="134" t="s">
        <v>8301</v>
      </c>
      <c r="CM87" s="262" t="s">
        <v>7131</v>
      </c>
      <c r="CN87" s="623" t="s">
        <v>6627</v>
      </c>
      <c r="CO87" s="826">
        <v>82</v>
      </c>
      <c r="CP87" s="826">
        <v>2</v>
      </c>
      <c r="CQ87" s="826">
        <v>4</v>
      </c>
      <c r="CR87" s="826">
        <v>1</v>
      </c>
      <c r="CS87" s="826">
        <v>-1</v>
      </c>
      <c r="CT87" s="965"/>
      <c r="CU87" s="1289" t="s">
        <v>8104</v>
      </c>
      <c r="CV87" s="1295">
        <v>132</v>
      </c>
      <c r="CW87" s="1295">
        <v>121</v>
      </c>
      <c r="CX87" s="151" t="s">
        <v>7040</v>
      </c>
      <c r="CY87" s="150">
        <v>4.72973</v>
      </c>
      <c r="CZ87" s="425" t="s">
        <v>24</v>
      </c>
      <c r="DA87" s="150">
        <f>5.67568-Table66[[#This Row],[Data_Outcome1_M]]</f>
        <v>0.94594999999999985</v>
      </c>
      <c r="DB87" s="228" t="s">
        <v>7041</v>
      </c>
      <c r="DC87" s="150">
        <v>13.333299999999999</v>
      </c>
      <c r="DD87" s="150" t="s">
        <v>24</v>
      </c>
      <c r="DE87" s="150">
        <f>14.5495-Table66[[#This Row],[Data_Outcome2_M]]</f>
        <v>1.2162000000000006</v>
      </c>
      <c r="DF87" s="294" t="s">
        <v>7043</v>
      </c>
      <c r="DG87" s="873" t="s">
        <v>7125</v>
      </c>
      <c r="DH87" s="526"/>
      <c r="DI87" s="526"/>
      <c r="DJ87" s="1164"/>
      <c r="DK87" s="122"/>
      <c r="DL87" s="1164"/>
      <c r="DM87" s="122"/>
      <c r="DN87" s="1164"/>
      <c r="DO87" s="122"/>
      <c r="DP87" s="725"/>
      <c r="DQ87" s="291"/>
      <c r="DR87" s="1168"/>
      <c r="DS87" s="865"/>
      <c r="DT87" s="1166"/>
      <c r="DU87" s="526"/>
      <c r="DV87" s="1164"/>
      <c r="DW87" s="122"/>
      <c r="DX87" s="1164"/>
      <c r="DY87" s="1164"/>
      <c r="DZ87" s="1164"/>
      <c r="EA87" s="1164"/>
      <c r="EB87" s="311"/>
      <c r="EC87" s="313"/>
      <c r="ED87" s="1166"/>
      <c r="EE87" s="526"/>
      <c r="EF87" s="1164"/>
      <c r="EG87" s="122"/>
      <c r="EH87" s="122"/>
      <c r="EI87" s="500"/>
      <c r="EJ87" s="1164"/>
      <c r="EK87" s="500"/>
      <c r="EL87" s="311"/>
      <c r="EM87" s="313"/>
      <c r="EN87" s="1167"/>
      <c r="EO87" s="1165"/>
      <c r="EP87" s="122"/>
      <c r="EQ87" s="122"/>
      <c r="ER87" s="122"/>
      <c r="ES87" s="122"/>
      <c r="ET87" s="1166"/>
      <c r="EU87" s="500"/>
      <c r="EV87" s="500"/>
      <c r="EW87" s="500"/>
      <c r="EX87" s="313"/>
      <c r="EY87" s="313"/>
      <c r="EZ87" s="1166"/>
      <c r="FA87" s="1164"/>
      <c r="FB87" s="1164"/>
      <c r="FC87" s="1164"/>
      <c r="FD87" s="1166"/>
      <c r="FE87" s="1164"/>
      <c r="FF87" s="1164"/>
      <c r="FG87" s="1164"/>
      <c r="FH87" s="313"/>
      <c r="FI87" s="313"/>
      <c r="FJ87" s="1165"/>
    </row>
    <row r="88" spans="1:166" s="229" customFormat="1" ht="15" hidden="1" customHeight="1">
      <c r="A88" s="79" t="s">
        <v>1086</v>
      </c>
      <c r="B88" s="362">
        <v>89</v>
      </c>
      <c r="C88" s="362"/>
      <c r="D88" s="362">
        <v>21</v>
      </c>
      <c r="E88" s="604" t="s">
        <v>1938</v>
      </c>
      <c r="F88" s="124" t="s">
        <v>2310</v>
      </c>
      <c r="G88" s="125">
        <v>2006</v>
      </c>
      <c r="H88" s="79">
        <v>16555237</v>
      </c>
      <c r="I88" s="79">
        <v>1</v>
      </c>
      <c r="J88" s="126" t="s">
        <v>1824</v>
      </c>
      <c r="K88" s="127"/>
      <c r="L88" s="79">
        <v>1</v>
      </c>
      <c r="M88" s="79"/>
      <c r="N88" s="79">
        <v>1</v>
      </c>
      <c r="O88" s="128">
        <v>2</v>
      </c>
      <c r="P88" s="79" t="s">
        <v>1263</v>
      </c>
      <c r="Q88" s="79" t="s">
        <v>1264</v>
      </c>
      <c r="R88" s="79" t="s">
        <v>1265</v>
      </c>
      <c r="S88" s="79"/>
      <c r="T88" s="79" t="s">
        <v>1495</v>
      </c>
      <c r="U88" s="79" t="s">
        <v>23</v>
      </c>
      <c r="V88" s="79" t="s">
        <v>23</v>
      </c>
      <c r="W88" s="79" t="s">
        <v>1267</v>
      </c>
      <c r="X88" s="79" t="s">
        <v>1266</v>
      </c>
      <c r="Y88" s="79" t="s">
        <v>13</v>
      </c>
      <c r="Z88" s="79"/>
      <c r="AA88" s="79"/>
      <c r="AB88" s="79"/>
      <c r="AC88" s="506" t="s">
        <v>6188</v>
      </c>
      <c r="AD88" s="573">
        <v>1</v>
      </c>
      <c r="AE88" s="573">
        <v>0</v>
      </c>
      <c r="AF88" s="924">
        <v>2</v>
      </c>
      <c r="AG88" s="925"/>
      <c r="AH88" s="911"/>
      <c r="AI88" s="923">
        <v>5</v>
      </c>
      <c r="AJ88" s="923"/>
      <c r="AK88" s="926"/>
      <c r="AL88" s="588"/>
      <c r="AM88" s="927"/>
      <c r="AN88" s="923"/>
      <c r="AO88" s="923"/>
      <c r="AP88" s="923"/>
      <c r="AQ88" s="923"/>
      <c r="AR88" s="923"/>
      <c r="AS88" s="923"/>
      <c r="AT88" s="923"/>
      <c r="AU88" s="923"/>
      <c r="AV88" s="923"/>
      <c r="AW88" s="923"/>
      <c r="AX88" s="923"/>
      <c r="AY88" s="923"/>
      <c r="AZ88" s="915"/>
      <c r="BA88" s="923"/>
      <c r="BB88" s="923"/>
      <c r="BC88" s="923"/>
      <c r="BD88" s="915"/>
      <c r="BE88" s="915"/>
      <c r="BF88" s="923"/>
      <c r="BG88" s="923"/>
      <c r="BH88" s="594" t="s">
        <v>5207</v>
      </c>
      <c r="BI88" s="594"/>
      <c r="BJ88" s="156"/>
      <c r="BK88" s="156" t="s">
        <v>5545</v>
      </c>
      <c r="BL88" s="156"/>
      <c r="BM88" s="156"/>
      <c r="BN88" s="156"/>
      <c r="BO88" s="156"/>
      <c r="BP88" s="156"/>
      <c r="BQ88" s="156"/>
      <c r="BR88" s="156"/>
      <c r="BS88" s="156"/>
      <c r="BT88" s="156"/>
      <c r="BU88" s="156"/>
      <c r="BV88" s="156"/>
      <c r="BW88" s="928"/>
      <c r="BX88" s="929"/>
      <c r="BY88" s="929"/>
      <c r="BZ88" s="929"/>
      <c r="CA88" s="917"/>
      <c r="CB88" s="917"/>
      <c r="CC88" s="917"/>
      <c r="CD88" s="923"/>
      <c r="CE88" s="923"/>
      <c r="CF88" s="923"/>
      <c r="CG88" s="923"/>
      <c r="CH88" s="915"/>
      <c r="CI88" s="923"/>
      <c r="CJ88" s="923"/>
      <c r="CK88" s="923"/>
      <c r="CL88" s="923"/>
      <c r="CM88" s="930"/>
      <c r="CN88" s="931"/>
      <c r="CO88" s="931"/>
      <c r="CP88" s="931"/>
      <c r="CQ88" s="931"/>
      <c r="CR88" s="931"/>
      <c r="CS88" s="931"/>
      <c r="CT88" s="967"/>
      <c r="CU88" s="967"/>
      <c r="CV88" s="967"/>
      <c r="CW88" s="967"/>
      <c r="CX88" s="932"/>
      <c r="CY88" s="923"/>
      <c r="CZ88" s="923"/>
      <c r="DA88" s="923"/>
      <c r="DB88" s="932"/>
      <c r="DC88" s="923"/>
      <c r="DD88" s="923"/>
      <c r="DE88" s="923"/>
      <c r="DF88" s="920"/>
      <c r="DG88" s="598"/>
      <c r="DH88" s="950"/>
      <c r="DI88" s="951"/>
      <c r="DJ88" s="951"/>
      <c r="DK88" s="951"/>
      <c r="DL88" s="950"/>
      <c r="DM88" s="951"/>
      <c r="DN88" s="951"/>
      <c r="DO88" s="951"/>
      <c r="DP88" s="930"/>
      <c r="DQ88" s="594"/>
      <c r="DR88" s="1187"/>
      <c r="DS88" s="1186"/>
      <c r="DT88" s="950"/>
      <c r="DU88" s="951"/>
      <c r="DV88" s="951"/>
      <c r="DW88" s="951"/>
      <c r="DX88" s="951"/>
      <c r="DY88" s="951"/>
      <c r="DZ88" s="951"/>
      <c r="EA88" s="951"/>
      <c r="EB88" s="1185"/>
      <c r="EC88" s="951"/>
      <c r="ED88" s="951"/>
      <c r="EE88" s="951"/>
      <c r="EF88" s="951"/>
      <c r="EG88" s="951"/>
      <c r="EH88" s="951"/>
      <c r="EI88" s="951"/>
      <c r="EJ88" s="951"/>
      <c r="EK88" s="951"/>
      <c r="EL88" s="1185"/>
      <c r="EM88" s="951"/>
      <c r="EN88" s="1185"/>
      <c r="EO88" s="951"/>
      <c r="EP88" s="951"/>
      <c r="EQ88" s="951"/>
      <c r="ER88" s="951"/>
      <c r="ES88" s="951"/>
      <c r="ET88" s="950"/>
      <c r="EU88" s="951"/>
      <c r="EV88" s="951"/>
      <c r="EW88" s="951"/>
      <c r="EX88" s="951"/>
      <c r="EY88" s="951"/>
      <c r="EZ88" s="950"/>
      <c r="FA88" s="951"/>
      <c r="FB88" s="951"/>
      <c r="FC88" s="951"/>
      <c r="FD88" s="950"/>
      <c r="FE88" s="951"/>
      <c r="FF88" s="951"/>
      <c r="FG88" s="951"/>
      <c r="FH88" s="951"/>
      <c r="FI88" s="951"/>
      <c r="FJ88" s="951"/>
    </row>
    <row r="89" spans="1:166" s="229" customFormat="1" ht="15" hidden="1" customHeight="1">
      <c r="A89" s="79" t="s">
        <v>960</v>
      </c>
      <c r="B89" s="362">
        <v>245</v>
      </c>
      <c r="C89" s="362"/>
      <c r="D89" s="362">
        <v>101</v>
      </c>
      <c r="E89" s="604" t="s">
        <v>2125</v>
      </c>
      <c r="F89" s="124" t="s">
        <v>2386</v>
      </c>
      <c r="G89" s="125">
        <v>2007</v>
      </c>
      <c r="H89" s="79">
        <v>17254618</v>
      </c>
      <c r="I89" s="79">
        <v>1</v>
      </c>
      <c r="J89" s="126">
        <v>1</v>
      </c>
      <c r="K89" s="127"/>
      <c r="L89" s="79">
        <v>1</v>
      </c>
      <c r="M89" s="79"/>
      <c r="N89" s="79">
        <v>1</v>
      </c>
      <c r="O89" s="128">
        <v>2</v>
      </c>
      <c r="P89" s="79" t="s">
        <v>1609</v>
      </c>
      <c r="Q89" s="79" t="s">
        <v>1216</v>
      </c>
      <c r="R89" s="79" t="s">
        <v>1608</v>
      </c>
      <c r="S89" s="79"/>
      <c r="T89" s="79" t="s">
        <v>1498</v>
      </c>
      <c r="U89" s="79" t="s">
        <v>803</v>
      </c>
      <c r="V89" s="79"/>
      <c r="W89" s="79" t="s">
        <v>1682</v>
      </c>
      <c r="X89" s="79"/>
      <c r="Y89" s="79"/>
      <c r="Z89" s="79"/>
      <c r="AA89" s="79"/>
      <c r="AB89" s="79"/>
      <c r="AC89" s="506" t="s">
        <v>6309</v>
      </c>
      <c r="AD89" s="573">
        <v>1</v>
      </c>
      <c r="AE89" s="573">
        <v>1</v>
      </c>
      <c r="AF89" s="154">
        <v>1</v>
      </c>
      <c r="AG89" s="155" t="s">
        <v>7292</v>
      </c>
      <c r="AH89" s="704">
        <v>0</v>
      </c>
      <c r="AI89" s="121">
        <v>4</v>
      </c>
      <c r="AJ89" s="484"/>
      <c r="AK89" s="202" t="s">
        <v>7107</v>
      </c>
      <c r="AL89" s="192" t="s">
        <v>7111</v>
      </c>
      <c r="AM89" s="203">
        <v>0</v>
      </c>
      <c r="AN89" s="121">
        <f>Table66[[#This Row],[Data_Subjects_n_ptsd]]+Table66[[#This Row],[Data_Subjects_n_control]]</f>
        <v>41</v>
      </c>
      <c r="AO89" s="121">
        <v>21</v>
      </c>
      <c r="AP89" s="121">
        <v>20</v>
      </c>
      <c r="AQ89" s="121" t="s">
        <v>803</v>
      </c>
      <c r="AR89" s="121" t="s">
        <v>803</v>
      </c>
      <c r="AS89" s="121" t="s">
        <v>7104</v>
      </c>
      <c r="AT89" s="121" t="s">
        <v>24</v>
      </c>
      <c r="AU89" s="121" t="s">
        <v>7104</v>
      </c>
      <c r="AV89" s="121" t="s">
        <v>24</v>
      </c>
      <c r="AW89" s="121" t="s">
        <v>7108</v>
      </c>
      <c r="AX89" s="122">
        <v>60</v>
      </c>
      <c r="AY89" s="122">
        <v>0.8</v>
      </c>
      <c r="AZ89" s="754" t="s">
        <v>1814</v>
      </c>
      <c r="BA89" s="121">
        <v>1</v>
      </c>
      <c r="BB89" s="121">
        <v>1</v>
      </c>
      <c r="BC89" s="121" t="s">
        <v>7109</v>
      </c>
      <c r="BD89" s="753" t="s">
        <v>7523</v>
      </c>
      <c r="BE89" s="753"/>
      <c r="BF89" s="121" t="s">
        <v>2912</v>
      </c>
      <c r="BG89" s="121" t="s">
        <v>6653</v>
      </c>
      <c r="BH89" s="594"/>
      <c r="BI89" s="594"/>
      <c r="BJ89" s="156">
        <v>1</v>
      </c>
      <c r="BK89" s="156">
        <v>1</v>
      </c>
      <c r="BL89" s="156"/>
      <c r="BM89" s="156"/>
      <c r="BN89" s="156"/>
      <c r="BO89" s="156"/>
      <c r="BP89" s="156">
        <v>1</v>
      </c>
      <c r="BQ89" s="156"/>
      <c r="BR89" s="156"/>
      <c r="BS89" s="156"/>
      <c r="BT89" s="156"/>
      <c r="BU89" s="156"/>
      <c r="BV89" s="156"/>
      <c r="BW89" s="595" t="s">
        <v>7051</v>
      </c>
      <c r="BX89" s="157" t="s">
        <v>6657</v>
      </c>
      <c r="BY89" s="797" t="s">
        <v>7613</v>
      </c>
      <c r="BZ89" s="789" t="s">
        <v>803</v>
      </c>
      <c r="CA89" s="765">
        <v>1</v>
      </c>
      <c r="CB89" s="765" t="s">
        <v>7556</v>
      </c>
      <c r="CC89" s="765" t="s">
        <v>7384</v>
      </c>
      <c r="CD89" s="134" t="s">
        <v>1876</v>
      </c>
      <c r="CE89" s="134" t="s">
        <v>7106</v>
      </c>
      <c r="CF89" s="400" t="s">
        <v>7581</v>
      </c>
      <c r="CG89" s="664" t="s">
        <v>7110</v>
      </c>
      <c r="CH89" s="763" t="s">
        <v>7310</v>
      </c>
      <c r="CI89" s="134" t="s">
        <v>7105</v>
      </c>
      <c r="CJ89" s="134"/>
      <c r="CK89" s="664" t="s">
        <v>7118</v>
      </c>
      <c r="CL89" s="134" t="s">
        <v>8301</v>
      </c>
      <c r="CM89" s="259" t="s">
        <v>7129</v>
      </c>
      <c r="CN89" s="454" t="s">
        <v>6627</v>
      </c>
      <c r="CO89" s="828">
        <v>82</v>
      </c>
      <c r="CP89" s="828">
        <v>3</v>
      </c>
      <c r="CQ89" s="828">
        <v>4</v>
      </c>
      <c r="CR89" s="828">
        <v>1</v>
      </c>
      <c r="CS89" s="828">
        <v>-1</v>
      </c>
      <c r="CT89" s="967"/>
      <c r="CU89" s="1289" t="s">
        <v>8104</v>
      </c>
      <c r="CV89" s="1295">
        <v>133</v>
      </c>
      <c r="CW89" s="1295">
        <v>122</v>
      </c>
      <c r="CX89" s="138" t="s">
        <v>7040</v>
      </c>
      <c r="CY89" s="134">
        <v>8.8738700000000001</v>
      </c>
      <c r="CZ89" s="134" t="s">
        <v>24</v>
      </c>
      <c r="DA89" s="134">
        <f>10.1351-Table66[[#This Row],[Data_Outcome1_M]]</f>
        <v>1.2612299999999994</v>
      </c>
      <c r="DB89" s="134" t="s">
        <v>7041</v>
      </c>
      <c r="DC89" s="134">
        <v>21.486499999999999</v>
      </c>
      <c r="DD89" s="134" t="s">
        <v>24</v>
      </c>
      <c r="DE89" s="134">
        <f>22.8378-Table66[[#This Row],[Data_Outcome2_M]]</f>
        <v>1.3513000000000019</v>
      </c>
      <c r="DF89" s="294" t="s">
        <v>7043</v>
      </c>
      <c r="DG89" s="873" t="s">
        <v>7125</v>
      </c>
      <c r="DH89" s="1276"/>
      <c r="DI89" s="1171"/>
      <c r="DJ89" s="1169"/>
      <c r="DK89" s="1169"/>
      <c r="DL89" s="121"/>
      <c r="DM89" s="1169"/>
      <c r="DN89" s="1169"/>
      <c r="DO89" s="1169"/>
      <c r="DP89" s="288"/>
      <c r="DQ89" s="289"/>
      <c r="DR89" s="1168"/>
      <c r="DS89" s="865"/>
      <c r="DT89" s="1171"/>
      <c r="DU89" s="1276"/>
      <c r="DV89" s="1169"/>
      <c r="DW89" s="121"/>
      <c r="DX89" s="1169"/>
      <c r="DY89" s="1169"/>
      <c r="DZ89" s="1169"/>
      <c r="EA89" s="1169"/>
      <c r="EB89" s="304"/>
      <c r="EC89" s="312"/>
      <c r="ED89" s="1171"/>
      <c r="EE89" s="1171"/>
      <c r="EF89" s="1169"/>
      <c r="EG89" s="1169"/>
      <c r="EH89" s="121"/>
      <c r="EI89" s="1169"/>
      <c r="EJ89" s="1169"/>
      <c r="EK89" s="1169"/>
      <c r="EL89" s="304"/>
      <c r="EM89" s="312"/>
      <c r="EN89" s="309"/>
      <c r="EO89" s="1170"/>
      <c r="EP89" s="121"/>
      <c r="EQ89" s="121"/>
      <c r="ER89" s="121"/>
      <c r="ES89" s="121"/>
      <c r="ET89" s="1276"/>
      <c r="EU89" s="121"/>
      <c r="EV89" s="121"/>
      <c r="EW89" s="121"/>
      <c r="EX89" s="301"/>
      <c r="EY89" s="301"/>
      <c r="EZ89" s="1171"/>
      <c r="FA89" s="1169"/>
      <c r="FB89" s="1169"/>
      <c r="FC89" s="1169"/>
      <c r="FD89" s="1171"/>
      <c r="FE89" s="1169"/>
      <c r="FF89" s="1169"/>
      <c r="FG89" s="1169"/>
      <c r="FH89" s="312"/>
      <c r="FI89" s="312"/>
      <c r="FJ89" s="1170"/>
    </row>
    <row r="90" spans="1:166" s="229" customFormat="1" ht="15" hidden="1" customHeight="1">
      <c r="A90" s="153" t="s">
        <v>120</v>
      </c>
      <c r="B90" s="618">
        <v>91</v>
      </c>
      <c r="C90" s="618"/>
      <c r="D90" s="618">
        <v>23</v>
      </c>
      <c r="E90" s="610" t="s">
        <v>1939</v>
      </c>
      <c r="F90" s="368" t="s">
        <v>2158</v>
      </c>
      <c r="G90" s="369">
        <v>2016</v>
      </c>
      <c r="H90" s="153">
        <v>27214523</v>
      </c>
      <c r="I90" s="153">
        <v>1</v>
      </c>
      <c r="J90" s="370" t="s">
        <v>1775</v>
      </c>
      <c r="K90" s="371" t="s">
        <v>1760</v>
      </c>
      <c r="L90" s="153">
        <v>1</v>
      </c>
      <c r="M90" s="153"/>
      <c r="N90" s="153">
        <v>0</v>
      </c>
      <c r="O90" s="153">
        <v>1</v>
      </c>
      <c r="P90" s="153" t="s">
        <v>403</v>
      </c>
      <c r="Q90" s="153" t="s">
        <v>1192</v>
      </c>
      <c r="R90" s="153" t="s">
        <v>405</v>
      </c>
      <c r="S90" s="153">
        <v>1</v>
      </c>
      <c r="T90" s="153"/>
      <c r="U90" s="153"/>
      <c r="V90" s="153"/>
      <c r="W90" s="153" t="s">
        <v>406</v>
      </c>
      <c r="X90" s="153" t="s">
        <v>404</v>
      </c>
      <c r="Y90" s="153"/>
      <c r="Z90" s="153"/>
      <c r="AA90" s="153"/>
      <c r="AB90" s="153" t="s">
        <v>407</v>
      </c>
      <c r="AC90" s="536" t="s">
        <v>6190</v>
      </c>
      <c r="AD90" s="536">
        <v>1</v>
      </c>
      <c r="AE90" s="536">
        <v>0</v>
      </c>
      <c r="AF90" s="165">
        <v>0</v>
      </c>
      <c r="AG90" s="166" t="s">
        <v>7227</v>
      </c>
      <c r="AH90" s="509" t="s">
        <v>7266</v>
      </c>
      <c r="AI90" s="120">
        <v>2</v>
      </c>
      <c r="AJ90" s="120"/>
      <c r="AK90" s="206"/>
      <c r="AL90" s="372"/>
      <c r="AM90" s="207"/>
      <c r="AN90" s="120"/>
      <c r="AO90" s="120"/>
      <c r="AP90" s="120"/>
      <c r="AQ90" s="120"/>
      <c r="AR90" s="120"/>
      <c r="AS90" s="120"/>
      <c r="AT90" s="120"/>
      <c r="AU90" s="120"/>
      <c r="AV90" s="120"/>
      <c r="AW90" s="120"/>
      <c r="AX90" s="120"/>
      <c r="AY90" s="120"/>
      <c r="AZ90" s="755"/>
      <c r="BA90" s="120"/>
      <c r="BB90" s="120"/>
      <c r="BC90" s="120"/>
      <c r="BD90" s="755"/>
      <c r="BE90" s="755"/>
      <c r="BF90" s="120"/>
      <c r="BG90" s="120"/>
      <c r="BH90" s="377"/>
      <c r="BI90" s="377"/>
      <c r="BJ90" s="373"/>
      <c r="BK90" s="373"/>
      <c r="BL90" s="373" t="s">
        <v>5207</v>
      </c>
      <c r="BM90" s="373" t="s">
        <v>6175</v>
      </c>
      <c r="BN90" s="373"/>
      <c r="BO90" s="373"/>
      <c r="BP90" s="373"/>
      <c r="BQ90" s="373"/>
      <c r="BR90" s="373"/>
      <c r="BS90" s="373"/>
      <c r="BT90" s="373"/>
      <c r="BU90" s="373"/>
      <c r="BV90" s="373"/>
      <c r="BW90" s="599"/>
      <c r="BX90" s="374"/>
      <c r="BY90" s="374"/>
      <c r="BZ90" s="374"/>
      <c r="CA90" s="510"/>
      <c r="CB90" s="510"/>
      <c r="CC90" s="510"/>
      <c r="CD90" s="120"/>
      <c r="CE90" s="120"/>
      <c r="CF90" s="120"/>
      <c r="CG90" s="120"/>
      <c r="CH90" s="755"/>
      <c r="CI90" s="120"/>
      <c r="CJ90" s="120"/>
      <c r="CK90" s="120"/>
      <c r="CL90" s="120"/>
      <c r="CM90" s="375"/>
      <c r="CN90" s="380"/>
      <c r="CO90" s="380"/>
      <c r="CP90" s="380"/>
      <c r="CQ90" s="380"/>
      <c r="CR90" s="380"/>
      <c r="CS90" s="380"/>
      <c r="CT90" s="380"/>
      <c r="CU90" s="380"/>
      <c r="CV90" s="380"/>
      <c r="CW90" s="380"/>
      <c r="CX90" s="376"/>
      <c r="CY90" s="120"/>
      <c r="CZ90" s="120"/>
      <c r="DA90" s="120"/>
      <c r="DB90" s="376"/>
      <c r="DC90" s="120"/>
      <c r="DD90" s="120"/>
      <c r="DE90" s="120"/>
      <c r="DF90" s="515"/>
      <c r="DG90" s="513"/>
      <c r="DH90" s="376"/>
      <c r="DI90" s="384"/>
      <c r="DJ90" s="384"/>
      <c r="DK90" s="384"/>
      <c r="DL90" s="727"/>
      <c r="DM90" s="384"/>
      <c r="DN90" s="384"/>
      <c r="DO90" s="384"/>
      <c r="DP90" s="375"/>
      <c r="DQ90" s="377"/>
      <c r="DR90" s="1182"/>
      <c r="DS90" s="956"/>
      <c r="DT90" s="727"/>
      <c r="DU90" s="384"/>
      <c r="DV90" s="384"/>
      <c r="DW90" s="384"/>
      <c r="DX90" s="384"/>
      <c r="DY90" s="384"/>
      <c r="DZ90" s="384"/>
      <c r="EA90" s="384"/>
      <c r="EB90" s="380"/>
      <c r="EC90" s="120"/>
      <c r="ED90" s="384"/>
      <c r="EE90" s="384"/>
      <c r="EF90" s="384"/>
      <c r="EG90" s="384"/>
      <c r="EH90" s="384"/>
      <c r="EI90" s="384"/>
      <c r="EJ90" s="384"/>
      <c r="EK90" s="384"/>
      <c r="EL90" s="380"/>
      <c r="EM90" s="120"/>
      <c r="EN90" s="1012"/>
      <c r="EO90" s="384"/>
      <c r="EP90" s="384"/>
      <c r="EQ90" s="384"/>
      <c r="ER90" s="384"/>
      <c r="ES90" s="384"/>
      <c r="ET90" s="727"/>
      <c r="EU90" s="384"/>
      <c r="EV90" s="384"/>
      <c r="EW90" s="384"/>
      <c r="EX90" s="384"/>
      <c r="EY90" s="384"/>
      <c r="EZ90" s="727"/>
      <c r="FA90" s="384"/>
      <c r="FB90" s="384"/>
      <c r="FC90" s="384"/>
      <c r="FD90" s="727"/>
      <c r="FE90" s="384"/>
      <c r="FF90" s="384"/>
      <c r="FG90" s="384"/>
      <c r="FH90" s="384"/>
      <c r="FI90" s="384"/>
      <c r="FJ90" s="384"/>
    </row>
    <row r="91" spans="1:166" s="229" customFormat="1" ht="15" customHeight="1">
      <c r="A91" s="118" t="s">
        <v>152</v>
      </c>
      <c r="B91" s="614">
        <v>3</v>
      </c>
      <c r="C91" s="614"/>
      <c r="D91" s="614"/>
      <c r="E91" s="605" t="s">
        <v>1955</v>
      </c>
      <c r="F91" s="140" t="s">
        <v>2176</v>
      </c>
      <c r="G91" s="141">
        <v>1999</v>
      </c>
      <c r="H91" s="118">
        <v>10066999</v>
      </c>
      <c r="I91" s="118">
        <v>1</v>
      </c>
      <c r="J91" s="118"/>
      <c r="K91" s="118"/>
      <c r="L91" s="118">
        <v>1</v>
      </c>
      <c r="M91" s="118"/>
      <c r="N91" s="118">
        <v>1</v>
      </c>
      <c r="O91" s="142">
        <v>1</v>
      </c>
      <c r="P91" s="118" t="s">
        <v>11</v>
      </c>
      <c r="Q91" s="118" t="s">
        <v>1162</v>
      </c>
      <c r="R91" s="118" t="s">
        <v>25</v>
      </c>
      <c r="S91" s="118">
        <v>1</v>
      </c>
      <c r="T91" s="118"/>
      <c r="U91" s="118"/>
      <c r="V91" s="118"/>
      <c r="W91" s="118" t="s">
        <v>11</v>
      </c>
      <c r="X91" s="118" t="s">
        <v>24</v>
      </c>
      <c r="Y91" s="118" t="s">
        <v>13</v>
      </c>
      <c r="Z91" s="118"/>
      <c r="AA91" s="118"/>
      <c r="AB91" s="118"/>
      <c r="AC91" s="145"/>
      <c r="AD91" s="573">
        <v>1</v>
      </c>
      <c r="AE91" s="573">
        <v>2</v>
      </c>
      <c r="AF91" s="143">
        <v>1</v>
      </c>
      <c r="AG91" s="144" t="s">
        <v>24</v>
      </c>
      <c r="AH91" s="771" t="s">
        <v>7464</v>
      </c>
      <c r="AI91" s="145">
        <v>2</v>
      </c>
      <c r="AJ91" s="488"/>
      <c r="AK91" s="200"/>
      <c r="AL91" s="192">
        <v>1</v>
      </c>
      <c r="AM91" s="201">
        <v>0</v>
      </c>
      <c r="AN91" s="145">
        <v>24</v>
      </c>
      <c r="AO91" s="145">
        <v>12</v>
      </c>
      <c r="AP91" s="146">
        <v>12</v>
      </c>
      <c r="AQ91" s="146" t="s">
        <v>803</v>
      </c>
      <c r="AR91" s="146" t="s">
        <v>803</v>
      </c>
      <c r="AS91" s="253">
        <v>33.6</v>
      </c>
      <c r="AT91" s="253">
        <v>6.2</v>
      </c>
      <c r="AU91" s="465">
        <v>38.4</v>
      </c>
      <c r="AV91" s="253">
        <v>11.7</v>
      </c>
      <c r="AW91" s="253" t="s">
        <v>1874</v>
      </c>
      <c r="AX91" s="146"/>
      <c r="AY91" s="146"/>
      <c r="AZ91" s="756" t="s">
        <v>1874</v>
      </c>
      <c r="BA91" s="146" t="s">
        <v>24</v>
      </c>
      <c r="BB91" s="146" t="s">
        <v>24</v>
      </c>
      <c r="BC91" s="146" t="s">
        <v>2423</v>
      </c>
      <c r="BD91" s="756" t="s">
        <v>7521</v>
      </c>
      <c r="BE91" s="187">
        <v>0</v>
      </c>
      <c r="BF91" s="146" t="s">
        <v>2605</v>
      </c>
      <c r="BG91" s="146" t="s">
        <v>1875</v>
      </c>
      <c r="BH91" s="592"/>
      <c r="BI91" s="592"/>
      <c r="BJ91" s="147">
        <v>1</v>
      </c>
      <c r="BK91" s="147"/>
      <c r="BL91" s="147"/>
      <c r="BM91" s="147"/>
      <c r="BN91" s="147"/>
      <c r="BO91" s="147"/>
      <c r="BP91" s="147"/>
      <c r="BQ91" s="147"/>
      <c r="BR91" s="147"/>
      <c r="BS91" s="147"/>
      <c r="BT91" s="147"/>
      <c r="BU91" s="147"/>
      <c r="BV91" s="147"/>
      <c r="BW91" s="593" t="s">
        <v>7801</v>
      </c>
      <c r="BX91" s="148" t="s">
        <v>6597</v>
      </c>
      <c r="BY91" s="796" t="s">
        <v>7615</v>
      </c>
      <c r="BZ91" s="793" t="s">
        <v>7609</v>
      </c>
      <c r="CA91" s="783">
        <v>4</v>
      </c>
      <c r="CB91" s="765" t="s">
        <v>7556</v>
      </c>
      <c r="CC91" s="783" t="s">
        <v>7380</v>
      </c>
      <c r="CD91" s="465" t="s">
        <v>1876</v>
      </c>
      <c r="CE91" s="253">
        <v>2</v>
      </c>
      <c r="CF91" s="785"/>
      <c r="CG91" s="636" t="s">
        <v>7463</v>
      </c>
      <c r="CH91" s="760" t="s">
        <v>1488</v>
      </c>
      <c r="CI91" s="253" t="s">
        <v>24</v>
      </c>
      <c r="CJ91" s="253">
        <v>1</v>
      </c>
      <c r="CK91" s="150" t="s">
        <v>8275</v>
      </c>
      <c r="CL91" s="150" t="s">
        <v>6638</v>
      </c>
      <c r="CM91" s="258" t="s">
        <v>2532</v>
      </c>
      <c r="CN91" s="257">
        <v>0</v>
      </c>
      <c r="CO91" s="829">
        <v>24</v>
      </c>
      <c r="CP91" s="829">
        <v>1</v>
      </c>
      <c r="CQ91" s="829">
        <v>2</v>
      </c>
      <c r="CR91" s="829">
        <v>1</v>
      </c>
      <c r="CS91" s="829">
        <v>-1</v>
      </c>
      <c r="CT91" s="968" t="s">
        <v>7837</v>
      </c>
      <c r="CU91" s="1288" t="s">
        <v>8103</v>
      </c>
      <c r="CV91" s="1294">
        <v>13</v>
      </c>
      <c r="CW91" s="1294">
        <v>12</v>
      </c>
      <c r="CX91" s="151" t="s">
        <v>2455</v>
      </c>
      <c r="CY91" s="266">
        <f>AVERAGE(243.01,198.31,196.28)</f>
        <v>212.53333333333333</v>
      </c>
      <c r="CZ91" s="150">
        <f>STDEV(243.01,198.31,196.28)</f>
        <v>26.41307693801194</v>
      </c>
      <c r="DA91" s="266" t="s">
        <v>24</v>
      </c>
      <c r="DB91" s="151" t="s">
        <v>2454</v>
      </c>
      <c r="DC91" s="150">
        <f>AVERAGE(153.23897, 157.82425, 154.38579)</f>
        <v>155.14966999999999</v>
      </c>
      <c r="DD91" s="150">
        <f>STDEV(153.23897, 157.82425, 154.38579)</f>
        <v>2.3861753205496106</v>
      </c>
      <c r="DE91" s="150" t="s">
        <v>24</v>
      </c>
      <c r="DF91" s="294"/>
      <c r="DG91" s="295"/>
      <c r="DH91" s="1178"/>
      <c r="DI91" s="500"/>
      <c r="DJ91" s="1164"/>
      <c r="DK91" s="500"/>
      <c r="DL91" s="1166"/>
      <c r="DM91" s="500"/>
      <c r="DN91" s="1164"/>
      <c r="DO91" s="1150"/>
      <c r="DP91" s="290"/>
      <c r="DQ91" s="291"/>
      <c r="DR91" s="280"/>
      <c r="DS91" s="865"/>
      <c r="DT91" s="1166"/>
      <c r="DU91" s="500"/>
      <c r="DV91" s="1164"/>
      <c r="DW91" s="500"/>
      <c r="DX91" s="1166"/>
      <c r="DY91" s="500"/>
      <c r="DZ91" s="1164"/>
      <c r="EA91" s="500"/>
      <c r="EB91" s="311"/>
      <c r="EC91" s="313"/>
      <c r="ED91" s="1166"/>
      <c r="EE91" s="500"/>
      <c r="EF91" s="1164"/>
      <c r="EG91" s="500"/>
      <c r="EH91" s="1166"/>
      <c r="EI91" s="500"/>
      <c r="EJ91" s="1164"/>
      <c r="EK91" s="500"/>
      <c r="EL91" s="311"/>
      <c r="EM91" s="313"/>
      <c r="EN91" s="446"/>
      <c r="EO91" s="1729"/>
      <c r="EP91" s="500"/>
      <c r="EQ91" s="500"/>
      <c r="ER91" s="500"/>
      <c r="ES91" s="500"/>
      <c r="ET91" s="1153"/>
      <c r="EU91" s="500"/>
      <c r="EV91" s="500"/>
      <c r="EW91" s="500"/>
      <c r="EX91" s="665"/>
      <c r="EY91" s="665"/>
      <c r="EZ91" s="1153"/>
      <c r="FA91" s="500"/>
      <c r="FB91" s="1164"/>
      <c r="FC91" s="1164"/>
      <c r="FD91" s="1166"/>
      <c r="FE91" s="1164"/>
      <c r="FF91" s="1164"/>
      <c r="FG91" s="1164"/>
      <c r="FH91" s="313"/>
      <c r="FI91" s="665"/>
      <c r="FJ91" s="1165"/>
    </row>
    <row r="92" spans="1:166" s="229" customFormat="1" ht="15" customHeight="1">
      <c r="A92" s="79" t="s">
        <v>218</v>
      </c>
      <c r="B92" s="614">
        <v>26</v>
      </c>
      <c r="C92" s="614"/>
      <c r="D92" s="614"/>
      <c r="E92" s="604" t="s">
        <v>1985</v>
      </c>
      <c r="F92" s="124" t="s">
        <v>2210</v>
      </c>
      <c r="G92" s="125">
        <v>2014</v>
      </c>
      <c r="H92" s="79">
        <v>24625622</v>
      </c>
      <c r="I92" s="79">
        <v>1</v>
      </c>
      <c r="J92" s="126"/>
      <c r="K92" s="127"/>
      <c r="L92" s="79">
        <v>1</v>
      </c>
      <c r="M92" s="79"/>
      <c r="N92" s="79">
        <v>1</v>
      </c>
      <c r="O92" s="128">
        <v>1</v>
      </c>
      <c r="P92" s="79" t="s">
        <v>614</v>
      </c>
      <c r="Q92" s="79" t="s">
        <v>1142</v>
      </c>
      <c r="R92" s="79" t="s">
        <v>615</v>
      </c>
      <c r="S92" s="79">
        <v>1</v>
      </c>
      <c r="T92" s="79"/>
      <c r="U92" s="79"/>
      <c r="V92" s="79"/>
      <c r="W92" s="79" t="s">
        <v>11</v>
      </c>
      <c r="X92" s="79"/>
      <c r="Y92" s="79" t="s">
        <v>13</v>
      </c>
      <c r="Z92" s="79"/>
      <c r="AA92" s="79"/>
      <c r="AB92" s="79"/>
      <c r="AC92" s="506"/>
      <c r="AD92" s="573">
        <v>1</v>
      </c>
      <c r="AE92" s="573">
        <v>2</v>
      </c>
      <c r="AF92" s="154">
        <v>1</v>
      </c>
      <c r="AG92" s="155"/>
      <c r="AH92" s="704"/>
      <c r="AI92" s="121">
        <v>1</v>
      </c>
      <c r="AJ92" s="484"/>
      <c r="AK92" s="202"/>
      <c r="AL92" s="192">
        <v>0</v>
      </c>
      <c r="AM92" s="203">
        <v>0</v>
      </c>
      <c r="AN92" s="121">
        <f>Table66[[#This Row],[Data_Subjects_n_ptsd]]+Table66[[#This Row],[Data_Subjects_n_control]]</f>
        <v>50</v>
      </c>
      <c r="AO92" s="121">
        <v>25</v>
      </c>
      <c r="AP92" s="121">
        <v>25</v>
      </c>
      <c r="AQ92" s="121" t="s">
        <v>3101</v>
      </c>
      <c r="AR92" s="121" t="s">
        <v>3102</v>
      </c>
      <c r="AS92" s="121">
        <v>37.299999999999997</v>
      </c>
      <c r="AT92" s="121" t="s">
        <v>3103</v>
      </c>
      <c r="AU92" s="121">
        <v>37.6</v>
      </c>
      <c r="AV92" s="121" t="s">
        <v>3104</v>
      </c>
      <c r="AW92" s="121" t="s">
        <v>1874</v>
      </c>
      <c r="AX92" s="121"/>
      <c r="AY92" s="121"/>
      <c r="AZ92" s="754" t="s">
        <v>1874</v>
      </c>
      <c r="BA92" s="121" t="s">
        <v>24</v>
      </c>
      <c r="BB92" s="121" t="s">
        <v>24</v>
      </c>
      <c r="BC92" s="121" t="s">
        <v>2423</v>
      </c>
      <c r="BD92" s="754" t="s">
        <v>7521</v>
      </c>
      <c r="BE92" s="1624">
        <v>0</v>
      </c>
      <c r="BF92" s="121" t="s">
        <v>2605</v>
      </c>
      <c r="BG92" s="121" t="s">
        <v>1875</v>
      </c>
      <c r="BH92" s="594"/>
      <c r="BI92" s="594"/>
      <c r="BJ92" s="156">
        <v>1</v>
      </c>
      <c r="BK92" s="156"/>
      <c r="BL92" s="156"/>
      <c r="BM92" s="156"/>
      <c r="BN92" s="156"/>
      <c r="BO92" s="156"/>
      <c r="BP92" s="156"/>
      <c r="BQ92" s="156"/>
      <c r="BR92" s="156"/>
      <c r="BS92" s="156"/>
      <c r="BT92" s="156"/>
      <c r="BU92" s="156"/>
      <c r="BV92" s="156"/>
      <c r="BW92" s="595" t="s">
        <v>3107</v>
      </c>
      <c r="BX92" s="157" t="s">
        <v>6597</v>
      </c>
      <c r="BY92" s="797" t="s">
        <v>7615</v>
      </c>
      <c r="BZ92" s="789" t="s">
        <v>7609</v>
      </c>
      <c r="CA92" s="765">
        <v>4</v>
      </c>
      <c r="CB92" s="765" t="s">
        <v>7556</v>
      </c>
      <c r="CC92" s="765" t="s">
        <v>7380</v>
      </c>
      <c r="CD92" s="134" t="s">
        <v>1876</v>
      </c>
      <c r="CE92" s="134" t="s">
        <v>3105</v>
      </c>
      <c r="CF92" s="400"/>
      <c r="CG92" s="134" t="s">
        <v>7933</v>
      </c>
      <c r="CH92" s="753" t="s">
        <v>1488</v>
      </c>
      <c r="CI92" s="134" t="s">
        <v>24</v>
      </c>
      <c r="CJ92" s="134"/>
      <c r="CK92" s="134" t="s">
        <v>7932</v>
      </c>
      <c r="CL92" s="134" t="s">
        <v>6638</v>
      </c>
      <c r="CM92" s="259" t="s">
        <v>3122</v>
      </c>
      <c r="CN92" s="454" t="s">
        <v>23</v>
      </c>
      <c r="CO92" s="828">
        <v>47</v>
      </c>
      <c r="CP92" s="828">
        <v>1</v>
      </c>
      <c r="CQ92" s="828">
        <v>2</v>
      </c>
      <c r="CR92" s="828">
        <v>1</v>
      </c>
      <c r="CS92" s="828">
        <v>1</v>
      </c>
      <c r="CT92" s="967"/>
      <c r="CU92" s="1288" t="s">
        <v>8103</v>
      </c>
      <c r="CV92" s="1294">
        <v>6</v>
      </c>
      <c r="CW92" s="1294">
        <v>3</v>
      </c>
      <c r="CX92" s="138" t="s">
        <v>7927</v>
      </c>
      <c r="CY92" s="134">
        <v>44</v>
      </c>
      <c r="CZ92" s="134" t="s">
        <v>24</v>
      </c>
      <c r="DA92" s="134">
        <v>4.78</v>
      </c>
      <c r="DB92" s="138" t="s">
        <v>7929</v>
      </c>
      <c r="DC92" s="134">
        <v>38.67</v>
      </c>
      <c r="DD92" s="134"/>
      <c r="DE92" s="134">
        <v>4.1100000000000003</v>
      </c>
      <c r="DF92" s="288" t="s">
        <v>7920</v>
      </c>
      <c r="DG92" s="289" t="s">
        <v>2480</v>
      </c>
      <c r="DH92" s="1175"/>
      <c r="DI92" s="417"/>
      <c r="DJ92" s="1169"/>
      <c r="DK92" s="417"/>
      <c r="DL92" s="1171"/>
      <c r="DM92" s="121"/>
      <c r="DN92" s="1169"/>
      <c r="DO92" s="1151"/>
      <c r="DP92" s="288"/>
      <c r="DQ92" s="441"/>
      <c r="DR92" s="864"/>
      <c r="DS92" s="865"/>
      <c r="DT92" s="1171"/>
      <c r="DU92" s="417"/>
      <c r="DV92" s="1169"/>
      <c r="DW92" s="121"/>
      <c r="DX92" s="1171"/>
      <c r="DY92" s="417"/>
      <c r="DZ92" s="1169"/>
      <c r="EA92" s="417"/>
      <c r="EB92" s="304"/>
      <c r="EC92" s="312"/>
      <c r="ED92" s="1171"/>
      <c r="EE92" s="417"/>
      <c r="EF92" s="1169"/>
      <c r="EG92" s="417"/>
      <c r="EH92" s="1171"/>
      <c r="EI92" s="417"/>
      <c r="EJ92" s="1169"/>
      <c r="EK92" s="417"/>
      <c r="EL92" s="304"/>
      <c r="EM92" s="312"/>
      <c r="EN92" s="317"/>
      <c r="EO92" s="318"/>
      <c r="EP92" s="417"/>
      <c r="EQ92" s="417"/>
      <c r="ER92" s="417"/>
      <c r="ES92" s="417"/>
      <c r="ET92" s="1155"/>
      <c r="EU92" s="417"/>
      <c r="EV92" s="417"/>
      <c r="EW92" s="417"/>
      <c r="EX92" s="469"/>
      <c r="EY92" s="469"/>
      <c r="EZ92" s="1155"/>
      <c r="FA92" s="417"/>
      <c r="FB92" s="1169"/>
      <c r="FC92" s="1169"/>
      <c r="FD92" s="1171"/>
      <c r="FE92" s="1169"/>
      <c r="FF92" s="1169"/>
      <c r="FG92" s="1169"/>
      <c r="FH92" s="312"/>
      <c r="FI92" s="469"/>
      <c r="FJ92" s="1170"/>
    </row>
    <row r="93" spans="1:166" s="229" customFormat="1" ht="15" customHeight="1">
      <c r="A93" s="79" t="s">
        <v>218</v>
      </c>
      <c r="B93" s="614">
        <v>26</v>
      </c>
      <c r="C93" s="614"/>
      <c r="D93" s="614"/>
      <c r="E93" s="604" t="s">
        <v>1985</v>
      </c>
      <c r="F93" s="124" t="s">
        <v>2210</v>
      </c>
      <c r="G93" s="125">
        <v>2014</v>
      </c>
      <c r="H93" s="79">
        <v>24625622</v>
      </c>
      <c r="I93" s="79">
        <v>1</v>
      </c>
      <c r="J93" s="126"/>
      <c r="K93" s="127"/>
      <c r="L93" s="79">
        <v>1</v>
      </c>
      <c r="M93" s="79"/>
      <c r="N93" s="79">
        <v>1</v>
      </c>
      <c r="O93" s="128">
        <v>1</v>
      </c>
      <c r="P93" s="79" t="s">
        <v>614</v>
      </c>
      <c r="Q93" s="79" t="s">
        <v>1142</v>
      </c>
      <c r="R93" s="79" t="s">
        <v>615</v>
      </c>
      <c r="S93" s="79">
        <v>1</v>
      </c>
      <c r="T93" s="79"/>
      <c r="U93" s="79"/>
      <c r="V93" s="79"/>
      <c r="W93" s="79" t="s">
        <v>11</v>
      </c>
      <c r="X93" s="79"/>
      <c r="Y93" s="79" t="s">
        <v>13</v>
      </c>
      <c r="Z93" s="79"/>
      <c r="AA93" s="79"/>
      <c r="AB93" s="79"/>
      <c r="AC93" s="506"/>
      <c r="AD93" s="573">
        <v>1</v>
      </c>
      <c r="AE93" s="573">
        <v>2</v>
      </c>
      <c r="AF93" s="154">
        <v>1</v>
      </c>
      <c r="AG93" s="155"/>
      <c r="AH93" s="704"/>
      <c r="AI93" s="121">
        <v>1</v>
      </c>
      <c r="AJ93" s="484"/>
      <c r="AK93" s="202"/>
      <c r="AL93" s="192">
        <v>0</v>
      </c>
      <c r="AM93" s="203">
        <v>0</v>
      </c>
      <c r="AN93" s="121">
        <f>Table66[[#This Row],[Data_Subjects_n_ptsd]]+Table66[[#This Row],[Data_Subjects_n_control]]</f>
        <v>50</v>
      </c>
      <c r="AO93" s="121">
        <v>25</v>
      </c>
      <c r="AP93" s="121">
        <v>25</v>
      </c>
      <c r="AQ93" s="121" t="s">
        <v>3101</v>
      </c>
      <c r="AR93" s="121" t="s">
        <v>3102</v>
      </c>
      <c r="AS93" s="121">
        <v>37.299999999999997</v>
      </c>
      <c r="AT93" s="121" t="s">
        <v>3103</v>
      </c>
      <c r="AU93" s="121">
        <v>37.6</v>
      </c>
      <c r="AV93" s="121" t="s">
        <v>3104</v>
      </c>
      <c r="AW93" s="121" t="s">
        <v>1874</v>
      </c>
      <c r="AX93" s="121"/>
      <c r="AY93" s="121"/>
      <c r="AZ93" s="754" t="s">
        <v>1874</v>
      </c>
      <c r="BA93" s="121" t="s">
        <v>24</v>
      </c>
      <c r="BB93" s="121" t="s">
        <v>24</v>
      </c>
      <c r="BC93" s="121" t="s">
        <v>2423</v>
      </c>
      <c r="BD93" s="754" t="s">
        <v>7521</v>
      </c>
      <c r="BE93" s="1624">
        <v>0</v>
      </c>
      <c r="BF93" s="121" t="s">
        <v>2605</v>
      </c>
      <c r="BG93" s="121" t="s">
        <v>1875</v>
      </c>
      <c r="BH93" s="594"/>
      <c r="BI93" s="594"/>
      <c r="BJ93" s="156">
        <v>1</v>
      </c>
      <c r="BK93" s="156"/>
      <c r="BL93" s="156"/>
      <c r="BM93" s="156"/>
      <c r="BN93" s="156"/>
      <c r="BO93" s="156"/>
      <c r="BP93" s="156"/>
      <c r="BQ93" s="156"/>
      <c r="BR93" s="156"/>
      <c r="BS93" s="156"/>
      <c r="BT93" s="156"/>
      <c r="BU93" s="156"/>
      <c r="BV93" s="156"/>
      <c r="BW93" s="595" t="s">
        <v>3107</v>
      </c>
      <c r="BX93" s="157" t="s">
        <v>6597</v>
      </c>
      <c r="BY93" s="797" t="s">
        <v>7615</v>
      </c>
      <c r="BZ93" s="789" t="s">
        <v>7609</v>
      </c>
      <c r="CA93" s="765">
        <v>4</v>
      </c>
      <c r="CB93" s="765" t="s">
        <v>7556</v>
      </c>
      <c r="CC93" s="765" t="s">
        <v>7380</v>
      </c>
      <c r="CD93" s="134" t="s">
        <v>1876</v>
      </c>
      <c r="CE93" s="134" t="s">
        <v>3105</v>
      </c>
      <c r="CF93" s="400"/>
      <c r="CG93" s="134" t="s">
        <v>7934</v>
      </c>
      <c r="CH93" s="753" t="s">
        <v>1488</v>
      </c>
      <c r="CI93" s="134" t="s">
        <v>24</v>
      </c>
      <c r="CJ93" s="134"/>
      <c r="CK93" s="134" t="s">
        <v>7932</v>
      </c>
      <c r="CL93" s="134" t="s">
        <v>6638</v>
      </c>
      <c r="CM93" s="259" t="s">
        <v>3122</v>
      </c>
      <c r="CN93" s="454" t="s">
        <v>23</v>
      </c>
      <c r="CO93" s="828">
        <v>47</v>
      </c>
      <c r="CP93" s="828">
        <v>1</v>
      </c>
      <c r="CQ93" s="828">
        <v>4</v>
      </c>
      <c r="CR93" s="828">
        <v>1</v>
      </c>
      <c r="CS93" s="828">
        <v>1</v>
      </c>
      <c r="CT93" s="967"/>
      <c r="CU93" s="1288" t="s">
        <v>8103</v>
      </c>
      <c r="CV93" s="1294">
        <v>6</v>
      </c>
      <c r="CW93" s="1294">
        <v>3</v>
      </c>
      <c r="CX93" s="138" t="s">
        <v>7928</v>
      </c>
      <c r="CY93" s="134">
        <v>33.33</v>
      </c>
      <c r="CZ93" s="134" t="s">
        <v>24</v>
      </c>
      <c r="DA93" s="134">
        <v>3.95</v>
      </c>
      <c r="DB93" s="138" t="s">
        <v>7930</v>
      </c>
      <c r="DC93" s="134">
        <v>37.78</v>
      </c>
      <c r="DD93" s="134" t="s">
        <v>24</v>
      </c>
      <c r="DE93" s="134">
        <v>5.52</v>
      </c>
      <c r="DF93" s="434" t="s">
        <v>7922</v>
      </c>
      <c r="DG93" s="436" t="s">
        <v>2415</v>
      </c>
      <c r="DH93" s="1171"/>
      <c r="DI93" s="417"/>
      <c r="DJ93" s="1169"/>
      <c r="DK93" s="417"/>
      <c r="DL93" s="1171"/>
      <c r="DM93" s="1169"/>
      <c r="DN93" s="1169"/>
      <c r="DO93" s="1169"/>
      <c r="DP93" s="435"/>
      <c r="DQ93" s="437"/>
      <c r="DR93" s="1168"/>
      <c r="DS93" s="865"/>
      <c r="DT93" s="1171"/>
      <c r="DU93" s="1169"/>
      <c r="DV93" s="1169"/>
      <c r="DW93" s="1169"/>
      <c r="DX93" s="1171"/>
      <c r="DY93" s="417"/>
      <c r="DZ93" s="1169"/>
      <c r="EA93" s="417"/>
      <c r="EB93" s="304"/>
      <c r="EC93" s="312"/>
      <c r="ED93" s="1171"/>
      <c r="EE93" s="417"/>
      <c r="EF93" s="1169"/>
      <c r="EG93" s="417"/>
      <c r="EH93" s="1171"/>
      <c r="EI93" s="417"/>
      <c r="EJ93" s="1169"/>
      <c r="EK93" s="417"/>
      <c r="EL93" s="304"/>
      <c r="EM93" s="312"/>
      <c r="EN93" s="317"/>
      <c r="EO93" s="318"/>
      <c r="EP93" s="417"/>
      <c r="EQ93" s="417"/>
      <c r="ER93" s="417"/>
      <c r="ES93" s="417"/>
      <c r="ET93" s="1155"/>
      <c r="EU93" s="417"/>
      <c r="EV93" s="417"/>
      <c r="EW93" s="417"/>
      <c r="EX93" s="469"/>
      <c r="EY93" s="469"/>
      <c r="EZ93" s="1155"/>
      <c r="FA93" s="417"/>
      <c r="FB93" s="1169"/>
      <c r="FC93" s="1169"/>
      <c r="FD93" s="1171"/>
      <c r="FE93" s="1169"/>
      <c r="FF93" s="1169"/>
      <c r="FG93" s="1169"/>
      <c r="FH93" s="312"/>
      <c r="FI93" s="469"/>
      <c r="FJ93" s="1170"/>
    </row>
    <row r="94" spans="1:166" s="229" customFormat="1" ht="15" customHeight="1">
      <c r="A94" s="118" t="s">
        <v>225</v>
      </c>
      <c r="B94" s="614">
        <v>28</v>
      </c>
      <c r="C94" s="614"/>
      <c r="D94" s="614"/>
      <c r="E94" s="605" t="s">
        <v>1987</v>
      </c>
      <c r="F94" s="140" t="s">
        <v>2213</v>
      </c>
      <c r="G94" s="141">
        <v>2008</v>
      </c>
      <c r="H94" s="118">
        <v>18313695</v>
      </c>
      <c r="I94" s="118">
        <v>1</v>
      </c>
      <c r="J94" s="118"/>
      <c r="K94" s="118"/>
      <c r="L94" s="118">
        <v>1</v>
      </c>
      <c r="M94" s="118"/>
      <c r="N94" s="118">
        <v>1</v>
      </c>
      <c r="O94" s="142">
        <v>1</v>
      </c>
      <c r="P94" s="118" t="s">
        <v>627</v>
      </c>
      <c r="Q94" s="118" t="s">
        <v>1142</v>
      </c>
      <c r="R94" s="118" t="s">
        <v>628</v>
      </c>
      <c r="S94" s="118">
        <v>1</v>
      </c>
      <c r="T94" s="118"/>
      <c r="U94" s="118"/>
      <c r="V94" s="118"/>
      <c r="W94" s="118" t="s">
        <v>629</v>
      </c>
      <c r="X94" s="118" t="s">
        <v>24</v>
      </c>
      <c r="Y94" s="118" t="s">
        <v>630</v>
      </c>
      <c r="Z94" s="118"/>
      <c r="AA94" s="118"/>
      <c r="AB94" s="118" t="s">
        <v>631</v>
      </c>
      <c r="AC94" s="145"/>
      <c r="AD94" s="573">
        <v>1</v>
      </c>
      <c r="AE94" s="573">
        <v>2</v>
      </c>
      <c r="AF94" s="159">
        <v>1</v>
      </c>
      <c r="AG94" s="160" t="s">
        <v>7949</v>
      </c>
      <c r="AH94" s="704" t="s">
        <v>7953</v>
      </c>
      <c r="AI94" s="122">
        <v>0</v>
      </c>
      <c r="AJ94" s="485"/>
      <c r="AK94" s="204"/>
      <c r="AL94" s="192">
        <v>1</v>
      </c>
      <c r="AM94" s="205">
        <v>0</v>
      </c>
      <c r="AN94" s="122">
        <f>Table66[[#This Row],[Data_Subjects_n_ptsd]]+Table66[[#This Row],[Data_Subjects_n_control]]</f>
        <v>21</v>
      </c>
      <c r="AO94" s="122">
        <f>7</f>
        <v>7</v>
      </c>
      <c r="AP94" s="122">
        <v>14</v>
      </c>
      <c r="AQ94" s="122" t="s">
        <v>803</v>
      </c>
      <c r="AR94" s="150" t="s">
        <v>803</v>
      </c>
      <c r="AS94" s="150">
        <v>58.1</v>
      </c>
      <c r="AT94" s="150">
        <v>2.8</v>
      </c>
      <c r="AU94" s="150">
        <v>58.1</v>
      </c>
      <c r="AV94" s="150">
        <v>2.8</v>
      </c>
      <c r="AW94" s="150" t="s">
        <v>1874</v>
      </c>
      <c r="AX94" s="122"/>
      <c r="AY94" s="122"/>
      <c r="AZ94" s="754" t="s">
        <v>1874</v>
      </c>
      <c r="BA94" s="122" t="s">
        <v>24</v>
      </c>
      <c r="BB94" s="122" t="s">
        <v>24</v>
      </c>
      <c r="BC94" s="122" t="s">
        <v>7950</v>
      </c>
      <c r="BD94" s="754" t="s">
        <v>7952</v>
      </c>
      <c r="BE94" s="187">
        <v>1</v>
      </c>
      <c r="BF94" s="122" t="s">
        <v>2875</v>
      </c>
      <c r="BG94" s="122" t="s">
        <v>1875</v>
      </c>
      <c r="BH94" s="588"/>
      <c r="BI94" s="588"/>
      <c r="BJ94" s="161">
        <v>1</v>
      </c>
      <c r="BK94" s="161"/>
      <c r="BL94" s="161"/>
      <c r="BM94" s="161"/>
      <c r="BN94" s="161"/>
      <c r="BO94" s="161"/>
      <c r="BP94" s="161"/>
      <c r="BQ94" s="161"/>
      <c r="BR94" s="161"/>
      <c r="BS94" s="161"/>
      <c r="BT94" s="161"/>
      <c r="BU94" s="161"/>
      <c r="BV94" s="161"/>
      <c r="BW94" s="596" t="s">
        <v>3155</v>
      </c>
      <c r="BX94" s="162" t="s">
        <v>6597</v>
      </c>
      <c r="BY94" s="797" t="s">
        <v>7615</v>
      </c>
      <c r="BZ94" s="790" t="s">
        <v>7609</v>
      </c>
      <c r="CA94" s="765">
        <v>4</v>
      </c>
      <c r="CB94" s="765" t="s">
        <v>7556</v>
      </c>
      <c r="CC94" s="765" t="s">
        <v>7954</v>
      </c>
      <c r="CD94" s="150" t="s">
        <v>1876</v>
      </c>
      <c r="CE94" s="150" t="s">
        <v>3136</v>
      </c>
      <c r="CF94" s="400"/>
      <c r="CG94" s="150" t="s">
        <v>3137</v>
      </c>
      <c r="CH94" s="753" t="s">
        <v>1488</v>
      </c>
      <c r="CI94" s="150" t="s">
        <v>24</v>
      </c>
      <c r="CJ94" s="150">
        <v>1</v>
      </c>
      <c r="CK94" s="150" t="s">
        <v>3138</v>
      </c>
      <c r="CL94" s="134" t="s">
        <v>630</v>
      </c>
      <c r="CM94" s="258" t="s">
        <v>3169</v>
      </c>
      <c r="CN94" s="257">
        <v>0</v>
      </c>
      <c r="CO94" s="829">
        <v>51</v>
      </c>
      <c r="CP94" s="829">
        <v>1</v>
      </c>
      <c r="CQ94" s="829">
        <v>1</v>
      </c>
      <c r="CR94" s="829">
        <v>1</v>
      </c>
      <c r="CS94" s="829">
        <v>-1</v>
      </c>
      <c r="CT94" s="968" t="s">
        <v>7836</v>
      </c>
      <c r="CU94" s="1291" t="s">
        <v>8102</v>
      </c>
      <c r="CV94" s="1295">
        <v>20</v>
      </c>
      <c r="CW94" s="1295">
        <v>20</v>
      </c>
      <c r="CX94" s="151" t="s">
        <v>3147</v>
      </c>
      <c r="CY94" s="266">
        <v>0.17238800000000001</v>
      </c>
      <c r="CZ94" s="150" t="s">
        <v>24</v>
      </c>
      <c r="DA94" s="150">
        <f>0.266418-Table66[[#This Row],[Data_Outcome1_M]]</f>
        <v>9.4029999999999975E-2</v>
      </c>
      <c r="DB94" s="151" t="s">
        <v>3149</v>
      </c>
      <c r="DC94" s="150">
        <v>0.184142</v>
      </c>
      <c r="DD94" s="150" t="s">
        <v>24</v>
      </c>
      <c r="DE94" s="150">
        <f>0.274813-Table66[[#This Row],[Data_Outcome2_M]]</f>
        <v>9.0670999999999974E-2</v>
      </c>
      <c r="DF94" s="294" t="s">
        <v>3171</v>
      </c>
      <c r="DG94" s="295" t="s">
        <v>3172</v>
      </c>
      <c r="DH94" s="121"/>
      <c r="DI94" s="417"/>
      <c r="DJ94" s="1169"/>
      <c r="DK94" s="417"/>
      <c r="DL94" s="1169"/>
      <c r="DM94" s="1169"/>
      <c r="DN94" s="1169"/>
      <c r="DO94" s="1169"/>
      <c r="DP94" s="440"/>
      <c r="DQ94" s="442"/>
      <c r="DR94" s="1168"/>
      <c r="DS94" s="865"/>
      <c r="DT94" s="1171"/>
      <c r="DU94" s="1169"/>
      <c r="DV94" s="1169"/>
      <c r="DW94" s="1169"/>
      <c r="DX94" s="1169"/>
      <c r="DY94" s="417"/>
      <c r="DZ94" s="1169"/>
      <c r="EA94" s="417"/>
      <c r="EB94" s="311"/>
      <c r="EC94" s="313"/>
      <c r="ED94" s="1169"/>
      <c r="EE94" s="417"/>
      <c r="EF94" s="1169"/>
      <c r="EG94" s="417"/>
      <c r="EH94" s="1169"/>
      <c r="EI94" s="417"/>
      <c r="EJ94" s="1169"/>
      <c r="EK94" s="417"/>
      <c r="EL94" s="311"/>
      <c r="EM94" s="313"/>
      <c r="EN94" s="446"/>
      <c r="EO94" s="1729"/>
      <c r="EP94" s="500"/>
      <c r="EQ94" s="500"/>
      <c r="ER94" s="500"/>
      <c r="ES94" s="500"/>
      <c r="ET94" s="1153"/>
      <c r="EU94" s="500"/>
      <c r="EV94" s="500"/>
      <c r="EW94" s="500"/>
      <c r="EX94" s="665"/>
      <c r="EY94" s="665"/>
      <c r="EZ94" s="1153"/>
      <c r="FA94" s="500"/>
      <c r="FB94" s="1164"/>
      <c r="FC94" s="1164"/>
      <c r="FD94" s="1166"/>
      <c r="FE94" s="1164"/>
      <c r="FF94" s="1164"/>
      <c r="FG94" s="1164"/>
      <c r="FH94" s="313"/>
      <c r="FI94" s="665"/>
      <c r="FJ94" s="1165"/>
    </row>
    <row r="95" spans="1:166" s="229" customFormat="1" ht="15" customHeight="1">
      <c r="A95" s="118" t="s">
        <v>225</v>
      </c>
      <c r="B95" s="614">
        <v>28</v>
      </c>
      <c r="C95" s="614"/>
      <c r="D95" s="614"/>
      <c r="E95" s="605" t="s">
        <v>1987</v>
      </c>
      <c r="F95" s="140" t="s">
        <v>2213</v>
      </c>
      <c r="G95" s="141">
        <v>2008</v>
      </c>
      <c r="H95" s="118">
        <v>18313695</v>
      </c>
      <c r="I95" s="118">
        <v>1</v>
      </c>
      <c r="J95" s="118"/>
      <c r="K95" s="118"/>
      <c r="L95" s="118">
        <v>1</v>
      </c>
      <c r="M95" s="118"/>
      <c r="N95" s="118">
        <v>1</v>
      </c>
      <c r="O95" s="142">
        <v>1</v>
      </c>
      <c r="P95" s="118" t="s">
        <v>627</v>
      </c>
      <c r="Q95" s="118" t="s">
        <v>1142</v>
      </c>
      <c r="R95" s="118" t="s">
        <v>628</v>
      </c>
      <c r="S95" s="118">
        <v>1</v>
      </c>
      <c r="T95" s="118"/>
      <c r="U95" s="118"/>
      <c r="V95" s="118"/>
      <c r="W95" s="118" t="s">
        <v>629</v>
      </c>
      <c r="X95" s="118" t="s">
        <v>24</v>
      </c>
      <c r="Y95" s="118" t="s">
        <v>630</v>
      </c>
      <c r="Z95" s="118"/>
      <c r="AA95" s="118"/>
      <c r="AB95" s="118" t="s">
        <v>631</v>
      </c>
      <c r="AC95" s="145"/>
      <c r="AD95" s="573">
        <v>1</v>
      </c>
      <c r="AE95" s="573">
        <v>2</v>
      </c>
      <c r="AF95" s="159">
        <v>1</v>
      </c>
      <c r="AG95" s="160" t="s">
        <v>7949</v>
      </c>
      <c r="AH95" s="704" t="s">
        <v>7953</v>
      </c>
      <c r="AI95" s="122">
        <v>0</v>
      </c>
      <c r="AJ95" s="485"/>
      <c r="AK95" s="204"/>
      <c r="AL95" s="192">
        <v>1</v>
      </c>
      <c r="AM95" s="205">
        <v>0</v>
      </c>
      <c r="AN95" s="122">
        <f>Table66[[#This Row],[Data_Subjects_n_ptsd]]+Table66[[#This Row],[Data_Subjects_n_control]]</f>
        <v>21</v>
      </c>
      <c r="AO95" s="122">
        <f>7</f>
        <v>7</v>
      </c>
      <c r="AP95" s="122">
        <v>14</v>
      </c>
      <c r="AQ95" s="122" t="s">
        <v>803</v>
      </c>
      <c r="AR95" s="150" t="s">
        <v>803</v>
      </c>
      <c r="AS95" s="150">
        <v>58.1</v>
      </c>
      <c r="AT95" s="150">
        <v>2.8</v>
      </c>
      <c r="AU95" s="150">
        <v>58.1</v>
      </c>
      <c r="AV95" s="150">
        <v>2.8</v>
      </c>
      <c r="AW95" s="150" t="s">
        <v>1874</v>
      </c>
      <c r="AX95" s="122"/>
      <c r="AY95" s="122"/>
      <c r="AZ95" s="754" t="s">
        <v>1874</v>
      </c>
      <c r="BA95" s="122" t="s">
        <v>24</v>
      </c>
      <c r="BB95" s="122" t="s">
        <v>24</v>
      </c>
      <c r="BC95" s="122" t="s">
        <v>7950</v>
      </c>
      <c r="BD95" s="754" t="s">
        <v>7952</v>
      </c>
      <c r="BE95" s="187">
        <v>1</v>
      </c>
      <c r="BF95" s="122" t="s">
        <v>2875</v>
      </c>
      <c r="BG95" s="122" t="s">
        <v>1875</v>
      </c>
      <c r="BH95" s="588"/>
      <c r="BI95" s="588"/>
      <c r="BJ95" s="161">
        <v>1</v>
      </c>
      <c r="BK95" s="161"/>
      <c r="BL95" s="161"/>
      <c r="BM95" s="161"/>
      <c r="BN95" s="161"/>
      <c r="BO95" s="161"/>
      <c r="BP95" s="161"/>
      <c r="BQ95" s="161"/>
      <c r="BR95" s="161"/>
      <c r="BS95" s="161"/>
      <c r="BT95" s="161"/>
      <c r="BU95" s="161"/>
      <c r="BV95" s="161"/>
      <c r="BW95" s="596" t="s">
        <v>3156</v>
      </c>
      <c r="BX95" s="162" t="s">
        <v>6597</v>
      </c>
      <c r="BY95" s="797" t="s">
        <v>7615</v>
      </c>
      <c r="BZ95" s="790" t="s">
        <v>7609</v>
      </c>
      <c r="CA95" s="765">
        <v>4</v>
      </c>
      <c r="CB95" s="765" t="s">
        <v>7556</v>
      </c>
      <c r="CC95" s="765" t="s">
        <v>7954</v>
      </c>
      <c r="CD95" s="150" t="s">
        <v>1876</v>
      </c>
      <c r="CE95" s="150" t="s">
        <v>3136</v>
      </c>
      <c r="CF95" s="400"/>
      <c r="CG95" s="150" t="s">
        <v>3137</v>
      </c>
      <c r="CH95" s="753" t="s">
        <v>1488</v>
      </c>
      <c r="CI95" s="150" t="s">
        <v>24</v>
      </c>
      <c r="CJ95" s="150">
        <v>1</v>
      </c>
      <c r="CK95" s="150" t="s">
        <v>3138</v>
      </c>
      <c r="CL95" s="134" t="s">
        <v>630</v>
      </c>
      <c r="CM95" s="258" t="s">
        <v>3170</v>
      </c>
      <c r="CN95" s="257" t="s">
        <v>6627</v>
      </c>
      <c r="CO95" s="829">
        <v>51</v>
      </c>
      <c r="CP95" s="829">
        <v>1</v>
      </c>
      <c r="CQ95" s="829">
        <v>7</v>
      </c>
      <c r="CR95" s="829">
        <v>1</v>
      </c>
      <c r="CS95" s="829">
        <v>-1</v>
      </c>
      <c r="CT95" s="968" t="s">
        <v>7836</v>
      </c>
      <c r="CU95" s="1291" t="s">
        <v>8102</v>
      </c>
      <c r="CV95" s="1295">
        <v>20</v>
      </c>
      <c r="CW95" s="1295">
        <v>20</v>
      </c>
      <c r="CX95" s="151" t="s">
        <v>3158</v>
      </c>
      <c r="CY95" s="266">
        <v>0.47966399999999998</v>
      </c>
      <c r="CZ95" s="150" t="s">
        <v>24</v>
      </c>
      <c r="DA95" s="266">
        <f>0.553545-Table66[[#This Row],[Data_Outcome1_M]]</f>
        <v>7.3880999999999974E-2</v>
      </c>
      <c r="DB95" s="151" t="s">
        <v>3160</v>
      </c>
      <c r="DC95" s="266">
        <v>0.27313399999999999</v>
      </c>
      <c r="DD95" s="150" t="s">
        <v>24</v>
      </c>
      <c r="DE95" s="266">
        <f>0.378918-Table66[[#This Row],[Data_Outcome2_M]]</f>
        <v>0.10578399999999999</v>
      </c>
      <c r="DF95" s="294" t="s">
        <v>3174</v>
      </c>
      <c r="DG95" s="295" t="s">
        <v>3173</v>
      </c>
      <c r="DH95" s="121"/>
      <c r="DI95" s="417"/>
      <c r="DJ95" s="1169"/>
      <c r="DK95" s="417"/>
      <c r="DL95" s="1169"/>
      <c r="DM95" s="121"/>
      <c r="DN95" s="1169"/>
      <c r="DO95" s="121"/>
      <c r="DP95" s="440"/>
      <c r="DQ95" s="442"/>
      <c r="DR95" s="1168"/>
      <c r="DS95" s="865"/>
      <c r="DT95" s="1171"/>
      <c r="DU95" s="121"/>
      <c r="DV95" s="1169"/>
      <c r="DW95" s="121"/>
      <c r="DX95" s="1169"/>
      <c r="DY95" s="417"/>
      <c r="DZ95" s="1169"/>
      <c r="EA95" s="417"/>
      <c r="EB95" s="311"/>
      <c r="EC95" s="313"/>
      <c r="ED95" s="1169"/>
      <c r="EE95" s="417"/>
      <c r="EF95" s="1169"/>
      <c r="EG95" s="417"/>
      <c r="EH95" s="1169"/>
      <c r="EI95" s="417"/>
      <c r="EJ95" s="1169"/>
      <c r="EK95" s="417"/>
      <c r="EL95" s="311"/>
      <c r="EM95" s="313"/>
      <c r="EN95" s="446"/>
      <c r="EO95" s="1729"/>
      <c r="EP95" s="500"/>
      <c r="EQ95" s="500"/>
      <c r="ER95" s="500"/>
      <c r="ES95" s="500"/>
      <c r="ET95" s="1153"/>
      <c r="EU95" s="500"/>
      <c r="EV95" s="500"/>
      <c r="EW95" s="500"/>
      <c r="EX95" s="665"/>
      <c r="EY95" s="665"/>
      <c r="EZ95" s="1153"/>
      <c r="FA95" s="500"/>
      <c r="FB95" s="1164"/>
      <c r="FC95" s="1164"/>
      <c r="FD95" s="1166"/>
      <c r="FE95" s="1164"/>
      <c r="FF95" s="1164"/>
      <c r="FG95" s="1164"/>
      <c r="FH95" s="313"/>
      <c r="FI95" s="665"/>
      <c r="FJ95" s="1165"/>
    </row>
    <row r="96" spans="1:166" s="229" customFormat="1" ht="15" customHeight="1">
      <c r="A96" s="118" t="s">
        <v>225</v>
      </c>
      <c r="B96" s="614">
        <v>28</v>
      </c>
      <c r="C96" s="614"/>
      <c r="D96" s="614"/>
      <c r="E96" s="605" t="s">
        <v>1987</v>
      </c>
      <c r="F96" s="140" t="s">
        <v>2213</v>
      </c>
      <c r="G96" s="141">
        <v>2008</v>
      </c>
      <c r="H96" s="118">
        <v>18313695</v>
      </c>
      <c r="I96" s="118">
        <v>1</v>
      </c>
      <c r="J96" s="118"/>
      <c r="K96" s="118"/>
      <c r="L96" s="118">
        <v>1</v>
      </c>
      <c r="M96" s="118"/>
      <c r="N96" s="118">
        <v>1</v>
      </c>
      <c r="O96" s="142">
        <v>1</v>
      </c>
      <c r="P96" s="118" t="s">
        <v>627</v>
      </c>
      <c r="Q96" s="118" t="s">
        <v>1142</v>
      </c>
      <c r="R96" s="118" t="s">
        <v>628</v>
      </c>
      <c r="S96" s="118">
        <v>1</v>
      </c>
      <c r="T96" s="118"/>
      <c r="U96" s="118"/>
      <c r="V96" s="118"/>
      <c r="W96" s="118" t="s">
        <v>629</v>
      </c>
      <c r="X96" s="118" t="s">
        <v>24</v>
      </c>
      <c r="Y96" s="118" t="s">
        <v>630</v>
      </c>
      <c r="Z96" s="118"/>
      <c r="AA96" s="118"/>
      <c r="AB96" s="118" t="s">
        <v>631</v>
      </c>
      <c r="AC96" s="145"/>
      <c r="AD96" s="573">
        <v>1</v>
      </c>
      <c r="AE96" s="573">
        <v>2</v>
      </c>
      <c r="AF96" s="159">
        <v>1</v>
      </c>
      <c r="AG96" s="160" t="s">
        <v>7949</v>
      </c>
      <c r="AH96" s="704"/>
      <c r="AI96" s="122">
        <v>2</v>
      </c>
      <c r="AJ96" s="485"/>
      <c r="AK96" s="204"/>
      <c r="AL96" s="192">
        <v>1</v>
      </c>
      <c r="AM96" s="205">
        <v>0</v>
      </c>
      <c r="AN96" s="122">
        <f>Table66[[#This Row],[Data_Subjects_n_ptsd]]+Table66[[#This Row],[Data_Subjects_n_control]]</f>
        <v>14</v>
      </c>
      <c r="AO96" s="122">
        <f>7</f>
        <v>7</v>
      </c>
      <c r="AP96" s="122">
        <v>7</v>
      </c>
      <c r="AQ96" s="122" t="s">
        <v>803</v>
      </c>
      <c r="AR96" s="150" t="s">
        <v>803</v>
      </c>
      <c r="AS96" s="150">
        <v>58.1</v>
      </c>
      <c r="AT96" s="150">
        <v>2.8</v>
      </c>
      <c r="AU96" s="150">
        <v>59.1</v>
      </c>
      <c r="AV96" s="150">
        <v>2.5</v>
      </c>
      <c r="AW96" s="150" t="s">
        <v>1874</v>
      </c>
      <c r="AX96" s="122"/>
      <c r="AY96" s="122"/>
      <c r="AZ96" s="754" t="s">
        <v>1874</v>
      </c>
      <c r="BA96" s="122" t="s">
        <v>24</v>
      </c>
      <c r="BB96" s="122" t="s">
        <v>24</v>
      </c>
      <c r="BC96" s="122" t="s">
        <v>4161</v>
      </c>
      <c r="BD96" s="754" t="s">
        <v>7521</v>
      </c>
      <c r="BE96" s="187">
        <v>1</v>
      </c>
      <c r="BF96" s="122" t="s">
        <v>2605</v>
      </c>
      <c r="BG96" s="122" t="s">
        <v>1875</v>
      </c>
      <c r="BH96" s="588"/>
      <c r="BI96" s="588"/>
      <c r="BJ96" s="161">
        <v>1</v>
      </c>
      <c r="BK96" s="161"/>
      <c r="BL96" s="161"/>
      <c r="BM96" s="161"/>
      <c r="BN96" s="161"/>
      <c r="BO96" s="161"/>
      <c r="BP96" s="161"/>
      <c r="BQ96" s="161"/>
      <c r="BR96" s="161"/>
      <c r="BS96" s="161"/>
      <c r="BT96" s="161"/>
      <c r="BU96" s="161"/>
      <c r="BV96" s="161"/>
      <c r="BW96" s="596" t="s">
        <v>3155</v>
      </c>
      <c r="BX96" s="162" t="s">
        <v>6597</v>
      </c>
      <c r="BY96" s="797" t="s">
        <v>7615</v>
      </c>
      <c r="BZ96" s="790" t="s">
        <v>7609</v>
      </c>
      <c r="CA96" s="765">
        <v>4</v>
      </c>
      <c r="CB96" s="765" t="s">
        <v>7556</v>
      </c>
      <c r="CC96" s="765" t="s">
        <v>7954</v>
      </c>
      <c r="CD96" s="150" t="s">
        <v>1876</v>
      </c>
      <c r="CE96" s="150" t="s">
        <v>3136</v>
      </c>
      <c r="CF96" s="400"/>
      <c r="CG96" s="150" t="s">
        <v>3137</v>
      </c>
      <c r="CH96" s="753" t="s">
        <v>1488</v>
      </c>
      <c r="CI96" s="150" t="s">
        <v>24</v>
      </c>
      <c r="CJ96" s="150">
        <v>1</v>
      </c>
      <c r="CK96" s="150" t="s">
        <v>3138</v>
      </c>
      <c r="CL96" s="134" t="s">
        <v>630</v>
      </c>
      <c r="CM96" s="258" t="s">
        <v>3169</v>
      </c>
      <c r="CN96" s="257">
        <v>0</v>
      </c>
      <c r="CO96" s="829">
        <v>51</v>
      </c>
      <c r="CP96" s="829">
        <v>1</v>
      </c>
      <c r="CQ96" s="829">
        <v>2</v>
      </c>
      <c r="CR96" s="829">
        <v>1</v>
      </c>
      <c r="CS96" s="829">
        <v>-1</v>
      </c>
      <c r="CT96" s="968" t="s">
        <v>7836</v>
      </c>
      <c r="CU96" s="1288" t="s">
        <v>8103</v>
      </c>
      <c r="CV96" s="1295">
        <v>20</v>
      </c>
      <c r="CW96" s="1294">
        <v>21</v>
      </c>
      <c r="CX96" s="151" t="s">
        <v>3147</v>
      </c>
      <c r="CY96" s="150">
        <v>0.17238800000000001</v>
      </c>
      <c r="CZ96" s="150" t="s">
        <v>24</v>
      </c>
      <c r="DA96" s="150">
        <f>0.266418-Table66[[#This Row],[Data_Outcome1_M]]</f>
        <v>9.4029999999999975E-2</v>
      </c>
      <c r="DB96" s="151" t="s">
        <v>3151</v>
      </c>
      <c r="DC96" s="150">
        <v>9.1790999999999998E-2</v>
      </c>
      <c r="DD96" s="150" t="s">
        <v>24</v>
      </c>
      <c r="DE96" s="150">
        <f>0.236194-Table66[[#This Row],[Data_Outcome2_M]]</f>
        <v>0.144403</v>
      </c>
      <c r="DF96" s="294"/>
      <c r="DG96" s="295"/>
      <c r="DH96" s="1179"/>
      <c r="DI96" s="417"/>
      <c r="DJ96" s="1169"/>
      <c r="DK96" s="417"/>
      <c r="DL96" s="1169"/>
      <c r="DM96" s="121"/>
      <c r="DN96" s="1169"/>
      <c r="DO96" s="121"/>
      <c r="DP96" s="290"/>
      <c r="DQ96" s="291"/>
      <c r="DR96" s="1168"/>
      <c r="DS96" s="865"/>
      <c r="DT96" s="1166"/>
      <c r="DU96" s="1164"/>
      <c r="DV96" s="1164"/>
      <c r="DW96" s="1164"/>
      <c r="DX96" s="1166"/>
      <c r="DY96" s="1164"/>
      <c r="DZ96" s="1164"/>
      <c r="EA96" s="500"/>
      <c r="EB96" s="311"/>
      <c r="EC96" s="313"/>
      <c r="ED96" s="1166"/>
      <c r="EE96" s="1164"/>
      <c r="EF96" s="1164"/>
      <c r="EG96" s="1164"/>
      <c r="EH96" s="1166"/>
      <c r="EI96" s="1164"/>
      <c r="EJ96" s="1164"/>
      <c r="EK96" s="1164"/>
      <c r="EL96" s="311"/>
      <c r="EM96" s="313"/>
      <c r="EN96" s="1167"/>
      <c r="EO96" s="1165"/>
      <c r="EP96" s="1164"/>
      <c r="EQ96" s="1164"/>
      <c r="ER96" s="1164"/>
      <c r="ES96" s="1164"/>
      <c r="ET96" s="1166"/>
      <c r="EU96" s="1164"/>
      <c r="EV96" s="1164"/>
      <c r="EW96" s="1164"/>
      <c r="EX96" s="313"/>
      <c r="EY96" s="313"/>
      <c r="EZ96" s="1166"/>
      <c r="FA96" s="1164"/>
      <c r="FB96" s="1164"/>
      <c r="FC96" s="1164"/>
      <c r="FD96" s="1166"/>
      <c r="FE96" s="1164"/>
      <c r="FF96" s="1164"/>
      <c r="FG96" s="1164"/>
      <c r="FH96" s="313"/>
      <c r="FI96" s="313"/>
      <c r="FJ96" s="1165"/>
    </row>
    <row r="97" spans="1:166" s="229" customFormat="1" ht="15" hidden="1" customHeight="1">
      <c r="A97" s="158" t="s">
        <v>1083</v>
      </c>
      <c r="B97" s="1535">
        <v>13</v>
      </c>
      <c r="C97" s="1535"/>
      <c r="D97" s="1535"/>
      <c r="E97" s="1095" t="s">
        <v>2060</v>
      </c>
      <c r="F97" s="711" t="s">
        <v>2312</v>
      </c>
      <c r="G97" s="1096">
        <v>2012</v>
      </c>
      <c r="H97" s="158">
        <v>21925525</v>
      </c>
      <c r="I97" s="158">
        <v>1</v>
      </c>
      <c r="J97" s="158" t="s">
        <v>1831</v>
      </c>
      <c r="K97" s="158"/>
      <c r="L97" s="158">
        <v>0</v>
      </c>
      <c r="M97" s="158"/>
      <c r="N97" s="158">
        <v>0</v>
      </c>
      <c r="O97" s="158">
        <v>2</v>
      </c>
      <c r="P97" s="158" t="s">
        <v>1273</v>
      </c>
      <c r="Q97" s="158" t="s">
        <v>1212</v>
      </c>
      <c r="R97" s="158" t="s">
        <v>1127</v>
      </c>
      <c r="S97" s="158"/>
      <c r="T97" s="158" t="s">
        <v>1829</v>
      </c>
      <c r="U97" s="158"/>
      <c r="V97" s="158"/>
      <c r="W97" s="158" t="s">
        <v>1830</v>
      </c>
      <c r="X97" s="158"/>
      <c r="Y97" s="158"/>
      <c r="Z97" s="158"/>
      <c r="AA97" s="158"/>
      <c r="AB97" s="158" t="s">
        <v>1488</v>
      </c>
      <c r="AC97" s="800"/>
      <c r="AD97" s="536">
        <v>1</v>
      </c>
      <c r="AE97" s="536">
        <v>2</v>
      </c>
      <c r="AF97" s="743">
        <v>0</v>
      </c>
      <c r="AG97" s="744" t="s">
        <v>7689</v>
      </c>
      <c r="AH97" s="509">
        <v>0</v>
      </c>
      <c r="AI97" s="734">
        <v>4</v>
      </c>
      <c r="AJ97" s="734"/>
      <c r="AK97" s="739" t="s">
        <v>2774</v>
      </c>
      <c r="AL97" s="372">
        <v>2</v>
      </c>
      <c r="AM97" s="724">
        <v>0</v>
      </c>
      <c r="AN97" s="734">
        <f>8+8+8</f>
        <v>24</v>
      </c>
      <c r="AO97" s="734" t="s">
        <v>2734</v>
      </c>
      <c r="AP97" s="734">
        <v>8</v>
      </c>
      <c r="AQ97" s="734" t="s">
        <v>803</v>
      </c>
      <c r="AR97" s="734" t="s">
        <v>803</v>
      </c>
      <c r="AS97" s="734" t="s">
        <v>7502</v>
      </c>
      <c r="AT97" s="734" t="s">
        <v>24</v>
      </c>
      <c r="AU97" s="734" t="s">
        <v>7502</v>
      </c>
      <c r="AV97" s="734" t="s">
        <v>24</v>
      </c>
      <c r="AW97" s="734" t="s">
        <v>2731</v>
      </c>
      <c r="AX97" s="734">
        <v>10</v>
      </c>
      <c r="AY97" s="734" t="s">
        <v>7648</v>
      </c>
      <c r="AZ97" s="755" t="s">
        <v>1814</v>
      </c>
      <c r="BA97" s="734">
        <v>1</v>
      </c>
      <c r="BB97" s="734" t="s">
        <v>3322</v>
      </c>
      <c r="BC97" s="734" t="s">
        <v>7536</v>
      </c>
      <c r="BD97" s="755" t="s">
        <v>7523</v>
      </c>
      <c r="BE97" s="755"/>
      <c r="BF97" s="734" t="s">
        <v>2730</v>
      </c>
      <c r="BG97" s="734" t="s">
        <v>2733</v>
      </c>
      <c r="BH97" s="372"/>
      <c r="BI97" s="372"/>
      <c r="BJ97" s="735">
        <v>1</v>
      </c>
      <c r="BK97" s="735"/>
      <c r="BL97" s="735"/>
      <c r="BM97" s="735"/>
      <c r="BN97" s="735"/>
      <c r="BO97" s="735"/>
      <c r="BP97" s="735"/>
      <c r="BQ97" s="735"/>
      <c r="BR97" s="735"/>
      <c r="BS97" s="735"/>
      <c r="BT97" s="735"/>
      <c r="BU97" s="735"/>
      <c r="BV97" s="735"/>
      <c r="BW97" s="735" t="s">
        <v>2775</v>
      </c>
      <c r="BX97" s="736" t="s">
        <v>6597</v>
      </c>
      <c r="BY97" s="799" t="s">
        <v>7615</v>
      </c>
      <c r="BZ97" s="736" t="s">
        <v>7609</v>
      </c>
      <c r="CA97" s="511">
        <v>4</v>
      </c>
      <c r="CB97" s="511" t="s">
        <v>7556</v>
      </c>
      <c r="CC97" s="511" t="s">
        <v>7380</v>
      </c>
      <c r="CD97" s="734" t="s">
        <v>1876</v>
      </c>
      <c r="CE97" s="734">
        <v>3</v>
      </c>
      <c r="CF97" s="786"/>
      <c r="CG97" s="734" t="s">
        <v>7461</v>
      </c>
      <c r="CH97" s="755" t="s">
        <v>1488</v>
      </c>
      <c r="CI97" s="734" t="s">
        <v>2471</v>
      </c>
      <c r="CJ97" s="734"/>
      <c r="CK97" s="734" t="s">
        <v>2659</v>
      </c>
      <c r="CL97" s="120" t="s">
        <v>2659</v>
      </c>
      <c r="CM97" s="737" t="s">
        <v>2749</v>
      </c>
      <c r="CN97" s="738" t="s">
        <v>6627</v>
      </c>
      <c r="CO97" s="738"/>
      <c r="CP97" s="738"/>
      <c r="CQ97" s="738"/>
      <c r="CR97" s="738"/>
      <c r="CS97" s="738"/>
      <c r="CT97" s="738"/>
      <c r="CU97" s="738"/>
      <c r="CV97" s="738"/>
      <c r="CW97" s="738"/>
      <c r="CX97" s="736" t="s">
        <v>2743</v>
      </c>
      <c r="CY97" s="734">
        <v>17.985600000000002</v>
      </c>
      <c r="CZ97" s="734" t="s">
        <v>24</v>
      </c>
      <c r="DA97" s="734">
        <f>19.9041-Table66[[#This Row],[Data_Outcome1_M]]</f>
        <v>1.9184999999999981</v>
      </c>
      <c r="DB97" s="736" t="s">
        <v>2744</v>
      </c>
      <c r="DC97" s="734">
        <v>12.9496</v>
      </c>
      <c r="DD97" s="734" t="s">
        <v>24</v>
      </c>
      <c r="DE97" s="734">
        <f>15.1079-Table66[[#This Row],[Data_Outcome2_M]]</f>
        <v>2.1583000000000006</v>
      </c>
      <c r="DF97" s="515" t="s">
        <v>24</v>
      </c>
      <c r="DG97" s="513" t="s">
        <v>24</v>
      </c>
      <c r="DH97" s="736" t="s">
        <v>2745</v>
      </c>
      <c r="DI97" s="734">
        <v>11.990399999999999</v>
      </c>
      <c r="DJ97" s="778" t="s">
        <v>24</v>
      </c>
      <c r="DK97" s="734">
        <f>14.3885-Table66[[#This Row],[Data_Outcome3_M]]</f>
        <v>2.3981000000000012</v>
      </c>
      <c r="DL97" s="1180" t="s">
        <v>2746</v>
      </c>
      <c r="DM97" s="734">
        <v>4.7961600000000004</v>
      </c>
      <c r="DN97" s="778" t="s">
        <v>24</v>
      </c>
      <c r="DO97" s="734">
        <f>6.23501-Table66[[#This Row],[Data_Outcome4_M]]</f>
        <v>1.4388499999999995</v>
      </c>
      <c r="DP97" s="737" t="s">
        <v>24</v>
      </c>
      <c r="DQ97" s="372" t="s">
        <v>24</v>
      </c>
      <c r="DR97" s="1182" t="s">
        <v>24</v>
      </c>
      <c r="DS97" s="956" t="s">
        <v>24</v>
      </c>
      <c r="DT97" s="736" t="s">
        <v>2747</v>
      </c>
      <c r="DU97" s="742">
        <v>7.9136699999999998</v>
      </c>
      <c r="DV97" s="734" t="s">
        <v>24</v>
      </c>
      <c r="DW97" s="742">
        <f>10.0719-Table66[[#This Row],[Data_Outcome5_M]]</f>
        <v>2.1582299999999996</v>
      </c>
      <c r="DX97" s="736" t="s">
        <v>2750</v>
      </c>
      <c r="DY97" s="734">
        <v>38.609099999999998</v>
      </c>
      <c r="DZ97" s="734" t="s">
        <v>24</v>
      </c>
      <c r="EA97" s="734">
        <f>Table66[[#This Row],[Data_Outcome6_M]]-27.5779</f>
        <v>11.031199999999998</v>
      </c>
      <c r="EB97" s="1181"/>
      <c r="EC97" s="778"/>
      <c r="ED97" s="736" t="s">
        <v>2751</v>
      </c>
      <c r="EE97" s="734">
        <v>27.5779</v>
      </c>
      <c r="EF97" s="734" t="s">
        <v>24</v>
      </c>
      <c r="EG97" s="734">
        <f>33.813-Table66[[#This Row],[Data_Outcome7_M]]</f>
        <v>6.2351000000000028</v>
      </c>
      <c r="EH97" s="736" t="s">
        <v>2752</v>
      </c>
      <c r="EI97" s="734">
        <v>18.2254</v>
      </c>
      <c r="EJ97" s="734" t="s">
        <v>24</v>
      </c>
      <c r="EK97" s="734">
        <f>23.741-Table66[[#This Row],[Data_Outcome8_M]]</f>
        <v>5.5155999999999992</v>
      </c>
      <c r="EL97" s="1181"/>
      <c r="EM97" s="778"/>
      <c r="EN97" s="1181"/>
      <c r="EO97" s="778"/>
      <c r="EP97" s="1180" t="s">
        <v>2753</v>
      </c>
      <c r="EQ97" s="778">
        <v>19.424499999999998</v>
      </c>
      <c r="ER97" s="778" t="s">
        <v>24</v>
      </c>
      <c r="ES97" s="778">
        <f>21.5827-Table66[[#This Row],[Data_Outcome9_M]]</f>
        <v>2.1582000000000008</v>
      </c>
      <c r="ET97" s="1180" t="s">
        <v>2754</v>
      </c>
      <c r="EU97" s="778">
        <v>16.546800000000001</v>
      </c>
      <c r="EV97" s="778" t="s">
        <v>24</v>
      </c>
      <c r="EW97" s="778">
        <f>20.8633-Table66[[#This Row],[Data_Outcome10_M]]</f>
        <v>4.3164999999999978</v>
      </c>
      <c r="EX97" s="778"/>
      <c r="EY97" s="778"/>
      <c r="EZ97" s="1180" t="s">
        <v>2755</v>
      </c>
      <c r="FA97" s="778">
        <v>47.402099999999997</v>
      </c>
      <c r="FB97" s="778" t="s">
        <v>24</v>
      </c>
      <c r="FC97" s="778">
        <f>Table66[[#This Row],[Data_Outcome11_M]]-40.6875</f>
        <v>6.7145999999999972</v>
      </c>
      <c r="FD97" s="823" t="s">
        <v>2756</v>
      </c>
      <c r="FE97" s="742">
        <v>22.7818</v>
      </c>
      <c r="FF97" s="742" t="s">
        <v>24</v>
      </c>
      <c r="FG97" s="742">
        <f>Table66[[#This Row],[Data_Outcome12_M]]-18.9448</f>
        <v>3.8369999999999997</v>
      </c>
      <c r="FH97" s="778"/>
      <c r="FI97" s="742"/>
      <c r="FJ97" s="778"/>
    </row>
    <row r="98" spans="1:166" s="229" customFormat="1" ht="16" hidden="1" customHeight="1">
      <c r="A98" s="153" t="s">
        <v>1083</v>
      </c>
      <c r="B98" s="1535">
        <v>13</v>
      </c>
      <c r="C98" s="1535"/>
      <c r="D98" s="1535"/>
      <c r="E98" s="610" t="s">
        <v>2060</v>
      </c>
      <c r="F98" s="368" t="s">
        <v>2312</v>
      </c>
      <c r="G98" s="369">
        <v>2012</v>
      </c>
      <c r="H98" s="153">
        <v>21925525</v>
      </c>
      <c r="I98" s="153">
        <v>1</v>
      </c>
      <c r="J98" s="370" t="s">
        <v>1831</v>
      </c>
      <c r="K98" s="371"/>
      <c r="L98" s="153">
        <v>0</v>
      </c>
      <c r="M98" s="153"/>
      <c r="N98" s="153">
        <v>0</v>
      </c>
      <c r="O98" s="153">
        <v>2</v>
      </c>
      <c r="P98" s="153" t="s">
        <v>1273</v>
      </c>
      <c r="Q98" s="153" t="s">
        <v>1212</v>
      </c>
      <c r="R98" s="153" t="s">
        <v>1127</v>
      </c>
      <c r="S98" s="153"/>
      <c r="T98" s="153" t="s">
        <v>1829</v>
      </c>
      <c r="U98" s="153"/>
      <c r="V98" s="153"/>
      <c r="W98" s="153" t="s">
        <v>1830</v>
      </c>
      <c r="X98" s="153"/>
      <c r="Y98" s="153"/>
      <c r="Z98" s="153"/>
      <c r="AA98" s="153"/>
      <c r="AB98" s="153" t="s">
        <v>1488</v>
      </c>
      <c r="AC98" s="536"/>
      <c r="AD98" s="536">
        <v>1</v>
      </c>
      <c r="AE98" s="536">
        <v>2</v>
      </c>
      <c r="AF98" s="165">
        <v>0</v>
      </c>
      <c r="AG98" s="166" t="s">
        <v>7688</v>
      </c>
      <c r="AH98" s="509">
        <v>0</v>
      </c>
      <c r="AI98" s="120">
        <v>4</v>
      </c>
      <c r="AJ98" s="120"/>
      <c r="AK98" s="206" t="s">
        <v>2735</v>
      </c>
      <c r="AL98" s="372">
        <v>2</v>
      </c>
      <c r="AM98" s="207">
        <v>0</v>
      </c>
      <c r="AN98" s="120">
        <f>8+8+8</f>
        <v>24</v>
      </c>
      <c r="AO98" s="120" t="s">
        <v>2734</v>
      </c>
      <c r="AP98" s="120">
        <v>8</v>
      </c>
      <c r="AQ98" s="120" t="s">
        <v>803</v>
      </c>
      <c r="AR98" s="120" t="s">
        <v>803</v>
      </c>
      <c r="AS98" s="734" t="s">
        <v>7502</v>
      </c>
      <c r="AT98" s="120" t="s">
        <v>24</v>
      </c>
      <c r="AU98" s="734" t="s">
        <v>7502</v>
      </c>
      <c r="AV98" s="120" t="s">
        <v>24</v>
      </c>
      <c r="AW98" s="120" t="s">
        <v>2731</v>
      </c>
      <c r="AX98" s="120">
        <v>10</v>
      </c>
      <c r="AY98" s="120" t="s">
        <v>7648</v>
      </c>
      <c r="AZ98" s="755" t="s">
        <v>1814</v>
      </c>
      <c r="BA98" s="120">
        <v>1</v>
      </c>
      <c r="BB98" s="120" t="s">
        <v>3322</v>
      </c>
      <c r="BC98" s="120" t="s">
        <v>7536</v>
      </c>
      <c r="BD98" s="755" t="s">
        <v>7523</v>
      </c>
      <c r="BE98" s="755"/>
      <c r="BF98" s="120" t="s">
        <v>2730</v>
      </c>
      <c r="BG98" s="120" t="s">
        <v>2733</v>
      </c>
      <c r="BH98" s="377"/>
      <c r="BI98" s="377"/>
      <c r="BJ98" s="373">
        <v>1</v>
      </c>
      <c r="BK98" s="373"/>
      <c r="BL98" s="373"/>
      <c r="BM98" s="373"/>
      <c r="BN98" s="373"/>
      <c r="BO98" s="373"/>
      <c r="BP98" s="373"/>
      <c r="BQ98" s="373"/>
      <c r="BR98" s="373"/>
      <c r="BS98" s="373"/>
      <c r="BT98" s="373"/>
      <c r="BU98" s="373"/>
      <c r="BV98" s="373"/>
      <c r="BW98" s="599" t="s">
        <v>2741</v>
      </c>
      <c r="BX98" s="374" t="s">
        <v>6596</v>
      </c>
      <c r="BY98" s="799" t="s">
        <v>7615</v>
      </c>
      <c r="BZ98" s="374" t="s">
        <v>7610</v>
      </c>
      <c r="CA98" s="511">
        <v>4</v>
      </c>
      <c r="CB98" s="511" t="s">
        <v>7556</v>
      </c>
      <c r="CC98" s="511" t="s">
        <v>7380</v>
      </c>
      <c r="CD98" s="120" t="s">
        <v>1876</v>
      </c>
      <c r="CE98" s="120">
        <v>3</v>
      </c>
      <c r="CF98" s="786"/>
      <c r="CG98" s="120" t="s">
        <v>7460</v>
      </c>
      <c r="CH98" s="755" t="s">
        <v>1488</v>
      </c>
      <c r="CI98" s="120" t="s">
        <v>2471</v>
      </c>
      <c r="CJ98" s="120">
        <v>0</v>
      </c>
      <c r="CK98" s="120" t="s">
        <v>2659</v>
      </c>
      <c r="CL98" s="120" t="s">
        <v>2659</v>
      </c>
      <c r="CM98" s="375" t="s">
        <v>2748</v>
      </c>
      <c r="CN98" s="380" t="s">
        <v>24</v>
      </c>
      <c r="CO98" s="380"/>
      <c r="CP98" s="380"/>
      <c r="CQ98" s="380"/>
      <c r="CR98" s="380"/>
      <c r="CS98" s="380"/>
      <c r="CT98" s="380"/>
      <c r="CU98" s="380"/>
      <c r="CV98" s="380"/>
      <c r="CW98" s="380"/>
      <c r="CX98" s="376" t="s">
        <v>2736</v>
      </c>
      <c r="CY98" s="120">
        <v>62.995399999999997</v>
      </c>
      <c r="CZ98" s="120" t="s">
        <v>24</v>
      </c>
      <c r="DA98" s="120">
        <f>70.638-Table66[[#This Row],[Data_Outcome1_M]]</f>
        <v>7.6426000000000087</v>
      </c>
      <c r="DB98" s="376" t="s">
        <v>2739</v>
      </c>
      <c r="DC98" s="120">
        <v>33.502899999999997</v>
      </c>
      <c r="DD98" s="120" t="s">
        <v>24</v>
      </c>
      <c r="DE98" s="120">
        <f>37.3238-Table66[[#This Row],[Data_Outcome2_M]]</f>
        <v>3.8209000000000017</v>
      </c>
      <c r="DF98" s="515" t="s">
        <v>2740</v>
      </c>
      <c r="DG98" s="513" t="s">
        <v>2555</v>
      </c>
      <c r="DH98" s="376" t="s">
        <v>2738</v>
      </c>
      <c r="DI98" s="120">
        <v>51.113900000000001</v>
      </c>
      <c r="DJ98" s="384" t="s">
        <v>24</v>
      </c>
      <c r="DK98" s="120">
        <f>61.3051-Table66[[#This Row],[Data_Outcome3_M]]</f>
        <v>10.191200000000002</v>
      </c>
      <c r="DL98" s="727" t="s">
        <v>24</v>
      </c>
      <c r="DM98" s="120"/>
      <c r="DN98" s="384"/>
      <c r="DO98" s="120"/>
      <c r="DP98" s="375"/>
      <c r="DQ98" s="377"/>
      <c r="DR98" s="621"/>
      <c r="DS98" s="956"/>
      <c r="DT98" s="727"/>
      <c r="DU98" s="120"/>
      <c r="DV98" s="384"/>
      <c r="DW98" s="120"/>
      <c r="DX98" s="384"/>
      <c r="DY98" s="120"/>
      <c r="DZ98" s="384"/>
      <c r="EA98" s="683"/>
      <c r="EB98" s="1012"/>
      <c r="EC98" s="384"/>
      <c r="ED98" s="384"/>
      <c r="EE98" s="120"/>
      <c r="EF98" s="384"/>
      <c r="EG98" s="120"/>
      <c r="EH98" s="384"/>
      <c r="EI98" s="120"/>
      <c r="EJ98" s="384"/>
      <c r="EK98" s="120"/>
      <c r="EL98" s="1012"/>
      <c r="EM98" s="384"/>
      <c r="EN98" s="1012"/>
      <c r="EO98" s="384"/>
      <c r="EP98" s="384"/>
      <c r="EQ98" s="384"/>
      <c r="ER98" s="384"/>
      <c r="ES98" s="384"/>
      <c r="ET98" s="727"/>
      <c r="EU98" s="384"/>
      <c r="EV98" s="384"/>
      <c r="EW98" s="384"/>
      <c r="EX98" s="384"/>
      <c r="EY98" s="384"/>
      <c r="EZ98" s="727"/>
      <c r="FA98" s="384"/>
      <c r="FB98" s="384"/>
      <c r="FC98" s="384"/>
      <c r="FD98" s="727"/>
      <c r="FE98" s="384"/>
      <c r="FF98" s="384"/>
      <c r="FG98" s="384"/>
      <c r="FH98" s="384"/>
      <c r="FI98" s="384"/>
      <c r="FJ98" s="384"/>
    </row>
    <row r="99" spans="1:166" s="229" customFormat="1" ht="15" hidden="1" customHeight="1">
      <c r="A99" s="118" t="s">
        <v>1110</v>
      </c>
      <c r="B99" s="767">
        <v>5</v>
      </c>
      <c r="C99" s="767"/>
      <c r="D99" s="767"/>
      <c r="E99" s="605" t="s">
        <v>2053</v>
      </c>
      <c r="F99" s="140" t="s">
        <v>2296</v>
      </c>
      <c r="G99" s="141">
        <v>2014</v>
      </c>
      <c r="H99" s="118">
        <v>24808840</v>
      </c>
      <c r="I99" s="118">
        <v>1</v>
      </c>
      <c r="J99" s="118">
        <v>1</v>
      </c>
      <c r="K99" s="118"/>
      <c r="L99" s="118">
        <v>1</v>
      </c>
      <c r="M99" s="118"/>
      <c r="N99" s="158">
        <v>1</v>
      </c>
      <c r="O99" s="142">
        <v>2</v>
      </c>
      <c r="P99" s="127" t="s">
        <v>1220</v>
      </c>
      <c r="Q99" s="127" t="s">
        <v>1169</v>
      </c>
      <c r="R99" s="127" t="s">
        <v>1127</v>
      </c>
      <c r="S99" s="127"/>
      <c r="T99" s="127" t="s">
        <v>1544</v>
      </c>
      <c r="U99" s="127" t="s">
        <v>803</v>
      </c>
      <c r="V99" s="127"/>
      <c r="W99" s="127" t="s">
        <v>1140</v>
      </c>
      <c r="X99" s="127" t="s">
        <v>24</v>
      </c>
      <c r="Y99" s="127"/>
      <c r="Z99" s="127"/>
      <c r="AA99" s="127"/>
      <c r="AB99" s="127" t="s">
        <v>1141</v>
      </c>
      <c r="AC99" s="145"/>
      <c r="AD99" s="653">
        <v>1</v>
      </c>
      <c r="AE99" s="653">
        <v>2</v>
      </c>
      <c r="AF99" s="352">
        <v>1</v>
      </c>
      <c r="AG99" s="160" t="s">
        <v>24</v>
      </c>
      <c r="AH99" s="732">
        <v>0</v>
      </c>
      <c r="AI99" s="122">
        <v>4</v>
      </c>
      <c r="AJ99" s="485"/>
      <c r="AK99" s="204" t="s">
        <v>7420</v>
      </c>
      <c r="AL99" s="192">
        <v>2</v>
      </c>
      <c r="AM99" s="227">
        <v>0</v>
      </c>
      <c r="AN99" s="150">
        <f>Table66[[#This Row],[Data_Subjects_n_ptsd]]+Table66[[#This Row],[Data_Subjects_n_control]]</f>
        <v>19</v>
      </c>
      <c r="AO99" s="150">
        <v>10</v>
      </c>
      <c r="AP99" s="150">
        <v>9</v>
      </c>
      <c r="AQ99" s="150" t="s">
        <v>803</v>
      </c>
      <c r="AR99" s="150" t="s">
        <v>803</v>
      </c>
      <c r="AS99" s="150" t="s">
        <v>2494</v>
      </c>
      <c r="AT99" s="150" t="s">
        <v>24</v>
      </c>
      <c r="AU99" s="150" t="s">
        <v>2494</v>
      </c>
      <c r="AV99" s="150" t="s">
        <v>24</v>
      </c>
      <c r="AW99" s="150" t="s">
        <v>7399</v>
      </c>
      <c r="AX99" s="150">
        <v>5</v>
      </c>
      <c r="AY99" s="150">
        <v>0.8</v>
      </c>
      <c r="AZ99" s="150" t="s">
        <v>1814</v>
      </c>
      <c r="BA99" s="150">
        <v>1</v>
      </c>
      <c r="BB99" s="150">
        <v>1</v>
      </c>
      <c r="BC99" s="150" t="s">
        <v>7400</v>
      </c>
      <c r="BD99" s="753" t="s">
        <v>7523</v>
      </c>
      <c r="BE99" s="753"/>
      <c r="BF99" s="150" t="s">
        <v>1130</v>
      </c>
      <c r="BG99" s="150" t="s">
        <v>2554</v>
      </c>
      <c r="BH99" s="588"/>
      <c r="BI99" s="588"/>
      <c r="BJ99" s="161">
        <v>1</v>
      </c>
      <c r="BK99" s="161"/>
      <c r="BL99" s="161"/>
      <c r="BM99" s="161"/>
      <c r="BN99" s="161"/>
      <c r="BO99" s="161"/>
      <c r="BP99" s="161"/>
      <c r="BQ99" s="161"/>
      <c r="BR99" s="161"/>
      <c r="BS99" s="161"/>
      <c r="BT99" s="161"/>
      <c r="BU99" s="161"/>
      <c r="BV99" s="161"/>
      <c r="BW99" s="596" t="s">
        <v>7417</v>
      </c>
      <c r="BX99" s="162" t="s">
        <v>6657</v>
      </c>
      <c r="BY99" s="797" t="s">
        <v>7613</v>
      </c>
      <c r="BZ99" s="790" t="s">
        <v>803</v>
      </c>
      <c r="CA99" s="766">
        <v>1</v>
      </c>
      <c r="CB99" s="765" t="s">
        <v>7556</v>
      </c>
      <c r="CC99" s="766" t="s">
        <v>7384</v>
      </c>
      <c r="CD99" s="266" t="s">
        <v>1876</v>
      </c>
      <c r="CE99" s="150">
        <v>2</v>
      </c>
      <c r="CF99" s="400" t="s">
        <v>7581</v>
      </c>
      <c r="CG99" s="150" t="s">
        <v>7412</v>
      </c>
      <c r="CH99" s="150" t="s">
        <v>7310</v>
      </c>
      <c r="CI99" s="150" t="s">
        <v>2471</v>
      </c>
      <c r="CJ99" s="150">
        <v>0</v>
      </c>
      <c r="CK99" s="150" t="s">
        <v>2659</v>
      </c>
      <c r="CL99" s="425" t="s">
        <v>8296</v>
      </c>
      <c r="CM99" s="541" t="s">
        <v>2597</v>
      </c>
      <c r="CN99" s="257" t="s">
        <v>6627</v>
      </c>
      <c r="CO99" s="829">
        <v>3</v>
      </c>
      <c r="CP99" s="829">
        <v>5</v>
      </c>
      <c r="CQ99" s="829">
        <v>1</v>
      </c>
      <c r="CR99" s="829">
        <v>0</v>
      </c>
      <c r="CS99" s="829">
        <v>1</v>
      </c>
      <c r="CT99" s="968"/>
      <c r="CU99" s="1289" t="s">
        <v>8104</v>
      </c>
      <c r="CV99" s="1295">
        <v>46</v>
      </c>
      <c r="CW99" s="1295">
        <v>40</v>
      </c>
      <c r="CX99" s="151" t="s">
        <v>2572</v>
      </c>
      <c r="CY99" s="266">
        <v>39.285699999999999</v>
      </c>
      <c r="CZ99" s="150" t="s">
        <v>24</v>
      </c>
      <c r="DA99" s="266">
        <f>44.7802-Table66[[#This Row],[Data_Outcome1_M]]</f>
        <v>5.4945000000000022</v>
      </c>
      <c r="DB99" s="151" t="s">
        <v>2573</v>
      </c>
      <c r="DC99" s="266">
        <v>1.9230799999999999</v>
      </c>
      <c r="DD99" s="150" t="s">
        <v>24</v>
      </c>
      <c r="DE99" s="351">
        <f>3.02198-Table66[[#This Row],[Data_Outcome2_M]]</f>
        <v>1.0989000000000002</v>
      </c>
      <c r="DF99" s="642" t="s">
        <v>2590</v>
      </c>
      <c r="DG99" s="821" t="s">
        <v>2591</v>
      </c>
      <c r="DH99" s="1178"/>
      <c r="DI99" s="500"/>
      <c r="DJ99" s="1164"/>
      <c r="DK99" s="500"/>
      <c r="DL99" s="1166"/>
      <c r="DM99" s="500"/>
      <c r="DN99" s="1164"/>
      <c r="DO99" s="1150"/>
      <c r="DP99" s="290"/>
      <c r="DQ99" s="388"/>
      <c r="DR99" s="864"/>
      <c r="DS99" s="865"/>
      <c r="DT99" s="1166"/>
      <c r="DU99" s="500"/>
      <c r="DV99" s="1164"/>
      <c r="DW99" s="500"/>
      <c r="DX99" s="1164"/>
      <c r="DY99" s="500"/>
      <c r="DZ99" s="1164"/>
      <c r="EA99" s="500"/>
      <c r="EB99" s="311"/>
      <c r="EC99" s="313"/>
      <c r="ED99" s="1166"/>
      <c r="EE99" s="500"/>
      <c r="EF99" s="1164"/>
      <c r="EG99" s="500"/>
      <c r="EH99" s="1166"/>
      <c r="EI99" s="500"/>
      <c r="EJ99" s="1164"/>
      <c r="EK99" s="500"/>
      <c r="EL99" s="311"/>
      <c r="EM99" s="313"/>
      <c r="EN99" s="446"/>
      <c r="EO99" s="1729"/>
      <c r="EP99" s="1153"/>
      <c r="EQ99" s="500"/>
      <c r="ER99" s="500"/>
      <c r="ES99" s="500"/>
      <c r="ET99" s="1153"/>
      <c r="EU99" s="500"/>
      <c r="EV99" s="500"/>
      <c r="EW99" s="500"/>
      <c r="EX99" s="665"/>
      <c r="EY99" s="665"/>
      <c r="EZ99" s="1153"/>
      <c r="FA99" s="500"/>
      <c r="FB99" s="500"/>
      <c r="FC99" s="500"/>
      <c r="FD99" s="1153"/>
      <c r="FE99" s="500"/>
      <c r="FF99" s="500"/>
      <c r="FG99" s="500"/>
      <c r="FH99" s="665"/>
      <c r="FI99" s="665"/>
      <c r="FJ99" s="1729"/>
    </row>
    <row r="100" spans="1:166" s="229" customFormat="1" ht="15" hidden="1" customHeight="1">
      <c r="A100" s="1740" t="s">
        <v>1110</v>
      </c>
      <c r="B100" s="1741">
        <v>5</v>
      </c>
      <c r="C100" s="1741"/>
      <c r="D100" s="1741"/>
      <c r="E100" s="1742" t="s">
        <v>2053</v>
      </c>
      <c r="F100" s="1743" t="s">
        <v>2296</v>
      </c>
      <c r="G100" s="1744">
        <v>2014</v>
      </c>
      <c r="H100" s="1740">
        <v>24808840</v>
      </c>
      <c r="I100" s="1740">
        <v>1</v>
      </c>
      <c r="J100" s="1740">
        <v>1</v>
      </c>
      <c r="K100" s="1740"/>
      <c r="L100" s="1740">
        <v>1</v>
      </c>
      <c r="M100" s="1740"/>
      <c r="N100" s="1745">
        <v>1</v>
      </c>
      <c r="O100" s="1746">
        <v>2</v>
      </c>
      <c r="P100" s="1740" t="s">
        <v>1220</v>
      </c>
      <c r="Q100" s="1740" t="s">
        <v>1169</v>
      </c>
      <c r="R100" s="1740" t="s">
        <v>1127</v>
      </c>
      <c r="S100" s="1740"/>
      <c r="T100" s="1740" t="s">
        <v>1544</v>
      </c>
      <c r="U100" s="1740" t="s">
        <v>803</v>
      </c>
      <c r="V100" s="1740"/>
      <c r="W100" s="1740" t="s">
        <v>1140</v>
      </c>
      <c r="X100" s="1740" t="s">
        <v>24</v>
      </c>
      <c r="Y100" s="1740"/>
      <c r="Z100" s="1740"/>
      <c r="AA100" s="1740"/>
      <c r="AB100" s="1740" t="s">
        <v>1141</v>
      </c>
      <c r="AC100" s="1747"/>
      <c r="AD100" s="1748">
        <v>1</v>
      </c>
      <c r="AE100" s="1748">
        <v>2</v>
      </c>
      <c r="AF100" s="1786">
        <v>0</v>
      </c>
      <c r="AG100" s="1750" t="s">
        <v>8298</v>
      </c>
      <c r="AH100" s="1751" t="s">
        <v>7393</v>
      </c>
      <c r="AI100" s="1747">
        <v>4</v>
      </c>
      <c r="AJ100" s="1752"/>
      <c r="AK100" s="1753" t="s">
        <v>7420</v>
      </c>
      <c r="AL100" s="1754">
        <v>2</v>
      </c>
      <c r="AM100" s="1834">
        <v>0</v>
      </c>
      <c r="AN100" s="1756">
        <f>Table66[[#This Row],[Data_Subjects_n_ptsd]]+Table66[[#This Row],[Data_Subjects_n_control]]</f>
        <v>18</v>
      </c>
      <c r="AO100" s="1756">
        <v>9</v>
      </c>
      <c r="AP100" s="1756">
        <v>9</v>
      </c>
      <c r="AQ100" s="1756" t="s">
        <v>803</v>
      </c>
      <c r="AR100" s="1756" t="s">
        <v>803</v>
      </c>
      <c r="AS100" s="1756" t="s">
        <v>2494</v>
      </c>
      <c r="AT100" s="1756" t="s">
        <v>24</v>
      </c>
      <c r="AU100" s="1756" t="s">
        <v>2494</v>
      </c>
      <c r="AV100" s="1756" t="s">
        <v>24</v>
      </c>
      <c r="AW100" s="1756" t="s">
        <v>7399</v>
      </c>
      <c r="AX100" s="1756">
        <v>5</v>
      </c>
      <c r="AY100" s="1756">
        <v>0.8</v>
      </c>
      <c r="AZ100" s="1756" t="s">
        <v>1814</v>
      </c>
      <c r="BA100" s="1756">
        <v>1</v>
      </c>
      <c r="BB100" s="1756">
        <v>1</v>
      </c>
      <c r="BC100" s="1756" t="s">
        <v>7400</v>
      </c>
      <c r="BD100" s="1756" t="s">
        <v>7523</v>
      </c>
      <c r="BE100" s="1756"/>
      <c r="BF100" s="1756" t="s">
        <v>1130</v>
      </c>
      <c r="BG100" s="1756" t="s">
        <v>2554</v>
      </c>
      <c r="BH100" s="1757"/>
      <c r="BI100" s="1757"/>
      <c r="BJ100" s="1758">
        <v>1</v>
      </c>
      <c r="BK100" s="1758"/>
      <c r="BL100" s="1758"/>
      <c r="BM100" s="1758"/>
      <c r="BN100" s="1758"/>
      <c r="BO100" s="1758"/>
      <c r="BP100" s="1758"/>
      <c r="BQ100" s="1758"/>
      <c r="BR100" s="1758"/>
      <c r="BS100" s="1758"/>
      <c r="BT100" s="1758"/>
      <c r="BU100" s="1758"/>
      <c r="BV100" s="1758"/>
      <c r="BW100" s="1759" t="s">
        <v>7415</v>
      </c>
      <c r="BX100" s="1760" t="s">
        <v>6657</v>
      </c>
      <c r="BY100" s="1761" t="s">
        <v>7613</v>
      </c>
      <c r="BZ100" s="1762" t="s">
        <v>803</v>
      </c>
      <c r="CA100" s="1763">
        <v>1</v>
      </c>
      <c r="CB100" s="1763" t="s">
        <v>7556</v>
      </c>
      <c r="CC100" s="1763" t="s">
        <v>7384</v>
      </c>
      <c r="CD100" s="1746" t="s">
        <v>1876</v>
      </c>
      <c r="CE100" s="1756">
        <v>2</v>
      </c>
      <c r="CF100" s="1756" t="s">
        <v>7584</v>
      </c>
      <c r="CG100" s="1756" t="s">
        <v>7410</v>
      </c>
      <c r="CH100" s="1756" t="s">
        <v>7310</v>
      </c>
      <c r="CI100" s="1756" t="s">
        <v>2471</v>
      </c>
      <c r="CJ100" s="1756">
        <v>0</v>
      </c>
      <c r="CK100" s="1756" t="s">
        <v>2659</v>
      </c>
      <c r="CL100" s="425" t="s">
        <v>8296</v>
      </c>
      <c r="CM100" s="1842" t="s">
        <v>2597</v>
      </c>
      <c r="CN100" s="1765" t="s">
        <v>6627</v>
      </c>
      <c r="CO100" s="1766">
        <v>3</v>
      </c>
      <c r="CP100" s="1766">
        <v>2</v>
      </c>
      <c r="CQ100" s="1766">
        <v>1</v>
      </c>
      <c r="CR100" s="1766">
        <v>0</v>
      </c>
      <c r="CS100" s="1766">
        <v>1</v>
      </c>
      <c r="CT100" s="1767"/>
      <c r="CU100" s="1768" t="s">
        <v>8104</v>
      </c>
      <c r="CV100" s="1769">
        <v>52</v>
      </c>
      <c r="CW100" s="1769">
        <v>46</v>
      </c>
      <c r="CX100" s="1770" t="s">
        <v>2568</v>
      </c>
      <c r="CY100" s="1746">
        <v>65.384600000000006</v>
      </c>
      <c r="CZ100" s="1756" t="s">
        <v>24</v>
      </c>
      <c r="DA100" s="1746">
        <f>76.0989-Table66[[#This Row],[Data_Outcome1_M]]</f>
        <v>10.714299999999994</v>
      </c>
      <c r="DB100" s="1770" t="s">
        <v>2569</v>
      </c>
      <c r="DC100" s="1746">
        <v>4.9450599999999998</v>
      </c>
      <c r="DD100" s="1756" t="s">
        <v>24</v>
      </c>
      <c r="DE100" s="1843">
        <f>7.41759-Table66[[#This Row],[Data_Outcome2_M]]</f>
        <v>2.4725299999999999</v>
      </c>
      <c r="DF100" s="1771" t="s">
        <v>2589</v>
      </c>
      <c r="DG100" s="1829" t="s">
        <v>2588</v>
      </c>
      <c r="DH100" s="1782"/>
      <c r="DI100" s="1740"/>
      <c r="DJ100" s="1774"/>
      <c r="DK100" s="1740"/>
      <c r="DL100" s="1773"/>
      <c r="DM100" s="1740"/>
      <c r="DN100" s="1774"/>
      <c r="DO100" s="1783"/>
      <c r="DP100" s="1771"/>
      <c r="DQ100" s="1829"/>
      <c r="DR100" s="1849"/>
      <c r="DS100" s="1776"/>
      <c r="DT100" s="1773"/>
      <c r="DU100" s="1740"/>
      <c r="DV100" s="1774"/>
      <c r="DW100" s="1740"/>
      <c r="DX100" s="1773"/>
      <c r="DY100" s="1740"/>
      <c r="DZ100" s="1774"/>
      <c r="EA100" s="1740"/>
      <c r="EB100" s="1777"/>
      <c r="EC100" s="1778"/>
      <c r="ED100" s="1788"/>
      <c r="EE100" s="1740"/>
      <c r="EF100" s="1747"/>
      <c r="EG100" s="1740"/>
      <c r="EH100" s="1788"/>
      <c r="EI100" s="1740"/>
      <c r="EJ100" s="1774"/>
      <c r="EK100" s="1740"/>
      <c r="EL100" s="1777"/>
      <c r="EM100" s="1778"/>
      <c r="EN100" s="1850"/>
      <c r="EO100" s="1851"/>
      <c r="EP100" s="1838"/>
      <c r="EQ100" s="1740"/>
      <c r="ER100" s="1740"/>
      <c r="ES100" s="1740"/>
      <c r="ET100" s="1838"/>
      <c r="EU100" s="1740"/>
      <c r="EV100" s="1740"/>
      <c r="EW100" s="1740"/>
      <c r="EX100" s="1839"/>
      <c r="EY100" s="1839"/>
      <c r="EZ100" s="1838"/>
      <c r="FA100" s="1740"/>
      <c r="FB100" s="1740"/>
      <c r="FC100" s="1740"/>
      <c r="FD100" s="1838"/>
      <c r="FE100" s="1740"/>
      <c r="FF100" s="1740"/>
      <c r="FG100" s="1740"/>
      <c r="FH100" s="1839"/>
      <c r="FI100" s="1839"/>
      <c r="FJ100" s="1851"/>
    </row>
    <row r="101" spans="1:166" s="229" customFormat="1" ht="15" hidden="1" customHeight="1">
      <c r="A101" s="1740" t="s">
        <v>1110</v>
      </c>
      <c r="B101" s="1741">
        <v>5</v>
      </c>
      <c r="C101" s="1741"/>
      <c r="D101" s="1741"/>
      <c r="E101" s="1742" t="s">
        <v>2053</v>
      </c>
      <c r="F101" s="1743" t="s">
        <v>2296</v>
      </c>
      <c r="G101" s="1744">
        <v>2014</v>
      </c>
      <c r="H101" s="1740">
        <v>24808840</v>
      </c>
      <c r="I101" s="1740">
        <v>1</v>
      </c>
      <c r="J101" s="1740">
        <v>1</v>
      </c>
      <c r="K101" s="1740"/>
      <c r="L101" s="1740">
        <v>1</v>
      </c>
      <c r="M101" s="1740"/>
      <c r="N101" s="1745">
        <v>1</v>
      </c>
      <c r="O101" s="1746">
        <v>2</v>
      </c>
      <c r="P101" s="1740" t="s">
        <v>1220</v>
      </c>
      <c r="Q101" s="1740" t="s">
        <v>1169</v>
      </c>
      <c r="R101" s="1740" t="s">
        <v>1127</v>
      </c>
      <c r="S101" s="1740"/>
      <c r="T101" s="1740" t="s">
        <v>1544</v>
      </c>
      <c r="U101" s="1740" t="s">
        <v>803</v>
      </c>
      <c r="V101" s="1740"/>
      <c r="W101" s="1740" t="s">
        <v>1140</v>
      </c>
      <c r="X101" s="1740" t="s">
        <v>24</v>
      </c>
      <c r="Y101" s="1740"/>
      <c r="Z101" s="1740"/>
      <c r="AA101" s="1740"/>
      <c r="AB101" s="1740" t="s">
        <v>1141</v>
      </c>
      <c r="AC101" s="1747"/>
      <c r="AD101" s="1748">
        <v>1</v>
      </c>
      <c r="AE101" s="1748">
        <v>2</v>
      </c>
      <c r="AF101" s="1786">
        <v>0</v>
      </c>
      <c r="AG101" s="1750" t="s">
        <v>8298</v>
      </c>
      <c r="AH101" s="1751" t="s">
        <v>7393</v>
      </c>
      <c r="AI101" s="1747">
        <v>4</v>
      </c>
      <c r="AJ101" s="1752"/>
      <c r="AK101" s="1753" t="s">
        <v>7421</v>
      </c>
      <c r="AL101" s="1754" t="s">
        <v>7395</v>
      </c>
      <c r="AM101" s="1834">
        <v>0</v>
      </c>
      <c r="AN101" s="1756">
        <f>Table66[[#This Row],[Data_Subjects_n_ptsd]]+Table66[[#This Row],[Data_Subjects_n_control]]</f>
        <v>15</v>
      </c>
      <c r="AO101" s="1756">
        <v>8</v>
      </c>
      <c r="AP101" s="1756">
        <v>7</v>
      </c>
      <c r="AQ101" s="1756" t="s">
        <v>803</v>
      </c>
      <c r="AR101" s="1756" t="s">
        <v>803</v>
      </c>
      <c r="AS101" s="1756" t="s">
        <v>2494</v>
      </c>
      <c r="AT101" s="1756" t="s">
        <v>24</v>
      </c>
      <c r="AU101" s="1756" t="s">
        <v>2494</v>
      </c>
      <c r="AV101" s="1756" t="s">
        <v>24</v>
      </c>
      <c r="AW101" s="1756" t="s">
        <v>7397</v>
      </c>
      <c r="AX101" s="1756"/>
      <c r="AY101" s="1756"/>
      <c r="AZ101" s="1756" t="s">
        <v>7317</v>
      </c>
      <c r="BA101" s="1756">
        <v>1</v>
      </c>
      <c r="BB101" s="1756">
        <v>1</v>
      </c>
      <c r="BC101" s="1756" t="s">
        <v>7386</v>
      </c>
      <c r="BD101" s="1756" t="s">
        <v>7523</v>
      </c>
      <c r="BE101" s="1756"/>
      <c r="BF101" s="1756" t="s">
        <v>1130</v>
      </c>
      <c r="BG101" s="1756" t="s">
        <v>2554</v>
      </c>
      <c r="BH101" s="1757"/>
      <c r="BI101" s="1757"/>
      <c r="BJ101" s="1758">
        <v>1</v>
      </c>
      <c r="BK101" s="1758"/>
      <c r="BL101" s="1758"/>
      <c r="BM101" s="1758"/>
      <c r="BN101" s="1758"/>
      <c r="BO101" s="1758"/>
      <c r="BP101" s="1758"/>
      <c r="BQ101" s="1758"/>
      <c r="BR101" s="1758"/>
      <c r="BS101" s="1758"/>
      <c r="BT101" s="1758"/>
      <c r="BU101" s="1758"/>
      <c r="BV101" s="1758"/>
      <c r="BW101" s="1759" t="s">
        <v>7390</v>
      </c>
      <c r="BX101" s="1760" t="s">
        <v>6657</v>
      </c>
      <c r="BY101" s="1761" t="s">
        <v>7613</v>
      </c>
      <c r="BZ101" s="1762" t="s">
        <v>803</v>
      </c>
      <c r="CA101" s="1763">
        <v>1</v>
      </c>
      <c r="CB101" s="1763" t="s">
        <v>7556</v>
      </c>
      <c r="CC101" s="1763" t="s">
        <v>7384</v>
      </c>
      <c r="CD101" s="1746" t="s">
        <v>1876</v>
      </c>
      <c r="CE101" s="1756">
        <v>2</v>
      </c>
      <c r="CF101" s="1756" t="s">
        <v>7584</v>
      </c>
      <c r="CG101" s="1756" t="s">
        <v>7388</v>
      </c>
      <c r="CH101" s="1756" t="s">
        <v>7310</v>
      </c>
      <c r="CI101" s="1756" t="s">
        <v>2471</v>
      </c>
      <c r="CJ101" s="1756">
        <v>0</v>
      </c>
      <c r="CK101" s="1756" t="s">
        <v>2659</v>
      </c>
      <c r="CL101" s="425" t="s">
        <v>8296</v>
      </c>
      <c r="CM101" s="1842" t="s">
        <v>2556</v>
      </c>
      <c r="CN101" s="1765" t="s">
        <v>6627</v>
      </c>
      <c r="CO101" s="1766">
        <v>3</v>
      </c>
      <c r="CP101" s="1766">
        <v>3</v>
      </c>
      <c r="CQ101" s="1766">
        <v>1</v>
      </c>
      <c r="CR101" s="1766">
        <v>0</v>
      </c>
      <c r="CS101" s="1766">
        <v>1</v>
      </c>
      <c r="CT101" s="1767"/>
      <c r="CU101" s="1768" t="s">
        <v>8104</v>
      </c>
      <c r="CV101" s="1769">
        <v>53</v>
      </c>
      <c r="CW101" s="1769">
        <v>47</v>
      </c>
      <c r="CX101" s="1770" t="s">
        <v>2498</v>
      </c>
      <c r="CY101" s="1746">
        <v>19.633099999999999</v>
      </c>
      <c r="CZ101" s="1837" t="s">
        <v>24</v>
      </c>
      <c r="DA101" s="1746">
        <f>26.7074-Table66[[#This Row],[Data_Outcome1_M]]</f>
        <v>7.0743000000000009</v>
      </c>
      <c r="DB101" s="1770" t="s">
        <v>2497</v>
      </c>
      <c r="DC101" s="1746">
        <v>1.22112</v>
      </c>
      <c r="DD101" s="1756" t="s">
        <v>24</v>
      </c>
      <c r="DE101" s="1746">
        <f>2.07855-DC101</f>
        <v>0.85742999999999991</v>
      </c>
      <c r="DF101" s="1785" t="s">
        <v>2561</v>
      </c>
      <c r="DG101" s="1836" t="s">
        <v>2555</v>
      </c>
      <c r="DH101" s="1782" t="s">
        <v>24</v>
      </c>
      <c r="DI101" s="1740"/>
      <c r="DJ101" s="1774"/>
      <c r="DK101" s="1740"/>
      <c r="DL101" s="1773"/>
      <c r="DM101" s="1740"/>
      <c r="DN101" s="1774"/>
      <c r="DO101" s="1783"/>
      <c r="DP101" s="1771"/>
      <c r="DQ101" s="1829"/>
      <c r="DR101" s="1849"/>
      <c r="DS101" s="1776"/>
      <c r="DT101" s="1773"/>
      <c r="DU101" s="1740"/>
      <c r="DV101" s="1774"/>
      <c r="DW101" s="1740"/>
      <c r="DX101" s="1773"/>
      <c r="DY101" s="1740"/>
      <c r="DZ101" s="1774"/>
      <c r="EA101" s="1740"/>
      <c r="EB101" s="1777"/>
      <c r="EC101" s="1778"/>
      <c r="ED101" s="1747"/>
      <c r="EE101" s="1740"/>
      <c r="EF101" s="1747"/>
      <c r="EG101" s="1740"/>
      <c r="EH101" s="1747"/>
      <c r="EI101" s="1740"/>
      <c r="EJ101" s="1774"/>
      <c r="EK101" s="1740"/>
      <c r="EL101" s="1777"/>
      <c r="EM101" s="1778"/>
      <c r="EN101" s="1850"/>
      <c r="EO101" s="1851"/>
      <c r="EP101" s="1740"/>
      <c r="EQ101" s="1740"/>
      <c r="ER101" s="1740"/>
      <c r="ES101" s="1740"/>
      <c r="ET101" s="1838"/>
      <c r="EU101" s="1740"/>
      <c r="EV101" s="1740"/>
      <c r="EW101" s="1740"/>
      <c r="EX101" s="1839"/>
      <c r="EY101" s="1839"/>
      <c r="EZ101" s="1838"/>
      <c r="FA101" s="1740"/>
      <c r="FB101" s="1740"/>
      <c r="FC101" s="1740"/>
      <c r="FD101" s="1838"/>
      <c r="FE101" s="1740"/>
      <c r="FF101" s="1740"/>
      <c r="FG101" s="1740"/>
      <c r="FH101" s="1839"/>
      <c r="FI101" s="1839"/>
      <c r="FJ101" s="1851"/>
    </row>
    <row r="102" spans="1:166" s="229" customFormat="1" ht="15" hidden="1" customHeight="1">
      <c r="A102" s="158" t="s">
        <v>121</v>
      </c>
      <c r="B102" s="1094">
        <v>93</v>
      </c>
      <c r="C102" s="1094">
        <v>17</v>
      </c>
      <c r="D102" s="1094"/>
      <c r="E102" s="1095" t="s">
        <v>1940</v>
      </c>
      <c r="F102" s="711" t="s">
        <v>2159</v>
      </c>
      <c r="G102" s="1096">
        <v>2002</v>
      </c>
      <c r="H102" s="158">
        <v>12607144</v>
      </c>
      <c r="I102" s="158">
        <v>1</v>
      </c>
      <c r="J102" s="158"/>
      <c r="K102" s="158"/>
      <c r="L102" s="158">
        <v>1</v>
      </c>
      <c r="M102" s="158"/>
      <c r="N102" s="158">
        <v>1</v>
      </c>
      <c r="O102" s="158">
        <v>1</v>
      </c>
      <c r="P102" s="158" t="s">
        <v>408</v>
      </c>
      <c r="Q102" s="158"/>
      <c r="R102" s="158" t="s">
        <v>25</v>
      </c>
      <c r="S102" s="158">
        <v>1</v>
      </c>
      <c r="T102" s="158"/>
      <c r="U102" s="158"/>
      <c r="V102" s="158"/>
      <c r="W102" s="158"/>
      <c r="X102" s="158"/>
      <c r="Y102" s="158"/>
      <c r="Z102" s="158"/>
      <c r="AA102" s="158"/>
      <c r="AB102" s="158"/>
      <c r="AC102" s="800"/>
      <c r="AD102" s="536">
        <v>1</v>
      </c>
      <c r="AE102" s="536">
        <v>2</v>
      </c>
      <c r="AF102" s="743">
        <v>0</v>
      </c>
      <c r="AG102" s="744" t="s">
        <v>7750</v>
      </c>
      <c r="AH102" s="509"/>
      <c r="AI102" s="734">
        <v>2</v>
      </c>
      <c r="AJ102" s="734"/>
      <c r="AK102" s="739" t="s">
        <v>3991</v>
      </c>
      <c r="AL102" s="372">
        <v>1</v>
      </c>
      <c r="AM102" s="724">
        <v>0</v>
      </c>
      <c r="AN102" s="734" t="s">
        <v>3990</v>
      </c>
      <c r="AO102" s="734" t="s">
        <v>3989</v>
      </c>
      <c r="AP102" s="734">
        <v>80</v>
      </c>
      <c r="AQ102" s="734" t="s">
        <v>803</v>
      </c>
      <c r="AR102" s="734" t="s">
        <v>803</v>
      </c>
      <c r="AS102" s="734" t="s">
        <v>3992</v>
      </c>
      <c r="AT102" s="734" t="s">
        <v>3993</v>
      </c>
      <c r="AU102" s="734">
        <v>37.950000000000003</v>
      </c>
      <c r="AV102" s="734">
        <v>2.56</v>
      </c>
      <c r="AW102" s="734" t="s">
        <v>3994</v>
      </c>
      <c r="AX102" s="734" t="s">
        <v>24</v>
      </c>
      <c r="AY102" s="734"/>
      <c r="AZ102" s="755" t="s">
        <v>1874</v>
      </c>
      <c r="BA102" s="734" t="s">
        <v>24</v>
      </c>
      <c r="BB102" s="734" t="s">
        <v>24</v>
      </c>
      <c r="BC102" s="734" t="s">
        <v>2423</v>
      </c>
      <c r="BD102" s="755" t="s">
        <v>7521</v>
      </c>
      <c r="BE102" s="755"/>
      <c r="BF102" s="734" t="s">
        <v>3835</v>
      </c>
      <c r="BG102" s="734" t="s">
        <v>3995</v>
      </c>
      <c r="BH102" s="372"/>
      <c r="BI102" s="372"/>
      <c r="BJ102" s="735"/>
      <c r="BK102" s="735"/>
      <c r="BL102" s="735"/>
      <c r="BM102" s="735"/>
      <c r="BN102" s="735"/>
      <c r="BO102" s="735"/>
      <c r="BP102" s="735">
        <v>1</v>
      </c>
      <c r="BQ102" s="735"/>
      <c r="BR102" s="735"/>
      <c r="BS102" s="735"/>
      <c r="BT102" s="735"/>
      <c r="BU102" s="735"/>
      <c r="BV102" s="735"/>
      <c r="BW102" s="735" t="s">
        <v>4000</v>
      </c>
      <c r="BX102" s="736" t="s">
        <v>6609</v>
      </c>
      <c r="BY102" s="799" t="s">
        <v>7616</v>
      </c>
      <c r="BZ102" s="374" t="s">
        <v>803</v>
      </c>
      <c r="CA102" s="510">
        <v>2</v>
      </c>
      <c r="CB102" s="510" t="s">
        <v>7556</v>
      </c>
      <c r="CC102" s="510" t="s">
        <v>24</v>
      </c>
      <c r="CD102" s="734" t="s">
        <v>1876</v>
      </c>
      <c r="CE102" s="734" t="s">
        <v>4003</v>
      </c>
      <c r="CF102" s="786"/>
      <c r="CG102" s="734" t="s">
        <v>4007</v>
      </c>
      <c r="CH102" s="755" t="s">
        <v>7313</v>
      </c>
      <c r="CI102" s="734" t="s">
        <v>24</v>
      </c>
      <c r="CJ102" s="734"/>
      <c r="CK102" s="734" t="s">
        <v>4010</v>
      </c>
      <c r="CL102" s="734"/>
      <c r="CM102" s="737" t="s">
        <v>4062</v>
      </c>
      <c r="CN102" s="738">
        <v>0</v>
      </c>
      <c r="CO102" s="738"/>
      <c r="CP102" s="738"/>
      <c r="CQ102" s="738"/>
      <c r="CR102" s="738"/>
      <c r="CS102" s="738"/>
      <c r="CT102" s="738"/>
      <c r="CU102" s="738"/>
      <c r="CV102" s="738"/>
      <c r="CW102" s="738"/>
      <c r="CX102" s="736" t="s">
        <v>4038</v>
      </c>
      <c r="CY102" s="734">
        <v>44.18</v>
      </c>
      <c r="CZ102" s="957">
        <v>9.2799999999999994</v>
      </c>
      <c r="DA102" s="734" t="s">
        <v>24</v>
      </c>
      <c r="DB102" s="736" t="s">
        <v>4043</v>
      </c>
      <c r="DC102" s="734">
        <v>47.84</v>
      </c>
      <c r="DD102" s="734">
        <v>7.93</v>
      </c>
      <c r="DE102" s="734" t="s">
        <v>24</v>
      </c>
      <c r="DF102" s="515" t="s">
        <v>24</v>
      </c>
      <c r="DG102" s="513" t="s">
        <v>24</v>
      </c>
      <c r="DH102" s="1180" t="s">
        <v>4052</v>
      </c>
      <c r="DI102" s="734">
        <v>45.18</v>
      </c>
      <c r="DJ102" s="778">
        <v>8.92</v>
      </c>
      <c r="DK102" s="734" t="s">
        <v>24</v>
      </c>
      <c r="DL102" s="1180" t="s">
        <v>4039</v>
      </c>
      <c r="DM102" s="734">
        <v>5.01</v>
      </c>
      <c r="DN102" s="778">
        <v>1.82</v>
      </c>
      <c r="DO102" s="734" t="s">
        <v>24</v>
      </c>
      <c r="DP102" s="737" t="s">
        <v>24</v>
      </c>
      <c r="DQ102" s="372" t="s">
        <v>24</v>
      </c>
      <c r="DR102" s="1182" t="s">
        <v>24</v>
      </c>
      <c r="DS102" s="956" t="s">
        <v>24</v>
      </c>
      <c r="DT102" s="736" t="s">
        <v>4044</v>
      </c>
      <c r="DU102" s="734">
        <v>5.21</v>
      </c>
      <c r="DV102" s="778">
        <v>1.61</v>
      </c>
      <c r="DW102" s="778" t="s">
        <v>24</v>
      </c>
      <c r="DX102" s="1180" t="s">
        <v>4048</v>
      </c>
      <c r="DY102" s="778">
        <v>5.42</v>
      </c>
      <c r="DZ102" s="778">
        <v>1.63</v>
      </c>
      <c r="EA102" s="778" t="s">
        <v>24</v>
      </c>
      <c r="EB102" s="738" t="s">
        <v>24</v>
      </c>
      <c r="EC102" s="734" t="s">
        <v>24</v>
      </c>
      <c r="ED102" s="778" t="s">
        <v>4040</v>
      </c>
      <c r="EE102" s="778">
        <v>9.44</v>
      </c>
      <c r="EF102" s="778">
        <v>2.78</v>
      </c>
      <c r="EG102" s="778" t="s">
        <v>24</v>
      </c>
      <c r="EH102" s="778" t="s">
        <v>4045</v>
      </c>
      <c r="EI102" s="778">
        <v>10.11</v>
      </c>
      <c r="EJ102" s="778">
        <v>2.65</v>
      </c>
      <c r="EK102" s="778" t="s">
        <v>24</v>
      </c>
      <c r="EL102" s="1181" t="s">
        <v>24</v>
      </c>
      <c r="EM102" s="778" t="s">
        <v>24</v>
      </c>
      <c r="EN102" s="1181" t="s">
        <v>24</v>
      </c>
      <c r="EO102" s="778" t="s">
        <v>24</v>
      </c>
      <c r="EP102" s="778" t="s">
        <v>4049</v>
      </c>
      <c r="EQ102" s="778">
        <v>9.8800000000000008</v>
      </c>
      <c r="ER102" s="778">
        <v>2.69</v>
      </c>
      <c r="ES102" s="778" t="s">
        <v>24</v>
      </c>
      <c r="ET102" s="778" t="s">
        <v>4041</v>
      </c>
      <c r="EU102" s="778">
        <v>9.9600000000000009</v>
      </c>
      <c r="EV102" s="778">
        <v>2.82</v>
      </c>
      <c r="EW102" s="778" t="s">
        <v>24</v>
      </c>
      <c r="EX102" s="778" t="s">
        <v>24</v>
      </c>
      <c r="EY102" s="778" t="s">
        <v>24</v>
      </c>
      <c r="EZ102" s="1180" t="s">
        <v>4046</v>
      </c>
      <c r="FA102" s="778">
        <v>10.44</v>
      </c>
      <c r="FB102" s="778">
        <v>2.57</v>
      </c>
      <c r="FC102" s="778" t="s">
        <v>24</v>
      </c>
      <c r="FD102" s="1180" t="s">
        <v>4050</v>
      </c>
      <c r="FE102" s="778">
        <v>10.73</v>
      </c>
      <c r="FF102" s="778">
        <v>2.27</v>
      </c>
      <c r="FG102" s="778" t="s">
        <v>24</v>
      </c>
      <c r="FH102" s="778" t="s">
        <v>24</v>
      </c>
      <c r="FI102" s="778" t="s">
        <v>24</v>
      </c>
      <c r="FJ102" s="778" t="s">
        <v>24</v>
      </c>
    </row>
    <row r="103" spans="1:166" s="229" customFormat="1" ht="15" hidden="1" customHeight="1">
      <c r="A103" s="158" t="s">
        <v>121</v>
      </c>
      <c r="B103" s="1094">
        <v>93</v>
      </c>
      <c r="C103" s="1094">
        <v>17</v>
      </c>
      <c r="D103" s="1094"/>
      <c r="E103" s="1095" t="s">
        <v>1940</v>
      </c>
      <c r="F103" s="711" t="s">
        <v>2159</v>
      </c>
      <c r="G103" s="1096">
        <v>2002</v>
      </c>
      <c r="H103" s="158">
        <v>12607144</v>
      </c>
      <c r="I103" s="158">
        <v>1</v>
      </c>
      <c r="J103" s="158"/>
      <c r="K103" s="158"/>
      <c r="L103" s="158">
        <v>1</v>
      </c>
      <c r="M103" s="158"/>
      <c r="N103" s="158">
        <v>1</v>
      </c>
      <c r="O103" s="158">
        <v>1</v>
      </c>
      <c r="P103" s="158" t="s">
        <v>408</v>
      </c>
      <c r="Q103" s="158"/>
      <c r="R103" s="158" t="s">
        <v>25</v>
      </c>
      <c r="S103" s="158">
        <v>1</v>
      </c>
      <c r="T103" s="158"/>
      <c r="U103" s="158"/>
      <c r="V103" s="158"/>
      <c r="W103" s="158"/>
      <c r="X103" s="158"/>
      <c r="Y103" s="158"/>
      <c r="Z103" s="158"/>
      <c r="AA103" s="158"/>
      <c r="AB103" s="158"/>
      <c r="AC103" s="800"/>
      <c r="AD103" s="536">
        <v>1</v>
      </c>
      <c r="AE103" s="536">
        <v>2</v>
      </c>
      <c r="AF103" s="743">
        <v>0</v>
      </c>
      <c r="AG103" s="744" t="s">
        <v>7750</v>
      </c>
      <c r="AH103" s="509"/>
      <c r="AI103" s="734">
        <v>2</v>
      </c>
      <c r="AJ103" s="734"/>
      <c r="AK103" s="739" t="s">
        <v>3991</v>
      </c>
      <c r="AL103" s="372">
        <v>1</v>
      </c>
      <c r="AM103" s="724">
        <v>0</v>
      </c>
      <c r="AN103" s="734" t="s">
        <v>3990</v>
      </c>
      <c r="AO103" s="734" t="s">
        <v>3989</v>
      </c>
      <c r="AP103" s="734">
        <v>80</v>
      </c>
      <c r="AQ103" s="734" t="s">
        <v>803</v>
      </c>
      <c r="AR103" s="734" t="s">
        <v>803</v>
      </c>
      <c r="AS103" s="734" t="s">
        <v>3992</v>
      </c>
      <c r="AT103" s="734" t="s">
        <v>3993</v>
      </c>
      <c r="AU103" s="734">
        <v>37.950000000000003</v>
      </c>
      <c r="AV103" s="734">
        <v>2.56</v>
      </c>
      <c r="AW103" s="734" t="s">
        <v>3994</v>
      </c>
      <c r="AX103" s="734" t="s">
        <v>24</v>
      </c>
      <c r="AY103" s="734"/>
      <c r="AZ103" s="755" t="s">
        <v>1874</v>
      </c>
      <c r="BA103" s="734" t="s">
        <v>24</v>
      </c>
      <c r="BB103" s="734" t="s">
        <v>24</v>
      </c>
      <c r="BC103" s="734" t="s">
        <v>2423</v>
      </c>
      <c r="BD103" s="755" t="s">
        <v>7521</v>
      </c>
      <c r="BE103" s="755"/>
      <c r="BF103" s="734" t="s">
        <v>3835</v>
      </c>
      <c r="BG103" s="734" t="s">
        <v>3995</v>
      </c>
      <c r="BH103" s="372"/>
      <c r="BI103" s="372"/>
      <c r="BJ103" s="735"/>
      <c r="BK103" s="735"/>
      <c r="BL103" s="735"/>
      <c r="BM103" s="735"/>
      <c r="BN103" s="735"/>
      <c r="BO103" s="735"/>
      <c r="BP103" s="735">
        <v>1</v>
      </c>
      <c r="BQ103" s="735"/>
      <c r="BR103" s="735"/>
      <c r="BS103" s="735"/>
      <c r="BT103" s="735"/>
      <c r="BU103" s="735"/>
      <c r="BV103" s="735"/>
      <c r="BW103" s="735" t="s">
        <v>4001</v>
      </c>
      <c r="BX103" s="736" t="s">
        <v>6612</v>
      </c>
      <c r="BY103" s="799" t="s">
        <v>7617</v>
      </c>
      <c r="BZ103" s="736" t="s">
        <v>803</v>
      </c>
      <c r="CA103" s="510">
        <v>2</v>
      </c>
      <c r="CB103" s="510" t="s">
        <v>7556</v>
      </c>
      <c r="CC103" s="510" t="s">
        <v>24</v>
      </c>
      <c r="CD103" s="734" t="s">
        <v>1876</v>
      </c>
      <c r="CE103" s="734" t="s">
        <v>4003</v>
      </c>
      <c r="CF103" s="786"/>
      <c r="CG103" s="734" t="s">
        <v>4005</v>
      </c>
      <c r="CH103" s="755" t="s">
        <v>7336</v>
      </c>
      <c r="CI103" s="734" t="s">
        <v>24</v>
      </c>
      <c r="CJ103" s="734"/>
      <c r="CK103" s="734"/>
      <c r="CL103" s="734"/>
      <c r="CM103" s="737" t="s">
        <v>4062</v>
      </c>
      <c r="CN103" s="738">
        <v>0</v>
      </c>
      <c r="CO103" s="738"/>
      <c r="CP103" s="738"/>
      <c r="CQ103" s="738"/>
      <c r="CR103" s="738"/>
      <c r="CS103" s="738"/>
      <c r="CT103" s="738"/>
      <c r="CU103" s="738"/>
      <c r="CV103" s="738"/>
      <c r="CW103" s="738"/>
      <c r="CX103" s="736" t="s">
        <v>4029</v>
      </c>
      <c r="CY103" s="734">
        <v>19.600000000000001</v>
      </c>
      <c r="CZ103" s="734">
        <v>6.3</v>
      </c>
      <c r="DA103" s="734" t="s">
        <v>24</v>
      </c>
      <c r="DB103" s="736" t="s">
        <v>4031</v>
      </c>
      <c r="DC103" s="734">
        <v>20.56</v>
      </c>
      <c r="DD103" s="734">
        <v>6.06</v>
      </c>
      <c r="DE103" s="734" t="s">
        <v>24</v>
      </c>
      <c r="DF103" s="515" t="s">
        <v>24</v>
      </c>
      <c r="DG103" s="513" t="s">
        <v>24</v>
      </c>
      <c r="DH103" s="1180" t="s">
        <v>4033</v>
      </c>
      <c r="DI103" s="734">
        <v>19.16</v>
      </c>
      <c r="DJ103" s="778">
        <v>6.56</v>
      </c>
      <c r="DK103" s="734" t="s">
        <v>24</v>
      </c>
      <c r="DL103" s="1180" t="s">
        <v>24</v>
      </c>
      <c r="DM103" s="734" t="s">
        <v>24</v>
      </c>
      <c r="DN103" s="778" t="s">
        <v>24</v>
      </c>
      <c r="DO103" s="734" t="s">
        <v>24</v>
      </c>
      <c r="DP103" s="737" t="s">
        <v>24</v>
      </c>
      <c r="DQ103" s="372" t="s">
        <v>24</v>
      </c>
      <c r="DR103" s="1182" t="s">
        <v>24</v>
      </c>
      <c r="DS103" s="956" t="s">
        <v>24</v>
      </c>
      <c r="DT103" s="800" t="s">
        <v>24</v>
      </c>
      <c r="DU103" s="800" t="s">
        <v>24</v>
      </c>
      <c r="DV103" s="1249" t="s">
        <v>24</v>
      </c>
      <c r="DW103" s="1249" t="s">
        <v>24</v>
      </c>
      <c r="DX103" s="1249" t="s">
        <v>24</v>
      </c>
      <c r="DY103" s="1249" t="s">
        <v>24</v>
      </c>
      <c r="DZ103" s="1249" t="s">
        <v>24</v>
      </c>
      <c r="EA103" s="1249" t="s">
        <v>24</v>
      </c>
      <c r="EB103" s="738" t="s">
        <v>24</v>
      </c>
      <c r="EC103" s="734" t="s">
        <v>24</v>
      </c>
      <c r="ED103" s="1249" t="s">
        <v>24</v>
      </c>
      <c r="EE103" s="1249" t="s">
        <v>24</v>
      </c>
      <c r="EF103" s="1249" t="s">
        <v>24</v>
      </c>
      <c r="EG103" s="1249" t="s">
        <v>24</v>
      </c>
      <c r="EH103" s="1249" t="s">
        <v>24</v>
      </c>
      <c r="EI103" s="1249" t="s">
        <v>24</v>
      </c>
      <c r="EJ103" s="1249" t="s">
        <v>24</v>
      </c>
      <c r="EK103" s="1249" t="s">
        <v>24</v>
      </c>
      <c r="EL103" s="1181" t="s">
        <v>24</v>
      </c>
      <c r="EM103" s="778" t="s">
        <v>24</v>
      </c>
      <c r="EN103" s="1181" t="s">
        <v>24</v>
      </c>
      <c r="EO103" s="778" t="s">
        <v>24</v>
      </c>
      <c r="EP103" s="778"/>
      <c r="EQ103" s="778"/>
      <c r="ER103" s="778"/>
      <c r="ES103" s="778"/>
      <c r="ET103" s="1180"/>
      <c r="EU103" s="778"/>
      <c r="EV103" s="778"/>
      <c r="EW103" s="778"/>
      <c r="EX103" s="778"/>
      <c r="EY103" s="778"/>
      <c r="EZ103" s="1180"/>
      <c r="FA103" s="778"/>
      <c r="FB103" s="778"/>
      <c r="FC103" s="778"/>
      <c r="FD103" s="1180"/>
      <c r="FE103" s="778"/>
      <c r="FF103" s="778"/>
      <c r="FG103" s="778"/>
      <c r="FH103" s="778"/>
      <c r="FI103" s="778"/>
      <c r="FJ103" s="372"/>
    </row>
    <row r="104" spans="1:166" s="229" customFormat="1" ht="15" hidden="1" customHeight="1">
      <c r="A104" s="118" t="s">
        <v>121</v>
      </c>
      <c r="B104" s="616">
        <v>93</v>
      </c>
      <c r="C104" s="616">
        <v>17</v>
      </c>
      <c r="D104" s="616"/>
      <c r="E104" s="605" t="s">
        <v>1940</v>
      </c>
      <c r="F104" s="140" t="s">
        <v>2159</v>
      </c>
      <c r="G104" s="141">
        <v>2002</v>
      </c>
      <c r="H104" s="118">
        <v>12607144</v>
      </c>
      <c r="I104" s="118">
        <v>1</v>
      </c>
      <c r="J104" s="118"/>
      <c r="K104" s="118"/>
      <c r="L104" s="118">
        <v>1</v>
      </c>
      <c r="M104" s="118"/>
      <c r="N104" s="118">
        <v>1</v>
      </c>
      <c r="O104" s="142">
        <v>1</v>
      </c>
      <c r="P104" s="118" t="s">
        <v>408</v>
      </c>
      <c r="Q104" s="118"/>
      <c r="R104" s="118" t="s">
        <v>25</v>
      </c>
      <c r="S104" s="118">
        <v>1</v>
      </c>
      <c r="T104" s="118"/>
      <c r="U104" s="118"/>
      <c r="V104" s="118"/>
      <c r="W104" s="118"/>
      <c r="X104" s="118"/>
      <c r="Y104" s="118"/>
      <c r="Z104" s="118"/>
      <c r="AA104" s="118"/>
      <c r="AB104" s="118"/>
      <c r="AC104" s="145"/>
      <c r="AD104" s="573">
        <v>1</v>
      </c>
      <c r="AE104" s="573">
        <v>2</v>
      </c>
      <c r="AF104" s="909">
        <v>2</v>
      </c>
      <c r="AG104" s="910" t="s">
        <v>642</v>
      </c>
      <c r="AH104" s="911"/>
      <c r="AI104" s="912">
        <v>2</v>
      </c>
      <c r="AJ104" s="912"/>
      <c r="AK104" s="913" t="s">
        <v>3991</v>
      </c>
      <c r="AL104" s="588">
        <v>1</v>
      </c>
      <c r="AM104" s="914" t="s">
        <v>24</v>
      </c>
      <c r="AN104" s="912" t="s">
        <v>3990</v>
      </c>
      <c r="AO104" s="912" t="s">
        <v>3989</v>
      </c>
      <c r="AP104" s="912">
        <v>80</v>
      </c>
      <c r="AQ104" s="912" t="s">
        <v>803</v>
      </c>
      <c r="AR104" s="912" t="s">
        <v>803</v>
      </c>
      <c r="AS104" s="912" t="s">
        <v>3992</v>
      </c>
      <c r="AT104" s="912" t="s">
        <v>3993</v>
      </c>
      <c r="AU104" s="912">
        <v>37.950000000000003</v>
      </c>
      <c r="AV104" s="912">
        <v>2.56</v>
      </c>
      <c r="AW104" s="912" t="s">
        <v>3994</v>
      </c>
      <c r="AX104" s="150" t="s">
        <v>24</v>
      </c>
      <c r="AY104" s="912"/>
      <c r="AZ104" s="915" t="s">
        <v>1874</v>
      </c>
      <c r="BA104" s="912" t="s">
        <v>24</v>
      </c>
      <c r="BB104" s="912" t="s">
        <v>24</v>
      </c>
      <c r="BC104" s="912" t="s">
        <v>2423</v>
      </c>
      <c r="BD104" s="915" t="s">
        <v>7521</v>
      </c>
      <c r="BE104" s="915"/>
      <c r="BF104" s="912" t="s">
        <v>3835</v>
      </c>
      <c r="BG104" s="912" t="s">
        <v>3995</v>
      </c>
      <c r="BH104" s="588"/>
      <c r="BI104" s="588"/>
      <c r="BJ104" s="161"/>
      <c r="BK104" s="161"/>
      <c r="BL104" s="161"/>
      <c r="BM104" s="161"/>
      <c r="BN104" s="161"/>
      <c r="BO104" s="161">
        <v>1</v>
      </c>
      <c r="BP104" s="161"/>
      <c r="BQ104" s="161"/>
      <c r="BR104" s="161"/>
      <c r="BS104" s="161"/>
      <c r="BT104" s="161"/>
      <c r="BU104" s="161"/>
      <c r="BV104" s="161"/>
      <c r="BW104" s="161" t="s">
        <v>4002</v>
      </c>
      <c r="BX104" s="916"/>
      <c r="BY104" s="916"/>
      <c r="BZ104" s="916"/>
      <c r="CA104" s="917"/>
      <c r="CB104" s="917"/>
      <c r="CC104" s="917"/>
      <c r="CD104" s="912" t="s">
        <v>1876</v>
      </c>
      <c r="CE104" s="912" t="s">
        <v>4003</v>
      </c>
      <c r="CF104" s="912"/>
      <c r="CG104" s="912" t="s">
        <v>4008</v>
      </c>
      <c r="CH104" s="915" t="s">
        <v>7315</v>
      </c>
      <c r="CI104" s="912" t="s">
        <v>24</v>
      </c>
      <c r="CJ104" s="912"/>
      <c r="CK104" s="912" t="s">
        <v>4009</v>
      </c>
      <c r="CL104" s="912"/>
      <c r="CM104" s="918" t="s">
        <v>4062</v>
      </c>
      <c r="CN104" s="919"/>
      <c r="CO104" s="919"/>
      <c r="CP104" s="919"/>
      <c r="CQ104" s="919"/>
      <c r="CR104" s="919"/>
      <c r="CS104" s="919"/>
      <c r="CT104" s="968"/>
      <c r="CU104" s="968"/>
      <c r="CV104" s="968"/>
      <c r="CW104" s="968"/>
      <c r="CX104" s="916" t="s">
        <v>4030</v>
      </c>
      <c r="CY104" s="912">
        <v>5.14</v>
      </c>
      <c r="CZ104" s="912">
        <v>1.6</v>
      </c>
      <c r="DA104" s="912" t="s">
        <v>24</v>
      </c>
      <c r="DB104" s="916" t="s">
        <v>4032</v>
      </c>
      <c r="DC104" s="912">
        <v>5.49</v>
      </c>
      <c r="DD104" s="912">
        <v>1.23</v>
      </c>
      <c r="DE104" s="912" t="s">
        <v>24</v>
      </c>
      <c r="DF104" s="920" t="s">
        <v>24</v>
      </c>
      <c r="DG104" s="598" t="s">
        <v>24</v>
      </c>
      <c r="DH104" s="1241" t="s">
        <v>4034</v>
      </c>
      <c r="DI104" s="1240">
        <v>5.21</v>
      </c>
      <c r="DJ104" s="1240">
        <v>1.47</v>
      </c>
      <c r="DK104" s="1240" t="s">
        <v>24</v>
      </c>
      <c r="DL104" s="1243" t="s">
        <v>4035</v>
      </c>
      <c r="DM104" s="942">
        <v>14.03</v>
      </c>
      <c r="DN104" s="1240">
        <v>14.02</v>
      </c>
      <c r="DO104" s="1137" t="s">
        <v>24</v>
      </c>
      <c r="DP104" s="918" t="s">
        <v>24</v>
      </c>
      <c r="DQ104" s="588" t="s">
        <v>24</v>
      </c>
      <c r="DR104" s="1187" t="s">
        <v>24</v>
      </c>
      <c r="DS104" s="1186" t="s">
        <v>24</v>
      </c>
      <c r="DT104" s="921" t="s">
        <v>4036</v>
      </c>
      <c r="DU104" s="942">
        <v>14.45</v>
      </c>
      <c r="DV104" s="912">
        <v>16.600000000000001</v>
      </c>
      <c r="DW104" s="942" t="s">
        <v>24</v>
      </c>
      <c r="DX104" s="921" t="s">
        <v>4037</v>
      </c>
      <c r="DY104" s="1240">
        <v>16.46</v>
      </c>
      <c r="DZ104" s="1240">
        <v>14.42</v>
      </c>
      <c r="EA104" s="1240" t="s">
        <v>24</v>
      </c>
      <c r="EB104" s="919" t="s">
        <v>24</v>
      </c>
      <c r="EC104" s="912" t="s">
        <v>24</v>
      </c>
      <c r="ED104" s="912" t="s">
        <v>24</v>
      </c>
      <c r="EE104" s="942" t="s">
        <v>24</v>
      </c>
      <c r="EF104" s="912" t="s">
        <v>24</v>
      </c>
      <c r="EG104" s="942" t="s">
        <v>24</v>
      </c>
      <c r="EH104" s="912" t="s">
        <v>24</v>
      </c>
      <c r="EI104" s="942" t="s">
        <v>24</v>
      </c>
      <c r="EJ104" s="1240" t="s">
        <v>24</v>
      </c>
      <c r="EK104" s="942" t="s">
        <v>24</v>
      </c>
      <c r="EL104" s="919" t="s">
        <v>24</v>
      </c>
      <c r="EM104" s="912" t="s">
        <v>24</v>
      </c>
      <c r="EN104" s="1242" t="s">
        <v>24</v>
      </c>
      <c r="EO104" s="1240" t="s">
        <v>24</v>
      </c>
      <c r="EP104" s="1240"/>
      <c r="EQ104" s="1240"/>
      <c r="ER104" s="1240"/>
      <c r="ES104" s="1240"/>
      <c r="ET104" s="942"/>
      <c r="EU104" s="942"/>
      <c r="EV104" s="942"/>
      <c r="EW104" s="942"/>
      <c r="EX104" s="1240"/>
      <c r="EY104" s="1240"/>
      <c r="EZ104" s="943"/>
      <c r="FA104" s="942"/>
      <c r="FB104" s="942"/>
      <c r="FC104" s="942"/>
      <c r="FD104" s="1241"/>
      <c r="FE104" s="1240"/>
      <c r="FF104" s="1240"/>
      <c r="FG104" s="1240"/>
      <c r="FH104" s="1240"/>
      <c r="FI104" s="1240"/>
      <c r="FJ104" s="1240"/>
    </row>
    <row r="105" spans="1:166" s="229" customFormat="1" ht="15" hidden="1" customHeight="1">
      <c r="A105" s="118" t="s">
        <v>121</v>
      </c>
      <c r="B105" s="616">
        <v>93</v>
      </c>
      <c r="C105" s="616">
        <v>17</v>
      </c>
      <c r="D105" s="616"/>
      <c r="E105" s="605" t="s">
        <v>1940</v>
      </c>
      <c r="F105" s="140" t="s">
        <v>2159</v>
      </c>
      <c r="G105" s="141">
        <v>2002</v>
      </c>
      <c r="H105" s="118">
        <v>12607144</v>
      </c>
      <c r="I105" s="118">
        <v>1</v>
      </c>
      <c r="J105" s="118"/>
      <c r="K105" s="118"/>
      <c r="L105" s="118">
        <v>1</v>
      </c>
      <c r="M105" s="118"/>
      <c r="N105" s="118">
        <v>1</v>
      </c>
      <c r="O105" s="142">
        <v>1</v>
      </c>
      <c r="P105" s="118" t="s">
        <v>408</v>
      </c>
      <c r="Q105" s="118"/>
      <c r="R105" s="118" t="s">
        <v>25</v>
      </c>
      <c r="S105" s="118">
        <v>1</v>
      </c>
      <c r="T105" s="118"/>
      <c r="U105" s="118"/>
      <c r="V105" s="118"/>
      <c r="W105" s="118"/>
      <c r="X105" s="118"/>
      <c r="Y105" s="118"/>
      <c r="Z105" s="118"/>
      <c r="AA105" s="118"/>
      <c r="AB105" s="118"/>
      <c r="AC105" s="145"/>
      <c r="AD105" s="573">
        <v>1</v>
      </c>
      <c r="AE105" s="573">
        <v>2</v>
      </c>
      <c r="AF105" s="909">
        <v>2</v>
      </c>
      <c r="AG105" s="910"/>
      <c r="AH105" s="911"/>
      <c r="AI105" s="912">
        <v>2</v>
      </c>
      <c r="AJ105" s="912"/>
      <c r="AK105" s="913" t="s">
        <v>3991</v>
      </c>
      <c r="AL105" s="588">
        <v>1</v>
      </c>
      <c r="AM105" s="914" t="s">
        <v>24</v>
      </c>
      <c r="AN105" s="912" t="s">
        <v>3990</v>
      </c>
      <c r="AO105" s="912" t="s">
        <v>3989</v>
      </c>
      <c r="AP105" s="912">
        <v>80</v>
      </c>
      <c r="AQ105" s="912" t="s">
        <v>803</v>
      </c>
      <c r="AR105" s="912" t="s">
        <v>803</v>
      </c>
      <c r="AS105" s="912" t="s">
        <v>3992</v>
      </c>
      <c r="AT105" s="912" t="s">
        <v>3993</v>
      </c>
      <c r="AU105" s="912">
        <v>37.950000000000003</v>
      </c>
      <c r="AV105" s="912">
        <v>2.56</v>
      </c>
      <c r="AW105" s="912" t="s">
        <v>3994</v>
      </c>
      <c r="AX105" s="150" t="s">
        <v>24</v>
      </c>
      <c r="AY105" s="912"/>
      <c r="AZ105" s="915" t="s">
        <v>1874</v>
      </c>
      <c r="BA105" s="912" t="s">
        <v>24</v>
      </c>
      <c r="BB105" s="912" t="s">
        <v>24</v>
      </c>
      <c r="BC105" s="912" t="s">
        <v>2423</v>
      </c>
      <c r="BD105" s="915" t="s">
        <v>7521</v>
      </c>
      <c r="BE105" s="915"/>
      <c r="BF105" s="912" t="s">
        <v>3835</v>
      </c>
      <c r="BG105" s="912" t="s">
        <v>3995</v>
      </c>
      <c r="BH105" s="588"/>
      <c r="BI105" s="588"/>
      <c r="BJ105" s="161"/>
      <c r="BK105" s="161"/>
      <c r="BL105" s="161">
        <v>1</v>
      </c>
      <c r="BM105" s="161"/>
      <c r="BN105" s="161"/>
      <c r="BO105" s="161"/>
      <c r="BP105" s="161"/>
      <c r="BQ105" s="161"/>
      <c r="BR105" s="161"/>
      <c r="BS105" s="161"/>
      <c r="BT105" s="161"/>
      <c r="BU105" s="161"/>
      <c r="BV105" s="161"/>
      <c r="BW105" s="161" t="s">
        <v>1889</v>
      </c>
      <c r="BX105" s="916"/>
      <c r="BY105" s="916"/>
      <c r="BZ105" s="916"/>
      <c r="CA105" s="917"/>
      <c r="CB105" s="917"/>
      <c r="CC105" s="917"/>
      <c r="CD105" s="912" t="s">
        <v>1876</v>
      </c>
      <c r="CE105" s="912" t="s">
        <v>4003</v>
      </c>
      <c r="CF105" s="912"/>
      <c r="CG105" s="912" t="s">
        <v>4011</v>
      </c>
      <c r="CH105" s="915"/>
      <c r="CI105" s="912" t="s">
        <v>24</v>
      </c>
      <c r="CJ105" s="912"/>
      <c r="CK105" s="912" t="s">
        <v>4006</v>
      </c>
      <c r="CL105" s="912"/>
      <c r="CM105" s="918" t="s">
        <v>4062</v>
      </c>
      <c r="CN105" s="919"/>
      <c r="CO105" s="919"/>
      <c r="CP105" s="919"/>
      <c r="CQ105" s="919"/>
      <c r="CR105" s="919"/>
      <c r="CS105" s="919"/>
      <c r="CT105" s="968"/>
      <c r="CU105" s="968"/>
      <c r="CV105" s="968"/>
      <c r="CW105" s="968"/>
      <c r="CX105" s="916" t="s">
        <v>4026</v>
      </c>
      <c r="CY105" s="912">
        <v>37.770000000000003</v>
      </c>
      <c r="CZ105" s="912">
        <v>10.37</v>
      </c>
      <c r="DA105" s="912" t="s">
        <v>24</v>
      </c>
      <c r="DB105" s="916" t="s">
        <v>4027</v>
      </c>
      <c r="DC105" s="912">
        <v>38.51</v>
      </c>
      <c r="DD105" s="912">
        <v>10.06</v>
      </c>
      <c r="DE105" s="912" t="s">
        <v>24</v>
      </c>
      <c r="DF105" s="920" t="s">
        <v>24</v>
      </c>
      <c r="DG105" s="598" t="s">
        <v>24</v>
      </c>
      <c r="DH105" s="1241" t="s">
        <v>4028</v>
      </c>
      <c r="DI105" s="1240">
        <v>37.880000000000003</v>
      </c>
      <c r="DJ105" s="1240">
        <v>12.06</v>
      </c>
      <c r="DK105" s="1240" t="s">
        <v>24</v>
      </c>
      <c r="DL105" s="1241" t="s">
        <v>24</v>
      </c>
      <c r="DM105" s="1240" t="s">
        <v>24</v>
      </c>
      <c r="DN105" s="1240" t="s">
        <v>24</v>
      </c>
      <c r="DO105" s="1240" t="s">
        <v>24</v>
      </c>
      <c r="DP105" s="918" t="s">
        <v>24</v>
      </c>
      <c r="DQ105" s="588" t="s">
        <v>24</v>
      </c>
      <c r="DR105" s="1187" t="s">
        <v>24</v>
      </c>
      <c r="DS105" s="1186" t="s">
        <v>24</v>
      </c>
      <c r="DT105" s="1241" t="s">
        <v>24</v>
      </c>
      <c r="DU105" s="1240" t="s">
        <v>24</v>
      </c>
      <c r="DV105" s="1240" t="s">
        <v>24</v>
      </c>
      <c r="DW105" s="1240" t="s">
        <v>24</v>
      </c>
      <c r="DX105" s="1240" t="s">
        <v>24</v>
      </c>
      <c r="DY105" s="1240" t="s">
        <v>24</v>
      </c>
      <c r="DZ105" s="1240" t="s">
        <v>24</v>
      </c>
      <c r="EA105" s="1240" t="s">
        <v>24</v>
      </c>
      <c r="EB105" s="1242" t="s">
        <v>24</v>
      </c>
      <c r="EC105" s="1240" t="s">
        <v>24</v>
      </c>
      <c r="ED105" s="1240" t="s">
        <v>24</v>
      </c>
      <c r="EE105" s="1240" t="s">
        <v>24</v>
      </c>
      <c r="EF105" s="1240" t="s">
        <v>24</v>
      </c>
      <c r="EG105" s="1240" t="s">
        <v>24</v>
      </c>
      <c r="EH105" s="1240" t="s">
        <v>24</v>
      </c>
      <c r="EI105" s="1240" t="s">
        <v>24</v>
      </c>
      <c r="EJ105" s="1240" t="s">
        <v>24</v>
      </c>
      <c r="EK105" s="1240" t="s">
        <v>24</v>
      </c>
      <c r="EL105" s="1242" t="s">
        <v>24</v>
      </c>
      <c r="EM105" s="1240" t="s">
        <v>24</v>
      </c>
      <c r="EN105" s="1242" t="s">
        <v>24</v>
      </c>
      <c r="EO105" s="1240" t="s">
        <v>24</v>
      </c>
      <c r="EP105" s="1240"/>
      <c r="EQ105" s="1240"/>
      <c r="ER105" s="1240"/>
      <c r="ES105" s="1240"/>
      <c r="ET105" s="1241"/>
      <c r="EU105" s="1240"/>
      <c r="EV105" s="1240"/>
      <c r="EW105" s="1240"/>
      <c r="EX105" s="1240"/>
      <c r="EY105" s="1240"/>
      <c r="EZ105" s="1241"/>
      <c r="FA105" s="1240"/>
      <c r="FB105" s="1240"/>
      <c r="FC105" s="1240"/>
      <c r="FD105" s="1241"/>
      <c r="FE105" s="1240"/>
      <c r="FF105" s="1240"/>
      <c r="FG105" s="1240"/>
      <c r="FH105" s="1240"/>
      <c r="FI105" s="1240"/>
      <c r="FJ105" s="1240"/>
    </row>
    <row r="106" spans="1:166" s="229" customFormat="1" ht="15" hidden="1" customHeight="1">
      <c r="A106" s="79" t="s">
        <v>121</v>
      </c>
      <c r="B106" s="362">
        <v>93</v>
      </c>
      <c r="C106" s="362">
        <v>17</v>
      </c>
      <c r="D106" s="362"/>
      <c r="E106" s="604" t="s">
        <v>1940</v>
      </c>
      <c r="F106" s="124" t="s">
        <v>2159</v>
      </c>
      <c r="G106" s="125">
        <v>2002</v>
      </c>
      <c r="H106" s="79">
        <v>12607144</v>
      </c>
      <c r="I106" s="79">
        <v>1</v>
      </c>
      <c r="J106" s="126"/>
      <c r="K106" s="127"/>
      <c r="L106" s="79">
        <v>1</v>
      </c>
      <c r="M106" s="79"/>
      <c r="N106" s="79">
        <v>1</v>
      </c>
      <c r="O106" s="128">
        <v>1</v>
      </c>
      <c r="P106" s="79" t="s">
        <v>408</v>
      </c>
      <c r="Q106" s="79"/>
      <c r="R106" s="79" t="s">
        <v>25</v>
      </c>
      <c r="S106" s="79">
        <v>1</v>
      </c>
      <c r="T106" s="79"/>
      <c r="U106" s="79"/>
      <c r="V106" s="79"/>
      <c r="W106" s="79"/>
      <c r="X106" s="79"/>
      <c r="Y106" s="79"/>
      <c r="Z106" s="79"/>
      <c r="AA106" s="79"/>
      <c r="AB106" s="79"/>
      <c r="AC106" s="506"/>
      <c r="AD106" s="573">
        <v>1</v>
      </c>
      <c r="AE106" s="573">
        <v>2</v>
      </c>
      <c r="AF106" s="924">
        <v>2</v>
      </c>
      <c r="AG106" s="925"/>
      <c r="AH106" s="911"/>
      <c r="AI106" s="923">
        <v>2</v>
      </c>
      <c r="AJ106" s="923"/>
      <c r="AK106" s="926" t="s">
        <v>3991</v>
      </c>
      <c r="AL106" s="588">
        <v>1</v>
      </c>
      <c r="AM106" s="927" t="s">
        <v>24</v>
      </c>
      <c r="AN106" s="923" t="s">
        <v>3990</v>
      </c>
      <c r="AO106" s="923" t="s">
        <v>3989</v>
      </c>
      <c r="AP106" s="923">
        <v>80</v>
      </c>
      <c r="AQ106" s="923" t="s">
        <v>803</v>
      </c>
      <c r="AR106" s="923" t="s">
        <v>803</v>
      </c>
      <c r="AS106" s="923" t="s">
        <v>3992</v>
      </c>
      <c r="AT106" s="923" t="s">
        <v>3993</v>
      </c>
      <c r="AU106" s="923">
        <v>37.950000000000003</v>
      </c>
      <c r="AV106" s="923">
        <v>2.56</v>
      </c>
      <c r="AW106" s="923" t="s">
        <v>3994</v>
      </c>
      <c r="AX106" s="150" t="s">
        <v>24</v>
      </c>
      <c r="AY106" s="923"/>
      <c r="AZ106" s="915" t="s">
        <v>1874</v>
      </c>
      <c r="BA106" s="923" t="s">
        <v>24</v>
      </c>
      <c r="BB106" s="923" t="s">
        <v>24</v>
      </c>
      <c r="BC106" s="923" t="s">
        <v>2423</v>
      </c>
      <c r="BD106" s="915" t="s">
        <v>7521</v>
      </c>
      <c r="BE106" s="915"/>
      <c r="BF106" s="923" t="s">
        <v>3835</v>
      </c>
      <c r="BG106" s="923" t="s">
        <v>3995</v>
      </c>
      <c r="BH106" s="594"/>
      <c r="BI106" s="594"/>
      <c r="BJ106" s="156"/>
      <c r="BK106" s="156"/>
      <c r="BL106" s="156"/>
      <c r="BM106" s="156"/>
      <c r="BN106" s="156"/>
      <c r="BO106" s="156"/>
      <c r="BP106" s="156"/>
      <c r="BQ106" s="156"/>
      <c r="BR106" s="156"/>
      <c r="BS106" s="156"/>
      <c r="BT106" s="156">
        <v>1</v>
      </c>
      <c r="BU106" s="156"/>
      <c r="BV106" s="156"/>
      <c r="BW106" s="928" t="s">
        <v>3996</v>
      </c>
      <c r="BX106" s="929"/>
      <c r="BY106" s="929"/>
      <c r="BZ106" s="929"/>
      <c r="CA106" s="917"/>
      <c r="CB106" s="917"/>
      <c r="CC106" s="917"/>
      <c r="CD106" s="923" t="s">
        <v>1876</v>
      </c>
      <c r="CE106" s="923" t="s">
        <v>4003</v>
      </c>
      <c r="CF106" s="923"/>
      <c r="CG106" s="923" t="s">
        <v>4053</v>
      </c>
      <c r="CH106" s="915"/>
      <c r="CI106" s="923" t="s">
        <v>24</v>
      </c>
      <c r="CJ106" s="923"/>
      <c r="CK106" s="923" t="s">
        <v>4018</v>
      </c>
      <c r="CL106" s="923"/>
      <c r="CM106" s="930" t="s">
        <v>4063</v>
      </c>
      <c r="CN106" s="931"/>
      <c r="CO106" s="931"/>
      <c r="CP106" s="931"/>
      <c r="CQ106" s="931"/>
      <c r="CR106" s="931"/>
      <c r="CS106" s="931"/>
      <c r="CT106" s="967"/>
      <c r="CU106" s="967"/>
      <c r="CV106" s="967"/>
      <c r="CW106" s="967"/>
      <c r="CX106" s="932" t="s">
        <v>4012</v>
      </c>
      <c r="CY106" s="923">
        <v>9.41</v>
      </c>
      <c r="CZ106" s="923">
        <v>2.73</v>
      </c>
      <c r="DA106" s="923" t="s">
        <v>24</v>
      </c>
      <c r="DB106" s="932" t="s">
        <v>4014</v>
      </c>
      <c r="DC106" s="923">
        <v>9.68</v>
      </c>
      <c r="DD106" s="923">
        <v>2.67</v>
      </c>
      <c r="DE106" s="923" t="s">
        <v>24</v>
      </c>
      <c r="DF106" s="920" t="s">
        <v>24</v>
      </c>
      <c r="DG106" s="598" t="s">
        <v>24</v>
      </c>
      <c r="DH106" s="950" t="s">
        <v>4015</v>
      </c>
      <c r="DI106" s="951">
        <v>9.64</v>
      </c>
      <c r="DJ106" s="951">
        <v>2.42</v>
      </c>
      <c r="DK106" s="951" t="s">
        <v>24</v>
      </c>
      <c r="DL106" s="1248" t="s">
        <v>4013</v>
      </c>
      <c r="DM106" s="951">
        <v>10.32</v>
      </c>
      <c r="DN106" s="951">
        <v>2.56</v>
      </c>
      <c r="DO106" s="951" t="s">
        <v>24</v>
      </c>
      <c r="DP106" s="930" t="s">
        <v>24</v>
      </c>
      <c r="DQ106" s="594" t="s">
        <v>24</v>
      </c>
      <c r="DR106" s="1187" t="s">
        <v>24</v>
      </c>
      <c r="DS106" s="1186" t="s">
        <v>24</v>
      </c>
      <c r="DT106" s="1248" t="s">
        <v>4017</v>
      </c>
      <c r="DU106" s="951">
        <v>10.3</v>
      </c>
      <c r="DV106" s="951">
        <v>3.02</v>
      </c>
      <c r="DW106" s="951" t="s">
        <v>24</v>
      </c>
      <c r="DX106" s="1248" t="s">
        <v>4016</v>
      </c>
      <c r="DY106" s="951">
        <v>10.050000000000001</v>
      </c>
      <c r="DZ106" s="951">
        <v>2.2000000000000002</v>
      </c>
      <c r="EA106" s="951" t="s">
        <v>24</v>
      </c>
      <c r="EB106" s="1185" t="s">
        <v>24</v>
      </c>
      <c r="EC106" s="951" t="s">
        <v>24</v>
      </c>
      <c r="ED106" s="1248" t="s">
        <v>4059</v>
      </c>
      <c r="EE106" s="951">
        <v>104.42</v>
      </c>
      <c r="EF106" s="951">
        <v>21.61</v>
      </c>
      <c r="EG106" s="951" t="s">
        <v>24</v>
      </c>
      <c r="EH106" s="1248" t="s">
        <v>4058</v>
      </c>
      <c r="EI106" s="951">
        <v>105.92</v>
      </c>
      <c r="EJ106" s="951">
        <v>25.86</v>
      </c>
      <c r="EK106" s="951" t="s">
        <v>24</v>
      </c>
      <c r="EL106" s="1185" t="s">
        <v>24</v>
      </c>
      <c r="EM106" s="951" t="s">
        <v>24</v>
      </c>
      <c r="EN106" s="931" t="s">
        <v>24</v>
      </c>
      <c r="EO106" s="951" t="s">
        <v>24</v>
      </c>
      <c r="EP106" s="1248" t="s">
        <v>4057</v>
      </c>
      <c r="EQ106" s="951">
        <v>107.34</v>
      </c>
      <c r="ER106" s="951">
        <v>19.75</v>
      </c>
      <c r="ES106" s="951" t="s">
        <v>24</v>
      </c>
      <c r="ET106" s="950" t="s">
        <v>24</v>
      </c>
      <c r="EU106" s="951" t="s">
        <v>24</v>
      </c>
      <c r="EV106" s="951" t="s">
        <v>24</v>
      </c>
      <c r="EW106" s="951" t="s">
        <v>24</v>
      </c>
      <c r="EX106" s="951" t="s">
        <v>24</v>
      </c>
      <c r="EY106" s="951" t="s">
        <v>24</v>
      </c>
      <c r="EZ106" s="950" t="s">
        <v>4054</v>
      </c>
      <c r="FA106" s="951">
        <v>100.74</v>
      </c>
      <c r="FB106" s="951">
        <v>19.38</v>
      </c>
      <c r="FC106" s="951" t="s">
        <v>24</v>
      </c>
      <c r="FD106" s="950" t="s">
        <v>4055</v>
      </c>
      <c r="FE106" s="951">
        <v>103.69</v>
      </c>
      <c r="FF106" s="951">
        <v>21.8</v>
      </c>
      <c r="FG106" s="951" t="s">
        <v>24</v>
      </c>
      <c r="FH106" s="951" t="s">
        <v>24</v>
      </c>
      <c r="FI106" s="951" t="s">
        <v>24</v>
      </c>
      <c r="FJ106" s="951" t="s">
        <v>24</v>
      </c>
    </row>
    <row r="107" spans="1:166" s="229" customFormat="1" ht="15" hidden="1" customHeight="1">
      <c r="A107" s="118" t="s">
        <v>121</v>
      </c>
      <c r="B107" s="616">
        <v>93</v>
      </c>
      <c r="C107" s="616">
        <v>17</v>
      </c>
      <c r="D107" s="616"/>
      <c r="E107" s="605" t="s">
        <v>1940</v>
      </c>
      <c r="F107" s="140" t="s">
        <v>2159</v>
      </c>
      <c r="G107" s="141">
        <v>2002</v>
      </c>
      <c r="H107" s="118">
        <v>12607144</v>
      </c>
      <c r="I107" s="118">
        <v>1</v>
      </c>
      <c r="J107" s="118"/>
      <c r="K107" s="118"/>
      <c r="L107" s="118">
        <v>1</v>
      </c>
      <c r="M107" s="118"/>
      <c r="N107" s="118">
        <v>1</v>
      </c>
      <c r="O107" s="142">
        <v>1</v>
      </c>
      <c r="P107" s="118" t="s">
        <v>408</v>
      </c>
      <c r="Q107" s="118"/>
      <c r="R107" s="118" t="s">
        <v>25</v>
      </c>
      <c r="S107" s="118">
        <v>1</v>
      </c>
      <c r="T107" s="118"/>
      <c r="U107" s="118"/>
      <c r="V107" s="118"/>
      <c r="W107" s="118"/>
      <c r="X107" s="118"/>
      <c r="Y107" s="118"/>
      <c r="Z107" s="118"/>
      <c r="AA107" s="118"/>
      <c r="AB107" s="118"/>
      <c r="AC107" s="145"/>
      <c r="AD107" s="573">
        <v>1</v>
      </c>
      <c r="AE107" s="573">
        <v>2</v>
      </c>
      <c r="AF107" s="909">
        <v>2</v>
      </c>
      <c r="AG107" s="910"/>
      <c r="AH107" s="911"/>
      <c r="AI107" s="912">
        <v>2</v>
      </c>
      <c r="AJ107" s="912"/>
      <c r="AK107" s="913" t="s">
        <v>3991</v>
      </c>
      <c r="AL107" s="588">
        <v>1</v>
      </c>
      <c r="AM107" s="914" t="s">
        <v>24</v>
      </c>
      <c r="AN107" s="912" t="s">
        <v>3990</v>
      </c>
      <c r="AO107" s="912" t="s">
        <v>3989</v>
      </c>
      <c r="AP107" s="912">
        <v>80</v>
      </c>
      <c r="AQ107" s="912" t="s">
        <v>803</v>
      </c>
      <c r="AR107" s="912" t="s">
        <v>803</v>
      </c>
      <c r="AS107" s="912" t="s">
        <v>3992</v>
      </c>
      <c r="AT107" s="912" t="s">
        <v>3993</v>
      </c>
      <c r="AU107" s="912">
        <v>37.950000000000003</v>
      </c>
      <c r="AV107" s="912">
        <v>2.56</v>
      </c>
      <c r="AW107" s="912" t="s">
        <v>3994</v>
      </c>
      <c r="AX107" s="150" t="s">
        <v>24</v>
      </c>
      <c r="AY107" s="912"/>
      <c r="AZ107" s="915" t="s">
        <v>1874</v>
      </c>
      <c r="BA107" s="912" t="s">
        <v>24</v>
      </c>
      <c r="BB107" s="912" t="s">
        <v>24</v>
      </c>
      <c r="BC107" s="912" t="s">
        <v>2423</v>
      </c>
      <c r="BD107" s="915" t="s">
        <v>7521</v>
      </c>
      <c r="BE107" s="915"/>
      <c r="BF107" s="912" t="s">
        <v>3835</v>
      </c>
      <c r="BG107" s="912" t="s">
        <v>3995</v>
      </c>
      <c r="BH107" s="588"/>
      <c r="BI107" s="588"/>
      <c r="BJ107" s="161"/>
      <c r="BK107" s="161"/>
      <c r="BL107" s="161"/>
      <c r="BM107" s="161"/>
      <c r="BN107" s="161"/>
      <c r="BO107" s="161"/>
      <c r="BP107" s="161"/>
      <c r="BQ107" s="161"/>
      <c r="BR107" s="161"/>
      <c r="BS107" s="161"/>
      <c r="BT107" s="161"/>
      <c r="BU107" s="161">
        <v>1</v>
      </c>
      <c r="BV107" s="161"/>
      <c r="BW107" s="161" t="s">
        <v>3998</v>
      </c>
      <c r="BX107" s="916"/>
      <c r="BY107" s="916"/>
      <c r="BZ107" s="916"/>
      <c r="CA107" s="917"/>
      <c r="CB107" s="917"/>
      <c r="CC107" s="917"/>
      <c r="CD107" s="912" t="s">
        <v>1876</v>
      </c>
      <c r="CE107" s="912" t="s">
        <v>4003</v>
      </c>
      <c r="CF107" s="912"/>
      <c r="CG107" s="912" t="s">
        <v>4004</v>
      </c>
      <c r="CH107" s="915"/>
      <c r="CI107" s="912" t="s">
        <v>24</v>
      </c>
      <c r="CJ107" s="912"/>
      <c r="CK107" s="912" t="s">
        <v>4019</v>
      </c>
      <c r="CL107" s="912"/>
      <c r="CM107" s="918" t="s">
        <v>4062</v>
      </c>
      <c r="CN107" s="919"/>
      <c r="CO107" s="919"/>
      <c r="CP107" s="919"/>
      <c r="CQ107" s="919"/>
      <c r="CR107" s="919"/>
      <c r="CS107" s="919"/>
      <c r="CT107" s="968"/>
      <c r="CU107" s="968"/>
      <c r="CV107" s="968"/>
      <c r="CW107" s="968"/>
      <c r="CX107" s="916" t="s">
        <v>4020</v>
      </c>
      <c r="CY107" s="912">
        <v>34.25</v>
      </c>
      <c r="CZ107" s="912">
        <v>10.78</v>
      </c>
      <c r="DA107" s="912" t="s">
        <v>24</v>
      </c>
      <c r="DB107" s="916" t="s">
        <v>4021</v>
      </c>
      <c r="DC107" s="912">
        <v>33.56</v>
      </c>
      <c r="DD107" s="912">
        <v>10.7</v>
      </c>
      <c r="DE107" s="912" t="s">
        <v>24</v>
      </c>
      <c r="DF107" s="920" t="s">
        <v>24</v>
      </c>
      <c r="DG107" s="598" t="s">
        <v>24</v>
      </c>
      <c r="DH107" s="1241" t="s">
        <v>4022</v>
      </c>
      <c r="DI107" s="1240">
        <v>34.03</v>
      </c>
      <c r="DJ107" s="1240">
        <v>10.36</v>
      </c>
      <c r="DK107" s="1240" t="s">
        <v>24</v>
      </c>
      <c r="DL107" s="1241" t="s">
        <v>4023</v>
      </c>
      <c r="DM107" s="1240">
        <v>21.04</v>
      </c>
      <c r="DN107" s="1240">
        <v>5.78</v>
      </c>
      <c r="DO107" s="1240" t="s">
        <v>24</v>
      </c>
      <c r="DP107" s="918" t="s">
        <v>24</v>
      </c>
      <c r="DQ107" s="588" t="s">
        <v>24</v>
      </c>
      <c r="DR107" s="1187" t="s">
        <v>24</v>
      </c>
      <c r="DS107" s="1186" t="s">
        <v>24</v>
      </c>
      <c r="DT107" s="1240" t="s">
        <v>4024</v>
      </c>
      <c r="DU107" s="1240">
        <v>20.74</v>
      </c>
      <c r="DV107" s="1240">
        <v>5.05</v>
      </c>
      <c r="DW107" s="1240" t="s">
        <v>24</v>
      </c>
      <c r="DX107" s="1247" t="s">
        <v>4025</v>
      </c>
      <c r="DY107" s="1240">
        <v>21.16</v>
      </c>
      <c r="DZ107" s="1240">
        <v>5.5</v>
      </c>
      <c r="EA107" s="1240" t="s">
        <v>24</v>
      </c>
      <c r="EB107" s="1242" t="s">
        <v>24</v>
      </c>
      <c r="EC107" s="1240" t="s">
        <v>24</v>
      </c>
      <c r="ED107" s="1240" t="s">
        <v>24</v>
      </c>
      <c r="EE107" s="1240" t="s">
        <v>24</v>
      </c>
      <c r="EF107" s="1240" t="s">
        <v>24</v>
      </c>
      <c r="EG107" s="1240" t="s">
        <v>24</v>
      </c>
      <c r="EH107" s="1240" t="s">
        <v>24</v>
      </c>
      <c r="EI107" s="1240" t="s">
        <v>24</v>
      </c>
      <c r="EJ107" s="1240" t="s">
        <v>24</v>
      </c>
      <c r="EK107" s="1240" t="s">
        <v>24</v>
      </c>
      <c r="EL107" s="1242" t="s">
        <v>24</v>
      </c>
      <c r="EM107" s="1240" t="s">
        <v>24</v>
      </c>
      <c r="EN107" s="919" t="s">
        <v>24</v>
      </c>
      <c r="EO107" s="1240" t="s">
        <v>24</v>
      </c>
      <c r="EP107" s="1240"/>
      <c r="EQ107" s="1240"/>
      <c r="ER107" s="1240"/>
      <c r="ES107" s="1240"/>
      <c r="ET107" s="1241"/>
      <c r="EU107" s="1240"/>
      <c r="EV107" s="1240"/>
      <c r="EW107" s="1240"/>
      <c r="EX107" s="1240"/>
      <c r="EY107" s="1240"/>
      <c r="EZ107" s="1241"/>
      <c r="FA107" s="1240"/>
      <c r="FB107" s="1240"/>
      <c r="FC107" s="1240"/>
      <c r="FD107" s="1241"/>
      <c r="FE107" s="1240"/>
      <c r="FF107" s="1240"/>
      <c r="FG107" s="1240"/>
      <c r="FH107" s="1240"/>
      <c r="FI107" s="1240"/>
      <c r="FJ107" s="1240"/>
    </row>
    <row r="108" spans="1:166" s="229" customFormat="1" ht="15" hidden="1" customHeight="1">
      <c r="A108" s="118" t="s">
        <v>121</v>
      </c>
      <c r="B108" s="616">
        <v>93</v>
      </c>
      <c r="C108" s="616">
        <v>17</v>
      </c>
      <c r="D108" s="616"/>
      <c r="E108" s="605" t="s">
        <v>1940</v>
      </c>
      <c r="F108" s="140" t="s">
        <v>2159</v>
      </c>
      <c r="G108" s="141">
        <v>2002</v>
      </c>
      <c r="H108" s="118">
        <v>12607144</v>
      </c>
      <c r="I108" s="118">
        <v>1</v>
      </c>
      <c r="J108" s="118"/>
      <c r="K108" s="118"/>
      <c r="L108" s="118">
        <v>1</v>
      </c>
      <c r="M108" s="118"/>
      <c r="N108" s="118">
        <v>1</v>
      </c>
      <c r="O108" s="142">
        <v>1</v>
      </c>
      <c r="P108" s="118" t="s">
        <v>408</v>
      </c>
      <c r="Q108" s="118"/>
      <c r="R108" s="118" t="s">
        <v>25</v>
      </c>
      <c r="S108" s="118">
        <v>1</v>
      </c>
      <c r="T108" s="118"/>
      <c r="U108" s="118"/>
      <c r="V108" s="118"/>
      <c r="W108" s="118"/>
      <c r="X108" s="118"/>
      <c r="Y108" s="118"/>
      <c r="Z108" s="118"/>
      <c r="AA108" s="118"/>
      <c r="AB108" s="118"/>
      <c r="AC108" s="145"/>
      <c r="AD108" s="573">
        <v>1</v>
      </c>
      <c r="AE108" s="573">
        <v>2</v>
      </c>
      <c r="AF108" s="159">
        <v>1</v>
      </c>
      <c r="AG108" s="160" t="s">
        <v>7760</v>
      </c>
      <c r="AH108" s="704"/>
      <c r="AI108" s="122">
        <v>2</v>
      </c>
      <c r="AJ108" s="485"/>
      <c r="AK108" s="204" t="s">
        <v>3991</v>
      </c>
      <c r="AL108" s="192">
        <v>1</v>
      </c>
      <c r="AM108" s="227">
        <v>0</v>
      </c>
      <c r="AN108" s="150">
        <f>80+80</f>
        <v>160</v>
      </c>
      <c r="AO108" s="150">
        <v>80</v>
      </c>
      <c r="AP108" s="150">
        <v>80</v>
      </c>
      <c r="AQ108" s="150" t="s">
        <v>803</v>
      </c>
      <c r="AR108" s="150" t="s">
        <v>803</v>
      </c>
      <c r="AS108" s="150">
        <v>37.96</v>
      </c>
      <c r="AT108" s="150">
        <v>2.39</v>
      </c>
      <c r="AU108" s="150">
        <v>37.950000000000003</v>
      </c>
      <c r="AV108" s="150">
        <v>2.56</v>
      </c>
      <c r="AW108" s="150" t="s">
        <v>3994</v>
      </c>
      <c r="AX108" s="150" t="s">
        <v>24</v>
      </c>
      <c r="AY108" s="150" t="s">
        <v>24</v>
      </c>
      <c r="AZ108" s="753" t="s">
        <v>1874</v>
      </c>
      <c r="BA108" s="150" t="s">
        <v>24</v>
      </c>
      <c r="BB108" s="150" t="s">
        <v>24</v>
      </c>
      <c r="BC108" s="150" t="s">
        <v>2423</v>
      </c>
      <c r="BD108" s="753" t="s">
        <v>7521</v>
      </c>
      <c r="BE108" s="187">
        <v>0</v>
      </c>
      <c r="BF108" s="150" t="s">
        <v>3835</v>
      </c>
      <c r="BG108" s="150" t="s">
        <v>3995</v>
      </c>
      <c r="BH108" s="588"/>
      <c r="BI108" s="588"/>
      <c r="BJ108" s="161"/>
      <c r="BK108" s="161"/>
      <c r="BL108" s="161"/>
      <c r="BM108" s="161"/>
      <c r="BN108" s="161"/>
      <c r="BO108" s="161"/>
      <c r="BP108" s="161">
        <v>1</v>
      </c>
      <c r="BQ108" s="161"/>
      <c r="BR108" s="161"/>
      <c r="BS108" s="161"/>
      <c r="BT108" s="161"/>
      <c r="BU108" s="161"/>
      <c r="BV108" s="161"/>
      <c r="BW108" s="596" t="s">
        <v>7758</v>
      </c>
      <c r="BX108" s="162" t="s">
        <v>6609</v>
      </c>
      <c r="BY108" s="797" t="s">
        <v>7616</v>
      </c>
      <c r="BZ108" s="789" t="s">
        <v>803</v>
      </c>
      <c r="CA108" s="660">
        <v>2</v>
      </c>
      <c r="CB108" s="660" t="s">
        <v>7556</v>
      </c>
      <c r="CC108" s="660" t="s">
        <v>7380</v>
      </c>
      <c r="CD108" s="150" t="s">
        <v>1876</v>
      </c>
      <c r="CE108" s="150" t="s">
        <v>7751</v>
      </c>
      <c r="CF108" s="400"/>
      <c r="CG108" s="150" t="s">
        <v>4007</v>
      </c>
      <c r="CH108" s="753" t="s">
        <v>7313</v>
      </c>
      <c r="CI108" s="150" t="s">
        <v>24</v>
      </c>
      <c r="CJ108" s="150"/>
      <c r="CK108" s="150" t="s">
        <v>7753</v>
      </c>
      <c r="CL108" s="150" t="s">
        <v>8200</v>
      </c>
      <c r="CM108" s="258" t="s">
        <v>4062</v>
      </c>
      <c r="CN108" s="257">
        <v>0</v>
      </c>
      <c r="CO108" s="829">
        <v>16</v>
      </c>
      <c r="CP108" s="829">
        <v>1</v>
      </c>
      <c r="CQ108" s="829">
        <v>4</v>
      </c>
      <c r="CR108" s="829">
        <v>1</v>
      </c>
      <c r="CS108" s="829">
        <v>1</v>
      </c>
      <c r="CT108" s="968"/>
      <c r="CU108" s="1288" t="s">
        <v>8103</v>
      </c>
      <c r="CV108" s="1294">
        <v>10</v>
      </c>
      <c r="CW108" s="1294">
        <v>9</v>
      </c>
      <c r="CX108" s="150" t="s">
        <v>4041</v>
      </c>
      <c r="CY108" s="150">
        <v>9.9600000000000009</v>
      </c>
      <c r="CZ108" s="150">
        <v>2.82</v>
      </c>
      <c r="DA108" s="150" t="s">
        <v>24</v>
      </c>
      <c r="DB108" s="151" t="s">
        <v>4046</v>
      </c>
      <c r="DC108" s="150">
        <v>10.44</v>
      </c>
      <c r="DD108" s="150">
        <v>2.57</v>
      </c>
      <c r="DE108" s="150" t="s">
        <v>24</v>
      </c>
      <c r="DF108" s="294" t="s">
        <v>24</v>
      </c>
      <c r="DG108" s="295" t="s">
        <v>24</v>
      </c>
      <c r="DH108" s="1183"/>
      <c r="DI108" s="500"/>
      <c r="DJ108" s="1164"/>
      <c r="DK108" s="500"/>
      <c r="DL108" s="1164"/>
      <c r="DM108" s="500"/>
      <c r="DN108" s="1164"/>
      <c r="DO108" s="1150"/>
      <c r="DP108" s="290"/>
      <c r="DQ108" s="291"/>
      <c r="DR108" s="1168"/>
      <c r="DS108" s="865"/>
      <c r="DT108" s="1166"/>
      <c r="DU108" s="1164"/>
      <c r="DV108" s="1164"/>
      <c r="DW108" s="1164"/>
      <c r="DX108" s="1166"/>
      <c r="DY108" s="1164"/>
      <c r="DZ108" s="1164"/>
      <c r="EA108" s="1164"/>
      <c r="EB108" s="311"/>
      <c r="EC108" s="313"/>
      <c r="ED108" s="1164"/>
      <c r="EE108" s="1164"/>
      <c r="EF108" s="1164"/>
      <c r="EG108" s="1164"/>
      <c r="EH108" s="1164"/>
      <c r="EI108" s="1164"/>
      <c r="EJ108" s="1164"/>
      <c r="EK108" s="1164"/>
      <c r="EL108" s="311"/>
      <c r="EM108" s="313"/>
      <c r="EN108" s="1167"/>
      <c r="EO108" s="1165"/>
      <c r="EP108" s="1164"/>
      <c r="EQ108" s="1164"/>
      <c r="ER108" s="1164"/>
      <c r="ES108" s="1164"/>
      <c r="ET108" s="1164"/>
      <c r="EU108" s="1164"/>
      <c r="EV108" s="1164"/>
      <c r="EW108" s="1164"/>
      <c r="EX108" s="313"/>
      <c r="EY108" s="313"/>
      <c r="EZ108" s="1166"/>
      <c r="FA108" s="1164"/>
      <c r="FB108" s="1164"/>
      <c r="FC108" s="1164"/>
      <c r="FD108" s="1166"/>
      <c r="FE108" s="1164"/>
      <c r="FF108" s="1164"/>
      <c r="FG108" s="1164"/>
      <c r="FH108" s="313"/>
      <c r="FI108" s="313"/>
      <c r="FJ108" s="279"/>
    </row>
    <row r="109" spans="1:166" s="229" customFormat="1" ht="15" hidden="1" customHeight="1">
      <c r="A109" s="118" t="s">
        <v>121</v>
      </c>
      <c r="B109" s="616">
        <v>93</v>
      </c>
      <c r="C109" s="616">
        <v>17</v>
      </c>
      <c r="D109" s="616"/>
      <c r="E109" s="605" t="s">
        <v>1940</v>
      </c>
      <c r="F109" s="140" t="s">
        <v>2159</v>
      </c>
      <c r="G109" s="141">
        <v>2002</v>
      </c>
      <c r="H109" s="118">
        <v>12607144</v>
      </c>
      <c r="I109" s="118">
        <v>1</v>
      </c>
      <c r="J109" s="118"/>
      <c r="K109" s="118"/>
      <c r="L109" s="118">
        <v>1</v>
      </c>
      <c r="M109" s="118"/>
      <c r="N109" s="118">
        <v>1</v>
      </c>
      <c r="O109" s="142">
        <v>1</v>
      </c>
      <c r="P109" s="118" t="s">
        <v>408</v>
      </c>
      <c r="Q109" s="118"/>
      <c r="R109" s="118" t="s">
        <v>25</v>
      </c>
      <c r="S109" s="118">
        <v>1</v>
      </c>
      <c r="T109" s="118"/>
      <c r="U109" s="118"/>
      <c r="V109" s="118"/>
      <c r="W109" s="118"/>
      <c r="X109" s="118"/>
      <c r="Y109" s="118"/>
      <c r="Z109" s="118"/>
      <c r="AA109" s="118"/>
      <c r="AB109" s="118"/>
      <c r="AC109" s="145"/>
      <c r="AD109" s="573">
        <v>1</v>
      </c>
      <c r="AE109" s="573">
        <v>2</v>
      </c>
      <c r="AF109" s="159">
        <v>1</v>
      </c>
      <c r="AG109" s="160" t="s">
        <v>7760</v>
      </c>
      <c r="AH109" s="704"/>
      <c r="AI109" s="122">
        <v>2</v>
      </c>
      <c r="AJ109" s="485"/>
      <c r="AK109" s="204" t="s">
        <v>3991</v>
      </c>
      <c r="AL109" s="192">
        <v>1</v>
      </c>
      <c r="AM109" s="227">
        <v>0</v>
      </c>
      <c r="AN109" s="150">
        <f>80+80</f>
        <v>160</v>
      </c>
      <c r="AO109" s="150">
        <v>80</v>
      </c>
      <c r="AP109" s="150">
        <v>80</v>
      </c>
      <c r="AQ109" s="150" t="s">
        <v>803</v>
      </c>
      <c r="AR109" s="150" t="s">
        <v>803</v>
      </c>
      <c r="AS109" s="150">
        <v>37.96</v>
      </c>
      <c r="AT109" s="150">
        <v>2.39</v>
      </c>
      <c r="AU109" s="150">
        <v>37.950000000000003</v>
      </c>
      <c r="AV109" s="150">
        <v>2.56</v>
      </c>
      <c r="AW109" s="150" t="s">
        <v>3994</v>
      </c>
      <c r="AX109" s="150" t="s">
        <v>24</v>
      </c>
      <c r="AY109" s="150" t="s">
        <v>24</v>
      </c>
      <c r="AZ109" s="753" t="s">
        <v>1874</v>
      </c>
      <c r="BA109" s="150" t="s">
        <v>24</v>
      </c>
      <c r="BB109" s="150" t="s">
        <v>24</v>
      </c>
      <c r="BC109" s="150" t="s">
        <v>2423</v>
      </c>
      <c r="BD109" s="753" t="s">
        <v>7521</v>
      </c>
      <c r="BE109" s="187">
        <v>0</v>
      </c>
      <c r="BF109" s="150" t="s">
        <v>3835</v>
      </c>
      <c r="BG109" s="150" t="s">
        <v>3995</v>
      </c>
      <c r="BH109" s="588"/>
      <c r="BI109" s="588"/>
      <c r="BJ109" s="161"/>
      <c r="BK109" s="161"/>
      <c r="BL109" s="161"/>
      <c r="BM109" s="161"/>
      <c r="BN109" s="161"/>
      <c r="BO109" s="161"/>
      <c r="BP109" s="161">
        <v>1</v>
      </c>
      <c r="BQ109" s="161"/>
      <c r="BR109" s="161"/>
      <c r="BS109" s="161"/>
      <c r="BT109" s="161"/>
      <c r="BU109" s="161"/>
      <c r="BV109" s="161"/>
      <c r="BW109" s="596" t="s">
        <v>7757</v>
      </c>
      <c r="BX109" s="162" t="s">
        <v>6609</v>
      </c>
      <c r="BY109" s="797" t="s">
        <v>7616</v>
      </c>
      <c r="BZ109" s="789" t="s">
        <v>803</v>
      </c>
      <c r="CA109" s="660">
        <v>2</v>
      </c>
      <c r="CB109" s="660" t="s">
        <v>7556</v>
      </c>
      <c r="CC109" s="660" t="s">
        <v>7380</v>
      </c>
      <c r="CD109" s="150" t="s">
        <v>1876</v>
      </c>
      <c r="CE109" s="150" t="s">
        <v>7751</v>
      </c>
      <c r="CF109" s="400"/>
      <c r="CG109" s="150" t="s">
        <v>4007</v>
      </c>
      <c r="CH109" s="753" t="s">
        <v>7313</v>
      </c>
      <c r="CI109" s="150" t="s">
        <v>24</v>
      </c>
      <c r="CJ109" s="150"/>
      <c r="CK109" s="150" t="s">
        <v>7752</v>
      </c>
      <c r="CL109" s="150" t="s">
        <v>7828</v>
      </c>
      <c r="CM109" s="258" t="s">
        <v>4062</v>
      </c>
      <c r="CN109" s="257">
        <v>0</v>
      </c>
      <c r="CO109" s="829">
        <v>16</v>
      </c>
      <c r="CP109" s="829">
        <v>1</v>
      </c>
      <c r="CQ109" s="829">
        <v>3</v>
      </c>
      <c r="CR109" s="829">
        <v>1</v>
      </c>
      <c r="CS109" s="829">
        <v>1</v>
      </c>
      <c r="CT109" s="968"/>
      <c r="CU109" s="1288" t="s">
        <v>8103</v>
      </c>
      <c r="CV109" s="1294">
        <v>10</v>
      </c>
      <c r="CW109" s="1294">
        <v>9</v>
      </c>
      <c r="CX109" s="150" t="s">
        <v>4040</v>
      </c>
      <c r="CY109" s="150">
        <v>9.44</v>
      </c>
      <c r="CZ109" s="150">
        <v>2.78</v>
      </c>
      <c r="DA109" s="150" t="s">
        <v>24</v>
      </c>
      <c r="DB109" s="150" t="s">
        <v>4045</v>
      </c>
      <c r="DC109" s="150">
        <v>10.11</v>
      </c>
      <c r="DD109" s="150">
        <v>2.65</v>
      </c>
      <c r="DE109" s="150" t="s">
        <v>24</v>
      </c>
      <c r="DF109" s="294" t="s">
        <v>24</v>
      </c>
      <c r="DG109" s="295" t="s">
        <v>24</v>
      </c>
      <c r="DH109" s="1166"/>
      <c r="DI109" s="1164"/>
      <c r="DJ109" s="1164"/>
      <c r="DK109" s="1164"/>
      <c r="DL109" s="1166"/>
      <c r="DM109" s="1164"/>
      <c r="DN109" s="1164"/>
      <c r="DO109" s="1164"/>
      <c r="DP109" s="290"/>
      <c r="DQ109" s="291"/>
      <c r="DR109" s="1168"/>
      <c r="DS109" s="865"/>
      <c r="DT109" s="1166"/>
      <c r="DU109" s="1164"/>
      <c r="DV109" s="1164"/>
      <c r="DW109" s="1164"/>
      <c r="DX109" s="1166"/>
      <c r="DY109" s="1164"/>
      <c r="DZ109" s="1164"/>
      <c r="EA109" s="1164"/>
      <c r="EB109" s="311"/>
      <c r="EC109" s="313"/>
      <c r="ED109" s="1164"/>
      <c r="EE109" s="1164"/>
      <c r="EF109" s="1164"/>
      <c r="EG109" s="1164"/>
      <c r="EH109" s="1164"/>
      <c r="EI109" s="1164"/>
      <c r="EJ109" s="1164"/>
      <c r="EK109" s="1164"/>
      <c r="EL109" s="311"/>
      <c r="EM109" s="313"/>
      <c r="EN109" s="1167"/>
      <c r="EO109" s="1165"/>
      <c r="EP109" s="1164"/>
      <c r="EQ109" s="1164"/>
      <c r="ER109" s="1164"/>
      <c r="ES109" s="1164"/>
      <c r="ET109" s="1164"/>
      <c r="EU109" s="1164"/>
      <c r="EV109" s="1164"/>
      <c r="EW109" s="1164"/>
      <c r="EX109" s="313"/>
      <c r="EY109" s="313"/>
      <c r="EZ109" s="1166"/>
      <c r="FA109" s="1164"/>
      <c r="FB109" s="1164"/>
      <c r="FC109" s="1164"/>
      <c r="FD109" s="1166"/>
      <c r="FE109" s="1164"/>
      <c r="FF109" s="1164"/>
      <c r="FG109" s="1164"/>
      <c r="FH109" s="313"/>
      <c r="FI109" s="313"/>
      <c r="FJ109" s="824"/>
    </row>
    <row r="110" spans="1:166" s="229" customFormat="1" ht="15" hidden="1" customHeight="1">
      <c r="A110" s="118" t="s">
        <v>143</v>
      </c>
      <c r="B110" s="616">
        <v>109</v>
      </c>
      <c r="C110" s="616">
        <v>22</v>
      </c>
      <c r="D110" s="616"/>
      <c r="E110" s="605" t="s">
        <v>1951</v>
      </c>
      <c r="F110" s="140" t="s">
        <v>2170</v>
      </c>
      <c r="G110" s="141">
        <v>2009</v>
      </c>
      <c r="H110" s="118">
        <v>18800372</v>
      </c>
      <c r="I110" s="118">
        <v>1</v>
      </c>
      <c r="J110" s="118"/>
      <c r="K110" s="118"/>
      <c r="L110" s="118">
        <v>1</v>
      </c>
      <c r="M110" s="118"/>
      <c r="N110" s="118">
        <v>1</v>
      </c>
      <c r="O110" s="142">
        <v>1</v>
      </c>
      <c r="P110" s="118" t="s">
        <v>450</v>
      </c>
      <c r="Q110" s="118" t="s">
        <v>1147</v>
      </c>
      <c r="R110" s="118" t="s">
        <v>25</v>
      </c>
      <c r="S110" s="118">
        <v>1</v>
      </c>
      <c r="T110" s="118"/>
      <c r="U110" s="118"/>
      <c r="V110" s="118"/>
      <c r="W110" s="118" t="s">
        <v>449</v>
      </c>
      <c r="X110" s="118"/>
      <c r="Y110" s="118"/>
      <c r="Z110" s="118"/>
      <c r="AA110" s="118"/>
      <c r="AB110" s="118"/>
      <c r="AC110" s="145"/>
      <c r="AD110" s="573">
        <v>1</v>
      </c>
      <c r="AE110" s="573">
        <v>2</v>
      </c>
      <c r="AF110" s="159">
        <v>1</v>
      </c>
      <c r="AG110" s="160"/>
      <c r="AH110" s="704"/>
      <c r="AI110" s="122">
        <v>2</v>
      </c>
      <c r="AJ110" s="485"/>
      <c r="AK110" s="204" t="s">
        <v>4207</v>
      </c>
      <c r="AL110" s="192">
        <v>1</v>
      </c>
      <c r="AM110" s="205">
        <v>0</v>
      </c>
      <c r="AN110" s="122">
        <f>Table66[[#This Row],[Data_Subjects_n_ptsd]]+Table66[[#This Row],[Data_Subjects_n_control]]</f>
        <v>47</v>
      </c>
      <c r="AO110" s="122">
        <v>22</v>
      </c>
      <c r="AP110" s="122">
        <v>25</v>
      </c>
      <c r="AQ110" s="122" t="s">
        <v>803</v>
      </c>
      <c r="AR110" s="122" t="s">
        <v>803</v>
      </c>
      <c r="AS110" s="150">
        <v>33.32</v>
      </c>
      <c r="AT110" s="150">
        <v>4.76</v>
      </c>
      <c r="AU110" s="150">
        <v>34.799999999999997</v>
      </c>
      <c r="AV110" s="150">
        <v>4.5999999999999996</v>
      </c>
      <c r="AW110" s="150" t="s">
        <v>4160</v>
      </c>
      <c r="AX110" s="122"/>
      <c r="AY110" s="122"/>
      <c r="AZ110" s="754" t="s">
        <v>1874</v>
      </c>
      <c r="BA110" s="122" t="s">
        <v>24</v>
      </c>
      <c r="BB110" s="122" t="s">
        <v>24</v>
      </c>
      <c r="BC110" s="122" t="s">
        <v>4161</v>
      </c>
      <c r="BD110" s="754" t="s">
        <v>7521</v>
      </c>
      <c r="BE110" s="187">
        <v>0</v>
      </c>
      <c r="BF110" s="122" t="s">
        <v>3835</v>
      </c>
      <c r="BG110" s="122" t="s">
        <v>4162</v>
      </c>
      <c r="BH110" s="588"/>
      <c r="BI110" s="588"/>
      <c r="BJ110" s="161"/>
      <c r="BK110" s="161"/>
      <c r="BL110" s="161"/>
      <c r="BM110" s="161"/>
      <c r="BN110" s="161"/>
      <c r="BO110" s="161"/>
      <c r="BP110" s="161">
        <v>1</v>
      </c>
      <c r="BQ110" s="161"/>
      <c r="BR110" s="161"/>
      <c r="BS110" s="161"/>
      <c r="BT110" s="161"/>
      <c r="BU110" s="161"/>
      <c r="BV110" s="161"/>
      <c r="BW110" s="596" t="s">
        <v>4208</v>
      </c>
      <c r="BX110" s="162" t="s">
        <v>6609</v>
      </c>
      <c r="BY110" s="797" t="s">
        <v>7616</v>
      </c>
      <c r="BZ110" s="790" t="s">
        <v>803</v>
      </c>
      <c r="CA110" s="660">
        <v>2</v>
      </c>
      <c r="CB110" s="660" t="s">
        <v>7556</v>
      </c>
      <c r="CC110" s="660" t="s">
        <v>7380</v>
      </c>
      <c r="CD110" s="150" t="s">
        <v>1876</v>
      </c>
      <c r="CE110" s="150">
        <v>2</v>
      </c>
      <c r="CF110" s="400"/>
      <c r="CG110" s="150" t="s">
        <v>4179</v>
      </c>
      <c r="CH110" s="753" t="s">
        <v>7313</v>
      </c>
      <c r="CI110" s="150" t="s">
        <v>24</v>
      </c>
      <c r="CJ110" s="150">
        <v>1</v>
      </c>
      <c r="CK110" s="465" t="s">
        <v>7777</v>
      </c>
      <c r="CL110" s="465" t="s">
        <v>7828</v>
      </c>
      <c r="CM110" s="258" t="s">
        <v>4229</v>
      </c>
      <c r="CN110" s="257">
        <v>0</v>
      </c>
      <c r="CO110" s="829">
        <v>21</v>
      </c>
      <c r="CP110" s="829">
        <v>1</v>
      </c>
      <c r="CQ110" s="829">
        <v>4</v>
      </c>
      <c r="CR110" s="829">
        <v>1</v>
      </c>
      <c r="CS110" s="829">
        <v>1</v>
      </c>
      <c r="CT110" s="968"/>
      <c r="CU110" s="1288" t="s">
        <v>8103</v>
      </c>
      <c r="CV110" s="1294">
        <v>11</v>
      </c>
      <c r="CW110" s="1294">
        <v>10</v>
      </c>
      <c r="CX110" s="150" t="s">
        <v>4187</v>
      </c>
      <c r="CY110" s="150">
        <v>11.77</v>
      </c>
      <c r="CZ110" s="150">
        <v>3.35</v>
      </c>
      <c r="DA110" s="150" t="s">
        <v>24</v>
      </c>
      <c r="DB110" s="150" t="s">
        <v>4188</v>
      </c>
      <c r="DC110" s="150">
        <v>12.4</v>
      </c>
      <c r="DD110" s="150">
        <v>2.4700000000000002</v>
      </c>
      <c r="DE110" s="150" t="s">
        <v>24</v>
      </c>
      <c r="DF110" s="543" t="s">
        <v>3229</v>
      </c>
      <c r="DG110" s="545" t="s">
        <v>4226</v>
      </c>
      <c r="DH110" s="526"/>
      <c r="DI110" s="1164"/>
      <c r="DJ110" s="1164"/>
      <c r="DK110" s="1164"/>
      <c r="DL110" s="526"/>
      <c r="DM110" s="1164"/>
      <c r="DN110" s="1164"/>
      <c r="DO110" s="1164"/>
      <c r="DP110" s="290"/>
      <c r="DQ110" s="291"/>
      <c r="DR110" s="1168"/>
      <c r="DS110" s="865"/>
      <c r="DT110" s="1166"/>
      <c r="DU110" s="122"/>
      <c r="DV110" s="1164"/>
      <c r="DW110" s="122"/>
      <c r="DX110" s="1166"/>
      <c r="DY110" s="1164"/>
      <c r="DZ110" s="1164"/>
      <c r="EA110" s="1164"/>
      <c r="EB110" s="311"/>
      <c r="EC110" s="313"/>
      <c r="ED110" s="1164"/>
      <c r="EE110" s="1164"/>
      <c r="EF110" s="1164"/>
      <c r="EG110" s="1164"/>
      <c r="EH110" s="1164"/>
      <c r="EI110" s="1164"/>
      <c r="EJ110" s="1164"/>
      <c r="EK110" s="1164"/>
      <c r="EL110" s="311"/>
      <c r="EM110" s="313"/>
      <c r="EN110" s="1167"/>
      <c r="EO110" s="1165"/>
      <c r="EP110" s="1164"/>
      <c r="EQ110" s="1164"/>
      <c r="ER110" s="1164"/>
      <c r="ES110" s="1164"/>
      <c r="ET110" s="1164"/>
      <c r="EU110" s="1164"/>
      <c r="EV110" s="1164"/>
      <c r="EW110" s="1164"/>
      <c r="EX110" s="313"/>
      <c r="EY110" s="313"/>
      <c r="EZ110" s="1166"/>
      <c r="FA110" s="1164"/>
      <c r="FB110" s="1164"/>
      <c r="FC110" s="1164"/>
      <c r="FD110" s="1166"/>
      <c r="FE110" s="1164"/>
      <c r="FF110" s="1164"/>
      <c r="FG110" s="1164"/>
      <c r="FH110" s="313"/>
      <c r="FI110" s="313"/>
      <c r="FJ110" s="824"/>
    </row>
    <row r="111" spans="1:166" s="229" customFormat="1" ht="15" hidden="1" customHeight="1">
      <c r="A111" s="118" t="s">
        <v>143</v>
      </c>
      <c r="B111" s="616">
        <v>109</v>
      </c>
      <c r="C111" s="616">
        <v>22</v>
      </c>
      <c r="D111" s="616"/>
      <c r="E111" s="605" t="s">
        <v>1951</v>
      </c>
      <c r="F111" s="140" t="s">
        <v>2170</v>
      </c>
      <c r="G111" s="141">
        <v>2009</v>
      </c>
      <c r="H111" s="118">
        <v>18800372</v>
      </c>
      <c r="I111" s="118">
        <v>1</v>
      </c>
      <c r="J111" s="118"/>
      <c r="K111" s="118"/>
      <c r="L111" s="118">
        <v>1</v>
      </c>
      <c r="M111" s="118"/>
      <c r="N111" s="118">
        <v>1</v>
      </c>
      <c r="O111" s="142">
        <v>1</v>
      </c>
      <c r="P111" s="118" t="s">
        <v>450</v>
      </c>
      <c r="Q111" s="118" t="s">
        <v>1147</v>
      </c>
      <c r="R111" s="118" t="s">
        <v>25</v>
      </c>
      <c r="S111" s="118">
        <v>1</v>
      </c>
      <c r="T111" s="118"/>
      <c r="U111" s="118"/>
      <c r="V111" s="118"/>
      <c r="W111" s="118" t="s">
        <v>449</v>
      </c>
      <c r="X111" s="118"/>
      <c r="Y111" s="118"/>
      <c r="Z111" s="118"/>
      <c r="AA111" s="118"/>
      <c r="AB111" s="118"/>
      <c r="AC111" s="145"/>
      <c r="AD111" s="573">
        <v>1</v>
      </c>
      <c r="AE111" s="573">
        <v>2</v>
      </c>
      <c r="AF111" s="159">
        <v>1</v>
      </c>
      <c r="AG111" s="160"/>
      <c r="AH111" s="704"/>
      <c r="AI111" s="122">
        <v>2</v>
      </c>
      <c r="AJ111" s="485"/>
      <c r="AK111" s="204" t="s">
        <v>4207</v>
      </c>
      <c r="AL111" s="192">
        <v>1</v>
      </c>
      <c r="AM111" s="205">
        <v>0</v>
      </c>
      <c r="AN111" s="122">
        <f>Table66[[#This Row],[Data_Subjects_n_ptsd]]+Table66[[#This Row],[Data_Subjects_n_control]]</f>
        <v>47</v>
      </c>
      <c r="AO111" s="122">
        <v>22</v>
      </c>
      <c r="AP111" s="122">
        <v>25</v>
      </c>
      <c r="AQ111" s="122" t="s">
        <v>803</v>
      </c>
      <c r="AR111" s="122" t="s">
        <v>803</v>
      </c>
      <c r="AS111" s="150">
        <v>33.32</v>
      </c>
      <c r="AT111" s="150">
        <v>4.76</v>
      </c>
      <c r="AU111" s="150">
        <v>34.799999999999997</v>
      </c>
      <c r="AV111" s="150">
        <v>4.5999999999999996</v>
      </c>
      <c r="AW111" s="150" t="s">
        <v>4160</v>
      </c>
      <c r="AX111" s="122"/>
      <c r="AY111" s="122"/>
      <c r="AZ111" s="754" t="s">
        <v>1874</v>
      </c>
      <c r="BA111" s="122" t="s">
        <v>24</v>
      </c>
      <c r="BB111" s="122" t="s">
        <v>24</v>
      </c>
      <c r="BC111" s="122" t="s">
        <v>4161</v>
      </c>
      <c r="BD111" s="754" t="s">
        <v>7521</v>
      </c>
      <c r="BE111" s="187">
        <v>0</v>
      </c>
      <c r="BF111" s="122" t="s">
        <v>3835</v>
      </c>
      <c r="BG111" s="122" t="s">
        <v>4162</v>
      </c>
      <c r="BH111" s="588"/>
      <c r="BI111" s="588"/>
      <c r="BJ111" s="161"/>
      <c r="BK111" s="161"/>
      <c r="BL111" s="161"/>
      <c r="BM111" s="161"/>
      <c r="BN111" s="161"/>
      <c r="BO111" s="161"/>
      <c r="BP111" s="161">
        <v>1</v>
      </c>
      <c r="BQ111" s="161"/>
      <c r="BR111" s="161"/>
      <c r="BS111" s="161"/>
      <c r="BT111" s="161"/>
      <c r="BU111" s="161"/>
      <c r="BV111" s="161"/>
      <c r="BW111" s="596" t="s">
        <v>4208</v>
      </c>
      <c r="BX111" s="162" t="s">
        <v>6609</v>
      </c>
      <c r="BY111" s="797" t="s">
        <v>7616</v>
      </c>
      <c r="BZ111" s="790" t="s">
        <v>803</v>
      </c>
      <c r="CA111" s="660">
        <v>2</v>
      </c>
      <c r="CB111" s="660" t="s">
        <v>7556</v>
      </c>
      <c r="CC111" s="660" t="s">
        <v>7380</v>
      </c>
      <c r="CD111" s="150" t="s">
        <v>1876</v>
      </c>
      <c r="CE111" s="150">
        <v>2</v>
      </c>
      <c r="CF111" s="400"/>
      <c r="CG111" s="150" t="s">
        <v>4179</v>
      </c>
      <c r="CH111" s="753" t="s">
        <v>7313</v>
      </c>
      <c r="CI111" s="150" t="s">
        <v>24</v>
      </c>
      <c r="CJ111" s="150">
        <v>1</v>
      </c>
      <c r="CK111" s="465" t="s">
        <v>7778</v>
      </c>
      <c r="CL111" s="465" t="s">
        <v>7828</v>
      </c>
      <c r="CM111" s="258" t="s">
        <v>4229</v>
      </c>
      <c r="CN111" s="257">
        <v>0</v>
      </c>
      <c r="CO111" s="829">
        <v>21</v>
      </c>
      <c r="CP111" s="829">
        <v>1</v>
      </c>
      <c r="CQ111" s="829">
        <v>5</v>
      </c>
      <c r="CR111" s="829">
        <v>1</v>
      </c>
      <c r="CS111" s="829">
        <v>1</v>
      </c>
      <c r="CT111" s="968"/>
      <c r="CU111" s="1288" t="s">
        <v>8103</v>
      </c>
      <c r="CV111" s="1294">
        <v>11</v>
      </c>
      <c r="CW111" s="1294">
        <v>10</v>
      </c>
      <c r="CX111" s="150" t="s">
        <v>4189</v>
      </c>
      <c r="CY111" s="150">
        <v>12.45</v>
      </c>
      <c r="CZ111" s="150">
        <v>2.72</v>
      </c>
      <c r="DA111" s="150" t="s">
        <v>24</v>
      </c>
      <c r="DB111" s="150" t="s">
        <v>4190</v>
      </c>
      <c r="DC111" s="150">
        <v>12.76</v>
      </c>
      <c r="DD111" s="150">
        <v>2.2799999999999998</v>
      </c>
      <c r="DE111" s="150" t="s">
        <v>24</v>
      </c>
      <c r="DF111" s="545" t="s">
        <v>3229</v>
      </c>
      <c r="DG111" s="545" t="s">
        <v>4227</v>
      </c>
      <c r="DH111" s="526"/>
      <c r="DI111" s="1164"/>
      <c r="DJ111" s="1164"/>
      <c r="DK111" s="1164"/>
      <c r="DL111" s="526"/>
      <c r="DM111" s="1164"/>
      <c r="DN111" s="1164"/>
      <c r="DO111" s="1164"/>
      <c r="DP111" s="290"/>
      <c r="DQ111" s="291"/>
      <c r="DR111" s="1168"/>
      <c r="DS111" s="865"/>
      <c r="DT111" s="1166"/>
      <c r="DU111" s="122"/>
      <c r="DV111" s="1164"/>
      <c r="DW111" s="122"/>
      <c r="DX111" s="1166"/>
      <c r="DY111" s="1164"/>
      <c r="DZ111" s="1164"/>
      <c r="EA111" s="1164"/>
      <c r="EB111" s="311"/>
      <c r="EC111" s="313"/>
      <c r="ED111" s="1164"/>
      <c r="EE111" s="1164"/>
      <c r="EF111" s="1164"/>
      <c r="EG111" s="1164"/>
      <c r="EH111" s="1164"/>
      <c r="EI111" s="1164"/>
      <c r="EJ111" s="1164"/>
      <c r="EK111" s="1164"/>
      <c r="EL111" s="311"/>
      <c r="EM111" s="313"/>
      <c r="EN111" s="1167"/>
      <c r="EO111" s="1165"/>
      <c r="EP111" s="1164"/>
      <c r="EQ111" s="1164"/>
      <c r="ER111" s="1164"/>
      <c r="ES111" s="1164"/>
      <c r="ET111" s="1164"/>
      <c r="EU111" s="1164"/>
      <c r="EV111" s="1164"/>
      <c r="EW111" s="1164"/>
      <c r="EX111" s="313"/>
      <c r="EY111" s="313"/>
      <c r="EZ111" s="1166"/>
      <c r="FA111" s="1164"/>
      <c r="FB111" s="1164"/>
      <c r="FC111" s="1164"/>
      <c r="FD111" s="1166"/>
      <c r="FE111" s="1164"/>
      <c r="FF111" s="1164"/>
      <c r="FG111" s="1164"/>
      <c r="FH111" s="313"/>
      <c r="FI111" s="313"/>
      <c r="FJ111" s="824"/>
    </row>
    <row r="112" spans="1:166" s="229" customFormat="1" ht="15" hidden="1" customHeight="1">
      <c r="A112" s="118" t="s">
        <v>243</v>
      </c>
      <c r="B112" s="616">
        <v>178</v>
      </c>
      <c r="C112" s="616">
        <v>61</v>
      </c>
      <c r="D112" s="616"/>
      <c r="E112" s="605" t="s">
        <v>1997</v>
      </c>
      <c r="F112" s="140" t="s">
        <v>2227</v>
      </c>
      <c r="G112" s="141">
        <v>2004</v>
      </c>
      <c r="H112" s="118">
        <v>15027792</v>
      </c>
      <c r="I112" s="118">
        <v>1</v>
      </c>
      <c r="J112" s="118"/>
      <c r="K112" s="118"/>
      <c r="L112" s="118">
        <v>1</v>
      </c>
      <c r="M112" s="118"/>
      <c r="N112" s="118">
        <v>1</v>
      </c>
      <c r="O112" s="142">
        <v>1</v>
      </c>
      <c r="P112" s="118" t="s">
        <v>662</v>
      </c>
      <c r="Q112" s="118" t="s">
        <v>1172</v>
      </c>
      <c r="R112" s="118" t="s">
        <v>1174</v>
      </c>
      <c r="S112" s="118">
        <v>1</v>
      </c>
      <c r="T112" s="118"/>
      <c r="U112" s="118"/>
      <c r="V112" s="118"/>
      <c r="W112" s="118" t="s">
        <v>665</v>
      </c>
      <c r="X112" s="118" t="s">
        <v>663</v>
      </c>
      <c r="Y112" s="118"/>
      <c r="Z112" s="118" t="s">
        <v>664</v>
      </c>
      <c r="AA112" s="118"/>
      <c r="AB112" s="118"/>
      <c r="AC112" s="145"/>
      <c r="AD112" s="573">
        <v>1</v>
      </c>
      <c r="AE112" s="573">
        <v>2</v>
      </c>
      <c r="AF112" s="159">
        <v>1</v>
      </c>
      <c r="AG112" s="160" t="s">
        <v>3157</v>
      </c>
      <c r="AH112" s="704" t="s">
        <v>7519</v>
      </c>
      <c r="AI112" s="122">
        <v>2</v>
      </c>
      <c r="AJ112" s="485" t="s">
        <v>5189</v>
      </c>
      <c r="AK112" s="204" t="s">
        <v>5208</v>
      </c>
      <c r="AL112" s="192">
        <v>1</v>
      </c>
      <c r="AM112" s="205">
        <v>0</v>
      </c>
      <c r="AN112" s="122">
        <f>Table66[[#This Row],[Data_Subjects_n_ptsd]]+Table66[[#This Row],[Data_Subjects_n_control]]</f>
        <v>47</v>
      </c>
      <c r="AO112" s="122">
        <v>24</v>
      </c>
      <c r="AP112" s="122">
        <v>23</v>
      </c>
      <c r="AQ112" s="122" t="s">
        <v>803</v>
      </c>
      <c r="AR112" s="150" t="s">
        <v>803</v>
      </c>
      <c r="AS112" s="150">
        <v>51</v>
      </c>
      <c r="AT112" s="150">
        <v>2.5</v>
      </c>
      <c r="AU112" s="150">
        <v>52.4</v>
      </c>
      <c r="AV112" s="150">
        <v>3.1</v>
      </c>
      <c r="AW112" s="150" t="s">
        <v>5151</v>
      </c>
      <c r="AX112" s="122"/>
      <c r="AY112" s="122"/>
      <c r="AZ112" s="754" t="s">
        <v>1874</v>
      </c>
      <c r="BA112" s="122" t="s">
        <v>24</v>
      </c>
      <c r="BB112" s="122" t="s">
        <v>24</v>
      </c>
      <c r="BC112" s="122" t="s">
        <v>5150</v>
      </c>
      <c r="BD112" s="754" t="s">
        <v>7521</v>
      </c>
      <c r="BE112" s="187">
        <v>0</v>
      </c>
      <c r="BF112" s="122" t="s">
        <v>3835</v>
      </c>
      <c r="BG112" s="122" t="s">
        <v>5149</v>
      </c>
      <c r="BH112" s="588"/>
      <c r="BI112" s="588"/>
      <c r="BJ112" s="161"/>
      <c r="BK112" s="161"/>
      <c r="BL112" s="161" t="s">
        <v>5207</v>
      </c>
      <c r="BM112" s="161"/>
      <c r="BN112" s="161"/>
      <c r="BO112" s="161"/>
      <c r="BP112" s="161">
        <v>1</v>
      </c>
      <c r="BQ112" s="161"/>
      <c r="BR112" s="161"/>
      <c r="BS112" s="161"/>
      <c r="BT112" s="161"/>
      <c r="BU112" s="161"/>
      <c r="BV112" s="161"/>
      <c r="BW112" s="596" t="s">
        <v>5162</v>
      </c>
      <c r="BX112" s="162" t="s">
        <v>6611</v>
      </c>
      <c r="BY112" s="797" t="s">
        <v>7616</v>
      </c>
      <c r="BZ112" s="789" t="s">
        <v>803</v>
      </c>
      <c r="CA112" s="811">
        <v>2</v>
      </c>
      <c r="CB112" s="660" t="s">
        <v>7556</v>
      </c>
      <c r="CC112" s="660" t="s">
        <v>7380</v>
      </c>
      <c r="CD112" s="150" t="s">
        <v>1876</v>
      </c>
      <c r="CE112" s="150">
        <v>2</v>
      </c>
      <c r="CF112" s="400"/>
      <c r="CG112" s="150" t="s">
        <v>5158</v>
      </c>
      <c r="CH112" s="753" t="s">
        <v>7313</v>
      </c>
      <c r="CI112" s="150" t="s">
        <v>24</v>
      </c>
      <c r="CJ112" s="150"/>
      <c r="CK112" s="150" t="s">
        <v>7964</v>
      </c>
      <c r="CL112" s="150" t="s">
        <v>7828</v>
      </c>
      <c r="CM112" s="258" t="s">
        <v>5205</v>
      </c>
      <c r="CN112" s="257">
        <v>0</v>
      </c>
      <c r="CO112" s="829">
        <v>55</v>
      </c>
      <c r="CP112" s="829">
        <v>1</v>
      </c>
      <c r="CQ112" s="829">
        <v>2</v>
      </c>
      <c r="CR112" s="829">
        <v>1</v>
      </c>
      <c r="CS112" s="829">
        <v>1</v>
      </c>
      <c r="CT112" s="968"/>
      <c r="CU112" s="1288" t="s">
        <v>8103</v>
      </c>
      <c r="CV112" s="1294">
        <v>22</v>
      </c>
      <c r="CW112" s="1294">
        <v>24</v>
      </c>
      <c r="CX112" s="151" t="s">
        <v>5178</v>
      </c>
      <c r="CY112" s="150">
        <v>11.2</v>
      </c>
      <c r="CZ112" s="150">
        <v>2.7</v>
      </c>
      <c r="DA112" s="150" t="s">
        <v>24</v>
      </c>
      <c r="DB112" s="151" t="s">
        <v>5183</v>
      </c>
      <c r="DC112" s="150">
        <v>11.3</v>
      </c>
      <c r="DD112" s="150">
        <v>2.9</v>
      </c>
      <c r="DE112" s="150" t="s">
        <v>24</v>
      </c>
      <c r="DF112" s="290" t="s">
        <v>3229</v>
      </c>
      <c r="DG112" s="502" t="s">
        <v>5199</v>
      </c>
      <c r="DH112" s="1166"/>
      <c r="DI112" s="1164"/>
      <c r="DJ112" s="1164"/>
      <c r="DK112" s="1164"/>
      <c r="DL112" s="1166"/>
      <c r="DM112" s="1164"/>
      <c r="DN112" s="1164"/>
      <c r="DO112" s="1164"/>
      <c r="DP112" s="290"/>
      <c r="DQ112" s="502"/>
      <c r="DR112" s="1168"/>
      <c r="DS112" s="865"/>
      <c r="DT112" s="1166"/>
      <c r="DU112" s="1164"/>
      <c r="DV112" s="1164"/>
      <c r="DW112" s="1164"/>
      <c r="DX112" s="1166"/>
      <c r="DY112" s="1164"/>
      <c r="DZ112" s="1164"/>
      <c r="EA112" s="1164"/>
      <c r="EB112" s="1214"/>
      <c r="EC112" s="1203"/>
      <c r="ED112" s="1166"/>
      <c r="EE112" s="1164"/>
      <c r="EF112" s="1164"/>
      <c r="EG112" s="1164"/>
      <c r="EH112" s="1166"/>
      <c r="EI112" s="1164"/>
      <c r="EJ112" s="1164"/>
      <c r="EK112" s="1164"/>
      <c r="EL112" s="1214"/>
      <c r="EM112" s="1203"/>
      <c r="EN112" s="1167"/>
      <c r="EO112" s="1165"/>
      <c r="EP112" s="1164"/>
      <c r="EQ112" s="1164"/>
      <c r="ER112" s="1164"/>
      <c r="ES112" s="1164"/>
      <c r="ET112" s="1166"/>
      <c r="EU112" s="1164"/>
      <c r="EV112" s="1164"/>
      <c r="EW112" s="1164"/>
      <c r="EX112" s="313"/>
      <c r="EY112" s="313"/>
      <c r="EZ112" s="1166"/>
      <c r="FA112" s="1164"/>
      <c r="FB112" s="1164"/>
      <c r="FC112" s="1164"/>
      <c r="FD112" s="1166"/>
      <c r="FE112" s="1164"/>
      <c r="FF112" s="1164"/>
      <c r="FG112" s="1164"/>
      <c r="FH112" s="313"/>
      <c r="FI112" s="313"/>
      <c r="FJ112" s="1165"/>
    </row>
    <row r="113" spans="1:166" ht="15" hidden="1" customHeight="1">
      <c r="A113" s="118" t="s">
        <v>145</v>
      </c>
      <c r="B113" s="616">
        <v>111</v>
      </c>
      <c r="C113" s="616">
        <v>24</v>
      </c>
      <c r="D113" s="616"/>
      <c r="E113" s="605" t="s">
        <v>1952</v>
      </c>
      <c r="F113" s="140" t="s">
        <v>2172</v>
      </c>
      <c r="G113" s="141">
        <v>2001</v>
      </c>
      <c r="H113" s="118">
        <v>11469166</v>
      </c>
      <c r="I113" s="118">
        <v>1</v>
      </c>
      <c r="J113" s="118"/>
      <c r="K113" s="118"/>
      <c r="L113" s="118">
        <v>1</v>
      </c>
      <c r="M113" s="118"/>
      <c r="N113" s="118">
        <v>1</v>
      </c>
      <c r="O113" s="142">
        <v>1</v>
      </c>
      <c r="P113" s="118" t="s">
        <v>452</v>
      </c>
      <c r="Q113" s="118"/>
      <c r="R113" s="118" t="s">
        <v>25</v>
      </c>
      <c r="S113" s="118">
        <v>1</v>
      </c>
      <c r="T113" s="118"/>
      <c r="U113" s="118"/>
      <c r="V113" s="118"/>
      <c r="W113" s="118" t="s">
        <v>24</v>
      </c>
      <c r="X113" s="118"/>
      <c r="Y113" s="118"/>
      <c r="Z113" s="118"/>
      <c r="AA113" s="118"/>
      <c r="AB113" s="118"/>
      <c r="AC113" s="145"/>
      <c r="AD113" s="573">
        <v>1</v>
      </c>
      <c r="AE113" s="573">
        <v>2</v>
      </c>
      <c r="AF113" s="154">
        <v>1</v>
      </c>
      <c r="AG113" s="160"/>
      <c r="AH113" s="704"/>
      <c r="AI113" s="122">
        <v>2</v>
      </c>
      <c r="AJ113" s="485"/>
      <c r="AK113" s="204" t="s">
        <v>4250</v>
      </c>
      <c r="AL113" s="192">
        <v>1</v>
      </c>
      <c r="AM113" s="205">
        <v>0</v>
      </c>
      <c r="AN113" s="122">
        <f>Table66[[#This Row],[Data_Subjects_n_ptsd]]+Table66[[#This Row],[Data_Subjects_n_control]]</f>
        <v>32</v>
      </c>
      <c r="AO113" s="122">
        <v>19</v>
      </c>
      <c r="AP113" s="122">
        <v>13</v>
      </c>
      <c r="AQ113" s="122" t="s">
        <v>803</v>
      </c>
      <c r="AR113" s="122" t="s">
        <v>803</v>
      </c>
      <c r="AS113" s="150" t="s">
        <v>4248</v>
      </c>
      <c r="AT113" s="150">
        <v>2.81</v>
      </c>
      <c r="AU113" s="150" t="s">
        <v>4247</v>
      </c>
      <c r="AV113" s="150">
        <v>3.09</v>
      </c>
      <c r="AW113" s="150" t="s">
        <v>4249</v>
      </c>
      <c r="AX113" s="122"/>
      <c r="AY113" s="122"/>
      <c r="AZ113" s="754" t="s">
        <v>1874</v>
      </c>
      <c r="BA113" s="122" t="s">
        <v>24</v>
      </c>
      <c r="BB113" s="122" t="s">
        <v>24</v>
      </c>
      <c r="BC113" s="122" t="s">
        <v>4161</v>
      </c>
      <c r="BD113" s="754" t="s">
        <v>7521</v>
      </c>
      <c r="BE113" s="187">
        <v>0</v>
      </c>
      <c r="BF113" s="122" t="s">
        <v>3835</v>
      </c>
      <c r="BG113" s="122" t="s">
        <v>4251</v>
      </c>
      <c r="BH113" s="588"/>
      <c r="BI113" s="588"/>
      <c r="BJ113" s="161"/>
      <c r="BK113" s="161"/>
      <c r="BL113" s="161"/>
      <c r="BM113" s="161"/>
      <c r="BN113" s="161"/>
      <c r="BO113" s="161"/>
      <c r="BP113" s="161">
        <v>1</v>
      </c>
      <c r="BQ113" s="161"/>
      <c r="BR113" s="161"/>
      <c r="BS113" s="161"/>
      <c r="BT113" s="161"/>
      <c r="BU113" s="161"/>
      <c r="BV113" s="161"/>
      <c r="BW113" s="596" t="s">
        <v>4269</v>
      </c>
      <c r="BX113" s="162" t="s">
        <v>6612</v>
      </c>
      <c r="BY113" s="797" t="s">
        <v>7617</v>
      </c>
      <c r="BZ113" s="790" t="s">
        <v>7610</v>
      </c>
      <c r="CA113" s="765">
        <v>2</v>
      </c>
      <c r="CB113" s="765" t="s">
        <v>7556</v>
      </c>
      <c r="CC113" s="765" t="s">
        <v>7380</v>
      </c>
      <c r="CD113" s="150" t="s">
        <v>1876</v>
      </c>
      <c r="CE113" s="150">
        <v>2</v>
      </c>
      <c r="CF113" s="400"/>
      <c r="CG113" s="150" t="s">
        <v>7790</v>
      </c>
      <c r="CH113" s="753" t="s">
        <v>7336</v>
      </c>
      <c r="CI113" s="150" t="s">
        <v>24</v>
      </c>
      <c r="CJ113" s="150"/>
      <c r="CK113" s="150" t="s">
        <v>7789</v>
      </c>
      <c r="CL113" s="150" t="s">
        <v>8238</v>
      </c>
      <c r="CM113" s="258" t="s">
        <v>4301</v>
      </c>
      <c r="CN113" s="257" t="s">
        <v>24</v>
      </c>
      <c r="CO113" s="829">
        <v>22</v>
      </c>
      <c r="CP113" s="829">
        <v>1</v>
      </c>
      <c r="CQ113" s="829">
        <v>6</v>
      </c>
      <c r="CR113" s="829">
        <v>1</v>
      </c>
      <c r="CS113" s="829">
        <v>1</v>
      </c>
      <c r="CT113" s="968"/>
      <c r="CU113" s="1288" t="s">
        <v>8103</v>
      </c>
      <c r="CV113" s="1294">
        <v>12</v>
      </c>
      <c r="CW113" s="1294">
        <v>11</v>
      </c>
      <c r="CX113" s="151" t="s">
        <v>4289</v>
      </c>
      <c r="CY113" s="150">
        <v>19.72</v>
      </c>
      <c r="CZ113" s="150">
        <v>7.24</v>
      </c>
      <c r="DA113" s="150" t="s">
        <v>24</v>
      </c>
      <c r="DB113" s="151" t="s">
        <v>4291</v>
      </c>
      <c r="DC113" s="150">
        <v>18.920000000000002</v>
      </c>
      <c r="DD113" s="150">
        <v>8.06</v>
      </c>
      <c r="DE113" s="150" t="s">
        <v>24</v>
      </c>
      <c r="DF113" s="290" t="s">
        <v>3229</v>
      </c>
      <c r="DG113" s="291" t="s">
        <v>4293</v>
      </c>
      <c r="DH113" s="1166"/>
      <c r="DI113" s="1164"/>
      <c r="DJ113" s="1164"/>
      <c r="DK113" s="1164"/>
      <c r="DL113" s="1166"/>
      <c r="DM113" s="1164"/>
      <c r="DN113" s="1164"/>
      <c r="DO113" s="1164"/>
      <c r="DP113" s="290"/>
      <c r="DQ113" s="291"/>
      <c r="DR113" s="1168"/>
      <c r="DS113" s="865"/>
      <c r="DT113" s="1166"/>
      <c r="DU113" s="1164"/>
      <c r="DV113" s="1164"/>
      <c r="DW113" s="1164"/>
      <c r="DX113" s="1164"/>
      <c r="DY113" s="1164"/>
      <c r="DZ113" s="1164"/>
      <c r="EA113" s="1164"/>
      <c r="EB113" s="311"/>
      <c r="EC113" s="313"/>
      <c r="ED113" s="1164"/>
      <c r="EE113" s="1164"/>
      <c r="EF113" s="1164"/>
      <c r="EG113" s="1164"/>
      <c r="EH113" s="1164"/>
      <c r="EI113" s="1164"/>
      <c r="EJ113" s="1164"/>
      <c r="EK113" s="1164"/>
      <c r="EL113" s="311"/>
      <c r="EM113" s="313"/>
      <c r="EN113" s="1167"/>
      <c r="EO113" s="1165"/>
      <c r="EP113" s="1164"/>
      <c r="EQ113" s="1164"/>
      <c r="ER113" s="1164"/>
      <c r="ES113" s="1164"/>
      <c r="ET113" s="1166"/>
      <c r="EU113" s="1164"/>
      <c r="EV113" s="1164"/>
      <c r="EW113" s="1164"/>
      <c r="EX113" s="313"/>
      <c r="EY113" s="313"/>
      <c r="EZ113" s="1166"/>
      <c r="FA113" s="1164"/>
      <c r="FB113" s="1164"/>
      <c r="FC113" s="1164"/>
      <c r="FD113" s="1166"/>
      <c r="FE113" s="1164"/>
      <c r="FF113" s="1164"/>
      <c r="FG113" s="1164"/>
      <c r="FH113" s="313"/>
      <c r="FI113" s="313"/>
      <c r="FJ113" s="1165"/>
    </row>
    <row r="114" spans="1:166" ht="15" hidden="1" customHeight="1">
      <c r="A114" s="79" t="s">
        <v>123</v>
      </c>
      <c r="B114" s="362">
        <v>94</v>
      </c>
      <c r="C114" s="362"/>
      <c r="D114" s="362">
        <v>25</v>
      </c>
      <c r="E114" s="604" t="s">
        <v>1941</v>
      </c>
      <c r="F114" s="124" t="s">
        <v>2160</v>
      </c>
      <c r="G114" s="125">
        <v>2014</v>
      </c>
      <c r="H114" s="79">
        <v>24724093</v>
      </c>
      <c r="I114" s="79">
        <v>1</v>
      </c>
      <c r="J114" s="126"/>
      <c r="K114" s="127"/>
      <c r="L114" s="79">
        <v>1</v>
      </c>
      <c r="M114" s="79"/>
      <c r="N114" s="79">
        <v>1</v>
      </c>
      <c r="O114" s="128">
        <v>1</v>
      </c>
      <c r="P114" s="79" t="s">
        <v>411</v>
      </c>
      <c r="Q114" s="79" t="s">
        <v>1192</v>
      </c>
      <c r="R114" s="79" t="s">
        <v>412</v>
      </c>
      <c r="S114" s="79">
        <v>1</v>
      </c>
      <c r="T114" s="79"/>
      <c r="U114" s="79"/>
      <c r="V114" s="79"/>
      <c r="W114" s="79" t="s">
        <v>1155</v>
      </c>
      <c r="X114" s="79" t="s">
        <v>56</v>
      </c>
      <c r="Y114" s="79"/>
      <c r="Z114" s="79"/>
      <c r="AA114" s="79"/>
      <c r="AB114" s="79"/>
      <c r="AC114" s="506" t="s">
        <v>6193</v>
      </c>
      <c r="AD114" s="573">
        <v>1</v>
      </c>
      <c r="AE114" s="573">
        <v>0</v>
      </c>
      <c r="AF114" s="924">
        <v>2</v>
      </c>
      <c r="AG114" s="925"/>
      <c r="AH114" s="911"/>
      <c r="AI114" s="923"/>
      <c r="AJ114" s="923"/>
      <c r="AK114" s="926"/>
      <c r="AL114" s="588"/>
      <c r="AM114" s="927"/>
      <c r="AN114" s="923"/>
      <c r="AO114" s="923"/>
      <c r="AP114" s="923"/>
      <c r="AQ114" s="923"/>
      <c r="AR114" s="923"/>
      <c r="AS114" s="923"/>
      <c r="AT114" s="923"/>
      <c r="AU114" s="923"/>
      <c r="AV114" s="923"/>
      <c r="AW114" s="923"/>
      <c r="AX114" s="923"/>
      <c r="AY114" s="923"/>
      <c r="AZ114" s="915"/>
      <c r="BA114" s="923"/>
      <c r="BB114" s="923"/>
      <c r="BC114" s="923"/>
      <c r="BD114" s="915"/>
      <c r="BE114" s="915"/>
      <c r="BF114" s="923"/>
      <c r="BG114" s="923"/>
      <c r="BH114" s="594"/>
      <c r="BI114" s="594"/>
      <c r="BJ114" s="156"/>
      <c r="BK114" s="156"/>
      <c r="BL114" s="156" t="s">
        <v>5207</v>
      </c>
      <c r="BM114" s="156" t="s">
        <v>6175</v>
      </c>
      <c r="BN114" s="156"/>
      <c r="BO114" s="156"/>
      <c r="BP114" s="156"/>
      <c r="BQ114" s="156"/>
      <c r="BR114" s="156"/>
      <c r="BS114" s="156"/>
      <c r="BT114" s="156"/>
      <c r="BU114" s="156"/>
      <c r="BV114" s="156"/>
      <c r="BW114" s="928"/>
      <c r="BX114" s="929"/>
      <c r="BY114" s="929"/>
      <c r="BZ114" s="929"/>
      <c r="CA114" s="917"/>
      <c r="CB114" s="917"/>
      <c r="CC114" s="917"/>
      <c r="CD114" s="923"/>
      <c r="CE114" s="923"/>
      <c r="CF114" s="923"/>
      <c r="CG114" s="923"/>
      <c r="CH114" s="915"/>
      <c r="CI114" s="923"/>
      <c r="CJ114" s="923"/>
      <c r="CK114" s="923"/>
      <c r="CL114" s="923"/>
      <c r="CM114" s="930"/>
      <c r="CN114" s="931"/>
      <c r="CO114" s="931"/>
      <c r="CP114" s="931"/>
      <c r="CQ114" s="931"/>
      <c r="CR114" s="931"/>
      <c r="CS114" s="931"/>
      <c r="CT114" s="967"/>
      <c r="CU114" s="967"/>
      <c r="CV114" s="967"/>
      <c r="CW114" s="967"/>
      <c r="CX114" s="932"/>
      <c r="CY114" s="923"/>
      <c r="CZ114" s="923"/>
      <c r="DA114" s="923"/>
      <c r="DB114" s="932"/>
      <c r="DC114" s="923"/>
      <c r="DD114" s="923"/>
      <c r="DE114" s="923"/>
      <c r="DF114" s="920"/>
      <c r="DG114" s="598"/>
      <c r="DH114" s="950"/>
      <c r="DI114" s="951"/>
      <c r="DJ114" s="951"/>
      <c r="DK114" s="951"/>
      <c r="DL114" s="950"/>
      <c r="DM114" s="951"/>
      <c r="DN114" s="951"/>
      <c r="DO114" s="951"/>
      <c r="DP114" s="930"/>
      <c r="DQ114" s="594"/>
      <c r="DR114" s="1187"/>
      <c r="DS114" s="1186"/>
      <c r="DT114" s="950"/>
      <c r="DU114" s="923"/>
      <c r="DV114" s="951"/>
      <c r="DW114" s="923"/>
      <c r="DX114" s="951"/>
      <c r="DY114" s="923"/>
      <c r="DZ114" s="951"/>
      <c r="EA114" s="923"/>
      <c r="EB114" s="1185"/>
      <c r="EC114" s="951"/>
      <c r="ED114" s="951"/>
      <c r="EE114" s="923"/>
      <c r="EF114" s="951"/>
      <c r="EG114" s="923"/>
      <c r="EH114" s="951"/>
      <c r="EI114" s="923"/>
      <c r="EJ114" s="951"/>
      <c r="EK114" s="923"/>
      <c r="EL114" s="1185"/>
      <c r="EM114" s="951"/>
      <c r="EN114" s="931"/>
      <c r="EO114" s="923"/>
      <c r="EP114" s="923"/>
      <c r="EQ114" s="923"/>
      <c r="ER114" s="923"/>
      <c r="ES114" s="923"/>
      <c r="ET114" s="932"/>
      <c r="EU114" s="923"/>
      <c r="EV114" s="923"/>
      <c r="EW114" s="923"/>
      <c r="EX114" s="951"/>
      <c r="EY114" s="951"/>
      <c r="EZ114" s="932"/>
      <c r="FA114" s="923"/>
      <c r="FB114" s="923"/>
      <c r="FC114" s="923"/>
      <c r="FD114" s="932"/>
      <c r="FE114" s="923"/>
      <c r="FF114" s="923"/>
      <c r="FG114" s="923"/>
      <c r="FH114" s="923"/>
      <c r="FI114" s="923"/>
      <c r="FJ114" s="923"/>
    </row>
    <row r="115" spans="1:166" s="229" customFormat="1" ht="15" hidden="1" customHeight="1">
      <c r="A115" s="153" t="s">
        <v>1078</v>
      </c>
      <c r="B115" s="618">
        <v>95</v>
      </c>
      <c r="C115" s="618">
        <v>18</v>
      </c>
      <c r="D115" s="618"/>
      <c r="E115" s="610" t="s">
        <v>2062</v>
      </c>
      <c r="F115" s="368" t="s">
        <v>2314</v>
      </c>
      <c r="G115" s="369">
        <v>2012</v>
      </c>
      <c r="H115" s="153">
        <v>22108759</v>
      </c>
      <c r="I115" s="153">
        <v>1</v>
      </c>
      <c r="J115" s="370"/>
      <c r="K115" s="371"/>
      <c r="L115" s="153">
        <v>1</v>
      </c>
      <c r="M115" s="153"/>
      <c r="N115" s="153">
        <v>1</v>
      </c>
      <c r="O115" s="153">
        <v>2</v>
      </c>
      <c r="P115" s="153" t="s">
        <v>73</v>
      </c>
      <c r="Q115" s="153" t="s">
        <v>1147</v>
      </c>
      <c r="R115" s="153" t="s">
        <v>1282</v>
      </c>
      <c r="S115" s="153"/>
      <c r="T115" s="153" t="s">
        <v>1500</v>
      </c>
      <c r="U115" s="153" t="s">
        <v>1539</v>
      </c>
      <c r="V115" s="153" t="s">
        <v>23</v>
      </c>
      <c r="W115" s="153" t="s">
        <v>1512</v>
      </c>
      <c r="X115" s="153" t="s">
        <v>1284</v>
      </c>
      <c r="Y115" s="153" t="s">
        <v>24</v>
      </c>
      <c r="Z115" s="153"/>
      <c r="AA115" s="153"/>
      <c r="AB115" s="153" t="s">
        <v>1283</v>
      </c>
      <c r="AC115" s="536"/>
      <c r="AD115" s="536">
        <v>1</v>
      </c>
      <c r="AE115" s="536">
        <v>2</v>
      </c>
      <c r="AF115" s="165">
        <v>0</v>
      </c>
      <c r="AG115" s="166" t="s">
        <v>7764</v>
      </c>
      <c r="AH115" s="509" t="s">
        <v>7763</v>
      </c>
      <c r="AI115" s="120">
        <v>4</v>
      </c>
      <c r="AJ115" s="120"/>
      <c r="AK115" s="206" t="s">
        <v>4122</v>
      </c>
      <c r="AL115" s="372">
        <v>1</v>
      </c>
      <c r="AM115" s="207">
        <v>0</v>
      </c>
      <c r="AN115" s="120" t="s">
        <v>4121</v>
      </c>
      <c r="AO115" s="120">
        <f>(7+10)/2</f>
        <v>8.5</v>
      </c>
      <c r="AP115" s="120">
        <f>(7+10)/2</f>
        <v>8.5</v>
      </c>
      <c r="AQ115" s="120" t="s">
        <v>803</v>
      </c>
      <c r="AR115" s="120" t="s">
        <v>803</v>
      </c>
      <c r="AS115" s="120" t="s">
        <v>4125</v>
      </c>
      <c r="AT115" s="120" t="s">
        <v>24</v>
      </c>
      <c r="AU115" s="120" t="s">
        <v>4125</v>
      </c>
      <c r="AV115" s="120" t="s">
        <v>24</v>
      </c>
      <c r="AW115" s="120" t="s">
        <v>4112</v>
      </c>
      <c r="AX115" s="120">
        <v>1</v>
      </c>
      <c r="AY115" s="120">
        <v>1</v>
      </c>
      <c r="AZ115" s="755" t="s">
        <v>1814</v>
      </c>
      <c r="BA115" s="120">
        <v>1</v>
      </c>
      <c r="BB115" s="120" t="s">
        <v>4111</v>
      </c>
      <c r="BC115" s="120" t="s">
        <v>7538</v>
      </c>
      <c r="BD115" s="755" t="s">
        <v>7523</v>
      </c>
      <c r="BE115" s="755"/>
      <c r="BF115" s="120" t="s">
        <v>2912</v>
      </c>
      <c r="BG115" s="120" t="s">
        <v>3279</v>
      </c>
      <c r="BH115" s="377"/>
      <c r="BI115" s="377"/>
      <c r="BJ115" s="373"/>
      <c r="BK115" s="373"/>
      <c r="BL115" s="373"/>
      <c r="BM115" s="373"/>
      <c r="BN115" s="373"/>
      <c r="BO115" s="373"/>
      <c r="BP115" s="373">
        <v>1</v>
      </c>
      <c r="BQ115" s="373"/>
      <c r="BR115" s="373"/>
      <c r="BS115" s="373"/>
      <c r="BT115" s="373"/>
      <c r="BU115" s="373"/>
      <c r="BV115" s="373"/>
      <c r="BW115" s="599" t="s">
        <v>3563</v>
      </c>
      <c r="BX115" s="374" t="s">
        <v>6613</v>
      </c>
      <c r="BY115" s="799" t="s">
        <v>7614</v>
      </c>
      <c r="BZ115" s="374" t="s">
        <v>803</v>
      </c>
      <c r="CA115" s="510">
        <v>2</v>
      </c>
      <c r="CB115" s="510" t="s">
        <v>7556</v>
      </c>
      <c r="CC115" s="1724" t="s">
        <v>7384</v>
      </c>
      <c r="CD115" s="120" t="s">
        <v>1876</v>
      </c>
      <c r="CE115" s="120" t="s">
        <v>4108</v>
      </c>
      <c r="CF115" s="1536" t="s">
        <v>7579</v>
      </c>
      <c r="CG115" s="120" t="s">
        <v>4110</v>
      </c>
      <c r="CH115" s="755" t="s">
        <v>1512</v>
      </c>
      <c r="CI115" s="120" t="s">
        <v>4107</v>
      </c>
      <c r="CJ115" s="120"/>
      <c r="CK115" s="120" t="s">
        <v>4109</v>
      </c>
      <c r="CL115" s="120"/>
      <c r="CM115" s="375" t="s">
        <v>4134</v>
      </c>
      <c r="CN115" s="380" t="s">
        <v>24</v>
      </c>
      <c r="CO115" s="380">
        <v>17</v>
      </c>
      <c r="CP115" s="380">
        <v>2</v>
      </c>
      <c r="CQ115" s="380">
        <v>3</v>
      </c>
      <c r="CR115" s="380">
        <v>0</v>
      </c>
      <c r="CS115" s="380"/>
      <c r="CT115" s="380">
        <v>1</v>
      </c>
      <c r="CU115" s="380"/>
      <c r="CV115" s="380"/>
      <c r="CW115" s="380"/>
      <c r="CX115" s="120" t="s">
        <v>4117</v>
      </c>
      <c r="CY115" s="120">
        <v>14.9337</v>
      </c>
      <c r="CZ115" s="120" t="s">
        <v>24</v>
      </c>
      <c r="DA115" s="120">
        <f>17.39-Table66[[#This Row],[Data_Outcome1_M]]</f>
        <v>2.4563000000000006</v>
      </c>
      <c r="DB115" s="120" t="s">
        <v>4118</v>
      </c>
      <c r="DC115" s="120">
        <v>18.687000000000001</v>
      </c>
      <c r="DD115" s="120" t="s">
        <v>24</v>
      </c>
      <c r="DE115" s="120">
        <f>20.1133-Table66[[#This Row],[Data_Outcome2_M]]</f>
        <v>1.4262999999999977</v>
      </c>
      <c r="DF115" s="380" t="s">
        <v>4132</v>
      </c>
      <c r="DG115" s="120" t="s">
        <v>4133</v>
      </c>
      <c r="DH115" s="384" t="s">
        <v>4119</v>
      </c>
      <c r="DI115" s="120">
        <v>24.953299999999999</v>
      </c>
      <c r="DJ115" s="384" t="s">
        <v>24</v>
      </c>
      <c r="DK115" s="384">
        <f>25.9346-Table66[[#This Row],[Data_Outcome7_M]]</f>
        <v>25.9346</v>
      </c>
      <c r="DL115" s="384" t="s">
        <v>4120</v>
      </c>
      <c r="DM115" s="384">
        <v>11.6355</v>
      </c>
      <c r="DN115" s="384" t="s">
        <v>24</v>
      </c>
      <c r="DO115" s="384">
        <f>12.8505-Table66[[#This Row],[Data_Outcome8_M]]</f>
        <v>12.8505</v>
      </c>
      <c r="DP115" s="380" t="s">
        <v>4128</v>
      </c>
      <c r="DQ115" s="120" t="s">
        <v>4129</v>
      </c>
      <c r="DR115" s="1012" t="s">
        <v>24</v>
      </c>
      <c r="DS115" s="384" t="s">
        <v>24</v>
      </c>
      <c r="DT115" s="727"/>
      <c r="DU115" s="683"/>
      <c r="DV115" s="384"/>
      <c r="DW115" s="683"/>
      <c r="DX115" s="384"/>
      <c r="DY115" s="683"/>
      <c r="DZ115" s="384"/>
      <c r="EA115" s="683"/>
      <c r="EB115" s="1012"/>
      <c r="EC115" s="384"/>
      <c r="ED115" s="384"/>
      <c r="EE115" s="683"/>
      <c r="EF115" s="384"/>
      <c r="EG115" s="683"/>
      <c r="EH115" s="384"/>
      <c r="EI115" s="683"/>
      <c r="EJ115" s="384"/>
      <c r="EK115" s="683"/>
      <c r="EL115" s="1012"/>
      <c r="EM115" s="384"/>
      <c r="EN115" s="804"/>
      <c r="EO115" s="683"/>
      <c r="EP115" s="384"/>
      <c r="EQ115" s="384"/>
      <c r="ER115" s="384"/>
      <c r="ES115" s="384"/>
      <c r="ET115" s="727"/>
      <c r="EU115" s="384"/>
      <c r="EV115" s="384"/>
      <c r="EW115" s="384"/>
      <c r="EX115" s="384"/>
      <c r="EY115" s="384"/>
      <c r="EZ115" s="727"/>
      <c r="FA115" s="384"/>
      <c r="FB115" s="384"/>
      <c r="FC115" s="384"/>
      <c r="FD115" s="727"/>
      <c r="FE115" s="384"/>
      <c r="FF115" s="384"/>
      <c r="FG115" s="384"/>
      <c r="FH115" s="384"/>
      <c r="FI115" s="384"/>
      <c r="FJ115" s="384"/>
    </row>
    <row r="116" spans="1:166" s="229" customFormat="1" ht="15" hidden="1" customHeight="1">
      <c r="A116" s="79" t="s">
        <v>1047</v>
      </c>
      <c r="B116" s="362">
        <v>131</v>
      </c>
      <c r="C116" s="362"/>
      <c r="D116" s="362">
        <v>42</v>
      </c>
      <c r="E116" s="604" t="s">
        <v>2079</v>
      </c>
      <c r="F116" s="124" t="s">
        <v>2333</v>
      </c>
      <c r="G116" s="125">
        <v>2016</v>
      </c>
      <c r="H116" s="79">
        <v>27275520</v>
      </c>
      <c r="I116" s="79">
        <v>1</v>
      </c>
      <c r="J116" s="126"/>
      <c r="K116" s="127"/>
      <c r="L116" s="79">
        <v>1</v>
      </c>
      <c r="M116" s="79"/>
      <c r="N116" s="79">
        <v>1</v>
      </c>
      <c r="O116" s="128">
        <v>2</v>
      </c>
      <c r="P116" s="79" t="s">
        <v>1361</v>
      </c>
      <c r="Q116" s="79" t="s">
        <v>1216</v>
      </c>
      <c r="R116" s="79" t="s">
        <v>1127</v>
      </c>
      <c r="S116" s="79"/>
      <c r="T116" s="79" t="s">
        <v>1487</v>
      </c>
      <c r="U116" s="79"/>
      <c r="V116" s="79"/>
      <c r="W116" s="79" t="s">
        <v>1360</v>
      </c>
      <c r="X116" s="79" t="s">
        <v>24</v>
      </c>
      <c r="Y116" s="79" t="s">
        <v>24</v>
      </c>
      <c r="Z116" s="79"/>
      <c r="AA116" s="79"/>
      <c r="AB116" s="79"/>
      <c r="AC116" s="506" t="s">
        <v>6213</v>
      </c>
      <c r="AD116" s="573">
        <v>1</v>
      </c>
      <c r="AE116" s="573">
        <v>1</v>
      </c>
      <c r="AF116" s="154">
        <v>1</v>
      </c>
      <c r="AG116" s="155" t="s">
        <v>7625</v>
      </c>
      <c r="AH116" s="704"/>
      <c r="AI116" s="121">
        <v>4</v>
      </c>
      <c r="AJ116" s="484" t="s">
        <v>6889</v>
      </c>
      <c r="AK116" s="202" t="s">
        <v>6883</v>
      </c>
      <c r="AL116" s="192">
        <v>1</v>
      </c>
      <c r="AM116" s="203">
        <v>1</v>
      </c>
      <c r="AN116" s="121">
        <f>Table66[[#This Row],[Data_Subjects_n_ptsd]]+Table66[[#This Row],[Data_Subjects_n_control]]</f>
        <v>20</v>
      </c>
      <c r="AO116" s="121">
        <v>10</v>
      </c>
      <c r="AP116" s="121">
        <v>10</v>
      </c>
      <c r="AQ116" s="121" t="s">
        <v>803</v>
      </c>
      <c r="AR116" s="121" t="s">
        <v>803</v>
      </c>
      <c r="AS116" s="121" t="s">
        <v>2687</v>
      </c>
      <c r="AT116" s="121" t="s">
        <v>24</v>
      </c>
      <c r="AU116" s="121" t="s">
        <v>2687</v>
      </c>
      <c r="AV116" s="121" t="s">
        <v>24</v>
      </c>
      <c r="AW116" s="121" t="s">
        <v>6876</v>
      </c>
      <c r="AX116" s="121"/>
      <c r="AY116" s="121"/>
      <c r="AZ116" s="754" t="s">
        <v>7328</v>
      </c>
      <c r="BA116" s="121">
        <v>1</v>
      </c>
      <c r="BB116" s="121" t="s">
        <v>6877</v>
      </c>
      <c r="BC116" s="121" t="s">
        <v>6888</v>
      </c>
      <c r="BD116" s="754" t="s">
        <v>7523</v>
      </c>
      <c r="BE116" s="754"/>
      <c r="BF116" s="121" t="s">
        <v>1130</v>
      </c>
      <c r="BG116" s="121" t="s">
        <v>6653</v>
      </c>
      <c r="BH116" s="594" t="s">
        <v>5207</v>
      </c>
      <c r="BI116" s="594"/>
      <c r="BJ116" s="156"/>
      <c r="BK116" s="156"/>
      <c r="BL116" s="156"/>
      <c r="BM116" s="156"/>
      <c r="BN116" s="156"/>
      <c r="BO116" s="156"/>
      <c r="BP116" s="156">
        <v>1</v>
      </c>
      <c r="BQ116" s="156"/>
      <c r="BR116" s="156"/>
      <c r="BS116" s="156"/>
      <c r="BT116" s="156"/>
      <c r="BU116" s="156"/>
      <c r="BV116" s="156"/>
      <c r="BW116" s="595" t="s">
        <v>6764</v>
      </c>
      <c r="BX116" s="157" t="s">
        <v>6763</v>
      </c>
      <c r="BY116" s="797" t="s">
        <v>7614</v>
      </c>
      <c r="BZ116" s="789" t="s">
        <v>7610</v>
      </c>
      <c r="CA116" s="811">
        <v>2</v>
      </c>
      <c r="CB116" s="811" t="s">
        <v>7556</v>
      </c>
      <c r="CC116" s="811" t="s">
        <v>7384</v>
      </c>
      <c r="CD116" s="134" t="s">
        <v>1876</v>
      </c>
      <c r="CE116" s="168" t="s">
        <v>6884</v>
      </c>
      <c r="CF116" s="415"/>
      <c r="CG116" s="664" t="s">
        <v>6879</v>
      </c>
      <c r="CH116" s="763" t="s">
        <v>1512</v>
      </c>
      <c r="CI116" s="134" t="s">
        <v>6885</v>
      </c>
      <c r="CJ116" s="134"/>
      <c r="CK116" s="134" t="s">
        <v>6878</v>
      </c>
      <c r="CL116" s="134" t="s">
        <v>8226</v>
      </c>
      <c r="CM116" s="259" t="s">
        <v>6902</v>
      </c>
      <c r="CN116" s="454" t="s">
        <v>24</v>
      </c>
      <c r="CO116" s="828">
        <v>33</v>
      </c>
      <c r="CP116" s="828">
        <v>1</v>
      </c>
      <c r="CQ116" s="828">
        <v>2</v>
      </c>
      <c r="CR116" s="828">
        <v>1</v>
      </c>
      <c r="CS116" s="828">
        <v>-1</v>
      </c>
      <c r="CT116" s="967"/>
      <c r="CU116" s="1289" t="s">
        <v>8104</v>
      </c>
      <c r="CV116" s="1295">
        <v>89</v>
      </c>
      <c r="CW116" s="1295">
        <v>81</v>
      </c>
      <c r="CX116" s="138" t="s">
        <v>6893</v>
      </c>
      <c r="CY116" s="134">
        <v>42.446800000000003</v>
      </c>
      <c r="CZ116" s="134" t="s">
        <v>24</v>
      </c>
      <c r="DA116" s="134">
        <f>45.1562-Table66[[#This Row],[Data_Outcome1_M]]</f>
        <v>2.7093999999999951</v>
      </c>
      <c r="DB116" s="138" t="s">
        <v>6894</v>
      </c>
      <c r="DC116" s="134">
        <v>33.235399999999998</v>
      </c>
      <c r="DD116" s="134" t="s">
        <v>24</v>
      </c>
      <c r="DE116" s="134">
        <f>36.0801-Table66[[#This Row],[Data_Outcome2_M]]</f>
        <v>2.8447000000000031</v>
      </c>
      <c r="DF116" s="288" t="s">
        <v>6901</v>
      </c>
      <c r="DG116" s="289" t="s">
        <v>2588</v>
      </c>
      <c r="DH116" s="1175"/>
      <c r="DI116" s="417"/>
      <c r="DJ116" s="1169"/>
      <c r="DK116" s="417"/>
      <c r="DL116" s="1171"/>
      <c r="DM116" s="417"/>
      <c r="DN116" s="1169"/>
      <c r="DO116" s="1151"/>
      <c r="DP116" s="288"/>
      <c r="DQ116" s="441"/>
      <c r="DR116" s="1168"/>
      <c r="DS116" s="865"/>
      <c r="DT116" s="1171"/>
      <c r="DU116" s="121"/>
      <c r="DV116" s="1169"/>
      <c r="DW116" s="121"/>
      <c r="DX116" s="1171"/>
      <c r="DY116" s="121"/>
      <c r="DZ116" s="1169"/>
      <c r="EA116" s="121"/>
      <c r="EB116" s="1226"/>
      <c r="EC116" s="1225"/>
      <c r="ED116" s="1171"/>
      <c r="EE116" s="121"/>
      <c r="EF116" s="1169"/>
      <c r="EG116" s="121"/>
      <c r="EH116" s="1171"/>
      <c r="EI116" s="121"/>
      <c r="EJ116" s="1169"/>
      <c r="EK116" s="121"/>
      <c r="EL116" s="1226"/>
      <c r="EM116" s="1225"/>
      <c r="EN116" s="309"/>
      <c r="EO116" s="1170"/>
      <c r="EP116" s="1276"/>
      <c r="EQ116" s="121"/>
      <c r="ER116" s="121"/>
      <c r="ES116" s="121"/>
      <c r="ET116" s="1276"/>
      <c r="EU116" s="121"/>
      <c r="EV116" s="121"/>
      <c r="EW116" s="121"/>
      <c r="EX116" s="435"/>
      <c r="EY116" s="437"/>
      <c r="EZ116" s="1171"/>
      <c r="FA116" s="1169"/>
      <c r="FB116" s="1169"/>
      <c r="FC116" s="1169"/>
      <c r="FD116" s="1171"/>
      <c r="FE116" s="1169"/>
      <c r="FF116" s="1169"/>
      <c r="FG116" s="1169"/>
      <c r="FH116" s="312"/>
      <c r="FI116" s="312"/>
      <c r="FJ116" s="1170"/>
    </row>
    <row r="117" spans="1:166" s="229" customFormat="1" ht="15" hidden="1" customHeight="1">
      <c r="A117" s="79" t="s">
        <v>1047</v>
      </c>
      <c r="B117" s="362">
        <v>131</v>
      </c>
      <c r="C117" s="362"/>
      <c r="D117" s="362">
        <v>42</v>
      </c>
      <c r="E117" s="604" t="s">
        <v>2079</v>
      </c>
      <c r="F117" s="124" t="s">
        <v>2333</v>
      </c>
      <c r="G117" s="125">
        <v>2016</v>
      </c>
      <c r="H117" s="79">
        <v>27275520</v>
      </c>
      <c r="I117" s="79">
        <v>1</v>
      </c>
      <c r="J117" s="126"/>
      <c r="K117" s="127"/>
      <c r="L117" s="79">
        <v>1</v>
      </c>
      <c r="M117" s="79"/>
      <c r="N117" s="79">
        <v>1</v>
      </c>
      <c r="O117" s="128">
        <v>2</v>
      </c>
      <c r="P117" s="79" t="s">
        <v>1361</v>
      </c>
      <c r="Q117" s="79" t="s">
        <v>1216</v>
      </c>
      <c r="R117" s="79" t="s">
        <v>1127</v>
      </c>
      <c r="S117" s="79"/>
      <c r="T117" s="79" t="s">
        <v>1487</v>
      </c>
      <c r="U117" s="79"/>
      <c r="V117" s="79"/>
      <c r="W117" s="79" t="s">
        <v>1360</v>
      </c>
      <c r="X117" s="79" t="s">
        <v>24</v>
      </c>
      <c r="Y117" s="79" t="s">
        <v>24</v>
      </c>
      <c r="Z117" s="79"/>
      <c r="AA117" s="79"/>
      <c r="AB117" s="79"/>
      <c r="AC117" s="506" t="s">
        <v>6213</v>
      </c>
      <c r="AD117" s="573">
        <v>1</v>
      </c>
      <c r="AE117" s="573">
        <v>1</v>
      </c>
      <c r="AF117" s="154">
        <v>1</v>
      </c>
      <c r="AG117" s="155" t="s">
        <v>7625</v>
      </c>
      <c r="AH117" s="704"/>
      <c r="AI117" s="121">
        <v>4</v>
      </c>
      <c r="AJ117" s="484" t="s">
        <v>6889</v>
      </c>
      <c r="AK117" s="202" t="s">
        <v>6883</v>
      </c>
      <c r="AL117" s="192">
        <v>1</v>
      </c>
      <c r="AM117" s="203">
        <v>1</v>
      </c>
      <c r="AN117" s="121">
        <f>Table66[[#This Row],[Data_Subjects_n_ptsd]]+Table66[[#This Row],[Data_Subjects_n_control]]</f>
        <v>20</v>
      </c>
      <c r="AO117" s="121">
        <v>10</v>
      </c>
      <c r="AP117" s="121">
        <v>10</v>
      </c>
      <c r="AQ117" s="121" t="s">
        <v>803</v>
      </c>
      <c r="AR117" s="121" t="s">
        <v>803</v>
      </c>
      <c r="AS117" s="121" t="s">
        <v>2687</v>
      </c>
      <c r="AT117" s="121" t="s">
        <v>24</v>
      </c>
      <c r="AU117" s="121" t="s">
        <v>2687</v>
      </c>
      <c r="AV117" s="121" t="s">
        <v>24</v>
      </c>
      <c r="AW117" s="121" t="s">
        <v>6876</v>
      </c>
      <c r="AX117" s="121"/>
      <c r="AY117" s="121"/>
      <c r="AZ117" s="754" t="s">
        <v>7328</v>
      </c>
      <c r="BA117" s="121">
        <v>1</v>
      </c>
      <c r="BB117" s="121" t="s">
        <v>6877</v>
      </c>
      <c r="BC117" s="121" t="s">
        <v>6888</v>
      </c>
      <c r="BD117" s="754" t="s">
        <v>7523</v>
      </c>
      <c r="BE117" s="754"/>
      <c r="BF117" s="121" t="s">
        <v>1130</v>
      </c>
      <c r="BG117" s="121" t="s">
        <v>6653</v>
      </c>
      <c r="BH117" s="594" t="s">
        <v>5207</v>
      </c>
      <c r="BI117" s="594"/>
      <c r="BJ117" s="156"/>
      <c r="BK117" s="156"/>
      <c r="BL117" s="156"/>
      <c r="BM117" s="156"/>
      <c r="BN117" s="156"/>
      <c r="BO117" s="156"/>
      <c r="BP117" s="156">
        <v>1</v>
      </c>
      <c r="BQ117" s="156"/>
      <c r="BR117" s="156"/>
      <c r="BS117" s="156"/>
      <c r="BT117" s="156"/>
      <c r="BU117" s="156"/>
      <c r="BV117" s="156"/>
      <c r="BW117" s="595" t="s">
        <v>6764</v>
      </c>
      <c r="BX117" s="157" t="s">
        <v>6763</v>
      </c>
      <c r="BY117" s="797" t="s">
        <v>7614</v>
      </c>
      <c r="BZ117" s="789" t="s">
        <v>7610</v>
      </c>
      <c r="CA117" s="811">
        <v>2</v>
      </c>
      <c r="CB117" s="811" t="s">
        <v>7556</v>
      </c>
      <c r="CC117" s="811" t="s">
        <v>7384</v>
      </c>
      <c r="CD117" s="134" t="s">
        <v>1876</v>
      </c>
      <c r="CE117" s="168" t="s">
        <v>6884</v>
      </c>
      <c r="CF117" s="415"/>
      <c r="CG117" s="664" t="s">
        <v>6879</v>
      </c>
      <c r="CH117" s="763" t="s">
        <v>1512</v>
      </c>
      <c r="CI117" s="134" t="s">
        <v>6885</v>
      </c>
      <c r="CJ117" s="134"/>
      <c r="CK117" s="134" t="s">
        <v>6878</v>
      </c>
      <c r="CL117" s="134" t="s">
        <v>8226</v>
      </c>
      <c r="CM117" s="259" t="s">
        <v>6902</v>
      </c>
      <c r="CN117" s="454" t="s">
        <v>24</v>
      </c>
      <c r="CO117" s="828">
        <v>33</v>
      </c>
      <c r="CP117" s="828">
        <v>1</v>
      </c>
      <c r="CQ117" s="828">
        <v>3</v>
      </c>
      <c r="CR117" s="828">
        <v>1</v>
      </c>
      <c r="CS117" s="828">
        <v>-1</v>
      </c>
      <c r="CT117" s="967"/>
      <c r="CU117" s="1289" t="s">
        <v>8104</v>
      </c>
      <c r="CV117" s="1295">
        <v>89</v>
      </c>
      <c r="CW117" s="1295">
        <v>81</v>
      </c>
      <c r="CX117" s="138" t="s">
        <v>6895</v>
      </c>
      <c r="CY117" s="134">
        <v>32.4634</v>
      </c>
      <c r="CZ117" s="134" t="s">
        <v>24</v>
      </c>
      <c r="DA117" s="134">
        <f>34.631-Table66[[#This Row],[Data_Outcome1_M]]</f>
        <v>2.1676000000000002</v>
      </c>
      <c r="DB117" s="138" t="s">
        <v>6896</v>
      </c>
      <c r="DC117" s="134">
        <v>22.846</v>
      </c>
      <c r="DD117" s="134" t="s">
        <v>24</v>
      </c>
      <c r="DE117" s="134">
        <f>24.9456-Table66[[#This Row],[Data_Outcome2_M]]</f>
        <v>2.0995999999999988</v>
      </c>
      <c r="DF117" s="288" t="s">
        <v>6901</v>
      </c>
      <c r="DG117" s="289" t="s">
        <v>2588</v>
      </c>
      <c r="DH117" s="1171"/>
      <c r="DI117" s="121"/>
      <c r="DJ117" s="1169"/>
      <c r="DK117" s="1169"/>
      <c r="DL117" s="1171"/>
      <c r="DM117" s="1169"/>
      <c r="DN117" s="1169"/>
      <c r="DO117" s="1169"/>
      <c r="DP117" s="288"/>
      <c r="DQ117" s="289"/>
      <c r="DR117" s="1168"/>
      <c r="DS117" s="865"/>
      <c r="DT117" s="1171"/>
      <c r="DU117" s="1169"/>
      <c r="DV117" s="1169"/>
      <c r="DW117" s="1169"/>
      <c r="DX117" s="1171"/>
      <c r="DY117" s="1169"/>
      <c r="DZ117" s="1169"/>
      <c r="EA117" s="1169"/>
      <c r="EB117" s="1226"/>
      <c r="EC117" s="1225"/>
      <c r="ED117" s="1171"/>
      <c r="EE117" s="1169"/>
      <c r="EF117" s="1169"/>
      <c r="EG117" s="1169"/>
      <c r="EH117" s="1171"/>
      <c r="EI117" s="1169"/>
      <c r="EJ117" s="1169"/>
      <c r="EK117" s="1169"/>
      <c r="EL117" s="1226"/>
      <c r="EM117" s="1225"/>
      <c r="EN117" s="309"/>
      <c r="EO117" s="1170"/>
      <c r="EP117" s="1171"/>
      <c r="EQ117" s="1169"/>
      <c r="ER117" s="1169"/>
      <c r="ES117" s="1169"/>
      <c r="ET117" s="1171"/>
      <c r="EU117" s="1169"/>
      <c r="EV117" s="1169"/>
      <c r="EW117" s="1169"/>
      <c r="EX117" s="1226"/>
      <c r="EY117" s="1225"/>
      <c r="EZ117" s="1171"/>
      <c r="FA117" s="1169"/>
      <c r="FB117" s="1169"/>
      <c r="FC117" s="1169"/>
      <c r="FD117" s="1171"/>
      <c r="FE117" s="1169"/>
      <c r="FF117" s="1169"/>
      <c r="FG117" s="1169"/>
      <c r="FH117" s="312"/>
      <c r="FI117" s="312"/>
      <c r="FJ117" s="1170"/>
    </row>
    <row r="118" spans="1:166" s="229" customFormat="1" ht="15" hidden="1" customHeight="1">
      <c r="A118" s="153" t="s">
        <v>1077</v>
      </c>
      <c r="B118" s="1535">
        <v>14</v>
      </c>
      <c r="C118" s="1535"/>
      <c r="D118" s="1535"/>
      <c r="E118" s="367" t="s">
        <v>2063</v>
      </c>
      <c r="F118" s="368" t="s">
        <v>2315</v>
      </c>
      <c r="G118" s="368">
        <v>2013</v>
      </c>
      <c r="H118" s="153">
        <v>23382811</v>
      </c>
      <c r="I118" s="153">
        <v>1</v>
      </c>
      <c r="J118" s="370">
        <v>1</v>
      </c>
      <c r="K118" s="371"/>
      <c r="L118" s="153">
        <v>0</v>
      </c>
      <c r="M118" s="153"/>
      <c r="N118" s="153">
        <v>0</v>
      </c>
      <c r="O118" s="153">
        <v>2</v>
      </c>
      <c r="P118" s="153" t="s">
        <v>1286</v>
      </c>
      <c r="Q118" s="153" t="s">
        <v>1142</v>
      </c>
      <c r="R118" s="153" t="s">
        <v>1285</v>
      </c>
      <c r="S118" s="153"/>
      <c r="T118" s="153" t="s">
        <v>1488</v>
      </c>
      <c r="U118" s="153" t="s">
        <v>23</v>
      </c>
      <c r="V118" s="153"/>
      <c r="W118" s="153" t="s">
        <v>1800</v>
      </c>
      <c r="X118" s="153" t="s">
        <v>1287</v>
      </c>
      <c r="Y118" s="153"/>
      <c r="Z118" s="153"/>
      <c r="AA118" s="153"/>
      <c r="AB118" s="153"/>
      <c r="AC118" s="536"/>
      <c r="AD118" s="536">
        <v>1</v>
      </c>
      <c r="AE118" s="536">
        <v>2</v>
      </c>
      <c r="AF118" s="165">
        <v>0</v>
      </c>
      <c r="AG118" s="378" t="s">
        <v>7684</v>
      </c>
      <c r="AH118" s="509">
        <v>0</v>
      </c>
      <c r="AI118" s="683">
        <v>5</v>
      </c>
      <c r="AJ118" s="120"/>
      <c r="AK118" s="809" t="s">
        <v>2792</v>
      </c>
      <c r="AL118" s="372">
        <v>0</v>
      </c>
      <c r="AM118" s="207">
        <v>0</v>
      </c>
      <c r="AN118" s="683">
        <v>8</v>
      </c>
      <c r="AO118" s="683">
        <v>8</v>
      </c>
      <c r="AP118" s="683" t="s">
        <v>24</v>
      </c>
      <c r="AQ118" s="683" t="s">
        <v>803</v>
      </c>
      <c r="AR118" s="683" t="s">
        <v>24</v>
      </c>
      <c r="AS118" s="683" t="s">
        <v>2793</v>
      </c>
      <c r="AT118" s="683" t="s">
        <v>24</v>
      </c>
      <c r="AU118" s="683" t="s">
        <v>2793</v>
      </c>
      <c r="AV118" s="683" t="s">
        <v>24</v>
      </c>
      <c r="AW118" s="683" t="s">
        <v>2791</v>
      </c>
      <c r="AX118" s="120">
        <v>3</v>
      </c>
      <c r="AY118" s="120">
        <v>0.5</v>
      </c>
      <c r="AZ118" s="755" t="s">
        <v>1814</v>
      </c>
      <c r="BA118" s="120">
        <v>1</v>
      </c>
      <c r="BB118" s="120" t="s">
        <v>3323</v>
      </c>
      <c r="BC118" s="120" t="s">
        <v>24</v>
      </c>
      <c r="BD118" s="755"/>
      <c r="BE118" s="755"/>
      <c r="BF118" s="120" t="s">
        <v>2790</v>
      </c>
      <c r="BG118" s="683" t="s">
        <v>24</v>
      </c>
      <c r="BH118" s="377"/>
      <c r="BI118" s="377"/>
      <c r="BJ118" s="373">
        <v>1</v>
      </c>
      <c r="BK118" s="373"/>
      <c r="BL118" s="373"/>
      <c r="BM118" s="373"/>
      <c r="BN118" s="373"/>
      <c r="BO118" s="373"/>
      <c r="BP118" s="373"/>
      <c r="BQ118" s="373"/>
      <c r="BR118" s="373"/>
      <c r="BS118" s="373"/>
      <c r="BT118" s="373"/>
      <c r="BU118" s="373"/>
      <c r="BV118" s="373"/>
      <c r="BW118" s="599" t="s">
        <v>2794</v>
      </c>
      <c r="BX118" s="374" t="s">
        <v>6600</v>
      </c>
      <c r="BY118" s="374"/>
      <c r="BZ118" s="374"/>
      <c r="CA118" s="510"/>
      <c r="CB118" s="510"/>
      <c r="CC118" s="510"/>
      <c r="CD118" s="683" t="s">
        <v>2789</v>
      </c>
      <c r="CE118" s="120">
        <v>1</v>
      </c>
      <c r="CF118" s="120" t="s">
        <v>7661</v>
      </c>
      <c r="CG118" s="120" t="s">
        <v>2788</v>
      </c>
      <c r="CH118" s="755"/>
      <c r="CI118" s="120" t="s">
        <v>2787</v>
      </c>
      <c r="CJ118" s="120"/>
      <c r="CK118" s="120" t="s">
        <v>2659</v>
      </c>
      <c r="CL118" s="120" t="s">
        <v>2659</v>
      </c>
      <c r="CM118" s="675" t="s">
        <v>2786</v>
      </c>
      <c r="CN118" s="380" t="s">
        <v>6627</v>
      </c>
      <c r="CO118" s="380"/>
      <c r="CP118" s="380"/>
      <c r="CQ118" s="380"/>
      <c r="CR118" s="380"/>
      <c r="CS118" s="380"/>
      <c r="CT118" s="380"/>
      <c r="CU118" s="380"/>
      <c r="CV118" s="380"/>
      <c r="CW118" s="380"/>
      <c r="CX118" s="376" t="s">
        <v>2778</v>
      </c>
      <c r="CY118" s="683">
        <v>11.557399999999999</v>
      </c>
      <c r="CZ118" s="120" t="s">
        <v>24</v>
      </c>
      <c r="DA118" s="683">
        <f>14.5082-Table66[[#This Row],[Data_Outcome1_M]]</f>
        <v>2.950800000000001</v>
      </c>
      <c r="DB118" s="376" t="s">
        <v>2779</v>
      </c>
      <c r="DC118" s="683">
        <v>30.491800000000001</v>
      </c>
      <c r="DD118" s="120" t="s">
        <v>24</v>
      </c>
      <c r="DE118" s="815">
        <f>36.1475-Table66[[#This Row],[Data_Outcome2_M]]</f>
        <v>5.6556999999999995</v>
      </c>
      <c r="DF118" s="515" t="s">
        <v>2782</v>
      </c>
      <c r="DG118" s="513" t="s">
        <v>2783</v>
      </c>
      <c r="DH118" s="718" t="s">
        <v>2780</v>
      </c>
      <c r="DI118" s="683">
        <v>65.409800000000004</v>
      </c>
      <c r="DJ118" s="120" t="s">
        <v>24</v>
      </c>
      <c r="DK118" s="683">
        <f>74.0164-Table66[[#This Row],[Data_Outcome3_M]]</f>
        <v>8.6066000000000003</v>
      </c>
      <c r="DL118" s="376" t="s">
        <v>2781</v>
      </c>
      <c r="DM118" s="683">
        <v>70.573800000000006</v>
      </c>
      <c r="DN118" s="120" t="s">
        <v>24</v>
      </c>
      <c r="DO118" s="815">
        <f>77.9508-Table66[[#This Row],[Data_Outcome4_M]]</f>
        <v>7.3769999999999953</v>
      </c>
      <c r="DP118" s="375"/>
      <c r="DQ118" s="379"/>
      <c r="DR118" s="868" t="s">
        <v>2784</v>
      </c>
      <c r="DS118" s="956" t="s">
        <v>2785</v>
      </c>
      <c r="DT118" s="727"/>
      <c r="DU118" s="683"/>
      <c r="DV118" s="384"/>
      <c r="DW118" s="683"/>
      <c r="DX118" s="384"/>
      <c r="DY118" s="683"/>
      <c r="DZ118" s="384"/>
      <c r="EA118" s="683"/>
      <c r="EB118" s="1012"/>
      <c r="EC118" s="384"/>
      <c r="ED118" s="384"/>
      <c r="EE118" s="683"/>
      <c r="EF118" s="384"/>
      <c r="EG118" s="683"/>
      <c r="EH118" s="384"/>
      <c r="EI118" s="683"/>
      <c r="EJ118" s="384"/>
      <c r="EK118" s="683"/>
      <c r="EL118" s="1012"/>
      <c r="EM118" s="384"/>
      <c r="EN118" s="804"/>
      <c r="EO118" s="683"/>
      <c r="EP118" s="683"/>
      <c r="EQ118" s="683"/>
      <c r="ER118" s="683"/>
      <c r="ES118" s="683"/>
      <c r="ET118" s="719"/>
      <c r="EU118" s="683"/>
      <c r="EV118" s="683"/>
      <c r="EW118" s="683"/>
      <c r="EX118" s="683"/>
      <c r="EY118" s="683"/>
      <c r="EZ118" s="719"/>
      <c r="FA118" s="683"/>
      <c r="FB118" s="683"/>
      <c r="FC118" s="683"/>
      <c r="FD118" s="719"/>
      <c r="FE118" s="683"/>
      <c r="FF118" s="683"/>
      <c r="FG118" s="683"/>
      <c r="FH118" s="683"/>
      <c r="FI118" s="683"/>
      <c r="FJ118" s="683"/>
    </row>
    <row r="119" spans="1:166" s="229" customFormat="1" ht="15" hidden="1" customHeight="1">
      <c r="A119" s="79" t="s">
        <v>125</v>
      </c>
      <c r="B119" s="362">
        <v>96</v>
      </c>
      <c r="C119" s="362"/>
      <c r="D119" s="362">
        <v>26</v>
      </c>
      <c r="E119" s="604" t="s">
        <v>1942</v>
      </c>
      <c r="F119" s="124" t="s">
        <v>2161</v>
      </c>
      <c r="G119" s="125">
        <v>2012</v>
      </c>
      <c r="H119" s="79">
        <v>22950039</v>
      </c>
      <c r="I119" s="79">
        <v>1</v>
      </c>
      <c r="J119" s="126"/>
      <c r="K119" s="127"/>
      <c r="L119" s="79">
        <v>1</v>
      </c>
      <c r="M119" s="79"/>
      <c r="N119" s="79">
        <v>1</v>
      </c>
      <c r="O119" s="128">
        <v>1</v>
      </c>
      <c r="P119" s="79" t="s">
        <v>414</v>
      </c>
      <c r="Q119" s="79" t="s">
        <v>1149</v>
      </c>
      <c r="R119" s="79" t="s">
        <v>20</v>
      </c>
      <c r="S119" s="79">
        <v>1</v>
      </c>
      <c r="T119" s="79"/>
      <c r="U119" s="79"/>
      <c r="V119" s="79"/>
      <c r="W119" s="79" t="s">
        <v>415</v>
      </c>
      <c r="X119" s="79"/>
      <c r="Y119" s="79"/>
      <c r="Z119" s="79"/>
      <c r="AA119" s="79"/>
      <c r="AB119" s="79"/>
      <c r="AC119" s="506" t="s">
        <v>6194</v>
      </c>
      <c r="AD119" s="573">
        <v>1</v>
      </c>
      <c r="AE119" s="573">
        <v>0</v>
      </c>
      <c r="AF119" s="924">
        <v>2</v>
      </c>
      <c r="AG119" s="925"/>
      <c r="AH119" s="911"/>
      <c r="AI119" s="923">
        <v>2</v>
      </c>
      <c r="AJ119" s="923"/>
      <c r="AK119" s="926"/>
      <c r="AL119" s="588"/>
      <c r="AM119" s="927"/>
      <c r="AN119" s="923"/>
      <c r="AO119" s="923"/>
      <c r="AP119" s="923"/>
      <c r="AQ119" s="923"/>
      <c r="AR119" s="923"/>
      <c r="AS119" s="923"/>
      <c r="AT119" s="923"/>
      <c r="AU119" s="923"/>
      <c r="AV119" s="923"/>
      <c r="AW119" s="923"/>
      <c r="AX119" s="923"/>
      <c r="AY119" s="923"/>
      <c r="AZ119" s="915"/>
      <c r="BA119" s="923"/>
      <c r="BB119" s="923"/>
      <c r="BC119" s="923"/>
      <c r="BD119" s="915"/>
      <c r="BE119" s="915"/>
      <c r="BF119" s="923"/>
      <c r="BG119" s="923"/>
      <c r="BH119" s="594"/>
      <c r="BI119" s="594"/>
      <c r="BJ119" s="156"/>
      <c r="BK119" s="156"/>
      <c r="BL119" s="156" t="s">
        <v>5207</v>
      </c>
      <c r="BM119" s="156"/>
      <c r="BN119" s="156"/>
      <c r="BO119" s="156"/>
      <c r="BP119" s="156"/>
      <c r="BQ119" s="156"/>
      <c r="BR119" s="156" t="s">
        <v>5207</v>
      </c>
      <c r="BS119" s="156"/>
      <c r="BT119" s="156"/>
      <c r="BU119" s="156"/>
      <c r="BV119" s="156"/>
      <c r="BW119" s="928"/>
      <c r="BX119" s="929"/>
      <c r="BY119" s="929"/>
      <c r="BZ119" s="929"/>
      <c r="CA119" s="917"/>
      <c r="CB119" s="917"/>
      <c r="CC119" s="917"/>
      <c r="CD119" s="923"/>
      <c r="CE119" s="923"/>
      <c r="CF119" s="923"/>
      <c r="CG119" s="923"/>
      <c r="CH119" s="915"/>
      <c r="CI119" s="923"/>
      <c r="CJ119" s="923"/>
      <c r="CK119" s="923"/>
      <c r="CL119" s="923"/>
      <c r="CM119" s="930"/>
      <c r="CN119" s="931"/>
      <c r="CO119" s="931"/>
      <c r="CP119" s="931"/>
      <c r="CQ119" s="931"/>
      <c r="CR119" s="931"/>
      <c r="CS119" s="931"/>
      <c r="CT119" s="967"/>
      <c r="CU119" s="967"/>
      <c r="CV119" s="967"/>
      <c r="CW119" s="967"/>
      <c r="CX119" s="932"/>
      <c r="CY119" s="923"/>
      <c r="CZ119" s="923"/>
      <c r="DA119" s="923"/>
      <c r="DB119" s="932"/>
      <c r="DC119" s="923"/>
      <c r="DD119" s="923"/>
      <c r="DE119" s="923"/>
      <c r="DF119" s="920"/>
      <c r="DG119" s="598"/>
      <c r="DH119" s="950"/>
      <c r="DI119" s="951"/>
      <c r="DJ119" s="951"/>
      <c r="DK119" s="951"/>
      <c r="DL119" s="950"/>
      <c r="DM119" s="951"/>
      <c r="DN119" s="951"/>
      <c r="DO119" s="951"/>
      <c r="DP119" s="930"/>
      <c r="DQ119" s="594"/>
      <c r="DR119" s="1187"/>
      <c r="DS119" s="1186"/>
      <c r="DT119" s="950"/>
      <c r="DU119" s="923"/>
      <c r="DV119" s="951"/>
      <c r="DW119" s="923"/>
      <c r="DX119" s="951"/>
      <c r="DY119" s="923"/>
      <c r="DZ119" s="951"/>
      <c r="EA119" s="923"/>
      <c r="EB119" s="1185"/>
      <c r="EC119" s="951"/>
      <c r="ED119" s="951"/>
      <c r="EE119" s="923"/>
      <c r="EF119" s="951"/>
      <c r="EG119" s="923"/>
      <c r="EH119" s="951"/>
      <c r="EI119" s="923"/>
      <c r="EJ119" s="951"/>
      <c r="EK119" s="923"/>
      <c r="EL119" s="1185"/>
      <c r="EM119" s="951"/>
      <c r="EN119" s="931"/>
      <c r="EO119" s="923"/>
      <c r="EP119" s="923"/>
      <c r="EQ119" s="923"/>
      <c r="ER119" s="923"/>
      <c r="ES119" s="923"/>
      <c r="ET119" s="932"/>
      <c r="EU119" s="923"/>
      <c r="EV119" s="923"/>
      <c r="EW119" s="923"/>
      <c r="EX119" s="951"/>
      <c r="EY119" s="951"/>
      <c r="EZ119" s="932"/>
      <c r="FA119" s="923"/>
      <c r="FB119" s="923"/>
      <c r="FC119" s="923"/>
      <c r="FD119" s="932"/>
      <c r="FE119" s="923"/>
      <c r="FF119" s="923"/>
      <c r="FG119" s="923"/>
      <c r="FH119" s="923"/>
      <c r="FI119" s="923"/>
      <c r="FJ119" s="923"/>
    </row>
    <row r="120" spans="1:166" s="229" customFormat="1" ht="15" hidden="1" customHeight="1">
      <c r="A120" s="153" t="s">
        <v>126</v>
      </c>
      <c r="B120" s="1535">
        <v>1</v>
      </c>
      <c r="C120" s="1535"/>
      <c r="D120" s="1535"/>
      <c r="E120" s="610" t="s">
        <v>1943</v>
      </c>
      <c r="F120" s="368" t="s">
        <v>2162</v>
      </c>
      <c r="G120" s="369">
        <v>2014</v>
      </c>
      <c r="H120" s="153">
        <v>24950747</v>
      </c>
      <c r="I120" s="153">
        <v>1</v>
      </c>
      <c r="J120" s="370"/>
      <c r="K120" s="371"/>
      <c r="L120" s="153">
        <v>1</v>
      </c>
      <c r="M120" s="153"/>
      <c r="N120" s="153">
        <v>1</v>
      </c>
      <c r="O120" s="153">
        <v>1</v>
      </c>
      <c r="P120" s="153" t="s">
        <v>11</v>
      </c>
      <c r="Q120" s="153" t="s">
        <v>1142</v>
      </c>
      <c r="R120" s="153" t="s">
        <v>416</v>
      </c>
      <c r="S120" s="153">
        <v>0</v>
      </c>
      <c r="T120" s="153"/>
      <c r="U120" s="153"/>
      <c r="V120" s="153"/>
      <c r="W120" s="153" t="s">
        <v>11</v>
      </c>
      <c r="X120" s="153"/>
      <c r="Y120" s="153"/>
      <c r="Z120" s="153"/>
      <c r="AA120" s="153"/>
      <c r="AB120" s="153" t="s">
        <v>1193</v>
      </c>
      <c r="AC120" s="536"/>
      <c r="AD120" s="536">
        <v>1</v>
      </c>
      <c r="AE120" s="536">
        <v>2</v>
      </c>
      <c r="AF120" s="533">
        <v>0</v>
      </c>
      <c r="AG120" s="708" t="s">
        <v>7225</v>
      </c>
      <c r="AH120" s="710">
        <v>0</v>
      </c>
      <c r="AI120" s="131">
        <v>3</v>
      </c>
      <c r="AJ120" s="131"/>
      <c r="AK120" s="1119"/>
      <c r="AL120" s="711">
        <v>0</v>
      </c>
      <c r="AM120" s="197"/>
      <c r="AN120" s="70"/>
      <c r="AO120" s="70"/>
      <c r="AP120" s="70"/>
      <c r="AQ120" s="131" t="s">
        <v>1878</v>
      </c>
      <c r="AR120" s="131" t="s">
        <v>1878</v>
      </c>
      <c r="AS120" s="131"/>
      <c r="AT120" s="70"/>
      <c r="AU120" s="131"/>
      <c r="AV120" s="70"/>
      <c r="AW120" s="70"/>
      <c r="AX120" s="70"/>
      <c r="AY120" s="70"/>
      <c r="AZ120" s="758"/>
      <c r="BA120" s="70"/>
      <c r="BB120" s="70"/>
      <c r="BC120" s="70"/>
      <c r="BD120" s="758"/>
      <c r="BE120" s="758"/>
      <c r="BF120" s="70"/>
      <c r="BG120" s="70" t="s">
        <v>1875</v>
      </c>
      <c r="BH120" s="368"/>
      <c r="BI120" s="368"/>
      <c r="BJ120" s="712">
        <v>1</v>
      </c>
      <c r="BK120" s="712"/>
      <c r="BL120" s="712"/>
      <c r="BM120" s="712"/>
      <c r="BN120" s="712"/>
      <c r="BO120" s="712"/>
      <c r="BP120" s="712"/>
      <c r="BQ120" s="712"/>
      <c r="BR120" s="712"/>
      <c r="BS120" s="712"/>
      <c r="BT120" s="712"/>
      <c r="BU120" s="712"/>
      <c r="BV120" s="712"/>
      <c r="BW120" s="713"/>
      <c r="BX120" s="714"/>
      <c r="BY120" s="714"/>
      <c r="BZ120" s="714"/>
      <c r="CA120" s="710"/>
      <c r="CB120" s="710"/>
      <c r="CC120" s="710"/>
      <c r="CD120" s="70"/>
      <c r="CE120" s="70"/>
      <c r="CF120" s="70"/>
      <c r="CG120" s="131"/>
      <c r="CH120" s="758"/>
      <c r="CI120" s="70"/>
      <c r="CJ120" s="70"/>
      <c r="CK120" s="131"/>
      <c r="CL120" s="70"/>
      <c r="CM120" s="1101" t="s">
        <v>24</v>
      </c>
      <c r="CN120" s="715"/>
      <c r="CO120" s="715"/>
      <c r="CP120" s="715"/>
      <c r="CQ120" s="715"/>
      <c r="CR120" s="715"/>
      <c r="CS120" s="715"/>
      <c r="CT120" s="715"/>
      <c r="CU120" s="715"/>
      <c r="CV120" s="715"/>
      <c r="CW120" s="715"/>
      <c r="CX120" s="716"/>
      <c r="CY120" s="120"/>
      <c r="CZ120" s="120"/>
      <c r="DA120" s="120"/>
      <c r="DB120" s="376"/>
      <c r="DC120" s="120"/>
      <c r="DD120" s="120"/>
      <c r="DE120" s="120"/>
      <c r="DF120" s="515"/>
      <c r="DG120" s="513"/>
      <c r="DH120" s="727"/>
      <c r="DI120" s="384"/>
      <c r="DJ120" s="384"/>
      <c r="DK120" s="384"/>
      <c r="DL120" s="376"/>
      <c r="DM120" s="384"/>
      <c r="DN120" s="384"/>
      <c r="DO120" s="384"/>
      <c r="DP120" s="375"/>
      <c r="DQ120" s="377"/>
      <c r="DR120" s="1182"/>
      <c r="DS120" s="1194"/>
      <c r="DT120" s="120"/>
      <c r="DU120" s="384"/>
      <c r="DV120" s="384"/>
      <c r="DW120" s="384"/>
      <c r="DX120" s="120"/>
      <c r="DY120" s="384"/>
      <c r="DZ120" s="384"/>
      <c r="EA120" s="384"/>
      <c r="EB120" s="1012"/>
      <c r="EC120" s="384"/>
      <c r="ED120" s="384"/>
      <c r="EE120" s="384"/>
      <c r="EF120" s="384"/>
      <c r="EG120" s="384"/>
      <c r="EH120" s="384"/>
      <c r="EI120" s="384"/>
      <c r="EJ120" s="384"/>
      <c r="EK120" s="384"/>
      <c r="EL120" s="1012"/>
      <c r="EM120" s="384"/>
      <c r="EN120" s="1012"/>
      <c r="EO120" s="384"/>
      <c r="EP120" s="384"/>
      <c r="EQ120" s="384"/>
      <c r="ER120" s="120"/>
      <c r="ES120" s="120"/>
      <c r="ET120" s="727"/>
      <c r="EU120" s="384"/>
      <c r="EV120" s="120"/>
      <c r="EW120" s="384"/>
      <c r="EX120" s="384"/>
      <c r="EY120" s="384"/>
      <c r="EZ120" s="727"/>
      <c r="FA120" s="384"/>
      <c r="FB120" s="384"/>
      <c r="FC120" s="384"/>
      <c r="FD120" s="727"/>
      <c r="FE120" s="384"/>
      <c r="FF120" s="384"/>
      <c r="FG120" s="384"/>
      <c r="FH120" s="384"/>
      <c r="FI120" s="384"/>
      <c r="FJ120" s="384"/>
    </row>
    <row r="121" spans="1:166" s="229" customFormat="1" ht="15" hidden="1" customHeight="1">
      <c r="A121" s="153" t="s">
        <v>128</v>
      </c>
      <c r="B121" s="618">
        <v>97</v>
      </c>
      <c r="C121" s="618"/>
      <c r="D121" s="618">
        <v>27</v>
      </c>
      <c r="E121" s="610" t="s">
        <v>1944</v>
      </c>
      <c r="F121" s="368" t="s">
        <v>2163</v>
      </c>
      <c r="G121" s="369">
        <v>2005</v>
      </c>
      <c r="H121" s="153">
        <v>15993948</v>
      </c>
      <c r="I121" s="153">
        <v>1</v>
      </c>
      <c r="J121" s="370"/>
      <c r="K121" s="371"/>
      <c r="L121" s="153">
        <v>1</v>
      </c>
      <c r="M121" s="153"/>
      <c r="N121" s="153">
        <v>1</v>
      </c>
      <c r="O121" s="153">
        <v>1</v>
      </c>
      <c r="P121" s="153" t="s">
        <v>418</v>
      </c>
      <c r="Q121" s="153" t="s">
        <v>1150</v>
      </c>
      <c r="R121" s="153" t="s">
        <v>25</v>
      </c>
      <c r="S121" s="153">
        <v>1</v>
      </c>
      <c r="T121" s="153"/>
      <c r="U121" s="153"/>
      <c r="V121" s="153"/>
      <c r="W121" s="153" t="s">
        <v>419</v>
      </c>
      <c r="X121" s="153"/>
      <c r="Y121" s="153"/>
      <c r="Z121" s="153"/>
      <c r="AA121" s="153"/>
      <c r="AB121" s="153"/>
      <c r="AC121" s="536" t="s">
        <v>6196</v>
      </c>
      <c r="AD121" s="536">
        <v>1</v>
      </c>
      <c r="AE121" s="536">
        <v>0</v>
      </c>
      <c r="AF121" s="165">
        <v>0</v>
      </c>
      <c r="AG121" s="166" t="s">
        <v>7469</v>
      </c>
      <c r="AH121" s="509" t="s">
        <v>7283</v>
      </c>
      <c r="AI121" s="120">
        <v>2</v>
      </c>
      <c r="AJ121" s="120"/>
      <c r="AK121" s="206"/>
      <c r="AL121" s="372"/>
      <c r="AM121" s="207"/>
      <c r="AN121" s="120"/>
      <c r="AO121" s="120"/>
      <c r="AP121" s="120"/>
      <c r="AQ121" s="633"/>
      <c r="AR121" s="633"/>
      <c r="AS121" s="120"/>
      <c r="AT121" s="120"/>
      <c r="AU121" s="633"/>
      <c r="AV121" s="120"/>
      <c r="AW121" s="120"/>
      <c r="AX121" s="120"/>
      <c r="AY121" s="120"/>
      <c r="AZ121" s="755"/>
      <c r="BA121" s="120"/>
      <c r="BB121" s="120"/>
      <c r="BC121" s="120"/>
      <c r="BD121" s="755"/>
      <c r="BE121" s="755"/>
      <c r="BF121" s="120"/>
      <c r="BG121" s="120"/>
      <c r="BH121" s="377"/>
      <c r="BI121" s="377" t="s">
        <v>6186</v>
      </c>
      <c r="BJ121" s="373"/>
      <c r="BK121" s="373"/>
      <c r="BL121" s="373"/>
      <c r="BM121" s="373"/>
      <c r="BN121" s="373"/>
      <c r="BO121" s="373"/>
      <c r="BP121" s="373"/>
      <c r="BQ121" s="373"/>
      <c r="BR121" s="373"/>
      <c r="BS121" s="373" t="s">
        <v>5545</v>
      </c>
      <c r="BT121" s="373"/>
      <c r="BU121" s="373"/>
      <c r="BV121" s="373"/>
      <c r="BW121" s="599"/>
      <c r="BX121" s="374"/>
      <c r="BY121" s="374"/>
      <c r="BZ121" s="374"/>
      <c r="CA121" s="510"/>
      <c r="CB121" s="510"/>
      <c r="CC121" s="510"/>
      <c r="CD121" s="120"/>
      <c r="CE121" s="120"/>
      <c r="CF121" s="120"/>
      <c r="CG121" s="120"/>
      <c r="CH121" s="755"/>
      <c r="CI121" s="120"/>
      <c r="CJ121" s="120"/>
      <c r="CK121" s="120"/>
      <c r="CL121" s="120"/>
      <c r="CM121" s="380"/>
      <c r="CN121" s="380"/>
      <c r="CO121" s="380"/>
      <c r="CP121" s="380"/>
      <c r="CQ121" s="380"/>
      <c r="CR121" s="380"/>
      <c r="CS121" s="380"/>
      <c r="CT121" s="380"/>
      <c r="CU121" s="380"/>
      <c r="CV121" s="380"/>
      <c r="CW121" s="380"/>
      <c r="CX121" s="376"/>
      <c r="CY121" s="683"/>
      <c r="CZ121" s="120"/>
      <c r="DA121" s="683"/>
      <c r="DB121" s="376"/>
      <c r="DC121" s="120"/>
      <c r="DD121" s="120"/>
      <c r="DE121" s="120"/>
      <c r="DF121" s="515"/>
      <c r="DG121" s="513"/>
      <c r="DH121" s="727"/>
      <c r="DI121" s="384"/>
      <c r="DJ121" s="384"/>
      <c r="DK121" s="384"/>
      <c r="DL121" s="727"/>
      <c r="DM121" s="384"/>
      <c r="DN121" s="384"/>
      <c r="DO121" s="384"/>
      <c r="DP121" s="375"/>
      <c r="DQ121" s="377"/>
      <c r="DR121" s="1182"/>
      <c r="DS121" s="956"/>
      <c r="DT121" s="727"/>
      <c r="DU121" s="384"/>
      <c r="DV121" s="384"/>
      <c r="DW121" s="384"/>
      <c r="DX121" s="384"/>
      <c r="DY121" s="384"/>
      <c r="DZ121" s="384"/>
      <c r="EA121" s="384"/>
      <c r="EB121" s="380"/>
      <c r="EC121" s="120"/>
      <c r="ED121" s="384"/>
      <c r="EE121" s="384"/>
      <c r="EF121" s="384"/>
      <c r="EG121" s="384"/>
      <c r="EH121" s="384"/>
      <c r="EI121" s="384"/>
      <c r="EJ121" s="384"/>
      <c r="EK121" s="384"/>
      <c r="EL121" s="380"/>
      <c r="EM121" s="120"/>
      <c r="EN121" s="1012"/>
      <c r="EO121" s="384"/>
      <c r="EP121" s="120"/>
      <c r="EQ121" s="120"/>
      <c r="ER121" s="120"/>
      <c r="ES121" s="120"/>
      <c r="ET121" s="376"/>
      <c r="EU121" s="384"/>
      <c r="EV121" s="384"/>
      <c r="EW121" s="384"/>
      <c r="EX121" s="120"/>
      <c r="EY121" s="120"/>
      <c r="EZ121" s="727"/>
      <c r="FA121" s="384"/>
      <c r="FB121" s="384"/>
      <c r="FC121" s="384"/>
      <c r="FD121" s="727"/>
      <c r="FE121" s="384"/>
      <c r="FF121" s="384"/>
      <c r="FG121" s="384"/>
      <c r="FH121" s="384"/>
      <c r="FI121" s="384"/>
      <c r="FJ121" s="384"/>
    </row>
    <row r="122" spans="1:166" s="229" customFormat="1" ht="15" hidden="1" customHeight="1">
      <c r="A122" s="79" t="s">
        <v>129</v>
      </c>
      <c r="B122" s="362">
        <v>98</v>
      </c>
      <c r="C122" s="362"/>
      <c r="D122" s="362">
        <v>28</v>
      </c>
      <c r="E122" s="604" t="s">
        <v>1945</v>
      </c>
      <c r="F122" s="124" t="s">
        <v>2164</v>
      </c>
      <c r="G122" s="125">
        <v>2013</v>
      </c>
      <c r="H122" s="79">
        <v>23803518</v>
      </c>
      <c r="I122" s="79">
        <v>1</v>
      </c>
      <c r="J122" s="126"/>
      <c r="K122" s="127"/>
      <c r="L122" s="79">
        <v>1</v>
      </c>
      <c r="M122" s="79"/>
      <c r="N122" s="79">
        <v>1</v>
      </c>
      <c r="O122" s="128">
        <v>1</v>
      </c>
      <c r="P122" s="79" t="s">
        <v>31</v>
      </c>
      <c r="Q122" s="79" t="s">
        <v>1143</v>
      </c>
      <c r="R122" s="79"/>
      <c r="S122" s="79"/>
      <c r="T122" s="79"/>
      <c r="U122" s="79"/>
      <c r="V122" s="79"/>
      <c r="W122" s="79"/>
      <c r="X122" s="79"/>
      <c r="Y122" s="79"/>
      <c r="Z122" s="79"/>
      <c r="AA122" s="79"/>
      <c r="AB122" s="79"/>
      <c r="AC122" s="506" t="s">
        <v>31</v>
      </c>
      <c r="AD122" s="573">
        <v>1</v>
      </c>
      <c r="AE122" s="573">
        <v>0</v>
      </c>
      <c r="AF122" s="924">
        <v>2</v>
      </c>
      <c r="AG122" s="925"/>
      <c r="AH122" s="911"/>
      <c r="AI122" s="923"/>
      <c r="AJ122" s="923"/>
      <c r="AK122" s="926"/>
      <c r="AL122" s="588"/>
      <c r="AM122" s="927"/>
      <c r="AN122" s="923"/>
      <c r="AO122" s="923"/>
      <c r="AP122" s="923"/>
      <c r="AQ122" s="923"/>
      <c r="AR122" s="923"/>
      <c r="AS122" s="923"/>
      <c r="AT122" s="923"/>
      <c r="AU122" s="923"/>
      <c r="AV122" s="923"/>
      <c r="AW122" s="923"/>
      <c r="AX122" s="923"/>
      <c r="AY122" s="923"/>
      <c r="AZ122" s="915"/>
      <c r="BA122" s="923"/>
      <c r="BB122" s="923"/>
      <c r="BC122" s="923"/>
      <c r="BD122" s="915"/>
      <c r="BE122" s="915"/>
      <c r="BF122" s="923"/>
      <c r="BG122" s="923"/>
      <c r="BH122" s="594"/>
      <c r="BI122" s="594"/>
      <c r="BJ122" s="156"/>
      <c r="BK122" s="156"/>
      <c r="BL122" s="156" t="s">
        <v>5207</v>
      </c>
      <c r="BM122" s="156"/>
      <c r="BN122" s="156"/>
      <c r="BO122" s="156"/>
      <c r="BP122" s="156"/>
      <c r="BQ122" s="156"/>
      <c r="BR122" s="156"/>
      <c r="BS122" s="156"/>
      <c r="BT122" s="156"/>
      <c r="BU122" s="156"/>
      <c r="BV122" s="156"/>
      <c r="BW122" s="928"/>
      <c r="BX122" s="929"/>
      <c r="BY122" s="929"/>
      <c r="BZ122" s="929"/>
      <c r="CA122" s="184"/>
      <c r="CB122" s="184"/>
      <c r="CC122" s="184"/>
      <c r="CD122" s="923"/>
      <c r="CE122" s="923"/>
      <c r="CF122" s="923"/>
      <c r="CG122" s="923"/>
      <c r="CH122" s="915"/>
      <c r="CI122" s="923"/>
      <c r="CJ122" s="923"/>
      <c r="CK122" s="923"/>
      <c r="CL122" s="923"/>
      <c r="CM122" s="930"/>
      <c r="CN122" s="931"/>
      <c r="CO122" s="931"/>
      <c r="CP122" s="931"/>
      <c r="CQ122" s="931"/>
      <c r="CR122" s="931"/>
      <c r="CS122" s="931"/>
      <c r="CT122" s="967"/>
      <c r="CU122" s="967"/>
      <c r="CV122" s="967"/>
      <c r="CW122" s="967"/>
      <c r="CX122" s="932"/>
      <c r="CY122" s="923"/>
      <c r="CZ122" s="923"/>
      <c r="DA122" s="923"/>
      <c r="DB122" s="932"/>
      <c r="DC122" s="923"/>
      <c r="DD122" s="923"/>
      <c r="DE122" s="923"/>
      <c r="DF122" s="920"/>
      <c r="DG122" s="911"/>
      <c r="DH122" s="950"/>
      <c r="DI122" s="951"/>
      <c r="DJ122" s="951"/>
      <c r="DK122" s="951"/>
      <c r="DL122" s="950"/>
      <c r="DM122" s="951"/>
      <c r="DN122" s="951"/>
      <c r="DO122" s="951"/>
      <c r="DP122" s="930"/>
      <c r="DQ122" s="594"/>
      <c r="DR122" s="1187"/>
      <c r="DS122" s="1186"/>
      <c r="DT122" s="950"/>
      <c r="DU122" s="923"/>
      <c r="DV122" s="951"/>
      <c r="DW122" s="923"/>
      <c r="DX122" s="951"/>
      <c r="DY122" s="923"/>
      <c r="DZ122" s="951"/>
      <c r="EA122" s="923"/>
      <c r="EB122" s="1185"/>
      <c r="EC122" s="951"/>
      <c r="ED122" s="951"/>
      <c r="EE122" s="923"/>
      <c r="EF122" s="951"/>
      <c r="EG122" s="923"/>
      <c r="EH122" s="951"/>
      <c r="EI122" s="923"/>
      <c r="EJ122" s="951"/>
      <c r="EK122" s="923"/>
      <c r="EL122" s="1185"/>
      <c r="EM122" s="951"/>
      <c r="EN122" s="931"/>
      <c r="EO122" s="923"/>
      <c r="EP122" s="923"/>
      <c r="EQ122" s="923"/>
      <c r="ER122" s="923"/>
      <c r="ES122" s="923"/>
      <c r="ET122" s="932"/>
      <c r="EU122" s="923"/>
      <c r="EV122" s="923"/>
      <c r="EW122" s="923"/>
      <c r="EX122" s="951"/>
      <c r="EY122" s="951"/>
      <c r="EZ122" s="932"/>
      <c r="FA122" s="923"/>
      <c r="FB122" s="923"/>
      <c r="FC122" s="923"/>
      <c r="FD122" s="932"/>
      <c r="FE122" s="923"/>
      <c r="FF122" s="923"/>
      <c r="FG122" s="923"/>
      <c r="FH122" s="923"/>
      <c r="FI122" s="923"/>
      <c r="FJ122" s="923"/>
    </row>
    <row r="123" spans="1:166" s="229" customFormat="1" ht="15" hidden="1" customHeight="1">
      <c r="A123" s="153" t="s">
        <v>130</v>
      </c>
      <c r="B123" s="618">
        <v>99</v>
      </c>
      <c r="C123" s="618">
        <v>19</v>
      </c>
      <c r="D123" s="618"/>
      <c r="E123" s="610" t="s">
        <v>1946</v>
      </c>
      <c r="F123" s="368" t="s">
        <v>2165</v>
      </c>
      <c r="G123" s="369">
        <v>2008</v>
      </c>
      <c r="H123" s="153">
        <v>18423611</v>
      </c>
      <c r="I123" s="153">
        <v>1</v>
      </c>
      <c r="J123" s="370"/>
      <c r="K123" s="371"/>
      <c r="L123" s="153">
        <v>1</v>
      </c>
      <c r="M123" s="153"/>
      <c r="N123" s="153">
        <v>1</v>
      </c>
      <c r="O123" s="153">
        <v>1</v>
      </c>
      <c r="P123" s="153" t="s">
        <v>421</v>
      </c>
      <c r="Q123" s="153" t="s">
        <v>1151</v>
      </c>
      <c r="R123" s="153" t="s">
        <v>420</v>
      </c>
      <c r="S123" s="153">
        <v>0</v>
      </c>
      <c r="T123" s="153"/>
      <c r="U123" s="153"/>
      <c r="V123" s="153"/>
      <c r="W123" s="153" t="s">
        <v>23</v>
      </c>
      <c r="X123" s="153"/>
      <c r="Y123" s="153"/>
      <c r="Z123" s="153"/>
      <c r="AA123" s="153"/>
      <c r="AB123" s="153" t="s">
        <v>422</v>
      </c>
      <c r="AC123" s="536"/>
      <c r="AD123" s="536">
        <v>1</v>
      </c>
      <c r="AE123" s="536">
        <v>2</v>
      </c>
      <c r="AF123" s="165">
        <v>0</v>
      </c>
      <c r="AG123" s="166" t="s">
        <v>7468</v>
      </c>
      <c r="AH123" s="509">
        <v>0</v>
      </c>
      <c r="AI123" s="120">
        <v>3</v>
      </c>
      <c r="AJ123" s="120"/>
      <c r="AK123" s="206" t="s">
        <v>7426</v>
      </c>
      <c r="AL123" s="372" t="s">
        <v>24</v>
      </c>
      <c r="AM123" s="207">
        <v>0</v>
      </c>
      <c r="AN123" s="120">
        <v>87</v>
      </c>
      <c r="AO123" s="120">
        <v>17</v>
      </c>
      <c r="AP123" s="120">
        <v>72</v>
      </c>
      <c r="AQ123" s="120" t="s">
        <v>4135</v>
      </c>
      <c r="AR123" s="120" t="s">
        <v>4136</v>
      </c>
      <c r="AS123" s="120">
        <v>43.9</v>
      </c>
      <c r="AT123" s="120">
        <v>9.6</v>
      </c>
      <c r="AU123" s="120">
        <v>43.7</v>
      </c>
      <c r="AV123" s="120">
        <v>8.8000000000000007</v>
      </c>
      <c r="AW123" s="120" t="s">
        <v>4137</v>
      </c>
      <c r="AX123" s="120"/>
      <c r="AY123" s="120"/>
      <c r="AZ123" s="755" t="s">
        <v>7360</v>
      </c>
      <c r="BA123" s="120" t="s">
        <v>24</v>
      </c>
      <c r="BB123" s="120" t="s">
        <v>24</v>
      </c>
      <c r="BC123" s="120" t="s">
        <v>4139</v>
      </c>
      <c r="BD123" s="755"/>
      <c r="BE123" s="755"/>
      <c r="BF123" s="120" t="s">
        <v>4138</v>
      </c>
      <c r="BG123" s="120" t="s">
        <v>4140</v>
      </c>
      <c r="BH123" s="377"/>
      <c r="BI123" s="377"/>
      <c r="BJ123" s="373"/>
      <c r="BK123" s="373"/>
      <c r="BL123" s="373">
        <v>1</v>
      </c>
      <c r="BM123" s="373"/>
      <c r="BN123" s="373"/>
      <c r="BO123" s="373"/>
      <c r="BP123" s="373">
        <v>1</v>
      </c>
      <c r="BQ123" s="373"/>
      <c r="BR123" s="373">
        <v>1</v>
      </c>
      <c r="BS123" s="373"/>
      <c r="BT123" s="373"/>
      <c r="BU123" s="373"/>
      <c r="BV123" s="373"/>
      <c r="BW123" s="599"/>
      <c r="BX123" s="374"/>
      <c r="BY123" s="374"/>
      <c r="BZ123" s="374"/>
      <c r="CA123" s="511"/>
      <c r="CB123" s="511"/>
      <c r="CC123" s="511"/>
      <c r="CD123" s="120"/>
      <c r="CE123" s="120"/>
      <c r="CF123" s="120"/>
      <c r="CG123" s="120"/>
      <c r="CH123" s="755"/>
      <c r="CI123" s="120"/>
      <c r="CJ123" s="120"/>
      <c r="CK123" s="120"/>
      <c r="CL123" s="120"/>
      <c r="CM123" s="375" t="s">
        <v>24</v>
      </c>
      <c r="CN123" s="380"/>
      <c r="CO123" s="380"/>
      <c r="CP123" s="380"/>
      <c r="CQ123" s="380"/>
      <c r="CR123" s="380"/>
      <c r="CS123" s="380"/>
      <c r="CT123" s="380"/>
      <c r="CU123" s="380"/>
      <c r="CV123" s="380"/>
      <c r="CW123" s="380"/>
      <c r="CX123" s="376"/>
      <c r="CY123" s="120"/>
      <c r="CZ123" s="384"/>
      <c r="DA123" s="120"/>
      <c r="DB123" s="376"/>
      <c r="DC123" s="120"/>
      <c r="DD123" s="120"/>
      <c r="DE123" s="120"/>
      <c r="DF123" s="515"/>
      <c r="DG123" s="513"/>
      <c r="DH123" s="727"/>
      <c r="DI123" s="120"/>
      <c r="DJ123" s="384"/>
      <c r="DK123" s="384"/>
      <c r="DL123" s="727"/>
      <c r="DM123" s="384"/>
      <c r="DN123" s="384"/>
      <c r="DO123" s="384"/>
      <c r="DP123" s="375"/>
      <c r="DQ123" s="377"/>
      <c r="DR123" s="1182"/>
      <c r="DS123" s="956"/>
      <c r="DT123" s="727"/>
      <c r="DU123" s="120"/>
      <c r="DV123" s="384"/>
      <c r="DW123" s="384"/>
      <c r="DX123" s="384"/>
      <c r="DY123" s="384"/>
      <c r="DZ123" s="384"/>
      <c r="EA123" s="384"/>
      <c r="EB123" s="1012"/>
      <c r="EC123" s="384"/>
      <c r="ED123" s="384"/>
      <c r="EE123" s="120"/>
      <c r="EF123" s="384"/>
      <c r="EG123" s="384"/>
      <c r="EH123" s="384"/>
      <c r="EI123" s="384"/>
      <c r="EJ123" s="384"/>
      <c r="EK123" s="384"/>
      <c r="EL123" s="1012"/>
      <c r="EM123" s="384"/>
      <c r="EN123" s="1012"/>
      <c r="EO123" s="384"/>
      <c r="EP123" s="384"/>
      <c r="EQ123" s="384"/>
      <c r="ER123" s="384"/>
      <c r="ES123" s="384"/>
      <c r="ET123" s="727"/>
      <c r="EU123" s="384"/>
      <c r="EV123" s="384"/>
      <c r="EW123" s="384"/>
      <c r="EX123" s="384"/>
      <c r="EY123" s="384"/>
      <c r="EZ123" s="727"/>
      <c r="FA123" s="384"/>
      <c r="FB123" s="384"/>
      <c r="FC123" s="384"/>
      <c r="FD123" s="727"/>
      <c r="FE123" s="683"/>
      <c r="FF123" s="384"/>
      <c r="FG123" s="384"/>
      <c r="FH123" s="384"/>
      <c r="FI123" s="384"/>
      <c r="FJ123" s="384"/>
    </row>
    <row r="124" spans="1:166" s="229" customFormat="1" ht="15" customHeight="1">
      <c r="A124" s="118" t="s">
        <v>225</v>
      </c>
      <c r="B124" s="614">
        <v>28</v>
      </c>
      <c r="C124" s="614"/>
      <c r="D124" s="614"/>
      <c r="E124" s="605" t="s">
        <v>1987</v>
      </c>
      <c r="F124" s="140" t="s">
        <v>2213</v>
      </c>
      <c r="G124" s="141">
        <v>2008</v>
      </c>
      <c r="H124" s="118">
        <v>18313695</v>
      </c>
      <c r="I124" s="118">
        <v>1</v>
      </c>
      <c r="J124" s="118"/>
      <c r="K124" s="118"/>
      <c r="L124" s="118">
        <v>1</v>
      </c>
      <c r="M124" s="118"/>
      <c r="N124" s="118">
        <v>1</v>
      </c>
      <c r="O124" s="142">
        <v>1</v>
      </c>
      <c r="P124" s="118" t="s">
        <v>627</v>
      </c>
      <c r="Q124" s="118" t="s">
        <v>1142</v>
      </c>
      <c r="R124" s="118" t="s">
        <v>628</v>
      </c>
      <c r="S124" s="118">
        <v>1</v>
      </c>
      <c r="T124" s="118"/>
      <c r="U124" s="118"/>
      <c r="V124" s="118"/>
      <c r="W124" s="118" t="s">
        <v>629</v>
      </c>
      <c r="X124" s="118" t="s">
        <v>24</v>
      </c>
      <c r="Y124" s="118" t="s">
        <v>630</v>
      </c>
      <c r="Z124" s="118"/>
      <c r="AA124" s="118"/>
      <c r="AB124" s="118" t="s">
        <v>631</v>
      </c>
      <c r="AC124" s="145"/>
      <c r="AD124" s="573">
        <v>1</v>
      </c>
      <c r="AE124" s="573">
        <v>2</v>
      </c>
      <c r="AF124" s="159">
        <v>1</v>
      </c>
      <c r="AG124" s="160" t="s">
        <v>7949</v>
      </c>
      <c r="AH124" s="704"/>
      <c r="AI124" s="122">
        <v>0</v>
      </c>
      <c r="AJ124" s="485"/>
      <c r="AK124" s="204"/>
      <c r="AL124" s="192">
        <v>1</v>
      </c>
      <c r="AM124" s="205">
        <v>0</v>
      </c>
      <c r="AN124" s="122">
        <f>Table66[[#This Row],[Data_Subjects_n_ptsd]]+Table66[[#This Row],[Data_Subjects_n_control]]</f>
        <v>21</v>
      </c>
      <c r="AO124" s="122">
        <f>7</f>
        <v>7</v>
      </c>
      <c r="AP124" s="122">
        <v>14</v>
      </c>
      <c r="AQ124" s="122" t="s">
        <v>803</v>
      </c>
      <c r="AR124" s="150" t="s">
        <v>803</v>
      </c>
      <c r="AS124" s="150">
        <v>58.1</v>
      </c>
      <c r="AT124" s="150">
        <v>2.8</v>
      </c>
      <c r="AU124" s="150">
        <v>59.1</v>
      </c>
      <c r="AV124" s="150">
        <v>2.5</v>
      </c>
      <c r="AW124" s="150" t="s">
        <v>1874</v>
      </c>
      <c r="AX124" s="122"/>
      <c r="AY124" s="122"/>
      <c r="AZ124" s="754" t="s">
        <v>1874</v>
      </c>
      <c r="BA124" s="122" t="s">
        <v>24</v>
      </c>
      <c r="BB124" s="122" t="s">
        <v>24</v>
      </c>
      <c r="BC124" s="122" t="s">
        <v>7951</v>
      </c>
      <c r="BD124" s="754" t="s">
        <v>7522</v>
      </c>
      <c r="BE124" s="187">
        <v>1</v>
      </c>
      <c r="BF124" s="122" t="s">
        <v>2875</v>
      </c>
      <c r="BG124" s="122" t="s">
        <v>1875</v>
      </c>
      <c r="BH124" s="588"/>
      <c r="BI124" s="588"/>
      <c r="BJ124" s="161">
        <v>1</v>
      </c>
      <c r="BK124" s="161"/>
      <c r="BL124" s="161"/>
      <c r="BM124" s="161"/>
      <c r="BN124" s="161"/>
      <c r="BO124" s="161"/>
      <c r="BP124" s="161"/>
      <c r="BQ124" s="161"/>
      <c r="BR124" s="161"/>
      <c r="BS124" s="161"/>
      <c r="BT124" s="161"/>
      <c r="BU124" s="161"/>
      <c r="BV124" s="161"/>
      <c r="BW124" s="596" t="s">
        <v>3155</v>
      </c>
      <c r="BX124" s="162" t="s">
        <v>6597</v>
      </c>
      <c r="BY124" s="797" t="s">
        <v>7615</v>
      </c>
      <c r="BZ124" s="790" t="s">
        <v>7609</v>
      </c>
      <c r="CA124" s="765">
        <v>4</v>
      </c>
      <c r="CB124" s="765" t="s">
        <v>7556</v>
      </c>
      <c r="CC124" s="765" t="s">
        <v>7954</v>
      </c>
      <c r="CD124" s="150" t="s">
        <v>1876</v>
      </c>
      <c r="CE124" s="150" t="s">
        <v>3136</v>
      </c>
      <c r="CF124" s="400"/>
      <c r="CG124" s="150" t="s">
        <v>3137</v>
      </c>
      <c r="CH124" s="753" t="s">
        <v>1488</v>
      </c>
      <c r="CI124" s="150" t="s">
        <v>24</v>
      </c>
      <c r="CJ124" s="150">
        <v>1</v>
      </c>
      <c r="CK124" s="150" t="s">
        <v>3138</v>
      </c>
      <c r="CL124" s="134" t="s">
        <v>630</v>
      </c>
      <c r="CM124" s="258" t="s">
        <v>3169</v>
      </c>
      <c r="CN124" s="257">
        <v>0</v>
      </c>
      <c r="CO124" s="829">
        <v>51</v>
      </c>
      <c r="CP124" s="829">
        <v>1</v>
      </c>
      <c r="CQ124" s="829">
        <v>3</v>
      </c>
      <c r="CR124" s="829">
        <v>1</v>
      </c>
      <c r="CS124" s="829">
        <v>-1</v>
      </c>
      <c r="CT124" s="968" t="s">
        <v>7836</v>
      </c>
      <c r="CU124" s="1291" t="s">
        <v>8102</v>
      </c>
      <c r="CV124" s="1295">
        <v>20</v>
      </c>
      <c r="CW124" s="1295">
        <v>22</v>
      </c>
      <c r="CX124" s="151" t="s">
        <v>3147</v>
      </c>
      <c r="CY124" s="150">
        <v>0.17238800000000001</v>
      </c>
      <c r="CZ124" s="150" t="s">
        <v>24</v>
      </c>
      <c r="DA124" s="150">
        <f>0.266418-Table66[[#This Row],[Data_Outcome1_M]]</f>
        <v>9.4029999999999975E-2</v>
      </c>
      <c r="DB124" s="151" t="s">
        <v>3153</v>
      </c>
      <c r="DC124" s="150">
        <v>0.15559700000000001</v>
      </c>
      <c r="DD124" s="150" t="s">
        <v>24</v>
      </c>
      <c r="DE124" s="150">
        <f>0.279851-Table66[[#This Row],[Data_Outcome2_M]]</f>
        <v>0.124254</v>
      </c>
      <c r="DF124" s="294"/>
      <c r="DG124" s="295"/>
      <c r="DH124" s="1169"/>
      <c r="DI124" s="1169"/>
      <c r="DJ124" s="1169"/>
      <c r="DK124" s="1169"/>
      <c r="DL124" s="1169"/>
      <c r="DM124" s="1169"/>
      <c r="DN124" s="1169"/>
      <c r="DO124" s="1169"/>
      <c r="DP124" s="290"/>
      <c r="DQ124" s="291"/>
      <c r="DR124" s="1168"/>
      <c r="DS124" s="865"/>
      <c r="DT124" s="1166"/>
      <c r="DU124" s="1164"/>
      <c r="DV124" s="1164"/>
      <c r="DW124" s="1164"/>
      <c r="DX124" s="1166"/>
      <c r="DY124" s="1164"/>
      <c r="DZ124" s="1164"/>
      <c r="EA124" s="1164"/>
      <c r="EB124" s="311"/>
      <c r="EC124" s="313"/>
      <c r="ED124" s="1166"/>
      <c r="EE124" s="1164"/>
      <c r="EF124" s="1164"/>
      <c r="EG124" s="1164"/>
      <c r="EH124" s="1166"/>
      <c r="EI124" s="1164"/>
      <c r="EJ124" s="1164"/>
      <c r="EK124" s="1164"/>
      <c r="EL124" s="311"/>
      <c r="EM124" s="313"/>
      <c r="EN124" s="1167"/>
      <c r="EO124" s="1165"/>
      <c r="EP124" s="1164"/>
      <c r="EQ124" s="1164"/>
      <c r="ER124" s="1164"/>
      <c r="ES124" s="1164"/>
      <c r="ET124" s="1166"/>
      <c r="EU124" s="1164"/>
      <c r="EV124" s="1164"/>
      <c r="EW124" s="1164"/>
      <c r="EX124" s="313"/>
      <c r="EY124" s="313"/>
      <c r="EZ124" s="1166"/>
      <c r="FA124" s="1164"/>
      <c r="FB124" s="1164"/>
      <c r="FC124" s="1164"/>
      <c r="FD124" s="1166"/>
      <c r="FE124" s="1164"/>
      <c r="FF124" s="1164"/>
      <c r="FG124" s="1164"/>
      <c r="FH124" s="313"/>
      <c r="FI124" s="313"/>
      <c r="FJ124" s="1165"/>
    </row>
    <row r="125" spans="1:166" s="229" customFormat="1" ht="15" customHeight="1">
      <c r="A125" s="118" t="s">
        <v>225</v>
      </c>
      <c r="B125" s="614">
        <v>28</v>
      </c>
      <c r="C125" s="614"/>
      <c r="D125" s="614"/>
      <c r="E125" s="605" t="s">
        <v>1987</v>
      </c>
      <c r="F125" s="140" t="s">
        <v>2213</v>
      </c>
      <c r="G125" s="141">
        <v>2008</v>
      </c>
      <c r="H125" s="118">
        <v>18313695</v>
      </c>
      <c r="I125" s="118">
        <v>1</v>
      </c>
      <c r="J125" s="118"/>
      <c r="K125" s="118"/>
      <c r="L125" s="118">
        <v>1</v>
      </c>
      <c r="M125" s="118"/>
      <c r="N125" s="118">
        <v>1</v>
      </c>
      <c r="O125" s="142">
        <v>1</v>
      </c>
      <c r="P125" s="118" t="s">
        <v>627</v>
      </c>
      <c r="Q125" s="118" t="s">
        <v>1142</v>
      </c>
      <c r="R125" s="118" t="s">
        <v>628</v>
      </c>
      <c r="S125" s="118">
        <v>1</v>
      </c>
      <c r="T125" s="118"/>
      <c r="U125" s="118"/>
      <c r="V125" s="118"/>
      <c r="W125" s="118" t="s">
        <v>629</v>
      </c>
      <c r="X125" s="118" t="s">
        <v>24</v>
      </c>
      <c r="Y125" s="118" t="s">
        <v>630</v>
      </c>
      <c r="Z125" s="118"/>
      <c r="AA125" s="118"/>
      <c r="AB125" s="118" t="s">
        <v>631</v>
      </c>
      <c r="AC125" s="145"/>
      <c r="AD125" s="573">
        <v>1</v>
      </c>
      <c r="AE125" s="573">
        <v>2</v>
      </c>
      <c r="AF125" s="159">
        <v>1</v>
      </c>
      <c r="AG125" s="160" t="s">
        <v>7949</v>
      </c>
      <c r="AH125" s="704"/>
      <c r="AI125" s="122">
        <v>0</v>
      </c>
      <c r="AJ125" s="485"/>
      <c r="AK125" s="204"/>
      <c r="AL125" s="192">
        <v>1</v>
      </c>
      <c r="AM125" s="205">
        <v>0</v>
      </c>
      <c r="AN125" s="122">
        <f>Table66[[#This Row],[Data_Subjects_n_ptsd]]+Table66[[#This Row],[Data_Subjects_n_control]]</f>
        <v>21</v>
      </c>
      <c r="AO125" s="122">
        <f>7</f>
        <v>7</v>
      </c>
      <c r="AP125" s="122">
        <v>14</v>
      </c>
      <c r="AQ125" s="122" t="s">
        <v>803</v>
      </c>
      <c r="AR125" s="150" t="s">
        <v>803</v>
      </c>
      <c r="AS125" s="150">
        <v>58.1</v>
      </c>
      <c r="AT125" s="150">
        <v>2.8</v>
      </c>
      <c r="AU125" s="150">
        <v>58.1</v>
      </c>
      <c r="AV125" s="150">
        <v>2.8</v>
      </c>
      <c r="AW125" s="150" t="s">
        <v>1874</v>
      </c>
      <c r="AX125" s="122"/>
      <c r="AY125" s="122"/>
      <c r="AZ125" s="754" t="s">
        <v>1874</v>
      </c>
      <c r="BA125" s="122" t="s">
        <v>24</v>
      </c>
      <c r="BB125" s="122" t="s">
        <v>24</v>
      </c>
      <c r="BC125" s="122" t="s">
        <v>7950</v>
      </c>
      <c r="BD125" s="754" t="s">
        <v>7952</v>
      </c>
      <c r="BE125" s="187">
        <v>1</v>
      </c>
      <c r="BF125" s="122" t="s">
        <v>2875</v>
      </c>
      <c r="BG125" s="122" t="s">
        <v>1875</v>
      </c>
      <c r="BH125" s="588"/>
      <c r="BI125" s="588"/>
      <c r="BJ125" s="161">
        <v>1</v>
      </c>
      <c r="BK125" s="161"/>
      <c r="BL125" s="161"/>
      <c r="BM125" s="161"/>
      <c r="BN125" s="161"/>
      <c r="BO125" s="161"/>
      <c r="BP125" s="161"/>
      <c r="BQ125" s="161"/>
      <c r="BR125" s="161"/>
      <c r="BS125" s="161"/>
      <c r="BT125" s="161"/>
      <c r="BU125" s="161"/>
      <c r="BV125" s="161"/>
      <c r="BW125" s="596" t="s">
        <v>3155</v>
      </c>
      <c r="BX125" s="162" t="s">
        <v>6597</v>
      </c>
      <c r="BY125" s="797" t="s">
        <v>7615</v>
      </c>
      <c r="BZ125" s="790" t="s">
        <v>7609</v>
      </c>
      <c r="CA125" s="660">
        <v>4</v>
      </c>
      <c r="CB125" s="660" t="s">
        <v>7556</v>
      </c>
      <c r="CC125" s="660" t="s">
        <v>7955</v>
      </c>
      <c r="CD125" s="150" t="s">
        <v>1876</v>
      </c>
      <c r="CE125" s="150" t="s">
        <v>3136</v>
      </c>
      <c r="CF125" s="400"/>
      <c r="CG125" s="150" t="s">
        <v>3137</v>
      </c>
      <c r="CH125" s="753" t="s">
        <v>1488</v>
      </c>
      <c r="CI125" s="150" t="s">
        <v>24</v>
      </c>
      <c r="CJ125" s="150">
        <v>1</v>
      </c>
      <c r="CK125" s="150" t="s">
        <v>3138</v>
      </c>
      <c r="CL125" s="134" t="s">
        <v>630</v>
      </c>
      <c r="CM125" s="258" t="s">
        <v>3169</v>
      </c>
      <c r="CN125" s="257">
        <v>0</v>
      </c>
      <c r="CO125" s="829">
        <v>51</v>
      </c>
      <c r="CP125" s="829">
        <v>1</v>
      </c>
      <c r="CQ125" s="829">
        <v>4</v>
      </c>
      <c r="CR125" s="829">
        <v>1</v>
      </c>
      <c r="CS125" s="829">
        <v>-1</v>
      </c>
      <c r="CT125" s="968" t="s">
        <v>7837</v>
      </c>
      <c r="CU125" s="1291" t="s">
        <v>8102</v>
      </c>
      <c r="CV125" s="1295">
        <v>20</v>
      </c>
      <c r="CW125" s="1295">
        <v>20</v>
      </c>
      <c r="CX125" s="151" t="s">
        <v>3148</v>
      </c>
      <c r="CY125" s="150">
        <v>5.3171599999999999E-2</v>
      </c>
      <c r="CZ125" s="150" t="s">
        <v>24</v>
      </c>
      <c r="DA125" s="150">
        <f>0.100187-Table66[[#This Row],[Data_Outcome1_M]]</f>
        <v>4.7015399999999999E-2</v>
      </c>
      <c r="DB125" s="151" t="s">
        <v>3150</v>
      </c>
      <c r="DC125" s="150">
        <v>0.12873100000000001</v>
      </c>
      <c r="DD125" s="150" t="s">
        <v>24</v>
      </c>
      <c r="DE125" s="150">
        <f>0.204291-Table66[[#This Row],[Data_Outcome2_M]]</f>
        <v>7.5559999999999988E-2</v>
      </c>
      <c r="DF125" s="549"/>
      <c r="DG125" s="551"/>
      <c r="DH125" s="1166"/>
      <c r="DI125" s="500"/>
      <c r="DJ125" s="1164"/>
      <c r="DK125" s="500"/>
      <c r="DL125" s="1184"/>
      <c r="DM125" s="500"/>
      <c r="DN125" s="1164"/>
      <c r="DO125" s="1150"/>
      <c r="DP125" s="290"/>
      <c r="DQ125" s="291"/>
      <c r="DR125" s="1168"/>
      <c r="DS125" s="865"/>
      <c r="DT125" s="1166"/>
      <c r="DU125" s="500"/>
      <c r="DV125" s="1164"/>
      <c r="DW125" s="500"/>
      <c r="DX125" s="1166"/>
      <c r="DY125" s="1164"/>
      <c r="DZ125" s="1164"/>
      <c r="EA125" s="1164"/>
      <c r="EB125" s="311"/>
      <c r="EC125" s="313"/>
      <c r="ED125" s="1166"/>
      <c r="EE125" s="500"/>
      <c r="EF125" s="1164"/>
      <c r="EG125" s="500"/>
      <c r="EH125" s="1166"/>
      <c r="EI125" s="1164"/>
      <c r="EJ125" s="1164"/>
      <c r="EK125" s="1164"/>
      <c r="EL125" s="311"/>
      <c r="EM125" s="313"/>
      <c r="EN125" s="1167"/>
      <c r="EO125" s="1165"/>
      <c r="EP125" s="1164"/>
      <c r="EQ125" s="500"/>
      <c r="ER125" s="1164"/>
      <c r="ES125" s="500"/>
      <c r="ET125" s="1166"/>
      <c r="EU125" s="1164"/>
      <c r="EV125" s="1164"/>
      <c r="EW125" s="1164"/>
      <c r="EX125" s="313"/>
      <c r="EY125" s="313"/>
      <c r="EZ125" s="1166"/>
      <c r="FA125" s="1164"/>
      <c r="FB125" s="1164"/>
      <c r="FC125" s="1164"/>
      <c r="FD125" s="1166"/>
      <c r="FE125" s="1164"/>
      <c r="FF125" s="1164"/>
      <c r="FG125" s="1164"/>
      <c r="FH125" s="313"/>
      <c r="FI125" s="313"/>
      <c r="FJ125" s="1165"/>
    </row>
    <row r="126" spans="1:166" s="229" customFormat="1" ht="15" customHeight="1">
      <c r="A126" s="118" t="s">
        <v>225</v>
      </c>
      <c r="B126" s="614">
        <v>28</v>
      </c>
      <c r="C126" s="614"/>
      <c r="D126" s="614"/>
      <c r="E126" s="605" t="s">
        <v>1987</v>
      </c>
      <c r="F126" s="140" t="s">
        <v>2213</v>
      </c>
      <c r="G126" s="141">
        <v>2008</v>
      </c>
      <c r="H126" s="118">
        <v>18313695</v>
      </c>
      <c r="I126" s="118">
        <v>1</v>
      </c>
      <c r="J126" s="118"/>
      <c r="K126" s="118"/>
      <c r="L126" s="118">
        <v>1</v>
      </c>
      <c r="M126" s="118"/>
      <c r="N126" s="118">
        <v>1</v>
      </c>
      <c r="O126" s="142">
        <v>1</v>
      </c>
      <c r="P126" s="118" t="s">
        <v>627</v>
      </c>
      <c r="Q126" s="118" t="s">
        <v>1142</v>
      </c>
      <c r="R126" s="118" t="s">
        <v>628</v>
      </c>
      <c r="S126" s="118">
        <v>1</v>
      </c>
      <c r="T126" s="118"/>
      <c r="U126" s="118"/>
      <c r="V126" s="118"/>
      <c r="W126" s="118" t="s">
        <v>629</v>
      </c>
      <c r="X126" s="118" t="s">
        <v>24</v>
      </c>
      <c r="Y126" s="118" t="s">
        <v>630</v>
      </c>
      <c r="Z126" s="118"/>
      <c r="AA126" s="118"/>
      <c r="AB126" s="118" t="s">
        <v>631</v>
      </c>
      <c r="AC126" s="145"/>
      <c r="AD126" s="573">
        <v>1</v>
      </c>
      <c r="AE126" s="573">
        <v>2</v>
      </c>
      <c r="AF126" s="159">
        <v>1</v>
      </c>
      <c r="AG126" s="160" t="s">
        <v>7949</v>
      </c>
      <c r="AH126" s="704"/>
      <c r="AI126" s="122">
        <v>2</v>
      </c>
      <c r="AJ126" s="485"/>
      <c r="AK126" s="204"/>
      <c r="AL126" s="192">
        <v>1</v>
      </c>
      <c r="AM126" s="205">
        <v>0</v>
      </c>
      <c r="AN126" s="122">
        <f>Table66[[#This Row],[Data_Subjects_n_ptsd]]+Table66[[#This Row],[Data_Subjects_n_control]]</f>
        <v>14</v>
      </c>
      <c r="AO126" s="122">
        <f>7</f>
        <v>7</v>
      </c>
      <c r="AP126" s="122">
        <v>7</v>
      </c>
      <c r="AQ126" s="122" t="s">
        <v>803</v>
      </c>
      <c r="AR126" s="150" t="s">
        <v>803</v>
      </c>
      <c r="AS126" s="150">
        <v>58.1</v>
      </c>
      <c r="AT126" s="150">
        <v>2.8</v>
      </c>
      <c r="AU126" s="150">
        <v>59.1</v>
      </c>
      <c r="AV126" s="150">
        <v>2.5</v>
      </c>
      <c r="AW126" s="150" t="s">
        <v>1874</v>
      </c>
      <c r="AX126" s="122"/>
      <c r="AY126" s="122"/>
      <c r="AZ126" s="754" t="s">
        <v>1874</v>
      </c>
      <c r="BA126" s="122" t="s">
        <v>24</v>
      </c>
      <c r="BB126" s="122" t="s">
        <v>24</v>
      </c>
      <c r="BC126" s="122" t="s">
        <v>4161</v>
      </c>
      <c r="BD126" s="754" t="s">
        <v>7521</v>
      </c>
      <c r="BE126" s="187">
        <v>1</v>
      </c>
      <c r="BF126" s="122" t="s">
        <v>2605</v>
      </c>
      <c r="BG126" s="122" t="s">
        <v>1875</v>
      </c>
      <c r="BH126" s="588"/>
      <c r="BI126" s="588"/>
      <c r="BJ126" s="161">
        <v>1</v>
      </c>
      <c r="BK126" s="161"/>
      <c r="BL126" s="161"/>
      <c r="BM126" s="161"/>
      <c r="BN126" s="161"/>
      <c r="BO126" s="161"/>
      <c r="BP126" s="161"/>
      <c r="BQ126" s="161"/>
      <c r="BR126" s="161"/>
      <c r="BS126" s="161"/>
      <c r="BT126" s="161"/>
      <c r="BU126" s="161"/>
      <c r="BV126" s="161"/>
      <c r="BW126" s="596" t="s">
        <v>3155</v>
      </c>
      <c r="BX126" s="162" t="s">
        <v>6597</v>
      </c>
      <c r="BY126" s="797" t="s">
        <v>7615</v>
      </c>
      <c r="BZ126" s="790" t="s">
        <v>7609</v>
      </c>
      <c r="CA126" s="660">
        <v>4</v>
      </c>
      <c r="CB126" s="660" t="s">
        <v>7556</v>
      </c>
      <c r="CC126" s="660" t="s">
        <v>7955</v>
      </c>
      <c r="CD126" s="150" t="s">
        <v>1876</v>
      </c>
      <c r="CE126" s="150" t="s">
        <v>3136</v>
      </c>
      <c r="CF126" s="400"/>
      <c r="CG126" s="150" t="s">
        <v>3137</v>
      </c>
      <c r="CH126" s="753" t="s">
        <v>1488</v>
      </c>
      <c r="CI126" s="150" t="s">
        <v>24</v>
      </c>
      <c r="CJ126" s="150">
        <v>1</v>
      </c>
      <c r="CK126" s="150" t="s">
        <v>3138</v>
      </c>
      <c r="CL126" s="134" t="s">
        <v>630</v>
      </c>
      <c r="CM126" s="258" t="s">
        <v>3169</v>
      </c>
      <c r="CN126" s="257">
        <v>0</v>
      </c>
      <c r="CO126" s="829">
        <v>51</v>
      </c>
      <c r="CP126" s="829">
        <v>1</v>
      </c>
      <c r="CQ126" s="829">
        <v>5</v>
      </c>
      <c r="CR126" s="829">
        <v>1</v>
      </c>
      <c r="CS126" s="829">
        <v>-1</v>
      </c>
      <c r="CT126" s="968" t="s">
        <v>7837</v>
      </c>
      <c r="CU126" s="1288" t="s">
        <v>8103</v>
      </c>
      <c r="CV126" s="1295">
        <v>20</v>
      </c>
      <c r="CW126" s="1294">
        <v>21</v>
      </c>
      <c r="CX126" s="151" t="s">
        <v>3148</v>
      </c>
      <c r="CY126" s="150">
        <v>5.3171599999999999E-2</v>
      </c>
      <c r="CZ126" s="150" t="s">
        <v>24</v>
      </c>
      <c r="DA126" s="150">
        <f>0.100187-Table66[[#This Row],[Data_Outcome1_M]]</f>
        <v>4.7015399999999999E-2</v>
      </c>
      <c r="DB126" s="151" t="s">
        <v>3152</v>
      </c>
      <c r="DC126" s="150">
        <v>6.6604499999999997E-2</v>
      </c>
      <c r="DD126" s="150" t="s">
        <v>24</v>
      </c>
      <c r="DE126" s="150">
        <f>0.158955-Table66[[#This Row],[Data_Outcome2_M]]</f>
        <v>9.2350500000000016E-2</v>
      </c>
      <c r="DF126" s="549"/>
      <c r="DG126" s="551"/>
      <c r="DH126" s="1166"/>
      <c r="DI126" s="500"/>
      <c r="DJ126" s="1164"/>
      <c r="DK126" s="500"/>
      <c r="DL126" s="1166"/>
      <c r="DM126" s="1164"/>
      <c r="DN126" s="1164"/>
      <c r="DO126" s="1164"/>
      <c r="DP126" s="290"/>
      <c r="DQ126" s="291"/>
      <c r="DR126" s="1168"/>
      <c r="DS126" s="865"/>
      <c r="DT126" s="1166"/>
      <c r="DU126" s="500"/>
      <c r="DV126" s="1164"/>
      <c r="DW126" s="500"/>
      <c r="DX126" s="1166"/>
      <c r="DY126" s="1164"/>
      <c r="DZ126" s="1164"/>
      <c r="EA126" s="1164"/>
      <c r="EB126" s="311"/>
      <c r="EC126" s="313"/>
      <c r="ED126" s="1166"/>
      <c r="EE126" s="500"/>
      <c r="EF126" s="1164"/>
      <c r="EG126" s="500"/>
      <c r="EH126" s="1166"/>
      <c r="EI126" s="1164"/>
      <c r="EJ126" s="1164"/>
      <c r="EK126" s="1164"/>
      <c r="EL126" s="311"/>
      <c r="EM126" s="313"/>
      <c r="EN126" s="1167"/>
      <c r="EO126" s="1165"/>
      <c r="EP126" s="1164"/>
      <c r="EQ126" s="500"/>
      <c r="ER126" s="1164"/>
      <c r="ES126" s="500"/>
      <c r="ET126" s="1166"/>
      <c r="EU126" s="1164"/>
      <c r="EV126" s="1164"/>
      <c r="EW126" s="1164"/>
      <c r="EX126" s="313"/>
      <c r="EY126" s="313"/>
      <c r="EZ126" s="1166"/>
      <c r="FA126" s="1164"/>
      <c r="FB126" s="1164"/>
      <c r="FC126" s="1164"/>
      <c r="FD126" s="1166"/>
      <c r="FE126" s="1164"/>
      <c r="FF126" s="1164"/>
      <c r="FG126" s="1164"/>
      <c r="FH126" s="313"/>
      <c r="FI126" s="313"/>
      <c r="FJ126" s="1165"/>
    </row>
    <row r="127" spans="1:166" ht="15" hidden="1" customHeight="1">
      <c r="A127" s="153" t="s">
        <v>135</v>
      </c>
      <c r="B127" s="618">
        <v>101</v>
      </c>
      <c r="C127" s="618">
        <v>20</v>
      </c>
      <c r="D127" s="618"/>
      <c r="E127" s="610" t="s">
        <v>1947</v>
      </c>
      <c r="F127" s="368" t="s">
        <v>2166</v>
      </c>
      <c r="G127" s="369">
        <v>2015</v>
      </c>
      <c r="H127" s="153">
        <v>24695267</v>
      </c>
      <c r="I127" s="153">
        <v>1</v>
      </c>
      <c r="J127" s="370"/>
      <c r="K127" s="371"/>
      <c r="L127" s="153">
        <v>1</v>
      </c>
      <c r="M127" s="153"/>
      <c r="N127" s="153">
        <v>1</v>
      </c>
      <c r="O127" s="153">
        <v>1</v>
      </c>
      <c r="P127" s="153" t="s">
        <v>429</v>
      </c>
      <c r="Q127" s="153" t="s">
        <v>1173</v>
      </c>
      <c r="R127" s="153" t="s">
        <v>412</v>
      </c>
      <c r="S127" s="153">
        <v>1</v>
      </c>
      <c r="T127" s="153"/>
      <c r="U127" s="153"/>
      <c r="V127" s="153"/>
      <c r="W127" s="153" t="s">
        <v>428</v>
      </c>
      <c r="X127" s="153"/>
      <c r="Y127" s="153"/>
      <c r="Z127" s="153"/>
      <c r="AA127" s="153"/>
      <c r="AB127" s="153"/>
      <c r="AC127" s="536"/>
      <c r="AD127" s="536">
        <v>1</v>
      </c>
      <c r="AE127" s="536">
        <v>2</v>
      </c>
      <c r="AF127" s="165">
        <v>0</v>
      </c>
      <c r="AG127" s="166" t="s">
        <v>7768</v>
      </c>
      <c r="AH127" s="509" t="s">
        <v>7262</v>
      </c>
      <c r="AI127" s="120"/>
      <c r="AJ127" s="120"/>
      <c r="AK127" s="206" t="s">
        <v>4143</v>
      </c>
      <c r="AL127" s="372"/>
      <c r="AM127" s="207">
        <v>0</v>
      </c>
      <c r="AN127" s="120">
        <v>181</v>
      </c>
      <c r="AO127" s="120">
        <v>75</v>
      </c>
      <c r="AP127" s="120">
        <v>105</v>
      </c>
      <c r="AQ127" s="120"/>
      <c r="AR127" s="120"/>
      <c r="AS127" s="120"/>
      <c r="AT127" s="120"/>
      <c r="AU127" s="120"/>
      <c r="AV127" s="120"/>
      <c r="AW127" s="120"/>
      <c r="AX127" s="120"/>
      <c r="AY127" s="120"/>
      <c r="AZ127" s="755"/>
      <c r="BA127" s="120"/>
      <c r="BB127" s="120"/>
      <c r="BC127" s="120"/>
      <c r="BD127" s="755"/>
      <c r="BE127" s="755"/>
      <c r="BF127" s="120"/>
      <c r="BG127" s="120"/>
      <c r="BH127" s="377"/>
      <c r="BI127" s="377"/>
      <c r="BJ127" s="373"/>
      <c r="BK127" s="373"/>
      <c r="BL127" s="373">
        <v>1</v>
      </c>
      <c r="BM127" s="373"/>
      <c r="BN127" s="373"/>
      <c r="BO127" s="373"/>
      <c r="BP127" s="373">
        <v>1</v>
      </c>
      <c r="BQ127" s="373"/>
      <c r="BR127" s="373"/>
      <c r="BS127" s="373"/>
      <c r="BT127" s="373"/>
      <c r="BU127" s="373"/>
      <c r="BV127" s="373"/>
      <c r="BW127" s="599"/>
      <c r="BX127" s="374"/>
      <c r="BY127" s="799"/>
      <c r="BZ127" s="374"/>
      <c r="CA127" s="510"/>
      <c r="CB127" s="510"/>
      <c r="CC127" s="510"/>
      <c r="CD127" s="120"/>
      <c r="CE127" s="120"/>
      <c r="CF127" s="786"/>
      <c r="CG127" s="120"/>
      <c r="CH127" s="755"/>
      <c r="CI127" s="120"/>
      <c r="CJ127" s="120"/>
      <c r="CK127" s="120"/>
      <c r="CL127" s="120"/>
      <c r="CM127" s="375" t="s">
        <v>24</v>
      </c>
      <c r="CN127" s="380"/>
      <c r="CO127" s="380"/>
      <c r="CP127" s="380"/>
      <c r="CQ127" s="380"/>
      <c r="CR127" s="380"/>
      <c r="CS127" s="380"/>
      <c r="CT127" s="380"/>
      <c r="CU127" s="380"/>
      <c r="CV127" s="380"/>
      <c r="CW127" s="380"/>
      <c r="CX127" s="376"/>
      <c r="CY127" s="683"/>
      <c r="CZ127" s="384"/>
      <c r="DA127" s="683"/>
      <c r="DB127" s="376"/>
      <c r="DC127" s="120"/>
      <c r="DD127" s="120"/>
      <c r="DE127" s="120"/>
      <c r="DF127" s="621"/>
      <c r="DG127" s="509"/>
      <c r="DH127" s="376"/>
      <c r="DI127" s="683"/>
      <c r="DJ127" s="384"/>
      <c r="DK127" s="683"/>
      <c r="DL127" s="727"/>
      <c r="DM127" s="384"/>
      <c r="DN127" s="384"/>
      <c r="DO127" s="384"/>
      <c r="DP127" s="375"/>
      <c r="DQ127" s="377"/>
      <c r="DR127" s="1182"/>
      <c r="DS127" s="956"/>
      <c r="DT127" s="727"/>
      <c r="DU127" s="683"/>
      <c r="DV127" s="384"/>
      <c r="DW127" s="683"/>
      <c r="DX127" s="384"/>
      <c r="DY127" s="384"/>
      <c r="DZ127" s="384"/>
      <c r="EA127" s="384"/>
      <c r="EB127" s="1012"/>
      <c r="EC127" s="384"/>
      <c r="ED127" s="384"/>
      <c r="EE127" s="683"/>
      <c r="EF127" s="384"/>
      <c r="EG127" s="683"/>
      <c r="EH127" s="384"/>
      <c r="EI127" s="384"/>
      <c r="EJ127" s="384"/>
      <c r="EK127" s="384"/>
      <c r="EL127" s="1012"/>
      <c r="EM127" s="384"/>
      <c r="EN127" s="1012"/>
      <c r="EO127" s="384"/>
      <c r="EP127" s="384"/>
      <c r="EQ127" s="683"/>
      <c r="ER127" s="384"/>
      <c r="ES127" s="683"/>
      <c r="ET127" s="727"/>
      <c r="EU127" s="384"/>
      <c r="EV127" s="384"/>
      <c r="EW127" s="384"/>
      <c r="EX127" s="384"/>
      <c r="EY127" s="384"/>
      <c r="EZ127" s="727"/>
      <c r="FA127" s="384"/>
      <c r="FB127" s="384"/>
      <c r="FC127" s="384"/>
      <c r="FD127" s="727"/>
      <c r="FE127" s="384"/>
      <c r="FF127" s="384"/>
      <c r="FG127" s="384"/>
      <c r="FH127" s="384"/>
      <c r="FI127" s="384"/>
      <c r="FJ127" s="384"/>
    </row>
    <row r="128" spans="1:166" s="229" customFormat="1" ht="15" hidden="1" customHeight="1">
      <c r="A128" s="79" t="s">
        <v>136</v>
      </c>
      <c r="B128" s="362">
        <v>102</v>
      </c>
      <c r="C128" s="362"/>
      <c r="D128" s="362">
        <v>30</v>
      </c>
      <c r="E128" s="604" t="s">
        <v>1948</v>
      </c>
      <c r="F128" s="124" t="s">
        <v>2167</v>
      </c>
      <c r="G128" s="125">
        <v>2009</v>
      </c>
      <c r="H128" s="79">
        <v>19359452</v>
      </c>
      <c r="I128" s="79">
        <v>1</v>
      </c>
      <c r="J128" s="126"/>
      <c r="K128" s="127"/>
      <c r="L128" s="79">
        <v>1</v>
      </c>
      <c r="M128" s="79"/>
      <c r="N128" s="79">
        <v>1</v>
      </c>
      <c r="O128" s="128">
        <v>1</v>
      </c>
      <c r="P128" s="79" t="s">
        <v>430</v>
      </c>
      <c r="Q128" s="79" t="s">
        <v>1164</v>
      </c>
      <c r="R128" s="79" t="s">
        <v>25</v>
      </c>
      <c r="S128" s="79">
        <v>1</v>
      </c>
      <c r="T128" s="79"/>
      <c r="U128" s="79"/>
      <c r="V128" s="79"/>
      <c r="W128" s="79" t="s">
        <v>432</v>
      </c>
      <c r="X128" s="79" t="s">
        <v>431</v>
      </c>
      <c r="Y128" s="79"/>
      <c r="Z128" s="79"/>
      <c r="AA128" s="79"/>
      <c r="AB128" s="79"/>
      <c r="AC128" s="506" t="s">
        <v>6198</v>
      </c>
      <c r="AD128" s="573">
        <v>1</v>
      </c>
      <c r="AE128" s="573">
        <v>0</v>
      </c>
      <c r="AF128" s="924">
        <v>2</v>
      </c>
      <c r="AG128" s="925"/>
      <c r="AH128" s="911"/>
      <c r="AI128" s="923">
        <v>2</v>
      </c>
      <c r="AJ128" s="923"/>
      <c r="AK128" s="926"/>
      <c r="AL128" s="588"/>
      <c r="AM128" s="927"/>
      <c r="AN128" s="923"/>
      <c r="AO128" s="923"/>
      <c r="AP128" s="923"/>
      <c r="AQ128" s="923"/>
      <c r="AR128" s="923"/>
      <c r="AS128" s="923"/>
      <c r="AT128" s="923"/>
      <c r="AU128" s="923"/>
      <c r="AV128" s="923"/>
      <c r="AW128" s="923"/>
      <c r="AX128" s="923"/>
      <c r="AY128" s="923"/>
      <c r="AZ128" s="915"/>
      <c r="BA128" s="923"/>
      <c r="BB128" s="923"/>
      <c r="BC128" s="923"/>
      <c r="BD128" s="915"/>
      <c r="BE128" s="915"/>
      <c r="BF128" s="923"/>
      <c r="BG128" s="923"/>
      <c r="BH128" s="594"/>
      <c r="BI128" s="594" t="s">
        <v>1917</v>
      </c>
      <c r="BJ128" s="156"/>
      <c r="BK128" s="156"/>
      <c r="BL128" s="156"/>
      <c r="BM128" s="156"/>
      <c r="BN128" s="156"/>
      <c r="BO128" s="156" t="s">
        <v>4727</v>
      </c>
      <c r="BP128" s="156"/>
      <c r="BQ128" s="156"/>
      <c r="BR128" s="156"/>
      <c r="BS128" s="156"/>
      <c r="BT128" s="156"/>
      <c r="BU128" s="156" t="s">
        <v>4727</v>
      </c>
      <c r="BV128" s="156" t="s">
        <v>5545</v>
      </c>
      <c r="BW128" s="928"/>
      <c r="BX128" s="929"/>
      <c r="BY128" s="929"/>
      <c r="BZ128" s="929"/>
      <c r="CA128" s="917"/>
      <c r="CB128" s="917"/>
      <c r="CC128" s="917"/>
      <c r="CD128" s="923"/>
      <c r="CE128" s="923"/>
      <c r="CF128" s="923"/>
      <c r="CG128" s="923"/>
      <c r="CH128" s="915"/>
      <c r="CI128" s="923"/>
      <c r="CJ128" s="923"/>
      <c r="CK128" s="923"/>
      <c r="CL128" s="923"/>
      <c r="CM128" s="930"/>
      <c r="CN128" s="931"/>
      <c r="CO128" s="931"/>
      <c r="CP128" s="931"/>
      <c r="CQ128" s="931"/>
      <c r="CR128" s="931"/>
      <c r="CS128" s="931"/>
      <c r="CT128" s="967"/>
      <c r="CU128" s="967"/>
      <c r="CV128" s="967"/>
      <c r="CW128" s="967"/>
      <c r="CX128" s="932"/>
      <c r="CY128" s="934"/>
      <c r="CZ128" s="923"/>
      <c r="DA128" s="934"/>
      <c r="DB128" s="932"/>
      <c r="DC128" s="923"/>
      <c r="DD128" s="923"/>
      <c r="DE128" s="923"/>
      <c r="DF128" s="920"/>
      <c r="DG128" s="598"/>
      <c r="DH128" s="950"/>
      <c r="DI128" s="951"/>
      <c r="DJ128" s="951"/>
      <c r="DK128" s="951"/>
      <c r="DL128" s="950"/>
      <c r="DM128" s="951"/>
      <c r="DN128" s="951"/>
      <c r="DO128" s="951"/>
      <c r="DP128" s="930"/>
      <c r="DQ128" s="937"/>
      <c r="DR128" s="1187"/>
      <c r="DS128" s="1186"/>
      <c r="DT128" s="950"/>
      <c r="DU128" s="923"/>
      <c r="DV128" s="951"/>
      <c r="DW128" s="923"/>
      <c r="DX128" s="951"/>
      <c r="DY128" s="923"/>
      <c r="DZ128" s="951"/>
      <c r="EA128" s="923"/>
      <c r="EB128" s="1185"/>
      <c r="EC128" s="951"/>
      <c r="ED128" s="951"/>
      <c r="EE128" s="923"/>
      <c r="EF128" s="951"/>
      <c r="EG128" s="923"/>
      <c r="EH128" s="951"/>
      <c r="EI128" s="923"/>
      <c r="EJ128" s="951"/>
      <c r="EK128" s="923"/>
      <c r="EL128" s="1185"/>
      <c r="EM128" s="951"/>
      <c r="EN128" s="931"/>
      <c r="EO128" s="923"/>
      <c r="EP128" s="923"/>
      <c r="EQ128" s="923"/>
      <c r="ER128" s="923"/>
      <c r="ES128" s="923"/>
      <c r="ET128" s="932"/>
      <c r="EU128" s="923"/>
      <c r="EV128" s="923"/>
      <c r="EW128" s="923"/>
      <c r="EX128" s="951"/>
      <c r="EY128" s="951"/>
      <c r="EZ128" s="932"/>
      <c r="FA128" s="923"/>
      <c r="FB128" s="923"/>
      <c r="FC128" s="923"/>
      <c r="FD128" s="932"/>
      <c r="FE128" s="923"/>
      <c r="FF128" s="923"/>
      <c r="FG128" s="923"/>
      <c r="FH128" s="923"/>
      <c r="FI128" s="923"/>
      <c r="FJ128" s="923"/>
    </row>
    <row r="129" spans="1:166" ht="15" hidden="1" customHeight="1">
      <c r="A129" s="153" t="s">
        <v>1074</v>
      </c>
      <c r="B129" s="618">
        <v>103</v>
      </c>
      <c r="C129" s="618"/>
      <c r="D129" s="618">
        <v>31</v>
      </c>
      <c r="E129" s="610" t="s">
        <v>2065</v>
      </c>
      <c r="F129" s="368" t="s">
        <v>2317</v>
      </c>
      <c r="G129" s="369">
        <v>2016</v>
      </c>
      <c r="H129" s="153">
        <v>27417516</v>
      </c>
      <c r="I129" s="153">
        <v>1</v>
      </c>
      <c r="J129" s="370">
        <v>1</v>
      </c>
      <c r="K129" s="371"/>
      <c r="L129" s="153">
        <v>1</v>
      </c>
      <c r="M129" s="153"/>
      <c r="N129" s="153">
        <v>1</v>
      </c>
      <c r="O129" s="153">
        <v>2</v>
      </c>
      <c r="P129" s="153" t="s">
        <v>1296</v>
      </c>
      <c r="Q129" s="153" t="s">
        <v>1166</v>
      </c>
      <c r="R129" s="153" t="s">
        <v>1127</v>
      </c>
      <c r="S129" s="153"/>
      <c r="T129" s="153" t="s">
        <v>1542</v>
      </c>
      <c r="U129" s="153"/>
      <c r="V129" s="153"/>
      <c r="W129" s="153" t="s">
        <v>1297</v>
      </c>
      <c r="X129" s="153" t="s">
        <v>1298</v>
      </c>
      <c r="Y129" s="153"/>
      <c r="Z129" s="153"/>
      <c r="AA129" s="153"/>
      <c r="AB129" s="153" t="s">
        <v>1299</v>
      </c>
      <c r="AC129" s="536" t="s">
        <v>6199</v>
      </c>
      <c r="AD129" s="536">
        <v>1</v>
      </c>
      <c r="AE129" s="536">
        <v>1</v>
      </c>
      <c r="AF129" s="576">
        <v>0</v>
      </c>
      <c r="AG129" s="577" t="s">
        <v>7263</v>
      </c>
      <c r="AH129" s="509" t="s">
        <v>7264</v>
      </c>
      <c r="AI129" s="120">
        <v>4</v>
      </c>
      <c r="AJ129" s="120"/>
      <c r="AK129" s="206"/>
      <c r="AL129" s="372"/>
      <c r="AM129" s="207"/>
      <c r="AN129" s="120"/>
      <c r="AO129" s="120"/>
      <c r="AP129" s="120"/>
      <c r="AQ129" s="120"/>
      <c r="AR129" s="120"/>
      <c r="AS129" s="120"/>
      <c r="AT129" s="120"/>
      <c r="AU129" s="120"/>
      <c r="AV129" s="120"/>
      <c r="AW129" s="120"/>
      <c r="AX129" s="120"/>
      <c r="AY129" s="120"/>
      <c r="AZ129" s="755"/>
      <c r="BA129" s="120"/>
      <c r="BB129" s="120"/>
      <c r="BC129" s="120"/>
      <c r="BD129" s="755"/>
      <c r="BE129" s="755"/>
      <c r="BF129" s="120"/>
      <c r="BG129" s="120"/>
      <c r="BH129" s="377"/>
      <c r="BI129" s="377"/>
      <c r="BJ129" s="373" t="s">
        <v>5207</v>
      </c>
      <c r="BK129" s="373"/>
      <c r="BL129" s="373" t="s">
        <v>5207</v>
      </c>
      <c r="BM129" s="373" t="s">
        <v>1917</v>
      </c>
      <c r="BN129" s="373"/>
      <c r="BO129" s="373" t="s">
        <v>4727</v>
      </c>
      <c r="BP129" s="373"/>
      <c r="BQ129" s="373"/>
      <c r="BR129" s="373"/>
      <c r="BS129" s="373"/>
      <c r="BT129" s="373"/>
      <c r="BU129" s="373"/>
      <c r="BV129" s="373"/>
      <c r="BW129" s="599"/>
      <c r="BX129" s="374"/>
      <c r="BY129" s="374"/>
      <c r="BZ129" s="374"/>
      <c r="CA129" s="510"/>
      <c r="CB129" s="510"/>
      <c r="CC129" s="510"/>
      <c r="CD129" s="120"/>
      <c r="CE129" s="120"/>
      <c r="CF129" s="120"/>
      <c r="CG129" s="120"/>
      <c r="CH129" s="755"/>
      <c r="CI129" s="120"/>
      <c r="CJ129" s="120"/>
      <c r="CK129" s="120"/>
      <c r="CL129" s="120"/>
      <c r="CM129" s="375"/>
      <c r="CN129" s="380"/>
      <c r="CO129" s="380"/>
      <c r="CP129" s="380"/>
      <c r="CQ129" s="380"/>
      <c r="CR129" s="380"/>
      <c r="CS129" s="380"/>
      <c r="CT129" s="380"/>
      <c r="CU129" s="380"/>
      <c r="CV129" s="380"/>
      <c r="CW129" s="380"/>
      <c r="CX129" s="376"/>
      <c r="CY129" s="120"/>
      <c r="CZ129" s="120"/>
      <c r="DA129" s="120"/>
      <c r="DB129" s="376"/>
      <c r="DC129" s="120"/>
      <c r="DD129" s="120"/>
      <c r="DE129" s="120"/>
      <c r="DF129" s="515"/>
      <c r="DG129" s="513"/>
      <c r="DH129" s="376"/>
      <c r="DI129" s="120"/>
      <c r="DJ129" s="384"/>
      <c r="DK129" s="120"/>
      <c r="DL129" s="376"/>
      <c r="DM129" s="384"/>
      <c r="DN129" s="384"/>
      <c r="DO129" s="384"/>
      <c r="DP129" s="375"/>
      <c r="DQ129" s="377"/>
      <c r="DR129" s="1182"/>
      <c r="DS129" s="956"/>
      <c r="DT129" s="727"/>
      <c r="DU129" s="120"/>
      <c r="DV129" s="384"/>
      <c r="DW129" s="120"/>
      <c r="DX129" s="384"/>
      <c r="DY129" s="384"/>
      <c r="DZ129" s="384"/>
      <c r="EA129" s="384"/>
      <c r="EB129" s="1012"/>
      <c r="EC129" s="384"/>
      <c r="ED129" s="384"/>
      <c r="EE129" s="384"/>
      <c r="EF129" s="384"/>
      <c r="EG129" s="384"/>
      <c r="EH129" s="384"/>
      <c r="EI129" s="384"/>
      <c r="EJ129" s="384"/>
      <c r="EK129" s="384"/>
      <c r="EL129" s="1012"/>
      <c r="EM129" s="384"/>
      <c r="EN129" s="1012"/>
      <c r="EO129" s="384"/>
      <c r="EP129" s="384"/>
      <c r="EQ129" s="384"/>
      <c r="ER129" s="384"/>
      <c r="ES129" s="384"/>
      <c r="ET129" s="727"/>
      <c r="EU129" s="384"/>
      <c r="EV129" s="384"/>
      <c r="EW129" s="384"/>
      <c r="EX129" s="384"/>
      <c r="EY129" s="384"/>
      <c r="EZ129" s="727"/>
      <c r="FA129" s="384"/>
      <c r="FB129" s="384"/>
      <c r="FC129" s="384"/>
      <c r="FD129" s="727"/>
      <c r="FE129" s="384"/>
      <c r="FF129" s="384"/>
      <c r="FG129" s="384"/>
      <c r="FH129" s="384"/>
      <c r="FI129" s="384"/>
      <c r="FJ129" s="384"/>
    </row>
    <row r="130" spans="1:166" s="229" customFormat="1" ht="15" hidden="1" customHeight="1">
      <c r="A130" s="153" t="s">
        <v>1072</v>
      </c>
      <c r="B130" s="1535">
        <v>15</v>
      </c>
      <c r="C130" s="1535"/>
      <c r="D130" s="1535"/>
      <c r="E130" s="610" t="s">
        <v>2066</v>
      </c>
      <c r="F130" s="368" t="s">
        <v>2318</v>
      </c>
      <c r="G130" s="369">
        <v>2014</v>
      </c>
      <c r="H130" s="153">
        <v>25309354</v>
      </c>
      <c r="I130" s="153">
        <v>1</v>
      </c>
      <c r="J130" s="370" t="s">
        <v>1838</v>
      </c>
      <c r="K130" s="371"/>
      <c r="L130" s="153">
        <v>0</v>
      </c>
      <c r="M130" s="153"/>
      <c r="N130" s="153">
        <v>0</v>
      </c>
      <c r="O130" s="153">
        <v>2</v>
      </c>
      <c r="P130" s="153" t="s">
        <v>1708</v>
      </c>
      <c r="Q130" s="153" t="s">
        <v>1212</v>
      </c>
      <c r="R130" s="153" t="s">
        <v>1127</v>
      </c>
      <c r="S130" s="153"/>
      <c r="T130" s="153" t="s">
        <v>1488</v>
      </c>
      <c r="U130" s="153"/>
      <c r="V130" s="153"/>
      <c r="W130" s="153" t="s">
        <v>1301</v>
      </c>
      <c r="X130" s="153"/>
      <c r="Y130" s="153"/>
      <c r="Z130" s="153"/>
      <c r="AA130" s="153"/>
      <c r="AB130" s="153" t="s">
        <v>1302</v>
      </c>
      <c r="AC130" s="536"/>
      <c r="AD130" s="536">
        <v>1</v>
      </c>
      <c r="AE130" s="536">
        <v>2</v>
      </c>
      <c r="AF130" s="165">
        <v>0</v>
      </c>
      <c r="AG130" s="120" t="s">
        <v>7232</v>
      </c>
      <c r="AH130" s="509">
        <v>0</v>
      </c>
      <c r="AI130" s="120">
        <v>4</v>
      </c>
      <c r="AJ130" s="120"/>
      <c r="AK130" s="206" t="s">
        <v>2795</v>
      </c>
      <c r="AL130" s="372">
        <v>0</v>
      </c>
      <c r="AM130" s="207">
        <v>0</v>
      </c>
      <c r="AN130" s="120"/>
      <c r="AO130" s="120"/>
      <c r="AP130" s="120"/>
      <c r="AQ130" s="120"/>
      <c r="AR130" s="120"/>
      <c r="AS130" s="120" t="s">
        <v>23</v>
      </c>
      <c r="AT130" s="120" t="s">
        <v>24</v>
      </c>
      <c r="AU130" s="120" t="s">
        <v>23</v>
      </c>
      <c r="AV130" s="120" t="s">
        <v>24</v>
      </c>
      <c r="AW130" s="120"/>
      <c r="AX130" s="120"/>
      <c r="AY130" s="120"/>
      <c r="AZ130" s="755"/>
      <c r="BA130" s="120"/>
      <c r="BB130" s="120"/>
      <c r="BC130" s="120"/>
      <c r="BD130" s="755"/>
      <c r="BE130" s="755"/>
      <c r="BF130" s="120"/>
      <c r="BG130" s="120"/>
      <c r="BH130" s="377"/>
      <c r="BI130" s="377"/>
      <c r="BJ130" s="373"/>
      <c r="BK130" s="373">
        <v>1</v>
      </c>
      <c r="BL130" s="373"/>
      <c r="BM130" s="373"/>
      <c r="BN130" s="373"/>
      <c r="BO130" s="373"/>
      <c r="BP130" s="373"/>
      <c r="BQ130" s="373"/>
      <c r="BR130" s="373"/>
      <c r="BS130" s="373"/>
      <c r="BT130" s="373"/>
      <c r="BU130" s="373"/>
      <c r="BV130" s="373"/>
      <c r="BW130" s="599"/>
      <c r="BX130" s="374"/>
      <c r="BY130" s="374"/>
      <c r="BZ130" s="374"/>
      <c r="CA130" s="510"/>
      <c r="CB130" s="510"/>
      <c r="CC130" s="510"/>
      <c r="CD130" s="120"/>
      <c r="CE130" s="120"/>
      <c r="CF130" s="120"/>
      <c r="CG130" s="120"/>
      <c r="CH130" s="755"/>
      <c r="CI130" s="120"/>
      <c r="CJ130" s="120"/>
      <c r="CK130" s="120"/>
      <c r="CL130" s="120"/>
      <c r="CM130" s="375"/>
      <c r="CN130" s="380"/>
      <c r="CO130" s="380"/>
      <c r="CP130" s="380"/>
      <c r="CQ130" s="380"/>
      <c r="CR130" s="380"/>
      <c r="CS130" s="380"/>
      <c r="CT130" s="380"/>
      <c r="CU130" s="380"/>
      <c r="CV130" s="380"/>
      <c r="CW130" s="380"/>
      <c r="CX130" s="384"/>
      <c r="CY130" s="120"/>
      <c r="CZ130" s="384"/>
      <c r="DA130" s="120"/>
      <c r="DB130" s="376"/>
      <c r="DC130" s="120"/>
      <c r="DD130" s="120"/>
      <c r="DE130" s="120"/>
      <c r="DF130" s="515"/>
      <c r="DG130" s="513"/>
      <c r="DH130" s="376"/>
      <c r="DI130" s="683"/>
      <c r="DJ130" s="384"/>
      <c r="DK130" s="683"/>
      <c r="DL130" s="727"/>
      <c r="DM130" s="384"/>
      <c r="DN130" s="384"/>
      <c r="DO130" s="384"/>
      <c r="DP130" s="375"/>
      <c r="DQ130" s="377"/>
      <c r="DR130" s="1182"/>
      <c r="DS130" s="956"/>
      <c r="DT130" s="727"/>
      <c r="DU130" s="683"/>
      <c r="DV130" s="384"/>
      <c r="DW130" s="683"/>
      <c r="DX130" s="384"/>
      <c r="DY130" s="384"/>
      <c r="DZ130" s="384"/>
      <c r="EA130" s="384"/>
      <c r="EB130" s="1012"/>
      <c r="EC130" s="384"/>
      <c r="ED130" s="384"/>
      <c r="EE130" s="683"/>
      <c r="EF130" s="384"/>
      <c r="EG130" s="683"/>
      <c r="EH130" s="384"/>
      <c r="EI130" s="384"/>
      <c r="EJ130" s="384"/>
      <c r="EK130" s="384"/>
      <c r="EL130" s="1012"/>
      <c r="EM130" s="384"/>
      <c r="EN130" s="1012"/>
      <c r="EO130" s="384"/>
      <c r="EP130" s="683"/>
      <c r="EQ130" s="683"/>
      <c r="ER130" s="683"/>
      <c r="ES130" s="683"/>
      <c r="ET130" s="727"/>
      <c r="EU130" s="384"/>
      <c r="EV130" s="384"/>
      <c r="EW130" s="384"/>
      <c r="EX130" s="384"/>
      <c r="EY130" s="384"/>
      <c r="EZ130" s="727"/>
      <c r="FA130" s="384"/>
      <c r="FB130" s="384"/>
      <c r="FC130" s="384"/>
      <c r="FD130" s="727"/>
      <c r="FE130" s="384"/>
      <c r="FF130" s="384"/>
      <c r="FG130" s="384"/>
      <c r="FH130" s="384"/>
      <c r="FI130" s="384"/>
      <c r="FJ130" s="384"/>
    </row>
    <row r="131" spans="1:166" ht="15" hidden="1" customHeight="1">
      <c r="A131" s="79" t="s">
        <v>137</v>
      </c>
      <c r="B131" s="362">
        <v>104</v>
      </c>
      <c r="C131" s="362"/>
      <c r="D131" s="362">
        <v>32</v>
      </c>
      <c r="E131" s="604" t="s">
        <v>1949</v>
      </c>
      <c r="F131" s="124" t="s">
        <v>2168</v>
      </c>
      <c r="G131" s="125">
        <v>2008</v>
      </c>
      <c r="H131" s="79">
        <v>18423610</v>
      </c>
      <c r="I131" s="79">
        <v>1</v>
      </c>
      <c r="J131" s="126"/>
      <c r="K131" s="127"/>
      <c r="L131" s="79">
        <v>1</v>
      </c>
      <c r="M131" s="79"/>
      <c r="N131" s="79">
        <v>1</v>
      </c>
      <c r="O131" s="128">
        <v>1</v>
      </c>
      <c r="P131" s="79" t="s">
        <v>433</v>
      </c>
      <c r="Q131" s="79" t="s">
        <v>1152</v>
      </c>
      <c r="R131" s="79" t="s">
        <v>434</v>
      </c>
      <c r="S131" s="79">
        <v>0</v>
      </c>
      <c r="T131" s="79"/>
      <c r="U131" s="79"/>
      <c r="V131" s="79"/>
      <c r="W131" s="79" t="s">
        <v>435</v>
      </c>
      <c r="X131" s="79" t="s">
        <v>436</v>
      </c>
      <c r="Y131" s="79"/>
      <c r="Z131" s="79"/>
      <c r="AA131" s="79"/>
      <c r="AB131" s="79"/>
      <c r="AC131" s="506" t="s">
        <v>6200</v>
      </c>
      <c r="AD131" s="573">
        <v>1</v>
      </c>
      <c r="AE131" s="573">
        <v>0</v>
      </c>
      <c r="AF131" s="924">
        <v>2</v>
      </c>
      <c r="AG131" s="925"/>
      <c r="AH131" s="911"/>
      <c r="AI131" s="923"/>
      <c r="AJ131" s="923"/>
      <c r="AK131" s="926"/>
      <c r="AL131" s="588"/>
      <c r="AM131" s="927"/>
      <c r="AN131" s="923"/>
      <c r="AO131" s="923"/>
      <c r="AP131" s="923"/>
      <c r="AQ131" s="923"/>
      <c r="AR131" s="923"/>
      <c r="AS131" s="923"/>
      <c r="AT131" s="923"/>
      <c r="AU131" s="923"/>
      <c r="AV131" s="923"/>
      <c r="AW131" s="923"/>
      <c r="AX131" s="923"/>
      <c r="AY131" s="923"/>
      <c r="AZ131" s="915"/>
      <c r="BA131" s="923"/>
      <c r="BB131" s="923"/>
      <c r="BC131" s="923"/>
      <c r="BD131" s="915"/>
      <c r="BE131" s="915"/>
      <c r="BF131" s="923"/>
      <c r="BG131" s="923"/>
      <c r="BH131" s="594"/>
      <c r="BI131" s="594"/>
      <c r="BJ131" s="156"/>
      <c r="BK131" s="156"/>
      <c r="BL131" s="156"/>
      <c r="BM131" s="156"/>
      <c r="BN131" s="156"/>
      <c r="BO131" s="156"/>
      <c r="BP131" s="156"/>
      <c r="BQ131" s="156"/>
      <c r="BR131" s="156" t="s">
        <v>5207</v>
      </c>
      <c r="BS131" s="156"/>
      <c r="BT131" s="156"/>
      <c r="BU131" s="156"/>
      <c r="BV131" s="156"/>
      <c r="BW131" s="928"/>
      <c r="BX131" s="929"/>
      <c r="BY131" s="929"/>
      <c r="BZ131" s="929"/>
      <c r="CA131" s="184"/>
      <c r="CB131" s="184"/>
      <c r="CC131" s="184"/>
      <c r="CD131" s="923"/>
      <c r="CE131" s="923"/>
      <c r="CF131" s="923"/>
      <c r="CG131" s="923"/>
      <c r="CH131" s="915"/>
      <c r="CI131" s="923"/>
      <c r="CJ131" s="923"/>
      <c r="CK131" s="923"/>
      <c r="CL131" s="923"/>
      <c r="CM131" s="930"/>
      <c r="CN131" s="931"/>
      <c r="CO131" s="931"/>
      <c r="CP131" s="931"/>
      <c r="CQ131" s="931"/>
      <c r="CR131" s="931"/>
      <c r="CS131" s="931"/>
      <c r="CT131" s="967"/>
      <c r="CU131" s="967"/>
      <c r="CV131" s="967"/>
      <c r="CW131" s="967"/>
      <c r="CX131" s="168"/>
      <c r="CY131" s="190"/>
      <c r="CZ131" s="168"/>
      <c r="DA131" s="190"/>
      <c r="DB131" s="932"/>
      <c r="DC131" s="923"/>
      <c r="DD131" s="923"/>
      <c r="DE131" s="923"/>
      <c r="DF131" s="920"/>
      <c r="DG131" s="598"/>
      <c r="DH131" s="950"/>
      <c r="DI131" s="923"/>
      <c r="DJ131" s="951"/>
      <c r="DK131" s="923"/>
      <c r="DL131" s="950"/>
      <c r="DM131" s="951"/>
      <c r="DN131" s="951"/>
      <c r="DO131" s="951"/>
      <c r="DP131" s="930"/>
      <c r="DQ131" s="594"/>
      <c r="DR131" s="1187"/>
      <c r="DS131" s="1186"/>
      <c r="DT131" s="950"/>
      <c r="DU131" s="951"/>
      <c r="DV131" s="951"/>
      <c r="DW131" s="951"/>
      <c r="DX131" s="951"/>
      <c r="DY131" s="951"/>
      <c r="DZ131" s="951"/>
      <c r="EA131" s="951"/>
      <c r="EB131" s="1185"/>
      <c r="EC131" s="951"/>
      <c r="ED131" s="951"/>
      <c r="EE131" s="951"/>
      <c r="EF131" s="951"/>
      <c r="EG131" s="951"/>
      <c r="EH131" s="951"/>
      <c r="EI131" s="951"/>
      <c r="EJ131" s="951"/>
      <c r="EK131" s="951"/>
      <c r="EL131" s="1185"/>
      <c r="EM131" s="951"/>
      <c r="EN131" s="1185"/>
      <c r="EO131" s="951"/>
      <c r="EP131" s="934"/>
      <c r="EQ131" s="934"/>
      <c r="ER131" s="934"/>
      <c r="ES131" s="934"/>
      <c r="ET131" s="953"/>
      <c r="EU131" s="951"/>
      <c r="EV131" s="951"/>
      <c r="EW131" s="951"/>
      <c r="EX131" s="951"/>
      <c r="EY131" s="951"/>
      <c r="EZ131" s="950"/>
      <c r="FA131" s="951"/>
      <c r="FB131" s="951"/>
      <c r="FC131" s="951"/>
      <c r="FD131" s="950"/>
      <c r="FE131" s="951"/>
      <c r="FF131" s="951"/>
      <c r="FG131" s="951"/>
      <c r="FH131" s="951"/>
      <c r="FI131" s="951"/>
      <c r="FJ131" s="951"/>
    </row>
    <row r="132" spans="1:166" s="229" customFormat="1" ht="15" customHeight="1">
      <c r="A132" s="118" t="s">
        <v>225</v>
      </c>
      <c r="B132" s="614">
        <v>28</v>
      </c>
      <c r="C132" s="614"/>
      <c r="D132" s="614"/>
      <c r="E132" s="605" t="s">
        <v>1987</v>
      </c>
      <c r="F132" s="140" t="s">
        <v>2213</v>
      </c>
      <c r="G132" s="141">
        <v>2008</v>
      </c>
      <c r="H132" s="118">
        <v>18313695</v>
      </c>
      <c r="I132" s="118">
        <v>1</v>
      </c>
      <c r="J132" s="118"/>
      <c r="K132" s="118"/>
      <c r="L132" s="118">
        <v>1</v>
      </c>
      <c r="M132" s="118"/>
      <c r="N132" s="118">
        <v>1</v>
      </c>
      <c r="O132" s="142">
        <v>1</v>
      </c>
      <c r="P132" s="118" t="s">
        <v>627</v>
      </c>
      <c r="Q132" s="118" t="s">
        <v>1142</v>
      </c>
      <c r="R132" s="118" t="s">
        <v>628</v>
      </c>
      <c r="S132" s="118">
        <v>1</v>
      </c>
      <c r="T132" s="118"/>
      <c r="U132" s="118"/>
      <c r="V132" s="118"/>
      <c r="W132" s="118" t="s">
        <v>629</v>
      </c>
      <c r="X132" s="118" t="s">
        <v>24</v>
      </c>
      <c r="Y132" s="118" t="s">
        <v>630</v>
      </c>
      <c r="Z132" s="118"/>
      <c r="AA132" s="118"/>
      <c r="AB132" s="118" t="s">
        <v>631</v>
      </c>
      <c r="AC132" s="145"/>
      <c r="AD132" s="573">
        <v>1</v>
      </c>
      <c r="AE132" s="573">
        <v>2</v>
      </c>
      <c r="AF132" s="159">
        <v>1</v>
      </c>
      <c r="AG132" s="160" t="s">
        <v>7949</v>
      </c>
      <c r="AH132" s="704"/>
      <c r="AI132" s="122">
        <v>0</v>
      </c>
      <c r="AJ132" s="485"/>
      <c r="AK132" s="204"/>
      <c r="AL132" s="192">
        <v>1</v>
      </c>
      <c r="AM132" s="205">
        <v>0</v>
      </c>
      <c r="AN132" s="122">
        <f>Table66[[#This Row],[Data_Subjects_n_ptsd]]+Table66[[#This Row],[Data_Subjects_n_control]]</f>
        <v>21</v>
      </c>
      <c r="AO132" s="122">
        <f>7</f>
        <v>7</v>
      </c>
      <c r="AP132" s="122">
        <v>14</v>
      </c>
      <c r="AQ132" s="122" t="s">
        <v>803</v>
      </c>
      <c r="AR132" s="150" t="s">
        <v>803</v>
      </c>
      <c r="AS132" s="150">
        <v>58.1</v>
      </c>
      <c r="AT132" s="150">
        <v>2.8</v>
      </c>
      <c r="AU132" s="150">
        <v>59.1</v>
      </c>
      <c r="AV132" s="150">
        <v>2.5</v>
      </c>
      <c r="AW132" s="150" t="s">
        <v>1874</v>
      </c>
      <c r="AX132" s="122"/>
      <c r="AY132" s="122"/>
      <c r="AZ132" s="754" t="s">
        <v>1874</v>
      </c>
      <c r="BA132" s="122" t="s">
        <v>24</v>
      </c>
      <c r="BB132" s="122" t="s">
        <v>24</v>
      </c>
      <c r="BC132" s="122" t="s">
        <v>7951</v>
      </c>
      <c r="BD132" s="754" t="s">
        <v>7522</v>
      </c>
      <c r="BE132" s="187">
        <v>1</v>
      </c>
      <c r="BF132" s="122" t="s">
        <v>2875</v>
      </c>
      <c r="BG132" s="122" t="s">
        <v>1875</v>
      </c>
      <c r="BH132" s="588"/>
      <c r="BI132" s="588"/>
      <c r="BJ132" s="161">
        <v>1</v>
      </c>
      <c r="BK132" s="161"/>
      <c r="BL132" s="161"/>
      <c r="BM132" s="161"/>
      <c r="BN132" s="161"/>
      <c r="BO132" s="161"/>
      <c r="BP132" s="161"/>
      <c r="BQ132" s="161"/>
      <c r="BR132" s="161"/>
      <c r="BS132" s="161"/>
      <c r="BT132" s="161"/>
      <c r="BU132" s="161"/>
      <c r="BV132" s="161"/>
      <c r="BW132" s="596" t="s">
        <v>3155</v>
      </c>
      <c r="BX132" s="162" t="s">
        <v>6597</v>
      </c>
      <c r="BY132" s="797" t="s">
        <v>7615</v>
      </c>
      <c r="BZ132" s="790" t="s">
        <v>7609</v>
      </c>
      <c r="CA132" s="765">
        <v>4</v>
      </c>
      <c r="CB132" s="765" t="s">
        <v>7556</v>
      </c>
      <c r="CC132" s="765" t="s">
        <v>7955</v>
      </c>
      <c r="CD132" s="150" t="s">
        <v>1876</v>
      </c>
      <c r="CE132" s="150" t="s">
        <v>3136</v>
      </c>
      <c r="CF132" s="400"/>
      <c r="CG132" s="150" t="s">
        <v>3137</v>
      </c>
      <c r="CH132" s="753" t="s">
        <v>1488</v>
      </c>
      <c r="CI132" s="150" t="s">
        <v>24</v>
      </c>
      <c r="CJ132" s="150">
        <v>1</v>
      </c>
      <c r="CK132" s="150" t="s">
        <v>3138</v>
      </c>
      <c r="CL132" s="134" t="s">
        <v>630</v>
      </c>
      <c r="CM132" s="258" t="s">
        <v>3169</v>
      </c>
      <c r="CN132" s="257">
        <v>0</v>
      </c>
      <c r="CO132" s="829">
        <v>51</v>
      </c>
      <c r="CP132" s="829">
        <v>1</v>
      </c>
      <c r="CQ132" s="829">
        <v>6</v>
      </c>
      <c r="CR132" s="829">
        <v>1</v>
      </c>
      <c r="CS132" s="829">
        <v>-1</v>
      </c>
      <c r="CT132" s="968" t="s">
        <v>7837</v>
      </c>
      <c r="CU132" s="1291" t="s">
        <v>8102</v>
      </c>
      <c r="CV132" s="1295">
        <v>20</v>
      </c>
      <c r="CW132" s="1295">
        <v>22</v>
      </c>
      <c r="CX132" s="151" t="s">
        <v>3148</v>
      </c>
      <c r="CY132" s="266">
        <v>5.3171599999999999E-2</v>
      </c>
      <c r="CZ132" s="150" t="s">
        <v>24</v>
      </c>
      <c r="DA132" s="266">
        <f>0.100187-Table66[[#This Row],[Data_Outcome1_M]]</f>
        <v>4.7015399999999999E-2</v>
      </c>
      <c r="DB132" s="151" t="s">
        <v>3154</v>
      </c>
      <c r="DC132" s="150">
        <v>0.108582</v>
      </c>
      <c r="DD132" s="150" t="s">
        <v>24</v>
      </c>
      <c r="DE132" s="150">
        <f>0.158955-Table66[[#This Row],[Data_Outcome2_M]]</f>
        <v>5.0373000000000015E-2</v>
      </c>
      <c r="DF132" s="870"/>
      <c r="DG132" s="871"/>
      <c r="DH132" s="526"/>
      <c r="DI132" s="122"/>
      <c r="DJ132" s="1164"/>
      <c r="DK132" s="122"/>
      <c r="DL132" s="1166"/>
      <c r="DM132" s="122"/>
      <c r="DN132" s="1164"/>
      <c r="DO132" s="122"/>
      <c r="DP132" s="654"/>
      <c r="DQ132" s="655"/>
      <c r="DR132" s="1168"/>
      <c r="DS132" s="865"/>
      <c r="DT132" s="1166"/>
      <c r="DU132" s="122"/>
      <c r="DV132" s="1164"/>
      <c r="DW132" s="122"/>
      <c r="DX132" s="1166"/>
      <c r="DY132" s="122"/>
      <c r="DZ132" s="1164"/>
      <c r="EA132" s="122"/>
      <c r="EB132" s="656"/>
      <c r="EC132" s="657"/>
      <c r="ED132" s="1166"/>
      <c r="EE132" s="122"/>
      <c r="EF132" s="1164"/>
      <c r="EG132" s="122"/>
      <c r="EH132" s="1166"/>
      <c r="EI132" s="122"/>
      <c r="EJ132" s="1164"/>
      <c r="EK132" s="122"/>
      <c r="EL132" s="311"/>
      <c r="EM132" s="313"/>
      <c r="EN132" s="1167"/>
      <c r="EO132" s="1165"/>
      <c r="EP132" s="1164"/>
      <c r="EQ132" s="1164"/>
      <c r="ER132" s="1164"/>
      <c r="ES132" s="1164"/>
      <c r="ET132" s="1166"/>
      <c r="EU132" s="1164"/>
      <c r="EV132" s="1164"/>
      <c r="EW132" s="1164"/>
      <c r="EX132" s="313"/>
      <c r="EY132" s="313"/>
      <c r="EZ132" s="1166"/>
      <c r="FA132" s="1164"/>
      <c r="FB132" s="1164"/>
      <c r="FC132" s="1164"/>
      <c r="FD132" s="1166"/>
      <c r="FE132" s="1164"/>
      <c r="FF132" s="1164"/>
      <c r="FG132" s="1164"/>
      <c r="FH132" s="313"/>
      <c r="FI132" s="313"/>
      <c r="FJ132" s="1165"/>
    </row>
    <row r="133" spans="1:166" s="229" customFormat="1" ht="15" customHeight="1">
      <c r="A133" s="118" t="s">
        <v>225</v>
      </c>
      <c r="B133" s="614">
        <v>28</v>
      </c>
      <c r="C133" s="614"/>
      <c r="D133" s="614"/>
      <c r="E133" s="605" t="s">
        <v>1987</v>
      </c>
      <c r="F133" s="140" t="s">
        <v>2213</v>
      </c>
      <c r="G133" s="141">
        <v>2008</v>
      </c>
      <c r="H133" s="118">
        <v>18313695</v>
      </c>
      <c r="I133" s="118">
        <v>1</v>
      </c>
      <c r="J133" s="118"/>
      <c r="K133" s="118"/>
      <c r="L133" s="118">
        <v>1</v>
      </c>
      <c r="M133" s="118"/>
      <c r="N133" s="118">
        <v>1</v>
      </c>
      <c r="O133" s="142">
        <v>1</v>
      </c>
      <c r="P133" s="118" t="s">
        <v>627</v>
      </c>
      <c r="Q133" s="118" t="s">
        <v>1142</v>
      </c>
      <c r="R133" s="118" t="s">
        <v>628</v>
      </c>
      <c r="S133" s="118">
        <v>1</v>
      </c>
      <c r="T133" s="118"/>
      <c r="U133" s="118"/>
      <c r="V133" s="118"/>
      <c r="W133" s="118" t="s">
        <v>629</v>
      </c>
      <c r="X133" s="118" t="s">
        <v>24</v>
      </c>
      <c r="Y133" s="118" t="s">
        <v>630</v>
      </c>
      <c r="Z133" s="118"/>
      <c r="AA133" s="118"/>
      <c r="AB133" s="118" t="s">
        <v>631</v>
      </c>
      <c r="AC133" s="145"/>
      <c r="AD133" s="573">
        <v>1</v>
      </c>
      <c r="AE133" s="573">
        <v>2</v>
      </c>
      <c r="AF133" s="159">
        <v>1</v>
      </c>
      <c r="AG133" s="160" t="s">
        <v>7949</v>
      </c>
      <c r="AH133" s="704"/>
      <c r="AI133" s="122">
        <v>2</v>
      </c>
      <c r="AJ133" s="485"/>
      <c r="AK133" s="204"/>
      <c r="AL133" s="192">
        <v>1</v>
      </c>
      <c r="AM133" s="205">
        <v>0</v>
      </c>
      <c r="AN133" s="122">
        <f>Table66[[#This Row],[Data_Subjects_n_ptsd]]+Table66[[#This Row],[Data_Subjects_n_control]]</f>
        <v>14</v>
      </c>
      <c r="AO133" s="122">
        <f>7</f>
        <v>7</v>
      </c>
      <c r="AP133" s="122">
        <v>7</v>
      </c>
      <c r="AQ133" s="122" t="s">
        <v>803</v>
      </c>
      <c r="AR133" s="150" t="s">
        <v>803</v>
      </c>
      <c r="AS133" s="150">
        <v>58.1</v>
      </c>
      <c r="AT133" s="150">
        <v>2.8</v>
      </c>
      <c r="AU133" s="150">
        <v>59.1</v>
      </c>
      <c r="AV133" s="150">
        <v>2.5</v>
      </c>
      <c r="AW133" s="150" t="s">
        <v>1874</v>
      </c>
      <c r="AX133" s="122"/>
      <c r="AY133" s="122"/>
      <c r="AZ133" s="754" t="s">
        <v>1874</v>
      </c>
      <c r="BA133" s="122" t="s">
        <v>24</v>
      </c>
      <c r="BB133" s="122" t="s">
        <v>24</v>
      </c>
      <c r="BC133" s="122" t="s">
        <v>4161</v>
      </c>
      <c r="BD133" s="754" t="s">
        <v>7521</v>
      </c>
      <c r="BE133" s="187">
        <v>1</v>
      </c>
      <c r="BF133" s="122" t="s">
        <v>2605</v>
      </c>
      <c r="BG133" s="122" t="s">
        <v>1875</v>
      </c>
      <c r="BH133" s="588"/>
      <c r="BI133" s="588"/>
      <c r="BJ133" s="161">
        <v>1</v>
      </c>
      <c r="BK133" s="161"/>
      <c r="BL133" s="161"/>
      <c r="BM133" s="161"/>
      <c r="BN133" s="161"/>
      <c r="BO133" s="161"/>
      <c r="BP133" s="161"/>
      <c r="BQ133" s="161"/>
      <c r="BR133" s="161"/>
      <c r="BS133" s="161"/>
      <c r="BT133" s="161"/>
      <c r="BU133" s="161"/>
      <c r="BV133" s="161"/>
      <c r="BW133" s="596" t="s">
        <v>3156</v>
      </c>
      <c r="BX133" s="162" t="s">
        <v>6597</v>
      </c>
      <c r="BY133" s="797" t="s">
        <v>7615</v>
      </c>
      <c r="BZ133" s="790" t="s">
        <v>7609</v>
      </c>
      <c r="CA133" s="765">
        <v>4</v>
      </c>
      <c r="CB133" s="765" t="s">
        <v>7556</v>
      </c>
      <c r="CC133" s="765" t="s">
        <v>7954</v>
      </c>
      <c r="CD133" s="150" t="s">
        <v>1876</v>
      </c>
      <c r="CE133" s="150" t="s">
        <v>3136</v>
      </c>
      <c r="CF133" s="400"/>
      <c r="CG133" s="150" t="s">
        <v>3137</v>
      </c>
      <c r="CH133" s="753" t="s">
        <v>1488</v>
      </c>
      <c r="CI133" s="150" t="s">
        <v>24</v>
      </c>
      <c r="CJ133" s="150">
        <v>1</v>
      </c>
      <c r="CK133" s="150" t="s">
        <v>3138</v>
      </c>
      <c r="CL133" s="134" t="s">
        <v>630</v>
      </c>
      <c r="CM133" s="258" t="s">
        <v>3170</v>
      </c>
      <c r="CN133" s="257" t="s">
        <v>6627</v>
      </c>
      <c r="CO133" s="829">
        <v>51</v>
      </c>
      <c r="CP133" s="829">
        <v>1</v>
      </c>
      <c r="CQ133" s="829">
        <v>8</v>
      </c>
      <c r="CR133" s="829">
        <v>1</v>
      </c>
      <c r="CS133" s="829">
        <v>-1</v>
      </c>
      <c r="CT133" s="968" t="s">
        <v>7836</v>
      </c>
      <c r="CU133" s="1288" t="s">
        <v>8103</v>
      </c>
      <c r="CV133" s="1295">
        <v>20</v>
      </c>
      <c r="CW133" s="1294">
        <v>21</v>
      </c>
      <c r="CX133" s="151" t="s">
        <v>3158</v>
      </c>
      <c r="CY133" s="150">
        <v>0.47966399999999998</v>
      </c>
      <c r="CZ133" s="150" t="s">
        <v>24</v>
      </c>
      <c r="DA133" s="150">
        <f>0.553545-Table66[[#This Row],[Data_Outcome1_M]]</f>
        <v>7.3880999999999974E-2</v>
      </c>
      <c r="DB133" s="151" t="s">
        <v>3162</v>
      </c>
      <c r="DC133" s="150">
        <v>0.25298500000000002</v>
      </c>
      <c r="DD133" s="150" t="s">
        <v>24</v>
      </c>
      <c r="DE133" s="150">
        <f>0.338619-Table66[[#This Row],[Data_Outcome2_M]]</f>
        <v>8.5633999999999988E-2</v>
      </c>
      <c r="DF133" s="870"/>
      <c r="DG133" s="871"/>
      <c r="DH133" s="1166"/>
      <c r="DI133" s="1164"/>
      <c r="DJ133" s="1164"/>
      <c r="DK133" s="1164"/>
      <c r="DL133" s="1166"/>
      <c r="DM133" s="1164"/>
      <c r="DN133" s="1164"/>
      <c r="DO133" s="1164"/>
      <c r="DP133" s="654"/>
      <c r="DQ133" s="655"/>
      <c r="DR133" s="1168"/>
      <c r="DS133" s="865"/>
      <c r="DT133" s="1166"/>
      <c r="DU133" s="1164"/>
      <c r="DV133" s="1164"/>
      <c r="DW133" s="1164"/>
      <c r="DX133" s="1166"/>
      <c r="DY133" s="1164"/>
      <c r="DZ133" s="1164"/>
      <c r="EA133" s="1164"/>
      <c r="EB133" s="656"/>
      <c r="EC133" s="657"/>
      <c r="ED133" s="1166"/>
      <c r="EE133" s="1164"/>
      <c r="EF133" s="1164"/>
      <c r="EG133" s="1164"/>
      <c r="EH133" s="1166"/>
      <c r="EI133" s="1164"/>
      <c r="EJ133" s="1164"/>
      <c r="EK133" s="1164"/>
      <c r="EL133" s="311"/>
      <c r="EM133" s="313"/>
      <c r="EN133" s="1167"/>
      <c r="EO133" s="1165"/>
      <c r="EP133" s="1164"/>
      <c r="EQ133" s="1164"/>
      <c r="ER133" s="1164"/>
      <c r="ES133" s="1164"/>
      <c r="ET133" s="1166"/>
      <c r="EU133" s="1164"/>
      <c r="EV133" s="1164"/>
      <c r="EW133" s="1164"/>
      <c r="EX133" s="313"/>
      <c r="EY133" s="313"/>
      <c r="EZ133" s="1166"/>
      <c r="FA133" s="1164"/>
      <c r="FB133" s="1164"/>
      <c r="FC133" s="1164"/>
      <c r="FD133" s="1166"/>
      <c r="FE133" s="1164"/>
      <c r="FF133" s="1164"/>
      <c r="FG133" s="1164"/>
      <c r="FH133" s="313"/>
      <c r="FI133" s="313"/>
      <c r="FJ133" s="1165"/>
    </row>
    <row r="134" spans="1:166" s="229" customFormat="1" ht="15" customHeight="1">
      <c r="A134" s="118" t="s">
        <v>225</v>
      </c>
      <c r="B134" s="614">
        <v>28</v>
      </c>
      <c r="C134" s="614"/>
      <c r="D134" s="614"/>
      <c r="E134" s="605" t="s">
        <v>1987</v>
      </c>
      <c r="F134" s="140" t="s">
        <v>2213</v>
      </c>
      <c r="G134" s="141">
        <v>2008</v>
      </c>
      <c r="H134" s="118">
        <v>18313695</v>
      </c>
      <c r="I134" s="118">
        <v>1</v>
      </c>
      <c r="J134" s="118"/>
      <c r="K134" s="118"/>
      <c r="L134" s="118">
        <v>1</v>
      </c>
      <c r="M134" s="118"/>
      <c r="N134" s="118">
        <v>1</v>
      </c>
      <c r="O134" s="142">
        <v>1</v>
      </c>
      <c r="P134" s="118" t="s">
        <v>627</v>
      </c>
      <c r="Q134" s="118" t="s">
        <v>1142</v>
      </c>
      <c r="R134" s="118" t="s">
        <v>628</v>
      </c>
      <c r="S134" s="118">
        <v>1</v>
      </c>
      <c r="T134" s="118"/>
      <c r="U134" s="118"/>
      <c r="V134" s="118"/>
      <c r="W134" s="118" t="s">
        <v>629</v>
      </c>
      <c r="X134" s="118" t="s">
        <v>24</v>
      </c>
      <c r="Y134" s="118" t="s">
        <v>630</v>
      </c>
      <c r="Z134" s="118"/>
      <c r="AA134" s="118"/>
      <c r="AB134" s="118" t="s">
        <v>631</v>
      </c>
      <c r="AC134" s="145"/>
      <c r="AD134" s="573">
        <v>1</v>
      </c>
      <c r="AE134" s="573">
        <v>2</v>
      </c>
      <c r="AF134" s="159">
        <v>1</v>
      </c>
      <c r="AG134" s="160" t="s">
        <v>7949</v>
      </c>
      <c r="AH134" s="704"/>
      <c r="AI134" s="122">
        <v>0</v>
      </c>
      <c r="AJ134" s="485"/>
      <c r="AK134" s="204"/>
      <c r="AL134" s="192">
        <v>1</v>
      </c>
      <c r="AM134" s="205">
        <v>0</v>
      </c>
      <c r="AN134" s="122">
        <f>Table66[[#This Row],[Data_Subjects_n_ptsd]]+Table66[[#This Row],[Data_Subjects_n_control]]</f>
        <v>21</v>
      </c>
      <c r="AO134" s="122">
        <f>7</f>
        <v>7</v>
      </c>
      <c r="AP134" s="122">
        <v>14</v>
      </c>
      <c r="AQ134" s="122" t="s">
        <v>803</v>
      </c>
      <c r="AR134" s="150" t="s">
        <v>803</v>
      </c>
      <c r="AS134" s="150">
        <v>58.1</v>
      </c>
      <c r="AT134" s="150">
        <v>2.8</v>
      </c>
      <c r="AU134" s="150">
        <v>59.1</v>
      </c>
      <c r="AV134" s="150">
        <v>2.5</v>
      </c>
      <c r="AW134" s="150" t="s">
        <v>1874</v>
      </c>
      <c r="AX134" s="122"/>
      <c r="AY134" s="122"/>
      <c r="AZ134" s="754" t="s">
        <v>1874</v>
      </c>
      <c r="BA134" s="122" t="s">
        <v>24</v>
      </c>
      <c r="BB134" s="122" t="s">
        <v>24</v>
      </c>
      <c r="BC134" s="122" t="s">
        <v>7951</v>
      </c>
      <c r="BD134" s="754" t="s">
        <v>7522</v>
      </c>
      <c r="BE134" s="187">
        <v>1</v>
      </c>
      <c r="BF134" s="122" t="s">
        <v>2875</v>
      </c>
      <c r="BG134" s="122" t="s">
        <v>1875</v>
      </c>
      <c r="BH134" s="588"/>
      <c r="BI134" s="588"/>
      <c r="BJ134" s="161">
        <v>1</v>
      </c>
      <c r="BK134" s="161"/>
      <c r="BL134" s="161"/>
      <c r="BM134" s="161"/>
      <c r="BN134" s="161"/>
      <c r="BO134" s="161"/>
      <c r="BP134" s="161"/>
      <c r="BQ134" s="161"/>
      <c r="BR134" s="161"/>
      <c r="BS134" s="161"/>
      <c r="BT134" s="161"/>
      <c r="BU134" s="161"/>
      <c r="BV134" s="161"/>
      <c r="BW134" s="596" t="s">
        <v>3156</v>
      </c>
      <c r="BX134" s="162" t="s">
        <v>6597</v>
      </c>
      <c r="BY134" s="797" t="s">
        <v>7615</v>
      </c>
      <c r="BZ134" s="790" t="s">
        <v>7609</v>
      </c>
      <c r="CA134" s="765">
        <v>4</v>
      </c>
      <c r="CB134" s="765" t="s">
        <v>7556</v>
      </c>
      <c r="CC134" s="765" t="s">
        <v>7954</v>
      </c>
      <c r="CD134" s="150" t="s">
        <v>1876</v>
      </c>
      <c r="CE134" s="150" t="s">
        <v>3136</v>
      </c>
      <c r="CF134" s="400"/>
      <c r="CG134" s="150" t="s">
        <v>3137</v>
      </c>
      <c r="CH134" s="753" t="s">
        <v>1488</v>
      </c>
      <c r="CI134" s="150" t="s">
        <v>24</v>
      </c>
      <c r="CJ134" s="150">
        <v>1</v>
      </c>
      <c r="CK134" s="150" t="s">
        <v>3138</v>
      </c>
      <c r="CL134" s="134" t="s">
        <v>630</v>
      </c>
      <c r="CM134" s="258" t="s">
        <v>3170</v>
      </c>
      <c r="CN134" s="257" t="s">
        <v>6627</v>
      </c>
      <c r="CO134" s="829">
        <v>51</v>
      </c>
      <c r="CP134" s="829">
        <v>1</v>
      </c>
      <c r="CQ134" s="829">
        <v>9</v>
      </c>
      <c r="CR134" s="829">
        <v>1</v>
      </c>
      <c r="CS134" s="829">
        <v>-1</v>
      </c>
      <c r="CT134" s="968" t="s">
        <v>7836</v>
      </c>
      <c r="CU134" s="1291" t="s">
        <v>8102</v>
      </c>
      <c r="CV134" s="1295">
        <v>20</v>
      </c>
      <c r="CW134" s="1295">
        <v>22</v>
      </c>
      <c r="CX134" s="151" t="s">
        <v>3158</v>
      </c>
      <c r="CY134" s="150">
        <v>0.47966399999999998</v>
      </c>
      <c r="CZ134" s="150" t="s">
        <v>24</v>
      </c>
      <c r="DA134" s="150">
        <f>0.553545-Table66[[#This Row],[Data_Outcome1_M]]</f>
        <v>7.3880999999999974E-2</v>
      </c>
      <c r="DB134" s="151" t="s">
        <v>3164</v>
      </c>
      <c r="DC134" s="150">
        <v>0.298321</v>
      </c>
      <c r="DD134" s="150" t="s">
        <v>24</v>
      </c>
      <c r="DE134" s="150">
        <f>0.43097-Table66[[#This Row],[Data_Outcome2_M]]</f>
        <v>0.13264900000000002</v>
      </c>
      <c r="DF134" s="870"/>
      <c r="DG134" s="871"/>
      <c r="DH134" s="1178"/>
      <c r="DI134" s="500"/>
      <c r="DJ134" s="1164"/>
      <c r="DK134" s="500"/>
      <c r="DL134" s="1166"/>
      <c r="DM134" s="500"/>
      <c r="DN134" s="1164"/>
      <c r="DO134" s="1150"/>
      <c r="DP134" s="290"/>
      <c r="DQ134" s="388"/>
      <c r="DR134" s="864"/>
      <c r="DS134" s="865"/>
      <c r="DT134" s="1166"/>
      <c r="DU134" s="500"/>
      <c r="DV134" s="1164"/>
      <c r="DW134" s="500"/>
      <c r="DX134" s="1166"/>
      <c r="DY134" s="500"/>
      <c r="DZ134" s="1164"/>
      <c r="EA134" s="500"/>
      <c r="EB134" s="311"/>
      <c r="EC134" s="313"/>
      <c r="ED134" s="1166"/>
      <c r="EE134" s="500"/>
      <c r="EF134" s="1164"/>
      <c r="EG134" s="500"/>
      <c r="EH134" s="1166"/>
      <c r="EI134" s="500"/>
      <c r="EJ134" s="1164"/>
      <c r="EK134" s="500"/>
      <c r="EL134" s="311"/>
      <c r="EM134" s="313"/>
      <c r="EN134" s="446"/>
      <c r="EO134" s="1165"/>
      <c r="EP134" s="1164"/>
      <c r="EQ134" s="1164"/>
      <c r="ER134" s="1164"/>
      <c r="ES134" s="1164"/>
      <c r="ET134" s="1166"/>
      <c r="EU134" s="1164"/>
      <c r="EV134" s="1164"/>
      <c r="EW134" s="1164"/>
      <c r="EX134" s="313"/>
      <c r="EY134" s="313"/>
      <c r="EZ134" s="1166"/>
      <c r="FA134" s="1164"/>
      <c r="FB134" s="1164"/>
      <c r="FC134" s="1164"/>
      <c r="FD134" s="1166"/>
      <c r="FE134" s="1164"/>
      <c r="FF134" s="1164"/>
      <c r="FG134" s="1164"/>
      <c r="FH134" s="313"/>
      <c r="FI134" s="313"/>
      <c r="FJ134" s="1165"/>
    </row>
    <row r="135" spans="1:166" s="229" customFormat="1" ht="15" customHeight="1">
      <c r="A135" s="118" t="s">
        <v>225</v>
      </c>
      <c r="B135" s="614">
        <v>28</v>
      </c>
      <c r="C135" s="614"/>
      <c r="D135" s="614"/>
      <c r="E135" s="605" t="s">
        <v>1987</v>
      </c>
      <c r="F135" s="140" t="s">
        <v>2213</v>
      </c>
      <c r="G135" s="141">
        <v>2008</v>
      </c>
      <c r="H135" s="118">
        <v>18313695</v>
      </c>
      <c r="I135" s="118">
        <v>1</v>
      </c>
      <c r="J135" s="118"/>
      <c r="K135" s="118"/>
      <c r="L135" s="118">
        <v>1</v>
      </c>
      <c r="M135" s="118"/>
      <c r="N135" s="118">
        <v>1</v>
      </c>
      <c r="O135" s="142">
        <v>1</v>
      </c>
      <c r="P135" s="118" t="s">
        <v>627</v>
      </c>
      <c r="Q135" s="118" t="s">
        <v>1142</v>
      </c>
      <c r="R135" s="118" t="s">
        <v>628</v>
      </c>
      <c r="S135" s="118">
        <v>1</v>
      </c>
      <c r="T135" s="118"/>
      <c r="U135" s="118"/>
      <c r="V135" s="118"/>
      <c r="W135" s="118" t="s">
        <v>629</v>
      </c>
      <c r="X135" s="118" t="s">
        <v>24</v>
      </c>
      <c r="Y135" s="118" t="s">
        <v>630</v>
      </c>
      <c r="Z135" s="118"/>
      <c r="AA135" s="118"/>
      <c r="AB135" s="118" t="s">
        <v>631</v>
      </c>
      <c r="AC135" s="145"/>
      <c r="AD135" s="573">
        <v>1</v>
      </c>
      <c r="AE135" s="573">
        <v>2</v>
      </c>
      <c r="AF135" s="159">
        <v>1</v>
      </c>
      <c r="AG135" s="160" t="s">
        <v>7949</v>
      </c>
      <c r="AH135" s="704"/>
      <c r="AI135" s="122">
        <v>0</v>
      </c>
      <c r="AJ135" s="485"/>
      <c r="AK135" s="204"/>
      <c r="AL135" s="192">
        <v>1</v>
      </c>
      <c r="AM135" s="205">
        <v>0</v>
      </c>
      <c r="AN135" s="122">
        <f>Table66[[#This Row],[Data_Subjects_n_ptsd]]+Table66[[#This Row],[Data_Subjects_n_control]]</f>
        <v>21</v>
      </c>
      <c r="AO135" s="122">
        <f>7</f>
        <v>7</v>
      </c>
      <c r="AP135" s="122">
        <v>14</v>
      </c>
      <c r="AQ135" s="122" t="s">
        <v>803</v>
      </c>
      <c r="AR135" s="150" t="s">
        <v>803</v>
      </c>
      <c r="AS135" s="150">
        <v>58.1</v>
      </c>
      <c r="AT135" s="150">
        <v>2.8</v>
      </c>
      <c r="AU135" s="150">
        <v>58.1</v>
      </c>
      <c r="AV135" s="150">
        <v>2.8</v>
      </c>
      <c r="AW135" s="150" t="s">
        <v>1874</v>
      </c>
      <c r="AX135" s="122"/>
      <c r="AY135" s="122"/>
      <c r="AZ135" s="754" t="s">
        <v>1874</v>
      </c>
      <c r="BA135" s="122" t="s">
        <v>24</v>
      </c>
      <c r="BB135" s="122" t="s">
        <v>24</v>
      </c>
      <c r="BC135" s="122" t="s">
        <v>7950</v>
      </c>
      <c r="BD135" s="754" t="s">
        <v>7952</v>
      </c>
      <c r="BE135" s="187">
        <v>1</v>
      </c>
      <c r="BF135" s="122" t="s">
        <v>2875</v>
      </c>
      <c r="BG135" s="122" t="s">
        <v>1875</v>
      </c>
      <c r="BH135" s="588"/>
      <c r="BI135" s="588"/>
      <c r="BJ135" s="161">
        <v>1</v>
      </c>
      <c r="BK135" s="161"/>
      <c r="BL135" s="161"/>
      <c r="BM135" s="161"/>
      <c r="BN135" s="161"/>
      <c r="BO135" s="161"/>
      <c r="BP135" s="161"/>
      <c r="BQ135" s="161"/>
      <c r="BR135" s="161"/>
      <c r="BS135" s="161"/>
      <c r="BT135" s="161"/>
      <c r="BU135" s="161"/>
      <c r="BV135" s="161"/>
      <c r="BW135" s="596" t="s">
        <v>3156</v>
      </c>
      <c r="BX135" s="162" t="s">
        <v>6597</v>
      </c>
      <c r="BY135" s="797" t="s">
        <v>7615</v>
      </c>
      <c r="BZ135" s="790" t="s">
        <v>7609</v>
      </c>
      <c r="CA135" s="765">
        <v>4</v>
      </c>
      <c r="CB135" s="765" t="s">
        <v>7556</v>
      </c>
      <c r="CC135" s="765" t="s">
        <v>7955</v>
      </c>
      <c r="CD135" s="150" t="s">
        <v>1876</v>
      </c>
      <c r="CE135" s="150" t="s">
        <v>3136</v>
      </c>
      <c r="CF135" s="400"/>
      <c r="CG135" s="150" t="s">
        <v>3137</v>
      </c>
      <c r="CH135" s="753" t="s">
        <v>1488</v>
      </c>
      <c r="CI135" s="150" t="s">
        <v>24</v>
      </c>
      <c r="CJ135" s="150">
        <v>1</v>
      </c>
      <c r="CK135" s="150" t="s">
        <v>3138</v>
      </c>
      <c r="CL135" s="134" t="s">
        <v>630</v>
      </c>
      <c r="CM135" s="258" t="s">
        <v>3170</v>
      </c>
      <c r="CN135" s="257" t="s">
        <v>6627</v>
      </c>
      <c r="CO135" s="829">
        <v>51</v>
      </c>
      <c r="CP135" s="829">
        <v>1</v>
      </c>
      <c r="CQ135" s="829">
        <v>10</v>
      </c>
      <c r="CR135" s="829">
        <v>1</v>
      </c>
      <c r="CS135" s="829">
        <v>-1</v>
      </c>
      <c r="CT135" s="968" t="s">
        <v>7837</v>
      </c>
      <c r="CU135" s="1291" t="s">
        <v>8102</v>
      </c>
      <c r="CV135" s="1295">
        <v>20</v>
      </c>
      <c r="CW135" s="1295">
        <v>20</v>
      </c>
      <c r="CX135" s="151" t="s">
        <v>3159</v>
      </c>
      <c r="CY135" s="150">
        <v>0.288246</v>
      </c>
      <c r="CZ135" s="150" t="s">
        <v>24</v>
      </c>
      <c r="DA135" s="150">
        <f>0.385634-Table66[[#This Row],[Data_Outcome1_M]]</f>
        <v>9.7387999999999975E-2</v>
      </c>
      <c r="DB135" s="151" t="s">
        <v>3161</v>
      </c>
      <c r="DC135" s="150">
        <v>6.9962700000000003E-2</v>
      </c>
      <c r="DD135" s="150" t="s">
        <v>24</v>
      </c>
      <c r="DE135" s="150">
        <f>0.162313-Table66[[#This Row],[Data_Outcome2_M]]</f>
        <v>9.235030000000001E-2</v>
      </c>
      <c r="DF135" s="870"/>
      <c r="DG135" s="871"/>
      <c r="DH135" s="1166"/>
      <c r="DI135" s="1164"/>
      <c r="DJ135" s="1164"/>
      <c r="DK135" s="1164"/>
      <c r="DL135" s="1166"/>
      <c r="DM135" s="1164"/>
      <c r="DN135" s="1164"/>
      <c r="DO135" s="1164"/>
      <c r="DP135" s="654"/>
      <c r="DQ135" s="655"/>
      <c r="DR135" s="1168"/>
      <c r="DS135" s="865"/>
      <c r="DT135" s="1166"/>
      <c r="DU135" s="500"/>
      <c r="DV135" s="1164"/>
      <c r="DW135" s="500"/>
      <c r="DX135" s="1166"/>
      <c r="DY135" s="500"/>
      <c r="DZ135" s="1164"/>
      <c r="EA135" s="500"/>
      <c r="EB135" s="311"/>
      <c r="EC135" s="313"/>
      <c r="ED135" s="1166"/>
      <c r="EE135" s="500"/>
      <c r="EF135" s="1164"/>
      <c r="EG135" s="500"/>
      <c r="EH135" s="1166"/>
      <c r="EI135" s="500"/>
      <c r="EJ135" s="1164"/>
      <c r="EK135" s="500"/>
      <c r="EL135" s="311"/>
      <c r="EM135" s="313"/>
      <c r="EN135" s="446"/>
      <c r="EO135" s="1165"/>
      <c r="EP135" s="1164"/>
      <c r="EQ135" s="1164"/>
      <c r="ER135" s="1164"/>
      <c r="ES135" s="1164"/>
      <c r="ET135" s="1166"/>
      <c r="EU135" s="1164"/>
      <c r="EV135" s="1164"/>
      <c r="EW135" s="1164"/>
      <c r="EX135" s="313"/>
      <c r="EY135" s="313"/>
      <c r="EZ135" s="1166"/>
      <c r="FA135" s="1164"/>
      <c r="FB135" s="1164"/>
      <c r="FC135" s="1164"/>
      <c r="FD135" s="1166"/>
      <c r="FE135" s="1164"/>
      <c r="FF135" s="1164"/>
      <c r="FG135" s="1164"/>
      <c r="FH135" s="313"/>
      <c r="FI135" s="313"/>
      <c r="FJ135" s="1165"/>
    </row>
    <row r="136" spans="1:166" ht="15" customHeight="1">
      <c r="A136" s="118" t="s">
        <v>225</v>
      </c>
      <c r="B136" s="614">
        <v>28</v>
      </c>
      <c r="C136" s="614"/>
      <c r="D136" s="614"/>
      <c r="E136" s="605" t="s">
        <v>1987</v>
      </c>
      <c r="F136" s="140" t="s">
        <v>2213</v>
      </c>
      <c r="G136" s="141">
        <v>2008</v>
      </c>
      <c r="H136" s="118">
        <v>18313695</v>
      </c>
      <c r="I136" s="118">
        <v>1</v>
      </c>
      <c r="J136" s="118"/>
      <c r="K136" s="118"/>
      <c r="L136" s="118">
        <v>1</v>
      </c>
      <c r="M136" s="118"/>
      <c r="N136" s="118">
        <v>1</v>
      </c>
      <c r="O136" s="142">
        <v>1</v>
      </c>
      <c r="P136" s="118" t="s">
        <v>627</v>
      </c>
      <c r="Q136" s="118" t="s">
        <v>1142</v>
      </c>
      <c r="R136" s="118" t="s">
        <v>628</v>
      </c>
      <c r="S136" s="118">
        <v>1</v>
      </c>
      <c r="T136" s="118"/>
      <c r="U136" s="118"/>
      <c r="V136" s="118"/>
      <c r="W136" s="118" t="s">
        <v>629</v>
      </c>
      <c r="X136" s="118" t="s">
        <v>24</v>
      </c>
      <c r="Y136" s="118" t="s">
        <v>630</v>
      </c>
      <c r="Z136" s="118"/>
      <c r="AA136" s="118"/>
      <c r="AB136" s="118" t="s">
        <v>631</v>
      </c>
      <c r="AC136" s="145"/>
      <c r="AD136" s="573">
        <v>1</v>
      </c>
      <c r="AE136" s="573">
        <v>2</v>
      </c>
      <c r="AF136" s="159">
        <v>1</v>
      </c>
      <c r="AG136" s="160" t="s">
        <v>7949</v>
      </c>
      <c r="AH136" s="704"/>
      <c r="AI136" s="122">
        <v>2</v>
      </c>
      <c r="AJ136" s="485"/>
      <c r="AK136" s="204"/>
      <c r="AL136" s="192">
        <v>1</v>
      </c>
      <c r="AM136" s="205">
        <v>0</v>
      </c>
      <c r="AN136" s="122">
        <f>Table66[[#This Row],[Data_Subjects_n_ptsd]]+Table66[[#This Row],[Data_Subjects_n_control]]</f>
        <v>14</v>
      </c>
      <c r="AO136" s="500">
        <f>7</f>
        <v>7</v>
      </c>
      <c r="AP136" s="122">
        <v>7</v>
      </c>
      <c r="AQ136" s="122" t="s">
        <v>803</v>
      </c>
      <c r="AR136" s="150" t="s">
        <v>803</v>
      </c>
      <c r="AS136" s="150">
        <v>58.1</v>
      </c>
      <c r="AT136" s="150">
        <v>2.8</v>
      </c>
      <c r="AU136" s="150">
        <v>59.1</v>
      </c>
      <c r="AV136" s="150">
        <v>2.5</v>
      </c>
      <c r="AW136" s="150" t="s">
        <v>1874</v>
      </c>
      <c r="AX136" s="122"/>
      <c r="AY136" s="122"/>
      <c r="AZ136" s="754" t="s">
        <v>1874</v>
      </c>
      <c r="BA136" s="122" t="s">
        <v>24</v>
      </c>
      <c r="BB136" s="122" t="s">
        <v>24</v>
      </c>
      <c r="BC136" s="122" t="s">
        <v>4161</v>
      </c>
      <c r="BD136" s="754" t="s">
        <v>7521</v>
      </c>
      <c r="BE136" s="187">
        <v>1</v>
      </c>
      <c r="BF136" s="122" t="s">
        <v>2605</v>
      </c>
      <c r="BG136" s="122" t="s">
        <v>1875</v>
      </c>
      <c r="BH136" s="588"/>
      <c r="BI136" s="588"/>
      <c r="BJ136" s="161">
        <v>1</v>
      </c>
      <c r="BK136" s="161"/>
      <c r="BL136" s="161"/>
      <c r="BM136" s="161"/>
      <c r="BN136" s="161"/>
      <c r="BO136" s="161"/>
      <c r="BP136" s="161"/>
      <c r="BQ136" s="161"/>
      <c r="BR136" s="161"/>
      <c r="BS136" s="161"/>
      <c r="BT136" s="161"/>
      <c r="BU136" s="161"/>
      <c r="BV136" s="161"/>
      <c r="BW136" s="596" t="s">
        <v>3156</v>
      </c>
      <c r="BX136" s="162" t="s">
        <v>6597</v>
      </c>
      <c r="BY136" s="797" t="s">
        <v>7615</v>
      </c>
      <c r="BZ136" s="790" t="s">
        <v>7609</v>
      </c>
      <c r="CA136" s="765">
        <v>4</v>
      </c>
      <c r="CB136" s="765" t="s">
        <v>7556</v>
      </c>
      <c r="CC136" s="765" t="s">
        <v>7955</v>
      </c>
      <c r="CD136" s="150" t="s">
        <v>1876</v>
      </c>
      <c r="CE136" s="150" t="s">
        <v>3136</v>
      </c>
      <c r="CF136" s="400"/>
      <c r="CG136" s="150" t="s">
        <v>3137</v>
      </c>
      <c r="CH136" s="753" t="s">
        <v>1488</v>
      </c>
      <c r="CI136" s="150" t="s">
        <v>24</v>
      </c>
      <c r="CJ136" s="150">
        <v>1</v>
      </c>
      <c r="CK136" s="150" t="s">
        <v>3138</v>
      </c>
      <c r="CL136" s="134" t="s">
        <v>630</v>
      </c>
      <c r="CM136" s="258" t="s">
        <v>3170</v>
      </c>
      <c r="CN136" s="257" t="s">
        <v>6627</v>
      </c>
      <c r="CO136" s="829">
        <v>51</v>
      </c>
      <c r="CP136" s="829">
        <v>1</v>
      </c>
      <c r="CQ136" s="829">
        <v>11</v>
      </c>
      <c r="CR136" s="829">
        <v>1</v>
      </c>
      <c r="CS136" s="829">
        <v>-1</v>
      </c>
      <c r="CT136" s="968" t="s">
        <v>7837</v>
      </c>
      <c r="CU136" s="1288" t="s">
        <v>8103</v>
      </c>
      <c r="CV136" s="1295">
        <v>20</v>
      </c>
      <c r="CW136" s="1294">
        <v>21</v>
      </c>
      <c r="CX136" s="151" t="s">
        <v>3159</v>
      </c>
      <c r="CY136" s="266">
        <v>0.288246</v>
      </c>
      <c r="CZ136" s="150" t="s">
        <v>24</v>
      </c>
      <c r="DA136" s="266">
        <f>0.385634-Table66[[#This Row],[Data_Outcome1_M]]</f>
        <v>9.7387999999999975E-2</v>
      </c>
      <c r="DB136" s="151" t="s">
        <v>3163</v>
      </c>
      <c r="DC136" s="150">
        <v>-2.7425399999999999E-2</v>
      </c>
      <c r="DD136" s="150" t="s">
        <v>24</v>
      </c>
      <c r="DE136" s="266">
        <f>-(-0.069403-Table66[[#This Row],[Data_Outcome2_M]])</f>
        <v>4.1977600000000004E-2</v>
      </c>
      <c r="DF136" s="549" t="s">
        <v>8095</v>
      </c>
      <c r="DG136" s="1125"/>
      <c r="DH136" s="1166"/>
      <c r="DI136" s="1164"/>
      <c r="DJ136" s="1164"/>
      <c r="DK136" s="1164"/>
      <c r="DL136" s="1166"/>
      <c r="DM136" s="1164"/>
      <c r="DN136" s="1164"/>
      <c r="DO136" s="1164"/>
      <c r="DP136" s="654"/>
      <c r="DQ136" s="655"/>
      <c r="DR136" s="1168"/>
      <c r="DS136" s="865"/>
      <c r="DT136" s="1166"/>
      <c r="DU136" s="500"/>
      <c r="DV136" s="1164"/>
      <c r="DW136" s="500"/>
      <c r="DX136" s="1166"/>
      <c r="DY136" s="500"/>
      <c r="DZ136" s="1164"/>
      <c r="EA136" s="500"/>
      <c r="EB136" s="311"/>
      <c r="EC136" s="313"/>
      <c r="ED136" s="1166"/>
      <c r="EE136" s="500"/>
      <c r="EF136" s="1164"/>
      <c r="EG136" s="500"/>
      <c r="EH136" s="1166"/>
      <c r="EI136" s="500"/>
      <c r="EJ136" s="1164"/>
      <c r="EK136" s="500"/>
      <c r="EL136" s="311"/>
      <c r="EM136" s="313"/>
      <c r="EN136" s="446"/>
      <c r="EO136" s="1165"/>
      <c r="EP136" s="1164"/>
      <c r="EQ136" s="1164"/>
      <c r="ER136" s="1164"/>
      <c r="ES136" s="1164"/>
      <c r="ET136" s="1166"/>
      <c r="EU136" s="1164"/>
      <c r="EV136" s="1164"/>
      <c r="EW136" s="1164"/>
      <c r="EX136" s="313"/>
      <c r="EY136" s="313"/>
      <c r="EZ136" s="1166"/>
      <c r="FA136" s="1164"/>
      <c r="FB136" s="1164"/>
      <c r="FC136" s="1164"/>
      <c r="FD136" s="1166"/>
      <c r="FE136" s="1164"/>
      <c r="FF136" s="1164"/>
      <c r="FG136" s="1164"/>
      <c r="FH136" s="313"/>
      <c r="FI136" s="313"/>
      <c r="FJ136" s="1165"/>
    </row>
    <row r="137" spans="1:166" ht="15" customHeight="1">
      <c r="A137" s="118" t="s">
        <v>225</v>
      </c>
      <c r="B137" s="614">
        <v>28</v>
      </c>
      <c r="C137" s="614"/>
      <c r="D137" s="614"/>
      <c r="E137" s="605" t="s">
        <v>1987</v>
      </c>
      <c r="F137" s="140" t="s">
        <v>2213</v>
      </c>
      <c r="G137" s="141">
        <v>2008</v>
      </c>
      <c r="H137" s="118">
        <v>18313695</v>
      </c>
      <c r="I137" s="118">
        <v>1</v>
      </c>
      <c r="J137" s="118"/>
      <c r="K137" s="118"/>
      <c r="L137" s="118">
        <v>1</v>
      </c>
      <c r="M137" s="118"/>
      <c r="N137" s="118">
        <v>1</v>
      </c>
      <c r="O137" s="142">
        <v>1</v>
      </c>
      <c r="P137" s="118" t="s">
        <v>627</v>
      </c>
      <c r="Q137" s="118" t="s">
        <v>1142</v>
      </c>
      <c r="R137" s="118" t="s">
        <v>628</v>
      </c>
      <c r="S137" s="118">
        <v>1</v>
      </c>
      <c r="T137" s="118"/>
      <c r="U137" s="118"/>
      <c r="V137" s="118"/>
      <c r="W137" s="118" t="s">
        <v>629</v>
      </c>
      <c r="X137" s="118" t="s">
        <v>24</v>
      </c>
      <c r="Y137" s="118" t="s">
        <v>630</v>
      </c>
      <c r="Z137" s="118"/>
      <c r="AA137" s="118"/>
      <c r="AB137" s="118" t="s">
        <v>631</v>
      </c>
      <c r="AC137" s="145"/>
      <c r="AD137" s="573">
        <v>1</v>
      </c>
      <c r="AE137" s="573">
        <v>2</v>
      </c>
      <c r="AF137" s="159">
        <v>1</v>
      </c>
      <c r="AG137" s="160" t="s">
        <v>7949</v>
      </c>
      <c r="AH137" s="704"/>
      <c r="AI137" s="122">
        <v>0</v>
      </c>
      <c r="AJ137" s="485"/>
      <c r="AK137" s="204"/>
      <c r="AL137" s="192">
        <v>1</v>
      </c>
      <c r="AM137" s="205">
        <v>0</v>
      </c>
      <c r="AN137" s="122">
        <f>Table66[[#This Row],[Data_Subjects_n_ptsd]]+Table66[[#This Row],[Data_Subjects_n_control]]</f>
        <v>21</v>
      </c>
      <c r="AO137" s="122">
        <f>7</f>
        <v>7</v>
      </c>
      <c r="AP137" s="122">
        <v>14</v>
      </c>
      <c r="AQ137" s="122" t="s">
        <v>803</v>
      </c>
      <c r="AR137" s="150" t="s">
        <v>803</v>
      </c>
      <c r="AS137" s="150">
        <v>58.1</v>
      </c>
      <c r="AT137" s="150">
        <v>2.8</v>
      </c>
      <c r="AU137" s="150">
        <v>59.1</v>
      </c>
      <c r="AV137" s="150">
        <v>2.5</v>
      </c>
      <c r="AW137" s="150" t="s">
        <v>1874</v>
      </c>
      <c r="AX137" s="122"/>
      <c r="AY137" s="122"/>
      <c r="AZ137" s="754" t="s">
        <v>1874</v>
      </c>
      <c r="BA137" s="122" t="s">
        <v>24</v>
      </c>
      <c r="BB137" s="122" t="s">
        <v>24</v>
      </c>
      <c r="BC137" s="122" t="s">
        <v>7951</v>
      </c>
      <c r="BD137" s="754" t="s">
        <v>7522</v>
      </c>
      <c r="BE137" s="187">
        <v>1</v>
      </c>
      <c r="BF137" s="122" t="s">
        <v>2875</v>
      </c>
      <c r="BG137" s="122" t="s">
        <v>1875</v>
      </c>
      <c r="BH137" s="588"/>
      <c r="BI137" s="588"/>
      <c r="BJ137" s="161">
        <v>1</v>
      </c>
      <c r="BK137" s="161"/>
      <c r="BL137" s="161"/>
      <c r="BM137" s="161"/>
      <c r="BN137" s="161"/>
      <c r="BO137" s="161"/>
      <c r="BP137" s="161"/>
      <c r="BQ137" s="161"/>
      <c r="BR137" s="161"/>
      <c r="BS137" s="161"/>
      <c r="BT137" s="161"/>
      <c r="BU137" s="161"/>
      <c r="BV137" s="161"/>
      <c r="BW137" s="596" t="s">
        <v>3156</v>
      </c>
      <c r="BX137" s="162" t="s">
        <v>6597</v>
      </c>
      <c r="BY137" s="797" t="s">
        <v>7615</v>
      </c>
      <c r="BZ137" s="790" t="s">
        <v>7609</v>
      </c>
      <c r="CA137" s="765">
        <v>4</v>
      </c>
      <c r="CB137" s="765" t="s">
        <v>7556</v>
      </c>
      <c r="CC137" s="765" t="s">
        <v>7955</v>
      </c>
      <c r="CD137" s="150" t="s">
        <v>1876</v>
      </c>
      <c r="CE137" s="150" t="s">
        <v>3136</v>
      </c>
      <c r="CF137" s="400"/>
      <c r="CG137" s="150" t="s">
        <v>3137</v>
      </c>
      <c r="CH137" s="753" t="s">
        <v>1488</v>
      </c>
      <c r="CI137" s="150" t="s">
        <v>24</v>
      </c>
      <c r="CJ137" s="150">
        <v>1</v>
      </c>
      <c r="CK137" s="150" t="s">
        <v>3138</v>
      </c>
      <c r="CL137" s="134" t="s">
        <v>630</v>
      </c>
      <c r="CM137" s="258" t="s">
        <v>3170</v>
      </c>
      <c r="CN137" s="257" t="s">
        <v>6627</v>
      </c>
      <c r="CO137" s="829">
        <v>51</v>
      </c>
      <c r="CP137" s="829">
        <v>1</v>
      </c>
      <c r="CQ137" s="829">
        <v>12</v>
      </c>
      <c r="CR137" s="829">
        <v>1</v>
      </c>
      <c r="CS137" s="829">
        <v>-1</v>
      </c>
      <c r="CT137" s="968" t="s">
        <v>7837</v>
      </c>
      <c r="CU137" s="1291" t="s">
        <v>8102</v>
      </c>
      <c r="CV137" s="1295">
        <v>20</v>
      </c>
      <c r="CW137" s="1295">
        <v>22</v>
      </c>
      <c r="CX137" s="151" t="s">
        <v>3159</v>
      </c>
      <c r="CY137" s="150">
        <v>0.288246</v>
      </c>
      <c r="CZ137" s="150" t="s">
        <v>24</v>
      </c>
      <c r="DA137" s="150">
        <f>0.385634-Table66[[#This Row],[Data_Outcome1_M]]</f>
        <v>9.7387999999999975E-2</v>
      </c>
      <c r="DB137" s="151" t="s">
        <v>3165</v>
      </c>
      <c r="DC137" s="150">
        <v>-2.0709000000000002E-2</v>
      </c>
      <c r="DD137" s="150" t="s">
        <v>24</v>
      </c>
      <c r="DE137" s="150">
        <f>-(-0.0777985-Table66[[#This Row],[Data_Outcome2_M]])</f>
        <v>5.7089500000000001E-2</v>
      </c>
      <c r="DF137" s="294" t="s">
        <v>8095</v>
      </c>
      <c r="DG137" s="295"/>
      <c r="DH137" s="1178"/>
      <c r="DI137" s="500"/>
      <c r="DJ137" s="1164"/>
      <c r="DK137" s="500"/>
      <c r="DL137" s="1166"/>
      <c r="DM137" s="500"/>
      <c r="DN137" s="1164"/>
      <c r="DO137" s="1150"/>
      <c r="DP137" s="290"/>
      <c r="DQ137" s="388"/>
      <c r="DR137" s="1168"/>
      <c r="DS137" s="865"/>
      <c r="DT137" s="1166"/>
      <c r="DU137" s="500"/>
      <c r="DV137" s="1164"/>
      <c r="DW137" s="500"/>
      <c r="DX137" s="1166"/>
      <c r="DY137" s="122"/>
      <c r="DZ137" s="1164"/>
      <c r="EA137" s="122"/>
      <c r="EB137" s="311"/>
      <c r="EC137" s="313"/>
      <c r="ED137" s="1166"/>
      <c r="EE137" s="1164"/>
      <c r="EF137" s="1164"/>
      <c r="EG137" s="1164"/>
      <c r="EH137" s="1156"/>
      <c r="EI137" s="1164"/>
      <c r="EJ137" s="1164"/>
      <c r="EK137" s="1164"/>
      <c r="EL137" s="311"/>
      <c r="EM137" s="313"/>
      <c r="EN137" s="1167"/>
      <c r="EO137" s="1165"/>
      <c r="EP137" s="689"/>
      <c r="EQ137" s="500"/>
      <c r="ER137" s="500"/>
      <c r="ES137" s="500"/>
      <c r="ET137" s="1166"/>
      <c r="EU137" s="1164"/>
      <c r="EV137" s="1164"/>
      <c r="EW137" s="1164"/>
      <c r="EX137" s="313"/>
      <c r="EY137" s="313"/>
      <c r="EZ137" s="1166"/>
      <c r="FA137" s="1164"/>
      <c r="FB137" s="1164"/>
      <c r="FC137" s="1164"/>
      <c r="FD137" s="1166"/>
      <c r="FE137" s="1164"/>
      <c r="FF137" s="1164"/>
      <c r="FG137" s="1164"/>
      <c r="FH137" s="313"/>
      <c r="FI137" s="313"/>
      <c r="FJ137" s="1165"/>
    </row>
    <row r="138" spans="1:166" s="229" customFormat="1" ht="15" customHeight="1">
      <c r="A138" s="118" t="s">
        <v>962</v>
      </c>
      <c r="B138" s="616">
        <v>49</v>
      </c>
      <c r="C138" s="616"/>
      <c r="D138" s="616"/>
      <c r="E138" s="605" t="s">
        <v>2123</v>
      </c>
      <c r="F138" s="140" t="s">
        <v>2384</v>
      </c>
      <c r="G138" s="141">
        <v>2015</v>
      </c>
      <c r="H138" s="118">
        <v>26019008</v>
      </c>
      <c r="I138" s="118">
        <v>1</v>
      </c>
      <c r="J138" s="118"/>
      <c r="K138" s="118"/>
      <c r="L138" s="118">
        <v>1</v>
      </c>
      <c r="M138" s="118"/>
      <c r="N138" s="387">
        <v>1</v>
      </c>
      <c r="O138" s="142">
        <v>2</v>
      </c>
      <c r="P138" s="118" t="s">
        <v>1604</v>
      </c>
      <c r="Q138" s="118" t="s">
        <v>1216</v>
      </c>
      <c r="R138" s="118" t="s">
        <v>1603</v>
      </c>
      <c r="S138" s="118"/>
      <c r="T138" s="118" t="s">
        <v>1487</v>
      </c>
      <c r="U138" s="118" t="s">
        <v>803</v>
      </c>
      <c r="V138" s="118"/>
      <c r="W138" s="118" t="s">
        <v>1605</v>
      </c>
      <c r="X138" s="118"/>
      <c r="Y138" s="118"/>
      <c r="Z138" s="118"/>
      <c r="AA138" s="118"/>
      <c r="AB138" s="118"/>
      <c r="AC138" s="145"/>
      <c r="AD138" s="573">
        <v>1</v>
      </c>
      <c r="AE138" s="573">
        <v>2</v>
      </c>
      <c r="AF138" s="159">
        <v>1</v>
      </c>
      <c r="AG138" s="155" t="s">
        <v>8089</v>
      </c>
      <c r="AH138" s="704"/>
      <c r="AI138" s="122">
        <v>4</v>
      </c>
      <c r="AJ138" s="485"/>
      <c r="AK138" s="204" t="s">
        <v>3635</v>
      </c>
      <c r="AL138" s="192">
        <v>1</v>
      </c>
      <c r="AM138" s="205" t="s">
        <v>3632</v>
      </c>
      <c r="AN138" s="122">
        <v>28</v>
      </c>
      <c r="AO138" s="122">
        <v>17</v>
      </c>
      <c r="AP138" s="122">
        <v>11</v>
      </c>
      <c r="AQ138" s="122" t="s">
        <v>803</v>
      </c>
      <c r="AR138" s="122" t="s">
        <v>803</v>
      </c>
      <c r="AS138" s="122" t="s">
        <v>3633</v>
      </c>
      <c r="AT138" s="122" t="s">
        <v>24</v>
      </c>
      <c r="AU138" s="122" t="s">
        <v>3633</v>
      </c>
      <c r="AV138" s="122" t="s">
        <v>24</v>
      </c>
      <c r="AW138" s="122" t="s">
        <v>2963</v>
      </c>
      <c r="AX138" s="122"/>
      <c r="AY138" s="122"/>
      <c r="AZ138" s="754" t="s">
        <v>1487</v>
      </c>
      <c r="BA138" s="122">
        <v>1</v>
      </c>
      <c r="BB138" s="122">
        <v>1</v>
      </c>
      <c r="BC138" s="122" t="s">
        <v>7542</v>
      </c>
      <c r="BD138" s="754" t="s">
        <v>7523</v>
      </c>
      <c r="BE138" s="754"/>
      <c r="BF138" s="122" t="s">
        <v>2730</v>
      </c>
      <c r="BG138" s="122" t="s">
        <v>2798</v>
      </c>
      <c r="BH138" s="588"/>
      <c r="BI138" s="588"/>
      <c r="BJ138" s="161">
        <v>1</v>
      </c>
      <c r="BK138" s="161"/>
      <c r="BL138" s="161"/>
      <c r="BM138" s="161"/>
      <c r="BN138" s="161"/>
      <c r="BO138" s="161"/>
      <c r="BP138" s="161"/>
      <c r="BQ138" s="161"/>
      <c r="BR138" s="161"/>
      <c r="BS138" s="161"/>
      <c r="BT138" s="161"/>
      <c r="BU138" s="161"/>
      <c r="BV138" s="161"/>
      <c r="BW138" s="596" t="s">
        <v>7369</v>
      </c>
      <c r="BX138" s="157" t="s">
        <v>6603</v>
      </c>
      <c r="BY138" s="797" t="s">
        <v>7615</v>
      </c>
      <c r="BZ138" s="789" t="s">
        <v>7609</v>
      </c>
      <c r="CA138" s="765">
        <v>4</v>
      </c>
      <c r="CB138" s="765" t="s">
        <v>7556</v>
      </c>
      <c r="CC138" s="765" t="s">
        <v>7384</v>
      </c>
      <c r="CD138" s="150" t="s">
        <v>1876</v>
      </c>
      <c r="CE138" s="150">
        <v>2</v>
      </c>
      <c r="CF138" s="400"/>
      <c r="CG138" s="150" t="s">
        <v>3637</v>
      </c>
      <c r="CH138" s="753" t="s">
        <v>1488</v>
      </c>
      <c r="CI138" s="150" t="s">
        <v>3656</v>
      </c>
      <c r="CJ138" s="150"/>
      <c r="CK138" s="145" t="s">
        <v>3640</v>
      </c>
      <c r="CL138" s="134" t="s">
        <v>6640</v>
      </c>
      <c r="CM138" s="258" t="s">
        <v>3655</v>
      </c>
      <c r="CN138" s="257">
        <v>0</v>
      </c>
      <c r="CO138" s="829">
        <v>78</v>
      </c>
      <c r="CP138" s="829">
        <v>1</v>
      </c>
      <c r="CQ138" s="829">
        <v>1</v>
      </c>
      <c r="CR138" s="829">
        <v>1</v>
      </c>
      <c r="CS138" s="829">
        <v>-1</v>
      </c>
      <c r="CT138" s="968"/>
      <c r="CU138" s="1289" t="s">
        <v>8104</v>
      </c>
      <c r="CV138" s="1295">
        <v>128</v>
      </c>
      <c r="CW138" s="1295">
        <v>117</v>
      </c>
      <c r="CX138" s="428" t="s">
        <v>3642</v>
      </c>
      <c r="CY138" s="150">
        <v>37.700000000000003</v>
      </c>
      <c r="CZ138" s="150">
        <v>4.03</v>
      </c>
      <c r="DA138" s="150" t="s">
        <v>24</v>
      </c>
      <c r="DB138" s="428" t="s">
        <v>3645</v>
      </c>
      <c r="DC138" s="150">
        <v>25.4</v>
      </c>
      <c r="DD138" s="150">
        <v>4.9800000000000004</v>
      </c>
      <c r="DE138" s="150" t="s">
        <v>24</v>
      </c>
      <c r="DF138" s="294" t="s">
        <v>3649</v>
      </c>
      <c r="DG138" s="295" t="s">
        <v>3650</v>
      </c>
      <c r="DH138" s="1156"/>
      <c r="DI138" s="1164"/>
      <c r="DJ138" s="1164"/>
      <c r="DK138" s="1164"/>
      <c r="DL138" s="1156"/>
      <c r="DM138" s="1164"/>
      <c r="DN138" s="1164"/>
      <c r="DO138" s="1164"/>
      <c r="DP138" s="290"/>
      <c r="DQ138" s="291"/>
      <c r="DR138" s="1168"/>
      <c r="DS138" s="865"/>
      <c r="DT138" s="1166"/>
      <c r="DU138" s="500"/>
      <c r="DV138" s="1164"/>
      <c r="DW138" s="500"/>
      <c r="DX138" s="1164"/>
      <c r="DY138" s="1164"/>
      <c r="DZ138" s="1164"/>
      <c r="EA138" s="1164"/>
      <c r="EB138" s="311"/>
      <c r="EC138" s="313"/>
      <c r="ED138" s="1164"/>
      <c r="EE138" s="1164"/>
      <c r="EF138" s="1164"/>
      <c r="EG138" s="1164"/>
      <c r="EH138" s="689"/>
      <c r="EI138" s="1164"/>
      <c r="EJ138" s="1164"/>
      <c r="EK138" s="1164"/>
      <c r="EL138" s="311"/>
      <c r="EM138" s="313"/>
      <c r="EN138" s="1167"/>
      <c r="EO138" s="1165"/>
      <c r="EP138" s="689"/>
      <c r="EQ138" s="500"/>
      <c r="ER138" s="500"/>
      <c r="ES138" s="500"/>
      <c r="ET138" s="1166"/>
      <c r="EU138" s="1164"/>
      <c r="EV138" s="1164"/>
      <c r="EW138" s="1164"/>
      <c r="EX138" s="313"/>
      <c r="EY138" s="313"/>
      <c r="EZ138" s="1166"/>
      <c r="FA138" s="1164"/>
      <c r="FB138" s="1164"/>
      <c r="FC138" s="1164"/>
      <c r="FD138" s="1166"/>
      <c r="FE138" s="1164"/>
      <c r="FF138" s="1164"/>
      <c r="FG138" s="1164"/>
      <c r="FH138" s="313"/>
      <c r="FI138" s="313"/>
      <c r="FJ138" s="1165"/>
    </row>
    <row r="139" spans="1:166" s="229" customFormat="1" ht="15" customHeight="1">
      <c r="A139" s="118" t="s">
        <v>962</v>
      </c>
      <c r="B139" s="616">
        <v>49</v>
      </c>
      <c r="C139" s="616"/>
      <c r="D139" s="616"/>
      <c r="E139" s="605" t="s">
        <v>2123</v>
      </c>
      <c r="F139" s="140" t="s">
        <v>2384</v>
      </c>
      <c r="G139" s="141">
        <v>2015</v>
      </c>
      <c r="H139" s="118">
        <v>26019008</v>
      </c>
      <c r="I139" s="118">
        <v>1</v>
      </c>
      <c r="J139" s="118"/>
      <c r="K139" s="118"/>
      <c r="L139" s="118">
        <v>1</v>
      </c>
      <c r="M139" s="118"/>
      <c r="N139" s="387">
        <v>1</v>
      </c>
      <c r="O139" s="142">
        <v>2</v>
      </c>
      <c r="P139" s="118" t="s">
        <v>1604</v>
      </c>
      <c r="Q139" s="118" t="s">
        <v>1216</v>
      </c>
      <c r="R139" s="118" t="s">
        <v>1603</v>
      </c>
      <c r="S139" s="118"/>
      <c r="T139" s="118" t="s">
        <v>1487</v>
      </c>
      <c r="U139" s="118" t="s">
        <v>803</v>
      </c>
      <c r="V139" s="118"/>
      <c r="W139" s="118" t="s">
        <v>1605</v>
      </c>
      <c r="X139" s="118"/>
      <c r="Y139" s="118"/>
      <c r="Z139" s="118"/>
      <c r="AA139" s="118"/>
      <c r="AB139" s="118"/>
      <c r="AC139" s="145"/>
      <c r="AD139" s="573">
        <v>1</v>
      </c>
      <c r="AE139" s="573">
        <v>2</v>
      </c>
      <c r="AF139" s="159">
        <v>1</v>
      </c>
      <c r="AG139" s="155" t="s">
        <v>8089</v>
      </c>
      <c r="AH139" s="704"/>
      <c r="AI139" s="122">
        <v>4</v>
      </c>
      <c r="AJ139" s="485"/>
      <c r="AK139" s="204" t="s">
        <v>3635</v>
      </c>
      <c r="AL139" s="192">
        <v>1</v>
      </c>
      <c r="AM139" s="205" t="s">
        <v>3632</v>
      </c>
      <c r="AN139" s="122">
        <v>28</v>
      </c>
      <c r="AO139" s="122">
        <v>17</v>
      </c>
      <c r="AP139" s="122">
        <v>11</v>
      </c>
      <c r="AQ139" s="122" t="s">
        <v>803</v>
      </c>
      <c r="AR139" s="122" t="s">
        <v>803</v>
      </c>
      <c r="AS139" s="122" t="s">
        <v>3633</v>
      </c>
      <c r="AT139" s="122" t="s">
        <v>24</v>
      </c>
      <c r="AU139" s="122" t="s">
        <v>3633</v>
      </c>
      <c r="AV139" s="122" t="s">
        <v>24</v>
      </c>
      <c r="AW139" s="122" t="s">
        <v>2963</v>
      </c>
      <c r="AX139" s="122"/>
      <c r="AY139" s="122"/>
      <c r="AZ139" s="754" t="s">
        <v>1487</v>
      </c>
      <c r="BA139" s="122">
        <v>1</v>
      </c>
      <c r="BB139" s="122">
        <v>1</v>
      </c>
      <c r="BC139" s="122" t="s">
        <v>7542</v>
      </c>
      <c r="BD139" s="754" t="s">
        <v>7523</v>
      </c>
      <c r="BE139" s="754"/>
      <c r="BF139" s="122" t="s">
        <v>2730</v>
      </c>
      <c r="BG139" s="122" t="s">
        <v>2798</v>
      </c>
      <c r="BH139" s="588"/>
      <c r="BI139" s="588"/>
      <c r="BJ139" s="161">
        <v>1</v>
      </c>
      <c r="BK139" s="161"/>
      <c r="BL139" s="161"/>
      <c r="BM139" s="161"/>
      <c r="BN139" s="161"/>
      <c r="BO139" s="161"/>
      <c r="BP139" s="161"/>
      <c r="BQ139" s="161"/>
      <c r="BR139" s="161"/>
      <c r="BS139" s="161"/>
      <c r="BT139" s="161"/>
      <c r="BU139" s="161"/>
      <c r="BV139" s="161"/>
      <c r="BW139" s="596" t="s">
        <v>7370</v>
      </c>
      <c r="BX139" s="157" t="s">
        <v>6603</v>
      </c>
      <c r="BY139" s="797" t="s">
        <v>7615</v>
      </c>
      <c r="BZ139" s="789" t="s">
        <v>7609</v>
      </c>
      <c r="CA139" s="765">
        <v>4</v>
      </c>
      <c r="CB139" s="765" t="s">
        <v>7556</v>
      </c>
      <c r="CC139" s="765" t="s">
        <v>7384</v>
      </c>
      <c r="CD139" s="150" t="s">
        <v>1876</v>
      </c>
      <c r="CE139" s="150">
        <v>2</v>
      </c>
      <c r="CF139" s="400"/>
      <c r="CG139" s="150" t="s">
        <v>3639</v>
      </c>
      <c r="CH139" s="753" t="s">
        <v>1488</v>
      </c>
      <c r="CI139" s="150" t="s">
        <v>3656</v>
      </c>
      <c r="CJ139" s="150"/>
      <c r="CK139" s="145" t="s">
        <v>3640</v>
      </c>
      <c r="CL139" s="134" t="s">
        <v>6640</v>
      </c>
      <c r="CM139" s="258" t="s">
        <v>3653</v>
      </c>
      <c r="CN139" s="257" t="s">
        <v>24</v>
      </c>
      <c r="CO139" s="829">
        <v>78</v>
      </c>
      <c r="CP139" s="829">
        <v>1</v>
      </c>
      <c r="CQ139" s="829">
        <v>2</v>
      </c>
      <c r="CR139" s="829">
        <v>1</v>
      </c>
      <c r="CS139" s="829">
        <v>-1</v>
      </c>
      <c r="CT139" s="968"/>
      <c r="CU139" s="1289" t="s">
        <v>8104</v>
      </c>
      <c r="CV139" s="1295">
        <v>128</v>
      </c>
      <c r="CW139" s="1295">
        <v>117</v>
      </c>
      <c r="CX139" s="151" t="s">
        <v>3643</v>
      </c>
      <c r="CY139" s="150">
        <v>18.100000000000001</v>
      </c>
      <c r="CZ139" s="150">
        <v>4.5999999999999996</v>
      </c>
      <c r="DA139" s="150" t="s">
        <v>24</v>
      </c>
      <c r="DB139" s="151" t="s">
        <v>3646</v>
      </c>
      <c r="DC139" s="150">
        <v>6</v>
      </c>
      <c r="DD139" s="228">
        <v>2</v>
      </c>
      <c r="DE139" s="150" t="s">
        <v>24</v>
      </c>
      <c r="DF139" s="549" t="s">
        <v>3651</v>
      </c>
      <c r="DG139" s="551" t="s">
        <v>3652</v>
      </c>
      <c r="DH139" s="1178"/>
      <c r="DI139" s="500"/>
      <c r="DJ139" s="1164"/>
      <c r="DK139" s="500"/>
      <c r="DL139" s="1166"/>
      <c r="DM139" s="500"/>
      <c r="DN139" s="1164"/>
      <c r="DO139" s="1150"/>
      <c r="DP139" s="290"/>
      <c r="DQ139" s="388"/>
      <c r="DR139" s="1168"/>
      <c r="DS139" s="865"/>
      <c r="DT139" s="1156"/>
      <c r="DU139" s="689"/>
      <c r="DV139" s="689"/>
      <c r="DW139" s="689"/>
      <c r="DX139" s="689"/>
      <c r="DY139" s="122"/>
      <c r="DZ139" s="1164"/>
      <c r="EA139" s="122"/>
      <c r="EB139" s="311"/>
      <c r="EC139" s="313"/>
      <c r="ED139" s="1164"/>
      <c r="EE139" s="1164"/>
      <c r="EF139" s="1164"/>
      <c r="EG139" s="1164"/>
      <c r="EH139" s="1164"/>
      <c r="EI139" s="1164"/>
      <c r="EJ139" s="1164"/>
      <c r="EK139" s="1164"/>
      <c r="EL139" s="311"/>
      <c r="EM139" s="313"/>
      <c r="EN139" s="1167"/>
      <c r="EO139" s="1165"/>
      <c r="EP139" s="500"/>
      <c r="EQ139" s="500"/>
      <c r="ER139" s="500"/>
      <c r="ES139" s="500"/>
      <c r="ET139" s="1153"/>
      <c r="EU139" s="1164"/>
      <c r="EV139" s="1164"/>
      <c r="EW139" s="1164"/>
      <c r="EX139" s="313"/>
      <c r="EY139" s="313"/>
      <c r="EZ139" s="1166"/>
      <c r="FA139" s="1164"/>
      <c r="FB139" s="1164"/>
      <c r="FC139" s="1164"/>
      <c r="FD139" s="1166"/>
      <c r="FE139" s="1164"/>
      <c r="FF139" s="1164"/>
      <c r="FG139" s="1164"/>
      <c r="FH139" s="313"/>
      <c r="FI139" s="313"/>
      <c r="FJ139" s="1165"/>
    </row>
    <row r="140" spans="1:166" ht="15" customHeight="1">
      <c r="A140" s="79" t="s">
        <v>947</v>
      </c>
      <c r="B140" s="362">
        <v>52</v>
      </c>
      <c r="C140" s="362"/>
      <c r="D140" s="362"/>
      <c r="E140" s="604" t="s">
        <v>2128</v>
      </c>
      <c r="F140" s="124" t="s">
        <v>2392</v>
      </c>
      <c r="G140" s="125">
        <v>2008</v>
      </c>
      <c r="H140" s="79">
        <v>17957211</v>
      </c>
      <c r="I140" s="79">
        <v>1</v>
      </c>
      <c r="J140" s="126">
        <v>1</v>
      </c>
      <c r="K140" s="127"/>
      <c r="L140" s="79">
        <v>1</v>
      </c>
      <c r="M140" s="79"/>
      <c r="N140" s="153">
        <v>1</v>
      </c>
      <c r="O140" s="128">
        <v>2</v>
      </c>
      <c r="P140" s="79" t="s">
        <v>1220</v>
      </c>
      <c r="Q140" s="79" t="s">
        <v>1216</v>
      </c>
      <c r="R140" s="79" t="s">
        <v>1127</v>
      </c>
      <c r="S140" s="79"/>
      <c r="T140" s="79" t="s">
        <v>1487</v>
      </c>
      <c r="U140" s="79" t="s">
        <v>803</v>
      </c>
      <c r="V140" s="79"/>
      <c r="W140" s="79" t="s">
        <v>1501</v>
      </c>
      <c r="X140" s="79" t="s">
        <v>1636</v>
      </c>
      <c r="Y140" s="79"/>
      <c r="Z140" s="79"/>
      <c r="AA140" s="79" t="s">
        <v>1549</v>
      </c>
      <c r="AB140" s="79"/>
      <c r="AC140" s="506"/>
      <c r="AD140" s="573">
        <v>1</v>
      </c>
      <c r="AE140" s="573">
        <v>2</v>
      </c>
      <c r="AF140" s="154">
        <v>1</v>
      </c>
      <c r="AG140" s="155"/>
      <c r="AH140" s="704"/>
      <c r="AI140" s="121">
        <v>4</v>
      </c>
      <c r="AJ140" s="484"/>
      <c r="AK140" s="202" t="s">
        <v>3699</v>
      </c>
      <c r="AL140" s="192">
        <v>0</v>
      </c>
      <c r="AM140" s="203"/>
      <c r="AN140" s="121">
        <v>20</v>
      </c>
      <c r="AO140" s="121">
        <v>10</v>
      </c>
      <c r="AP140" s="121">
        <v>10</v>
      </c>
      <c r="AQ140" s="121" t="s">
        <v>803</v>
      </c>
      <c r="AR140" s="121" t="s">
        <v>803</v>
      </c>
      <c r="AS140" s="121" t="s">
        <v>7493</v>
      </c>
      <c r="AT140" s="121" t="s">
        <v>24</v>
      </c>
      <c r="AU140" s="121" t="s">
        <v>7485</v>
      </c>
      <c r="AV140" s="121" t="s">
        <v>24</v>
      </c>
      <c r="AW140" s="121" t="s">
        <v>2963</v>
      </c>
      <c r="AX140" s="121"/>
      <c r="AY140" s="121"/>
      <c r="AZ140" s="754" t="s">
        <v>1487</v>
      </c>
      <c r="BA140" s="121">
        <v>1</v>
      </c>
      <c r="BB140" s="121">
        <v>1</v>
      </c>
      <c r="BC140" s="121" t="s">
        <v>7549</v>
      </c>
      <c r="BD140" s="754" t="s">
        <v>7523</v>
      </c>
      <c r="BE140" s="754"/>
      <c r="BF140" s="121" t="s">
        <v>1130</v>
      </c>
      <c r="BG140" s="121" t="s">
        <v>2798</v>
      </c>
      <c r="BH140" s="594"/>
      <c r="BI140" s="594"/>
      <c r="BJ140" s="156">
        <v>1</v>
      </c>
      <c r="BK140" s="156"/>
      <c r="BL140" s="156"/>
      <c r="BM140" s="156"/>
      <c r="BN140" s="156"/>
      <c r="BO140" s="156"/>
      <c r="BP140" s="156"/>
      <c r="BQ140" s="156"/>
      <c r="BR140" s="156"/>
      <c r="BS140" s="156"/>
      <c r="BT140" s="156"/>
      <c r="BU140" s="156"/>
      <c r="BV140" s="156"/>
      <c r="BW140" s="595" t="s">
        <v>3402</v>
      </c>
      <c r="BX140" s="157" t="s">
        <v>6603</v>
      </c>
      <c r="BY140" s="797" t="s">
        <v>7615</v>
      </c>
      <c r="BZ140" s="789" t="s">
        <v>7609</v>
      </c>
      <c r="CA140" s="765">
        <v>4</v>
      </c>
      <c r="CB140" s="765" t="s">
        <v>7556</v>
      </c>
      <c r="CC140" s="765" t="s">
        <v>7384</v>
      </c>
      <c r="CD140" s="134" t="s">
        <v>1876</v>
      </c>
      <c r="CE140" s="134">
        <v>2</v>
      </c>
      <c r="CF140" s="400" t="s">
        <v>7604</v>
      </c>
      <c r="CG140" s="134" t="s">
        <v>3700</v>
      </c>
      <c r="CH140" s="753" t="s">
        <v>1488</v>
      </c>
      <c r="CI140" s="134" t="s">
        <v>3514</v>
      </c>
      <c r="CJ140" s="134"/>
      <c r="CK140" s="134" t="s">
        <v>3224</v>
      </c>
      <c r="CL140" s="134" t="s">
        <v>6640</v>
      </c>
      <c r="CM140" s="259" t="s">
        <v>3716</v>
      </c>
      <c r="CN140" s="454" t="s">
        <v>6636</v>
      </c>
      <c r="CO140" s="828">
        <v>87</v>
      </c>
      <c r="CP140" s="828">
        <v>1</v>
      </c>
      <c r="CQ140" s="828">
        <v>1</v>
      </c>
      <c r="CR140" s="828">
        <v>1</v>
      </c>
      <c r="CS140" s="828">
        <v>-1</v>
      </c>
      <c r="CT140" s="967"/>
      <c r="CU140" s="1289" t="s">
        <v>8104</v>
      </c>
      <c r="CV140" s="1295">
        <v>137</v>
      </c>
      <c r="CW140" s="1295">
        <v>128</v>
      </c>
      <c r="CX140" s="138" t="s">
        <v>3701</v>
      </c>
      <c r="CY140" s="134">
        <v>78.253299999999996</v>
      </c>
      <c r="CZ140" s="134" t="s">
        <v>24</v>
      </c>
      <c r="DA140" s="134">
        <f>83.3222-Table66[[#This Row],[Data_Outcome1_M]]</f>
        <v>5.0688999999999993</v>
      </c>
      <c r="DB140" s="138" t="s">
        <v>3702</v>
      </c>
      <c r="DC140" s="134">
        <v>68.776799999999994</v>
      </c>
      <c r="DD140" s="134" t="s">
        <v>24</v>
      </c>
      <c r="DE140" s="134">
        <f>72.9646-Table66[[#This Row],[Data_Outcome2_M]]</f>
        <v>4.18780000000001</v>
      </c>
      <c r="DF140" s="549" t="s">
        <v>3711</v>
      </c>
      <c r="DG140" s="551" t="s">
        <v>3717</v>
      </c>
      <c r="DH140" s="1169"/>
      <c r="DI140" s="1169"/>
      <c r="DJ140" s="1169"/>
      <c r="DK140" s="1169"/>
      <c r="DL140" s="1169"/>
      <c r="DM140" s="1169"/>
      <c r="DN140" s="1169"/>
      <c r="DO140" s="1169"/>
      <c r="DP140" s="435"/>
      <c r="DQ140" s="437"/>
      <c r="DR140" s="280"/>
      <c r="DS140" s="865"/>
      <c r="DT140" s="1154"/>
      <c r="DU140" s="448"/>
      <c r="DV140" s="448"/>
      <c r="DW140" s="448"/>
      <c r="DX140" s="448"/>
      <c r="DY140" s="1169"/>
      <c r="DZ140" s="1169"/>
      <c r="EA140" s="1169"/>
      <c r="EB140" s="304"/>
      <c r="EC140" s="312"/>
      <c r="ED140" s="1169"/>
      <c r="EE140" s="1169"/>
      <c r="EF140" s="1169"/>
      <c r="EG140" s="1169"/>
      <c r="EH140" s="1169"/>
      <c r="EI140" s="1169"/>
      <c r="EJ140" s="1169"/>
      <c r="EK140" s="1169"/>
      <c r="EL140" s="304"/>
      <c r="EM140" s="312"/>
      <c r="EN140" s="309"/>
      <c r="EO140" s="1170"/>
      <c r="EP140" s="417"/>
      <c r="EQ140" s="417"/>
      <c r="ER140" s="417"/>
      <c r="ES140" s="417"/>
      <c r="ET140" s="417"/>
      <c r="EU140" s="1169"/>
      <c r="EV140" s="1169"/>
      <c r="EW140" s="1169"/>
      <c r="EX140" s="312"/>
      <c r="EY140" s="312"/>
      <c r="EZ140" s="1171"/>
      <c r="FA140" s="1169"/>
      <c r="FB140" s="1169"/>
      <c r="FC140" s="1169"/>
      <c r="FD140" s="1171"/>
      <c r="FE140" s="1169"/>
      <c r="FF140" s="1169"/>
      <c r="FG140" s="1169"/>
      <c r="FH140" s="312"/>
      <c r="FI140" s="312"/>
      <c r="FJ140" s="1170"/>
    </row>
    <row r="141" spans="1:166" ht="15" customHeight="1">
      <c r="A141" s="79" t="s">
        <v>947</v>
      </c>
      <c r="B141" s="362">
        <v>52</v>
      </c>
      <c r="C141" s="362"/>
      <c r="D141" s="362"/>
      <c r="E141" s="604" t="s">
        <v>2128</v>
      </c>
      <c r="F141" s="124" t="s">
        <v>2392</v>
      </c>
      <c r="G141" s="125">
        <v>2008</v>
      </c>
      <c r="H141" s="79">
        <v>17957211</v>
      </c>
      <c r="I141" s="79">
        <v>1</v>
      </c>
      <c r="J141" s="126">
        <v>1</v>
      </c>
      <c r="K141" s="127"/>
      <c r="L141" s="79">
        <v>1</v>
      </c>
      <c r="M141" s="79"/>
      <c r="N141" s="153">
        <v>1</v>
      </c>
      <c r="O141" s="128">
        <v>2</v>
      </c>
      <c r="P141" s="79" t="s">
        <v>1220</v>
      </c>
      <c r="Q141" s="79" t="s">
        <v>1216</v>
      </c>
      <c r="R141" s="79" t="s">
        <v>1127</v>
      </c>
      <c r="S141" s="79"/>
      <c r="T141" s="79" t="s">
        <v>1487</v>
      </c>
      <c r="U141" s="79" t="s">
        <v>803</v>
      </c>
      <c r="V141" s="79"/>
      <c r="W141" s="79" t="s">
        <v>1501</v>
      </c>
      <c r="X141" s="79" t="s">
        <v>1636</v>
      </c>
      <c r="Y141" s="79"/>
      <c r="Z141" s="79"/>
      <c r="AA141" s="79" t="s">
        <v>1549</v>
      </c>
      <c r="AB141" s="79"/>
      <c r="AC141" s="506"/>
      <c r="AD141" s="573">
        <v>1</v>
      </c>
      <c r="AE141" s="573">
        <v>2</v>
      </c>
      <c r="AF141" s="154">
        <v>1</v>
      </c>
      <c r="AG141" s="155"/>
      <c r="AH141" s="704"/>
      <c r="AI141" s="121">
        <v>4</v>
      </c>
      <c r="AJ141" s="484"/>
      <c r="AK141" s="202" t="s">
        <v>3699</v>
      </c>
      <c r="AL141" s="192">
        <v>0</v>
      </c>
      <c r="AM141" s="203"/>
      <c r="AN141" s="121">
        <v>20</v>
      </c>
      <c r="AO141" s="121">
        <v>10</v>
      </c>
      <c r="AP141" s="121">
        <v>10</v>
      </c>
      <c r="AQ141" s="121" t="s">
        <v>803</v>
      </c>
      <c r="AR141" s="121" t="s">
        <v>803</v>
      </c>
      <c r="AS141" s="121" t="s">
        <v>7493</v>
      </c>
      <c r="AT141" s="121" t="s">
        <v>24</v>
      </c>
      <c r="AU141" s="121" t="s">
        <v>7485</v>
      </c>
      <c r="AV141" s="121" t="s">
        <v>24</v>
      </c>
      <c r="AW141" s="121" t="s">
        <v>2963</v>
      </c>
      <c r="AX141" s="121"/>
      <c r="AY141" s="121"/>
      <c r="AZ141" s="754" t="s">
        <v>1487</v>
      </c>
      <c r="BA141" s="121">
        <v>1</v>
      </c>
      <c r="BB141" s="121">
        <v>1</v>
      </c>
      <c r="BC141" s="121" t="s">
        <v>7549</v>
      </c>
      <c r="BD141" s="754" t="s">
        <v>7523</v>
      </c>
      <c r="BE141" s="754"/>
      <c r="BF141" s="121" t="s">
        <v>1130</v>
      </c>
      <c r="BG141" s="121" t="s">
        <v>2798</v>
      </c>
      <c r="BH141" s="594"/>
      <c r="BI141" s="594"/>
      <c r="BJ141" s="156">
        <v>1</v>
      </c>
      <c r="BK141" s="156"/>
      <c r="BL141" s="156"/>
      <c r="BM141" s="156"/>
      <c r="BN141" s="156"/>
      <c r="BO141" s="156"/>
      <c r="BP141" s="156"/>
      <c r="BQ141" s="156"/>
      <c r="BR141" s="156"/>
      <c r="BS141" s="156"/>
      <c r="BT141" s="156"/>
      <c r="BU141" s="156"/>
      <c r="BV141" s="156"/>
      <c r="BW141" s="595" t="s">
        <v>3402</v>
      </c>
      <c r="BX141" s="157" t="s">
        <v>6603</v>
      </c>
      <c r="BY141" s="797" t="s">
        <v>7615</v>
      </c>
      <c r="BZ141" s="789" t="s">
        <v>7609</v>
      </c>
      <c r="CA141" s="765">
        <v>4</v>
      </c>
      <c r="CB141" s="765" t="s">
        <v>7556</v>
      </c>
      <c r="CC141" s="765" t="s">
        <v>7384</v>
      </c>
      <c r="CD141" s="134" t="s">
        <v>1876</v>
      </c>
      <c r="CE141" s="134">
        <v>2</v>
      </c>
      <c r="CF141" s="400" t="s">
        <v>7604</v>
      </c>
      <c r="CG141" s="134" t="s">
        <v>3700</v>
      </c>
      <c r="CH141" s="753" t="s">
        <v>1488</v>
      </c>
      <c r="CI141" s="134" t="s">
        <v>3514</v>
      </c>
      <c r="CJ141" s="134"/>
      <c r="CK141" s="134" t="s">
        <v>3224</v>
      </c>
      <c r="CL141" s="134" t="s">
        <v>6640</v>
      </c>
      <c r="CM141" s="259" t="s">
        <v>3716</v>
      </c>
      <c r="CN141" s="454" t="s">
        <v>6636</v>
      </c>
      <c r="CO141" s="828">
        <v>87</v>
      </c>
      <c r="CP141" s="828">
        <v>1</v>
      </c>
      <c r="CQ141" s="828">
        <v>2</v>
      </c>
      <c r="CR141" s="828">
        <v>1</v>
      </c>
      <c r="CS141" s="828">
        <v>-1</v>
      </c>
      <c r="CT141" s="967"/>
      <c r="CU141" s="1289" t="s">
        <v>8104</v>
      </c>
      <c r="CV141" s="1295">
        <v>137</v>
      </c>
      <c r="CW141" s="1295">
        <v>128</v>
      </c>
      <c r="CX141" s="138" t="s">
        <v>3703</v>
      </c>
      <c r="CY141" s="134">
        <v>57.459899999999998</v>
      </c>
      <c r="CZ141" s="134" t="s">
        <v>24</v>
      </c>
      <c r="DA141" s="134">
        <f>62.3083-Table66[[#This Row],[Data_Outcome1_M]]</f>
        <v>4.8484000000000052</v>
      </c>
      <c r="DB141" s="138" t="s">
        <v>3704</v>
      </c>
      <c r="DC141" s="134">
        <v>33.988999999999997</v>
      </c>
      <c r="DD141" s="134" t="s">
        <v>24</v>
      </c>
      <c r="DE141" s="134">
        <f>40.3802-Table66[[#This Row],[Data_Outcome2_M]]</f>
        <v>6.3912000000000049</v>
      </c>
      <c r="DF141" s="288" t="s">
        <v>3712</v>
      </c>
      <c r="DG141" s="289" t="s">
        <v>3718</v>
      </c>
      <c r="DH141" s="1175"/>
      <c r="DI141" s="417"/>
      <c r="DJ141" s="1169"/>
      <c r="DK141" s="417"/>
      <c r="DL141" s="1171"/>
      <c r="DM141" s="417"/>
      <c r="DN141" s="1169"/>
      <c r="DO141" s="1151"/>
      <c r="DP141" s="288"/>
      <c r="DQ141" s="441"/>
      <c r="DR141" s="280"/>
      <c r="DS141" s="865"/>
      <c r="DT141" s="1174"/>
      <c r="DU141" s="424"/>
      <c r="DV141" s="1174"/>
      <c r="DW141" s="424"/>
      <c r="DX141" s="1174"/>
      <c r="DY141" s="121"/>
      <c r="DZ141" s="1169"/>
      <c r="EA141" s="121"/>
      <c r="EB141" s="304"/>
      <c r="EC141" s="312"/>
      <c r="ED141" s="1174"/>
      <c r="EE141" s="427"/>
      <c r="EF141" s="1174"/>
      <c r="EG141" s="424"/>
      <c r="EH141" s="1174"/>
      <c r="EI141" s="121"/>
      <c r="EJ141" s="1169"/>
      <c r="EK141" s="121"/>
      <c r="EL141" s="304"/>
      <c r="EM141" s="312"/>
      <c r="EN141" s="309"/>
      <c r="EO141" s="1170"/>
      <c r="EP141" s="427"/>
      <c r="EQ141" s="427"/>
      <c r="ER141" s="644"/>
      <c r="ES141" s="641"/>
      <c r="ET141" s="644"/>
      <c r="EU141" s="417"/>
      <c r="EV141" s="121"/>
      <c r="EW141" s="121"/>
      <c r="EX141" s="301"/>
      <c r="EY141" s="301"/>
      <c r="EZ141" s="1155"/>
      <c r="FA141" s="417"/>
      <c r="FB141" s="417"/>
      <c r="FC141" s="417"/>
      <c r="FD141" s="1155"/>
      <c r="FE141" s="417"/>
      <c r="FF141" s="1169"/>
      <c r="FG141" s="1169"/>
      <c r="FH141" s="312"/>
      <c r="FI141" s="312"/>
      <c r="FJ141" s="1170"/>
    </row>
    <row r="142" spans="1:166" s="229" customFormat="1" ht="15" customHeight="1">
      <c r="A142" s="79" t="s">
        <v>947</v>
      </c>
      <c r="B142" s="362">
        <v>52</v>
      </c>
      <c r="C142" s="362"/>
      <c r="D142" s="362"/>
      <c r="E142" s="604" t="s">
        <v>2128</v>
      </c>
      <c r="F142" s="124" t="s">
        <v>2392</v>
      </c>
      <c r="G142" s="125">
        <v>2008</v>
      </c>
      <c r="H142" s="79">
        <v>17957211</v>
      </c>
      <c r="I142" s="79">
        <v>1</v>
      </c>
      <c r="J142" s="126">
        <v>1</v>
      </c>
      <c r="K142" s="127"/>
      <c r="L142" s="79">
        <v>1</v>
      </c>
      <c r="M142" s="79"/>
      <c r="N142" s="153">
        <v>1</v>
      </c>
      <c r="O142" s="128">
        <v>2</v>
      </c>
      <c r="P142" s="79" t="s">
        <v>1220</v>
      </c>
      <c r="Q142" s="79" t="s">
        <v>1216</v>
      </c>
      <c r="R142" s="79" t="s">
        <v>1127</v>
      </c>
      <c r="S142" s="79"/>
      <c r="T142" s="79" t="s">
        <v>1487</v>
      </c>
      <c r="U142" s="79" t="s">
        <v>803</v>
      </c>
      <c r="V142" s="79"/>
      <c r="W142" s="79" t="s">
        <v>1501</v>
      </c>
      <c r="X142" s="79" t="s">
        <v>1636</v>
      </c>
      <c r="Y142" s="79"/>
      <c r="Z142" s="79"/>
      <c r="AA142" s="79" t="s">
        <v>1549</v>
      </c>
      <c r="AB142" s="79"/>
      <c r="AC142" s="506"/>
      <c r="AD142" s="573">
        <v>1</v>
      </c>
      <c r="AE142" s="573">
        <v>2</v>
      </c>
      <c r="AF142" s="154">
        <v>1</v>
      </c>
      <c r="AG142" s="155"/>
      <c r="AH142" s="704"/>
      <c r="AI142" s="121">
        <v>4</v>
      </c>
      <c r="AJ142" s="484"/>
      <c r="AK142" s="202" t="s">
        <v>3699</v>
      </c>
      <c r="AL142" s="192">
        <v>0</v>
      </c>
      <c r="AM142" s="203"/>
      <c r="AN142" s="121">
        <v>20</v>
      </c>
      <c r="AO142" s="121">
        <v>10</v>
      </c>
      <c r="AP142" s="121">
        <v>10</v>
      </c>
      <c r="AQ142" s="121" t="s">
        <v>803</v>
      </c>
      <c r="AR142" s="121" t="s">
        <v>803</v>
      </c>
      <c r="AS142" s="121" t="s">
        <v>7493</v>
      </c>
      <c r="AT142" s="121" t="s">
        <v>24</v>
      </c>
      <c r="AU142" s="121" t="s">
        <v>7485</v>
      </c>
      <c r="AV142" s="121" t="s">
        <v>24</v>
      </c>
      <c r="AW142" s="121" t="s">
        <v>2963</v>
      </c>
      <c r="AX142" s="121"/>
      <c r="AY142" s="121"/>
      <c r="AZ142" s="754" t="s">
        <v>1487</v>
      </c>
      <c r="BA142" s="121">
        <v>1</v>
      </c>
      <c r="BB142" s="121">
        <v>1</v>
      </c>
      <c r="BC142" s="121" t="s">
        <v>7549</v>
      </c>
      <c r="BD142" s="754" t="s">
        <v>7523</v>
      </c>
      <c r="BE142" s="754"/>
      <c r="BF142" s="121" t="s">
        <v>1130</v>
      </c>
      <c r="BG142" s="121" t="s">
        <v>2798</v>
      </c>
      <c r="BH142" s="594"/>
      <c r="BI142" s="594"/>
      <c r="BJ142" s="156">
        <v>1</v>
      </c>
      <c r="BK142" s="156"/>
      <c r="BL142" s="156"/>
      <c r="BM142" s="156"/>
      <c r="BN142" s="156"/>
      <c r="BO142" s="156"/>
      <c r="BP142" s="156"/>
      <c r="BQ142" s="156"/>
      <c r="BR142" s="156"/>
      <c r="BS142" s="156"/>
      <c r="BT142" s="156"/>
      <c r="BU142" s="156"/>
      <c r="BV142" s="156"/>
      <c r="BW142" s="595" t="s">
        <v>3402</v>
      </c>
      <c r="BX142" s="157" t="s">
        <v>6603</v>
      </c>
      <c r="BY142" s="797" t="s">
        <v>7615</v>
      </c>
      <c r="BZ142" s="789" t="s">
        <v>7609</v>
      </c>
      <c r="CA142" s="765">
        <v>4</v>
      </c>
      <c r="CB142" s="765" t="s">
        <v>7556</v>
      </c>
      <c r="CC142" s="765" t="s">
        <v>7384</v>
      </c>
      <c r="CD142" s="134" t="s">
        <v>1876</v>
      </c>
      <c r="CE142" s="134">
        <v>2</v>
      </c>
      <c r="CF142" s="400" t="s">
        <v>7604</v>
      </c>
      <c r="CG142" s="134" t="s">
        <v>3700</v>
      </c>
      <c r="CH142" s="753" t="s">
        <v>1488</v>
      </c>
      <c r="CI142" s="134" t="s">
        <v>3514</v>
      </c>
      <c r="CJ142" s="134"/>
      <c r="CK142" s="134" t="s">
        <v>3224</v>
      </c>
      <c r="CL142" s="134" t="s">
        <v>6640</v>
      </c>
      <c r="CM142" s="259" t="s">
        <v>3716</v>
      </c>
      <c r="CN142" s="454" t="s">
        <v>6636</v>
      </c>
      <c r="CO142" s="828">
        <v>87</v>
      </c>
      <c r="CP142" s="828">
        <v>1</v>
      </c>
      <c r="CQ142" s="828">
        <v>3</v>
      </c>
      <c r="CR142" s="828">
        <v>1</v>
      </c>
      <c r="CS142" s="828">
        <v>-1</v>
      </c>
      <c r="CT142" s="967"/>
      <c r="CU142" s="1289" t="s">
        <v>8104</v>
      </c>
      <c r="CV142" s="1295">
        <v>137</v>
      </c>
      <c r="CW142" s="1295">
        <v>128</v>
      </c>
      <c r="CX142" s="427" t="s">
        <v>3705</v>
      </c>
      <c r="CY142" s="424">
        <v>53.415999999999997</v>
      </c>
      <c r="CZ142" s="427" t="s">
        <v>24</v>
      </c>
      <c r="DA142" s="424">
        <f>59.9173-Table66[[#This Row],[Data_Outcome1_M]]</f>
        <v>6.5013000000000005</v>
      </c>
      <c r="DB142" s="427" t="s">
        <v>3706</v>
      </c>
      <c r="DC142" s="134">
        <v>22.2315</v>
      </c>
      <c r="DD142" s="134" t="s">
        <v>24</v>
      </c>
      <c r="DE142" s="134">
        <f>27.3004-Table66[[#This Row],[Data_Outcome2_M]]</f>
        <v>5.0688999999999993</v>
      </c>
      <c r="DF142" s="434" t="s">
        <v>3713</v>
      </c>
      <c r="DG142" s="436" t="s">
        <v>3719</v>
      </c>
      <c r="DH142" s="1276"/>
      <c r="DI142" s="121"/>
      <c r="DJ142" s="1169"/>
      <c r="DK142" s="121"/>
      <c r="DL142" s="1171"/>
      <c r="DM142" s="121"/>
      <c r="DN142" s="1169"/>
      <c r="DO142" s="121"/>
      <c r="DP142" s="288"/>
      <c r="DQ142" s="289"/>
      <c r="DR142" s="1168"/>
      <c r="DS142" s="865"/>
      <c r="DT142" s="1174"/>
      <c r="DU142" s="424"/>
      <c r="DV142" s="1174"/>
      <c r="DW142" s="424"/>
      <c r="DX142" s="1174"/>
      <c r="DY142" s="121"/>
      <c r="DZ142" s="1169"/>
      <c r="EA142" s="121"/>
      <c r="EB142" s="304"/>
      <c r="EC142" s="312"/>
      <c r="ED142" s="1174"/>
      <c r="EE142" s="427"/>
      <c r="EF142" s="1174"/>
      <c r="EG142" s="424"/>
      <c r="EH142" s="1174"/>
      <c r="EI142" s="121"/>
      <c r="EJ142" s="1169"/>
      <c r="EK142" s="121"/>
      <c r="EL142" s="304"/>
      <c r="EM142" s="312"/>
      <c r="EN142" s="309"/>
      <c r="EO142" s="1170"/>
      <c r="EP142" s="427"/>
      <c r="EQ142" s="427"/>
      <c r="ER142" s="644"/>
      <c r="ES142" s="641"/>
      <c r="ET142" s="644"/>
      <c r="EU142" s="417"/>
      <c r="EV142" s="121"/>
      <c r="EW142" s="121"/>
      <c r="EX142" s="301"/>
      <c r="EY142" s="301"/>
      <c r="EZ142" s="1155"/>
      <c r="FA142" s="417"/>
      <c r="FB142" s="417"/>
      <c r="FC142" s="417"/>
      <c r="FD142" s="1155"/>
      <c r="FE142" s="417"/>
      <c r="FF142" s="121"/>
      <c r="FG142" s="121"/>
      <c r="FH142" s="301"/>
      <c r="FI142" s="301"/>
      <c r="FJ142" s="1170"/>
    </row>
    <row r="143" spans="1:166" s="229" customFormat="1" ht="15" customHeight="1">
      <c r="A143" s="79" t="s">
        <v>947</v>
      </c>
      <c r="B143" s="362">
        <v>52</v>
      </c>
      <c r="C143" s="362"/>
      <c r="D143" s="362"/>
      <c r="E143" s="604" t="s">
        <v>2128</v>
      </c>
      <c r="F143" s="124" t="s">
        <v>2392</v>
      </c>
      <c r="G143" s="125">
        <v>2008</v>
      </c>
      <c r="H143" s="79">
        <v>17957211</v>
      </c>
      <c r="I143" s="79">
        <v>1</v>
      </c>
      <c r="J143" s="126">
        <v>1</v>
      </c>
      <c r="K143" s="127"/>
      <c r="L143" s="79">
        <v>1</v>
      </c>
      <c r="M143" s="79"/>
      <c r="N143" s="153">
        <v>1</v>
      </c>
      <c r="O143" s="128">
        <v>2</v>
      </c>
      <c r="P143" s="79" t="s">
        <v>1220</v>
      </c>
      <c r="Q143" s="79" t="s">
        <v>1216</v>
      </c>
      <c r="R143" s="79" t="s">
        <v>1127</v>
      </c>
      <c r="S143" s="79"/>
      <c r="T143" s="79" t="s">
        <v>1487</v>
      </c>
      <c r="U143" s="79" t="s">
        <v>803</v>
      </c>
      <c r="V143" s="79"/>
      <c r="W143" s="79" t="s">
        <v>1501</v>
      </c>
      <c r="X143" s="79" t="s">
        <v>1636</v>
      </c>
      <c r="Y143" s="79"/>
      <c r="Z143" s="79"/>
      <c r="AA143" s="79" t="s">
        <v>1549</v>
      </c>
      <c r="AB143" s="79"/>
      <c r="AC143" s="506"/>
      <c r="AD143" s="573">
        <v>1</v>
      </c>
      <c r="AE143" s="573">
        <v>2</v>
      </c>
      <c r="AF143" s="154">
        <v>1</v>
      </c>
      <c r="AG143" s="155"/>
      <c r="AH143" s="704"/>
      <c r="AI143" s="121">
        <v>4</v>
      </c>
      <c r="AJ143" s="484"/>
      <c r="AK143" s="202" t="s">
        <v>3699</v>
      </c>
      <c r="AL143" s="192">
        <v>0</v>
      </c>
      <c r="AM143" s="203"/>
      <c r="AN143" s="121">
        <v>20</v>
      </c>
      <c r="AO143" s="417">
        <v>10</v>
      </c>
      <c r="AP143" s="121">
        <v>10</v>
      </c>
      <c r="AQ143" s="121" t="s">
        <v>803</v>
      </c>
      <c r="AR143" s="121" t="s">
        <v>803</v>
      </c>
      <c r="AS143" s="121" t="s">
        <v>7493</v>
      </c>
      <c r="AT143" s="121" t="s">
        <v>24</v>
      </c>
      <c r="AU143" s="121" t="s">
        <v>7485</v>
      </c>
      <c r="AV143" s="121" t="s">
        <v>24</v>
      </c>
      <c r="AW143" s="121" t="s">
        <v>2963</v>
      </c>
      <c r="AX143" s="121"/>
      <c r="AY143" s="121"/>
      <c r="AZ143" s="754" t="s">
        <v>1487</v>
      </c>
      <c r="BA143" s="121">
        <v>1</v>
      </c>
      <c r="BB143" s="121">
        <v>1</v>
      </c>
      <c r="BC143" s="121" t="s">
        <v>7549</v>
      </c>
      <c r="BD143" s="754" t="s">
        <v>7523</v>
      </c>
      <c r="BE143" s="754"/>
      <c r="BF143" s="121" t="s">
        <v>1130</v>
      </c>
      <c r="BG143" s="121" t="s">
        <v>2798</v>
      </c>
      <c r="BH143" s="594"/>
      <c r="BI143" s="594"/>
      <c r="BJ143" s="156">
        <v>1</v>
      </c>
      <c r="BK143" s="156"/>
      <c r="BL143" s="156"/>
      <c r="BM143" s="156"/>
      <c r="BN143" s="156"/>
      <c r="BO143" s="156"/>
      <c r="BP143" s="156"/>
      <c r="BQ143" s="156"/>
      <c r="BR143" s="156"/>
      <c r="BS143" s="156"/>
      <c r="BT143" s="156"/>
      <c r="BU143" s="156"/>
      <c r="BV143" s="156"/>
      <c r="BW143" s="595" t="s">
        <v>3402</v>
      </c>
      <c r="BX143" s="157" t="s">
        <v>6603</v>
      </c>
      <c r="BY143" s="797" t="s">
        <v>7615</v>
      </c>
      <c r="BZ143" s="789" t="s">
        <v>7609</v>
      </c>
      <c r="CA143" s="765">
        <v>4</v>
      </c>
      <c r="CB143" s="765" t="s">
        <v>7556</v>
      </c>
      <c r="CC143" s="765" t="s">
        <v>7384</v>
      </c>
      <c r="CD143" s="134" t="s">
        <v>1876</v>
      </c>
      <c r="CE143" s="134">
        <v>2</v>
      </c>
      <c r="CF143" s="400" t="s">
        <v>7604</v>
      </c>
      <c r="CG143" s="134" t="s">
        <v>3700</v>
      </c>
      <c r="CH143" s="753" t="s">
        <v>1488</v>
      </c>
      <c r="CI143" s="134" t="s">
        <v>3514</v>
      </c>
      <c r="CJ143" s="134"/>
      <c r="CK143" s="134" t="s">
        <v>3224</v>
      </c>
      <c r="CL143" s="134" t="s">
        <v>6640</v>
      </c>
      <c r="CM143" s="259" t="s">
        <v>3716</v>
      </c>
      <c r="CN143" s="454" t="s">
        <v>6636</v>
      </c>
      <c r="CO143" s="828">
        <v>87</v>
      </c>
      <c r="CP143" s="828">
        <v>1</v>
      </c>
      <c r="CQ143" s="828">
        <v>4</v>
      </c>
      <c r="CR143" s="828">
        <v>1</v>
      </c>
      <c r="CS143" s="828">
        <v>-1</v>
      </c>
      <c r="CT143" s="967"/>
      <c r="CU143" s="1289" t="s">
        <v>8104</v>
      </c>
      <c r="CV143" s="1295">
        <v>137</v>
      </c>
      <c r="CW143" s="1295">
        <v>128</v>
      </c>
      <c r="CX143" s="1808" t="s">
        <v>3707</v>
      </c>
      <c r="CY143" s="427">
        <v>47.1676</v>
      </c>
      <c r="CZ143" s="427" t="s">
        <v>24</v>
      </c>
      <c r="DA143" s="424">
        <f>54.1098-Table66[[#This Row],[Data_Outcome1_M]]</f>
        <v>6.9421999999999997</v>
      </c>
      <c r="DB143" s="427" t="s">
        <v>3708</v>
      </c>
      <c r="DC143" s="190">
        <v>13.8894</v>
      </c>
      <c r="DD143" s="134" t="s">
        <v>24</v>
      </c>
      <c r="DE143" s="190">
        <f>18.6277-Table66[[#This Row],[Data_Outcome2_M]]</f>
        <v>4.7383000000000006</v>
      </c>
      <c r="DF143" s="434" t="s">
        <v>3714</v>
      </c>
      <c r="DG143" s="436" t="s">
        <v>3720</v>
      </c>
      <c r="DH143" s="1175"/>
      <c r="DI143" s="417"/>
      <c r="DJ143" s="1169"/>
      <c r="DK143" s="417"/>
      <c r="DL143" s="1171"/>
      <c r="DM143" s="417"/>
      <c r="DN143" s="1169"/>
      <c r="DO143" s="1151"/>
      <c r="DP143" s="288"/>
      <c r="DQ143" s="441"/>
      <c r="DR143" s="1168"/>
      <c r="DS143" s="865"/>
      <c r="DT143" s="1174"/>
      <c r="DU143" s="641"/>
      <c r="DV143" s="1174"/>
      <c r="DW143" s="641"/>
      <c r="DX143" s="1174"/>
      <c r="DY143" s="1169"/>
      <c r="DZ143" s="1169"/>
      <c r="EA143" s="1169"/>
      <c r="EB143" s="304"/>
      <c r="EC143" s="312"/>
      <c r="ED143" s="1174"/>
      <c r="EE143" s="427"/>
      <c r="EF143" s="1174"/>
      <c r="EG143" s="424"/>
      <c r="EH143" s="1174"/>
      <c r="EI143" s="1169"/>
      <c r="EJ143" s="1169"/>
      <c r="EK143" s="1169"/>
      <c r="EL143" s="304"/>
      <c r="EM143" s="312"/>
      <c r="EN143" s="309"/>
      <c r="EO143" s="1170"/>
      <c r="EP143" s="427"/>
      <c r="EQ143" s="644"/>
      <c r="ER143" s="644"/>
      <c r="ES143" s="641"/>
      <c r="ET143" s="644"/>
      <c r="EU143" s="417"/>
      <c r="EV143" s="1169"/>
      <c r="EW143" s="1169"/>
      <c r="EX143" s="312"/>
      <c r="EY143" s="312"/>
      <c r="EZ143" s="1155"/>
      <c r="FA143" s="417"/>
      <c r="FB143" s="417"/>
      <c r="FC143" s="417"/>
      <c r="FD143" s="1155"/>
      <c r="FE143" s="417"/>
      <c r="FF143" s="1169"/>
      <c r="FG143" s="1169"/>
      <c r="FH143" s="312"/>
      <c r="FI143" s="312"/>
      <c r="FJ143" s="1170"/>
    </row>
    <row r="144" spans="1:166" s="229" customFormat="1" ht="15" customHeight="1">
      <c r="A144" s="79" t="s">
        <v>947</v>
      </c>
      <c r="B144" s="362">
        <v>52</v>
      </c>
      <c r="C144" s="362"/>
      <c r="D144" s="362"/>
      <c r="E144" s="604" t="s">
        <v>2128</v>
      </c>
      <c r="F144" s="124" t="s">
        <v>2392</v>
      </c>
      <c r="G144" s="125">
        <v>2008</v>
      </c>
      <c r="H144" s="79">
        <v>17957211</v>
      </c>
      <c r="I144" s="79">
        <v>1</v>
      </c>
      <c r="J144" s="126">
        <v>1</v>
      </c>
      <c r="K144" s="127"/>
      <c r="L144" s="79">
        <v>1</v>
      </c>
      <c r="M144" s="79"/>
      <c r="N144" s="153">
        <v>1</v>
      </c>
      <c r="O144" s="128">
        <v>2</v>
      </c>
      <c r="P144" s="79" t="s">
        <v>1220</v>
      </c>
      <c r="Q144" s="79" t="s">
        <v>1216</v>
      </c>
      <c r="R144" s="79" t="s">
        <v>1127</v>
      </c>
      <c r="S144" s="79"/>
      <c r="T144" s="79" t="s">
        <v>1487</v>
      </c>
      <c r="U144" s="79" t="s">
        <v>803</v>
      </c>
      <c r="V144" s="79"/>
      <c r="W144" s="79" t="s">
        <v>1501</v>
      </c>
      <c r="X144" s="79" t="s">
        <v>1636</v>
      </c>
      <c r="Y144" s="79"/>
      <c r="Z144" s="79"/>
      <c r="AA144" s="79" t="s">
        <v>1549</v>
      </c>
      <c r="AB144" s="79"/>
      <c r="AC144" s="506"/>
      <c r="AD144" s="573">
        <v>1</v>
      </c>
      <c r="AE144" s="573">
        <v>2</v>
      </c>
      <c r="AF144" s="154">
        <v>1</v>
      </c>
      <c r="AG144" s="155"/>
      <c r="AH144" s="704"/>
      <c r="AI144" s="121">
        <v>4</v>
      </c>
      <c r="AJ144" s="484"/>
      <c r="AK144" s="202" t="s">
        <v>3699</v>
      </c>
      <c r="AL144" s="192">
        <v>0</v>
      </c>
      <c r="AM144" s="203"/>
      <c r="AN144" s="121">
        <v>20</v>
      </c>
      <c r="AO144" s="417">
        <v>10</v>
      </c>
      <c r="AP144" s="121">
        <v>10</v>
      </c>
      <c r="AQ144" s="121" t="s">
        <v>803</v>
      </c>
      <c r="AR144" s="121" t="s">
        <v>803</v>
      </c>
      <c r="AS144" s="121" t="s">
        <v>7493</v>
      </c>
      <c r="AT144" s="121" t="s">
        <v>24</v>
      </c>
      <c r="AU144" s="121" t="s">
        <v>7485</v>
      </c>
      <c r="AV144" s="121" t="s">
        <v>24</v>
      </c>
      <c r="AW144" s="121" t="s">
        <v>2963</v>
      </c>
      <c r="AX144" s="121"/>
      <c r="AY144" s="121"/>
      <c r="AZ144" s="754" t="s">
        <v>1487</v>
      </c>
      <c r="BA144" s="121">
        <v>1</v>
      </c>
      <c r="BB144" s="121">
        <v>1</v>
      </c>
      <c r="BC144" s="121" t="s">
        <v>7549</v>
      </c>
      <c r="BD144" s="754" t="s">
        <v>7523</v>
      </c>
      <c r="BE144" s="754"/>
      <c r="BF144" s="121" t="s">
        <v>1130</v>
      </c>
      <c r="BG144" s="121" t="s">
        <v>2798</v>
      </c>
      <c r="BH144" s="594"/>
      <c r="BI144" s="594"/>
      <c r="BJ144" s="156">
        <v>1</v>
      </c>
      <c r="BK144" s="156"/>
      <c r="BL144" s="156"/>
      <c r="BM144" s="156"/>
      <c r="BN144" s="156"/>
      <c r="BO144" s="156"/>
      <c r="BP144" s="156"/>
      <c r="BQ144" s="156"/>
      <c r="BR144" s="156"/>
      <c r="BS144" s="156"/>
      <c r="BT144" s="156"/>
      <c r="BU144" s="156"/>
      <c r="BV144" s="156"/>
      <c r="BW144" s="595" t="s">
        <v>3402</v>
      </c>
      <c r="BX144" s="157" t="s">
        <v>6603</v>
      </c>
      <c r="BY144" s="797" t="s">
        <v>7615</v>
      </c>
      <c r="BZ144" s="789" t="s">
        <v>7609</v>
      </c>
      <c r="CA144" s="765">
        <v>4</v>
      </c>
      <c r="CB144" s="765" t="s">
        <v>7556</v>
      </c>
      <c r="CC144" s="765" t="s">
        <v>7384</v>
      </c>
      <c r="CD144" s="134" t="s">
        <v>1876</v>
      </c>
      <c r="CE144" s="134">
        <v>2</v>
      </c>
      <c r="CF144" s="400" t="s">
        <v>7604</v>
      </c>
      <c r="CG144" s="134" t="s">
        <v>3700</v>
      </c>
      <c r="CH144" s="753" t="s">
        <v>1488</v>
      </c>
      <c r="CI144" s="134" t="s">
        <v>3514</v>
      </c>
      <c r="CJ144" s="134"/>
      <c r="CK144" s="134" t="s">
        <v>3224</v>
      </c>
      <c r="CL144" s="134" t="s">
        <v>6640</v>
      </c>
      <c r="CM144" s="259" t="s">
        <v>3716</v>
      </c>
      <c r="CN144" s="454" t="s">
        <v>6636</v>
      </c>
      <c r="CO144" s="828">
        <v>87</v>
      </c>
      <c r="CP144" s="828">
        <v>1</v>
      </c>
      <c r="CQ144" s="828">
        <v>5</v>
      </c>
      <c r="CR144" s="828">
        <v>1</v>
      </c>
      <c r="CS144" s="828">
        <v>-1</v>
      </c>
      <c r="CT144" s="967"/>
      <c r="CU144" s="1289" t="s">
        <v>8104</v>
      </c>
      <c r="CV144" s="1295">
        <v>137</v>
      </c>
      <c r="CW144" s="1295">
        <v>128</v>
      </c>
      <c r="CX144" s="1808" t="s">
        <v>3709</v>
      </c>
      <c r="CY144" s="427">
        <v>44.886499999999998</v>
      </c>
      <c r="CZ144" s="427" t="s">
        <v>24</v>
      </c>
      <c r="DA144" s="424">
        <f>52.9307-Table66[[#This Row],[Data_Outcome1_M]]</f>
        <v>8.0442000000000036</v>
      </c>
      <c r="DB144" s="822" t="s">
        <v>3710</v>
      </c>
      <c r="DC144" s="190">
        <v>7.7513399999999999</v>
      </c>
      <c r="DD144" s="134" t="s">
        <v>24</v>
      </c>
      <c r="DE144" s="190">
        <f>10.727-Table66[[#This Row],[Data_Outcome2_M]]</f>
        <v>2.9756600000000004</v>
      </c>
      <c r="DF144" s="436" t="s">
        <v>3715</v>
      </c>
      <c r="DG144" s="436" t="s">
        <v>3721</v>
      </c>
      <c r="DH144" s="1175"/>
      <c r="DI144" s="417"/>
      <c r="DJ144" s="1169"/>
      <c r="DK144" s="417"/>
      <c r="DL144" s="1284"/>
      <c r="DM144" s="1169"/>
      <c r="DN144" s="1169"/>
      <c r="DO144" s="1169"/>
      <c r="DP144" s="288"/>
      <c r="DQ144" s="289"/>
      <c r="DR144" s="1168"/>
      <c r="DS144" s="865"/>
      <c r="DT144" s="1174"/>
      <c r="DU144" s="641"/>
      <c r="DV144" s="1174"/>
      <c r="DW144" s="641"/>
      <c r="DX144" s="1174"/>
      <c r="DY144" s="1169"/>
      <c r="DZ144" s="1169"/>
      <c r="EA144" s="1169"/>
      <c r="EB144" s="304"/>
      <c r="EC144" s="312"/>
      <c r="ED144" s="1174"/>
      <c r="EE144" s="427"/>
      <c r="EF144" s="1174"/>
      <c r="EG144" s="424"/>
      <c r="EH144" s="1174"/>
      <c r="EI144" s="1169"/>
      <c r="EJ144" s="1169"/>
      <c r="EK144" s="1169"/>
      <c r="EL144" s="304"/>
      <c r="EM144" s="312"/>
      <c r="EN144" s="309"/>
      <c r="EO144" s="1170"/>
      <c r="EP144" s="427"/>
      <c r="EQ144" s="644"/>
      <c r="ER144" s="644"/>
      <c r="ES144" s="641"/>
      <c r="ET144" s="644"/>
      <c r="EU144" s="417"/>
      <c r="EV144" s="1169"/>
      <c r="EW144" s="1169"/>
      <c r="EX144" s="312"/>
      <c r="EY144" s="312"/>
      <c r="EZ144" s="1155"/>
      <c r="FA144" s="417"/>
      <c r="FB144" s="417"/>
      <c r="FC144" s="417"/>
      <c r="FD144" s="1155"/>
      <c r="FE144" s="417"/>
      <c r="FF144" s="1169"/>
      <c r="FG144" s="1169"/>
      <c r="FH144" s="312"/>
      <c r="FI144" s="312"/>
      <c r="FJ144" s="1170"/>
    </row>
    <row r="145" spans="1:166" s="229" customFormat="1" ht="15" customHeight="1">
      <c r="A145" s="79" t="s">
        <v>75</v>
      </c>
      <c r="B145" s="614">
        <v>2</v>
      </c>
      <c r="C145" s="614"/>
      <c r="D145" s="614"/>
      <c r="E145" s="604" t="s">
        <v>1919</v>
      </c>
      <c r="F145" s="124" t="s">
        <v>2136</v>
      </c>
      <c r="G145" s="125">
        <v>2015</v>
      </c>
      <c r="H145" s="79">
        <v>25444643</v>
      </c>
      <c r="I145" s="79">
        <v>1</v>
      </c>
      <c r="J145" s="126"/>
      <c r="K145" s="127"/>
      <c r="L145" s="79">
        <v>1</v>
      </c>
      <c r="M145" s="79"/>
      <c r="N145" s="79">
        <v>1</v>
      </c>
      <c r="O145" s="128">
        <v>1</v>
      </c>
      <c r="P145" s="79" t="s">
        <v>11</v>
      </c>
      <c r="Q145" s="79" t="s">
        <v>1142</v>
      </c>
      <c r="R145" s="79" t="s">
        <v>10</v>
      </c>
      <c r="S145" s="79">
        <v>1</v>
      </c>
      <c r="T145" s="79"/>
      <c r="U145" s="79"/>
      <c r="V145" s="79"/>
      <c r="W145" s="79" t="s">
        <v>11</v>
      </c>
      <c r="X145" s="79" t="s">
        <v>12</v>
      </c>
      <c r="Y145" s="79" t="s">
        <v>13</v>
      </c>
      <c r="Z145" s="79"/>
      <c r="AA145" s="79"/>
      <c r="AB145" s="79"/>
      <c r="AC145" s="506"/>
      <c r="AD145" s="573">
        <v>1</v>
      </c>
      <c r="AE145" s="573">
        <v>2</v>
      </c>
      <c r="AF145" s="129">
        <v>1</v>
      </c>
      <c r="AG145" s="130" t="s">
        <v>24</v>
      </c>
      <c r="AH145" s="661">
        <v>0</v>
      </c>
      <c r="AI145" s="136">
        <v>1</v>
      </c>
      <c r="AJ145" s="489"/>
      <c r="AK145" s="198"/>
      <c r="AL145" s="191">
        <v>1</v>
      </c>
      <c r="AM145" s="1595">
        <v>0</v>
      </c>
      <c r="AN145" s="636">
        <v>1014</v>
      </c>
      <c r="AO145" s="636">
        <v>42</v>
      </c>
      <c r="AP145" s="636">
        <v>923</v>
      </c>
      <c r="AQ145" s="26" t="s">
        <v>803</v>
      </c>
      <c r="AR145" s="26" t="s">
        <v>803</v>
      </c>
      <c r="AS145" s="636">
        <v>22.63</v>
      </c>
      <c r="AT145" s="1806">
        <v>4.08</v>
      </c>
      <c r="AU145" s="636">
        <v>22.23</v>
      </c>
      <c r="AV145" s="26">
        <v>2.81</v>
      </c>
      <c r="AW145" s="26" t="s">
        <v>1874</v>
      </c>
      <c r="AX145" s="26"/>
      <c r="AY145" s="26"/>
      <c r="AZ145" s="1594" t="s">
        <v>1874</v>
      </c>
      <c r="BA145" s="26" t="s">
        <v>24</v>
      </c>
      <c r="BB145" s="26" t="s">
        <v>24</v>
      </c>
      <c r="BC145" s="26" t="s">
        <v>2423</v>
      </c>
      <c r="BD145" s="1594" t="s">
        <v>7521</v>
      </c>
      <c r="BE145" s="1623">
        <v>0</v>
      </c>
      <c r="BF145" s="26" t="s">
        <v>2605</v>
      </c>
      <c r="BG145" s="26" t="s">
        <v>1875</v>
      </c>
      <c r="BH145" s="590"/>
      <c r="BI145" s="590"/>
      <c r="BJ145" s="132">
        <v>1</v>
      </c>
      <c r="BK145" s="132"/>
      <c r="BL145" s="132"/>
      <c r="BM145" s="132"/>
      <c r="BN145" s="132"/>
      <c r="BO145" s="132"/>
      <c r="BP145" s="132"/>
      <c r="BQ145" s="132"/>
      <c r="BR145" s="132"/>
      <c r="BS145" s="132"/>
      <c r="BT145" s="132"/>
      <c r="BU145" s="132"/>
      <c r="BV145" s="132"/>
      <c r="BW145" s="591" t="s">
        <v>2528</v>
      </c>
      <c r="BX145" s="133" t="s">
        <v>6596</v>
      </c>
      <c r="BY145" s="796" t="s">
        <v>7615</v>
      </c>
      <c r="BZ145" s="792" t="s">
        <v>7610</v>
      </c>
      <c r="CA145" s="783">
        <v>4</v>
      </c>
      <c r="CB145" s="765" t="s">
        <v>7556</v>
      </c>
      <c r="CC145" s="783" t="s">
        <v>7380</v>
      </c>
      <c r="CD145" s="186" t="s">
        <v>7427</v>
      </c>
      <c r="CE145" s="26">
        <v>4</v>
      </c>
      <c r="CF145" s="785"/>
      <c r="CG145" s="636" t="s">
        <v>7381</v>
      </c>
      <c r="CH145" s="760" t="s">
        <v>1488</v>
      </c>
      <c r="CI145" s="26" t="s">
        <v>24</v>
      </c>
      <c r="CJ145" s="26">
        <v>1</v>
      </c>
      <c r="CK145" s="26" t="s">
        <v>2400</v>
      </c>
      <c r="CL145" s="26" t="s">
        <v>6638</v>
      </c>
      <c r="CM145" s="255" t="s">
        <v>2526</v>
      </c>
      <c r="CN145" s="626" t="s">
        <v>23</v>
      </c>
      <c r="CO145" s="827">
        <v>1</v>
      </c>
      <c r="CP145" s="827">
        <v>1</v>
      </c>
      <c r="CQ145" s="827">
        <v>5</v>
      </c>
      <c r="CR145" s="827">
        <v>1</v>
      </c>
      <c r="CS145" s="827">
        <v>1</v>
      </c>
      <c r="CT145" s="966"/>
      <c r="CU145" s="1288" t="s">
        <v>8103</v>
      </c>
      <c r="CV145" s="1294">
        <v>5</v>
      </c>
      <c r="CW145" s="1294">
        <v>2</v>
      </c>
      <c r="CX145" s="519" t="s">
        <v>2418</v>
      </c>
      <c r="CY145" s="134">
        <v>217.09</v>
      </c>
      <c r="CZ145" s="134">
        <v>29</v>
      </c>
      <c r="DA145" s="134" t="s">
        <v>24</v>
      </c>
      <c r="DB145" s="519" t="s">
        <v>2425</v>
      </c>
      <c r="DC145" s="190">
        <v>214.41</v>
      </c>
      <c r="DD145" s="134">
        <v>7.57</v>
      </c>
      <c r="DE145" s="190" t="s">
        <v>24</v>
      </c>
      <c r="DF145" s="294" t="s">
        <v>7710</v>
      </c>
      <c r="DG145" s="295" t="s">
        <v>7711</v>
      </c>
      <c r="DH145" s="1256"/>
      <c r="DI145" s="417"/>
      <c r="DJ145" s="1169"/>
      <c r="DK145" s="417"/>
      <c r="DL145" s="1230"/>
      <c r="DM145" s="417"/>
      <c r="DN145" s="1169"/>
      <c r="DO145" s="1151"/>
      <c r="DP145" s="288"/>
      <c r="DQ145" s="441"/>
      <c r="DR145" s="1168"/>
      <c r="DS145" s="865"/>
      <c r="DT145" s="1171"/>
      <c r="DU145" s="417"/>
      <c r="DV145" s="1169"/>
      <c r="DW145" s="417"/>
      <c r="DX145" s="1169"/>
      <c r="DY145" s="417"/>
      <c r="DZ145" s="1169"/>
      <c r="EA145" s="417"/>
      <c r="EB145" s="304"/>
      <c r="EC145" s="312"/>
      <c r="ED145" s="1169"/>
      <c r="EE145" s="417"/>
      <c r="EF145" s="1169"/>
      <c r="EG145" s="417"/>
      <c r="EH145" s="1169"/>
      <c r="EI145" s="417"/>
      <c r="EJ145" s="1169"/>
      <c r="EK145" s="417"/>
      <c r="EL145" s="304"/>
      <c r="EM145" s="312"/>
      <c r="EN145" s="276"/>
      <c r="EO145" s="277"/>
      <c r="EP145" s="1169"/>
      <c r="EQ145" s="417"/>
      <c r="ER145" s="417"/>
      <c r="ES145" s="417"/>
      <c r="ET145" s="1155"/>
      <c r="EU145" s="417"/>
      <c r="EV145" s="1169"/>
      <c r="EW145" s="1169"/>
      <c r="EX145" s="312"/>
      <c r="EY145" s="312"/>
      <c r="EZ145" s="1171"/>
      <c r="FA145" s="1169"/>
      <c r="FB145" s="1169"/>
      <c r="FC145" s="1169"/>
      <c r="FD145" s="1171"/>
      <c r="FE145" s="1169"/>
      <c r="FF145" s="1169"/>
      <c r="FG145" s="1169"/>
      <c r="FH145" s="312"/>
      <c r="FI145" s="312"/>
      <c r="FJ145" s="1170"/>
    </row>
    <row r="146" spans="1:166" s="229" customFormat="1" ht="15" customHeight="1">
      <c r="A146" s="79" t="s">
        <v>75</v>
      </c>
      <c r="B146" s="614">
        <v>2</v>
      </c>
      <c r="C146" s="614"/>
      <c r="D146" s="614"/>
      <c r="E146" s="604" t="s">
        <v>1919</v>
      </c>
      <c r="F146" s="124" t="s">
        <v>2136</v>
      </c>
      <c r="G146" s="125">
        <v>2015</v>
      </c>
      <c r="H146" s="79">
        <v>25444643</v>
      </c>
      <c r="I146" s="79">
        <v>1</v>
      </c>
      <c r="J146" s="126"/>
      <c r="K146" s="127"/>
      <c r="L146" s="79">
        <v>1</v>
      </c>
      <c r="M146" s="79"/>
      <c r="N146" s="79">
        <v>1</v>
      </c>
      <c r="O146" s="128">
        <v>1</v>
      </c>
      <c r="P146" s="79" t="s">
        <v>11</v>
      </c>
      <c r="Q146" s="79" t="s">
        <v>1142</v>
      </c>
      <c r="R146" s="79" t="s">
        <v>10</v>
      </c>
      <c r="S146" s="79">
        <v>1</v>
      </c>
      <c r="T146" s="79"/>
      <c r="U146" s="79"/>
      <c r="V146" s="79"/>
      <c r="W146" s="79" t="s">
        <v>11</v>
      </c>
      <c r="X146" s="79" t="s">
        <v>12</v>
      </c>
      <c r="Y146" s="79" t="s">
        <v>13</v>
      </c>
      <c r="Z146" s="79"/>
      <c r="AA146" s="79"/>
      <c r="AB146" s="79"/>
      <c r="AC146" s="506"/>
      <c r="AD146" s="573">
        <v>1</v>
      </c>
      <c r="AE146" s="573">
        <v>2</v>
      </c>
      <c r="AF146" s="129">
        <v>1</v>
      </c>
      <c r="AG146" s="130" t="s">
        <v>24</v>
      </c>
      <c r="AH146" s="661">
        <v>0</v>
      </c>
      <c r="AI146" s="136">
        <v>1</v>
      </c>
      <c r="AJ146" s="489"/>
      <c r="AK146" s="198"/>
      <c r="AL146" s="191">
        <v>1</v>
      </c>
      <c r="AM146" s="1595">
        <v>0</v>
      </c>
      <c r="AN146" s="636">
        <v>1014</v>
      </c>
      <c r="AO146" s="636">
        <v>42</v>
      </c>
      <c r="AP146" s="636">
        <v>923</v>
      </c>
      <c r="AQ146" s="26" t="s">
        <v>803</v>
      </c>
      <c r="AR146" s="26" t="s">
        <v>803</v>
      </c>
      <c r="AS146" s="636">
        <v>22.63</v>
      </c>
      <c r="AT146" s="1806">
        <v>4.08</v>
      </c>
      <c r="AU146" s="636">
        <v>22.23</v>
      </c>
      <c r="AV146" s="26">
        <v>2.81</v>
      </c>
      <c r="AW146" s="26" t="s">
        <v>1874</v>
      </c>
      <c r="AX146" s="26"/>
      <c r="AY146" s="26"/>
      <c r="AZ146" s="1594" t="s">
        <v>1874</v>
      </c>
      <c r="BA146" s="26" t="s">
        <v>24</v>
      </c>
      <c r="BB146" s="26" t="s">
        <v>24</v>
      </c>
      <c r="BC146" s="26" t="s">
        <v>2423</v>
      </c>
      <c r="BD146" s="1594" t="s">
        <v>7521</v>
      </c>
      <c r="BE146" s="1623">
        <v>0</v>
      </c>
      <c r="BF146" s="26" t="s">
        <v>2605</v>
      </c>
      <c r="BG146" s="26" t="s">
        <v>1875</v>
      </c>
      <c r="BH146" s="590"/>
      <c r="BI146" s="590"/>
      <c r="BJ146" s="132">
        <v>1</v>
      </c>
      <c r="BK146" s="132"/>
      <c r="BL146" s="132"/>
      <c r="BM146" s="132"/>
      <c r="BN146" s="132"/>
      <c r="BO146" s="132"/>
      <c r="BP146" s="132"/>
      <c r="BQ146" s="132"/>
      <c r="BR146" s="132"/>
      <c r="BS146" s="132"/>
      <c r="BT146" s="132"/>
      <c r="BU146" s="132"/>
      <c r="BV146" s="132"/>
      <c r="BW146" s="591" t="s">
        <v>2528</v>
      </c>
      <c r="BX146" s="133" t="s">
        <v>6596</v>
      </c>
      <c r="BY146" s="796" t="s">
        <v>7615</v>
      </c>
      <c r="BZ146" s="792" t="s">
        <v>7610</v>
      </c>
      <c r="CA146" s="783">
        <v>4</v>
      </c>
      <c r="CB146" s="765" t="s">
        <v>7556</v>
      </c>
      <c r="CC146" s="783" t="s">
        <v>7380</v>
      </c>
      <c r="CD146" s="186" t="s">
        <v>7427</v>
      </c>
      <c r="CE146" s="26">
        <v>4</v>
      </c>
      <c r="CF146" s="785"/>
      <c r="CG146" s="636" t="s">
        <v>7381</v>
      </c>
      <c r="CH146" s="760" t="s">
        <v>1488</v>
      </c>
      <c r="CI146" s="26" t="s">
        <v>24</v>
      </c>
      <c r="CJ146" s="26">
        <v>1</v>
      </c>
      <c r="CK146" s="26" t="s">
        <v>2400</v>
      </c>
      <c r="CL146" s="26" t="s">
        <v>6638</v>
      </c>
      <c r="CM146" s="255" t="s">
        <v>2526</v>
      </c>
      <c r="CN146" s="626" t="s">
        <v>23</v>
      </c>
      <c r="CO146" s="827">
        <v>1</v>
      </c>
      <c r="CP146" s="827">
        <v>1</v>
      </c>
      <c r="CQ146" s="827">
        <v>6</v>
      </c>
      <c r="CR146" s="827">
        <v>1</v>
      </c>
      <c r="CS146" s="827">
        <v>1</v>
      </c>
      <c r="CT146" s="966"/>
      <c r="CU146" s="1288" t="s">
        <v>8103</v>
      </c>
      <c r="CV146" s="1294">
        <v>5</v>
      </c>
      <c r="CW146" s="1294">
        <v>2</v>
      </c>
      <c r="CX146" s="1809" t="s">
        <v>2420</v>
      </c>
      <c r="CY146" s="134">
        <v>175.19</v>
      </c>
      <c r="CZ146" s="134">
        <v>25.13</v>
      </c>
      <c r="DA146" s="134" t="s">
        <v>24</v>
      </c>
      <c r="DB146" s="1811" t="s">
        <v>2424</v>
      </c>
      <c r="DC146" s="190">
        <v>104.54</v>
      </c>
      <c r="DD146" s="134">
        <v>6.54</v>
      </c>
      <c r="DE146" s="190" t="s">
        <v>24</v>
      </c>
      <c r="DF146" s="1113" t="s">
        <v>2413</v>
      </c>
      <c r="DG146" s="1123" t="s">
        <v>2414</v>
      </c>
      <c r="DH146" s="1179"/>
      <c r="DI146" s="417"/>
      <c r="DJ146" s="1169"/>
      <c r="DK146" s="417"/>
      <c r="DL146" s="419"/>
      <c r="DM146" s="121"/>
      <c r="DN146" s="1169"/>
      <c r="DO146" s="121"/>
      <c r="DP146" s="288"/>
      <c r="DQ146" s="289"/>
      <c r="DR146" s="280"/>
      <c r="DS146" s="865"/>
      <c r="DT146" s="1171"/>
      <c r="DU146" s="417"/>
      <c r="DV146" s="1169"/>
      <c r="DW146" s="417"/>
      <c r="DX146" s="1169"/>
      <c r="DY146" s="121"/>
      <c r="DZ146" s="1169"/>
      <c r="EA146" s="121"/>
      <c r="EB146" s="304"/>
      <c r="EC146" s="312"/>
      <c r="ED146" s="1169"/>
      <c r="EE146" s="121"/>
      <c r="EF146" s="1169"/>
      <c r="EG146" s="121"/>
      <c r="EH146" s="1169"/>
      <c r="EI146" s="121"/>
      <c r="EJ146" s="1169"/>
      <c r="EK146" s="121"/>
      <c r="EL146" s="304"/>
      <c r="EM146" s="312"/>
      <c r="EN146" s="276"/>
      <c r="EO146" s="277"/>
      <c r="EP146" s="1169"/>
      <c r="EQ146" s="417"/>
      <c r="ER146" s="417"/>
      <c r="ES146" s="417"/>
      <c r="ET146" s="1155"/>
      <c r="EU146" s="417"/>
      <c r="EV146" s="1169"/>
      <c r="EW146" s="1169"/>
      <c r="EX146" s="312"/>
      <c r="EY146" s="312"/>
      <c r="EZ146" s="1171"/>
      <c r="FA146" s="1169"/>
      <c r="FB146" s="1169"/>
      <c r="FC146" s="1169"/>
      <c r="FD146" s="1171"/>
      <c r="FE146" s="1169"/>
      <c r="FF146" s="1169"/>
      <c r="FG146" s="1169"/>
      <c r="FH146" s="312"/>
      <c r="FI146" s="312"/>
      <c r="FJ146" s="1170"/>
    </row>
    <row r="147" spans="1:166" s="229" customFormat="1" ht="15" customHeight="1">
      <c r="A147" s="79" t="s">
        <v>1097</v>
      </c>
      <c r="B147" s="768">
        <v>11</v>
      </c>
      <c r="C147" s="768"/>
      <c r="D147" s="768"/>
      <c r="E147" s="608" t="s">
        <v>1935</v>
      </c>
      <c r="F147" s="181" t="s">
        <v>2303</v>
      </c>
      <c r="G147" s="182">
        <v>2015</v>
      </c>
      <c r="H147" s="79">
        <v>25533726</v>
      </c>
      <c r="I147" s="79">
        <v>1</v>
      </c>
      <c r="J147" s="79">
        <v>1</v>
      </c>
      <c r="K147" s="79"/>
      <c r="L147" s="79">
        <v>1</v>
      </c>
      <c r="M147" s="79"/>
      <c r="N147" s="153">
        <v>1</v>
      </c>
      <c r="O147" s="128">
        <v>2</v>
      </c>
      <c r="P147" s="79" t="s">
        <v>1230</v>
      </c>
      <c r="Q147" s="79" t="s">
        <v>1162</v>
      </c>
      <c r="R147" s="79" t="s">
        <v>1127</v>
      </c>
      <c r="S147" s="79"/>
      <c r="T147" s="79" t="s">
        <v>1541</v>
      </c>
      <c r="U147" s="79" t="s">
        <v>23</v>
      </c>
      <c r="V147" s="79" t="s">
        <v>23</v>
      </c>
      <c r="W147" s="79" t="s">
        <v>1501</v>
      </c>
      <c r="X147" s="79" t="s">
        <v>1231</v>
      </c>
      <c r="Y147" s="79" t="s">
        <v>23</v>
      </c>
      <c r="Z147" s="79"/>
      <c r="AA147" s="79"/>
      <c r="AB147" s="79"/>
      <c r="AC147" s="506"/>
      <c r="AD147" s="573">
        <v>1</v>
      </c>
      <c r="AE147" s="573">
        <v>2</v>
      </c>
      <c r="AF147" s="352">
        <v>1</v>
      </c>
      <c r="AG147" s="353" t="s">
        <v>8115</v>
      </c>
      <c r="AH147" s="704">
        <v>0</v>
      </c>
      <c r="AI147" s="346">
        <v>4</v>
      </c>
      <c r="AJ147" s="487"/>
      <c r="AK147" s="459" t="s">
        <v>7443</v>
      </c>
      <c r="AL147" s="348">
        <v>2</v>
      </c>
      <c r="AM147" s="1597" t="s">
        <v>7438</v>
      </c>
      <c r="AN147" s="186">
        <f>Table66[[#This Row],[Data_Subjects_n_ptsd]]+Table66[[#This Row],[Data_Subjects_n_control]]</f>
        <v>20</v>
      </c>
      <c r="AO147" s="186">
        <v>10</v>
      </c>
      <c r="AP147" s="186">
        <v>10</v>
      </c>
      <c r="AQ147" s="186" t="s">
        <v>803</v>
      </c>
      <c r="AR147" s="186" t="s">
        <v>803</v>
      </c>
      <c r="AS147" s="186" t="s">
        <v>2687</v>
      </c>
      <c r="AT147" s="271" t="s">
        <v>24</v>
      </c>
      <c r="AU147" s="186" t="s">
        <v>2687</v>
      </c>
      <c r="AV147" s="186" t="s">
        <v>24</v>
      </c>
      <c r="AW147" s="186" t="s">
        <v>7437</v>
      </c>
      <c r="AX147" s="186">
        <v>15</v>
      </c>
      <c r="AY147" s="186">
        <v>1</v>
      </c>
      <c r="AZ147" s="186" t="s">
        <v>1814</v>
      </c>
      <c r="BA147" s="186">
        <v>1</v>
      </c>
      <c r="BB147" s="186">
        <v>1</v>
      </c>
      <c r="BC147" s="186" t="s">
        <v>7436</v>
      </c>
      <c r="BD147" s="753" t="s">
        <v>7523</v>
      </c>
      <c r="BE147" s="753"/>
      <c r="BF147" s="186" t="s">
        <v>1130</v>
      </c>
      <c r="BG147" s="186" t="s">
        <v>2554</v>
      </c>
      <c r="BH147" s="598"/>
      <c r="BI147" s="598"/>
      <c r="BJ147" s="184">
        <v>1</v>
      </c>
      <c r="BK147" s="184"/>
      <c r="BL147" s="184"/>
      <c r="BM147" s="184"/>
      <c r="BN147" s="184"/>
      <c r="BO147" s="184"/>
      <c r="BP147" s="184"/>
      <c r="BQ147" s="184"/>
      <c r="BR147" s="184"/>
      <c r="BS147" s="184"/>
      <c r="BT147" s="184"/>
      <c r="BU147" s="184"/>
      <c r="BV147" s="184"/>
      <c r="BW147" s="600" t="s">
        <v>7435</v>
      </c>
      <c r="BX147" s="185" t="s">
        <v>6598</v>
      </c>
      <c r="BY147" s="797" t="s">
        <v>7615</v>
      </c>
      <c r="BZ147" s="791" t="s">
        <v>7610</v>
      </c>
      <c r="CA147" s="765">
        <v>4</v>
      </c>
      <c r="CB147" s="765" t="s">
        <v>7556</v>
      </c>
      <c r="CC147" s="765" t="s">
        <v>7384</v>
      </c>
      <c r="CD147" s="186" t="s">
        <v>1876</v>
      </c>
      <c r="CE147" s="186">
        <v>2</v>
      </c>
      <c r="CF147" s="400" t="s">
        <v>7584</v>
      </c>
      <c r="CG147" s="186" t="s">
        <v>7434</v>
      </c>
      <c r="CH147" s="186" t="s">
        <v>1488</v>
      </c>
      <c r="CI147" s="186" t="s">
        <v>7432</v>
      </c>
      <c r="CJ147" s="186">
        <v>1</v>
      </c>
      <c r="CK147" s="186" t="s">
        <v>2659</v>
      </c>
      <c r="CL147" s="186" t="s">
        <v>2659</v>
      </c>
      <c r="CM147" s="261" t="s">
        <v>2709</v>
      </c>
      <c r="CN147" s="620">
        <v>0</v>
      </c>
      <c r="CO147" s="830">
        <v>6</v>
      </c>
      <c r="CP147" s="830">
        <v>1</v>
      </c>
      <c r="CQ147" s="830">
        <v>1</v>
      </c>
      <c r="CR147" s="830">
        <v>1</v>
      </c>
      <c r="CS147" s="830">
        <v>1</v>
      </c>
      <c r="CT147" s="969"/>
      <c r="CU147" s="1289" t="s">
        <v>8104</v>
      </c>
      <c r="CV147" s="1295">
        <v>57</v>
      </c>
      <c r="CW147" s="1295">
        <v>51</v>
      </c>
      <c r="CX147" s="267" t="s">
        <v>7440</v>
      </c>
      <c r="CY147" s="186">
        <v>11.190799999999999</v>
      </c>
      <c r="CZ147" s="186" t="s">
        <v>24</v>
      </c>
      <c r="DA147" s="186">
        <f>14.1404-Table66[[#This Row],[Data_Outcome1_M]]</f>
        <v>2.9496000000000002</v>
      </c>
      <c r="DB147" s="267" t="s">
        <v>7439</v>
      </c>
      <c r="DC147" s="271">
        <v>10.0686</v>
      </c>
      <c r="DD147" s="186" t="s">
        <v>24</v>
      </c>
      <c r="DE147" s="271">
        <f>Table66[[#This Row],[Data_Outcome2_M]]-8.65277</f>
        <v>1.4158299999999997</v>
      </c>
      <c r="DF147" s="549" t="s">
        <v>2707</v>
      </c>
      <c r="DG147" s="551" t="s">
        <v>2480</v>
      </c>
      <c r="DH147" s="1195"/>
      <c r="DI147" s="676"/>
      <c r="DJ147" s="1189"/>
      <c r="DK147" s="676"/>
      <c r="DL147" s="1728"/>
      <c r="DM147" s="346"/>
      <c r="DN147" s="1189"/>
      <c r="DO147" s="346"/>
      <c r="DP147" s="294"/>
      <c r="DQ147" s="295"/>
      <c r="DR147" s="1168"/>
      <c r="DS147" s="865"/>
      <c r="DT147" s="1192"/>
      <c r="DU147" s="676"/>
      <c r="DV147" s="1189"/>
      <c r="DW147" s="676"/>
      <c r="DX147" s="1189"/>
      <c r="DY147" s="1189"/>
      <c r="DZ147" s="1189"/>
      <c r="EA147" s="1189"/>
      <c r="EB147" s="1193"/>
      <c r="EC147" s="1190"/>
      <c r="ED147" s="1189"/>
      <c r="EE147" s="1189"/>
      <c r="EF147" s="1189"/>
      <c r="EG147" s="1189"/>
      <c r="EH147" s="1189"/>
      <c r="EI147" s="1189"/>
      <c r="EJ147" s="1189"/>
      <c r="EK147" s="1189"/>
      <c r="EL147" s="1193"/>
      <c r="EM147" s="1190"/>
      <c r="EN147" s="1168"/>
      <c r="EO147" s="1191"/>
      <c r="EP147" s="1189"/>
      <c r="EQ147" s="676"/>
      <c r="ER147" s="676"/>
      <c r="ES147" s="676"/>
      <c r="ET147" s="1163"/>
      <c r="EU147" s="676"/>
      <c r="EV147" s="1189"/>
      <c r="EW147" s="1189"/>
      <c r="EX147" s="1190"/>
      <c r="EY147" s="1190"/>
      <c r="EZ147" s="1192"/>
      <c r="FA147" s="1189"/>
      <c r="FB147" s="1189"/>
      <c r="FC147" s="1189"/>
      <c r="FD147" s="1192"/>
      <c r="FE147" s="1189"/>
      <c r="FF147" s="1189"/>
      <c r="FG147" s="1189"/>
      <c r="FH147" s="1190"/>
      <c r="FI147" s="1190"/>
      <c r="FJ147" s="1191"/>
    </row>
    <row r="148" spans="1:166" ht="15" hidden="1" customHeight="1">
      <c r="A148" s="158" t="s">
        <v>1070</v>
      </c>
      <c r="B148" s="1094">
        <v>105</v>
      </c>
      <c r="C148" s="1094"/>
      <c r="D148" s="1094">
        <v>33</v>
      </c>
      <c r="E148" s="1095" t="s">
        <v>2068</v>
      </c>
      <c r="F148" s="711" t="s">
        <v>2320</v>
      </c>
      <c r="G148" s="1096">
        <v>2014</v>
      </c>
      <c r="H148" s="158">
        <v>24675061</v>
      </c>
      <c r="I148" s="158">
        <v>1</v>
      </c>
      <c r="J148" s="158"/>
      <c r="K148" s="158"/>
      <c r="L148" s="158">
        <v>1</v>
      </c>
      <c r="M148" s="158"/>
      <c r="N148" s="158">
        <v>1</v>
      </c>
      <c r="O148" s="158">
        <v>2</v>
      </c>
      <c r="P148" s="158" t="s">
        <v>1307</v>
      </c>
      <c r="Q148" s="158" t="s">
        <v>1224</v>
      </c>
      <c r="R148" s="158" t="s">
        <v>1127</v>
      </c>
      <c r="S148" s="158"/>
      <c r="T148" s="158" t="s">
        <v>1498</v>
      </c>
      <c r="U148" s="158"/>
      <c r="V148" s="158"/>
      <c r="W148" s="158" t="s">
        <v>1516</v>
      </c>
      <c r="X148" s="158" t="s">
        <v>1308</v>
      </c>
      <c r="Y148" s="158" t="s">
        <v>1309</v>
      </c>
      <c r="Z148" s="158"/>
      <c r="AA148" s="158"/>
      <c r="AB148" s="158"/>
      <c r="AC148" s="800" t="s">
        <v>6201</v>
      </c>
      <c r="AD148" s="800">
        <v>1</v>
      </c>
      <c r="AE148" s="800">
        <v>1</v>
      </c>
      <c r="AF148" s="743">
        <v>0</v>
      </c>
      <c r="AG148" s="166" t="s">
        <v>7628</v>
      </c>
      <c r="AH148" s="509"/>
      <c r="AI148" s="734">
        <v>4</v>
      </c>
      <c r="AJ148" s="734"/>
      <c r="AK148" s="206" t="s">
        <v>6765</v>
      </c>
      <c r="AL148" s="372">
        <v>2.1</v>
      </c>
      <c r="AM148" s="724">
        <v>0</v>
      </c>
      <c r="AN148" s="734">
        <f>Table66[[#This Row],[Data_Subjects_n_ptsd]]+Table66[[#This Row],[Data_Subjects_n_control]]</f>
        <v>18</v>
      </c>
      <c r="AO148" s="742">
        <v>8</v>
      </c>
      <c r="AP148" s="734">
        <v>10</v>
      </c>
      <c r="AQ148" s="734" t="s">
        <v>803</v>
      </c>
      <c r="AR148" s="734" t="s">
        <v>803</v>
      </c>
      <c r="AS148" s="734" t="s">
        <v>6735</v>
      </c>
      <c r="AT148" s="742" t="s">
        <v>2882</v>
      </c>
      <c r="AU148" s="734" t="s">
        <v>6735</v>
      </c>
      <c r="AV148" s="734" t="s">
        <v>2882</v>
      </c>
      <c r="AW148" s="734" t="s">
        <v>7638</v>
      </c>
      <c r="AX148" s="734" t="s">
        <v>7641</v>
      </c>
      <c r="AY148" s="734">
        <v>8</v>
      </c>
      <c r="AZ148" s="755" t="s">
        <v>7636</v>
      </c>
      <c r="BA148" s="734">
        <v>1</v>
      </c>
      <c r="BB148" s="734">
        <v>1</v>
      </c>
      <c r="BC148" s="120" t="s">
        <v>6740</v>
      </c>
      <c r="BD148" s="755" t="s">
        <v>7523</v>
      </c>
      <c r="BE148" s="755"/>
      <c r="BF148" s="734" t="s">
        <v>1130</v>
      </c>
      <c r="BG148" s="734" t="s">
        <v>6653</v>
      </c>
      <c r="BH148" s="372"/>
      <c r="BI148" s="372"/>
      <c r="BJ148" s="735"/>
      <c r="BK148" s="735"/>
      <c r="BL148" s="735"/>
      <c r="BM148" s="735"/>
      <c r="BN148" s="735"/>
      <c r="BO148" s="735"/>
      <c r="BP148" s="735">
        <v>1</v>
      </c>
      <c r="BQ148" s="735"/>
      <c r="BR148" s="735"/>
      <c r="BS148" s="735"/>
      <c r="BT148" s="735"/>
      <c r="BU148" s="735"/>
      <c r="BV148" s="735"/>
      <c r="BW148" s="735" t="s">
        <v>6764</v>
      </c>
      <c r="BX148" s="736" t="s">
        <v>6763</v>
      </c>
      <c r="BY148" s="799" t="s">
        <v>7614</v>
      </c>
      <c r="BZ148" s="736" t="s">
        <v>7610</v>
      </c>
      <c r="CA148" s="735">
        <v>2</v>
      </c>
      <c r="CB148" s="511" t="s">
        <v>7556</v>
      </c>
      <c r="CC148" s="1724" t="s">
        <v>7384</v>
      </c>
      <c r="CD148" s="734" t="s">
        <v>1876</v>
      </c>
      <c r="CE148" s="734">
        <v>2</v>
      </c>
      <c r="CF148" s="786" t="s">
        <v>7580</v>
      </c>
      <c r="CG148" s="734" t="s">
        <v>6758</v>
      </c>
      <c r="CH148" s="755" t="s">
        <v>1512</v>
      </c>
      <c r="CI148" s="734" t="s">
        <v>6736</v>
      </c>
      <c r="CJ148" s="734"/>
      <c r="CK148" s="734" t="s">
        <v>6761</v>
      </c>
      <c r="CL148" s="734" t="s">
        <v>6639</v>
      </c>
      <c r="CM148" s="737" t="s">
        <v>6783</v>
      </c>
      <c r="CN148" s="738" t="s">
        <v>24</v>
      </c>
      <c r="CO148" s="738"/>
      <c r="CP148" s="738"/>
      <c r="CQ148" s="738"/>
      <c r="CR148" s="738"/>
      <c r="CS148" s="738"/>
      <c r="CT148" s="738"/>
      <c r="CU148" s="738"/>
      <c r="CV148" s="738"/>
      <c r="CW148" s="738"/>
      <c r="CX148" s="736" t="s">
        <v>6748</v>
      </c>
      <c r="CY148" s="734">
        <v>45.078800000000001</v>
      </c>
      <c r="CZ148" s="734" t="s">
        <v>24</v>
      </c>
      <c r="DA148" s="734">
        <f>52.2629-Table66[[#This Row],[Data_Outcome1_M]]</f>
        <v>7.1841000000000008</v>
      </c>
      <c r="DB148" s="736" t="s">
        <v>6749</v>
      </c>
      <c r="DC148" s="734">
        <v>14.756600000000001</v>
      </c>
      <c r="DD148" s="734" t="s">
        <v>24</v>
      </c>
      <c r="DE148" s="734">
        <f>20.3441-Table66[[#This Row],[Data_Outcome2_M]]</f>
        <v>5.5875000000000004</v>
      </c>
      <c r="DF148" s="621" t="s">
        <v>6767</v>
      </c>
      <c r="DG148" s="509" t="s">
        <v>6768</v>
      </c>
      <c r="DH148" s="819" t="s">
        <v>6750</v>
      </c>
      <c r="DI148" s="742">
        <v>41.329500000000003</v>
      </c>
      <c r="DJ148" s="778" t="s">
        <v>24</v>
      </c>
      <c r="DK148" s="742">
        <f>48.7797-Table66[[#This Row],[Data_Outcome3_M]]</f>
        <v>7.4501999999999953</v>
      </c>
      <c r="DL148" s="735" t="s">
        <v>6751</v>
      </c>
      <c r="DM148" s="778">
        <v>14.9984</v>
      </c>
      <c r="DN148" s="778" t="s">
        <v>24</v>
      </c>
      <c r="DO148" s="778">
        <f>18.7234-Table66[[#This Row],[Data_Outcome4_M]]</f>
        <v>3.7250000000000014</v>
      </c>
      <c r="DP148" s="737" t="s">
        <v>6772</v>
      </c>
      <c r="DQ148" s="372" t="s">
        <v>6771</v>
      </c>
      <c r="DR148" s="1182" t="s">
        <v>24</v>
      </c>
      <c r="DS148" s="956" t="s">
        <v>24</v>
      </c>
      <c r="DT148" s="1180" t="s">
        <v>6752</v>
      </c>
      <c r="DU148" s="683">
        <v>28.532800000000002</v>
      </c>
      <c r="DV148" s="384" t="s">
        <v>24</v>
      </c>
      <c r="DW148" s="742">
        <f>36.1159-Table66[[#This Row],[Data_Outcome5_M]]</f>
        <v>7.5831000000000017</v>
      </c>
      <c r="DX148" s="1180" t="s">
        <v>6753</v>
      </c>
      <c r="DY148" s="778">
        <v>12.179399999999999</v>
      </c>
      <c r="DZ148" s="778" t="s">
        <v>24</v>
      </c>
      <c r="EA148" s="778">
        <f>16.3034-Table66[[#This Row],[Data_Outcome6_M]]</f>
        <v>4.1240000000000006</v>
      </c>
      <c r="EB148" s="1181" t="s">
        <v>5823</v>
      </c>
      <c r="EC148" s="778" t="s">
        <v>6770</v>
      </c>
      <c r="ED148" s="1180" t="s">
        <v>6754</v>
      </c>
      <c r="EE148" s="778">
        <v>44.517099999999999</v>
      </c>
      <c r="EF148" s="778" t="s">
        <v>24</v>
      </c>
      <c r="EG148" s="778">
        <f>51.6123-Table66[[#This Row],[Data_Outcome7_M]]</f>
        <v>7.0951999999999984</v>
      </c>
      <c r="EH148" s="1180" t="s">
        <v>6755</v>
      </c>
      <c r="EI148" s="778">
        <v>8.8290100000000002</v>
      </c>
      <c r="EJ148" s="778" t="s">
        <v>24</v>
      </c>
      <c r="EK148" s="778">
        <f>11.3567-Table66[[#This Row],[Data_Outcome8_M]]</f>
        <v>2.5276899999999998</v>
      </c>
      <c r="EL148" s="1181" t="s">
        <v>6772</v>
      </c>
      <c r="EM148" s="778" t="s">
        <v>6773</v>
      </c>
      <c r="EN148" s="1181" t="s">
        <v>24</v>
      </c>
      <c r="EO148" s="778" t="s">
        <v>24</v>
      </c>
      <c r="EP148" s="1180" t="s">
        <v>6756</v>
      </c>
      <c r="EQ148" s="742">
        <v>15.7126</v>
      </c>
      <c r="ER148" s="742" t="s">
        <v>24</v>
      </c>
      <c r="ES148" s="742">
        <f>22.0985-Table66[[#This Row],[Data_Outcome9_M]]</f>
        <v>6.3859000000000012</v>
      </c>
      <c r="ET148" s="823" t="s">
        <v>6757</v>
      </c>
      <c r="EU148" s="742">
        <v>8.1398200000000003</v>
      </c>
      <c r="EV148" s="778" t="s">
        <v>24</v>
      </c>
      <c r="EW148" s="778">
        <f>13.5944-Table66[[#This Row],[Data_Outcome10_M]]</f>
        <v>5.45458</v>
      </c>
      <c r="EX148" s="778" t="s">
        <v>5823</v>
      </c>
      <c r="EY148" s="778" t="s">
        <v>6769</v>
      </c>
      <c r="EZ148" s="1180" t="s">
        <v>24</v>
      </c>
      <c r="FA148" s="778"/>
      <c r="FB148" s="778"/>
      <c r="FC148" s="778"/>
      <c r="FD148" s="1180"/>
      <c r="FE148" s="778"/>
      <c r="FF148" s="778"/>
      <c r="FG148" s="778"/>
      <c r="FH148" s="778"/>
      <c r="FI148" s="778"/>
      <c r="FJ148" s="778"/>
    </row>
    <row r="149" spans="1:166" ht="15" hidden="1" customHeight="1">
      <c r="A149" s="158" t="s">
        <v>1070</v>
      </c>
      <c r="B149" s="1094">
        <v>105</v>
      </c>
      <c r="C149" s="1094"/>
      <c r="D149" s="1094">
        <v>33</v>
      </c>
      <c r="E149" s="1095" t="s">
        <v>2068</v>
      </c>
      <c r="F149" s="711" t="s">
        <v>2320</v>
      </c>
      <c r="G149" s="1096">
        <v>2014</v>
      </c>
      <c r="H149" s="158">
        <v>24675061</v>
      </c>
      <c r="I149" s="158">
        <v>1</v>
      </c>
      <c r="J149" s="158"/>
      <c r="K149" s="158"/>
      <c r="L149" s="158">
        <v>1</v>
      </c>
      <c r="M149" s="158"/>
      <c r="N149" s="158">
        <v>1</v>
      </c>
      <c r="O149" s="158">
        <v>2</v>
      </c>
      <c r="P149" s="158" t="s">
        <v>1307</v>
      </c>
      <c r="Q149" s="158" t="s">
        <v>1224</v>
      </c>
      <c r="R149" s="158" t="s">
        <v>1127</v>
      </c>
      <c r="S149" s="158"/>
      <c r="T149" s="158" t="s">
        <v>1498</v>
      </c>
      <c r="U149" s="158"/>
      <c r="V149" s="158"/>
      <c r="W149" s="158" t="s">
        <v>1516</v>
      </c>
      <c r="X149" s="158" t="s">
        <v>1308</v>
      </c>
      <c r="Y149" s="158" t="s">
        <v>1309</v>
      </c>
      <c r="Z149" s="158"/>
      <c r="AA149" s="158"/>
      <c r="AB149" s="158"/>
      <c r="AC149" s="800" t="s">
        <v>6201</v>
      </c>
      <c r="AD149" s="800">
        <v>1</v>
      </c>
      <c r="AE149" s="800">
        <v>1</v>
      </c>
      <c r="AF149" s="743">
        <v>0</v>
      </c>
      <c r="AG149" s="166" t="s">
        <v>7628</v>
      </c>
      <c r="AH149" s="509"/>
      <c r="AI149" s="734">
        <v>4</v>
      </c>
      <c r="AJ149" s="734"/>
      <c r="AK149" s="206" t="s">
        <v>6765</v>
      </c>
      <c r="AL149" s="372">
        <v>2.1</v>
      </c>
      <c r="AM149" s="724">
        <v>0</v>
      </c>
      <c r="AN149" s="734">
        <f>Table66[[#This Row],[Data_Subjects_n_ptsd]]+Table66[[#This Row],[Data_Subjects_n_control]]</f>
        <v>18</v>
      </c>
      <c r="AO149" s="742">
        <v>8</v>
      </c>
      <c r="AP149" s="734">
        <v>10</v>
      </c>
      <c r="AQ149" s="734" t="s">
        <v>803</v>
      </c>
      <c r="AR149" s="734" t="s">
        <v>803</v>
      </c>
      <c r="AS149" s="734" t="s">
        <v>6735</v>
      </c>
      <c r="AT149" s="742" t="s">
        <v>2882</v>
      </c>
      <c r="AU149" s="734" t="s">
        <v>6735</v>
      </c>
      <c r="AV149" s="734" t="s">
        <v>2882</v>
      </c>
      <c r="AW149" s="734" t="s">
        <v>7638</v>
      </c>
      <c r="AX149" s="734" t="s">
        <v>7641</v>
      </c>
      <c r="AY149" s="734">
        <v>8</v>
      </c>
      <c r="AZ149" s="755" t="s">
        <v>7636</v>
      </c>
      <c r="BA149" s="734">
        <v>1</v>
      </c>
      <c r="BB149" s="734">
        <v>1</v>
      </c>
      <c r="BC149" s="120" t="s">
        <v>6740</v>
      </c>
      <c r="BD149" s="755" t="s">
        <v>7523</v>
      </c>
      <c r="BE149" s="755"/>
      <c r="BF149" s="734" t="s">
        <v>1130</v>
      </c>
      <c r="BG149" s="734" t="s">
        <v>6653</v>
      </c>
      <c r="BH149" s="372"/>
      <c r="BI149" s="372"/>
      <c r="BJ149" s="735"/>
      <c r="BK149" s="735"/>
      <c r="BL149" s="735"/>
      <c r="BM149" s="735"/>
      <c r="BN149" s="735"/>
      <c r="BO149" s="735"/>
      <c r="BP149" s="735">
        <v>1</v>
      </c>
      <c r="BQ149" s="735"/>
      <c r="BR149" s="735"/>
      <c r="BS149" s="735"/>
      <c r="BT149" s="735"/>
      <c r="BU149" s="735"/>
      <c r="BV149" s="735"/>
      <c r="BW149" s="735" t="s">
        <v>3563</v>
      </c>
      <c r="BX149" s="736" t="s">
        <v>6613</v>
      </c>
      <c r="BY149" s="799" t="s">
        <v>7614</v>
      </c>
      <c r="BZ149" s="736" t="s">
        <v>803</v>
      </c>
      <c r="CA149" s="735">
        <v>2</v>
      </c>
      <c r="CB149" s="511" t="s">
        <v>7556</v>
      </c>
      <c r="CC149" s="1724" t="s">
        <v>7384</v>
      </c>
      <c r="CD149" s="734" t="s">
        <v>1876</v>
      </c>
      <c r="CE149" s="734">
        <v>2</v>
      </c>
      <c r="CF149" s="786" t="s">
        <v>7580</v>
      </c>
      <c r="CG149" s="734" t="s">
        <v>6759</v>
      </c>
      <c r="CH149" s="755" t="s">
        <v>1512</v>
      </c>
      <c r="CI149" s="734" t="s">
        <v>6736</v>
      </c>
      <c r="CJ149" s="734"/>
      <c r="CK149" s="734" t="s">
        <v>6760</v>
      </c>
      <c r="CL149" s="734" t="s">
        <v>6762</v>
      </c>
      <c r="CM149" s="737" t="s">
        <v>6790</v>
      </c>
      <c r="CN149" s="738" t="s">
        <v>24</v>
      </c>
      <c r="CO149" s="738"/>
      <c r="CP149" s="738"/>
      <c r="CQ149" s="738"/>
      <c r="CR149" s="738"/>
      <c r="CS149" s="738"/>
      <c r="CT149" s="738"/>
      <c r="CU149" s="738"/>
      <c r="CV149" s="738"/>
      <c r="CW149" s="738"/>
      <c r="CX149" s="736" t="s">
        <v>6766</v>
      </c>
      <c r="CY149" s="742">
        <v>1.29308</v>
      </c>
      <c r="CZ149" s="734" t="s">
        <v>24</v>
      </c>
      <c r="DA149" s="742">
        <f>1.6812-Table66[[#This Row],[Data_Outcome1_M]]</f>
        <v>0.38812000000000002</v>
      </c>
      <c r="DB149" s="736" t="s">
        <v>6774</v>
      </c>
      <c r="DC149" s="734">
        <v>2.3332000000000002</v>
      </c>
      <c r="DD149" s="734" t="s">
        <v>24</v>
      </c>
      <c r="DE149" s="734">
        <f>2.94514-Table66[[#This Row],[Data_Outcome2_M]]</f>
        <v>0.61193999999999971</v>
      </c>
      <c r="DF149" s="515" t="s">
        <v>5823</v>
      </c>
      <c r="DG149" s="513" t="s">
        <v>6784</v>
      </c>
      <c r="DH149" s="1180" t="s">
        <v>6775</v>
      </c>
      <c r="DI149" s="742">
        <v>1.4382900000000001</v>
      </c>
      <c r="DJ149" s="778" t="s">
        <v>24</v>
      </c>
      <c r="DK149" s="742">
        <f>1.81143-Table66[[#This Row],[Data_Outcome3_M]]</f>
        <v>0.37314000000000003</v>
      </c>
      <c r="DL149" s="1180" t="s">
        <v>6776</v>
      </c>
      <c r="DM149" s="778">
        <v>2.7172800000000001</v>
      </c>
      <c r="DN149" s="778" t="s">
        <v>24</v>
      </c>
      <c r="DO149" s="778">
        <f>3.25453-Table66[[#This Row],[Data_Outcome4_M]]</f>
        <v>0.53724999999999978</v>
      </c>
      <c r="DP149" s="737" t="s">
        <v>5823</v>
      </c>
      <c r="DQ149" s="372" t="s">
        <v>6785</v>
      </c>
      <c r="DR149" s="1182" t="s">
        <v>24</v>
      </c>
      <c r="DS149" s="956" t="s">
        <v>24</v>
      </c>
      <c r="DT149" s="1180" t="s">
        <v>6777</v>
      </c>
      <c r="DU149" s="742">
        <v>2.0764800000000001</v>
      </c>
      <c r="DV149" s="778" t="s">
        <v>24</v>
      </c>
      <c r="DW149" s="742">
        <f>2.24072-Table66[[#This Row],[Data_Outcome5_M]]</f>
        <v>0.16423999999999994</v>
      </c>
      <c r="DX149" s="1180" t="s">
        <v>6778</v>
      </c>
      <c r="DY149" s="742">
        <v>3.8331499999999998</v>
      </c>
      <c r="DZ149" s="778" t="s">
        <v>24</v>
      </c>
      <c r="EA149" s="778">
        <f>4.41517-Table66[[#This Row],[Data_Outcome6_M]]</f>
        <v>0.58201999999999998</v>
      </c>
      <c r="EB149" s="778" t="s">
        <v>6789</v>
      </c>
      <c r="EC149" s="778" t="s">
        <v>6786</v>
      </c>
      <c r="ED149" s="1180" t="s">
        <v>6779</v>
      </c>
      <c r="EE149" s="742">
        <v>1.81884</v>
      </c>
      <c r="EF149" s="778" t="s">
        <v>24</v>
      </c>
      <c r="EG149" s="742">
        <f>2.22188-Table66[[#This Row],[Data_Outcome7_M]]</f>
        <v>0.40304000000000006</v>
      </c>
      <c r="EH149" s="1180" t="s">
        <v>6780</v>
      </c>
      <c r="EI149" s="778">
        <v>3.6351399999999998</v>
      </c>
      <c r="EJ149" s="778" t="s">
        <v>24</v>
      </c>
      <c r="EK149" s="778">
        <f>3.91872-Table66[[#This Row],[Data_Outcome8_M]]</f>
        <v>0.28358000000000017</v>
      </c>
      <c r="EL149" s="372" t="s">
        <v>6789</v>
      </c>
      <c r="EM149" s="778" t="s">
        <v>6787</v>
      </c>
      <c r="EN149" s="1181" t="s">
        <v>24</v>
      </c>
      <c r="EO149" s="778" t="s">
        <v>24</v>
      </c>
      <c r="EP149" s="1245" t="s">
        <v>6781</v>
      </c>
      <c r="EQ149" s="1145">
        <v>2.1132399999999998</v>
      </c>
      <c r="ER149" s="1246" t="s">
        <v>24</v>
      </c>
      <c r="ES149" s="1145">
        <f>2.33712-Table66[[#This Row],[Data_Outcome9_M]]</f>
        <v>0.2238800000000003</v>
      </c>
      <c r="ET149" s="1245" t="s">
        <v>6782</v>
      </c>
      <c r="EU149" s="742">
        <v>4.2878100000000003</v>
      </c>
      <c r="EV149" s="778" t="s">
        <v>24</v>
      </c>
      <c r="EW149" s="778">
        <f>4.64596-Table66[[#This Row],[Data_Outcome10_M]]</f>
        <v>0.3581499999999993</v>
      </c>
      <c r="EX149" s="778" t="s">
        <v>6789</v>
      </c>
      <c r="EY149" s="778" t="s">
        <v>6788</v>
      </c>
      <c r="EZ149" s="1180" t="s">
        <v>24</v>
      </c>
      <c r="FA149" s="742"/>
      <c r="FB149" s="778"/>
      <c r="FC149" s="742"/>
      <c r="FD149" s="1180"/>
      <c r="FE149" s="778"/>
      <c r="FF149" s="778"/>
      <c r="FG149" s="778"/>
      <c r="FH149" s="778"/>
      <c r="FI149" s="778"/>
      <c r="FJ149" s="778"/>
    </row>
    <row r="150" spans="1:166" ht="15" hidden="1" customHeight="1">
      <c r="A150" s="153" t="s">
        <v>1070</v>
      </c>
      <c r="B150" s="618">
        <v>105</v>
      </c>
      <c r="C150" s="618"/>
      <c r="D150" s="618">
        <v>33</v>
      </c>
      <c r="E150" s="610" t="s">
        <v>2068</v>
      </c>
      <c r="F150" s="368" t="s">
        <v>2320</v>
      </c>
      <c r="G150" s="369">
        <v>2014</v>
      </c>
      <c r="H150" s="153">
        <v>24675061</v>
      </c>
      <c r="I150" s="153">
        <v>1</v>
      </c>
      <c r="J150" s="370"/>
      <c r="K150" s="371"/>
      <c r="L150" s="153">
        <v>1</v>
      </c>
      <c r="M150" s="153"/>
      <c r="N150" s="153">
        <v>1</v>
      </c>
      <c r="O150" s="153">
        <v>2</v>
      </c>
      <c r="P150" s="153" t="s">
        <v>1307</v>
      </c>
      <c r="Q150" s="153" t="s">
        <v>1224</v>
      </c>
      <c r="R150" s="153" t="s">
        <v>1127</v>
      </c>
      <c r="S150" s="153"/>
      <c r="T150" s="153" t="s">
        <v>1498</v>
      </c>
      <c r="U150" s="153"/>
      <c r="V150" s="153"/>
      <c r="W150" s="153" t="s">
        <v>1516</v>
      </c>
      <c r="X150" s="153" t="s">
        <v>1308</v>
      </c>
      <c r="Y150" s="153" t="s">
        <v>1309</v>
      </c>
      <c r="Z150" s="153"/>
      <c r="AA150" s="153"/>
      <c r="AB150" s="153"/>
      <c r="AC150" s="536" t="s">
        <v>6201</v>
      </c>
      <c r="AD150" s="536">
        <v>1</v>
      </c>
      <c r="AE150" s="536">
        <v>1</v>
      </c>
      <c r="AF150" s="165">
        <v>0</v>
      </c>
      <c r="AG150" s="166" t="s">
        <v>7628</v>
      </c>
      <c r="AH150" s="509"/>
      <c r="AI150" s="120">
        <v>4</v>
      </c>
      <c r="AJ150" s="120"/>
      <c r="AK150" s="206" t="s">
        <v>6765</v>
      </c>
      <c r="AL150" s="372">
        <v>2</v>
      </c>
      <c r="AM150" s="207">
        <v>0</v>
      </c>
      <c r="AN150" s="120">
        <f>Table66[[#This Row],[Data_Subjects_n_ptsd]]+Table66[[#This Row],[Data_Subjects_n_control]]</f>
        <v>18</v>
      </c>
      <c r="AO150" s="683">
        <v>8</v>
      </c>
      <c r="AP150" s="120">
        <v>10</v>
      </c>
      <c r="AQ150" s="120" t="s">
        <v>803</v>
      </c>
      <c r="AR150" s="120" t="s">
        <v>803</v>
      </c>
      <c r="AS150" s="120" t="s">
        <v>6735</v>
      </c>
      <c r="AT150" s="683" t="s">
        <v>2882</v>
      </c>
      <c r="AU150" s="120" t="s">
        <v>6735</v>
      </c>
      <c r="AV150" s="120" t="s">
        <v>2882</v>
      </c>
      <c r="AW150" s="734" t="s">
        <v>7638</v>
      </c>
      <c r="AX150" s="734" t="s">
        <v>7641</v>
      </c>
      <c r="AY150" s="120">
        <v>8</v>
      </c>
      <c r="AZ150" s="755" t="s">
        <v>7636</v>
      </c>
      <c r="BA150" s="120">
        <v>1</v>
      </c>
      <c r="BB150" s="120">
        <v>1</v>
      </c>
      <c r="BC150" s="120" t="s">
        <v>6740</v>
      </c>
      <c r="BD150" s="755" t="s">
        <v>7523</v>
      </c>
      <c r="BE150" s="755"/>
      <c r="BF150" s="120" t="s">
        <v>1130</v>
      </c>
      <c r="BG150" s="120" t="s">
        <v>6653</v>
      </c>
      <c r="BH150" s="377"/>
      <c r="BI150" s="377"/>
      <c r="BJ150" s="373">
        <v>1</v>
      </c>
      <c r="BK150" s="373"/>
      <c r="BL150" s="373"/>
      <c r="BM150" s="373"/>
      <c r="BN150" s="373"/>
      <c r="BO150" s="373"/>
      <c r="BP150" s="373"/>
      <c r="BQ150" s="373"/>
      <c r="BR150" s="373"/>
      <c r="BS150" s="373"/>
      <c r="BT150" s="373"/>
      <c r="BU150" s="373"/>
      <c r="BV150" s="373"/>
      <c r="BW150" s="599" t="s">
        <v>6738</v>
      </c>
      <c r="BX150" s="374" t="s">
        <v>6657</v>
      </c>
      <c r="BY150" s="799" t="s">
        <v>7613</v>
      </c>
      <c r="BZ150" s="374" t="s">
        <v>803</v>
      </c>
      <c r="CA150" s="511">
        <v>1</v>
      </c>
      <c r="CB150" s="511" t="s">
        <v>7556</v>
      </c>
      <c r="CC150" s="511" t="s">
        <v>7384</v>
      </c>
      <c r="CD150" s="120" t="s">
        <v>1876</v>
      </c>
      <c r="CE150" s="120">
        <v>2</v>
      </c>
      <c r="CF150" s="786" t="s">
        <v>7580</v>
      </c>
      <c r="CG150" s="120" t="s">
        <v>6741</v>
      </c>
      <c r="CH150" s="755" t="s">
        <v>7310</v>
      </c>
      <c r="CI150" s="120" t="s">
        <v>6736</v>
      </c>
      <c r="CJ150" s="120"/>
      <c r="CK150" s="120" t="s">
        <v>6742</v>
      </c>
      <c r="CL150" s="120" t="s">
        <v>2659</v>
      </c>
      <c r="CM150" s="375" t="s">
        <v>6747</v>
      </c>
      <c r="CN150" s="380" t="s">
        <v>6627</v>
      </c>
      <c r="CO150" s="380"/>
      <c r="CP150" s="380"/>
      <c r="CQ150" s="380"/>
      <c r="CR150" s="380"/>
      <c r="CS150" s="380"/>
      <c r="CT150" s="380"/>
      <c r="CU150" s="380"/>
      <c r="CV150" s="380"/>
      <c r="CW150" s="380"/>
      <c r="CX150" s="376" t="s">
        <v>6743</v>
      </c>
      <c r="CY150" s="683">
        <v>86.148499999999999</v>
      </c>
      <c r="CZ150" s="120" t="s">
        <v>24</v>
      </c>
      <c r="DA150" s="683">
        <f>90.7462-Table66[[#This Row],[Data_Outcome1_M]]</f>
        <v>4.5977000000000032</v>
      </c>
      <c r="DB150" s="376" t="s">
        <v>6744</v>
      </c>
      <c r="DC150" s="120">
        <v>5.8032700000000004</v>
      </c>
      <c r="DD150" s="120" t="s">
        <v>24</v>
      </c>
      <c r="DE150" s="120">
        <f>7.18257-Table66[[#This Row],[Data_Outcome2_M]]</f>
        <v>1.3792999999999997</v>
      </c>
      <c r="DF150" s="515" t="s">
        <v>6745</v>
      </c>
      <c r="DG150" s="513" t="s">
        <v>6746</v>
      </c>
      <c r="DH150" s="727"/>
      <c r="DI150" s="683"/>
      <c r="DJ150" s="384"/>
      <c r="DK150" s="683"/>
      <c r="DL150" s="727"/>
      <c r="DM150" s="384"/>
      <c r="DN150" s="384"/>
      <c r="DO150" s="384"/>
      <c r="DP150" s="375"/>
      <c r="DQ150" s="377"/>
      <c r="DR150" s="1182"/>
      <c r="DS150" s="956"/>
      <c r="DT150" s="727"/>
      <c r="DU150" s="683"/>
      <c r="DV150" s="384"/>
      <c r="DW150" s="683"/>
      <c r="DX150" s="384"/>
      <c r="DY150" s="384"/>
      <c r="DZ150" s="384"/>
      <c r="EA150" s="384"/>
      <c r="EB150" s="1012"/>
      <c r="EC150" s="384"/>
      <c r="ED150" s="384"/>
      <c r="EE150" s="683"/>
      <c r="EF150" s="384"/>
      <c r="EG150" s="683"/>
      <c r="EH150" s="384"/>
      <c r="EI150" s="384"/>
      <c r="EJ150" s="384"/>
      <c r="EK150" s="384"/>
      <c r="EL150" s="1012"/>
      <c r="EM150" s="384"/>
      <c r="EN150" s="1012"/>
      <c r="EO150" s="384"/>
      <c r="EP150" s="633"/>
      <c r="EQ150" s="814"/>
      <c r="ER150" s="633"/>
      <c r="ES150" s="814"/>
      <c r="ET150" s="709"/>
      <c r="EU150" s="683"/>
      <c r="EV150" s="384"/>
      <c r="EW150" s="384"/>
      <c r="EX150" s="384"/>
      <c r="EY150" s="384"/>
      <c r="EZ150" s="727"/>
      <c r="FA150" s="683"/>
      <c r="FB150" s="384"/>
      <c r="FC150" s="683"/>
      <c r="FD150" s="727"/>
      <c r="FE150" s="384"/>
      <c r="FF150" s="384"/>
      <c r="FG150" s="384"/>
      <c r="FH150" s="384"/>
      <c r="FI150" s="384"/>
      <c r="FJ150" s="384"/>
    </row>
    <row r="151" spans="1:166" ht="15" hidden="1" customHeight="1">
      <c r="A151" s="79" t="s">
        <v>1069</v>
      </c>
      <c r="B151" s="362">
        <v>106</v>
      </c>
      <c r="C151" s="362">
        <v>21</v>
      </c>
      <c r="D151" s="362"/>
      <c r="E151" s="604" t="s">
        <v>2069</v>
      </c>
      <c r="F151" s="124" t="s">
        <v>2321</v>
      </c>
      <c r="G151" s="125">
        <v>2015</v>
      </c>
      <c r="H151" s="79">
        <v>25750029</v>
      </c>
      <c r="I151" s="79">
        <v>1</v>
      </c>
      <c r="J151" s="126"/>
      <c r="K151" s="127"/>
      <c r="L151" s="79">
        <v>1</v>
      </c>
      <c r="M151" s="79"/>
      <c r="N151" s="79">
        <v>1</v>
      </c>
      <c r="O151" s="128">
        <v>2</v>
      </c>
      <c r="P151" s="79" t="s">
        <v>1585</v>
      </c>
      <c r="Q151" s="79" t="s">
        <v>1216</v>
      </c>
      <c r="R151" s="79" t="s">
        <v>1127</v>
      </c>
      <c r="S151" s="79"/>
      <c r="T151" s="79" t="s">
        <v>1310</v>
      </c>
      <c r="U151" s="79" t="s">
        <v>803</v>
      </c>
      <c r="V151" s="79"/>
      <c r="W151" s="79" t="s">
        <v>1311</v>
      </c>
      <c r="X151" s="79"/>
      <c r="Y151" s="79"/>
      <c r="Z151" s="79"/>
      <c r="AA151" s="79"/>
      <c r="AB151" s="79"/>
      <c r="AC151" s="506"/>
      <c r="AD151" s="573">
        <v>1</v>
      </c>
      <c r="AE151" s="573">
        <v>2</v>
      </c>
      <c r="AF151" s="154">
        <v>1</v>
      </c>
      <c r="AG151" s="155" t="s">
        <v>7625</v>
      </c>
      <c r="AH151" s="704"/>
      <c r="AI151" s="121">
        <v>4</v>
      </c>
      <c r="AJ151" s="484"/>
      <c r="AK151" s="202"/>
      <c r="AL151" s="192">
        <v>1</v>
      </c>
      <c r="AM151" s="203">
        <v>0</v>
      </c>
      <c r="AN151" s="121" t="s">
        <v>4147</v>
      </c>
      <c r="AO151" s="121">
        <v>5</v>
      </c>
      <c r="AP151" s="121">
        <v>5</v>
      </c>
      <c r="AQ151" s="121" t="s">
        <v>803</v>
      </c>
      <c r="AR151" s="121" t="s">
        <v>803</v>
      </c>
      <c r="AS151" s="121" t="s">
        <v>2687</v>
      </c>
      <c r="AT151" s="121" t="s">
        <v>24</v>
      </c>
      <c r="AU151" s="121" t="s">
        <v>2687</v>
      </c>
      <c r="AV151" s="121" t="s">
        <v>24</v>
      </c>
      <c r="AW151" s="121" t="s">
        <v>4146</v>
      </c>
      <c r="AX151" s="121"/>
      <c r="AY151" s="121"/>
      <c r="AZ151" s="754" t="s">
        <v>7329</v>
      </c>
      <c r="BA151" s="121">
        <v>1</v>
      </c>
      <c r="BB151" s="121">
        <v>1</v>
      </c>
      <c r="BC151" s="121" t="s">
        <v>7539</v>
      </c>
      <c r="BD151" s="754" t="s">
        <v>7522</v>
      </c>
      <c r="BE151" s="754"/>
      <c r="BF151" s="121" t="s">
        <v>4145</v>
      </c>
      <c r="BG151" s="121" t="s">
        <v>3279</v>
      </c>
      <c r="BH151" s="594"/>
      <c r="BI151" s="594"/>
      <c r="BJ151" s="156"/>
      <c r="BK151" s="156"/>
      <c r="BL151" s="156"/>
      <c r="BM151" s="156"/>
      <c r="BN151" s="156"/>
      <c r="BO151" s="156"/>
      <c r="BP151" s="156">
        <v>1</v>
      </c>
      <c r="BQ151" s="156"/>
      <c r="BR151" s="156"/>
      <c r="BS151" s="156"/>
      <c r="BT151" s="156"/>
      <c r="BU151" s="156"/>
      <c r="BV151" s="156"/>
      <c r="BW151" s="595" t="s">
        <v>3563</v>
      </c>
      <c r="BX151" s="157" t="s">
        <v>6613</v>
      </c>
      <c r="BY151" s="797" t="s">
        <v>7614</v>
      </c>
      <c r="BZ151" s="789" t="s">
        <v>803</v>
      </c>
      <c r="CA151" s="660">
        <v>2</v>
      </c>
      <c r="CB151" s="660" t="s">
        <v>7556</v>
      </c>
      <c r="CC151" s="660" t="s">
        <v>7384</v>
      </c>
      <c r="CD151" s="134" t="s">
        <v>1876</v>
      </c>
      <c r="CE151" s="134" t="s">
        <v>4148</v>
      </c>
      <c r="CF151" s="400" t="s">
        <v>7594</v>
      </c>
      <c r="CG151" s="134" t="s">
        <v>4149</v>
      </c>
      <c r="CH151" s="753" t="s">
        <v>7353</v>
      </c>
      <c r="CI151" s="134" t="s">
        <v>4150</v>
      </c>
      <c r="CJ151" s="134"/>
      <c r="CK151" s="134" t="s">
        <v>4151</v>
      </c>
      <c r="CL151" s="134" t="s">
        <v>8271</v>
      </c>
      <c r="CM151" s="259" t="s">
        <v>4159</v>
      </c>
      <c r="CN151" s="454" t="s">
        <v>24</v>
      </c>
      <c r="CO151" s="828">
        <v>20</v>
      </c>
      <c r="CP151" s="828">
        <v>1</v>
      </c>
      <c r="CQ151" s="828">
        <v>2</v>
      </c>
      <c r="CR151" s="828">
        <v>1</v>
      </c>
      <c r="CS151" s="828">
        <v>-1</v>
      </c>
      <c r="CT151" s="967" t="s">
        <v>7835</v>
      </c>
      <c r="CU151" s="1289" t="s">
        <v>8104</v>
      </c>
      <c r="CV151" s="1295">
        <v>78</v>
      </c>
      <c r="CW151" s="1295">
        <v>70</v>
      </c>
      <c r="CX151" s="138" t="s">
        <v>4153</v>
      </c>
      <c r="CY151" s="190">
        <v>46.428600000000003</v>
      </c>
      <c r="CZ151" s="134" t="s">
        <v>24</v>
      </c>
      <c r="DA151" s="190">
        <f>49.6429-Table66[[#This Row],[Data_Outcome1_M]]</f>
        <v>3.2142999999999944</v>
      </c>
      <c r="DB151" s="138" t="s">
        <v>4155</v>
      </c>
      <c r="DC151" s="134">
        <v>30.367899999999999</v>
      </c>
      <c r="DD151" s="134" t="s">
        <v>24</v>
      </c>
      <c r="DE151" s="134">
        <f>32.4107-Table66[[#This Row],[Data_Outcome2_M]]</f>
        <v>2.0427999999999997</v>
      </c>
      <c r="DF151" s="288" t="s">
        <v>7773</v>
      </c>
      <c r="DG151" s="289" t="s">
        <v>2555</v>
      </c>
      <c r="DH151" s="1179"/>
      <c r="DI151" s="417"/>
      <c r="DJ151" s="1169"/>
      <c r="DK151" s="417"/>
      <c r="DL151" s="1179"/>
      <c r="DM151" s="1169"/>
      <c r="DN151" s="1169"/>
      <c r="DO151" s="1169"/>
      <c r="DP151" s="288"/>
      <c r="DQ151" s="289"/>
      <c r="DR151" s="1168"/>
      <c r="DS151" s="865"/>
      <c r="DT151" s="1171"/>
      <c r="DU151" s="1169"/>
      <c r="DV151" s="1169"/>
      <c r="DW151" s="417"/>
      <c r="DX151" s="1169"/>
      <c r="DY151" s="1169"/>
      <c r="DZ151" s="1169"/>
      <c r="EA151" s="1169"/>
      <c r="EB151" s="434"/>
      <c r="EC151" s="436"/>
      <c r="ED151" s="1169"/>
      <c r="EE151" s="1169"/>
      <c r="EF151" s="1169"/>
      <c r="EG151" s="1169"/>
      <c r="EH151" s="1169"/>
      <c r="EI151" s="1169"/>
      <c r="EJ151" s="1169"/>
      <c r="EK151" s="1169"/>
      <c r="EL151" s="304"/>
      <c r="EM151" s="312"/>
      <c r="EN151" s="309"/>
      <c r="EO151" s="1170"/>
      <c r="EP151" s="1169"/>
      <c r="EQ151" s="1169"/>
      <c r="ER151" s="1169"/>
      <c r="ES151" s="1169"/>
      <c r="ET151" s="1171"/>
      <c r="EU151" s="1169"/>
      <c r="EV151" s="1169"/>
      <c r="EW151" s="1169"/>
      <c r="EX151" s="312"/>
      <c r="EY151" s="312"/>
      <c r="EZ151" s="1171"/>
      <c r="FA151" s="1169"/>
      <c r="FB151" s="1169"/>
      <c r="FC151" s="1169"/>
      <c r="FD151" s="1171"/>
      <c r="FE151" s="1169"/>
      <c r="FF151" s="1169"/>
      <c r="FG151" s="1169"/>
      <c r="FH151" s="312"/>
      <c r="FI151" s="312"/>
      <c r="FJ151" s="1170"/>
    </row>
    <row r="152" spans="1:166" ht="15" hidden="1" customHeight="1">
      <c r="A152" s="79" t="s">
        <v>1069</v>
      </c>
      <c r="B152" s="362">
        <v>106</v>
      </c>
      <c r="C152" s="362">
        <v>21</v>
      </c>
      <c r="D152" s="362"/>
      <c r="E152" s="604" t="s">
        <v>2069</v>
      </c>
      <c r="F152" s="124" t="s">
        <v>2321</v>
      </c>
      <c r="G152" s="125">
        <v>2015</v>
      </c>
      <c r="H152" s="79">
        <v>25750029</v>
      </c>
      <c r="I152" s="79">
        <v>1</v>
      </c>
      <c r="J152" s="126"/>
      <c r="K152" s="127"/>
      <c r="L152" s="79">
        <v>1</v>
      </c>
      <c r="M152" s="79"/>
      <c r="N152" s="79">
        <v>1</v>
      </c>
      <c r="O152" s="128">
        <v>2</v>
      </c>
      <c r="P152" s="79" t="s">
        <v>1585</v>
      </c>
      <c r="Q152" s="79" t="s">
        <v>1216</v>
      </c>
      <c r="R152" s="79" t="s">
        <v>1127</v>
      </c>
      <c r="S152" s="79"/>
      <c r="T152" s="79" t="s">
        <v>1310</v>
      </c>
      <c r="U152" s="79" t="s">
        <v>803</v>
      </c>
      <c r="V152" s="79"/>
      <c r="W152" s="79" t="s">
        <v>1311</v>
      </c>
      <c r="X152" s="79"/>
      <c r="Y152" s="79"/>
      <c r="Z152" s="79"/>
      <c r="AA152" s="79"/>
      <c r="AB152" s="79"/>
      <c r="AC152" s="506"/>
      <c r="AD152" s="573">
        <v>1</v>
      </c>
      <c r="AE152" s="573">
        <v>2</v>
      </c>
      <c r="AF152" s="154">
        <v>1</v>
      </c>
      <c r="AG152" s="155" t="s">
        <v>7625</v>
      </c>
      <c r="AH152" s="704"/>
      <c r="AI152" s="121">
        <v>4</v>
      </c>
      <c r="AJ152" s="484"/>
      <c r="AK152" s="202"/>
      <c r="AL152" s="192">
        <v>1</v>
      </c>
      <c r="AM152" s="203">
        <v>0</v>
      </c>
      <c r="AN152" s="121" t="s">
        <v>4147</v>
      </c>
      <c r="AO152" s="121">
        <v>5</v>
      </c>
      <c r="AP152" s="121">
        <v>5</v>
      </c>
      <c r="AQ152" s="121" t="s">
        <v>803</v>
      </c>
      <c r="AR152" s="121" t="s">
        <v>803</v>
      </c>
      <c r="AS152" s="134" t="s">
        <v>2687</v>
      </c>
      <c r="AT152" s="134" t="s">
        <v>24</v>
      </c>
      <c r="AU152" s="134" t="s">
        <v>2687</v>
      </c>
      <c r="AV152" s="134" t="s">
        <v>24</v>
      </c>
      <c r="AW152" s="134" t="s">
        <v>4146</v>
      </c>
      <c r="AX152" s="121"/>
      <c r="AY152" s="121"/>
      <c r="AZ152" s="754" t="s">
        <v>7329</v>
      </c>
      <c r="BA152" s="121">
        <v>1</v>
      </c>
      <c r="BB152" s="121">
        <v>1</v>
      </c>
      <c r="BC152" s="121" t="s">
        <v>7539</v>
      </c>
      <c r="BD152" s="754" t="s">
        <v>7522</v>
      </c>
      <c r="BE152" s="754"/>
      <c r="BF152" s="121" t="s">
        <v>4145</v>
      </c>
      <c r="BG152" s="121" t="s">
        <v>3279</v>
      </c>
      <c r="BH152" s="594"/>
      <c r="BI152" s="594"/>
      <c r="BJ152" s="156"/>
      <c r="BK152" s="156"/>
      <c r="BL152" s="156"/>
      <c r="BM152" s="156"/>
      <c r="BN152" s="156"/>
      <c r="BO152" s="156"/>
      <c r="BP152" s="156">
        <v>1</v>
      </c>
      <c r="BQ152" s="156"/>
      <c r="BR152" s="156"/>
      <c r="BS152" s="156"/>
      <c r="BT152" s="156"/>
      <c r="BU152" s="156"/>
      <c r="BV152" s="156"/>
      <c r="BW152" s="595" t="s">
        <v>3563</v>
      </c>
      <c r="BX152" s="157" t="s">
        <v>6613</v>
      </c>
      <c r="BY152" s="797" t="s">
        <v>7614</v>
      </c>
      <c r="BZ152" s="789" t="s">
        <v>803</v>
      </c>
      <c r="CA152" s="660">
        <v>2</v>
      </c>
      <c r="CB152" s="660" t="s">
        <v>7556</v>
      </c>
      <c r="CC152" s="660" t="s">
        <v>7384</v>
      </c>
      <c r="CD152" s="134" t="s">
        <v>1876</v>
      </c>
      <c r="CE152" s="134" t="s">
        <v>4148</v>
      </c>
      <c r="CF152" s="400" t="s">
        <v>7594</v>
      </c>
      <c r="CG152" s="134" t="s">
        <v>4149</v>
      </c>
      <c r="CH152" s="753" t="s">
        <v>7353</v>
      </c>
      <c r="CI152" s="134" t="s">
        <v>4150</v>
      </c>
      <c r="CJ152" s="134"/>
      <c r="CK152" s="134" t="s">
        <v>4151</v>
      </c>
      <c r="CL152" s="134" t="s">
        <v>8272</v>
      </c>
      <c r="CM152" s="259" t="s">
        <v>4159</v>
      </c>
      <c r="CN152" s="454" t="s">
        <v>24</v>
      </c>
      <c r="CO152" s="828">
        <v>20</v>
      </c>
      <c r="CP152" s="828">
        <v>1</v>
      </c>
      <c r="CQ152" s="828">
        <v>1</v>
      </c>
      <c r="CR152" s="828">
        <v>1</v>
      </c>
      <c r="CS152" s="828">
        <v>1</v>
      </c>
      <c r="CT152" s="967" t="s">
        <v>7835</v>
      </c>
      <c r="CU152" s="1289" t="s">
        <v>8104</v>
      </c>
      <c r="CV152" s="1295">
        <v>78</v>
      </c>
      <c r="CW152" s="1295">
        <v>70</v>
      </c>
      <c r="CX152" s="138" t="s">
        <v>4152</v>
      </c>
      <c r="CY152" s="190">
        <v>22.410699999999999</v>
      </c>
      <c r="CZ152" s="134" t="s">
        <v>24</v>
      </c>
      <c r="DA152" s="190">
        <f>23.2143-Table66[[#This Row],[Data_Outcome1_M]]</f>
        <v>0.80360000000000298</v>
      </c>
      <c r="DB152" s="138" t="s">
        <v>4154</v>
      </c>
      <c r="DC152" s="134">
        <v>45.982100000000003</v>
      </c>
      <c r="DD152" s="134" t="s">
        <v>24</v>
      </c>
      <c r="DE152" s="134">
        <f>47.1429-Table66[[#This Row],[Data_Outcome2_M]]</f>
        <v>1.1607999999999947</v>
      </c>
      <c r="DF152" s="294" t="s">
        <v>7772</v>
      </c>
      <c r="DG152" s="295" t="s">
        <v>2555</v>
      </c>
      <c r="DH152" s="1175"/>
      <c r="DI152" s="417"/>
      <c r="DJ152" s="1169"/>
      <c r="DK152" s="417"/>
      <c r="DL152" s="1175"/>
      <c r="DM152" s="121"/>
      <c r="DN152" s="1169"/>
      <c r="DO152" s="121"/>
      <c r="DP152" s="288"/>
      <c r="DQ152" s="289"/>
      <c r="DR152" s="1168"/>
      <c r="DS152" s="865"/>
      <c r="DT152" s="1171"/>
      <c r="DU152" s="417"/>
      <c r="DV152" s="1169"/>
      <c r="DW152" s="417"/>
      <c r="DX152" s="1169"/>
      <c r="DY152" s="121"/>
      <c r="DZ152" s="1169"/>
      <c r="EA152" s="121"/>
      <c r="EB152" s="304"/>
      <c r="EC152" s="312"/>
      <c r="ED152" s="1169"/>
      <c r="EE152" s="121"/>
      <c r="EF152" s="1169"/>
      <c r="EG152" s="121"/>
      <c r="EH152" s="1169"/>
      <c r="EI152" s="121"/>
      <c r="EJ152" s="1169"/>
      <c r="EK152" s="121"/>
      <c r="EL152" s="304"/>
      <c r="EM152" s="312"/>
      <c r="EN152" s="309"/>
      <c r="EO152" s="1170"/>
      <c r="EP152" s="1169"/>
      <c r="EQ152" s="1169"/>
      <c r="ER152" s="1169"/>
      <c r="ES152" s="1169"/>
      <c r="ET152" s="1171"/>
      <c r="EU152" s="1169"/>
      <c r="EV152" s="1169"/>
      <c r="EW152" s="1169"/>
      <c r="EX152" s="312"/>
      <c r="EY152" s="312"/>
      <c r="EZ152" s="1171"/>
      <c r="FA152" s="1169"/>
      <c r="FB152" s="1169"/>
      <c r="FC152" s="1169"/>
      <c r="FD152" s="1171"/>
      <c r="FE152" s="1169"/>
      <c r="FF152" s="1169"/>
      <c r="FG152" s="1169"/>
      <c r="FH152" s="312"/>
      <c r="FI152" s="312"/>
      <c r="FJ152" s="1170"/>
    </row>
    <row r="153" spans="1:166" ht="15" hidden="1" customHeight="1">
      <c r="A153" s="79" t="s">
        <v>1065</v>
      </c>
      <c r="B153" s="362">
        <v>107</v>
      </c>
      <c r="C153" s="362"/>
      <c r="D153" s="362">
        <v>34</v>
      </c>
      <c r="E153" s="604" t="s">
        <v>2070</v>
      </c>
      <c r="F153" s="124" t="s">
        <v>2322</v>
      </c>
      <c r="G153" s="125">
        <v>2015</v>
      </c>
      <c r="H153" s="79">
        <v>25746511</v>
      </c>
      <c r="I153" s="79">
        <v>1</v>
      </c>
      <c r="J153" s="126"/>
      <c r="K153" s="127"/>
      <c r="L153" s="79">
        <v>1</v>
      </c>
      <c r="M153" s="79"/>
      <c r="N153" s="79">
        <v>1</v>
      </c>
      <c r="O153" s="128">
        <v>2</v>
      </c>
      <c r="P153" s="79" t="s">
        <v>1317</v>
      </c>
      <c r="Q153" s="79" t="s">
        <v>1166</v>
      </c>
      <c r="R153" s="79" t="s">
        <v>1127</v>
      </c>
      <c r="S153" s="79"/>
      <c r="T153" s="79" t="s">
        <v>1487</v>
      </c>
      <c r="U153" s="79"/>
      <c r="V153" s="79"/>
      <c r="W153" s="79" t="s">
        <v>1316</v>
      </c>
      <c r="X153" s="79"/>
      <c r="Y153" s="79"/>
      <c r="Z153" s="79"/>
      <c r="AA153" s="79"/>
      <c r="AB153" s="79"/>
      <c r="AC153" s="506" t="s">
        <v>6202</v>
      </c>
      <c r="AD153" s="573">
        <v>1</v>
      </c>
      <c r="AE153" s="573">
        <v>0</v>
      </c>
      <c r="AF153" s="924">
        <v>2</v>
      </c>
      <c r="AG153" s="925"/>
      <c r="AH153" s="911"/>
      <c r="AI153" s="923">
        <v>4</v>
      </c>
      <c r="AJ153" s="923"/>
      <c r="AK153" s="926"/>
      <c r="AL153" s="588"/>
      <c r="AM153" s="927"/>
      <c r="AN153" s="923"/>
      <c r="AO153" s="923"/>
      <c r="AP153" s="923"/>
      <c r="AQ153" s="923"/>
      <c r="AR153" s="923"/>
      <c r="AS153" s="923"/>
      <c r="AT153" s="923"/>
      <c r="AU153" s="923"/>
      <c r="AV153" s="923"/>
      <c r="AW153" s="923"/>
      <c r="AX153" s="923"/>
      <c r="AY153" s="923"/>
      <c r="AZ153" s="915"/>
      <c r="BA153" s="923"/>
      <c r="BB153" s="923"/>
      <c r="BC153" s="923"/>
      <c r="BD153" s="915"/>
      <c r="BE153" s="915"/>
      <c r="BF153" s="923"/>
      <c r="BG153" s="923"/>
      <c r="BH153" s="594"/>
      <c r="BI153" s="594"/>
      <c r="BJ153" s="156"/>
      <c r="BK153" s="156"/>
      <c r="BL153" s="156"/>
      <c r="BM153" s="156" t="s">
        <v>6175</v>
      </c>
      <c r="BN153" s="156"/>
      <c r="BO153" s="156" t="s">
        <v>5207</v>
      </c>
      <c r="BP153" s="156"/>
      <c r="BQ153" s="156"/>
      <c r="BR153" s="156"/>
      <c r="BS153" s="156"/>
      <c r="BT153" s="156"/>
      <c r="BU153" s="156"/>
      <c r="BV153" s="156"/>
      <c r="BW153" s="928"/>
      <c r="BX153" s="929"/>
      <c r="BY153" s="929"/>
      <c r="BZ153" s="929"/>
      <c r="CA153" s="917"/>
      <c r="CB153" s="917"/>
      <c r="CC153" s="917"/>
      <c r="CD153" s="923"/>
      <c r="CE153" s="923"/>
      <c r="CF153" s="923"/>
      <c r="CG153" s="923"/>
      <c r="CH153" s="915"/>
      <c r="CI153" s="923"/>
      <c r="CJ153" s="923"/>
      <c r="CK153" s="923"/>
      <c r="CL153" s="923"/>
      <c r="CM153" s="930"/>
      <c r="CN153" s="931"/>
      <c r="CO153" s="931"/>
      <c r="CP153" s="931"/>
      <c r="CQ153" s="931"/>
      <c r="CR153" s="931"/>
      <c r="CS153" s="931"/>
      <c r="CT153" s="967"/>
      <c r="CU153" s="967"/>
      <c r="CV153" s="967"/>
      <c r="CW153" s="967"/>
      <c r="CX153" s="941"/>
      <c r="CY153" s="934"/>
      <c r="CZ153" s="923"/>
      <c r="DA153" s="934"/>
      <c r="DB153" s="941"/>
      <c r="DC153" s="923"/>
      <c r="DD153" s="923"/>
      <c r="DE153" s="923"/>
      <c r="DF153" s="920"/>
      <c r="DG153" s="598"/>
      <c r="DH153" s="941"/>
      <c r="DI153" s="934"/>
      <c r="DJ153" s="951"/>
      <c r="DK153" s="934"/>
      <c r="DL153" s="950"/>
      <c r="DM153" s="934"/>
      <c r="DN153" s="951"/>
      <c r="DO153" s="952"/>
      <c r="DP153" s="930"/>
      <c r="DQ153" s="937"/>
      <c r="DR153" s="1187"/>
      <c r="DS153" s="1186"/>
      <c r="DT153" s="950"/>
      <c r="DU153" s="934"/>
      <c r="DV153" s="951"/>
      <c r="DW153" s="934"/>
      <c r="DX153" s="951"/>
      <c r="DY153" s="951"/>
      <c r="DZ153" s="951"/>
      <c r="EA153" s="951"/>
      <c r="EB153" s="1185"/>
      <c r="EC153" s="951"/>
      <c r="ED153" s="951"/>
      <c r="EE153" s="951"/>
      <c r="EF153" s="951"/>
      <c r="EG153" s="951"/>
      <c r="EH153" s="951"/>
      <c r="EI153" s="951"/>
      <c r="EJ153" s="951"/>
      <c r="EK153" s="951"/>
      <c r="EL153" s="1185"/>
      <c r="EM153" s="951"/>
      <c r="EN153" s="1185"/>
      <c r="EO153" s="951"/>
      <c r="EP153" s="951"/>
      <c r="EQ153" s="951"/>
      <c r="ER153" s="951"/>
      <c r="ES153" s="951"/>
      <c r="ET153" s="950"/>
      <c r="EU153" s="951"/>
      <c r="EV153" s="951"/>
      <c r="EW153" s="951"/>
      <c r="EX153" s="951"/>
      <c r="EY153" s="951"/>
      <c r="EZ153" s="950"/>
      <c r="FA153" s="951"/>
      <c r="FB153" s="951"/>
      <c r="FC153" s="951"/>
      <c r="FD153" s="950"/>
      <c r="FE153" s="951"/>
      <c r="FF153" s="951"/>
      <c r="FG153" s="951"/>
      <c r="FH153" s="951"/>
      <c r="FI153" s="951"/>
      <c r="FJ153" s="951"/>
    </row>
    <row r="154" spans="1:166" ht="15" hidden="1" customHeight="1">
      <c r="A154" s="153" t="s">
        <v>141</v>
      </c>
      <c r="B154" s="618">
        <v>108</v>
      </c>
      <c r="C154" s="618">
        <v>97</v>
      </c>
      <c r="D154" s="618"/>
      <c r="E154" s="610" t="s">
        <v>1950</v>
      </c>
      <c r="F154" s="368" t="s">
        <v>2169</v>
      </c>
      <c r="G154" s="369">
        <v>2013</v>
      </c>
      <c r="H154" s="153">
        <v>23540599</v>
      </c>
      <c r="I154" s="153">
        <v>1</v>
      </c>
      <c r="J154" s="370" t="s">
        <v>1776</v>
      </c>
      <c r="K154" s="371" t="s">
        <v>1759</v>
      </c>
      <c r="L154" s="153">
        <v>1</v>
      </c>
      <c r="M154" s="153" t="s">
        <v>1737</v>
      </c>
      <c r="N154" s="153">
        <v>1</v>
      </c>
      <c r="O154" s="153">
        <v>1</v>
      </c>
      <c r="P154" s="153" t="s">
        <v>442</v>
      </c>
      <c r="Q154" s="153" t="s">
        <v>1142</v>
      </c>
      <c r="R154" s="153" t="s">
        <v>443</v>
      </c>
      <c r="S154" s="153">
        <v>1</v>
      </c>
      <c r="T154" s="153"/>
      <c r="U154" s="153"/>
      <c r="V154" s="153"/>
      <c r="W154" s="153" t="s">
        <v>444</v>
      </c>
      <c r="X154" s="153" t="s">
        <v>445</v>
      </c>
      <c r="Y154" s="153" t="s">
        <v>446</v>
      </c>
      <c r="Z154" s="153"/>
      <c r="AA154" s="153"/>
      <c r="AB154" s="153" t="s">
        <v>447</v>
      </c>
      <c r="AC154" s="536"/>
      <c r="AD154" s="536">
        <v>1</v>
      </c>
      <c r="AE154" s="536">
        <v>2</v>
      </c>
      <c r="AF154" s="165">
        <v>0</v>
      </c>
      <c r="AG154" s="166" t="s">
        <v>7216</v>
      </c>
      <c r="AH154" s="509">
        <v>0</v>
      </c>
      <c r="AI154" s="120">
        <v>2</v>
      </c>
      <c r="AJ154" s="120"/>
      <c r="AK154" s="206"/>
      <c r="AL154" s="372"/>
      <c r="AM154" s="207"/>
      <c r="AN154" s="120"/>
      <c r="AO154" s="120">
        <v>10</v>
      </c>
      <c r="AP154" s="120" t="s">
        <v>24</v>
      </c>
      <c r="AQ154" s="120"/>
      <c r="AR154" s="120"/>
      <c r="AS154" s="633"/>
      <c r="AT154" s="120"/>
      <c r="AU154" s="633"/>
      <c r="AV154" s="120"/>
      <c r="AW154" s="120"/>
      <c r="AX154" s="120"/>
      <c r="AY154" s="120"/>
      <c r="AZ154" s="755"/>
      <c r="BA154" s="120"/>
      <c r="BB154" s="120"/>
      <c r="BC154" s="120"/>
      <c r="BD154" s="755"/>
      <c r="BE154" s="755"/>
      <c r="BF154" s="120"/>
      <c r="BG154" s="120"/>
      <c r="BH154" s="377"/>
      <c r="BI154" s="377"/>
      <c r="BJ154" s="373"/>
      <c r="BK154" s="373"/>
      <c r="BL154" s="373"/>
      <c r="BM154" s="373"/>
      <c r="BN154" s="373"/>
      <c r="BO154" s="373"/>
      <c r="BP154" s="373" t="s">
        <v>1917</v>
      </c>
      <c r="BQ154" s="373"/>
      <c r="BR154" s="373"/>
      <c r="BS154" s="373"/>
      <c r="BT154" s="373"/>
      <c r="BU154" s="373"/>
      <c r="BV154" s="373"/>
      <c r="BW154" s="599"/>
      <c r="BX154" s="374"/>
      <c r="BY154" s="374"/>
      <c r="BZ154" s="374"/>
      <c r="CA154" s="511"/>
      <c r="CB154" s="511"/>
      <c r="CC154" s="511"/>
      <c r="CD154" s="120"/>
      <c r="CE154" s="120"/>
      <c r="CF154" s="120"/>
      <c r="CG154" s="120"/>
      <c r="CH154" s="755"/>
      <c r="CI154" s="120"/>
      <c r="CJ154" s="120"/>
      <c r="CK154" s="120"/>
      <c r="CL154" s="120"/>
      <c r="CM154" s="375"/>
      <c r="CN154" s="380"/>
      <c r="CO154" s="380"/>
      <c r="CP154" s="380"/>
      <c r="CQ154" s="380"/>
      <c r="CR154" s="380"/>
      <c r="CS154" s="380"/>
      <c r="CT154" s="380"/>
      <c r="CU154" s="380"/>
      <c r="CV154" s="380"/>
      <c r="CW154" s="380"/>
      <c r="CX154" s="376"/>
      <c r="CY154" s="683"/>
      <c r="CZ154" s="120"/>
      <c r="DA154" s="683"/>
      <c r="DB154" s="376"/>
      <c r="DC154" s="120"/>
      <c r="DD154" s="120"/>
      <c r="DE154" s="120"/>
      <c r="DF154" s="515"/>
      <c r="DG154" s="513"/>
      <c r="DH154" s="718"/>
      <c r="DI154" s="683"/>
      <c r="DJ154" s="384"/>
      <c r="DK154" s="683"/>
      <c r="DL154" s="373"/>
      <c r="DM154" s="384"/>
      <c r="DN154" s="384"/>
      <c r="DO154" s="384"/>
      <c r="DP154" s="375"/>
      <c r="DQ154" s="377"/>
      <c r="DR154" s="1182"/>
      <c r="DS154" s="956"/>
      <c r="DT154" s="727"/>
      <c r="DU154" s="683"/>
      <c r="DV154" s="384"/>
      <c r="DW154" s="683"/>
      <c r="DX154" s="384"/>
      <c r="DY154" s="384"/>
      <c r="DZ154" s="384"/>
      <c r="EA154" s="384"/>
      <c r="EB154" s="1012"/>
      <c r="EC154" s="384"/>
      <c r="ED154" s="384"/>
      <c r="EE154" s="384"/>
      <c r="EF154" s="384"/>
      <c r="EG154" s="384"/>
      <c r="EH154" s="384"/>
      <c r="EI154" s="384"/>
      <c r="EJ154" s="384"/>
      <c r="EK154" s="384"/>
      <c r="EL154" s="1012"/>
      <c r="EM154" s="384"/>
      <c r="EN154" s="1012"/>
      <c r="EO154" s="384"/>
      <c r="EP154" s="384"/>
      <c r="EQ154" s="384"/>
      <c r="ER154" s="384"/>
      <c r="ES154" s="384"/>
      <c r="ET154" s="727"/>
      <c r="EU154" s="384"/>
      <c r="EV154" s="384"/>
      <c r="EW154" s="384"/>
      <c r="EX154" s="384"/>
      <c r="EY154" s="384"/>
      <c r="EZ154" s="727"/>
      <c r="FA154" s="384"/>
      <c r="FB154" s="384"/>
      <c r="FC154" s="384"/>
      <c r="FD154" s="727"/>
      <c r="FE154" s="384"/>
      <c r="FF154" s="384"/>
      <c r="FG154" s="384"/>
      <c r="FH154" s="384"/>
      <c r="FI154" s="384"/>
      <c r="FJ154" s="384"/>
    </row>
    <row r="155" spans="1:166" ht="15" hidden="1" customHeight="1">
      <c r="A155" s="79" t="s">
        <v>280</v>
      </c>
      <c r="B155" s="617">
        <v>200</v>
      </c>
      <c r="C155" s="617">
        <v>70</v>
      </c>
      <c r="D155" s="617"/>
      <c r="E155" s="608" t="s">
        <v>2009</v>
      </c>
      <c r="F155" s="181" t="s">
        <v>2241</v>
      </c>
      <c r="G155" s="182">
        <v>2006</v>
      </c>
      <c r="H155" s="79">
        <v>17100516</v>
      </c>
      <c r="I155" s="79">
        <v>1</v>
      </c>
      <c r="J155" s="79"/>
      <c r="K155" s="79"/>
      <c r="L155" s="79">
        <v>1</v>
      </c>
      <c r="M155" s="79"/>
      <c r="N155" s="79">
        <v>1</v>
      </c>
      <c r="O155" s="128">
        <v>1</v>
      </c>
      <c r="P155" s="79" t="s">
        <v>735</v>
      </c>
      <c r="Q155" s="79" t="s">
        <v>1154</v>
      </c>
      <c r="R155" s="79" t="s">
        <v>736</v>
      </c>
      <c r="S155" s="79">
        <v>1</v>
      </c>
      <c r="T155" s="79"/>
      <c r="U155" s="79"/>
      <c r="V155" s="79"/>
      <c r="W155" s="79" t="s">
        <v>492</v>
      </c>
      <c r="X155" s="79" t="s">
        <v>24</v>
      </c>
      <c r="Y155" s="79" t="s">
        <v>24</v>
      </c>
      <c r="Z155" s="79" t="s">
        <v>737</v>
      </c>
      <c r="AA155" s="79"/>
      <c r="AB155" s="79"/>
      <c r="AC155" s="506"/>
      <c r="AD155" s="573">
        <v>1</v>
      </c>
      <c r="AE155" s="573">
        <v>2</v>
      </c>
      <c r="AF155" s="352">
        <v>1</v>
      </c>
      <c r="AG155" s="353"/>
      <c r="AH155" s="704"/>
      <c r="AI155" s="346">
        <v>2</v>
      </c>
      <c r="AJ155" s="487" t="s">
        <v>5426</v>
      </c>
      <c r="AK155" s="459" t="s">
        <v>5394</v>
      </c>
      <c r="AL155" s="348">
        <v>1</v>
      </c>
      <c r="AM155" s="349">
        <v>0</v>
      </c>
      <c r="AN155" s="346">
        <f>Table66[[#This Row],[Data_Subjects_n_ptsd]]+Table66[[#This Row],[Data_Subjects_n_control]]</f>
        <v>68</v>
      </c>
      <c r="AO155" s="346">
        <v>37</v>
      </c>
      <c r="AP155" s="346">
        <v>31</v>
      </c>
      <c r="AQ155" s="346" t="s">
        <v>5395</v>
      </c>
      <c r="AR155" s="346" t="s">
        <v>5395</v>
      </c>
      <c r="AS155" s="346">
        <v>47.89</v>
      </c>
      <c r="AT155" s="346">
        <v>9.4</v>
      </c>
      <c r="AU155" s="346">
        <v>46.42</v>
      </c>
      <c r="AV155" s="346">
        <v>9.6</v>
      </c>
      <c r="AW155" s="346" t="s">
        <v>5414</v>
      </c>
      <c r="AX155" s="346"/>
      <c r="AY155" s="346"/>
      <c r="AZ155" s="754" t="s">
        <v>1874</v>
      </c>
      <c r="BA155" s="346" t="s">
        <v>24</v>
      </c>
      <c r="BB155" s="346" t="s">
        <v>24</v>
      </c>
      <c r="BC155" s="346" t="s">
        <v>2423</v>
      </c>
      <c r="BD155" s="754" t="s">
        <v>7521</v>
      </c>
      <c r="BE155" s="187">
        <v>0</v>
      </c>
      <c r="BF155" s="346" t="s">
        <v>3835</v>
      </c>
      <c r="BG155" s="346" t="s">
        <v>5209</v>
      </c>
      <c r="BH155" s="598"/>
      <c r="BI155" s="598"/>
      <c r="BJ155" s="184"/>
      <c r="BK155" s="184"/>
      <c r="BL155" s="184" t="s">
        <v>4727</v>
      </c>
      <c r="BM155" s="184"/>
      <c r="BN155" s="184"/>
      <c r="BO155" s="184" t="s">
        <v>4727</v>
      </c>
      <c r="BP155" s="184">
        <v>1</v>
      </c>
      <c r="BQ155" s="184"/>
      <c r="BR155" s="184" t="s">
        <v>4727</v>
      </c>
      <c r="BS155" s="184"/>
      <c r="BT155" s="184" t="s">
        <v>4727</v>
      </c>
      <c r="BU155" s="184"/>
      <c r="BV155" s="184"/>
      <c r="BW155" s="600" t="s">
        <v>5398</v>
      </c>
      <c r="BX155" s="185" t="s">
        <v>6611</v>
      </c>
      <c r="BY155" s="797" t="s">
        <v>7616</v>
      </c>
      <c r="BZ155" s="789" t="s">
        <v>803</v>
      </c>
      <c r="CA155" s="769">
        <v>2</v>
      </c>
      <c r="CB155" s="765" t="s">
        <v>7556</v>
      </c>
      <c r="CC155" s="765" t="s">
        <v>7380</v>
      </c>
      <c r="CD155" s="186" t="s">
        <v>1876</v>
      </c>
      <c r="CE155" s="186" t="s">
        <v>5396</v>
      </c>
      <c r="CF155" s="400"/>
      <c r="CG155" s="186" t="s">
        <v>8005</v>
      </c>
      <c r="CH155" s="753" t="s">
        <v>7313</v>
      </c>
      <c r="CI155" s="186" t="s">
        <v>24</v>
      </c>
      <c r="CJ155" s="186"/>
      <c r="CK155" s="186" t="s">
        <v>8203</v>
      </c>
      <c r="CL155" s="186" t="s">
        <v>7828</v>
      </c>
      <c r="CM155" s="261" t="s">
        <v>5430</v>
      </c>
      <c r="CN155" s="620" t="s">
        <v>6630</v>
      </c>
      <c r="CO155" s="830">
        <v>64</v>
      </c>
      <c r="CP155" s="830">
        <v>1</v>
      </c>
      <c r="CQ155" s="830">
        <v>3</v>
      </c>
      <c r="CR155" s="830">
        <v>1</v>
      </c>
      <c r="CS155" s="830">
        <v>1</v>
      </c>
      <c r="CT155" s="969"/>
      <c r="CU155" s="1288" t="s">
        <v>8103</v>
      </c>
      <c r="CV155" s="1294">
        <v>33</v>
      </c>
      <c r="CW155" s="1294">
        <v>26</v>
      </c>
      <c r="CX155" s="267" t="s">
        <v>5406</v>
      </c>
      <c r="CY155" s="271">
        <v>10.92</v>
      </c>
      <c r="CZ155" s="186">
        <v>2.63</v>
      </c>
      <c r="DA155" s="271" t="s">
        <v>24</v>
      </c>
      <c r="DB155" s="267" t="s">
        <v>5407</v>
      </c>
      <c r="DC155" s="186">
        <v>11.1</v>
      </c>
      <c r="DD155" s="186">
        <v>2.84</v>
      </c>
      <c r="DE155" s="186" t="s">
        <v>24</v>
      </c>
      <c r="DF155" s="642" t="s">
        <v>5421</v>
      </c>
      <c r="DG155" s="821" t="s">
        <v>5422</v>
      </c>
      <c r="DH155" s="1278"/>
      <c r="DI155" s="676"/>
      <c r="DJ155" s="1189"/>
      <c r="DK155" s="676"/>
      <c r="DL155" s="1278"/>
      <c r="DM155" s="346"/>
      <c r="DN155" s="1189"/>
      <c r="DO155" s="346"/>
      <c r="DP155" s="294"/>
      <c r="DQ155" s="295"/>
      <c r="DR155" s="1168"/>
      <c r="DS155" s="865"/>
      <c r="DT155" s="1157"/>
      <c r="DU155" s="1287"/>
      <c r="DV155" s="964"/>
      <c r="DW155" s="1287"/>
      <c r="DX155" s="1157"/>
      <c r="DY155" s="1189"/>
      <c r="DZ155" s="1189"/>
      <c r="EA155" s="1189"/>
      <c r="EB155" s="642"/>
      <c r="EC155" s="821"/>
      <c r="ED155" s="964"/>
      <c r="EE155" s="1287"/>
      <c r="EF155" s="964"/>
      <c r="EG155" s="1287"/>
      <c r="EH155" s="964"/>
      <c r="EI155" s="1189"/>
      <c r="EJ155" s="1189"/>
      <c r="EK155" s="1189"/>
      <c r="EL155" s="1193"/>
      <c r="EM155" s="1190"/>
      <c r="EN155" s="1168"/>
      <c r="EO155" s="1191"/>
      <c r="EP155" s="964"/>
      <c r="EQ155" s="1287"/>
      <c r="ER155" s="964"/>
      <c r="ES155" s="1287"/>
      <c r="ET155" s="964"/>
      <c r="EU155" s="1189"/>
      <c r="EV155" s="1189"/>
      <c r="EW155" s="1189"/>
      <c r="EX155" s="1190"/>
      <c r="EY155" s="1190"/>
      <c r="EZ155" s="964"/>
      <c r="FA155" s="1287"/>
      <c r="FB155" s="964"/>
      <c r="FC155" s="1287"/>
      <c r="FD155" s="964"/>
      <c r="FE155" s="1189"/>
      <c r="FF155" s="1189"/>
      <c r="FG155" s="1189"/>
      <c r="FH155" s="1190"/>
      <c r="FI155" s="1190"/>
      <c r="FJ155" s="1191"/>
    </row>
    <row r="156" spans="1:166" ht="15" hidden="1" customHeight="1">
      <c r="A156" s="118" t="s">
        <v>143</v>
      </c>
      <c r="B156" s="616">
        <v>109</v>
      </c>
      <c r="C156" s="616">
        <v>22</v>
      </c>
      <c r="D156" s="616"/>
      <c r="E156" s="605" t="s">
        <v>1951</v>
      </c>
      <c r="F156" s="140" t="s">
        <v>2170</v>
      </c>
      <c r="G156" s="141">
        <v>2009</v>
      </c>
      <c r="H156" s="118">
        <v>18800372</v>
      </c>
      <c r="I156" s="118">
        <v>1</v>
      </c>
      <c r="J156" s="118"/>
      <c r="K156" s="118"/>
      <c r="L156" s="118">
        <v>1</v>
      </c>
      <c r="M156" s="118"/>
      <c r="N156" s="118">
        <v>1</v>
      </c>
      <c r="O156" s="142">
        <v>1</v>
      </c>
      <c r="P156" s="118" t="s">
        <v>450</v>
      </c>
      <c r="Q156" s="118" t="s">
        <v>1147</v>
      </c>
      <c r="R156" s="118" t="s">
        <v>25</v>
      </c>
      <c r="S156" s="118">
        <v>1</v>
      </c>
      <c r="T156" s="118"/>
      <c r="U156" s="118"/>
      <c r="V156" s="118"/>
      <c r="W156" s="118" t="s">
        <v>449</v>
      </c>
      <c r="X156" s="118"/>
      <c r="Y156" s="118"/>
      <c r="Z156" s="118"/>
      <c r="AA156" s="118"/>
      <c r="AB156" s="118"/>
      <c r="AC156" s="145"/>
      <c r="AD156" s="573">
        <v>1</v>
      </c>
      <c r="AE156" s="573">
        <v>2</v>
      </c>
      <c r="AF156" s="909">
        <v>2</v>
      </c>
      <c r="AG156" s="910"/>
      <c r="AH156" s="911"/>
      <c r="AI156" s="912">
        <v>2</v>
      </c>
      <c r="AJ156" s="912"/>
      <c r="AK156" s="913" t="s">
        <v>4207</v>
      </c>
      <c r="AL156" s="588">
        <v>1</v>
      </c>
      <c r="AM156" s="914" t="s">
        <v>24</v>
      </c>
      <c r="AN156" s="912">
        <f>Table66[[#This Row],[Data_Subjects_n_ptsd]]+Table66[[#This Row],[Data_Subjects_n_control]]</f>
        <v>50</v>
      </c>
      <c r="AO156" s="912">
        <v>25</v>
      </c>
      <c r="AP156" s="912">
        <v>25</v>
      </c>
      <c r="AQ156" s="912" t="s">
        <v>803</v>
      </c>
      <c r="AR156" s="912" t="s">
        <v>803</v>
      </c>
      <c r="AS156" s="1120">
        <v>33.32</v>
      </c>
      <c r="AT156" s="912">
        <v>4.76</v>
      </c>
      <c r="AU156" s="1120">
        <v>34.799999999999997</v>
      </c>
      <c r="AV156" s="912">
        <v>4.5999999999999996</v>
      </c>
      <c r="AW156" s="912" t="s">
        <v>4160</v>
      </c>
      <c r="AX156" s="912"/>
      <c r="AY156" s="912"/>
      <c r="AZ156" s="915" t="s">
        <v>1874</v>
      </c>
      <c r="BA156" s="912" t="s">
        <v>24</v>
      </c>
      <c r="BB156" s="912" t="s">
        <v>24</v>
      </c>
      <c r="BC156" s="912" t="s">
        <v>4161</v>
      </c>
      <c r="BD156" s="915" t="s">
        <v>7521</v>
      </c>
      <c r="BE156" s="915"/>
      <c r="BF156" s="912" t="s">
        <v>3835</v>
      </c>
      <c r="BG156" s="912" t="s">
        <v>4162</v>
      </c>
      <c r="BH156" s="588"/>
      <c r="BI156" s="588"/>
      <c r="BJ156" s="161"/>
      <c r="BK156" s="161"/>
      <c r="BL156" s="161"/>
      <c r="BM156" s="161"/>
      <c r="BN156" s="161"/>
      <c r="BO156" s="161"/>
      <c r="BP156" s="161"/>
      <c r="BQ156" s="161"/>
      <c r="BR156" s="161"/>
      <c r="BS156" s="161"/>
      <c r="BT156" s="161">
        <v>1</v>
      </c>
      <c r="BU156" s="161"/>
      <c r="BV156" s="161"/>
      <c r="BW156" s="161" t="s">
        <v>4163</v>
      </c>
      <c r="BX156" s="916"/>
      <c r="BY156" s="916"/>
      <c r="BZ156" s="916"/>
      <c r="CA156" s="184"/>
      <c r="CB156" s="184"/>
      <c r="CC156" s="184"/>
      <c r="CD156" s="912" t="s">
        <v>1876</v>
      </c>
      <c r="CE156" s="912">
        <v>2</v>
      </c>
      <c r="CF156" s="912"/>
      <c r="CG156" s="912" t="s">
        <v>4164</v>
      </c>
      <c r="CH156" s="915" t="s">
        <v>7338</v>
      </c>
      <c r="CI156" s="912" t="s">
        <v>24</v>
      </c>
      <c r="CJ156" s="150">
        <v>1</v>
      </c>
      <c r="CK156" s="933" t="s">
        <v>4165</v>
      </c>
      <c r="CL156" s="933"/>
      <c r="CM156" s="918" t="s">
        <v>4166</v>
      </c>
      <c r="CN156" s="919"/>
      <c r="CO156" s="919">
        <v>21</v>
      </c>
      <c r="CP156" s="919"/>
      <c r="CQ156" s="919"/>
      <c r="CR156" s="919"/>
      <c r="CS156" s="919"/>
      <c r="CT156" s="968"/>
      <c r="CU156" s="968"/>
      <c r="CV156" s="968"/>
      <c r="CW156" s="968"/>
      <c r="CX156" s="916" t="s">
        <v>4167</v>
      </c>
      <c r="CY156" s="942">
        <v>97.84</v>
      </c>
      <c r="CZ156" s="912">
        <v>10.68</v>
      </c>
      <c r="DA156" s="942" t="s">
        <v>24</v>
      </c>
      <c r="DB156" s="947" t="s">
        <v>4168</v>
      </c>
      <c r="DC156" s="942">
        <v>102.56</v>
      </c>
      <c r="DD156" s="912">
        <v>11.3</v>
      </c>
      <c r="DE156" s="942" t="s">
        <v>24</v>
      </c>
      <c r="DF156" s="920" t="s">
        <v>4169</v>
      </c>
      <c r="DG156" s="598" t="s">
        <v>4170</v>
      </c>
      <c r="DH156" s="1132" t="s">
        <v>24</v>
      </c>
      <c r="DI156" s="942" t="s">
        <v>24</v>
      </c>
      <c r="DJ156" s="1240" t="s">
        <v>24</v>
      </c>
      <c r="DK156" s="942" t="s">
        <v>24</v>
      </c>
      <c r="DL156" s="1240" t="s">
        <v>24</v>
      </c>
      <c r="DM156" s="942" t="s">
        <v>24</v>
      </c>
      <c r="DN156" s="1240" t="s">
        <v>24</v>
      </c>
      <c r="DO156" s="1137" t="s">
        <v>24</v>
      </c>
      <c r="DP156" s="918"/>
      <c r="DQ156" s="1139"/>
      <c r="DR156" s="1187"/>
      <c r="DS156" s="1186"/>
      <c r="DT156" s="1240"/>
      <c r="DU156" s="942"/>
      <c r="DV156" s="1240"/>
      <c r="DW156" s="942"/>
      <c r="DX156" s="1240"/>
      <c r="DY156" s="942"/>
      <c r="DZ156" s="1240"/>
      <c r="EA156" s="942"/>
      <c r="EB156" s="1242"/>
      <c r="EC156" s="1240"/>
      <c r="ED156" s="1240"/>
      <c r="EE156" s="942"/>
      <c r="EF156" s="1240"/>
      <c r="EG156" s="942"/>
      <c r="EH156" s="1240"/>
      <c r="EI156" s="942"/>
      <c r="EJ156" s="1240"/>
      <c r="EK156" s="942"/>
      <c r="EL156" s="1242"/>
      <c r="EM156" s="1240"/>
      <c r="EN156" s="1242"/>
      <c r="EO156" s="1240"/>
      <c r="EP156" s="942"/>
      <c r="EQ156" s="942"/>
      <c r="ER156" s="942"/>
      <c r="ES156" s="942"/>
      <c r="ET156" s="943"/>
      <c r="EU156" s="942"/>
      <c r="EV156" s="942"/>
      <c r="EW156" s="942"/>
      <c r="EX156" s="942"/>
      <c r="EY156" s="942"/>
      <c r="EZ156" s="943"/>
      <c r="FA156" s="942"/>
      <c r="FB156" s="942"/>
      <c r="FC156" s="942"/>
      <c r="FD156" s="943"/>
      <c r="FE156" s="942"/>
      <c r="FF156" s="942"/>
      <c r="FG156" s="942"/>
      <c r="FH156" s="942"/>
      <c r="FI156" s="942"/>
      <c r="FJ156" s="1240"/>
    </row>
    <row r="157" spans="1:166" ht="15" hidden="1" customHeight="1">
      <c r="A157" s="1058" t="s">
        <v>291</v>
      </c>
      <c r="B157" s="1059">
        <v>209</v>
      </c>
      <c r="C157" s="1059">
        <v>74</v>
      </c>
      <c r="D157" s="1059"/>
      <c r="E157" s="1060" t="s">
        <v>2017</v>
      </c>
      <c r="F157" s="1061" t="s">
        <v>2249</v>
      </c>
      <c r="G157" s="1062">
        <v>2013</v>
      </c>
      <c r="H157" s="1058">
        <v>23755991</v>
      </c>
      <c r="I157" s="1058">
        <v>1</v>
      </c>
      <c r="J157" s="1058"/>
      <c r="K157" s="1058"/>
      <c r="L157" s="1058">
        <v>1</v>
      </c>
      <c r="M157" s="1058"/>
      <c r="N157" s="1058">
        <v>1</v>
      </c>
      <c r="O157" s="1063">
        <v>1</v>
      </c>
      <c r="P157" s="1058" t="s">
        <v>1914</v>
      </c>
      <c r="Q157" s="1058" t="s">
        <v>1160</v>
      </c>
      <c r="R157" s="1058" t="s">
        <v>762</v>
      </c>
      <c r="S157" s="1058">
        <v>1</v>
      </c>
      <c r="T157" s="1058"/>
      <c r="U157" s="1058"/>
      <c r="V157" s="1058"/>
      <c r="W157" s="1058" t="s">
        <v>763</v>
      </c>
      <c r="X157" s="1058"/>
      <c r="Y157" s="1058"/>
      <c r="Z157" s="1058"/>
      <c r="AA157" s="1058"/>
      <c r="AB157" s="1058"/>
      <c r="AC157" s="1064"/>
      <c r="AD157" s="1065">
        <v>1</v>
      </c>
      <c r="AE157" s="1065">
        <v>2</v>
      </c>
      <c r="AF157" s="1066">
        <v>1</v>
      </c>
      <c r="AG157" s="1067" t="s">
        <v>7288</v>
      </c>
      <c r="AH157" s="1068">
        <v>0</v>
      </c>
      <c r="AI157" s="1064">
        <v>2</v>
      </c>
      <c r="AJ157" s="1069"/>
      <c r="AK157" s="1070" t="s">
        <v>5512</v>
      </c>
      <c r="AL157" s="1071">
        <v>1</v>
      </c>
      <c r="AM157" s="1072">
        <v>0</v>
      </c>
      <c r="AN157" s="1064">
        <f>Table66[[#This Row],[Data_Subjects_n_ptsd]]+Table66[[#This Row],[Data_Subjects_n_control]]</f>
        <v>40</v>
      </c>
      <c r="AO157" s="1064">
        <v>19</v>
      </c>
      <c r="AP157" s="1064">
        <v>21</v>
      </c>
      <c r="AQ157" s="1064" t="s">
        <v>5515</v>
      </c>
      <c r="AR157" s="1064" t="s">
        <v>5516</v>
      </c>
      <c r="AS157" s="1730">
        <v>32.47</v>
      </c>
      <c r="AT157" s="1064">
        <v>6.96</v>
      </c>
      <c r="AU157" s="1730">
        <v>34</v>
      </c>
      <c r="AV157" s="1064">
        <v>8.92</v>
      </c>
      <c r="AW157" s="1064" t="s">
        <v>5510</v>
      </c>
      <c r="AX157" s="1064"/>
      <c r="AY157" s="1064"/>
      <c r="AZ157" s="1064" t="s">
        <v>1874</v>
      </c>
      <c r="BA157" s="1064" t="s">
        <v>24</v>
      </c>
      <c r="BB157" s="1064" t="s">
        <v>24</v>
      </c>
      <c r="BC157" s="1064" t="s">
        <v>2423</v>
      </c>
      <c r="BD157" s="1093" t="s">
        <v>7521</v>
      </c>
      <c r="BE157" s="187">
        <v>0</v>
      </c>
      <c r="BF157" s="1064" t="s">
        <v>3835</v>
      </c>
      <c r="BG157" s="1064" t="s">
        <v>5513</v>
      </c>
      <c r="BH157" s="1073"/>
      <c r="BI157" s="1073"/>
      <c r="BJ157" s="1074"/>
      <c r="BK157" s="1074"/>
      <c r="BL157" s="1074"/>
      <c r="BM157" s="1074"/>
      <c r="BN157" s="1074"/>
      <c r="BO157" s="1074" t="s">
        <v>4727</v>
      </c>
      <c r="BP157" s="1074">
        <v>1</v>
      </c>
      <c r="BQ157" s="1074"/>
      <c r="BR157" s="1074"/>
      <c r="BS157" s="1074"/>
      <c r="BT157" s="1074" t="s">
        <v>4727</v>
      </c>
      <c r="BU157" s="1074"/>
      <c r="BV157" s="1074"/>
      <c r="BW157" s="1075" t="s">
        <v>5540</v>
      </c>
      <c r="BX157" s="1076" t="s">
        <v>6611</v>
      </c>
      <c r="BY157" s="1077" t="s">
        <v>7616</v>
      </c>
      <c r="BZ157" s="1078" t="s">
        <v>803</v>
      </c>
      <c r="CA157" s="1725">
        <v>2</v>
      </c>
      <c r="CB157" s="1629" t="s">
        <v>7556</v>
      </c>
      <c r="CC157" s="660" t="s">
        <v>7380</v>
      </c>
      <c r="CD157" s="1079" t="s">
        <v>1876</v>
      </c>
      <c r="CE157" s="1079" t="s">
        <v>5518</v>
      </c>
      <c r="CF157" s="1079"/>
      <c r="CG157" s="1079" t="s">
        <v>7341</v>
      </c>
      <c r="CH157" s="1079" t="s">
        <v>7313</v>
      </c>
      <c r="CI157" s="1079" t="s">
        <v>24</v>
      </c>
      <c r="CJ157" s="1079"/>
      <c r="CK157" s="1079" t="s">
        <v>8186</v>
      </c>
      <c r="CL157" s="1079" t="s">
        <v>7828</v>
      </c>
      <c r="CM157" s="1080" t="s">
        <v>5538</v>
      </c>
      <c r="CN157" s="1081" t="s">
        <v>6632</v>
      </c>
      <c r="CO157" s="1082">
        <v>67</v>
      </c>
      <c r="CP157" s="1082">
        <v>1</v>
      </c>
      <c r="CQ157" s="1082">
        <v>2</v>
      </c>
      <c r="CR157" s="1082">
        <v>1</v>
      </c>
      <c r="CS157" s="1082">
        <v>1</v>
      </c>
      <c r="CT157" s="1083"/>
      <c r="CU157" s="1288" t="s">
        <v>8103</v>
      </c>
      <c r="CV157" s="1294">
        <v>35</v>
      </c>
      <c r="CW157" s="1294">
        <v>28</v>
      </c>
      <c r="CX157" s="1293" t="s">
        <v>5527</v>
      </c>
      <c r="CY157" s="150">
        <v>-0.05</v>
      </c>
      <c r="CZ157" s="150">
        <v>0.94</v>
      </c>
      <c r="DA157" s="150" t="s">
        <v>24</v>
      </c>
      <c r="DB157" s="542" t="s">
        <v>5528</v>
      </c>
      <c r="DC157" s="150">
        <v>0.14000000000000001</v>
      </c>
      <c r="DD157" s="150">
        <v>0.85</v>
      </c>
      <c r="DE157" s="150" t="s">
        <v>24</v>
      </c>
      <c r="DF157" s="543" t="s">
        <v>5535</v>
      </c>
      <c r="DG157" s="545" t="s">
        <v>5537</v>
      </c>
      <c r="DH157" s="1731"/>
      <c r="DI157" s="1064"/>
      <c r="DJ157" s="1093"/>
      <c r="DK157" s="1064"/>
      <c r="DL157" s="1731"/>
      <c r="DM157" s="1064"/>
      <c r="DN157" s="1093"/>
      <c r="DO157" s="1064"/>
      <c r="DP157" s="1085"/>
      <c r="DQ157" s="1084"/>
      <c r="DR157" s="1199"/>
      <c r="DS157" s="1200"/>
      <c r="DT157" s="1197"/>
      <c r="DU157" s="1058"/>
      <c r="DV157" s="1093"/>
      <c r="DW157" s="1058"/>
      <c r="DX157" s="1197"/>
      <c r="DY157" s="1064"/>
      <c r="DZ157" s="1093"/>
      <c r="EA157" s="1064"/>
      <c r="EB157" s="1086"/>
      <c r="EC157" s="1087"/>
      <c r="ED157" s="1273"/>
      <c r="EE157" s="1732"/>
      <c r="EF157" s="1093"/>
      <c r="EG157" s="1064"/>
      <c r="EH157" s="1093"/>
      <c r="EI157" s="1064"/>
      <c r="EJ157" s="1093"/>
      <c r="EK157" s="1064"/>
      <c r="EL157" s="1086"/>
      <c r="EM157" s="1087"/>
      <c r="EN157" s="1199"/>
      <c r="EO157" s="1196"/>
      <c r="EP157" s="1064"/>
      <c r="EQ157" s="1064"/>
      <c r="ER157" s="1064"/>
      <c r="ES157" s="1064"/>
      <c r="ET157" s="1642"/>
      <c r="EU157" s="1064"/>
      <c r="EV157" s="1064"/>
      <c r="EW157" s="1064"/>
      <c r="EX157" s="1733"/>
      <c r="EY157" s="1733"/>
      <c r="EZ157" s="1642"/>
      <c r="FA157" s="1064"/>
      <c r="FB157" s="1064"/>
      <c r="FC157" s="1064"/>
      <c r="FD157" s="1642"/>
      <c r="FE157" s="1064"/>
      <c r="FF157" s="1064"/>
      <c r="FG157" s="1064"/>
      <c r="FH157" s="1733"/>
      <c r="FI157" s="1733"/>
      <c r="FJ157" s="1088"/>
    </row>
    <row r="158" spans="1:166" ht="15" hidden="1" customHeight="1">
      <c r="A158" s="79" t="s">
        <v>358</v>
      </c>
      <c r="B158" s="362">
        <v>258</v>
      </c>
      <c r="C158" s="362"/>
      <c r="D158" s="362">
        <v>112</v>
      </c>
      <c r="E158" s="604" t="s">
        <v>2046</v>
      </c>
      <c r="F158" s="124" t="s">
        <v>2286</v>
      </c>
      <c r="G158" s="125">
        <v>2016</v>
      </c>
      <c r="H158" s="79">
        <v>26892753</v>
      </c>
      <c r="I158" s="79">
        <v>1</v>
      </c>
      <c r="J158" s="126"/>
      <c r="K158" s="127"/>
      <c r="L158" s="79">
        <v>1</v>
      </c>
      <c r="M158" s="79"/>
      <c r="N158" s="79">
        <v>1</v>
      </c>
      <c r="O158" s="128">
        <v>1</v>
      </c>
      <c r="P158" s="79" t="s">
        <v>924</v>
      </c>
      <c r="Q158" s="79" t="s">
        <v>1196</v>
      </c>
      <c r="R158" s="79" t="s">
        <v>819</v>
      </c>
      <c r="S158" s="79">
        <v>1</v>
      </c>
      <c r="T158" s="79"/>
      <c r="U158" s="79"/>
      <c r="V158" s="79"/>
      <c r="W158" s="79" t="s">
        <v>923</v>
      </c>
      <c r="X158" s="79" t="s">
        <v>24</v>
      </c>
      <c r="Y158" s="79" t="s">
        <v>24</v>
      </c>
      <c r="Z158" s="79" t="s">
        <v>925</v>
      </c>
      <c r="AA158" s="79"/>
      <c r="AB158" s="79"/>
      <c r="AC158" s="506" t="s">
        <v>6331</v>
      </c>
      <c r="AD158" s="573">
        <v>1</v>
      </c>
      <c r="AE158" s="573">
        <v>1</v>
      </c>
      <c r="AF158" s="154">
        <v>1</v>
      </c>
      <c r="AG158" s="155"/>
      <c r="AH158" s="704"/>
      <c r="AI158" s="121">
        <v>2</v>
      </c>
      <c r="AJ158" s="484"/>
      <c r="AK158" s="202"/>
      <c r="AL158" s="192">
        <v>1</v>
      </c>
      <c r="AM158" s="203">
        <v>0</v>
      </c>
      <c r="AN158" s="121">
        <f>Table66[[#This Row],[Data_Subjects_n_ptsd]]+Table66[[#This Row],[Data_Subjects_n_control]]</f>
        <v>80</v>
      </c>
      <c r="AO158" s="121">
        <v>40</v>
      </c>
      <c r="AP158" s="121">
        <v>40</v>
      </c>
      <c r="AQ158" s="121" t="s">
        <v>7156</v>
      </c>
      <c r="AR158" s="121" t="s">
        <v>7157</v>
      </c>
      <c r="AS158" s="448">
        <v>35.200000000000003</v>
      </c>
      <c r="AT158" s="121">
        <v>9.8000000000000007</v>
      </c>
      <c r="AU158" s="448">
        <v>32.9</v>
      </c>
      <c r="AV158" s="121">
        <v>8.6999999999999993</v>
      </c>
      <c r="AW158" s="121" t="s">
        <v>1874</v>
      </c>
      <c r="AX158" s="121"/>
      <c r="AY158" s="121"/>
      <c r="AZ158" s="754" t="s">
        <v>1874</v>
      </c>
      <c r="BA158" s="121" t="s">
        <v>24</v>
      </c>
      <c r="BB158" s="121" t="s">
        <v>24</v>
      </c>
      <c r="BC158" s="121" t="s">
        <v>2423</v>
      </c>
      <c r="BD158" s="754" t="s">
        <v>7521</v>
      </c>
      <c r="BE158" s="187">
        <v>0</v>
      </c>
      <c r="BF158" s="121" t="s">
        <v>3835</v>
      </c>
      <c r="BG158" s="121" t="s">
        <v>1875</v>
      </c>
      <c r="BH158" s="594"/>
      <c r="BI158" s="594" t="s">
        <v>6332</v>
      </c>
      <c r="BJ158" s="156"/>
      <c r="BK158" s="156"/>
      <c r="BL158" s="156" t="s">
        <v>5207</v>
      </c>
      <c r="BM158" s="156"/>
      <c r="BN158" s="156"/>
      <c r="BO158" s="156" t="s">
        <v>5207</v>
      </c>
      <c r="BP158" s="156" t="s">
        <v>6174</v>
      </c>
      <c r="BQ158" s="156"/>
      <c r="BR158" s="156" t="s">
        <v>5207</v>
      </c>
      <c r="BS158" s="156"/>
      <c r="BT158" s="156" t="s">
        <v>4727</v>
      </c>
      <c r="BU158" s="156" t="s">
        <v>5207</v>
      </c>
      <c r="BV158" s="156" t="s">
        <v>6293</v>
      </c>
      <c r="BW158" s="595" t="s">
        <v>7173</v>
      </c>
      <c r="BX158" s="157" t="s">
        <v>6609</v>
      </c>
      <c r="BY158" s="797" t="s">
        <v>7616</v>
      </c>
      <c r="BZ158" s="789" t="s">
        <v>803</v>
      </c>
      <c r="CA158" s="765">
        <v>2</v>
      </c>
      <c r="CB158" s="765" t="s">
        <v>7556</v>
      </c>
      <c r="CC158" s="660" t="s">
        <v>7380</v>
      </c>
      <c r="CD158" s="134" t="s">
        <v>1876</v>
      </c>
      <c r="CE158" s="134">
        <v>2</v>
      </c>
      <c r="CF158" s="400"/>
      <c r="CG158" s="134" t="s">
        <v>7158</v>
      </c>
      <c r="CH158" s="753" t="s">
        <v>7313</v>
      </c>
      <c r="CI158" s="134" t="s">
        <v>24</v>
      </c>
      <c r="CJ158" s="134"/>
      <c r="CK158" s="134" t="s">
        <v>8082</v>
      </c>
      <c r="CL158" s="134" t="s">
        <v>7828</v>
      </c>
      <c r="CM158" s="259" t="s">
        <v>7172</v>
      </c>
      <c r="CN158" s="454">
        <v>0</v>
      </c>
      <c r="CO158" s="828">
        <v>86</v>
      </c>
      <c r="CP158" s="828">
        <v>1</v>
      </c>
      <c r="CQ158" s="828">
        <v>2</v>
      </c>
      <c r="CR158" s="828">
        <v>1</v>
      </c>
      <c r="CS158" s="828">
        <v>1</v>
      </c>
      <c r="CT158" s="967"/>
      <c r="CU158" s="1288" t="s">
        <v>8103</v>
      </c>
      <c r="CV158" s="1294">
        <v>42</v>
      </c>
      <c r="CW158" s="1294">
        <v>36</v>
      </c>
      <c r="CX158" s="138" t="s">
        <v>7164</v>
      </c>
      <c r="CY158" s="190">
        <v>11</v>
      </c>
      <c r="CZ158" s="134">
        <v>3</v>
      </c>
      <c r="DA158" s="190" t="s">
        <v>24</v>
      </c>
      <c r="DB158" s="138" t="s">
        <v>7165</v>
      </c>
      <c r="DC158" s="134">
        <v>11.1</v>
      </c>
      <c r="DD158" s="134">
        <v>2.9</v>
      </c>
      <c r="DE158" s="134" t="s">
        <v>24</v>
      </c>
      <c r="DF158" s="1726" t="s">
        <v>7168</v>
      </c>
      <c r="DG158" s="1727" t="s">
        <v>3790</v>
      </c>
      <c r="DH158" s="1284"/>
      <c r="DI158" s="121"/>
      <c r="DJ158" s="1169"/>
      <c r="DK158" s="121"/>
      <c r="DL158" s="1284"/>
      <c r="DM158" s="121"/>
      <c r="DN158" s="1169"/>
      <c r="DO158" s="121"/>
      <c r="DP158" s="403"/>
      <c r="DQ158" s="404"/>
      <c r="DR158" s="1168"/>
      <c r="DS158" s="865"/>
      <c r="DT158" s="1171"/>
      <c r="DU158" s="417"/>
      <c r="DV158" s="1169"/>
      <c r="DW158" s="417"/>
      <c r="DX158" s="1169"/>
      <c r="DY158" s="1169"/>
      <c r="DZ158" s="1169"/>
      <c r="EA158" s="1169"/>
      <c r="EB158" s="304"/>
      <c r="EC158" s="312"/>
      <c r="ED158" s="1169"/>
      <c r="EE158" s="1169"/>
      <c r="EF158" s="1169"/>
      <c r="EG158" s="1169"/>
      <c r="EH158" s="1169"/>
      <c r="EI158" s="1169"/>
      <c r="EJ158" s="1169"/>
      <c r="EK158" s="1169"/>
      <c r="EL158" s="304"/>
      <c r="EM158" s="312"/>
      <c r="EN158" s="309"/>
      <c r="EO158" s="1170"/>
      <c r="EP158" s="1169"/>
      <c r="EQ158" s="1169"/>
      <c r="ER158" s="1169"/>
      <c r="ES158" s="1169"/>
      <c r="ET158" s="1171"/>
      <c r="EU158" s="1169"/>
      <c r="EV158" s="1169"/>
      <c r="EW158" s="1169"/>
      <c r="EX158" s="312"/>
      <c r="EY158" s="312"/>
      <c r="EZ158" s="1171"/>
      <c r="FA158" s="1169"/>
      <c r="FB158" s="1169"/>
      <c r="FC158" s="1169"/>
      <c r="FD158" s="1171"/>
      <c r="FE158" s="1169"/>
      <c r="FF158" s="1169"/>
      <c r="FG158" s="1169"/>
      <c r="FH158" s="312"/>
      <c r="FI158" s="312"/>
      <c r="FJ158" s="1170"/>
    </row>
    <row r="159" spans="1:166" ht="15" hidden="1" customHeight="1">
      <c r="A159" s="118" t="s">
        <v>121</v>
      </c>
      <c r="B159" s="616">
        <v>93</v>
      </c>
      <c r="C159" s="616">
        <v>17</v>
      </c>
      <c r="D159" s="616"/>
      <c r="E159" s="605" t="s">
        <v>1940</v>
      </c>
      <c r="F159" s="140" t="s">
        <v>2159</v>
      </c>
      <c r="G159" s="141">
        <v>2002</v>
      </c>
      <c r="H159" s="118">
        <v>12607144</v>
      </c>
      <c r="I159" s="118">
        <v>1</v>
      </c>
      <c r="J159" s="118"/>
      <c r="K159" s="118"/>
      <c r="L159" s="118">
        <v>1</v>
      </c>
      <c r="M159" s="118"/>
      <c r="N159" s="118">
        <v>1</v>
      </c>
      <c r="O159" s="142">
        <v>1</v>
      </c>
      <c r="P159" s="118" t="s">
        <v>408</v>
      </c>
      <c r="Q159" s="118"/>
      <c r="R159" s="118" t="s">
        <v>25</v>
      </c>
      <c r="S159" s="118">
        <v>1</v>
      </c>
      <c r="T159" s="118"/>
      <c r="U159" s="118"/>
      <c r="V159" s="118"/>
      <c r="W159" s="118"/>
      <c r="X159" s="118"/>
      <c r="Y159" s="118"/>
      <c r="Z159" s="118"/>
      <c r="AA159" s="118"/>
      <c r="AB159" s="118"/>
      <c r="AC159" s="145"/>
      <c r="AD159" s="573">
        <v>1</v>
      </c>
      <c r="AE159" s="573">
        <v>2</v>
      </c>
      <c r="AF159" s="159">
        <v>1</v>
      </c>
      <c r="AG159" s="160" t="s">
        <v>7760</v>
      </c>
      <c r="AH159" s="704"/>
      <c r="AI159" s="122">
        <v>2</v>
      </c>
      <c r="AJ159" s="485"/>
      <c r="AK159" s="204" t="s">
        <v>3991</v>
      </c>
      <c r="AL159" s="192">
        <v>1</v>
      </c>
      <c r="AM159" s="227">
        <v>0</v>
      </c>
      <c r="AN159" s="150">
        <f>80+80</f>
        <v>160</v>
      </c>
      <c r="AO159" s="150">
        <v>80</v>
      </c>
      <c r="AP159" s="150">
        <v>80</v>
      </c>
      <c r="AQ159" s="150" t="s">
        <v>803</v>
      </c>
      <c r="AR159" s="150" t="s">
        <v>803</v>
      </c>
      <c r="AS159" s="425">
        <v>37.96</v>
      </c>
      <c r="AT159" s="150">
        <v>2.39</v>
      </c>
      <c r="AU159" s="425">
        <v>37.950000000000003</v>
      </c>
      <c r="AV159" s="150">
        <v>2.56</v>
      </c>
      <c r="AW159" s="150" t="s">
        <v>3994</v>
      </c>
      <c r="AX159" s="150" t="s">
        <v>24</v>
      </c>
      <c r="AY159" s="150" t="s">
        <v>24</v>
      </c>
      <c r="AZ159" s="753" t="s">
        <v>1874</v>
      </c>
      <c r="BA159" s="150" t="s">
        <v>24</v>
      </c>
      <c r="BB159" s="150" t="s">
        <v>24</v>
      </c>
      <c r="BC159" s="150" t="s">
        <v>2423</v>
      </c>
      <c r="BD159" s="753" t="s">
        <v>7521</v>
      </c>
      <c r="BE159" s="187">
        <v>0</v>
      </c>
      <c r="BF159" s="150" t="s">
        <v>3835</v>
      </c>
      <c r="BG159" s="150" t="s">
        <v>3995</v>
      </c>
      <c r="BH159" s="588"/>
      <c r="BI159" s="588"/>
      <c r="BJ159" s="161"/>
      <c r="BK159" s="161"/>
      <c r="BL159" s="161"/>
      <c r="BM159" s="161"/>
      <c r="BN159" s="161"/>
      <c r="BO159" s="161"/>
      <c r="BP159" s="161">
        <v>1</v>
      </c>
      <c r="BQ159" s="161"/>
      <c r="BR159" s="161"/>
      <c r="BS159" s="161"/>
      <c r="BT159" s="161"/>
      <c r="BU159" s="161"/>
      <c r="BV159" s="161"/>
      <c r="BW159" s="596" t="s">
        <v>7759</v>
      </c>
      <c r="BX159" s="162" t="s">
        <v>6609</v>
      </c>
      <c r="BY159" s="797" t="s">
        <v>7616</v>
      </c>
      <c r="BZ159" s="789" t="s">
        <v>803</v>
      </c>
      <c r="CA159" s="765">
        <v>2</v>
      </c>
      <c r="CB159" s="765" t="s">
        <v>7556</v>
      </c>
      <c r="CC159" s="660" t="s">
        <v>7380</v>
      </c>
      <c r="CD159" s="150" t="s">
        <v>1876</v>
      </c>
      <c r="CE159" s="150" t="s">
        <v>7751</v>
      </c>
      <c r="CF159" s="400"/>
      <c r="CG159" s="150" t="s">
        <v>4007</v>
      </c>
      <c r="CH159" s="753" t="s">
        <v>7313</v>
      </c>
      <c r="CI159" s="150" t="s">
        <v>24</v>
      </c>
      <c r="CJ159" s="150"/>
      <c r="CK159" s="150" t="s">
        <v>7754</v>
      </c>
      <c r="CL159" s="150" t="s">
        <v>7829</v>
      </c>
      <c r="CM159" s="258" t="s">
        <v>4062</v>
      </c>
      <c r="CN159" s="257">
        <v>0</v>
      </c>
      <c r="CO159" s="829">
        <v>16</v>
      </c>
      <c r="CP159" s="829">
        <v>1</v>
      </c>
      <c r="CQ159" s="829">
        <v>5</v>
      </c>
      <c r="CR159" s="829">
        <v>1</v>
      </c>
      <c r="CS159" s="829">
        <v>1</v>
      </c>
      <c r="CT159" s="968"/>
      <c r="CU159" s="1288" t="s">
        <v>8103</v>
      </c>
      <c r="CV159" s="1294">
        <v>10</v>
      </c>
      <c r="CW159" s="1294">
        <v>9</v>
      </c>
      <c r="CX159" s="150" t="s">
        <v>4042</v>
      </c>
      <c r="CY159" s="150">
        <v>13.81</v>
      </c>
      <c r="CZ159" s="150">
        <v>2.0299999999999998</v>
      </c>
      <c r="DA159" s="150" t="s">
        <v>24</v>
      </c>
      <c r="DB159" s="150" t="s">
        <v>4047</v>
      </c>
      <c r="DC159" s="150">
        <v>13.83</v>
      </c>
      <c r="DD159" s="150">
        <v>2.0099999999999998</v>
      </c>
      <c r="DE159" s="150" t="s">
        <v>24</v>
      </c>
      <c r="DF159" s="549" t="s">
        <v>24</v>
      </c>
      <c r="DG159" s="551" t="s">
        <v>24</v>
      </c>
      <c r="DH159" s="419"/>
      <c r="DI159" s="1169"/>
      <c r="DJ159" s="1169"/>
      <c r="DK159" s="1169"/>
      <c r="DL159" s="419"/>
      <c r="DM159" s="1169"/>
      <c r="DN159" s="1169"/>
      <c r="DO159" s="1169"/>
      <c r="DP159" s="290"/>
      <c r="DQ159" s="291"/>
      <c r="DR159" s="1168"/>
      <c r="DS159" s="865"/>
      <c r="DT159" s="1166"/>
      <c r="DU159" s="500"/>
      <c r="DV159" s="1164"/>
      <c r="DW159" s="500"/>
      <c r="DX159" s="1166"/>
      <c r="DY159" s="1164"/>
      <c r="DZ159" s="1164"/>
      <c r="EA159" s="1164"/>
      <c r="EB159" s="311"/>
      <c r="EC159" s="313"/>
      <c r="ED159" s="1164"/>
      <c r="EE159" s="1164"/>
      <c r="EF159" s="1164"/>
      <c r="EG159" s="1164"/>
      <c r="EH159" s="1164"/>
      <c r="EI159" s="1164"/>
      <c r="EJ159" s="1164"/>
      <c r="EK159" s="1164"/>
      <c r="EL159" s="311"/>
      <c r="EM159" s="313"/>
      <c r="EN159" s="1167"/>
      <c r="EO159" s="1165"/>
      <c r="EP159" s="1164"/>
      <c r="EQ159" s="1164"/>
      <c r="ER159" s="1164"/>
      <c r="ES159" s="1164"/>
      <c r="ET159" s="1164"/>
      <c r="EU159" s="1164"/>
      <c r="EV159" s="1164"/>
      <c r="EW159" s="1164"/>
      <c r="EX159" s="313"/>
      <c r="EY159" s="313"/>
      <c r="EZ159" s="1166"/>
      <c r="FA159" s="1164"/>
      <c r="FB159" s="1164"/>
      <c r="FC159" s="1164"/>
      <c r="FD159" s="1166"/>
      <c r="FE159" s="1164"/>
      <c r="FF159" s="1164"/>
      <c r="FG159" s="1164"/>
      <c r="FH159" s="313"/>
      <c r="FI159" s="313"/>
      <c r="FJ159" s="1165"/>
    </row>
    <row r="160" spans="1:166" ht="15" hidden="1" customHeight="1">
      <c r="A160" s="118" t="s">
        <v>143</v>
      </c>
      <c r="B160" s="616">
        <v>109</v>
      </c>
      <c r="C160" s="616">
        <v>22</v>
      </c>
      <c r="D160" s="616"/>
      <c r="E160" s="605" t="s">
        <v>1951</v>
      </c>
      <c r="F160" s="140" t="s">
        <v>2170</v>
      </c>
      <c r="G160" s="141">
        <v>2009</v>
      </c>
      <c r="H160" s="118">
        <v>18800372</v>
      </c>
      <c r="I160" s="118">
        <v>1</v>
      </c>
      <c r="J160" s="118"/>
      <c r="K160" s="118"/>
      <c r="L160" s="118">
        <v>1</v>
      </c>
      <c r="M160" s="118"/>
      <c r="N160" s="118">
        <v>1</v>
      </c>
      <c r="O160" s="142">
        <v>1</v>
      </c>
      <c r="P160" s="118" t="s">
        <v>450</v>
      </c>
      <c r="Q160" s="118" t="s">
        <v>1147</v>
      </c>
      <c r="R160" s="118" t="s">
        <v>25</v>
      </c>
      <c r="S160" s="118">
        <v>1</v>
      </c>
      <c r="T160" s="118"/>
      <c r="U160" s="118"/>
      <c r="V160" s="118"/>
      <c r="W160" s="118" t="s">
        <v>449</v>
      </c>
      <c r="X160" s="118"/>
      <c r="Y160" s="118"/>
      <c r="Z160" s="118"/>
      <c r="AA160" s="118"/>
      <c r="AB160" s="118"/>
      <c r="AC160" s="145"/>
      <c r="AD160" s="573">
        <v>1</v>
      </c>
      <c r="AE160" s="573">
        <v>2</v>
      </c>
      <c r="AF160" s="159">
        <v>1</v>
      </c>
      <c r="AG160" s="160"/>
      <c r="AH160" s="704"/>
      <c r="AI160" s="122">
        <v>2</v>
      </c>
      <c r="AJ160" s="485"/>
      <c r="AK160" s="204" t="s">
        <v>4207</v>
      </c>
      <c r="AL160" s="192">
        <v>1</v>
      </c>
      <c r="AM160" s="205">
        <v>0</v>
      </c>
      <c r="AN160" s="122">
        <f>Table66[[#This Row],[Data_Subjects_n_ptsd]]+Table66[[#This Row],[Data_Subjects_n_control]]</f>
        <v>47</v>
      </c>
      <c r="AO160" s="122">
        <v>22</v>
      </c>
      <c r="AP160" s="122">
        <v>25</v>
      </c>
      <c r="AQ160" s="122" t="s">
        <v>803</v>
      </c>
      <c r="AR160" s="122" t="s">
        <v>803</v>
      </c>
      <c r="AS160" s="425">
        <v>33.32</v>
      </c>
      <c r="AT160" s="150">
        <v>4.76</v>
      </c>
      <c r="AU160" s="425">
        <v>34.799999999999997</v>
      </c>
      <c r="AV160" s="150">
        <v>4.5999999999999996</v>
      </c>
      <c r="AW160" s="150" t="s">
        <v>4160</v>
      </c>
      <c r="AX160" s="122"/>
      <c r="AY160" s="122"/>
      <c r="AZ160" s="754" t="s">
        <v>1874</v>
      </c>
      <c r="BA160" s="122" t="s">
        <v>24</v>
      </c>
      <c r="BB160" s="122" t="s">
        <v>24</v>
      </c>
      <c r="BC160" s="122" t="s">
        <v>4161</v>
      </c>
      <c r="BD160" s="754" t="s">
        <v>7521</v>
      </c>
      <c r="BE160" s="187">
        <v>0</v>
      </c>
      <c r="BF160" s="122" t="s">
        <v>3835</v>
      </c>
      <c r="BG160" s="122" t="s">
        <v>4162</v>
      </c>
      <c r="BH160" s="588"/>
      <c r="BI160" s="588"/>
      <c r="BJ160" s="161"/>
      <c r="BK160" s="161"/>
      <c r="BL160" s="161"/>
      <c r="BM160" s="161"/>
      <c r="BN160" s="161"/>
      <c r="BO160" s="161"/>
      <c r="BP160" s="161">
        <v>1</v>
      </c>
      <c r="BQ160" s="161"/>
      <c r="BR160" s="161"/>
      <c r="BS160" s="161"/>
      <c r="BT160" s="161"/>
      <c r="BU160" s="161"/>
      <c r="BV160" s="161"/>
      <c r="BW160" s="596" t="s">
        <v>4208</v>
      </c>
      <c r="BX160" s="162" t="s">
        <v>6609</v>
      </c>
      <c r="BY160" s="797" t="s">
        <v>7616</v>
      </c>
      <c r="BZ160" s="790" t="s">
        <v>803</v>
      </c>
      <c r="CA160" s="765">
        <v>2</v>
      </c>
      <c r="CB160" s="765" t="s">
        <v>7556</v>
      </c>
      <c r="CC160" s="660" t="s">
        <v>7380</v>
      </c>
      <c r="CD160" s="150" t="s">
        <v>1876</v>
      </c>
      <c r="CE160" s="150">
        <v>2</v>
      </c>
      <c r="CF160" s="400"/>
      <c r="CG160" s="150" t="s">
        <v>4179</v>
      </c>
      <c r="CH160" s="753" t="s">
        <v>7313</v>
      </c>
      <c r="CI160" s="150" t="s">
        <v>24</v>
      </c>
      <c r="CJ160" s="150">
        <v>1</v>
      </c>
      <c r="CK160" s="465" t="s">
        <v>7779</v>
      </c>
      <c r="CL160" s="465" t="s">
        <v>7829</v>
      </c>
      <c r="CM160" s="258" t="s">
        <v>4229</v>
      </c>
      <c r="CN160" s="257">
        <v>0</v>
      </c>
      <c r="CO160" s="829">
        <v>21</v>
      </c>
      <c r="CP160" s="829">
        <v>1</v>
      </c>
      <c r="CQ160" s="829">
        <v>6</v>
      </c>
      <c r="CR160" s="829">
        <v>1</v>
      </c>
      <c r="CS160" s="829">
        <v>1</v>
      </c>
      <c r="CT160" s="968"/>
      <c r="CU160" s="1288" t="s">
        <v>8103</v>
      </c>
      <c r="CV160" s="1294">
        <v>11</v>
      </c>
      <c r="CW160" s="1294">
        <v>10</v>
      </c>
      <c r="CX160" s="151" t="s">
        <v>4191</v>
      </c>
      <c r="CY160" s="150">
        <v>15.05</v>
      </c>
      <c r="CZ160" s="150">
        <v>1.1299999999999999</v>
      </c>
      <c r="DA160" s="150" t="s">
        <v>24</v>
      </c>
      <c r="DB160" s="151" t="s">
        <v>4192</v>
      </c>
      <c r="DC160" s="150">
        <v>15.24</v>
      </c>
      <c r="DD160" s="150">
        <v>1.01</v>
      </c>
      <c r="DE160" s="150" t="s">
        <v>24</v>
      </c>
      <c r="DF160" s="303" t="s">
        <v>3229</v>
      </c>
      <c r="DG160" s="303" t="s">
        <v>4228</v>
      </c>
      <c r="DH160" s="1184"/>
      <c r="DI160" s="122"/>
      <c r="DJ160" s="1164"/>
      <c r="DK160" s="122"/>
      <c r="DL160" s="1184"/>
      <c r="DM160" s="122"/>
      <c r="DN160" s="1164"/>
      <c r="DO160" s="122"/>
      <c r="DP160" s="290"/>
      <c r="DQ160" s="291"/>
      <c r="DR160" s="1168"/>
      <c r="DS160" s="865"/>
      <c r="DT160" s="1166"/>
      <c r="DU160" s="500"/>
      <c r="DV160" s="1164"/>
      <c r="DW160" s="500"/>
      <c r="DX160" s="1166"/>
      <c r="DY160" s="122"/>
      <c r="DZ160" s="1164"/>
      <c r="EA160" s="122"/>
      <c r="EB160" s="311"/>
      <c r="EC160" s="313"/>
      <c r="ED160" s="1164"/>
      <c r="EE160" s="122"/>
      <c r="EF160" s="1164"/>
      <c r="EG160" s="122"/>
      <c r="EH160" s="1164"/>
      <c r="EI160" s="122"/>
      <c r="EJ160" s="1164"/>
      <c r="EK160" s="122"/>
      <c r="EL160" s="311"/>
      <c r="EM160" s="313"/>
      <c r="EN160" s="1167"/>
      <c r="EO160" s="1165"/>
      <c r="EP160" s="122"/>
      <c r="EQ160" s="122"/>
      <c r="ER160" s="122"/>
      <c r="ES160" s="122"/>
      <c r="ET160" s="122"/>
      <c r="EU160" s="1164"/>
      <c r="EV160" s="1164"/>
      <c r="EW160" s="1164"/>
      <c r="EX160" s="313"/>
      <c r="EY160" s="313"/>
      <c r="EZ160" s="526"/>
      <c r="FA160" s="122"/>
      <c r="FB160" s="122"/>
      <c r="FC160" s="122"/>
      <c r="FD160" s="526"/>
      <c r="FE160" s="1164"/>
      <c r="FF160" s="1164"/>
      <c r="FG160" s="1164"/>
      <c r="FH160" s="313"/>
      <c r="FI160" s="313"/>
      <c r="FJ160" s="1165"/>
    </row>
    <row r="161" spans="1:166" ht="15" hidden="1" customHeight="1">
      <c r="A161" s="79" t="s">
        <v>279</v>
      </c>
      <c r="B161" s="362">
        <v>199</v>
      </c>
      <c r="C161" s="362">
        <v>69</v>
      </c>
      <c r="D161" s="362"/>
      <c r="E161" s="604" t="s">
        <v>2009</v>
      </c>
      <c r="F161" s="124" t="s">
        <v>2240</v>
      </c>
      <c r="G161" s="125">
        <v>2009</v>
      </c>
      <c r="H161" s="79">
        <v>19703319</v>
      </c>
      <c r="I161" s="79">
        <v>1</v>
      </c>
      <c r="J161" s="126"/>
      <c r="K161" s="127"/>
      <c r="L161" s="79">
        <v>1</v>
      </c>
      <c r="M161" s="79"/>
      <c r="N161" s="79">
        <v>1</v>
      </c>
      <c r="O161" s="128">
        <v>1</v>
      </c>
      <c r="P161" s="79" t="s">
        <v>733</v>
      </c>
      <c r="Q161" s="79" t="s">
        <v>1147</v>
      </c>
      <c r="R161" s="79" t="s">
        <v>25</v>
      </c>
      <c r="S161" s="79">
        <v>1</v>
      </c>
      <c r="T161" s="79"/>
      <c r="U161" s="79"/>
      <c r="V161" s="79"/>
      <c r="W161" s="79" t="s">
        <v>732</v>
      </c>
      <c r="X161" s="79"/>
      <c r="Y161" s="79"/>
      <c r="Z161" s="79"/>
      <c r="AA161" s="79"/>
      <c r="AB161" s="79" t="s">
        <v>734</v>
      </c>
      <c r="AC161" s="506"/>
      <c r="AD161" s="573">
        <v>1</v>
      </c>
      <c r="AE161" s="573">
        <v>2</v>
      </c>
      <c r="AF161" s="154">
        <v>1</v>
      </c>
      <c r="AG161" s="155" t="s">
        <v>5335</v>
      </c>
      <c r="AH161" s="704"/>
      <c r="AI161" s="121">
        <v>2</v>
      </c>
      <c r="AJ161" s="484"/>
      <c r="AK161" s="202" t="s">
        <v>5393</v>
      </c>
      <c r="AL161" s="192">
        <v>1</v>
      </c>
      <c r="AM161" s="203">
        <v>0</v>
      </c>
      <c r="AN161" s="121">
        <v>47</v>
      </c>
      <c r="AO161" s="121">
        <v>25</v>
      </c>
      <c r="AP161" s="121">
        <v>22</v>
      </c>
      <c r="AQ161" s="121" t="s">
        <v>803</v>
      </c>
      <c r="AR161" s="121" t="s">
        <v>803</v>
      </c>
      <c r="AS161" s="448" t="s">
        <v>7996</v>
      </c>
      <c r="AT161" s="121">
        <v>5.5</v>
      </c>
      <c r="AU161" s="448" t="s">
        <v>7998</v>
      </c>
      <c r="AV161" s="121">
        <v>5.6</v>
      </c>
      <c r="AW161" s="121" t="s">
        <v>4249</v>
      </c>
      <c r="AX161" s="121"/>
      <c r="AY161" s="121"/>
      <c r="AZ161" s="754" t="s">
        <v>1874</v>
      </c>
      <c r="BA161" s="121" t="s">
        <v>24</v>
      </c>
      <c r="BB161" s="121" t="s">
        <v>24</v>
      </c>
      <c r="BC161" s="121" t="s">
        <v>2423</v>
      </c>
      <c r="BD161" s="754" t="s">
        <v>7521</v>
      </c>
      <c r="BE161" s="187">
        <v>0</v>
      </c>
      <c r="BF161" s="121" t="s">
        <v>3835</v>
      </c>
      <c r="BG161" s="121" t="s">
        <v>4521</v>
      </c>
      <c r="BH161" s="594"/>
      <c r="BI161" s="594"/>
      <c r="BJ161" s="156"/>
      <c r="BK161" s="156"/>
      <c r="BL161" s="156"/>
      <c r="BM161" s="156"/>
      <c r="BN161" s="156"/>
      <c r="BO161" s="156"/>
      <c r="BP161" s="156">
        <v>1</v>
      </c>
      <c r="BQ161" s="156"/>
      <c r="BR161" s="156" t="s">
        <v>4727</v>
      </c>
      <c r="BS161" s="156"/>
      <c r="BT161" s="156" t="s">
        <v>4727</v>
      </c>
      <c r="BU161" s="156"/>
      <c r="BV161" s="156"/>
      <c r="BW161" s="595" t="s">
        <v>5336</v>
      </c>
      <c r="BX161" s="157" t="s">
        <v>6609</v>
      </c>
      <c r="BY161" s="797" t="s">
        <v>7616</v>
      </c>
      <c r="BZ161" s="789" t="s">
        <v>803</v>
      </c>
      <c r="CA161" s="769">
        <v>2</v>
      </c>
      <c r="CB161" s="765" t="s">
        <v>7556</v>
      </c>
      <c r="CC161" s="660" t="s">
        <v>7380</v>
      </c>
      <c r="CD161" s="134" t="s">
        <v>1876</v>
      </c>
      <c r="CE161" s="134">
        <v>2</v>
      </c>
      <c r="CF161" s="400"/>
      <c r="CG161" s="134" t="s">
        <v>4409</v>
      </c>
      <c r="CH161" s="753" t="s">
        <v>7313</v>
      </c>
      <c r="CI161" s="134" t="s">
        <v>24</v>
      </c>
      <c r="CJ161" s="134"/>
      <c r="CK161" s="134" t="s">
        <v>8000</v>
      </c>
      <c r="CL161" s="134" t="s">
        <v>8204</v>
      </c>
      <c r="CM161" s="259" t="s">
        <v>5392</v>
      </c>
      <c r="CN161" s="454">
        <v>0</v>
      </c>
      <c r="CO161" s="828">
        <v>63</v>
      </c>
      <c r="CP161" s="828">
        <v>1</v>
      </c>
      <c r="CQ161" s="828">
        <v>3</v>
      </c>
      <c r="CR161" s="828">
        <v>1</v>
      </c>
      <c r="CS161" s="828">
        <v>1</v>
      </c>
      <c r="CT161" s="967"/>
      <c r="CU161" s="1288" t="s">
        <v>8103</v>
      </c>
      <c r="CV161" s="1294">
        <v>32</v>
      </c>
      <c r="CW161" s="1294">
        <v>25</v>
      </c>
      <c r="CX161" s="138" t="s">
        <v>5344</v>
      </c>
      <c r="CY161" s="134">
        <v>0.05</v>
      </c>
      <c r="CZ161" s="134">
        <v>0.13</v>
      </c>
      <c r="DA161" s="134" t="s">
        <v>24</v>
      </c>
      <c r="DB161" s="138" t="s">
        <v>5345</v>
      </c>
      <c r="DC161" s="134">
        <v>0.14000000000000001</v>
      </c>
      <c r="DD161" s="134">
        <v>0.22</v>
      </c>
      <c r="DE161" s="134" t="s">
        <v>24</v>
      </c>
      <c r="DF161" s="300" t="s">
        <v>5381</v>
      </c>
      <c r="DG161" s="301" t="s">
        <v>5382</v>
      </c>
      <c r="DH161" s="1284"/>
      <c r="DI161" s="121"/>
      <c r="DJ161" s="1169"/>
      <c r="DK161" s="121"/>
      <c r="DL161" s="1284"/>
      <c r="DM161" s="121"/>
      <c r="DN161" s="1169"/>
      <c r="DO161" s="121"/>
      <c r="DP161" s="288"/>
      <c r="DQ161" s="289"/>
      <c r="DR161" s="1168"/>
      <c r="DS161" s="865"/>
      <c r="DT161" s="1171"/>
      <c r="DU161" s="417"/>
      <c r="DV161" s="1169"/>
      <c r="DW161" s="417"/>
      <c r="DX161" s="1171"/>
      <c r="DY161" s="121"/>
      <c r="DZ161" s="1169"/>
      <c r="EA161" s="121"/>
      <c r="EB161" s="304"/>
      <c r="EC161" s="312"/>
      <c r="ED161" s="1171"/>
      <c r="EE161" s="121"/>
      <c r="EF161" s="1169"/>
      <c r="EG161" s="121"/>
      <c r="EH161" s="1171"/>
      <c r="EI161" s="121"/>
      <c r="EJ161" s="1169"/>
      <c r="EK161" s="121"/>
      <c r="EL161" s="304"/>
      <c r="EM161" s="312"/>
      <c r="EN161" s="309"/>
      <c r="EO161" s="1170"/>
      <c r="EP161" s="121"/>
      <c r="EQ161" s="121"/>
      <c r="ER161" s="121"/>
      <c r="ES161" s="121"/>
      <c r="ET161" s="1276"/>
      <c r="EU161" s="1169"/>
      <c r="EV161" s="1169"/>
      <c r="EW161" s="1169"/>
      <c r="EX161" s="312"/>
      <c r="EY161" s="312"/>
      <c r="EZ161" s="121"/>
      <c r="FA161" s="121"/>
      <c r="FB161" s="121"/>
      <c r="FC161" s="121"/>
      <c r="FD161" s="1276"/>
      <c r="FE161" s="1169"/>
      <c r="FF161" s="1169"/>
      <c r="FG161" s="1169"/>
      <c r="FH161" s="312"/>
      <c r="FI161" s="312"/>
      <c r="FJ161" s="1170"/>
    </row>
    <row r="162" spans="1:166" ht="15" hidden="1" customHeight="1">
      <c r="A162" s="79" t="s">
        <v>279</v>
      </c>
      <c r="B162" s="362">
        <v>199</v>
      </c>
      <c r="C162" s="362">
        <v>69</v>
      </c>
      <c r="D162" s="362"/>
      <c r="E162" s="604" t="s">
        <v>2009</v>
      </c>
      <c r="F162" s="124" t="s">
        <v>2240</v>
      </c>
      <c r="G162" s="125">
        <v>2009</v>
      </c>
      <c r="H162" s="79">
        <v>19703319</v>
      </c>
      <c r="I162" s="79">
        <v>1</v>
      </c>
      <c r="J162" s="126"/>
      <c r="K162" s="127"/>
      <c r="L162" s="79">
        <v>1</v>
      </c>
      <c r="M162" s="79"/>
      <c r="N162" s="79">
        <v>1</v>
      </c>
      <c r="O162" s="128">
        <v>1</v>
      </c>
      <c r="P162" s="79" t="s">
        <v>733</v>
      </c>
      <c r="Q162" s="79" t="s">
        <v>1147</v>
      </c>
      <c r="R162" s="79" t="s">
        <v>25</v>
      </c>
      <c r="S162" s="79">
        <v>1</v>
      </c>
      <c r="T162" s="79"/>
      <c r="U162" s="79"/>
      <c r="V162" s="79"/>
      <c r="W162" s="79" t="s">
        <v>732</v>
      </c>
      <c r="X162" s="79"/>
      <c r="Y162" s="79"/>
      <c r="Z162" s="79"/>
      <c r="AA162" s="79"/>
      <c r="AB162" s="79" t="s">
        <v>734</v>
      </c>
      <c r="AC162" s="506"/>
      <c r="AD162" s="573">
        <v>1</v>
      </c>
      <c r="AE162" s="573">
        <v>2</v>
      </c>
      <c r="AF162" s="154">
        <v>1</v>
      </c>
      <c r="AG162" s="155" t="s">
        <v>5335</v>
      </c>
      <c r="AH162" s="704"/>
      <c r="AI162" s="121">
        <v>2</v>
      </c>
      <c r="AJ162" s="484"/>
      <c r="AK162" s="202" t="s">
        <v>5393</v>
      </c>
      <c r="AL162" s="192">
        <v>1</v>
      </c>
      <c r="AM162" s="203">
        <v>0</v>
      </c>
      <c r="AN162" s="121">
        <v>47</v>
      </c>
      <c r="AO162" s="121">
        <v>25</v>
      </c>
      <c r="AP162" s="121">
        <v>22</v>
      </c>
      <c r="AQ162" s="121" t="s">
        <v>803</v>
      </c>
      <c r="AR162" s="121" t="s">
        <v>803</v>
      </c>
      <c r="AS162" s="121" t="s">
        <v>7997</v>
      </c>
      <c r="AT162" s="121">
        <v>5.6</v>
      </c>
      <c r="AU162" s="121" t="s">
        <v>7999</v>
      </c>
      <c r="AV162" s="121">
        <v>5.7</v>
      </c>
      <c r="AW162" s="121" t="s">
        <v>4249</v>
      </c>
      <c r="AX162" s="121"/>
      <c r="AY162" s="121"/>
      <c r="AZ162" s="754" t="s">
        <v>1874</v>
      </c>
      <c r="BA162" s="121" t="s">
        <v>24</v>
      </c>
      <c r="BB162" s="121" t="s">
        <v>24</v>
      </c>
      <c r="BC162" s="121" t="s">
        <v>2423</v>
      </c>
      <c r="BD162" s="754" t="s">
        <v>7521</v>
      </c>
      <c r="BE162" s="187">
        <v>0</v>
      </c>
      <c r="BF162" s="121" t="s">
        <v>3835</v>
      </c>
      <c r="BG162" s="121" t="s">
        <v>4521</v>
      </c>
      <c r="BH162" s="594"/>
      <c r="BI162" s="594"/>
      <c r="BJ162" s="156"/>
      <c r="BK162" s="156"/>
      <c r="BL162" s="156"/>
      <c r="BM162" s="156"/>
      <c r="BN162" s="156"/>
      <c r="BO162" s="156"/>
      <c r="BP162" s="156">
        <v>1</v>
      </c>
      <c r="BQ162" s="156"/>
      <c r="BR162" s="156" t="s">
        <v>4727</v>
      </c>
      <c r="BS162" s="156"/>
      <c r="BT162" s="156" t="s">
        <v>4727</v>
      </c>
      <c r="BU162" s="156"/>
      <c r="BV162" s="156"/>
      <c r="BW162" s="595" t="s">
        <v>5336</v>
      </c>
      <c r="BX162" s="157" t="s">
        <v>6609</v>
      </c>
      <c r="BY162" s="797" t="s">
        <v>7616</v>
      </c>
      <c r="BZ162" s="789" t="s">
        <v>803</v>
      </c>
      <c r="CA162" s="769">
        <v>2</v>
      </c>
      <c r="CB162" s="765" t="s">
        <v>7556</v>
      </c>
      <c r="CC162" s="660" t="s">
        <v>7380</v>
      </c>
      <c r="CD162" s="134" t="s">
        <v>1876</v>
      </c>
      <c r="CE162" s="134">
        <v>2</v>
      </c>
      <c r="CF162" s="400"/>
      <c r="CG162" s="134" t="s">
        <v>4409</v>
      </c>
      <c r="CH162" s="753" t="s">
        <v>7313</v>
      </c>
      <c r="CI162" s="134" t="s">
        <v>24</v>
      </c>
      <c r="CJ162" s="134"/>
      <c r="CK162" s="134" t="s">
        <v>8000</v>
      </c>
      <c r="CL162" s="134" t="s">
        <v>8204</v>
      </c>
      <c r="CM162" s="259" t="s">
        <v>5392</v>
      </c>
      <c r="CN162" s="454">
        <v>0</v>
      </c>
      <c r="CO162" s="828">
        <v>63</v>
      </c>
      <c r="CP162" s="828">
        <v>1</v>
      </c>
      <c r="CQ162" s="828">
        <v>4</v>
      </c>
      <c r="CR162" s="828">
        <v>1</v>
      </c>
      <c r="CS162" s="828">
        <v>1</v>
      </c>
      <c r="CT162" s="967"/>
      <c r="CU162" s="1288" t="s">
        <v>8103</v>
      </c>
      <c r="CV162" s="1294">
        <v>32</v>
      </c>
      <c r="CW162" s="1294">
        <v>25</v>
      </c>
      <c r="CX162" s="138" t="s">
        <v>5346</v>
      </c>
      <c r="CY162" s="190">
        <v>0.08</v>
      </c>
      <c r="CZ162" s="134">
        <v>0.14000000000000001</v>
      </c>
      <c r="DA162" s="190" t="s">
        <v>24</v>
      </c>
      <c r="DB162" s="138" t="s">
        <v>5347</v>
      </c>
      <c r="DC162" s="190">
        <v>0.06</v>
      </c>
      <c r="DD162" s="134">
        <v>0.2</v>
      </c>
      <c r="DE162" s="190" t="s">
        <v>24</v>
      </c>
      <c r="DF162" s="434" t="s">
        <v>5355</v>
      </c>
      <c r="DG162" s="436" t="s">
        <v>5356</v>
      </c>
      <c r="DH162" s="1175"/>
      <c r="DI162" s="417"/>
      <c r="DJ162" s="1169"/>
      <c r="DK162" s="417"/>
      <c r="DL162" s="1171"/>
      <c r="DM162" s="417"/>
      <c r="DN162" s="1169"/>
      <c r="DO162" s="1151"/>
      <c r="DP162" s="288"/>
      <c r="DQ162" s="441"/>
      <c r="DR162" s="1168"/>
      <c r="DS162" s="865"/>
      <c r="DT162" s="1171"/>
      <c r="DU162" s="417"/>
      <c r="DV162" s="1169"/>
      <c r="DW162" s="417"/>
      <c r="DX162" s="1171"/>
      <c r="DY162" s="417"/>
      <c r="DZ162" s="1169"/>
      <c r="EA162" s="417"/>
      <c r="EB162" s="304"/>
      <c r="EC162" s="312"/>
      <c r="ED162" s="1171"/>
      <c r="EE162" s="417"/>
      <c r="EF162" s="1169"/>
      <c r="EG162" s="417"/>
      <c r="EH162" s="1171"/>
      <c r="EI162" s="417"/>
      <c r="EJ162" s="1169"/>
      <c r="EK162" s="417"/>
      <c r="EL162" s="304"/>
      <c r="EM162" s="312"/>
      <c r="EN162" s="309"/>
      <c r="EO162" s="1170"/>
      <c r="EP162" s="448"/>
      <c r="EQ162" s="1158"/>
      <c r="ER162" s="448"/>
      <c r="ES162" s="1158"/>
      <c r="ET162" s="1154"/>
      <c r="EU162" s="1169"/>
      <c r="EV162" s="1169"/>
      <c r="EW162" s="1169"/>
      <c r="EX162" s="312"/>
      <c r="EY162" s="312"/>
      <c r="EZ162" s="448"/>
      <c r="FA162" s="1158"/>
      <c r="FB162" s="448"/>
      <c r="FC162" s="1158"/>
      <c r="FD162" s="1154"/>
      <c r="FE162" s="1169"/>
      <c r="FF162" s="1169"/>
      <c r="FG162" s="1169"/>
      <c r="FH162" s="312"/>
      <c r="FI162" s="312"/>
      <c r="FJ162" s="1170"/>
    </row>
    <row r="163" spans="1:166" ht="15" hidden="1" customHeight="1">
      <c r="A163" s="79" t="s">
        <v>313</v>
      </c>
      <c r="B163" s="362">
        <v>222</v>
      </c>
      <c r="C163" s="362">
        <v>80</v>
      </c>
      <c r="D163" s="362"/>
      <c r="E163" s="604" t="s">
        <v>2027</v>
      </c>
      <c r="F163" s="124" t="s">
        <v>2260</v>
      </c>
      <c r="G163" s="125">
        <v>2015</v>
      </c>
      <c r="H163" s="79">
        <v>25847622</v>
      </c>
      <c r="I163" s="79">
        <v>1</v>
      </c>
      <c r="J163" s="126"/>
      <c r="K163" s="127"/>
      <c r="L163" s="79">
        <v>1</v>
      </c>
      <c r="M163" s="79"/>
      <c r="N163" s="79">
        <v>1</v>
      </c>
      <c r="O163" s="128">
        <v>1</v>
      </c>
      <c r="P163" s="79" t="s">
        <v>815</v>
      </c>
      <c r="Q163" s="79" t="s">
        <v>1147</v>
      </c>
      <c r="R163" s="79" t="s">
        <v>1195</v>
      </c>
      <c r="S163" s="79">
        <v>1</v>
      </c>
      <c r="T163" s="79"/>
      <c r="U163" s="79"/>
      <c r="V163" s="79"/>
      <c r="W163" s="79" t="s">
        <v>813</v>
      </c>
      <c r="X163" s="79" t="s">
        <v>24</v>
      </c>
      <c r="Y163" s="79" t="s">
        <v>24</v>
      </c>
      <c r="Z163" s="79" t="s">
        <v>814</v>
      </c>
      <c r="AA163" s="79"/>
      <c r="AB163" s="79"/>
      <c r="AC163" s="506"/>
      <c r="AD163" s="573">
        <v>1</v>
      </c>
      <c r="AE163" s="573">
        <v>2</v>
      </c>
      <c r="AF163" s="154">
        <v>1</v>
      </c>
      <c r="AG163" s="155" t="s">
        <v>7289</v>
      </c>
      <c r="AH163" s="704">
        <v>0</v>
      </c>
      <c r="AI163" s="121">
        <v>2</v>
      </c>
      <c r="AJ163" s="484" t="s">
        <v>5656</v>
      </c>
      <c r="AK163" s="202" t="s">
        <v>5646</v>
      </c>
      <c r="AL163" s="192" t="s">
        <v>8055</v>
      </c>
      <c r="AM163" s="215">
        <v>0</v>
      </c>
      <c r="AN163" s="134">
        <f>Table66[[#This Row],[Data_Subjects_n_ptsd]]+Table66[[#This Row],[Data_Subjects_n_control]]</f>
        <v>109</v>
      </c>
      <c r="AO163" s="134">
        <v>56</v>
      </c>
      <c r="AP163" s="134">
        <v>53</v>
      </c>
      <c r="AQ163" s="134" t="s">
        <v>1878</v>
      </c>
      <c r="AR163" s="134" t="s">
        <v>1878</v>
      </c>
      <c r="AS163" s="134">
        <v>36.770000000000003</v>
      </c>
      <c r="AT163" s="134">
        <v>11.48</v>
      </c>
      <c r="AU163" s="134">
        <v>37.130000000000003</v>
      </c>
      <c r="AV163" s="134">
        <v>11.67</v>
      </c>
      <c r="AW163" s="134" t="s">
        <v>5645</v>
      </c>
      <c r="AX163" s="134"/>
      <c r="AY163" s="134"/>
      <c r="AZ163" s="753" t="s">
        <v>7362</v>
      </c>
      <c r="BA163" s="134" t="s">
        <v>24</v>
      </c>
      <c r="BB163" s="134" t="s">
        <v>24</v>
      </c>
      <c r="BC163" s="134" t="s">
        <v>7528</v>
      </c>
      <c r="BD163" s="753" t="s">
        <v>7521</v>
      </c>
      <c r="BE163" s="187">
        <v>0</v>
      </c>
      <c r="BF163" s="134" t="s">
        <v>5644</v>
      </c>
      <c r="BG163" s="134" t="s">
        <v>5648</v>
      </c>
      <c r="BH163" s="594"/>
      <c r="BI163" s="594"/>
      <c r="BJ163" s="156"/>
      <c r="BK163" s="156"/>
      <c r="BL163" s="156"/>
      <c r="BM163" s="156"/>
      <c r="BN163" s="156"/>
      <c r="BO163" s="156" t="s">
        <v>4727</v>
      </c>
      <c r="BP163" s="156">
        <v>1</v>
      </c>
      <c r="BQ163" s="156"/>
      <c r="BR163" s="156"/>
      <c r="BS163" s="156"/>
      <c r="BT163" s="156" t="s">
        <v>4727</v>
      </c>
      <c r="BU163" s="156"/>
      <c r="BV163" s="156"/>
      <c r="BW163" s="595" t="s">
        <v>4208</v>
      </c>
      <c r="BX163" s="157" t="s">
        <v>6611</v>
      </c>
      <c r="BY163" s="797" t="s">
        <v>7616</v>
      </c>
      <c r="BZ163" s="789" t="s">
        <v>803</v>
      </c>
      <c r="CA163" s="769">
        <v>2</v>
      </c>
      <c r="CB163" s="765" t="s">
        <v>7556</v>
      </c>
      <c r="CC163" s="765" t="s">
        <v>7380</v>
      </c>
      <c r="CD163" s="134" t="s">
        <v>1876</v>
      </c>
      <c r="CE163" s="134">
        <v>2</v>
      </c>
      <c r="CF163" s="400"/>
      <c r="CG163" s="134" t="s">
        <v>5649</v>
      </c>
      <c r="CH163" s="753" t="s">
        <v>7313</v>
      </c>
      <c r="CI163" s="134" t="s">
        <v>24</v>
      </c>
      <c r="CJ163" s="134"/>
      <c r="CK163" s="134" t="s">
        <v>8187</v>
      </c>
      <c r="CL163" s="134" t="s">
        <v>8204</v>
      </c>
      <c r="CM163" s="259" t="s">
        <v>5659</v>
      </c>
      <c r="CN163" s="454" t="s">
        <v>24</v>
      </c>
      <c r="CO163" s="828">
        <v>71</v>
      </c>
      <c r="CP163" s="828">
        <v>1</v>
      </c>
      <c r="CQ163" s="828">
        <v>2</v>
      </c>
      <c r="CR163" s="828">
        <v>2</v>
      </c>
      <c r="CS163" s="828">
        <v>1</v>
      </c>
      <c r="CT163" s="967"/>
      <c r="CU163" s="1288" t="s">
        <v>8103</v>
      </c>
      <c r="CV163" s="1294">
        <v>37</v>
      </c>
      <c r="CW163" s="1294">
        <v>30</v>
      </c>
      <c r="CX163" s="138" t="s">
        <v>5654</v>
      </c>
      <c r="CY163" s="134">
        <v>0.15</v>
      </c>
      <c r="CZ163" s="134">
        <v>0.99</v>
      </c>
      <c r="DA163" s="134" t="s">
        <v>24</v>
      </c>
      <c r="DB163" s="138" t="s">
        <v>5655</v>
      </c>
      <c r="DC163" s="134">
        <v>0.12</v>
      </c>
      <c r="DD163" s="134">
        <v>0.56999999999999995</v>
      </c>
      <c r="DE163" s="134" t="s">
        <v>24</v>
      </c>
      <c r="DF163" s="288" t="s">
        <v>5438</v>
      </c>
      <c r="DG163" s="289" t="s">
        <v>5661</v>
      </c>
      <c r="DH163" s="1276"/>
      <c r="DI163" s="121"/>
      <c r="DJ163" s="1169"/>
      <c r="DK163" s="121"/>
      <c r="DL163" s="1171"/>
      <c r="DM163" s="121"/>
      <c r="DN163" s="1169"/>
      <c r="DO163" s="121"/>
      <c r="DP163" s="288"/>
      <c r="DQ163" s="289"/>
      <c r="DR163" s="1168"/>
      <c r="DS163" s="865"/>
      <c r="DT163" s="1154"/>
      <c r="DU163" s="1158"/>
      <c r="DV163" s="448"/>
      <c r="DW163" s="1158"/>
      <c r="DX163" s="448"/>
      <c r="DY163" s="121"/>
      <c r="DZ163" s="1169"/>
      <c r="EA163" s="121"/>
      <c r="EB163" s="434"/>
      <c r="EC163" s="436"/>
      <c r="ED163" s="448"/>
      <c r="EE163" s="1158"/>
      <c r="EF163" s="448"/>
      <c r="EG163" s="1158"/>
      <c r="EH163" s="448"/>
      <c r="EI163" s="121"/>
      <c r="EJ163" s="1169"/>
      <c r="EK163" s="121"/>
      <c r="EL163" s="304"/>
      <c r="EM163" s="312"/>
      <c r="EN163" s="309"/>
      <c r="EO163" s="1170"/>
      <c r="EP163" s="448"/>
      <c r="EQ163" s="1158"/>
      <c r="ER163" s="448"/>
      <c r="ES163" s="1158"/>
      <c r="ET163" s="1154"/>
      <c r="EU163" s="1169"/>
      <c r="EV163" s="1169"/>
      <c r="EW163" s="1169"/>
      <c r="EX163" s="312"/>
      <c r="EY163" s="312"/>
      <c r="EZ163" s="1154"/>
      <c r="FA163" s="1158"/>
      <c r="FB163" s="448"/>
      <c r="FC163" s="1158"/>
      <c r="FD163" s="1154"/>
      <c r="FE163" s="1169"/>
      <c r="FF163" s="1169"/>
      <c r="FG163" s="1169"/>
      <c r="FH163" s="312"/>
      <c r="FI163" s="312"/>
      <c r="FJ163" s="1170"/>
    </row>
    <row r="164" spans="1:166" ht="15" hidden="1" customHeight="1">
      <c r="A164" s="79" t="s">
        <v>243</v>
      </c>
      <c r="B164" s="362">
        <v>178</v>
      </c>
      <c r="C164" s="362">
        <v>61</v>
      </c>
      <c r="D164" s="362"/>
      <c r="E164" s="604" t="s">
        <v>1997</v>
      </c>
      <c r="F164" s="124" t="s">
        <v>2227</v>
      </c>
      <c r="G164" s="125">
        <v>2004</v>
      </c>
      <c r="H164" s="79">
        <v>15027792</v>
      </c>
      <c r="I164" s="79">
        <v>1</v>
      </c>
      <c r="J164" s="126"/>
      <c r="K164" s="127"/>
      <c r="L164" s="79">
        <v>1</v>
      </c>
      <c r="M164" s="79"/>
      <c r="N164" s="79">
        <v>1</v>
      </c>
      <c r="O164" s="128">
        <v>1</v>
      </c>
      <c r="P164" s="79" t="s">
        <v>662</v>
      </c>
      <c r="Q164" s="79" t="s">
        <v>1172</v>
      </c>
      <c r="R164" s="79" t="s">
        <v>1174</v>
      </c>
      <c r="S164" s="79">
        <v>1</v>
      </c>
      <c r="T164" s="79"/>
      <c r="U164" s="79"/>
      <c r="V164" s="79"/>
      <c r="W164" s="79" t="s">
        <v>665</v>
      </c>
      <c r="X164" s="79" t="s">
        <v>663</v>
      </c>
      <c r="Y164" s="79"/>
      <c r="Z164" s="79" t="s">
        <v>664</v>
      </c>
      <c r="AA164" s="79"/>
      <c r="AB164" s="79"/>
      <c r="AC164" s="506"/>
      <c r="AD164" s="573">
        <v>1</v>
      </c>
      <c r="AE164" s="573">
        <v>2</v>
      </c>
      <c r="AF164" s="154">
        <v>1</v>
      </c>
      <c r="AG164" s="155" t="s">
        <v>3157</v>
      </c>
      <c r="AH164" s="704" t="s">
        <v>7519</v>
      </c>
      <c r="AI164" s="121">
        <v>2</v>
      </c>
      <c r="AJ164" s="484" t="s">
        <v>5189</v>
      </c>
      <c r="AK164" s="202" t="s">
        <v>5208</v>
      </c>
      <c r="AL164" s="192">
        <v>1</v>
      </c>
      <c r="AM164" s="203">
        <v>0</v>
      </c>
      <c r="AN164" s="121">
        <f>Table66[[#This Row],[Data_Subjects_n_ptsd]]+Table66[[#This Row],[Data_Subjects_n_control]]</f>
        <v>47</v>
      </c>
      <c r="AO164" s="121">
        <v>24</v>
      </c>
      <c r="AP164" s="121">
        <v>23</v>
      </c>
      <c r="AQ164" s="121" t="s">
        <v>803</v>
      </c>
      <c r="AR164" s="134" t="s">
        <v>803</v>
      </c>
      <c r="AS164" s="134">
        <v>51</v>
      </c>
      <c r="AT164" s="134">
        <v>2.5</v>
      </c>
      <c r="AU164" s="134">
        <v>52.4</v>
      </c>
      <c r="AV164" s="134">
        <v>3.1</v>
      </c>
      <c r="AW164" s="134" t="s">
        <v>5151</v>
      </c>
      <c r="AX164" s="121"/>
      <c r="AY164" s="121"/>
      <c r="AZ164" s="754" t="s">
        <v>1874</v>
      </c>
      <c r="BA164" s="121" t="s">
        <v>24</v>
      </c>
      <c r="BB164" s="121" t="s">
        <v>24</v>
      </c>
      <c r="BC164" s="121" t="s">
        <v>5150</v>
      </c>
      <c r="BD164" s="754" t="s">
        <v>7521</v>
      </c>
      <c r="BE164" s="187">
        <v>0</v>
      </c>
      <c r="BF164" s="121" t="s">
        <v>3835</v>
      </c>
      <c r="BG164" s="121" t="s">
        <v>5149</v>
      </c>
      <c r="BH164" s="594"/>
      <c r="BI164" s="594"/>
      <c r="BJ164" s="156"/>
      <c r="BK164" s="156"/>
      <c r="BL164" s="156" t="s">
        <v>5207</v>
      </c>
      <c r="BM164" s="156"/>
      <c r="BN164" s="156"/>
      <c r="BO164" s="156"/>
      <c r="BP164" s="156">
        <v>1</v>
      </c>
      <c r="BQ164" s="156"/>
      <c r="BR164" s="156"/>
      <c r="BS164" s="156"/>
      <c r="BT164" s="156"/>
      <c r="BU164" s="156"/>
      <c r="BV164" s="156"/>
      <c r="BW164" s="595" t="s">
        <v>5157</v>
      </c>
      <c r="BX164" s="157" t="s">
        <v>6611</v>
      </c>
      <c r="BY164" s="797" t="s">
        <v>7616</v>
      </c>
      <c r="BZ164" s="789" t="s">
        <v>7610</v>
      </c>
      <c r="CA164" s="769">
        <v>2</v>
      </c>
      <c r="CB164" s="765" t="s">
        <v>7556</v>
      </c>
      <c r="CC164" s="765" t="s">
        <v>7380</v>
      </c>
      <c r="CD164" s="134" t="s">
        <v>1876</v>
      </c>
      <c r="CE164" s="134">
        <v>2</v>
      </c>
      <c r="CF164" s="400"/>
      <c r="CG164" s="134" t="s">
        <v>5158</v>
      </c>
      <c r="CH164" s="753" t="s">
        <v>7313</v>
      </c>
      <c r="CI164" s="134" t="s">
        <v>24</v>
      </c>
      <c r="CJ164" s="134"/>
      <c r="CK164" s="134" t="s">
        <v>7968</v>
      </c>
      <c r="CL164" s="150" t="s">
        <v>7827</v>
      </c>
      <c r="CM164" s="259" t="s">
        <v>5203</v>
      </c>
      <c r="CN164" s="454">
        <v>0</v>
      </c>
      <c r="CO164" s="829">
        <v>55</v>
      </c>
      <c r="CP164" s="829">
        <v>1</v>
      </c>
      <c r="CQ164" s="829">
        <v>8</v>
      </c>
      <c r="CR164" s="829">
        <v>1</v>
      </c>
      <c r="CS164" s="1115">
        <v>-1</v>
      </c>
      <c r="CT164" s="967"/>
      <c r="CU164" s="1288" t="s">
        <v>8103</v>
      </c>
      <c r="CV164" s="1294">
        <v>22</v>
      </c>
      <c r="CW164" s="1294">
        <v>24</v>
      </c>
      <c r="CX164" s="426" t="s">
        <v>5155</v>
      </c>
      <c r="CY164" s="451">
        <v>6.1</v>
      </c>
      <c r="CZ164" s="426">
        <v>1.8</v>
      </c>
      <c r="DA164" s="451" t="s">
        <v>24</v>
      </c>
      <c r="DB164" s="426" t="s">
        <v>5172</v>
      </c>
      <c r="DC164" s="134">
        <v>6.3</v>
      </c>
      <c r="DD164" s="134">
        <v>2.1</v>
      </c>
      <c r="DE164" s="134" t="s">
        <v>24</v>
      </c>
      <c r="DF164" s="288" t="s">
        <v>3229</v>
      </c>
      <c r="DG164" s="501" t="s">
        <v>5194</v>
      </c>
      <c r="DH164" s="1276"/>
      <c r="DI164" s="121"/>
      <c r="DJ164" s="1169"/>
      <c r="DK164" s="121"/>
      <c r="DL164" s="1171"/>
      <c r="DM164" s="121"/>
      <c r="DN164" s="1169"/>
      <c r="DO164" s="121"/>
      <c r="DP164" s="288"/>
      <c r="DQ164" s="501"/>
      <c r="DR164" s="1168"/>
      <c r="DS164" s="865"/>
      <c r="DT164" s="1154"/>
      <c r="DU164" s="1158"/>
      <c r="DV164" s="448"/>
      <c r="DW164" s="1158"/>
      <c r="DX164" s="1154"/>
      <c r="DY164" s="121"/>
      <c r="DZ164" s="1169"/>
      <c r="EA164" s="121"/>
      <c r="EB164" s="288"/>
      <c r="EC164" s="501"/>
      <c r="ED164" s="448"/>
      <c r="EE164" s="1158"/>
      <c r="EF164" s="448"/>
      <c r="EG164" s="1158"/>
      <c r="EH164" s="448"/>
      <c r="EI164" s="121"/>
      <c r="EJ164" s="1169"/>
      <c r="EK164" s="121"/>
      <c r="EL164" s="1226"/>
      <c r="EM164" s="1250"/>
      <c r="EN164" s="309"/>
      <c r="EO164" s="1170"/>
      <c r="EP164" s="448"/>
      <c r="EQ164" s="1158"/>
      <c r="ER164" s="448"/>
      <c r="ES164" s="1158"/>
      <c r="ET164" s="1154"/>
      <c r="EU164" s="121"/>
      <c r="EV164" s="121"/>
      <c r="EW164" s="121"/>
      <c r="EX164" s="301"/>
      <c r="EY164" s="301"/>
      <c r="EZ164" s="1154"/>
      <c r="FA164" s="1158"/>
      <c r="FB164" s="448"/>
      <c r="FC164" s="1158"/>
      <c r="FD164" s="1154"/>
      <c r="FE164" s="121"/>
      <c r="FF164" s="121"/>
      <c r="FG164" s="121"/>
      <c r="FH164" s="301"/>
      <c r="FI164" s="301"/>
      <c r="FJ164" s="277"/>
    </row>
    <row r="165" spans="1:166" ht="15" hidden="1" customHeight="1">
      <c r="A165" s="79" t="s">
        <v>361</v>
      </c>
      <c r="B165" s="362">
        <v>262</v>
      </c>
      <c r="C165" s="362">
        <v>95</v>
      </c>
      <c r="D165" s="362"/>
      <c r="E165" s="604" t="s">
        <v>2047</v>
      </c>
      <c r="F165" s="124" t="s">
        <v>2290</v>
      </c>
      <c r="G165" s="125">
        <v>1995</v>
      </c>
      <c r="H165" s="79">
        <v>7802106</v>
      </c>
      <c r="I165" s="79">
        <v>1</v>
      </c>
      <c r="J165" s="126"/>
      <c r="K165" s="127"/>
      <c r="L165" s="79">
        <v>1</v>
      </c>
      <c r="M165" s="79"/>
      <c r="N165" s="79">
        <v>1</v>
      </c>
      <c r="O165" s="128">
        <v>1</v>
      </c>
      <c r="P165" s="79" t="s">
        <v>931</v>
      </c>
      <c r="Q165" s="79" t="s">
        <v>1154</v>
      </c>
      <c r="R165" s="79" t="s">
        <v>819</v>
      </c>
      <c r="S165" s="79">
        <v>1</v>
      </c>
      <c r="T165" s="79"/>
      <c r="U165" s="79"/>
      <c r="V165" s="79"/>
      <c r="W165" s="79" t="s">
        <v>930</v>
      </c>
      <c r="X165" s="79"/>
      <c r="Y165" s="79"/>
      <c r="Z165" s="79"/>
      <c r="AA165" s="79"/>
      <c r="AB165" s="79"/>
      <c r="AC165" s="506"/>
      <c r="AD165" s="573">
        <v>1</v>
      </c>
      <c r="AE165" s="573">
        <v>2</v>
      </c>
      <c r="AF165" s="154">
        <v>1</v>
      </c>
      <c r="AG165" s="155"/>
      <c r="AH165" s="704"/>
      <c r="AI165" s="121">
        <v>2</v>
      </c>
      <c r="AJ165" s="484" t="s">
        <v>6152</v>
      </c>
      <c r="AK165" s="202"/>
      <c r="AL165" s="192"/>
      <c r="AM165" s="203">
        <v>0</v>
      </c>
      <c r="AN165" s="121">
        <f>Table66[[#This Row],[Data_Subjects_n_ptsd]]+Table66[[#This Row],[Data_Subjects_n_control]]</f>
        <v>32</v>
      </c>
      <c r="AO165" s="121">
        <v>20</v>
      </c>
      <c r="AP165" s="121">
        <v>12</v>
      </c>
      <c r="AQ165" s="121" t="s">
        <v>803</v>
      </c>
      <c r="AR165" s="121" t="s">
        <v>803</v>
      </c>
      <c r="AS165" s="121">
        <v>44.7</v>
      </c>
      <c r="AT165" s="121">
        <v>3.4</v>
      </c>
      <c r="AU165" s="121">
        <v>43.9</v>
      </c>
      <c r="AV165" s="121">
        <v>7.3</v>
      </c>
      <c r="AW165" s="121" t="s">
        <v>1874</v>
      </c>
      <c r="AX165" s="121"/>
      <c r="AY165" s="121"/>
      <c r="AZ165" s="754" t="s">
        <v>1874</v>
      </c>
      <c r="BA165" s="121" t="s">
        <v>24</v>
      </c>
      <c r="BB165" s="121" t="s">
        <v>24</v>
      </c>
      <c r="BC165" s="121" t="s">
        <v>7534</v>
      </c>
      <c r="BD165" s="754" t="s">
        <v>7522</v>
      </c>
      <c r="BE165" s="187">
        <v>0</v>
      </c>
      <c r="BF165" s="121" t="s">
        <v>3835</v>
      </c>
      <c r="BG165" s="121" t="s">
        <v>6123</v>
      </c>
      <c r="BH165" s="594"/>
      <c r="BI165" s="594"/>
      <c r="BJ165" s="156"/>
      <c r="BK165" s="156"/>
      <c r="BL165" s="156"/>
      <c r="BM165" s="156"/>
      <c r="BN165" s="156"/>
      <c r="BO165" s="156"/>
      <c r="BP165" s="156">
        <v>1</v>
      </c>
      <c r="BQ165" s="156"/>
      <c r="BR165" s="156"/>
      <c r="BS165" s="156"/>
      <c r="BT165" s="156" t="s">
        <v>4727</v>
      </c>
      <c r="BU165" s="156"/>
      <c r="BV165" s="156"/>
      <c r="BW165" s="595" t="s">
        <v>4208</v>
      </c>
      <c r="BX165" s="157" t="s">
        <v>6611</v>
      </c>
      <c r="BY165" s="797" t="s">
        <v>7616</v>
      </c>
      <c r="BZ165" s="789" t="s">
        <v>7610</v>
      </c>
      <c r="CA165" s="765">
        <v>2</v>
      </c>
      <c r="CB165" s="765" t="s">
        <v>7556</v>
      </c>
      <c r="CC165" s="765" t="s">
        <v>7380</v>
      </c>
      <c r="CD165" s="134" t="s">
        <v>1876</v>
      </c>
      <c r="CE165" s="134">
        <v>2</v>
      </c>
      <c r="CF165" s="400"/>
      <c r="CG165" s="134" t="s">
        <v>6124</v>
      </c>
      <c r="CH165" s="753" t="s">
        <v>7313</v>
      </c>
      <c r="CI165" s="134" t="s">
        <v>24</v>
      </c>
      <c r="CJ165" s="134"/>
      <c r="CK165" s="168" t="s">
        <v>8192</v>
      </c>
      <c r="CL165" s="150" t="s">
        <v>7827</v>
      </c>
      <c r="CM165" s="259" t="s">
        <v>6151</v>
      </c>
      <c r="CN165" s="454">
        <v>0</v>
      </c>
      <c r="CO165" s="828">
        <v>89</v>
      </c>
      <c r="CP165" s="828">
        <v>1</v>
      </c>
      <c r="CQ165" s="828">
        <v>4</v>
      </c>
      <c r="CR165" s="828">
        <v>1</v>
      </c>
      <c r="CS165" s="722">
        <v>-1</v>
      </c>
      <c r="CT165" s="967"/>
      <c r="CU165" s="1291" t="s">
        <v>8102</v>
      </c>
      <c r="CV165" s="1295">
        <v>44</v>
      </c>
      <c r="CW165" s="1295">
        <v>38</v>
      </c>
      <c r="CX165" s="430" t="s">
        <v>6134</v>
      </c>
      <c r="CY165" s="451">
        <v>5.2</v>
      </c>
      <c r="CZ165" s="426">
        <v>2.1</v>
      </c>
      <c r="DA165" s="451" t="s">
        <v>24</v>
      </c>
      <c r="DB165" s="430" t="s">
        <v>6135</v>
      </c>
      <c r="DC165" s="134">
        <v>4.7</v>
      </c>
      <c r="DD165" s="134">
        <v>2.4</v>
      </c>
      <c r="DE165" s="134" t="s">
        <v>24</v>
      </c>
      <c r="DF165" s="300" t="s">
        <v>5438</v>
      </c>
      <c r="DG165" s="301" t="s">
        <v>6136</v>
      </c>
      <c r="DH165" s="1276"/>
      <c r="DI165" s="121"/>
      <c r="DJ165" s="1169"/>
      <c r="DK165" s="121"/>
      <c r="DL165" s="1276"/>
      <c r="DM165" s="121"/>
      <c r="DN165" s="1169"/>
      <c r="DO165" s="121"/>
      <c r="DP165" s="288"/>
      <c r="DQ165" s="289"/>
      <c r="DR165" s="280"/>
      <c r="DS165" s="865"/>
      <c r="DT165" s="1154"/>
      <c r="DU165" s="1158"/>
      <c r="DV165" s="448"/>
      <c r="DW165" s="1158"/>
      <c r="DX165" s="1154"/>
      <c r="DY165" s="121"/>
      <c r="DZ165" s="1169"/>
      <c r="EA165" s="121"/>
      <c r="EB165" s="434"/>
      <c r="EC165" s="436"/>
      <c r="ED165" s="1154"/>
      <c r="EE165" s="1158"/>
      <c r="EF165" s="448"/>
      <c r="EG165" s="1158"/>
      <c r="EH165" s="1154"/>
      <c r="EI165" s="1169"/>
      <c r="EJ165" s="1169"/>
      <c r="EK165" s="1169"/>
      <c r="EL165" s="304"/>
      <c r="EM165" s="312"/>
      <c r="EN165" s="309"/>
      <c r="EO165" s="1170"/>
      <c r="EP165" s="448"/>
      <c r="EQ165" s="1158"/>
      <c r="ER165" s="448"/>
      <c r="ES165" s="1158"/>
      <c r="ET165" s="448"/>
      <c r="EU165" s="1169"/>
      <c r="EV165" s="1169"/>
      <c r="EW165" s="1169"/>
      <c r="EX165" s="312"/>
      <c r="EY165" s="312"/>
      <c r="EZ165" s="1154"/>
      <c r="FA165" s="1158"/>
      <c r="FB165" s="448"/>
      <c r="FC165" s="1158"/>
      <c r="FD165" s="1154"/>
      <c r="FE165" s="1169"/>
      <c r="FF165" s="1169"/>
      <c r="FG165" s="1169"/>
      <c r="FH165" s="312"/>
      <c r="FI165" s="312"/>
      <c r="FJ165" s="1170"/>
    </row>
    <row r="166" spans="1:166" ht="15" hidden="1" customHeight="1">
      <c r="A166" s="118" t="s">
        <v>279</v>
      </c>
      <c r="B166" s="616">
        <v>199</v>
      </c>
      <c r="C166" s="616">
        <v>69</v>
      </c>
      <c r="D166" s="616"/>
      <c r="E166" s="605" t="s">
        <v>2009</v>
      </c>
      <c r="F166" s="140" t="s">
        <v>2240</v>
      </c>
      <c r="G166" s="141">
        <v>2009</v>
      </c>
      <c r="H166" s="118">
        <v>19703319</v>
      </c>
      <c r="I166" s="118">
        <v>1</v>
      </c>
      <c r="J166" s="118"/>
      <c r="K166" s="118"/>
      <c r="L166" s="118">
        <v>1</v>
      </c>
      <c r="M166" s="118"/>
      <c r="N166" s="118">
        <v>1</v>
      </c>
      <c r="O166" s="142">
        <v>1</v>
      </c>
      <c r="P166" s="118" t="s">
        <v>733</v>
      </c>
      <c r="Q166" s="118" t="s">
        <v>1147</v>
      </c>
      <c r="R166" s="118" t="s">
        <v>25</v>
      </c>
      <c r="S166" s="118">
        <v>1</v>
      </c>
      <c r="T166" s="118"/>
      <c r="U166" s="118"/>
      <c r="V166" s="118"/>
      <c r="W166" s="118" t="s">
        <v>732</v>
      </c>
      <c r="X166" s="118"/>
      <c r="Y166" s="118"/>
      <c r="Z166" s="118"/>
      <c r="AA166" s="118"/>
      <c r="AB166" s="118" t="s">
        <v>734</v>
      </c>
      <c r="AC166" s="145"/>
      <c r="AD166" s="573">
        <v>1</v>
      </c>
      <c r="AE166" s="573">
        <v>2</v>
      </c>
      <c r="AF166" s="159">
        <v>1</v>
      </c>
      <c r="AG166" s="160" t="s">
        <v>5335</v>
      </c>
      <c r="AH166" s="704"/>
      <c r="AI166" s="122">
        <v>2</v>
      </c>
      <c r="AJ166" s="485"/>
      <c r="AK166" s="204" t="s">
        <v>5393</v>
      </c>
      <c r="AL166" s="192">
        <v>1</v>
      </c>
      <c r="AM166" s="205">
        <v>0</v>
      </c>
      <c r="AN166" s="122">
        <v>47</v>
      </c>
      <c r="AO166" s="122">
        <v>25</v>
      </c>
      <c r="AP166" s="122">
        <v>22</v>
      </c>
      <c r="AQ166" s="122" t="s">
        <v>803</v>
      </c>
      <c r="AR166" s="122" t="s">
        <v>803</v>
      </c>
      <c r="AS166" s="121" t="s">
        <v>7997</v>
      </c>
      <c r="AT166" s="121">
        <v>5.6</v>
      </c>
      <c r="AU166" s="121" t="s">
        <v>7999</v>
      </c>
      <c r="AV166" s="121">
        <v>5.7</v>
      </c>
      <c r="AW166" s="122" t="s">
        <v>4249</v>
      </c>
      <c r="AX166" s="122"/>
      <c r="AY166" s="122"/>
      <c r="AZ166" s="754" t="s">
        <v>1874</v>
      </c>
      <c r="BA166" s="122" t="s">
        <v>24</v>
      </c>
      <c r="BB166" s="122" t="s">
        <v>24</v>
      </c>
      <c r="BC166" s="122" t="s">
        <v>2423</v>
      </c>
      <c r="BD166" s="754" t="s">
        <v>7521</v>
      </c>
      <c r="BE166" s="187">
        <v>0</v>
      </c>
      <c r="BF166" s="122" t="s">
        <v>3835</v>
      </c>
      <c r="BG166" s="122" t="s">
        <v>4521</v>
      </c>
      <c r="BH166" s="588"/>
      <c r="BI166" s="588"/>
      <c r="BJ166" s="161"/>
      <c r="BK166" s="161"/>
      <c r="BL166" s="161"/>
      <c r="BM166" s="161"/>
      <c r="BN166" s="161"/>
      <c r="BO166" s="161"/>
      <c r="BP166" s="161">
        <v>1</v>
      </c>
      <c r="BQ166" s="161"/>
      <c r="BR166" s="161" t="s">
        <v>4727</v>
      </c>
      <c r="BS166" s="161"/>
      <c r="BT166" s="161" t="s">
        <v>4727</v>
      </c>
      <c r="BU166" s="161"/>
      <c r="BV166" s="161"/>
      <c r="BW166" s="596" t="s">
        <v>5337</v>
      </c>
      <c r="BX166" s="162" t="s">
        <v>6612</v>
      </c>
      <c r="BY166" s="797" t="s">
        <v>7617</v>
      </c>
      <c r="BZ166" s="790" t="s">
        <v>7610</v>
      </c>
      <c r="CA166" s="769">
        <v>2</v>
      </c>
      <c r="CB166" s="765" t="s">
        <v>7556</v>
      </c>
      <c r="CC166" s="854" t="s">
        <v>7380</v>
      </c>
      <c r="CD166" s="150" t="s">
        <v>1876</v>
      </c>
      <c r="CE166" s="150">
        <v>2</v>
      </c>
      <c r="CF166" s="400"/>
      <c r="CG166" s="150" t="s">
        <v>5338</v>
      </c>
      <c r="CH166" s="855" t="s">
        <v>7308</v>
      </c>
      <c r="CI166" s="150" t="s">
        <v>24</v>
      </c>
      <c r="CJ166" s="150"/>
      <c r="CK166" s="150" t="s">
        <v>5339</v>
      </c>
      <c r="CL166" s="150" t="s">
        <v>8262</v>
      </c>
      <c r="CM166" s="258" t="s">
        <v>5391</v>
      </c>
      <c r="CN166" s="257" t="s">
        <v>24</v>
      </c>
      <c r="CO166" s="829">
        <v>63</v>
      </c>
      <c r="CP166" s="828">
        <v>1</v>
      </c>
      <c r="CQ166" s="828">
        <v>6</v>
      </c>
      <c r="CR166" s="828">
        <v>1</v>
      </c>
      <c r="CS166" s="828">
        <v>1</v>
      </c>
      <c r="CT166" s="968"/>
      <c r="CU166" s="1288" t="s">
        <v>8103</v>
      </c>
      <c r="CV166" s="1294">
        <v>32</v>
      </c>
      <c r="CW166" s="1294">
        <v>25</v>
      </c>
      <c r="CX166" s="151" t="s">
        <v>5360</v>
      </c>
      <c r="CY166" s="266">
        <v>35.96</v>
      </c>
      <c r="CZ166" s="150">
        <v>4.4000000000000004</v>
      </c>
      <c r="DA166" s="266" t="s">
        <v>24</v>
      </c>
      <c r="DB166" s="151" t="s">
        <v>5361</v>
      </c>
      <c r="DC166" s="150">
        <v>37.729999999999997</v>
      </c>
      <c r="DD166" s="150">
        <v>5</v>
      </c>
      <c r="DE166" s="150" t="s">
        <v>24</v>
      </c>
      <c r="DF166" s="290" t="s">
        <v>5376</v>
      </c>
      <c r="DG166" s="291" t="s">
        <v>5377</v>
      </c>
      <c r="DH166" s="526"/>
      <c r="DI166" s="500"/>
      <c r="DJ166" s="1164"/>
      <c r="DK166" s="500"/>
      <c r="DL166" s="1166"/>
      <c r="DM166" s="122"/>
      <c r="DN166" s="1164"/>
      <c r="DO166" s="122"/>
      <c r="DP166" s="290"/>
      <c r="DQ166" s="291"/>
      <c r="DR166" s="1168"/>
      <c r="DS166" s="865"/>
      <c r="DT166" s="1205"/>
      <c r="DU166" s="1114"/>
      <c r="DV166" s="146"/>
      <c r="DW166" s="118"/>
      <c r="DX166" s="1205"/>
      <c r="DY166" s="122"/>
      <c r="DZ166" s="1164"/>
      <c r="EA166" s="122"/>
      <c r="EB166" s="311"/>
      <c r="EC166" s="313"/>
      <c r="ED166" s="1205"/>
      <c r="EE166" s="429"/>
      <c r="EF166" s="146"/>
      <c r="EG166" s="145"/>
      <c r="EH166" s="1205"/>
      <c r="EI166" s="122"/>
      <c r="EJ166" s="1164"/>
      <c r="EK166" s="122"/>
      <c r="EL166" s="311"/>
      <c r="EM166" s="313"/>
      <c r="EN166" s="1167"/>
      <c r="EO166" s="1165"/>
      <c r="EP166" s="122"/>
      <c r="EQ166" s="122"/>
      <c r="ER166" s="122"/>
      <c r="ES166" s="122"/>
      <c r="ET166" s="122"/>
      <c r="EU166" s="122"/>
      <c r="EV166" s="122"/>
      <c r="EW166" s="122"/>
      <c r="EX166" s="665"/>
      <c r="EY166" s="665"/>
      <c r="EZ166" s="500"/>
      <c r="FA166" s="500"/>
      <c r="FB166" s="500"/>
      <c r="FC166" s="500"/>
      <c r="FD166" s="500"/>
      <c r="FE166" s="122"/>
      <c r="FF166" s="122"/>
      <c r="FG166" s="122"/>
      <c r="FH166" s="303"/>
      <c r="FI166" s="303"/>
      <c r="FJ166" s="1165"/>
    </row>
    <row r="167" spans="1:166" ht="15" hidden="1" customHeight="1">
      <c r="A167" s="118" t="s">
        <v>280</v>
      </c>
      <c r="B167" s="616">
        <v>200</v>
      </c>
      <c r="C167" s="616">
        <v>70</v>
      </c>
      <c r="D167" s="616"/>
      <c r="E167" s="605" t="s">
        <v>2009</v>
      </c>
      <c r="F167" s="140" t="s">
        <v>2241</v>
      </c>
      <c r="G167" s="141">
        <v>2006</v>
      </c>
      <c r="H167" s="118">
        <v>17100516</v>
      </c>
      <c r="I167" s="118">
        <v>1</v>
      </c>
      <c r="J167" s="118"/>
      <c r="K167" s="118"/>
      <c r="L167" s="118">
        <v>1</v>
      </c>
      <c r="M167" s="118"/>
      <c r="N167" s="118">
        <v>1</v>
      </c>
      <c r="O167" s="142">
        <v>1</v>
      </c>
      <c r="P167" s="118" t="s">
        <v>735</v>
      </c>
      <c r="Q167" s="118" t="s">
        <v>1154</v>
      </c>
      <c r="R167" s="118" t="s">
        <v>736</v>
      </c>
      <c r="S167" s="118">
        <v>1</v>
      </c>
      <c r="T167" s="118"/>
      <c r="U167" s="118"/>
      <c r="V167" s="118"/>
      <c r="W167" s="118" t="s">
        <v>492</v>
      </c>
      <c r="X167" s="118" t="s">
        <v>24</v>
      </c>
      <c r="Y167" s="118" t="s">
        <v>24</v>
      </c>
      <c r="Z167" s="118" t="s">
        <v>737</v>
      </c>
      <c r="AA167" s="118"/>
      <c r="AB167" s="118"/>
      <c r="AC167" s="145"/>
      <c r="AD167" s="573">
        <v>1</v>
      </c>
      <c r="AE167" s="573">
        <v>2</v>
      </c>
      <c r="AF167" s="674">
        <v>1</v>
      </c>
      <c r="AG167" s="674"/>
      <c r="AH167" s="704"/>
      <c r="AI167" s="122">
        <v>2</v>
      </c>
      <c r="AJ167" s="485" t="s">
        <v>5427</v>
      </c>
      <c r="AK167" s="204" t="s">
        <v>5394</v>
      </c>
      <c r="AL167" s="192">
        <v>1</v>
      </c>
      <c r="AM167" s="205">
        <v>0</v>
      </c>
      <c r="AN167" s="122">
        <f>Table66[[#This Row],[Data_Subjects_n_ptsd]]+Table66[[#This Row],[Data_Subjects_n_control]]</f>
        <v>68</v>
      </c>
      <c r="AO167" s="122">
        <v>37</v>
      </c>
      <c r="AP167" s="122">
        <v>31</v>
      </c>
      <c r="AQ167" s="122" t="s">
        <v>5395</v>
      </c>
      <c r="AR167" s="122" t="s">
        <v>5395</v>
      </c>
      <c r="AS167" s="122">
        <v>47.89</v>
      </c>
      <c r="AT167" s="122">
        <v>9.4</v>
      </c>
      <c r="AU167" s="122">
        <v>46.42</v>
      </c>
      <c r="AV167" s="122">
        <v>9.6</v>
      </c>
      <c r="AW167" s="122" t="s">
        <v>5414</v>
      </c>
      <c r="AX167" s="122"/>
      <c r="AY167" s="122"/>
      <c r="AZ167" s="754" t="s">
        <v>1874</v>
      </c>
      <c r="BA167" s="122" t="s">
        <v>24</v>
      </c>
      <c r="BB167" s="122" t="s">
        <v>24</v>
      </c>
      <c r="BC167" s="122" t="s">
        <v>2423</v>
      </c>
      <c r="BD167" s="754" t="s">
        <v>7521</v>
      </c>
      <c r="BE167" s="187">
        <v>0</v>
      </c>
      <c r="BF167" s="122" t="s">
        <v>3835</v>
      </c>
      <c r="BG167" s="122" t="s">
        <v>5209</v>
      </c>
      <c r="BH167" s="588"/>
      <c r="BI167" s="588"/>
      <c r="BJ167" s="161"/>
      <c r="BK167" s="161"/>
      <c r="BL167" s="161" t="s">
        <v>4727</v>
      </c>
      <c r="BM167" s="161"/>
      <c r="BN167" s="161"/>
      <c r="BO167" s="161" t="s">
        <v>4727</v>
      </c>
      <c r="BP167" s="161">
        <v>1</v>
      </c>
      <c r="BQ167" s="161"/>
      <c r="BR167" s="161" t="s">
        <v>4727</v>
      </c>
      <c r="BS167" s="161"/>
      <c r="BT167" s="161" t="s">
        <v>4727</v>
      </c>
      <c r="BU167" s="161"/>
      <c r="BV167" s="161"/>
      <c r="BW167" s="596" t="s">
        <v>5399</v>
      </c>
      <c r="BX167" s="162" t="s">
        <v>6621</v>
      </c>
      <c r="BY167" s="797" t="s">
        <v>7617</v>
      </c>
      <c r="BZ167" s="790" t="s">
        <v>7610</v>
      </c>
      <c r="CA167" s="769">
        <v>2</v>
      </c>
      <c r="CB167" s="765" t="s">
        <v>7556</v>
      </c>
      <c r="CC167" s="854" t="s">
        <v>7380</v>
      </c>
      <c r="CD167" s="150" t="s">
        <v>1876</v>
      </c>
      <c r="CE167" s="150" t="s">
        <v>5396</v>
      </c>
      <c r="CF167" s="400"/>
      <c r="CG167" s="150" t="s">
        <v>5400</v>
      </c>
      <c r="CH167" s="855" t="s">
        <v>7308</v>
      </c>
      <c r="CI167" s="150" t="s">
        <v>24</v>
      </c>
      <c r="CJ167" s="150"/>
      <c r="CK167" s="150" t="s">
        <v>5431</v>
      </c>
      <c r="CL167" s="150" t="s">
        <v>8255</v>
      </c>
      <c r="CM167" s="541" t="s">
        <v>5441</v>
      </c>
      <c r="CN167" s="257">
        <v>0</v>
      </c>
      <c r="CO167" s="829">
        <v>64</v>
      </c>
      <c r="CP167" s="829">
        <v>1</v>
      </c>
      <c r="CQ167" s="829">
        <v>7</v>
      </c>
      <c r="CR167" s="829">
        <v>1</v>
      </c>
      <c r="CS167" s="829">
        <v>1</v>
      </c>
      <c r="CT167" s="968"/>
      <c r="CU167" s="1288" t="s">
        <v>8103</v>
      </c>
      <c r="CV167" s="1294">
        <v>33</v>
      </c>
      <c r="CW167" s="1294">
        <v>26</v>
      </c>
      <c r="CX167" s="151" t="s">
        <v>5432</v>
      </c>
      <c r="CY167" s="150">
        <v>20.59</v>
      </c>
      <c r="CZ167" s="150">
        <v>3.7</v>
      </c>
      <c r="DA167" s="150" t="s">
        <v>24</v>
      </c>
      <c r="DB167" s="151" t="s">
        <v>5433</v>
      </c>
      <c r="DC167" s="150">
        <v>20.55</v>
      </c>
      <c r="DD167" s="150">
        <v>14.9</v>
      </c>
      <c r="DE167" s="150" t="s">
        <v>24</v>
      </c>
      <c r="DF167" s="294" t="s">
        <v>5436</v>
      </c>
      <c r="DG167" s="295" t="s">
        <v>5437</v>
      </c>
      <c r="DH167" s="1179"/>
      <c r="DI167" s="417"/>
      <c r="DJ167" s="1169"/>
      <c r="DK167" s="417"/>
      <c r="DL167" s="1169"/>
      <c r="DM167" s="417"/>
      <c r="DN167" s="1169"/>
      <c r="DO167" s="1151"/>
      <c r="DP167" s="288"/>
      <c r="DQ167" s="441"/>
      <c r="DR167" s="1168" t="s">
        <v>5440</v>
      </c>
      <c r="DS167" s="865" t="s">
        <v>5354</v>
      </c>
      <c r="DT167" s="1166" t="s">
        <v>24</v>
      </c>
      <c r="DU167" s="1164"/>
      <c r="DV167" s="1164"/>
      <c r="DW167" s="1164"/>
      <c r="DX167" s="1164"/>
      <c r="DY167" s="1164"/>
      <c r="DZ167" s="1164"/>
      <c r="EA167" s="1164"/>
      <c r="EB167" s="311"/>
      <c r="EC167" s="313"/>
      <c r="ED167" s="1164"/>
      <c r="EE167" s="1164"/>
      <c r="EF167" s="1164"/>
      <c r="EG167" s="1164"/>
      <c r="EH167" s="1164"/>
      <c r="EI167" s="1164"/>
      <c r="EJ167" s="1164"/>
      <c r="EK167" s="1164"/>
      <c r="EL167" s="311"/>
      <c r="EM167" s="313"/>
      <c r="EN167" s="1167"/>
      <c r="EO167" s="1165"/>
      <c r="EP167" s="1164"/>
      <c r="EQ167" s="1164"/>
      <c r="ER167" s="1164"/>
      <c r="ES167" s="1164"/>
      <c r="ET167" s="1166"/>
      <c r="EU167" s="1164"/>
      <c r="EV167" s="1164"/>
      <c r="EW167" s="1164"/>
      <c r="EX167" s="313"/>
      <c r="EY167" s="313"/>
      <c r="EZ167" s="1166"/>
      <c r="FA167" s="1164"/>
      <c r="FB167" s="1164"/>
      <c r="FC167" s="1164"/>
      <c r="FD167" s="1166"/>
      <c r="FE167" s="1164"/>
      <c r="FF167" s="1164"/>
      <c r="FG167" s="1164"/>
      <c r="FH167" s="313"/>
      <c r="FI167" s="313"/>
      <c r="FJ167" s="1165"/>
    </row>
    <row r="168" spans="1:166" ht="15" hidden="1" customHeight="1">
      <c r="A168" s="835" t="s">
        <v>105</v>
      </c>
      <c r="B168" s="836">
        <v>78</v>
      </c>
      <c r="C168" s="836">
        <v>10</v>
      </c>
      <c r="D168" s="836"/>
      <c r="E168" s="837" t="s">
        <v>1933</v>
      </c>
      <c r="F168" s="838" t="s">
        <v>2151</v>
      </c>
      <c r="G168" s="839">
        <v>2008</v>
      </c>
      <c r="H168" s="835">
        <v>17352380</v>
      </c>
      <c r="I168" s="835">
        <v>1</v>
      </c>
      <c r="J168" s="835"/>
      <c r="K168" s="835"/>
      <c r="L168" s="835">
        <v>1</v>
      </c>
      <c r="M168" s="835"/>
      <c r="N168" s="835">
        <v>1</v>
      </c>
      <c r="O168" s="840">
        <v>1</v>
      </c>
      <c r="P168" s="835" t="s">
        <v>73</v>
      </c>
      <c r="Q168" s="835" t="s">
        <v>1147</v>
      </c>
      <c r="R168" s="835" t="s">
        <v>25</v>
      </c>
      <c r="S168" s="835"/>
      <c r="T168" s="835"/>
      <c r="U168" s="835"/>
      <c r="V168" s="835"/>
      <c r="W168" s="835" t="s">
        <v>371</v>
      </c>
      <c r="X168" s="835"/>
      <c r="Y168" s="835"/>
      <c r="Z168" s="835"/>
      <c r="AA168" s="835"/>
      <c r="AB168" s="835" t="s">
        <v>372</v>
      </c>
      <c r="AC168" s="841"/>
      <c r="AD168" s="842">
        <v>1</v>
      </c>
      <c r="AE168" s="842">
        <v>2</v>
      </c>
      <c r="AF168" s="1789">
        <v>1</v>
      </c>
      <c r="AG168" s="1789" t="s">
        <v>7723</v>
      </c>
      <c r="AH168" s="845" t="s">
        <v>7722</v>
      </c>
      <c r="AI168" s="841">
        <v>2</v>
      </c>
      <c r="AJ168" s="846"/>
      <c r="AK168" s="847" t="s">
        <v>3903</v>
      </c>
      <c r="AL168" s="848">
        <v>1</v>
      </c>
      <c r="AM168" s="1596">
        <v>0</v>
      </c>
      <c r="AN168" s="855">
        <f>Table66[[#This Row],[Data_Subjects_n_ptsd]]+Table66[[#This Row],[Data_Subjects_n_control]]</f>
        <v>78</v>
      </c>
      <c r="AO168" s="855">
        <f>47</f>
        <v>47</v>
      </c>
      <c r="AP168" s="855">
        <v>31</v>
      </c>
      <c r="AQ168" s="855" t="s">
        <v>3897</v>
      </c>
      <c r="AR168" s="855" t="s">
        <v>803</v>
      </c>
      <c r="AS168" s="855">
        <v>54.73</v>
      </c>
      <c r="AT168" s="855">
        <v>12.83</v>
      </c>
      <c r="AU168" s="855">
        <v>60.59</v>
      </c>
      <c r="AV168" s="855">
        <v>13.83</v>
      </c>
      <c r="AW168" s="855" t="s">
        <v>1874</v>
      </c>
      <c r="AX168" s="855"/>
      <c r="AY168" s="855"/>
      <c r="AZ168" s="855" t="s">
        <v>1874</v>
      </c>
      <c r="BA168" s="855" t="s">
        <v>24</v>
      </c>
      <c r="BB168" s="855" t="s">
        <v>24</v>
      </c>
      <c r="BC168" s="855" t="s">
        <v>2423</v>
      </c>
      <c r="BD168" s="855" t="s">
        <v>7521</v>
      </c>
      <c r="BE168" s="1624">
        <v>1</v>
      </c>
      <c r="BF168" s="855" t="s">
        <v>3835</v>
      </c>
      <c r="BG168" s="855" t="s">
        <v>3894</v>
      </c>
      <c r="BH168" s="850"/>
      <c r="BI168" s="850"/>
      <c r="BJ168" s="851"/>
      <c r="BK168" s="851"/>
      <c r="BL168" s="851"/>
      <c r="BM168" s="851"/>
      <c r="BN168" s="851"/>
      <c r="BO168" s="851"/>
      <c r="BP168" s="851">
        <v>1</v>
      </c>
      <c r="BQ168" s="851"/>
      <c r="BR168" s="851"/>
      <c r="BS168" s="851"/>
      <c r="BT168" s="851"/>
      <c r="BU168" s="851"/>
      <c r="BV168" s="851"/>
      <c r="BW168" s="852" t="s">
        <v>3908</v>
      </c>
      <c r="BX168" s="162" t="s">
        <v>6609</v>
      </c>
      <c r="BY168" s="797" t="s">
        <v>7616</v>
      </c>
      <c r="BZ168" s="853" t="s">
        <v>803</v>
      </c>
      <c r="CA168" s="854">
        <v>2</v>
      </c>
      <c r="CB168" s="854" t="s">
        <v>7556</v>
      </c>
      <c r="CC168" s="854" t="s">
        <v>7380</v>
      </c>
      <c r="CD168" s="855" t="s">
        <v>1876</v>
      </c>
      <c r="CE168" s="855" t="s">
        <v>3901</v>
      </c>
      <c r="CF168" s="855"/>
      <c r="CG168" s="855" t="s">
        <v>3906</v>
      </c>
      <c r="CH168" s="855" t="s">
        <v>7308</v>
      </c>
      <c r="CI168" s="855" t="s">
        <v>24</v>
      </c>
      <c r="CJ168" s="855">
        <v>0</v>
      </c>
      <c r="CK168" s="855" t="s">
        <v>7733</v>
      </c>
      <c r="CL168" s="1079" t="s">
        <v>8259</v>
      </c>
      <c r="CM168" s="1790" t="s">
        <v>3923</v>
      </c>
      <c r="CN168" s="857" t="s">
        <v>24</v>
      </c>
      <c r="CO168" s="858">
        <v>5</v>
      </c>
      <c r="CP168" s="858">
        <v>1</v>
      </c>
      <c r="CQ168" s="858">
        <v>7</v>
      </c>
      <c r="CR168" s="858">
        <v>1</v>
      </c>
      <c r="CS168" s="858">
        <v>1</v>
      </c>
      <c r="CT168" s="970"/>
      <c r="CU168" s="1288" t="s">
        <v>8103</v>
      </c>
      <c r="CV168" s="1294">
        <v>8</v>
      </c>
      <c r="CW168" s="1294">
        <v>6</v>
      </c>
      <c r="CX168" s="859" t="s">
        <v>3915</v>
      </c>
      <c r="CY168" s="855">
        <v>81.3673</v>
      </c>
      <c r="CZ168" s="855" t="s">
        <v>24</v>
      </c>
      <c r="DA168" s="855">
        <f>84.1215-Table66[[#This Row],[Data_Outcome1_M]]</f>
        <v>2.7541999999999973</v>
      </c>
      <c r="DB168" s="859" t="s">
        <v>3916</v>
      </c>
      <c r="DC168" s="855">
        <v>87.630799999999994</v>
      </c>
      <c r="DD168" s="855" t="s">
        <v>24</v>
      </c>
      <c r="DE168" s="855">
        <f>90.6465-Table66[[#This Row],[Data_Outcome2_M]]</f>
        <v>3.0157000000000096</v>
      </c>
      <c r="DF168" s="1792" t="s">
        <v>3922</v>
      </c>
      <c r="DG168" s="1792"/>
      <c r="DH168" s="121"/>
      <c r="DI168" s="121"/>
      <c r="DJ168" s="1169"/>
      <c r="DK168" s="121"/>
      <c r="DL168" s="1235" t="s">
        <v>24</v>
      </c>
      <c r="DM168" s="841" t="s">
        <v>24</v>
      </c>
      <c r="DN168" s="1232" t="s">
        <v>24</v>
      </c>
      <c r="DO168" s="841" t="s">
        <v>24</v>
      </c>
      <c r="DP168" s="1793" t="s">
        <v>24</v>
      </c>
      <c r="DQ168" s="1793" t="s">
        <v>24</v>
      </c>
      <c r="DR168" s="1251"/>
      <c r="DS168" s="1251"/>
      <c r="DT168" s="1281"/>
      <c r="DU168" s="841"/>
      <c r="DV168" s="1232"/>
      <c r="DW168" s="841"/>
      <c r="DX168" s="1281"/>
      <c r="DY168" s="1232"/>
      <c r="DZ168" s="1232"/>
      <c r="EA168" s="1232"/>
      <c r="EB168" s="1237"/>
      <c r="EC168" s="1233"/>
      <c r="ED168" s="1235"/>
      <c r="EE168" s="1232"/>
      <c r="EF168" s="1232"/>
      <c r="EG168" s="1232"/>
      <c r="EH168" s="1232"/>
      <c r="EI168" s="1232"/>
      <c r="EJ168" s="1232"/>
      <c r="EK168" s="1232"/>
      <c r="EL168" s="1237"/>
      <c r="EM168" s="1233"/>
      <c r="EN168" s="1236"/>
      <c r="EO168" s="1234"/>
      <c r="EP168" s="1235"/>
      <c r="EQ168" s="1232"/>
      <c r="ER168" s="1232"/>
      <c r="ES168" s="1232"/>
      <c r="ET168" s="1235"/>
      <c r="EU168" s="1232"/>
      <c r="EV168" s="1232"/>
      <c r="EW168" s="1232"/>
      <c r="EX168" s="862"/>
      <c r="EY168" s="862"/>
      <c r="EZ168" s="1281"/>
      <c r="FA168" s="841"/>
      <c r="FB168" s="841"/>
      <c r="FC168" s="841"/>
      <c r="FD168" s="1281"/>
      <c r="FE168" s="1232"/>
      <c r="FF168" s="1232"/>
      <c r="FG168" s="1232"/>
      <c r="FH168" s="1233"/>
      <c r="FI168" s="1233"/>
      <c r="FJ168" s="1234"/>
    </row>
    <row r="169" spans="1:166" ht="15" hidden="1" customHeight="1">
      <c r="A169" s="79" t="s">
        <v>144</v>
      </c>
      <c r="B169" s="362">
        <v>110</v>
      </c>
      <c r="C169" s="362">
        <v>23</v>
      </c>
      <c r="D169" s="362"/>
      <c r="E169" s="604" t="s">
        <v>1951</v>
      </c>
      <c r="F169" s="124" t="s">
        <v>2171</v>
      </c>
      <c r="G169" s="125">
        <v>2008</v>
      </c>
      <c r="H169" s="79">
        <v>17698081</v>
      </c>
      <c r="I169" s="79">
        <v>1</v>
      </c>
      <c r="J169" s="126"/>
      <c r="K169" s="127"/>
      <c r="L169" s="79">
        <v>1</v>
      </c>
      <c r="M169" s="79"/>
      <c r="N169" s="79">
        <v>1</v>
      </c>
      <c r="O169" s="128">
        <v>1</v>
      </c>
      <c r="P169" s="79" t="s">
        <v>73</v>
      </c>
      <c r="Q169" s="79" t="s">
        <v>1147</v>
      </c>
      <c r="R169" s="79" t="s">
        <v>25</v>
      </c>
      <c r="S169" s="79">
        <v>1</v>
      </c>
      <c r="T169" s="79"/>
      <c r="U169" s="79"/>
      <c r="V169" s="79"/>
      <c r="W169" s="79" t="s">
        <v>451</v>
      </c>
      <c r="X169" s="79" t="s">
        <v>56</v>
      </c>
      <c r="Y169" s="79"/>
      <c r="Z169" s="79"/>
      <c r="AA169" s="79"/>
      <c r="AB169" s="79"/>
      <c r="AC169" s="506"/>
      <c r="AD169" s="573">
        <v>1</v>
      </c>
      <c r="AE169" s="573">
        <v>2</v>
      </c>
      <c r="AF169" s="580">
        <v>1</v>
      </c>
      <c r="AG169" s="580"/>
      <c r="AH169" s="704"/>
      <c r="AI169" s="121">
        <v>2</v>
      </c>
      <c r="AJ169" s="484"/>
      <c r="AK169" s="202"/>
      <c r="AL169" s="192">
        <v>0</v>
      </c>
      <c r="AM169" s="203">
        <v>0</v>
      </c>
      <c r="AN169" s="121">
        <v>24</v>
      </c>
      <c r="AO169" s="121">
        <v>12</v>
      </c>
      <c r="AP169" s="121">
        <v>12</v>
      </c>
      <c r="AQ169" s="121" t="s">
        <v>803</v>
      </c>
      <c r="AR169" s="121" t="s">
        <v>803</v>
      </c>
      <c r="AS169" s="134">
        <v>34.82</v>
      </c>
      <c r="AT169" s="134">
        <v>5.78</v>
      </c>
      <c r="AU169" s="134">
        <v>34.69</v>
      </c>
      <c r="AV169" s="134">
        <v>3.7</v>
      </c>
      <c r="AW169" s="134" t="s">
        <v>4236</v>
      </c>
      <c r="AX169" s="121"/>
      <c r="AY169" s="121"/>
      <c r="AZ169" s="754" t="s">
        <v>1874</v>
      </c>
      <c r="BA169" s="121" t="s">
        <v>24</v>
      </c>
      <c r="BB169" s="121" t="s">
        <v>24</v>
      </c>
      <c r="BC169" s="121" t="s">
        <v>4238</v>
      </c>
      <c r="BD169" s="754" t="s">
        <v>7521</v>
      </c>
      <c r="BE169" s="187">
        <v>0</v>
      </c>
      <c r="BF169" s="121" t="s">
        <v>3835</v>
      </c>
      <c r="BG169" s="122" t="s">
        <v>4237</v>
      </c>
      <c r="BH169" s="588"/>
      <c r="BI169" s="588"/>
      <c r="BJ169" s="156"/>
      <c r="BK169" s="156"/>
      <c r="BL169" s="156"/>
      <c r="BM169" s="156"/>
      <c r="BN169" s="156"/>
      <c r="BO169" s="156"/>
      <c r="BP169" s="156">
        <v>1</v>
      </c>
      <c r="BQ169" s="156"/>
      <c r="BR169" s="156"/>
      <c r="BS169" s="156"/>
      <c r="BT169" s="156"/>
      <c r="BU169" s="156"/>
      <c r="BV169" s="156"/>
      <c r="BW169" s="595" t="s">
        <v>6614</v>
      </c>
      <c r="BX169" s="157" t="s">
        <v>6609</v>
      </c>
      <c r="BY169" s="797" t="s">
        <v>7616</v>
      </c>
      <c r="BZ169" s="789" t="s">
        <v>803</v>
      </c>
      <c r="CA169" s="660">
        <v>2</v>
      </c>
      <c r="CB169" s="660" t="s">
        <v>7556</v>
      </c>
      <c r="CC169" s="660" t="s">
        <v>8243</v>
      </c>
      <c r="CD169" s="134" t="s">
        <v>1876</v>
      </c>
      <c r="CE169" s="134">
        <v>2</v>
      </c>
      <c r="CF169" s="400"/>
      <c r="CG169" s="134" t="s">
        <v>4240</v>
      </c>
      <c r="CH169" s="753" t="s">
        <v>8269</v>
      </c>
      <c r="CI169" s="134" t="s">
        <v>24</v>
      </c>
      <c r="CJ169" s="150">
        <v>1</v>
      </c>
      <c r="CK169" s="134" t="s">
        <v>4242</v>
      </c>
      <c r="CL169" s="134" t="s">
        <v>8270</v>
      </c>
      <c r="CM169" s="259" t="s">
        <v>4246</v>
      </c>
      <c r="CN169" s="454">
        <v>0</v>
      </c>
      <c r="CO169" s="828">
        <v>21</v>
      </c>
      <c r="CP169" s="828">
        <v>1</v>
      </c>
      <c r="CQ169" s="828">
        <v>14</v>
      </c>
      <c r="CR169" s="828">
        <v>1</v>
      </c>
      <c r="CS169" s="828">
        <v>1</v>
      </c>
      <c r="CT169" s="967"/>
      <c r="CU169" s="1288" t="s">
        <v>8103</v>
      </c>
      <c r="CV169" s="1294">
        <v>11</v>
      </c>
      <c r="CW169" s="1294">
        <v>10</v>
      </c>
      <c r="CX169" s="138" t="s">
        <v>4241</v>
      </c>
      <c r="CY169" s="134">
        <v>3.7</v>
      </c>
      <c r="CZ169" s="134">
        <v>1.6</v>
      </c>
      <c r="DA169" s="134" t="s">
        <v>24</v>
      </c>
      <c r="DB169" s="138" t="s">
        <v>4243</v>
      </c>
      <c r="DC169" s="134">
        <v>6.2</v>
      </c>
      <c r="DD169" s="134">
        <v>4.2</v>
      </c>
      <c r="DE169" s="134" t="s">
        <v>24</v>
      </c>
      <c r="DF169" s="294" t="s">
        <v>4244</v>
      </c>
      <c r="DG169" s="295" t="s">
        <v>4245</v>
      </c>
      <c r="DH169" s="1164" t="s">
        <v>24</v>
      </c>
      <c r="DI169" s="1164" t="s">
        <v>24</v>
      </c>
      <c r="DJ169" s="1164" t="s">
        <v>24</v>
      </c>
      <c r="DK169" s="1164" t="s">
        <v>24</v>
      </c>
      <c r="DL169" s="1164" t="s">
        <v>24</v>
      </c>
      <c r="DM169" s="1164" t="s">
        <v>24</v>
      </c>
      <c r="DN169" s="1164" t="s">
        <v>24</v>
      </c>
      <c r="DO169" s="1164" t="s">
        <v>24</v>
      </c>
      <c r="DP169" s="288"/>
      <c r="DQ169" s="289"/>
      <c r="DR169" s="1168"/>
      <c r="DS169" s="865"/>
      <c r="DT169" s="1164" t="s">
        <v>24</v>
      </c>
      <c r="DU169" s="1164" t="s">
        <v>24</v>
      </c>
      <c r="DV169" s="1164" t="s">
        <v>24</v>
      </c>
      <c r="DW169" s="1164" t="s">
        <v>24</v>
      </c>
      <c r="DX169" s="1164" t="s">
        <v>24</v>
      </c>
      <c r="DY169" s="1164" t="s">
        <v>24</v>
      </c>
      <c r="DZ169" s="1164" t="s">
        <v>24</v>
      </c>
      <c r="EA169" s="1164" t="s">
        <v>24</v>
      </c>
      <c r="EB169" s="434"/>
      <c r="EC169" s="436"/>
      <c r="ED169" s="1169"/>
      <c r="EE169" s="1169"/>
      <c r="EF169" s="1169"/>
      <c r="EG169" s="1169"/>
      <c r="EH169" s="1169"/>
      <c r="EI169" s="1169"/>
      <c r="EJ169" s="1169"/>
      <c r="EK169" s="1169"/>
      <c r="EL169" s="434"/>
      <c r="EM169" s="436"/>
      <c r="EN169" s="309"/>
      <c r="EO169" s="1170"/>
      <c r="EP169" s="1169"/>
      <c r="EQ169" s="1169"/>
      <c r="ER169" s="1169"/>
      <c r="ES169" s="1169"/>
      <c r="ET169" s="1171"/>
      <c r="EU169" s="1169"/>
      <c r="EV169" s="1169"/>
      <c r="EW169" s="1169"/>
      <c r="EX169" s="436"/>
      <c r="EY169" s="436"/>
      <c r="EZ169" s="1171"/>
      <c r="FA169" s="1169"/>
      <c r="FB169" s="1169"/>
      <c r="FC169" s="1169"/>
      <c r="FD169" s="1171"/>
      <c r="FE169" s="1169"/>
      <c r="FF169" s="1169"/>
      <c r="FG169" s="1169"/>
      <c r="FH169" s="312"/>
      <c r="FI169" s="312"/>
      <c r="FJ169" s="1170"/>
    </row>
    <row r="170" spans="1:166" ht="15" hidden="1" customHeight="1">
      <c r="A170" s="118" t="s">
        <v>145</v>
      </c>
      <c r="B170" s="616">
        <v>111</v>
      </c>
      <c r="C170" s="616">
        <v>24</v>
      </c>
      <c r="D170" s="616"/>
      <c r="E170" s="605" t="s">
        <v>1952</v>
      </c>
      <c r="F170" s="140" t="s">
        <v>2172</v>
      </c>
      <c r="G170" s="141">
        <v>2001</v>
      </c>
      <c r="H170" s="118">
        <v>11469166</v>
      </c>
      <c r="I170" s="118">
        <v>1</v>
      </c>
      <c r="J170" s="118"/>
      <c r="K170" s="118"/>
      <c r="L170" s="118">
        <v>1</v>
      </c>
      <c r="M170" s="118"/>
      <c r="N170" s="118">
        <v>1</v>
      </c>
      <c r="O170" s="142">
        <v>1</v>
      </c>
      <c r="P170" s="118" t="s">
        <v>452</v>
      </c>
      <c r="Q170" s="118"/>
      <c r="R170" s="118" t="s">
        <v>25</v>
      </c>
      <c r="S170" s="118">
        <v>1</v>
      </c>
      <c r="T170" s="118"/>
      <c r="U170" s="118"/>
      <c r="V170" s="118"/>
      <c r="W170" s="118" t="s">
        <v>24</v>
      </c>
      <c r="X170" s="118"/>
      <c r="Y170" s="118"/>
      <c r="Z170" s="118"/>
      <c r="AA170" s="118"/>
      <c r="AB170" s="118"/>
      <c r="AC170" s="145"/>
      <c r="AD170" s="573">
        <v>1</v>
      </c>
      <c r="AE170" s="573">
        <v>2</v>
      </c>
      <c r="AF170" s="594">
        <v>2</v>
      </c>
      <c r="AG170" s="588"/>
      <c r="AH170" s="911"/>
      <c r="AI170" s="912">
        <v>2</v>
      </c>
      <c r="AJ170" s="912"/>
      <c r="AK170" s="913" t="s">
        <v>4250</v>
      </c>
      <c r="AL170" s="588">
        <v>1</v>
      </c>
      <c r="AM170" s="914" t="s">
        <v>24</v>
      </c>
      <c r="AN170" s="912">
        <f>Table66[[#This Row],[Data_Subjects_n_ptsd]]+Table66[[#This Row],[Data_Subjects_n_control]]</f>
        <v>32</v>
      </c>
      <c r="AO170" s="912">
        <v>19</v>
      </c>
      <c r="AP170" s="912">
        <v>13</v>
      </c>
      <c r="AQ170" s="912" t="s">
        <v>803</v>
      </c>
      <c r="AR170" s="912" t="s">
        <v>803</v>
      </c>
      <c r="AS170" s="912" t="s">
        <v>4248</v>
      </c>
      <c r="AT170" s="912">
        <v>2.81</v>
      </c>
      <c r="AU170" s="912" t="s">
        <v>4247</v>
      </c>
      <c r="AV170" s="912">
        <v>3.09</v>
      </c>
      <c r="AW170" s="912" t="s">
        <v>4249</v>
      </c>
      <c r="AX170" s="912"/>
      <c r="AY170" s="912"/>
      <c r="AZ170" s="915" t="s">
        <v>1874</v>
      </c>
      <c r="BA170" s="912" t="s">
        <v>24</v>
      </c>
      <c r="BB170" s="912" t="s">
        <v>24</v>
      </c>
      <c r="BC170" s="912" t="s">
        <v>4161</v>
      </c>
      <c r="BD170" s="915" t="s">
        <v>7521</v>
      </c>
      <c r="BE170" s="915"/>
      <c r="BF170" s="912" t="s">
        <v>3835</v>
      </c>
      <c r="BG170" s="912" t="s">
        <v>4251</v>
      </c>
      <c r="BH170" s="588"/>
      <c r="BI170" s="588"/>
      <c r="BJ170" s="161"/>
      <c r="BK170" s="161"/>
      <c r="BL170" s="161"/>
      <c r="BM170" s="161"/>
      <c r="BN170" s="161"/>
      <c r="BO170" s="161"/>
      <c r="BP170" s="161"/>
      <c r="BQ170" s="161"/>
      <c r="BR170" s="161"/>
      <c r="BS170" s="161"/>
      <c r="BT170" s="161"/>
      <c r="BU170" s="161"/>
      <c r="BV170" s="161" t="s">
        <v>1917</v>
      </c>
      <c r="BW170" s="161" t="s">
        <v>4263</v>
      </c>
      <c r="BX170" s="916"/>
      <c r="BY170" s="916"/>
      <c r="BZ170" s="916"/>
      <c r="CA170" s="184"/>
      <c r="CB170" s="184"/>
      <c r="CC170" s="184"/>
      <c r="CD170" s="912" t="s">
        <v>1876</v>
      </c>
      <c r="CE170" s="912">
        <v>2</v>
      </c>
      <c r="CF170" s="912"/>
      <c r="CG170" s="912" t="s">
        <v>4264</v>
      </c>
      <c r="CH170" s="915" t="s">
        <v>7336</v>
      </c>
      <c r="CI170" s="912" t="s">
        <v>24</v>
      </c>
      <c r="CJ170" s="912"/>
      <c r="CK170" s="912" t="s">
        <v>4265</v>
      </c>
      <c r="CL170" s="912"/>
      <c r="CM170" s="918" t="s">
        <v>4306</v>
      </c>
      <c r="CN170" s="919"/>
      <c r="CO170" s="919">
        <v>22</v>
      </c>
      <c r="CP170" s="919"/>
      <c r="CQ170" s="919"/>
      <c r="CR170" s="919">
        <v>1</v>
      </c>
      <c r="CS170" s="919"/>
      <c r="CT170" s="968"/>
      <c r="CU170" s="968"/>
      <c r="CV170" s="968"/>
      <c r="CW170" s="968"/>
      <c r="CX170" s="916" t="s">
        <v>4303</v>
      </c>
      <c r="CY170" s="912">
        <v>33.5</v>
      </c>
      <c r="CZ170" s="912">
        <v>3.43</v>
      </c>
      <c r="DA170" s="912" t="s">
        <v>24</v>
      </c>
      <c r="DB170" s="916" t="s">
        <v>4304</v>
      </c>
      <c r="DC170" s="912">
        <v>35.46</v>
      </c>
      <c r="DD170" s="912">
        <v>0.97</v>
      </c>
      <c r="DE170" s="912" t="s">
        <v>24</v>
      </c>
      <c r="DF170" s="920" t="s">
        <v>4297</v>
      </c>
      <c r="DG170" s="598" t="s">
        <v>4305</v>
      </c>
      <c r="DH170" s="1241" t="s">
        <v>24</v>
      </c>
      <c r="DI170" s="1240" t="s">
        <v>24</v>
      </c>
      <c r="DJ170" s="1240" t="s">
        <v>24</v>
      </c>
      <c r="DK170" s="1240" t="s">
        <v>24</v>
      </c>
      <c r="DL170" s="1241" t="s">
        <v>24</v>
      </c>
      <c r="DM170" s="1240" t="s">
        <v>24</v>
      </c>
      <c r="DN170" s="1240" t="s">
        <v>24</v>
      </c>
      <c r="DO170" s="1240" t="s">
        <v>24</v>
      </c>
      <c r="DP170" s="918" t="s">
        <v>24</v>
      </c>
      <c r="DQ170" s="588"/>
      <c r="DR170" s="1187"/>
      <c r="DS170" s="1186"/>
      <c r="DT170" s="1241"/>
      <c r="DU170" s="1240"/>
      <c r="DV170" s="1240"/>
      <c r="DW170" s="1240"/>
      <c r="DX170" s="1240"/>
      <c r="DY170" s="1240"/>
      <c r="DZ170" s="1240"/>
      <c r="EA170" s="1240"/>
      <c r="EB170" s="1242"/>
      <c r="EC170" s="1240"/>
      <c r="ED170" s="1240"/>
      <c r="EE170" s="1240"/>
      <c r="EF170" s="1240"/>
      <c r="EG170" s="1240"/>
      <c r="EH170" s="1240"/>
      <c r="EI170" s="1240"/>
      <c r="EJ170" s="1240"/>
      <c r="EK170" s="1240"/>
      <c r="EL170" s="1242"/>
      <c r="EM170" s="1240"/>
      <c r="EN170" s="1242"/>
      <c r="EO170" s="1240"/>
      <c r="EP170" s="1240"/>
      <c r="EQ170" s="1240"/>
      <c r="ER170" s="1240"/>
      <c r="ES170" s="1240"/>
      <c r="ET170" s="1241"/>
      <c r="EU170" s="1240"/>
      <c r="EV170" s="1240"/>
      <c r="EW170" s="1240"/>
      <c r="EX170" s="1240"/>
      <c r="EY170" s="1240"/>
      <c r="EZ170" s="1241"/>
      <c r="FA170" s="1240"/>
      <c r="FB170" s="1240"/>
      <c r="FC170" s="1240"/>
      <c r="FD170" s="1241"/>
      <c r="FE170" s="1240"/>
      <c r="FF170" s="1240"/>
      <c r="FG170" s="1240"/>
      <c r="FH170" s="1240"/>
      <c r="FI170" s="1240"/>
      <c r="FJ170" s="1240"/>
    </row>
    <row r="171" spans="1:166" ht="15" hidden="1" customHeight="1">
      <c r="A171" s="118" t="s">
        <v>145</v>
      </c>
      <c r="B171" s="616">
        <v>111</v>
      </c>
      <c r="C171" s="616">
        <v>24</v>
      </c>
      <c r="D171" s="616"/>
      <c r="E171" s="605" t="s">
        <v>1952</v>
      </c>
      <c r="F171" s="140" t="s">
        <v>2172</v>
      </c>
      <c r="G171" s="141">
        <v>2001</v>
      </c>
      <c r="H171" s="118">
        <v>11469166</v>
      </c>
      <c r="I171" s="118">
        <v>1</v>
      </c>
      <c r="J171" s="118"/>
      <c r="K171" s="118"/>
      <c r="L171" s="118">
        <v>1</v>
      </c>
      <c r="M171" s="118"/>
      <c r="N171" s="118">
        <v>1</v>
      </c>
      <c r="O171" s="142">
        <v>1</v>
      </c>
      <c r="P171" s="118" t="s">
        <v>452</v>
      </c>
      <c r="Q171" s="118"/>
      <c r="R171" s="118" t="s">
        <v>25</v>
      </c>
      <c r="S171" s="118">
        <v>1</v>
      </c>
      <c r="T171" s="118"/>
      <c r="U171" s="118"/>
      <c r="V171" s="118"/>
      <c r="W171" s="118" t="s">
        <v>24</v>
      </c>
      <c r="X171" s="118"/>
      <c r="Y171" s="118"/>
      <c r="Z171" s="118"/>
      <c r="AA171" s="118"/>
      <c r="AB171" s="118"/>
      <c r="AC171" s="145"/>
      <c r="AD171" s="573">
        <v>1</v>
      </c>
      <c r="AE171" s="573">
        <v>2</v>
      </c>
      <c r="AF171" s="924">
        <v>2</v>
      </c>
      <c r="AG171" s="910" t="s">
        <v>642</v>
      </c>
      <c r="AH171" s="911"/>
      <c r="AI171" s="912">
        <v>2</v>
      </c>
      <c r="AJ171" s="912"/>
      <c r="AK171" s="912" t="s">
        <v>4250</v>
      </c>
      <c r="AL171" s="588">
        <v>1</v>
      </c>
      <c r="AM171" s="914" t="s">
        <v>24</v>
      </c>
      <c r="AN171" s="912">
        <f>Table66[[#This Row],[Data_Subjects_n_ptsd]]+Table66[[#This Row],[Data_Subjects_n_control]]</f>
        <v>32</v>
      </c>
      <c r="AO171" s="912">
        <v>19</v>
      </c>
      <c r="AP171" s="912">
        <v>13</v>
      </c>
      <c r="AQ171" s="912" t="s">
        <v>803</v>
      </c>
      <c r="AR171" s="912" t="s">
        <v>803</v>
      </c>
      <c r="AS171" s="912" t="s">
        <v>4248</v>
      </c>
      <c r="AT171" s="912">
        <v>2.81</v>
      </c>
      <c r="AU171" s="912" t="s">
        <v>4247</v>
      </c>
      <c r="AV171" s="912">
        <v>3.09</v>
      </c>
      <c r="AW171" s="912" t="s">
        <v>4249</v>
      </c>
      <c r="AX171" s="912"/>
      <c r="AY171" s="912"/>
      <c r="AZ171" s="915" t="s">
        <v>1874</v>
      </c>
      <c r="BA171" s="912" t="s">
        <v>24</v>
      </c>
      <c r="BB171" s="912" t="s">
        <v>24</v>
      </c>
      <c r="BC171" s="912" t="s">
        <v>4161</v>
      </c>
      <c r="BD171" s="915" t="s">
        <v>7521</v>
      </c>
      <c r="BE171" s="915"/>
      <c r="BF171" s="912" t="s">
        <v>3835</v>
      </c>
      <c r="BG171" s="912" t="s">
        <v>4251</v>
      </c>
      <c r="BH171" s="588"/>
      <c r="BI171" s="588"/>
      <c r="BJ171" s="161"/>
      <c r="BK171" s="161"/>
      <c r="BL171" s="161"/>
      <c r="BM171" s="161"/>
      <c r="BN171" s="161"/>
      <c r="BO171" s="161">
        <v>1</v>
      </c>
      <c r="BP171" s="161"/>
      <c r="BQ171" s="161"/>
      <c r="BR171" s="161"/>
      <c r="BS171" s="161"/>
      <c r="BT171" s="161"/>
      <c r="BU171" s="161"/>
      <c r="BV171" s="161"/>
      <c r="BW171" s="161" t="s">
        <v>4002</v>
      </c>
      <c r="BX171" s="916"/>
      <c r="BY171" s="916"/>
      <c r="BZ171" s="916"/>
      <c r="CA171" s="184"/>
      <c r="CB171" s="184"/>
      <c r="CC171" s="184"/>
      <c r="CD171" s="912" t="s">
        <v>1876</v>
      </c>
      <c r="CE171" s="912">
        <v>2</v>
      </c>
      <c r="CF171" s="912"/>
      <c r="CG171" s="912" t="s">
        <v>4261</v>
      </c>
      <c r="CH171" s="915" t="s">
        <v>7315</v>
      </c>
      <c r="CI171" s="912" t="s">
        <v>24</v>
      </c>
      <c r="CJ171" s="912"/>
      <c r="CK171" s="912" t="s">
        <v>4262</v>
      </c>
      <c r="CL171" s="912"/>
      <c r="CM171" s="918" t="s">
        <v>4337</v>
      </c>
      <c r="CN171" s="919"/>
      <c r="CO171" s="919">
        <v>22</v>
      </c>
      <c r="CP171" s="919"/>
      <c r="CQ171" s="919"/>
      <c r="CR171" s="919">
        <v>1</v>
      </c>
      <c r="CS171" s="919"/>
      <c r="CT171" s="968"/>
      <c r="CU171" s="968"/>
      <c r="CV171" s="968"/>
      <c r="CW171" s="968"/>
      <c r="CX171" s="916" t="s">
        <v>4323</v>
      </c>
      <c r="CY171" s="912">
        <v>4.05</v>
      </c>
      <c r="CZ171" s="912">
        <v>2.17</v>
      </c>
      <c r="DA171" s="912" t="s">
        <v>24</v>
      </c>
      <c r="DB171" s="916" t="s">
        <v>4324</v>
      </c>
      <c r="DC171" s="912">
        <v>5.54</v>
      </c>
      <c r="DD171" s="912">
        <v>1.39</v>
      </c>
      <c r="DE171" s="912" t="s">
        <v>24</v>
      </c>
      <c r="DF171" s="920" t="s">
        <v>4329</v>
      </c>
      <c r="DG171" s="598" t="s">
        <v>4330</v>
      </c>
      <c r="DH171" s="916" t="s">
        <v>4325</v>
      </c>
      <c r="DI171" s="912">
        <v>21.89</v>
      </c>
      <c r="DJ171" s="1240">
        <v>12.27</v>
      </c>
      <c r="DK171" s="912" t="s">
        <v>24</v>
      </c>
      <c r="DL171" s="1241" t="s">
        <v>4326</v>
      </c>
      <c r="DM171" s="912">
        <v>12.77</v>
      </c>
      <c r="DN171" s="1240" t="s">
        <v>4331</v>
      </c>
      <c r="DO171" s="912" t="s">
        <v>24</v>
      </c>
      <c r="DP171" s="918" t="s">
        <v>4332</v>
      </c>
      <c r="DQ171" s="588" t="s">
        <v>4333</v>
      </c>
      <c r="DR171" s="922" t="s">
        <v>4334</v>
      </c>
      <c r="DS171" s="1186" t="s">
        <v>24</v>
      </c>
      <c r="DT171" s="1241" t="s">
        <v>4327</v>
      </c>
      <c r="DU171" s="1240">
        <v>29.89</v>
      </c>
      <c r="DV171" s="1240">
        <v>25.89</v>
      </c>
      <c r="DW171" s="1240" t="s">
        <v>24</v>
      </c>
      <c r="DX171" s="1241" t="s">
        <v>4328</v>
      </c>
      <c r="DY171" s="1240">
        <v>12.23</v>
      </c>
      <c r="DZ171" s="1240">
        <v>7.41</v>
      </c>
      <c r="EA171" s="1240" t="s">
        <v>24</v>
      </c>
      <c r="EB171" s="1242" t="s">
        <v>4335</v>
      </c>
      <c r="EC171" s="1240" t="s">
        <v>4336</v>
      </c>
      <c r="ED171" s="1240" t="s">
        <v>24</v>
      </c>
      <c r="EE171" s="1240" t="s">
        <v>24</v>
      </c>
      <c r="EF171" s="1240" t="s">
        <v>24</v>
      </c>
      <c r="EG171" s="1240" t="s">
        <v>24</v>
      </c>
      <c r="EH171" s="1240" t="s">
        <v>24</v>
      </c>
      <c r="EI171" s="1240" t="s">
        <v>24</v>
      </c>
      <c r="EJ171" s="1240" t="s">
        <v>24</v>
      </c>
      <c r="EK171" s="1240" t="s">
        <v>24</v>
      </c>
      <c r="EL171" s="1242"/>
      <c r="EM171" s="1240"/>
      <c r="EN171" s="1242"/>
      <c r="EO171" s="1240"/>
      <c r="EP171" s="1240"/>
      <c r="EQ171" s="1240"/>
      <c r="ER171" s="1240"/>
      <c r="ES171" s="1240"/>
      <c r="ET171" s="1241"/>
      <c r="EU171" s="1240"/>
      <c r="EV171" s="1240"/>
      <c r="EW171" s="1240"/>
      <c r="EX171" s="1240"/>
      <c r="EY171" s="1240"/>
      <c r="EZ171" s="1241"/>
      <c r="FA171" s="1240"/>
      <c r="FB171" s="1240"/>
      <c r="FC171" s="1240"/>
      <c r="FD171" s="1241"/>
      <c r="FE171" s="1240"/>
      <c r="FF171" s="1240"/>
      <c r="FG171" s="1240"/>
      <c r="FH171" s="1240"/>
      <c r="FI171" s="1240"/>
      <c r="FJ171" s="1240"/>
    </row>
    <row r="172" spans="1:166" ht="15" hidden="1" customHeight="1">
      <c r="A172" s="79" t="s">
        <v>145</v>
      </c>
      <c r="B172" s="617">
        <v>111</v>
      </c>
      <c r="C172" s="617">
        <v>24</v>
      </c>
      <c r="D172" s="617"/>
      <c r="E172" s="608" t="s">
        <v>1952</v>
      </c>
      <c r="F172" s="181" t="s">
        <v>2172</v>
      </c>
      <c r="G172" s="182">
        <v>2001</v>
      </c>
      <c r="H172" s="79">
        <v>11469166</v>
      </c>
      <c r="I172" s="79">
        <v>1</v>
      </c>
      <c r="J172" s="79"/>
      <c r="K172" s="79"/>
      <c r="L172" s="79">
        <v>1</v>
      </c>
      <c r="M172" s="79"/>
      <c r="N172" s="79">
        <v>1</v>
      </c>
      <c r="O172" s="128">
        <v>1</v>
      </c>
      <c r="P172" s="79" t="s">
        <v>452</v>
      </c>
      <c r="Q172" s="79"/>
      <c r="R172" s="79" t="s">
        <v>25</v>
      </c>
      <c r="S172" s="79">
        <v>1</v>
      </c>
      <c r="T172" s="79"/>
      <c r="U172" s="79"/>
      <c r="V172" s="79"/>
      <c r="W172" s="79" t="s">
        <v>24</v>
      </c>
      <c r="X172" s="79"/>
      <c r="Y172" s="79"/>
      <c r="Z172" s="79"/>
      <c r="AA172" s="79"/>
      <c r="AB172" s="79"/>
      <c r="AC172" s="506"/>
      <c r="AD172" s="573">
        <v>1</v>
      </c>
      <c r="AE172" s="573">
        <v>2</v>
      </c>
      <c r="AF172" s="924">
        <v>2</v>
      </c>
      <c r="AG172" s="944"/>
      <c r="AH172" s="911"/>
      <c r="AI172" s="911">
        <v>2</v>
      </c>
      <c r="AJ172" s="911"/>
      <c r="AK172" s="911" t="s">
        <v>4250</v>
      </c>
      <c r="AL172" s="598">
        <v>1</v>
      </c>
      <c r="AM172" s="945" t="s">
        <v>24</v>
      </c>
      <c r="AN172" s="911">
        <f>Table66[[#This Row],[Data_Subjects_n_ptsd]]+Table66[[#This Row],[Data_Subjects_n_control]]</f>
        <v>32</v>
      </c>
      <c r="AO172" s="911">
        <v>19</v>
      </c>
      <c r="AP172" s="911">
        <v>13</v>
      </c>
      <c r="AQ172" s="911" t="s">
        <v>803</v>
      </c>
      <c r="AR172" s="911" t="s">
        <v>803</v>
      </c>
      <c r="AS172" s="911" t="s">
        <v>4248</v>
      </c>
      <c r="AT172" s="911">
        <v>2.81</v>
      </c>
      <c r="AU172" s="911" t="s">
        <v>4247</v>
      </c>
      <c r="AV172" s="911">
        <v>3.09</v>
      </c>
      <c r="AW172" s="911" t="s">
        <v>4249</v>
      </c>
      <c r="AX172" s="911"/>
      <c r="AY172" s="911"/>
      <c r="AZ172" s="915" t="s">
        <v>1874</v>
      </c>
      <c r="BA172" s="911" t="s">
        <v>24</v>
      </c>
      <c r="BB172" s="911" t="s">
        <v>24</v>
      </c>
      <c r="BC172" s="911" t="s">
        <v>4161</v>
      </c>
      <c r="BD172" s="915" t="s">
        <v>7521</v>
      </c>
      <c r="BE172" s="915"/>
      <c r="BF172" s="911" t="s">
        <v>3835</v>
      </c>
      <c r="BG172" s="911" t="s">
        <v>4251</v>
      </c>
      <c r="BH172" s="598"/>
      <c r="BI172" s="598"/>
      <c r="BJ172" s="184"/>
      <c r="BK172" s="184"/>
      <c r="BL172" s="184"/>
      <c r="BM172" s="184"/>
      <c r="BN172" s="184"/>
      <c r="BO172" s="184"/>
      <c r="BP172" s="184"/>
      <c r="BQ172" s="184"/>
      <c r="BR172" s="184"/>
      <c r="BS172" s="184"/>
      <c r="BT172" s="184">
        <v>1</v>
      </c>
      <c r="BU172" s="184"/>
      <c r="BV172" s="184"/>
      <c r="BW172" s="184" t="s">
        <v>4252</v>
      </c>
      <c r="BX172" s="917"/>
      <c r="BY172" s="917"/>
      <c r="BZ172" s="917"/>
      <c r="CA172" s="184"/>
      <c r="CB172" s="184"/>
      <c r="CC172" s="184"/>
      <c r="CD172" s="911" t="s">
        <v>1876</v>
      </c>
      <c r="CE172" s="911">
        <v>2</v>
      </c>
      <c r="CF172" s="911"/>
      <c r="CG172" s="911" t="s">
        <v>4253</v>
      </c>
      <c r="CH172" s="915" t="s">
        <v>7308</v>
      </c>
      <c r="CI172" s="911" t="s">
        <v>24</v>
      </c>
      <c r="CJ172" s="911"/>
      <c r="CK172" s="946" t="s">
        <v>4254</v>
      </c>
      <c r="CL172" s="946"/>
      <c r="CM172" s="920" t="s">
        <v>4310</v>
      </c>
      <c r="CN172" s="922"/>
      <c r="CO172" s="922">
        <v>22</v>
      </c>
      <c r="CP172" s="922"/>
      <c r="CQ172" s="922"/>
      <c r="CR172" s="922">
        <v>1</v>
      </c>
      <c r="CS172" s="922"/>
      <c r="CT172" s="969"/>
      <c r="CU172" s="969"/>
      <c r="CV172" s="969"/>
      <c r="CW172" s="969"/>
      <c r="CX172" s="917" t="s">
        <v>4285</v>
      </c>
      <c r="CY172" s="911">
        <v>105.37</v>
      </c>
      <c r="CZ172" s="911">
        <v>14.14</v>
      </c>
      <c r="DA172" s="911" t="s">
        <v>24</v>
      </c>
      <c r="DB172" s="917" t="s">
        <v>4286</v>
      </c>
      <c r="DC172" s="911">
        <v>119.46</v>
      </c>
      <c r="DD172" s="911">
        <v>11.72</v>
      </c>
      <c r="DE172" s="911" t="s">
        <v>24</v>
      </c>
      <c r="DF172" s="920" t="s">
        <v>4307</v>
      </c>
      <c r="DG172" s="598" t="s">
        <v>4308</v>
      </c>
      <c r="DH172" s="1186" t="s">
        <v>24</v>
      </c>
      <c r="DI172" s="1244" t="s">
        <v>24</v>
      </c>
      <c r="DJ172" s="1244" t="s">
        <v>24</v>
      </c>
      <c r="DK172" s="1244" t="s">
        <v>24</v>
      </c>
      <c r="DL172" s="1186" t="s">
        <v>24</v>
      </c>
      <c r="DM172" s="1244" t="s">
        <v>24</v>
      </c>
      <c r="DN172" s="1244" t="s">
        <v>24</v>
      </c>
      <c r="DO172" s="1244" t="s">
        <v>24</v>
      </c>
      <c r="DP172" s="920" t="s">
        <v>24</v>
      </c>
      <c r="DQ172" s="598"/>
      <c r="DR172" s="1187"/>
      <c r="DS172" s="1186"/>
      <c r="DT172" s="1240" t="s">
        <v>24</v>
      </c>
      <c r="DU172" s="1240" t="s">
        <v>24</v>
      </c>
      <c r="DV172" s="1240" t="s">
        <v>24</v>
      </c>
      <c r="DW172" s="1240" t="s">
        <v>24</v>
      </c>
      <c r="DX172" s="1240" t="s">
        <v>24</v>
      </c>
      <c r="DY172" s="1240" t="s">
        <v>24</v>
      </c>
      <c r="DZ172" s="1240" t="s">
        <v>24</v>
      </c>
      <c r="EA172" s="1240" t="s">
        <v>24</v>
      </c>
      <c r="EB172" s="1187"/>
      <c r="EC172" s="1244"/>
      <c r="ED172" s="1244"/>
      <c r="EE172" s="1244"/>
      <c r="EF172" s="1244"/>
      <c r="EG172" s="1244"/>
      <c r="EH172" s="1244"/>
      <c r="EI172" s="1244"/>
      <c r="EJ172" s="1244"/>
      <c r="EK172" s="1244"/>
      <c r="EL172" s="1187"/>
      <c r="EM172" s="1244"/>
      <c r="EN172" s="1187"/>
      <c r="EO172" s="1244"/>
      <c r="EP172" s="1244"/>
      <c r="EQ172" s="1244"/>
      <c r="ER172" s="1244"/>
      <c r="ES172" s="1244"/>
      <c r="ET172" s="1186"/>
      <c r="EU172" s="1244"/>
      <c r="EV172" s="1244"/>
      <c r="EW172" s="1244"/>
      <c r="EX172" s="1244"/>
      <c r="EY172" s="1244"/>
      <c r="EZ172" s="1186"/>
      <c r="FA172" s="1244"/>
      <c r="FB172" s="1244"/>
      <c r="FC172" s="1244"/>
      <c r="FD172" s="1186"/>
      <c r="FE172" s="1244"/>
      <c r="FF172" s="1244"/>
      <c r="FG172" s="1244"/>
      <c r="FH172" s="1244"/>
      <c r="FI172" s="1244"/>
      <c r="FJ172" s="1244"/>
    </row>
    <row r="173" spans="1:166" ht="15" hidden="1" customHeight="1">
      <c r="A173" s="118" t="s">
        <v>145</v>
      </c>
      <c r="B173" s="616">
        <v>111</v>
      </c>
      <c r="C173" s="616">
        <v>24</v>
      </c>
      <c r="D173" s="616"/>
      <c r="E173" s="605" t="s">
        <v>1952</v>
      </c>
      <c r="F173" s="140" t="s">
        <v>2172</v>
      </c>
      <c r="G173" s="141">
        <v>2001</v>
      </c>
      <c r="H173" s="118">
        <v>11469166</v>
      </c>
      <c r="I173" s="118">
        <v>1</v>
      </c>
      <c r="J173" s="118"/>
      <c r="K173" s="118"/>
      <c r="L173" s="118">
        <v>1</v>
      </c>
      <c r="M173" s="118"/>
      <c r="N173" s="118">
        <v>1</v>
      </c>
      <c r="O173" s="142">
        <v>1</v>
      </c>
      <c r="P173" s="118" t="s">
        <v>452</v>
      </c>
      <c r="Q173" s="118"/>
      <c r="R173" s="118" t="s">
        <v>25</v>
      </c>
      <c r="S173" s="118">
        <v>1</v>
      </c>
      <c r="T173" s="118"/>
      <c r="U173" s="118"/>
      <c r="V173" s="118"/>
      <c r="W173" s="118" t="s">
        <v>24</v>
      </c>
      <c r="X173" s="118"/>
      <c r="Y173" s="118"/>
      <c r="Z173" s="118"/>
      <c r="AA173" s="118"/>
      <c r="AB173" s="118"/>
      <c r="AC173" s="145"/>
      <c r="AD173" s="573">
        <v>1</v>
      </c>
      <c r="AE173" s="573">
        <v>2</v>
      </c>
      <c r="AF173" s="924">
        <v>2</v>
      </c>
      <c r="AG173" s="910"/>
      <c r="AH173" s="911"/>
      <c r="AI173" s="912">
        <v>2</v>
      </c>
      <c r="AJ173" s="912"/>
      <c r="AK173" s="912" t="s">
        <v>4250</v>
      </c>
      <c r="AL173" s="588">
        <v>1</v>
      </c>
      <c r="AM173" s="914" t="s">
        <v>24</v>
      </c>
      <c r="AN173" s="912">
        <f>Table66[[#This Row],[Data_Subjects_n_ptsd]]+Table66[[#This Row],[Data_Subjects_n_control]]</f>
        <v>32</v>
      </c>
      <c r="AO173" s="912">
        <v>19</v>
      </c>
      <c r="AP173" s="912">
        <v>13</v>
      </c>
      <c r="AQ173" s="912" t="s">
        <v>803</v>
      </c>
      <c r="AR173" s="912" t="s">
        <v>803</v>
      </c>
      <c r="AS173" s="912" t="s">
        <v>4248</v>
      </c>
      <c r="AT173" s="912">
        <v>2.81</v>
      </c>
      <c r="AU173" s="912" t="s">
        <v>4247</v>
      </c>
      <c r="AV173" s="912">
        <v>3.09</v>
      </c>
      <c r="AW173" s="912" t="s">
        <v>4249</v>
      </c>
      <c r="AX173" s="912"/>
      <c r="AY173" s="912"/>
      <c r="AZ173" s="915" t="s">
        <v>1874</v>
      </c>
      <c r="BA173" s="912" t="s">
        <v>24</v>
      </c>
      <c r="BB173" s="912" t="s">
        <v>24</v>
      </c>
      <c r="BC173" s="912" t="s">
        <v>4161</v>
      </c>
      <c r="BD173" s="915" t="s">
        <v>7521</v>
      </c>
      <c r="BE173" s="915"/>
      <c r="BF173" s="912" t="s">
        <v>3835</v>
      </c>
      <c r="BG173" s="912" t="s">
        <v>4251</v>
      </c>
      <c r="BH173" s="588"/>
      <c r="BI173" s="588"/>
      <c r="BJ173" s="161"/>
      <c r="BK173" s="161"/>
      <c r="BL173" s="161"/>
      <c r="BM173" s="161"/>
      <c r="BN173" s="161"/>
      <c r="BO173" s="161"/>
      <c r="BP173" s="161"/>
      <c r="BQ173" s="161"/>
      <c r="BR173" s="161"/>
      <c r="BS173" s="161"/>
      <c r="BT173" s="161"/>
      <c r="BU173" s="161"/>
      <c r="BV173" s="161">
        <v>1</v>
      </c>
      <c r="BW173" s="161" t="s">
        <v>4258</v>
      </c>
      <c r="BX173" s="916"/>
      <c r="BY173" s="916"/>
      <c r="BZ173" s="916"/>
      <c r="CA173" s="184"/>
      <c r="CB173" s="184"/>
      <c r="CC173" s="184"/>
      <c r="CD173" s="912" t="s">
        <v>1876</v>
      </c>
      <c r="CE173" s="912">
        <v>2</v>
      </c>
      <c r="CF173" s="912"/>
      <c r="CG173" s="912" t="s">
        <v>4259</v>
      </c>
      <c r="CH173" s="915"/>
      <c r="CI173" s="912" t="s">
        <v>24</v>
      </c>
      <c r="CJ173" s="912"/>
      <c r="CK173" s="912" t="s">
        <v>4260</v>
      </c>
      <c r="CL173" s="912"/>
      <c r="CM173" s="918" t="s">
        <v>4322</v>
      </c>
      <c r="CN173" s="919"/>
      <c r="CO173" s="919">
        <v>22</v>
      </c>
      <c r="CP173" s="919"/>
      <c r="CQ173" s="919"/>
      <c r="CR173" s="919">
        <v>1</v>
      </c>
      <c r="CS173" s="919"/>
      <c r="CT173" s="968"/>
      <c r="CU173" s="968"/>
      <c r="CV173" s="968"/>
      <c r="CW173" s="968"/>
      <c r="CX173" s="916" t="s">
        <v>4311</v>
      </c>
      <c r="CY173" s="912">
        <v>38.630000000000003</v>
      </c>
      <c r="CZ173" s="912">
        <v>14</v>
      </c>
      <c r="DA173" s="912" t="s">
        <v>24</v>
      </c>
      <c r="DB173" s="916" t="s">
        <v>4312</v>
      </c>
      <c r="DC173" s="912">
        <v>33.69</v>
      </c>
      <c r="DD173" s="912">
        <v>12.74</v>
      </c>
      <c r="DE173" s="912" t="s">
        <v>24</v>
      </c>
      <c r="DF173" s="920" t="s">
        <v>3229</v>
      </c>
      <c r="DG173" s="598" t="s">
        <v>4316</v>
      </c>
      <c r="DH173" s="1241" t="s">
        <v>4313</v>
      </c>
      <c r="DI173" s="1240">
        <v>97</v>
      </c>
      <c r="DJ173" s="1240">
        <v>31.49</v>
      </c>
      <c r="DK173" s="1240" t="s">
        <v>24</v>
      </c>
      <c r="DL173" s="1241" t="s">
        <v>4314</v>
      </c>
      <c r="DM173" s="1240">
        <v>66.69</v>
      </c>
      <c r="DN173" s="1240">
        <v>21.94</v>
      </c>
      <c r="DO173" s="1240" t="s">
        <v>24</v>
      </c>
      <c r="DP173" s="918" t="s">
        <v>4317</v>
      </c>
      <c r="DQ173" s="588" t="s">
        <v>4318</v>
      </c>
      <c r="DR173" s="1187" t="s">
        <v>4319</v>
      </c>
      <c r="DS173" s="1186" t="s">
        <v>24</v>
      </c>
      <c r="DT173" s="1243" t="s">
        <v>4315</v>
      </c>
      <c r="DU173" s="1240">
        <v>2.78</v>
      </c>
      <c r="DV173" s="1240">
        <v>1.1399999999999999</v>
      </c>
      <c r="DW173" s="1240" t="s">
        <v>24</v>
      </c>
      <c r="DX173" s="1243" t="s">
        <v>4320</v>
      </c>
      <c r="DY173" s="1240">
        <v>2.16</v>
      </c>
      <c r="DZ173" s="1240">
        <v>0.96</v>
      </c>
      <c r="EA173" s="1240" t="s">
        <v>24</v>
      </c>
      <c r="EB173" s="1242" t="s">
        <v>3229</v>
      </c>
      <c r="EC173" s="1240" t="s">
        <v>4321</v>
      </c>
      <c r="ED173" s="1240" t="s">
        <v>24</v>
      </c>
      <c r="EE173" s="1240" t="s">
        <v>24</v>
      </c>
      <c r="EF173" s="1240" t="s">
        <v>24</v>
      </c>
      <c r="EG173" s="1240" t="s">
        <v>24</v>
      </c>
      <c r="EH173" s="1240" t="s">
        <v>24</v>
      </c>
      <c r="EI173" s="1240" t="s">
        <v>24</v>
      </c>
      <c r="EJ173" s="1240" t="s">
        <v>24</v>
      </c>
      <c r="EK173" s="1240" t="s">
        <v>24</v>
      </c>
      <c r="EL173" s="1242"/>
      <c r="EM173" s="1240"/>
      <c r="EN173" s="1242"/>
      <c r="EO173" s="1240"/>
      <c r="EP173" s="1240"/>
      <c r="EQ173" s="1240"/>
      <c r="ER173" s="1240"/>
      <c r="ES173" s="1240"/>
      <c r="ET173" s="1241"/>
      <c r="EU173" s="1240"/>
      <c r="EV173" s="1240"/>
      <c r="EW173" s="1240"/>
      <c r="EX173" s="1240"/>
      <c r="EY173" s="1240"/>
      <c r="EZ173" s="1241"/>
      <c r="FA173" s="1240"/>
      <c r="FB173" s="1240"/>
      <c r="FC173" s="1240"/>
      <c r="FD173" s="1241"/>
      <c r="FE173" s="1240"/>
      <c r="FF173" s="1240"/>
      <c r="FG173" s="1240"/>
      <c r="FH173" s="1240"/>
      <c r="FI173" s="1240"/>
      <c r="FJ173" s="1240"/>
    </row>
    <row r="174" spans="1:166" ht="15" hidden="1" customHeight="1">
      <c r="A174" s="118" t="s">
        <v>145</v>
      </c>
      <c r="B174" s="616">
        <v>111</v>
      </c>
      <c r="C174" s="616">
        <v>24</v>
      </c>
      <c r="D174" s="616"/>
      <c r="E174" s="605" t="s">
        <v>1952</v>
      </c>
      <c r="F174" s="140" t="s">
        <v>2172</v>
      </c>
      <c r="G174" s="141">
        <v>2001</v>
      </c>
      <c r="H174" s="118">
        <v>11469166</v>
      </c>
      <c r="I174" s="118">
        <v>1</v>
      </c>
      <c r="J174" s="118"/>
      <c r="K174" s="118"/>
      <c r="L174" s="118">
        <v>1</v>
      </c>
      <c r="M174" s="118"/>
      <c r="N174" s="118">
        <v>1</v>
      </c>
      <c r="O174" s="142">
        <v>1</v>
      </c>
      <c r="P174" s="118" t="s">
        <v>452</v>
      </c>
      <c r="Q174" s="118"/>
      <c r="R174" s="118" t="s">
        <v>25</v>
      </c>
      <c r="S174" s="118">
        <v>1</v>
      </c>
      <c r="T174" s="118"/>
      <c r="U174" s="118"/>
      <c r="V174" s="118"/>
      <c r="W174" s="118" t="s">
        <v>24</v>
      </c>
      <c r="X174" s="118"/>
      <c r="Y174" s="118"/>
      <c r="Z174" s="118"/>
      <c r="AA174" s="118"/>
      <c r="AB174" s="118"/>
      <c r="AC174" s="145"/>
      <c r="AD174" s="573">
        <v>1</v>
      </c>
      <c r="AE174" s="573">
        <v>2</v>
      </c>
      <c r="AF174" s="924">
        <v>2</v>
      </c>
      <c r="AG174" s="910" t="s">
        <v>7312</v>
      </c>
      <c r="AH174" s="911"/>
      <c r="AI174" s="912">
        <v>2</v>
      </c>
      <c r="AJ174" s="912"/>
      <c r="AK174" s="913" t="s">
        <v>4250</v>
      </c>
      <c r="AL174" s="588">
        <v>1</v>
      </c>
      <c r="AM174" s="914" t="s">
        <v>24</v>
      </c>
      <c r="AN174" s="912">
        <f>Table66[[#This Row],[Data_Subjects_n_ptsd]]+Table66[[#This Row],[Data_Subjects_n_control]]</f>
        <v>32</v>
      </c>
      <c r="AO174" s="912">
        <v>19</v>
      </c>
      <c r="AP174" s="912">
        <v>13</v>
      </c>
      <c r="AQ174" s="912" t="s">
        <v>803</v>
      </c>
      <c r="AR174" s="912" t="s">
        <v>803</v>
      </c>
      <c r="AS174" s="912" t="s">
        <v>4248</v>
      </c>
      <c r="AT174" s="912">
        <v>2.81</v>
      </c>
      <c r="AU174" s="912" t="s">
        <v>4247</v>
      </c>
      <c r="AV174" s="912">
        <v>3.09</v>
      </c>
      <c r="AW174" s="912" t="s">
        <v>4249</v>
      </c>
      <c r="AX174" s="912"/>
      <c r="AY174" s="912"/>
      <c r="AZ174" s="915" t="s">
        <v>1874</v>
      </c>
      <c r="BA174" s="912" t="s">
        <v>24</v>
      </c>
      <c r="BB174" s="912" t="s">
        <v>24</v>
      </c>
      <c r="BC174" s="912" t="s">
        <v>4161</v>
      </c>
      <c r="BD174" s="915" t="s">
        <v>7521</v>
      </c>
      <c r="BE174" s="915"/>
      <c r="BF174" s="912" t="s">
        <v>3835</v>
      </c>
      <c r="BG174" s="912" t="s">
        <v>4251</v>
      </c>
      <c r="BH174" s="588"/>
      <c r="BI174" s="588"/>
      <c r="BJ174" s="161"/>
      <c r="BK174" s="161"/>
      <c r="BL174" s="161">
        <v>1</v>
      </c>
      <c r="BM174" s="161"/>
      <c r="BN174" s="161"/>
      <c r="BO174" s="161"/>
      <c r="BP174" s="161"/>
      <c r="BQ174" s="161"/>
      <c r="BR174" s="161"/>
      <c r="BS174" s="161"/>
      <c r="BT174" s="161"/>
      <c r="BU174" s="161"/>
      <c r="BV174" s="161"/>
      <c r="BW174" s="161" t="s">
        <v>4255</v>
      </c>
      <c r="BX174" s="916"/>
      <c r="BY174" s="916"/>
      <c r="BZ174" s="916"/>
      <c r="CA174" s="184"/>
      <c r="CB174" s="184"/>
      <c r="CC174" s="184"/>
      <c r="CD174" s="912" t="s">
        <v>1876</v>
      </c>
      <c r="CE174" s="912">
        <v>2</v>
      </c>
      <c r="CF174" s="912"/>
      <c r="CG174" s="912" t="s">
        <v>4256</v>
      </c>
      <c r="CH174" s="915"/>
      <c r="CI174" s="912" t="s">
        <v>24</v>
      </c>
      <c r="CJ174" s="912"/>
      <c r="CK174" s="912" t="s">
        <v>4257</v>
      </c>
      <c r="CL174" s="912"/>
      <c r="CM174" s="918" t="s">
        <v>4307</v>
      </c>
      <c r="CN174" s="919"/>
      <c r="CO174" s="919">
        <v>22</v>
      </c>
      <c r="CP174" s="919"/>
      <c r="CQ174" s="919"/>
      <c r="CR174" s="919">
        <v>1</v>
      </c>
      <c r="CS174" s="919"/>
      <c r="CT174" s="968"/>
      <c r="CU174" s="968"/>
      <c r="CV174" s="968"/>
      <c r="CW174" s="968"/>
      <c r="CX174" s="916" t="s">
        <v>4287</v>
      </c>
      <c r="CY174" s="912">
        <v>9.32</v>
      </c>
      <c r="CZ174" s="912">
        <v>1.29</v>
      </c>
      <c r="DA174" s="912" t="s">
        <v>24</v>
      </c>
      <c r="DB174" s="916" t="s">
        <v>4288</v>
      </c>
      <c r="DC174" s="912">
        <v>12.38</v>
      </c>
      <c r="DD174" s="912">
        <v>2.1800000000000002</v>
      </c>
      <c r="DE174" s="912" t="s">
        <v>24</v>
      </c>
      <c r="DF174" s="920" t="s">
        <v>4297</v>
      </c>
      <c r="DG174" s="598" t="s">
        <v>4309</v>
      </c>
      <c r="DH174" s="1241" t="s">
        <v>24</v>
      </c>
      <c r="DI174" s="1240" t="s">
        <v>24</v>
      </c>
      <c r="DJ174" s="1240" t="s">
        <v>24</v>
      </c>
      <c r="DK174" s="1240" t="s">
        <v>24</v>
      </c>
      <c r="DL174" s="1241" t="s">
        <v>24</v>
      </c>
      <c r="DM174" s="1240" t="s">
        <v>24</v>
      </c>
      <c r="DN174" s="1240" t="s">
        <v>24</v>
      </c>
      <c r="DO174" s="1240" t="s">
        <v>24</v>
      </c>
      <c r="DP174" s="918" t="s">
        <v>24</v>
      </c>
      <c r="DQ174" s="588"/>
      <c r="DR174" s="1187"/>
      <c r="DS174" s="1186"/>
      <c r="DT174" s="1240" t="s">
        <v>24</v>
      </c>
      <c r="DU174" s="1240" t="s">
        <v>24</v>
      </c>
      <c r="DV174" s="1240" t="s">
        <v>24</v>
      </c>
      <c r="DW174" s="1240" t="s">
        <v>24</v>
      </c>
      <c r="DX174" s="1240" t="s">
        <v>24</v>
      </c>
      <c r="DY174" s="1240" t="s">
        <v>24</v>
      </c>
      <c r="DZ174" s="1240" t="s">
        <v>24</v>
      </c>
      <c r="EA174" s="1240" t="s">
        <v>24</v>
      </c>
      <c r="EB174" s="1242"/>
      <c r="EC174" s="1240"/>
      <c r="ED174" s="1240"/>
      <c r="EE174" s="1240"/>
      <c r="EF174" s="1240"/>
      <c r="EG174" s="1240"/>
      <c r="EH174" s="1240"/>
      <c r="EI174" s="1240"/>
      <c r="EJ174" s="1240"/>
      <c r="EK174" s="1240"/>
      <c r="EL174" s="1242"/>
      <c r="EM174" s="1240"/>
      <c r="EN174" s="1242"/>
      <c r="EO174" s="1240"/>
      <c r="EP174" s="1240"/>
      <c r="EQ174" s="1240"/>
      <c r="ER174" s="1240"/>
      <c r="ES174" s="1240"/>
      <c r="ET174" s="1241"/>
      <c r="EU174" s="1240"/>
      <c r="EV174" s="1240"/>
      <c r="EW174" s="1240"/>
      <c r="EX174" s="1240"/>
      <c r="EY174" s="1240"/>
      <c r="EZ174" s="1241"/>
      <c r="FA174" s="1240"/>
      <c r="FB174" s="1240"/>
      <c r="FC174" s="1240"/>
      <c r="FD174" s="1241"/>
      <c r="FE174" s="1240"/>
      <c r="FF174" s="1240"/>
      <c r="FG174" s="1240"/>
      <c r="FH174" s="1240"/>
      <c r="FI174" s="1240"/>
      <c r="FJ174" s="1240"/>
    </row>
    <row r="175" spans="1:166" ht="15" hidden="1" customHeight="1">
      <c r="A175" s="79" t="s">
        <v>303</v>
      </c>
      <c r="B175" s="362">
        <v>218</v>
      </c>
      <c r="C175" s="362">
        <v>77</v>
      </c>
      <c r="D175" s="362"/>
      <c r="E175" s="604" t="s">
        <v>2024</v>
      </c>
      <c r="F175" s="124" t="s">
        <v>2257</v>
      </c>
      <c r="G175" s="125">
        <v>2007</v>
      </c>
      <c r="H175" s="79">
        <v>17436378</v>
      </c>
      <c r="I175" s="79">
        <v>1</v>
      </c>
      <c r="J175" s="126"/>
      <c r="K175" s="127"/>
      <c r="L175" s="79">
        <v>1</v>
      </c>
      <c r="M175" s="79"/>
      <c r="N175" s="79">
        <v>1</v>
      </c>
      <c r="O175" s="128">
        <v>1</v>
      </c>
      <c r="P175" s="79" t="s">
        <v>794</v>
      </c>
      <c r="Q175" s="79" t="s">
        <v>1147</v>
      </c>
      <c r="R175" s="79" t="s">
        <v>591</v>
      </c>
      <c r="S175" s="79">
        <v>1</v>
      </c>
      <c r="T175" s="79"/>
      <c r="U175" s="79"/>
      <c r="V175" s="79"/>
      <c r="W175" s="79" t="s">
        <v>795</v>
      </c>
      <c r="X175" s="79" t="s">
        <v>24</v>
      </c>
      <c r="Y175" s="79" t="s">
        <v>24</v>
      </c>
      <c r="Z175" s="79"/>
      <c r="AA175" s="79"/>
      <c r="AB175" s="79"/>
      <c r="AC175" s="506"/>
      <c r="AD175" s="573">
        <v>1</v>
      </c>
      <c r="AE175" s="573">
        <v>2</v>
      </c>
      <c r="AF175" s="154">
        <v>1</v>
      </c>
      <c r="AG175" s="155"/>
      <c r="AH175" s="704"/>
      <c r="AI175" s="121">
        <v>2</v>
      </c>
      <c r="AJ175" s="484" t="s">
        <v>5625</v>
      </c>
      <c r="AK175" s="202" t="s">
        <v>5604</v>
      </c>
      <c r="AL175" s="192">
        <v>1</v>
      </c>
      <c r="AM175" s="215">
        <v>0</v>
      </c>
      <c r="AN175" s="134">
        <f>Table66[[#This Row],[Data_Subjects_n_ptsd]]+Table66[[#This Row],[Data_Subjects_n_control]]</f>
        <v>41</v>
      </c>
      <c r="AO175" s="134">
        <v>20</v>
      </c>
      <c r="AP175" s="134">
        <v>21</v>
      </c>
      <c r="AQ175" s="134" t="s">
        <v>803</v>
      </c>
      <c r="AR175" s="134" t="s">
        <v>803</v>
      </c>
      <c r="AS175" s="134">
        <v>38.1</v>
      </c>
      <c r="AT175" s="134">
        <v>5.7</v>
      </c>
      <c r="AU175" s="134">
        <v>38</v>
      </c>
      <c r="AV175" s="134">
        <v>6</v>
      </c>
      <c r="AW175" s="134" t="s">
        <v>5605</v>
      </c>
      <c r="AX175" s="134"/>
      <c r="AY175" s="134"/>
      <c r="AZ175" s="753" t="s">
        <v>1874</v>
      </c>
      <c r="BA175" s="134" t="s">
        <v>24</v>
      </c>
      <c r="BB175" s="134" t="s">
        <v>24</v>
      </c>
      <c r="BC175" s="134" t="s">
        <v>5607</v>
      </c>
      <c r="BD175" s="753" t="s">
        <v>7522</v>
      </c>
      <c r="BE175" s="187">
        <v>0</v>
      </c>
      <c r="BF175" s="134" t="s">
        <v>3835</v>
      </c>
      <c r="BG175" s="134" t="s">
        <v>5606</v>
      </c>
      <c r="BH175" s="594"/>
      <c r="BI175" s="594"/>
      <c r="BJ175" s="156"/>
      <c r="BK175" s="156"/>
      <c r="BL175" s="156"/>
      <c r="BM175" s="156"/>
      <c r="BN175" s="156"/>
      <c r="BO175" s="156"/>
      <c r="BP175" s="156">
        <v>1</v>
      </c>
      <c r="BQ175" s="156"/>
      <c r="BR175" s="156"/>
      <c r="BS175" s="156"/>
      <c r="BT175" s="156"/>
      <c r="BU175" s="156"/>
      <c r="BV175" s="156"/>
      <c r="BW175" s="595" t="s">
        <v>5337</v>
      </c>
      <c r="BX175" s="157" t="s">
        <v>6612</v>
      </c>
      <c r="BY175" s="797" t="s">
        <v>7617</v>
      </c>
      <c r="BZ175" s="789" t="s">
        <v>7610</v>
      </c>
      <c r="CA175" s="769">
        <v>2</v>
      </c>
      <c r="CB175" s="765" t="s">
        <v>7556</v>
      </c>
      <c r="CC175" s="765" t="s">
        <v>7380</v>
      </c>
      <c r="CD175" s="134" t="s">
        <v>1876</v>
      </c>
      <c r="CE175" s="134">
        <v>2</v>
      </c>
      <c r="CF175" s="400"/>
      <c r="CG175" s="134" t="s">
        <v>5608</v>
      </c>
      <c r="CH175" s="753" t="s">
        <v>7336</v>
      </c>
      <c r="CI175" s="134" t="s">
        <v>24</v>
      </c>
      <c r="CJ175" s="134"/>
      <c r="CK175" s="134" t="s">
        <v>5609</v>
      </c>
      <c r="CL175" s="150" t="s">
        <v>8238</v>
      </c>
      <c r="CM175" s="259" t="s">
        <v>5624</v>
      </c>
      <c r="CN175" s="454" t="s">
        <v>24</v>
      </c>
      <c r="CO175" s="828">
        <v>69</v>
      </c>
      <c r="CP175" s="828">
        <v>1</v>
      </c>
      <c r="CQ175" s="828">
        <v>1</v>
      </c>
      <c r="CR175" s="828">
        <v>1</v>
      </c>
      <c r="CS175" s="828">
        <v>1</v>
      </c>
      <c r="CT175" s="967"/>
      <c r="CU175" s="1291" t="s">
        <v>8102</v>
      </c>
      <c r="CV175" s="1295">
        <v>36</v>
      </c>
      <c r="CW175" s="1295">
        <v>29</v>
      </c>
      <c r="CX175" s="138" t="s">
        <v>5612</v>
      </c>
      <c r="CY175" s="134">
        <v>16.3</v>
      </c>
      <c r="CZ175" s="134">
        <v>6.4</v>
      </c>
      <c r="DA175" s="134" t="s">
        <v>24</v>
      </c>
      <c r="DB175" s="138" t="s">
        <v>5613</v>
      </c>
      <c r="DC175" s="134">
        <v>26.7</v>
      </c>
      <c r="DD175" s="134">
        <v>4.5</v>
      </c>
      <c r="DE175" s="134" t="s">
        <v>24</v>
      </c>
      <c r="DF175" s="288" t="s">
        <v>4742</v>
      </c>
      <c r="DG175" s="289" t="s">
        <v>5621</v>
      </c>
      <c r="DH175" s="1276"/>
      <c r="DI175" s="121"/>
      <c r="DJ175" s="1169"/>
      <c r="DK175" s="121"/>
      <c r="DL175" s="1171"/>
      <c r="DM175" s="121"/>
      <c r="DN175" s="1169"/>
      <c r="DO175" s="121"/>
      <c r="DP175" s="288"/>
      <c r="DQ175" s="289"/>
      <c r="DR175" s="280"/>
      <c r="DS175" s="1168"/>
      <c r="DT175" s="1171"/>
      <c r="DU175" s="121"/>
      <c r="DV175" s="1169"/>
      <c r="DW175" s="121"/>
      <c r="DX175" s="1171"/>
      <c r="DY175" s="121"/>
      <c r="DZ175" s="1169"/>
      <c r="EA175" s="121"/>
      <c r="EB175" s="304"/>
      <c r="EC175" s="312"/>
      <c r="ED175" s="1169"/>
      <c r="EE175" s="1169"/>
      <c r="EF175" s="1169"/>
      <c r="EG175" s="1169"/>
      <c r="EH175" s="1169"/>
      <c r="EI175" s="1169"/>
      <c r="EJ175" s="1169"/>
      <c r="EK175" s="1169"/>
      <c r="EL175" s="304"/>
      <c r="EM175" s="312"/>
      <c r="EN175" s="1167"/>
      <c r="EO175" s="1170"/>
      <c r="EP175" s="1169"/>
      <c r="EQ175" s="1169"/>
      <c r="ER175" s="1169"/>
      <c r="ES175" s="1169"/>
      <c r="ET175" s="1171"/>
      <c r="EU175" s="1169"/>
      <c r="EV175" s="1169"/>
      <c r="EW175" s="1169"/>
      <c r="EX175" s="312"/>
      <c r="EY175" s="312"/>
      <c r="EZ175" s="1171"/>
      <c r="FA175" s="1169"/>
      <c r="FB175" s="1169"/>
      <c r="FC175" s="1169"/>
      <c r="FD175" s="1171"/>
      <c r="FE175" s="1169"/>
      <c r="FF175" s="1169"/>
      <c r="FG175" s="1169"/>
      <c r="FH175" s="312"/>
      <c r="FI175" s="312"/>
      <c r="FJ175" s="1170"/>
    </row>
    <row r="176" spans="1:166" ht="15" hidden="1" customHeight="1">
      <c r="A176" s="118" t="s">
        <v>121</v>
      </c>
      <c r="B176" s="616">
        <v>93</v>
      </c>
      <c r="C176" s="616">
        <v>17</v>
      </c>
      <c r="D176" s="616"/>
      <c r="E176" s="605" t="s">
        <v>1940</v>
      </c>
      <c r="F176" s="140" t="s">
        <v>2159</v>
      </c>
      <c r="G176" s="141">
        <v>2002</v>
      </c>
      <c r="H176" s="118">
        <v>12607144</v>
      </c>
      <c r="I176" s="118">
        <v>1</v>
      </c>
      <c r="J176" s="118"/>
      <c r="K176" s="118"/>
      <c r="L176" s="118">
        <v>1</v>
      </c>
      <c r="M176" s="118"/>
      <c r="N176" s="118">
        <v>1</v>
      </c>
      <c r="O176" s="142">
        <v>1</v>
      </c>
      <c r="P176" s="118" t="s">
        <v>408</v>
      </c>
      <c r="Q176" s="118"/>
      <c r="R176" s="118" t="s">
        <v>25</v>
      </c>
      <c r="S176" s="118">
        <v>1</v>
      </c>
      <c r="T176" s="118"/>
      <c r="U176" s="118"/>
      <c r="V176" s="118"/>
      <c r="W176" s="118"/>
      <c r="X176" s="118"/>
      <c r="Y176" s="118"/>
      <c r="Z176" s="118"/>
      <c r="AA176" s="118"/>
      <c r="AB176" s="118"/>
      <c r="AC176" s="145"/>
      <c r="AD176" s="573">
        <v>1</v>
      </c>
      <c r="AE176" s="573">
        <v>2</v>
      </c>
      <c r="AF176" s="159">
        <v>1</v>
      </c>
      <c r="AG176" s="160" t="s">
        <v>7760</v>
      </c>
      <c r="AH176" s="704"/>
      <c r="AI176" s="122">
        <v>2</v>
      </c>
      <c r="AJ176" s="485"/>
      <c r="AK176" s="204" t="s">
        <v>3991</v>
      </c>
      <c r="AL176" s="192">
        <v>1</v>
      </c>
      <c r="AM176" s="227">
        <v>0</v>
      </c>
      <c r="AN176" s="150">
        <f>80+80</f>
        <v>160</v>
      </c>
      <c r="AO176" s="150">
        <v>80</v>
      </c>
      <c r="AP176" s="150">
        <v>80</v>
      </c>
      <c r="AQ176" s="150" t="s">
        <v>803</v>
      </c>
      <c r="AR176" s="150" t="s">
        <v>803</v>
      </c>
      <c r="AS176" s="150">
        <v>37.96</v>
      </c>
      <c r="AT176" s="150">
        <v>2.39</v>
      </c>
      <c r="AU176" s="150">
        <v>37.950000000000003</v>
      </c>
      <c r="AV176" s="150">
        <v>2.56</v>
      </c>
      <c r="AW176" s="150" t="s">
        <v>3994</v>
      </c>
      <c r="AX176" s="150" t="s">
        <v>24</v>
      </c>
      <c r="AY176" s="150" t="s">
        <v>24</v>
      </c>
      <c r="AZ176" s="753" t="s">
        <v>1874</v>
      </c>
      <c r="BA176" s="150" t="s">
        <v>24</v>
      </c>
      <c r="BB176" s="150" t="s">
        <v>24</v>
      </c>
      <c r="BC176" s="150" t="s">
        <v>2423</v>
      </c>
      <c r="BD176" s="753" t="s">
        <v>7521</v>
      </c>
      <c r="BE176" s="187">
        <v>0</v>
      </c>
      <c r="BF176" s="150" t="s">
        <v>3835</v>
      </c>
      <c r="BG176" s="150" t="s">
        <v>3995</v>
      </c>
      <c r="BH176" s="588"/>
      <c r="BI176" s="588"/>
      <c r="BJ176" s="161"/>
      <c r="BK176" s="161"/>
      <c r="BL176" s="161"/>
      <c r="BM176" s="161"/>
      <c r="BN176" s="161"/>
      <c r="BO176" s="161"/>
      <c r="BP176" s="161">
        <v>1</v>
      </c>
      <c r="BQ176" s="161"/>
      <c r="BR176" s="161"/>
      <c r="BS176" s="161"/>
      <c r="BT176" s="161"/>
      <c r="BU176" s="161"/>
      <c r="BV176" s="161"/>
      <c r="BW176" s="596" t="s">
        <v>4001</v>
      </c>
      <c r="BX176" s="162" t="s">
        <v>6612</v>
      </c>
      <c r="BY176" s="797" t="s">
        <v>7617</v>
      </c>
      <c r="BZ176" s="790" t="s">
        <v>803</v>
      </c>
      <c r="CA176" s="765">
        <v>2</v>
      </c>
      <c r="CB176" s="765" t="s">
        <v>7556</v>
      </c>
      <c r="CC176" s="765" t="s">
        <v>7380</v>
      </c>
      <c r="CD176" s="150" t="s">
        <v>1876</v>
      </c>
      <c r="CE176" s="150" t="s">
        <v>7751</v>
      </c>
      <c r="CF176" s="400"/>
      <c r="CG176" s="150" t="s">
        <v>4005</v>
      </c>
      <c r="CH176" s="753" t="s">
        <v>7336</v>
      </c>
      <c r="CI176" s="150" t="s">
        <v>24</v>
      </c>
      <c r="CJ176" s="150"/>
      <c r="CK176" s="150" t="s">
        <v>7761</v>
      </c>
      <c r="CL176" s="150" t="s">
        <v>8237</v>
      </c>
      <c r="CM176" s="258" t="s">
        <v>4062</v>
      </c>
      <c r="CN176" s="257">
        <v>0</v>
      </c>
      <c r="CO176" s="829">
        <v>16</v>
      </c>
      <c r="CP176" s="829">
        <v>1</v>
      </c>
      <c r="CQ176" s="829">
        <v>6</v>
      </c>
      <c r="CR176" s="829">
        <v>1</v>
      </c>
      <c r="CS176" s="829">
        <v>1</v>
      </c>
      <c r="CT176" s="968"/>
      <c r="CU176" s="1288" t="s">
        <v>8103</v>
      </c>
      <c r="CV176" s="1294">
        <v>10</v>
      </c>
      <c r="CW176" s="1294">
        <v>9</v>
      </c>
      <c r="CX176" s="151" t="s">
        <v>4029</v>
      </c>
      <c r="CY176" s="150">
        <v>19.600000000000001</v>
      </c>
      <c r="CZ176" s="150">
        <v>6.3</v>
      </c>
      <c r="DA176" s="150" t="s">
        <v>24</v>
      </c>
      <c r="DB176" s="151" t="s">
        <v>4031</v>
      </c>
      <c r="DC176" s="150">
        <v>20.56</v>
      </c>
      <c r="DD176" s="150">
        <v>6.06</v>
      </c>
      <c r="DE176" s="150" t="s">
        <v>24</v>
      </c>
      <c r="DF176" s="294" t="s">
        <v>24</v>
      </c>
      <c r="DG176" s="295" t="s">
        <v>24</v>
      </c>
      <c r="DH176" s="1166"/>
      <c r="DI176" s="1164"/>
      <c r="DJ176" s="1164"/>
      <c r="DK176" s="1164"/>
      <c r="DL176" s="1166"/>
      <c r="DM176" s="1164"/>
      <c r="DN176" s="1164"/>
      <c r="DO176" s="1164"/>
      <c r="DP176" s="290"/>
      <c r="DQ176" s="291"/>
      <c r="DR176" s="1168"/>
      <c r="DS176" s="865"/>
      <c r="DT176" s="146"/>
      <c r="DU176" s="145"/>
      <c r="DV176" s="146"/>
      <c r="DW176" s="145"/>
      <c r="DX176" s="146"/>
      <c r="DY176" s="145"/>
      <c r="DZ176" s="146"/>
      <c r="EA176" s="145"/>
      <c r="EB176" s="311"/>
      <c r="EC176" s="313"/>
      <c r="ED176" s="146"/>
      <c r="EE176" s="145"/>
      <c r="EF176" s="146"/>
      <c r="EG176" s="145"/>
      <c r="EH176" s="146"/>
      <c r="EI176" s="145"/>
      <c r="EJ176" s="146"/>
      <c r="EK176" s="145"/>
      <c r="EL176" s="311"/>
      <c r="EM176" s="313"/>
      <c r="EN176" s="278"/>
      <c r="EO176" s="279"/>
      <c r="EP176" s="122"/>
      <c r="EQ176" s="122"/>
      <c r="ER176" s="122"/>
      <c r="ES176" s="122"/>
      <c r="ET176" s="526"/>
      <c r="EU176" s="122"/>
      <c r="EV176" s="122"/>
      <c r="EW176" s="122"/>
      <c r="EX176" s="303"/>
      <c r="EY176" s="303"/>
      <c r="EZ176" s="526"/>
      <c r="FA176" s="122"/>
      <c r="FB176" s="122"/>
      <c r="FC176" s="122"/>
      <c r="FD176" s="526"/>
      <c r="FE176" s="122"/>
      <c r="FF176" s="122"/>
      <c r="FG176" s="122"/>
      <c r="FH176" s="303"/>
      <c r="FI176" s="303"/>
      <c r="FJ176" s="279"/>
    </row>
    <row r="177" spans="1:166" ht="15" hidden="1" customHeight="1">
      <c r="A177" s="835" t="s">
        <v>105</v>
      </c>
      <c r="B177" s="836">
        <v>78</v>
      </c>
      <c r="C177" s="836">
        <v>10</v>
      </c>
      <c r="D177" s="836"/>
      <c r="E177" s="837" t="s">
        <v>1933</v>
      </c>
      <c r="F177" s="838" t="s">
        <v>2151</v>
      </c>
      <c r="G177" s="839">
        <v>2008</v>
      </c>
      <c r="H177" s="835">
        <v>17352380</v>
      </c>
      <c r="I177" s="835">
        <v>1</v>
      </c>
      <c r="J177" s="835"/>
      <c r="K177" s="835"/>
      <c r="L177" s="835">
        <v>1</v>
      </c>
      <c r="M177" s="835"/>
      <c r="N177" s="835">
        <v>1</v>
      </c>
      <c r="O177" s="840">
        <v>1</v>
      </c>
      <c r="P177" s="835" t="s">
        <v>73</v>
      </c>
      <c r="Q177" s="835" t="s">
        <v>1147</v>
      </c>
      <c r="R177" s="835" t="s">
        <v>25</v>
      </c>
      <c r="S177" s="835"/>
      <c r="T177" s="835"/>
      <c r="U177" s="835"/>
      <c r="V177" s="835"/>
      <c r="W177" s="835" t="s">
        <v>371</v>
      </c>
      <c r="X177" s="835"/>
      <c r="Y177" s="835"/>
      <c r="Z177" s="835"/>
      <c r="AA177" s="835"/>
      <c r="AB177" s="835" t="s">
        <v>372</v>
      </c>
      <c r="AC177" s="841"/>
      <c r="AD177" s="842">
        <v>1</v>
      </c>
      <c r="AE177" s="842">
        <v>2</v>
      </c>
      <c r="AF177" s="843">
        <v>1</v>
      </c>
      <c r="AG177" s="844" t="s">
        <v>7724</v>
      </c>
      <c r="AH177" s="845" t="s">
        <v>7722</v>
      </c>
      <c r="AI177" s="841">
        <v>2</v>
      </c>
      <c r="AJ177" s="846"/>
      <c r="AK177" s="847" t="s">
        <v>3903</v>
      </c>
      <c r="AL177" s="848">
        <v>1</v>
      </c>
      <c r="AM177" s="1596">
        <v>0</v>
      </c>
      <c r="AN177" s="855">
        <f>Table66[[#This Row],[Data_Subjects_n_ptsd]]+Table66[[#This Row],[Data_Subjects_n_control]]</f>
        <v>117</v>
      </c>
      <c r="AO177" s="855">
        <f>47</f>
        <v>47</v>
      </c>
      <c r="AP177" s="855">
        <v>70</v>
      </c>
      <c r="AQ177" s="855" t="s">
        <v>3897</v>
      </c>
      <c r="AR177" s="855" t="s">
        <v>3898</v>
      </c>
      <c r="AS177" s="855">
        <v>54.73</v>
      </c>
      <c r="AT177" s="855">
        <v>12.83</v>
      </c>
      <c r="AU177" s="855">
        <v>56.91</v>
      </c>
      <c r="AV177" s="855">
        <v>14.77</v>
      </c>
      <c r="AW177" s="855" t="s">
        <v>1874</v>
      </c>
      <c r="AX177" s="855"/>
      <c r="AY177" s="855"/>
      <c r="AZ177" s="855" t="s">
        <v>1874</v>
      </c>
      <c r="BA177" s="855" t="s">
        <v>24</v>
      </c>
      <c r="BB177" s="855" t="s">
        <v>24</v>
      </c>
      <c r="BC177" s="855" t="s">
        <v>7726</v>
      </c>
      <c r="BD177" s="855" t="s">
        <v>7522</v>
      </c>
      <c r="BE177" s="1624">
        <v>1</v>
      </c>
      <c r="BF177" s="855" t="s">
        <v>3835</v>
      </c>
      <c r="BG177" s="855" t="s">
        <v>3894</v>
      </c>
      <c r="BH177" s="850"/>
      <c r="BI177" s="850"/>
      <c r="BJ177" s="851"/>
      <c r="BK177" s="851"/>
      <c r="BL177" s="851"/>
      <c r="BM177" s="851"/>
      <c r="BN177" s="851"/>
      <c r="BO177" s="851"/>
      <c r="BP177" s="851">
        <v>1</v>
      </c>
      <c r="BQ177" s="851"/>
      <c r="BR177" s="851"/>
      <c r="BS177" s="851"/>
      <c r="BT177" s="851"/>
      <c r="BU177" s="851"/>
      <c r="BV177" s="851"/>
      <c r="BW177" s="852" t="s">
        <v>3908</v>
      </c>
      <c r="BX177" s="162" t="s">
        <v>6609</v>
      </c>
      <c r="BY177" s="797" t="s">
        <v>7616</v>
      </c>
      <c r="BZ177" s="853" t="s">
        <v>803</v>
      </c>
      <c r="CA177" s="854">
        <v>2</v>
      </c>
      <c r="CB177" s="854" t="s">
        <v>7556</v>
      </c>
      <c r="CC177" s="854" t="s">
        <v>7380</v>
      </c>
      <c r="CD177" s="855" t="s">
        <v>1876</v>
      </c>
      <c r="CE177" s="855" t="s">
        <v>3901</v>
      </c>
      <c r="CF177" s="855"/>
      <c r="CG177" s="855" t="s">
        <v>3906</v>
      </c>
      <c r="CH177" s="855" t="s">
        <v>7308</v>
      </c>
      <c r="CI177" s="855" t="s">
        <v>24</v>
      </c>
      <c r="CJ177" s="855">
        <v>0</v>
      </c>
      <c r="CK177" s="855" t="s">
        <v>7733</v>
      </c>
      <c r="CL177" s="1079" t="s">
        <v>8259</v>
      </c>
      <c r="CM177" s="856" t="s">
        <v>3923</v>
      </c>
      <c r="CN177" s="857" t="s">
        <v>24</v>
      </c>
      <c r="CO177" s="858">
        <v>5</v>
      </c>
      <c r="CP177" s="858">
        <v>1</v>
      </c>
      <c r="CQ177" s="858">
        <v>8</v>
      </c>
      <c r="CR177" s="858">
        <v>1</v>
      </c>
      <c r="CS177" s="858">
        <v>1</v>
      </c>
      <c r="CT177" s="970"/>
      <c r="CU177" s="1288" t="s">
        <v>8102</v>
      </c>
      <c r="CV177" s="1294">
        <v>8</v>
      </c>
      <c r="CW177" s="1294">
        <v>7</v>
      </c>
      <c r="CX177" s="859" t="s">
        <v>3915</v>
      </c>
      <c r="CY177" s="855">
        <v>81.3673</v>
      </c>
      <c r="CZ177" s="855" t="s">
        <v>24</v>
      </c>
      <c r="DA177" s="855">
        <f>84.1215-Table66[[#This Row],[Data_Outcome1_M]]</f>
        <v>2.7541999999999973</v>
      </c>
      <c r="DB177" s="859" t="s">
        <v>3917</v>
      </c>
      <c r="DC177" s="855">
        <v>92.057500000000005</v>
      </c>
      <c r="DD177" s="855" t="s">
        <v>24</v>
      </c>
      <c r="DE177" s="855">
        <f>94.4183-Table66[[#This Row],[Data_Outcome2_M]]</f>
        <v>2.3607999999999976</v>
      </c>
      <c r="DF177" s="1792" t="s">
        <v>3922</v>
      </c>
      <c r="DG177" s="1792"/>
      <c r="DH177" s="1277" t="s">
        <v>24</v>
      </c>
      <c r="DI177" s="835" t="s">
        <v>24</v>
      </c>
      <c r="DJ177" s="841" t="s">
        <v>24</v>
      </c>
      <c r="DK177" s="835" t="s">
        <v>24</v>
      </c>
      <c r="DL177" s="841"/>
      <c r="DM177" s="835"/>
      <c r="DN177" s="1232"/>
      <c r="DO177" s="1159"/>
      <c r="DP177" s="860"/>
      <c r="DQ177" s="863"/>
      <c r="DR177" s="1252"/>
      <c r="DS177" s="1251"/>
      <c r="DT177" s="1281"/>
      <c r="DU177" s="841"/>
      <c r="DV177" s="1232"/>
      <c r="DW177" s="841"/>
      <c r="DX177" s="1281"/>
      <c r="DY177" s="841"/>
      <c r="DZ177" s="1232"/>
      <c r="EA177" s="841"/>
      <c r="EB177" s="1237"/>
      <c r="EC177" s="1233"/>
      <c r="ED177" s="1235"/>
      <c r="EE177" s="841"/>
      <c r="EF177" s="1232"/>
      <c r="EG177" s="841"/>
      <c r="EH177" s="1232"/>
      <c r="EI177" s="841"/>
      <c r="EJ177" s="1232"/>
      <c r="EK177" s="841"/>
      <c r="EL177" s="1237"/>
      <c r="EM177" s="1233"/>
      <c r="EN177" s="1803"/>
      <c r="EO177" s="1804"/>
      <c r="EP177" s="1235"/>
      <c r="EQ177" s="1232"/>
      <c r="ER177" s="1232"/>
      <c r="ES177" s="1232"/>
      <c r="ET177" s="1235"/>
      <c r="EU177" s="1232"/>
      <c r="EV177" s="1232"/>
      <c r="EW177" s="1232"/>
      <c r="EX177" s="1233"/>
      <c r="EY177" s="1233"/>
      <c r="EZ177" s="1235"/>
      <c r="FA177" s="1232"/>
      <c r="FB177" s="1232"/>
      <c r="FC177" s="1232"/>
      <c r="FD177" s="1235"/>
      <c r="FE177" s="1232"/>
      <c r="FF177" s="1232"/>
      <c r="FG177" s="1232"/>
      <c r="FH177" s="1233"/>
      <c r="FI177" s="1233"/>
      <c r="FJ177" s="1234"/>
    </row>
    <row r="178" spans="1:166" ht="15" hidden="1" customHeight="1">
      <c r="A178" s="1058" t="s">
        <v>105</v>
      </c>
      <c r="B178" s="1059">
        <v>78</v>
      </c>
      <c r="C178" s="1059">
        <v>10</v>
      </c>
      <c r="D178" s="1059"/>
      <c r="E178" s="1060" t="s">
        <v>1933</v>
      </c>
      <c r="F178" s="1061" t="s">
        <v>2151</v>
      </c>
      <c r="G178" s="1062">
        <v>2008</v>
      </c>
      <c r="H178" s="1058">
        <v>17352380</v>
      </c>
      <c r="I178" s="1058">
        <v>1</v>
      </c>
      <c r="J178" s="1058"/>
      <c r="K178" s="1058"/>
      <c r="L178" s="1058">
        <v>1</v>
      </c>
      <c r="M178" s="1058"/>
      <c r="N178" s="1058">
        <v>1</v>
      </c>
      <c r="O178" s="1063">
        <v>1</v>
      </c>
      <c r="P178" s="1058" t="s">
        <v>73</v>
      </c>
      <c r="Q178" s="1058" t="s">
        <v>1147</v>
      </c>
      <c r="R178" s="1058" t="s">
        <v>25</v>
      </c>
      <c r="S178" s="1058"/>
      <c r="T178" s="1058"/>
      <c r="U178" s="1058"/>
      <c r="V178" s="1058"/>
      <c r="W178" s="1058" t="s">
        <v>371</v>
      </c>
      <c r="X178" s="1058"/>
      <c r="Y178" s="1058"/>
      <c r="Z178" s="1058"/>
      <c r="AA178" s="1058"/>
      <c r="AB178" s="1058" t="s">
        <v>372</v>
      </c>
      <c r="AC178" s="1064"/>
      <c r="AD178" s="1065">
        <v>1</v>
      </c>
      <c r="AE178" s="1065">
        <v>2</v>
      </c>
      <c r="AF178" s="1066">
        <v>1</v>
      </c>
      <c r="AG178" s="1067" t="s">
        <v>8161</v>
      </c>
      <c r="AH178" s="1068"/>
      <c r="AI178" s="1064"/>
      <c r="AJ178" s="1069"/>
      <c r="AK178" s="1070"/>
      <c r="AL178" s="1071"/>
      <c r="AM178" s="1625"/>
      <c r="AN178" s="1063">
        <f>Table66[[#This Row],[Data_Subjects_n_ptsd]]+Table66[[#This Row],[Data_Subjects_n_ptsd]]</f>
        <v>62</v>
      </c>
      <c r="AO178" s="1079">
        <v>31</v>
      </c>
      <c r="AP178" s="1079">
        <v>70</v>
      </c>
      <c r="AQ178" s="1079" t="s">
        <v>803</v>
      </c>
      <c r="AR178" s="1079" t="s">
        <v>8157</v>
      </c>
      <c r="AS178" s="1079">
        <v>60.59</v>
      </c>
      <c r="AT178" s="1079">
        <v>13.83</v>
      </c>
      <c r="AU178" s="1079">
        <v>56.91</v>
      </c>
      <c r="AV178" s="1079">
        <v>14.77</v>
      </c>
      <c r="AW178" s="1079" t="s">
        <v>1874</v>
      </c>
      <c r="AX178" s="1079"/>
      <c r="AY178" s="1079"/>
      <c r="AZ178" s="1079" t="s">
        <v>1874</v>
      </c>
      <c r="BA178" s="1079" t="s">
        <v>24</v>
      </c>
      <c r="BB178" s="1079" t="s">
        <v>24</v>
      </c>
      <c r="BC178" s="1079" t="s">
        <v>7726</v>
      </c>
      <c r="BD178" s="1079" t="s">
        <v>7522</v>
      </c>
      <c r="BE178" s="1626">
        <v>1</v>
      </c>
      <c r="BF178" s="1079" t="s">
        <v>3835</v>
      </c>
      <c r="BG178" s="1645" t="s">
        <v>4508</v>
      </c>
      <c r="BH178" s="1073"/>
      <c r="BI178" s="1073"/>
      <c r="BJ178" s="1074"/>
      <c r="BK178" s="1074"/>
      <c r="BL178" s="1074"/>
      <c r="BM178" s="1074"/>
      <c r="BN178" s="1074"/>
      <c r="BO178" s="1074"/>
      <c r="BP178" s="1074">
        <v>1</v>
      </c>
      <c r="BQ178" s="1074"/>
      <c r="BR178" s="1074"/>
      <c r="BS178" s="1074"/>
      <c r="BT178" s="1074"/>
      <c r="BU178" s="1074"/>
      <c r="BV178" s="1074"/>
      <c r="BW178" s="1075" t="s">
        <v>3908</v>
      </c>
      <c r="BX178" s="1627" t="s">
        <v>6609</v>
      </c>
      <c r="BY178" s="1628" t="s">
        <v>7616</v>
      </c>
      <c r="BZ178" s="1078" t="s">
        <v>803</v>
      </c>
      <c r="CA178" s="1091">
        <v>2</v>
      </c>
      <c r="CB178" s="1091" t="s">
        <v>7556</v>
      </c>
      <c r="CC178" s="854" t="s">
        <v>7380</v>
      </c>
      <c r="CD178" s="1079" t="s">
        <v>1876</v>
      </c>
      <c r="CE178" s="1079" t="s">
        <v>3901</v>
      </c>
      <c r="CF178" s="1079"/>
      <c r="CG178" s="1079" t="s">
        <v>3906</v>
      </c>
      <c r="CH178" s="855" t="s">
        <v>7308</v>
      </c>
      <c r="CI178" s="1079" t="s">
        <v>24</v>
      </c>
      <c r="CJ178" s="1079">
        <v>0</v>
      </c>
      <c r="CK178" s="1079" t="s">
        <v>7733</v>
      </c>
      <c r="CL178" s="1079" t="s">
        <v>8259</v>
      </c>
      <c r="CM178" s="1080"/>
      <c r="CN178" s="1081"/>
      <c r="CO178" s="1082"/>
      <c r="CP178" s="1082"/>
      <c r="CQ178" s="1082"/>
      <c r="CR178" s="1082"/>
      <c r="CS178" s="1082"/>
      <c r="CT178" s="1083"/>
      <c r="CU178" s="1630" t="s">
        <v>8155</v>
      </c>
      <c r="CV178" s="1631" t="s">
        <v>8159</v>
      </c>
      <c r="CW178" s="1631">
        <v>7</v>
      </c>
      <c r="CX178" s="1632" t="s">
        <v>3916</v>
      </c>
      <c r="CY178" s="1079">
        <v>87.630799999999994</v>
      </c>
      <c r="CZ178" s="1079" t="s">
        <v>24</v>
      </c>
      <c r="DA178" s="1079">
        <f>90.6465-Table66[[#This Row],[Data_Outcome1_M]]</f>
        <v>3.0157000000000096</v>
      </c>
      <c r="DB178" s="1632" t="s">
        <v>3917</v>
      </c>
      <c r="DC178" s="1079">
        <v>92.057500000000005</v>
      </c>
      <c r="DD178" s="1079" t="s">
        <v>24</v>
      </c>
      <c r="DE178" s="1079">
        <f>94.4183-Table66[[#This Row],[Data_Outcome2_M]]</f>
        <v>2.3607999999999976</v>
      </c>
      <c r="DF178" s="1791"/>
      <c r="DG178" s="1791"/>
      <c r="DH178" s="1634" t="s">
        <v>24</v>
      </c>
      <c r="DI178" s="1058" t="s">
        <v>24</v>
      </c>
      <c r="DJ178" s="1064" t="s">
        <v>24</v>
      </c>
      <c r="DK178" s="1058" t="s">
        <v>24</v>
      </c>
      <c r="DL178" s="1064"/>
      <c r="DM178" s="1058"/>
      <c r="DN178" s="1093"/>
      <c r="DO178" s="1635"/>
      <c r="DP178" s="1085"/>
      <c r="DQ178" s="1636"/>
      <c r="DR178" s="1199"/>
      <c r="DS178" s="1196"/>
      <c r="DT178" s="1642"/>
      <c r="DU178" s="1064"/>
      <c r="DV178" s="1093"/>
      <c r="DW178" s="1064"/>
      <c r="DX178" s="1642"/>
      <c r="DY178" s="1064"/>
      <c r="DZ178" s="1093"/>
      <c r="EA178" s="1064"/>
      <c r="EB178" s="1086"/>
      <c r="EC178" s="1087"/>
      <c r="ED178" s="1197"/>
      <c r="EE178" s="1064"/>
      <c r="EF178" s="1093"/>
      <c r="EG178" s="1064"/>
      <c r="EH178" s="1093"/>
      <c r="EI178" s="1064"/>
      <c r="EJ178" s="1093"/>
      <c r="EK178" s="1064"/>
      <c r="EL178" s="1086"/>
      <c r="EM178" s="1087"/>
      <c r="EN178" s="1633"/>
      <c r="EO178" s="1088"/>
      <c r="EP178" s="1197"/>
      <c r="EQ178" s="1093"/>
      <c r="ER178" s="1093"/>
      <c r="ES178" s="1093"/>
      <c r="ET178" s="1197"/>
      <c r="EU178" s="1093"/>
      <c r="EV178" s="1093"/>
      <c r="EW178" s="1093"/>
      <c r="EX178" s="1087"/>
      <c r="EY178" s="1087"/>
      <c r="EZ178" s="1197"/>
      <c r="FA178" s="1093"/>
      <c r="FB178" s="1093"/>
      <c r="FC178" s="1093"/>
      <c r="FD178" s="1197"/>
      <c r="FE178" s="1093"/>
      <c r="FF178" s="1093"/>
      <c r="FG178" s="1093"/>
      <c r="FH178" s="1087"/>
      <c r="FI178" s="1087"/>
      <c r="FJ178" s="1196"/>
    </row>
    <row r="179" spans="1:166" ht="16" hidden="1" customHeight="1">
      <c r="A179" s="118" t="s">
        <v>145</v>
      </c>
      <c r="B179" s="616">
        <v>111</v>
      </c>
      <c r="C179" s="616">
        <v>24</v>
      </c>
      <c r="D179" s="616"/>
      <c r="E179" s="605" t="s">
        <v>1952</v>
      </c>
      <c r="F179" s="140" t="s">
        <v>2172</v>
      </c>
      <c r="G179" s="141">
        <v>2001</v>
      </c>
      <c r="H179" s="118">
        <v>11469166</v>
      </c>
      <c r="I179" s="118">
        <v>1</v>
      </c>
      <c r="J179" s="118"/>
      <c r="K179" s="118"/>
      <c r="L179" s="118">
        <v>1</v>
      </c>
      <c r="M179" s="118"/>
      <c r="N179" s="118">
        <v>1</v>
      </c>
      <c r="O179" s="142">
        <v>1</v>
      </c>
      <c r="P179" s="118" t="s">
        <v>452</v>
      </c>
      <c r="Q179" s="118"/>
      <c r="R179" s="118" t="s">
        <v>25</v>
      </c>
      <c r="S179" s="118">
        <v>1</v>
      </c>
      <c r="T179" s="118"/>
      <c r="U179" s="118"/>
      <c r="V179" s="118"/>
      <c r="W179" s="118" t="s">
        <v>24</v>
      </c>
      <c r="X179" s="118"/>
      <c r="Y179" s="118"/>
      <c r="Z179" s="118"/>
      <c r="AA179" s="118"/>
      <c r="AB179" s="118"/>
      <c r="AC179" s="145"/>
      <c r="AD179" s="573">
        <v>1</v>
      </c>
      <c r="AE179" s="573">
        <v>2</v>
      </c>
      <c r="AF179" s="154">
        <v>1</v>
      </c>
      <c r="AG179" s="160"/>
      <c r="AH179" s="704"/>
      <c r="AI179" s="122">
        <v>2</v>
      </c>
      <c r="AJ179" s="485"/>
      <c r="AK179" s="204" t="s">
        <v>4250</v>
      </c>
      <c r="AL179" s="192">
        <v>1</v>
      </c>
      <c r="AM179" s="205">
        <v>0</v>
      </c>
      <c r="AN179" s="500">
        <f>Table66[[#This Row],[Data_Subjects_n_ptsd]]+Table66[[#This Row],[Data_Subjects_n_control]]</f>
        <v>32</v>
      </c>
      <c r="AO179" s="122">
        <v>19</v>
      </c>
      <c r="AP179" s="122">
        <v>13</v>
      </c>
      <c r="AQ179" s="122" t="s">
        <v>803</v>
      </c>
      <c r="AR179" s="122" t="s">
        <v>803</v>
      </c>
      <c r="AS179" s="150" t="s">
        <v>4248</v>
      </c>
      <c r="AT179" s="150">
        <v>2.81</v>
      </c>
      <c r="AU179" s="150" t="s">
        <v>4247</v>
      </c>
      <c r="AV179" s="150">
        <v>3.09</v>
      </c>
      <c r="AW179" s="150" t="s">
        <v>4249</v>
      </c>
      <c r="AX179" s="122"/>
      <c r="AY179" s="122"/>
      <c r="AZ179" s="754" t="s">
        <v>1874</v>
      </c>
      <c r="BA179" s="122" t="s">
        <v>24</v>
      </c>
      <c r="BB179" s="122" t="s">
        <v>24</v>
      </c>
      <c r="BC179" s="122" t="s">
        <v>4161</v>
      </c>
      <c r="BD179" s="754" t="s">
        <v>7521</v>
      </c>
      <c r="BE179" s="187">
        <v>0</v>
      </c>
      <c r="BF179" s="121" t="s">
        <v>5116</v>
      </c>
      <c r="BG179" s="122" t="s">
        <v>4251</v>
      </c>
      <c r="BH179" s="588"/>
      <c r="BI179" s="588"/>
      <c r="BJ179" s="161"/>
      <c r="BK179" s="161"/>
      <c r="BL179" s="161"/>
      <c r="BM179" s="161"/>
      <c r="BN179" s="161"/>
      <c r="BO179" s="161"/>
      <c r="BP179" s="161">
        <v>1</v>
      </c>
      <c r="BQ179" s="161"/>
      <c r="BR179" s="161"/>
      <c r="BS179" s="161"/>
      <c r="BT179" s="161"/>
      <c r="BU179" s="161"/>
      <c r="BV179" s="161"/>
      <c r="BW179" s="596" t="s">
        <v>7781</v>
      </c>
      <c r="BX179" s="162" t="s">
        <v>6609</v>
      </c>
      <c r="BY179" s="797" t="s">
        <v>7616</v>
      </c>
      <c r="BZ179" s="790" t="s">
        <v>803</v>
      </c>
      <c r="CA179" s="660">
        <v>2</v>
      </c>
      <c r="CB179" s="660" t="s">
        <v>7556</v>
      </c>
      <c r="CC179" s="854" t="s">
        <v>7380</v>
      </c>
      <c r="CD179" s="150" t="s">
        <v>1876</v>
      </c>
      <c r="CE179" s="150">
        <v>2</v>
      </c>
      <c r="CF179" s="400"/>
      <c r="CG179" s="150" t="s">
        <v>7783</v>
      </c>
      <c r="CH179" s="855" t="s">
        <v>7308</v>
      </c>
      <c r="CI179" s="150" t="s">
        <v>24</v>
      </c>
      <c r="CJ179" s="150"/>
      <c r="CK179" s="150" t="s">
        <v>7784</v>
      </c>
      <c r="CL179" s="150" t="s">
        <v>8267</v>
      </c>
      <c r="CM179" s="258" t="s">
        <v>4302</v>
      </c>
      <c r="CN179" s="257" t="s">
        <v>24</v>
      </c>
      <c r="CO179" s="829">
        <v>22</v>
      </c>
      <c r="CP179" s="829">
        <v>1</v>
      </c>
      <c r="CQ179" s="829">
        <v>3</v>
      </c>
      <c r="CR179" s="829">
        <v>1</v>
      </c>
      <c r="CS179" s="829">
        <v>1</v>
      </c>
      <c r="CT179" s="968"/>
      <c r="CU179" s="1288" t="s">
        <v>8103</v>
      </c>
      <c r="CV179" s="1294">
        <v>12</v>
      </c>
      <c r="CW179" s="1294">
        <v>11</v>
      </c>
      <c r="CX179" s="151" t="s">
        <v>4275</v>
      </c>
      <c r="CY179" s="150">
        <v>95.63</v>
      </c>
      <c r="CZ179" s="150">
        <v>14.35</v>
      </c>
      <c r="DA179" s="150" t="s">
        <v>24</v>
      </c>
      <c r="DB179" s="151" t="s">
        <v>4284</v>
      </c>
      <c r="DC179" s="150">
        <v>112.77</v>
      </c>
      <c r="DD179" s="150">
        <v>9</v>
      </c>
      <c r="DE179" s="150" t="s">
        <v>24</v>
      </c>
      <c r="DF179" s="294" t="s">
        <v>4297</v>
      </c>
      <c r="DG179" s="295" t="s">
        <v>4296</v>
      </c>
      <c r="DH179" s="526"/>
      <c r="DI179" s="122"/>
      <c r="DJ179" s="1164"/>
      <c r="DK179" s="122"/>
      <c r="DL179" s="1166"/>
      <c r="DM179" s="1164"/>
      <c r="DN179" s="1164"/>
      <c r="DO179" s="1164"/>
      <c r="DP179" s="290"/>
      <c r="DQ179" s="291"/>
      <c r="DR179" s="280"/>
      <c r="DS179" s="865"/>
      <c r="DT179" s="1166"/>
      <c r="DU179" s="1164"/>
      <c r="DV179" s="1164"/>
      <c r="DW179" s="1164"/>
      <c r="DX179" s="1164"/>
      <c r="DY179" s="1164"/>
      <c r="DZ179" s="1164"/>
      <c r="EA179" s="1164"/>
      <c r="EB179" s="311"/>
      <c r="EC179" s="313"/>
      <c r="ED179" s="1164"/>
      <c r="EE179" s="1164"/>
      <c r="EF179" s="1164"/>
      <c r="EG179" s="1164"/>
      <c r="EH179" s="1164"/>
      <c r="EI179" s="1164"/>
      <c r="EJ179" s="1164"/>
      <c r="EK179" s="1164"/>
      <c r="EL179" s="311"/>
      <c r="EM179" s="313"/>
      <c r="EN179" s="1167"/>
      <c r="EO179" s="1165"/>
      <c r="EP179" s="1164"/>
      <c r="EQ179" s="1164"/>
      <c r="ER179" s="1164"/>
      <c r="ES179" s="1164"/>
      <c r="ET179" s="1166"/>
      <c r="EU179" s="1164"/>
      <c r="EV179" s="1164"/>
      <c r="EW179" s="1164"/>
      <c r="EX179" s="313"/>
      <c r="EY179" s="313"/>
      <c r="EZ179" s="1166"/>
      <c r="FA179" s="1164"/>
      <c r="FB179" s="1164"/>
      <c r="FC179" s="1164"/>
      <c r="FD179" s="1166"/>
      <c r="FE179" s="1164"/>
      <c r="FF179" s="1164"/>
      <c r="FG179" s="1164"/>
      <c r="FH179" s="313"/>
      <c r="FI179" s="313"/>
      <c r="FJ179" s="1165"/>
    </row>
    <row r="180" spans="1:166" ht="15" hidden="1" customHeight="1">
      <c r="A180" s="118" t="s">
        <v>143</v>
      </c>
      <c r="B180" s="616">
        <v>109</v>
      </c>
      <c r="C180" s="616">
        <v>22</v>
      </c>
      <c r="D180" s="616"/>
      <c r="E180" s="605" t="s">
        <v>1951</v>
      </c>
      <c r="F180" s="140" t="s">
        <v>2170</v>
      </c>
      <c r="G180" s="141">
        <v>2009</v>
      </c>
      <c r="H180" s="118">
        <v>18800372</v>
      </c>
      <c r="I180" s="118">
        <v>1</v>
      </c>
      <c r="J180" s="118"/>
      <c r="K180" s="118"/>
      <c r="L180" s="118">
        <v>1</v>
      </c>
      <c r="M180" s="118"/>
      <c r="N180" s="118">
        <v>1</v>
      </c>
      <c r="O180" s="142">
        <v>1</v>
      </c>
      <c r="P180" s="118" t="s">
        <v>450</v>
      </c>
      <c r="Q180" s="118" t="s">
        <v>1147</v>
      </c>
      <c r="R180" s="118" t="s">
        <v>25</v>
      </c>
      <c r="S180" s="118">
        <v>1</v>
      </c>
      <c r="T180" s="118"/>
      <c r="U180" s="118"/>
      <c r="V180" s="118"/>
      <c r="W180" s="118" t="s">
        <v>449</v>
      </c>
      <c r="X180" s="118"/>
      <c r="Y180" s="118"/>
      <c r="Z180" s="118"/>
      <c r="AA180" s="118"/>
      <c r="AB180" s="118"/>
      <c r="AC180" s="145"/>
      <c r="AD180" s="573">
        <v>1</v>
      </c>
      <c r="AE180" s="573">
        <v>2</v>
      </c>
      <c r="AF180" s="159">
        <v>1</v>
      </c>
      <c r="AG180" s="160"/>
      <c r="AH180" s="704"/>
      <c r="AI180" s="122">
        <v>2</v>
      </c>
      <c r="AJ180" s="485"/>
      <c r="AK180" s="204" t="s">
        <v>4207</v>
      </c>
      <c r="AL180" s="192">
        <v>1</v>
      </c>
      <c r="AM180" s="205">
        <v>0</v>
      </c>
      <c r="AN180" s="500">
        <f>Table66[[#This Row],[Data_Subjects_n_ptsd]]+Table66[[#This Row],[Data_Subjects_n_control]]</f>
        <v>49</v>
      </c>
      <c r="AO180" s="500">
        <v>24</v>
      </c>
      <c r="AP180" s="500">
        <v>25</v>
      </c>
      <c r="AQ180" s="122" t="s">
        <v>803</v>
      </c>
      <c r="AR180" s="122" t="s">
        <v>803</v>
      </c>
      <c r="AS180" s="150">
        <v>33.32</v>
      </c>
      <c r="AT180" s="266">
        <v>4.76</v>
      </c>
      <c r="AU180" s="150">
        <v>34.799999999999997</v>
      </c>
      <c r="AV180" s="150">
        <v>4.5999999999999996</v>
      </c>
      <c r="AW180" s="150" t="s">
        <v>4160</v>
      </c>
      <c r="AX180" s="122"/>
      <c r="AY180" s="122"/>
      <c r="AZ180" s="754" t="s">
        <v>1874</v>
      </c>
      <c r="BA180" s="122" t="s">
        <v>24</v>
      </c>
      <c r="BB180" s="122" t="s">
        <v>24</v>
      </c>
      <c r="BC180" s="122" t="s">
        <v>4161</v>
      </c>
      <c r="BD180" s="754" t="s">
        <v>7521</v>
      </c>
      <c r="BE180" s="187">
        <v>0</v>
      </c>
      <c r="BF180" s="122" t="s">
        <v>3835</v>
      </c>
      <c r="BG180" s="122" t="s">
        <v>4162</v>
      </c>
      <c r="BH180" s="588"/>
      <c r="BI180" s="588"/>
      <c r="BJ180" s="161"/>
      <c r="BK180" s="161"/>
      <c r="BL180" s="161"/>
      <c r="BM180" s="161"/>
      <c r="BN180" s="161"/>
      <c r="BO180" s="161"/>
      <c r="BP180" s="161">
        <v>1</v>
      </c>
      <c r="BQ180" s="161"/>
      <c r="BR180" s="161"/>
      <c r="BS180" s="161"/>
      <c r="BT180" s="161"/>
      <c r="BU180" s="161"/>
      <c r="BV180" s="161"/>
      <c r="BW180" s="596" t="s">
        <v>4001</v>
      </c>
      <c r="BX180" s="162" t="s">
        <v>6609</v>
      </c>
      <c r="BY180" s="797" t="s">
        <v>7616</v>
      </c>
      <c r="BZ180" s="789" t="s">
        <v>803</v>
      </c>
      <c r="CA180" s="660">
        <v>2</v>
      </c>
      <c r="CB180" s="660" t="s">
        <v>7556</v>
      </c>
      <c r="CC180" s="854" t="s">
        <v>7380</v>
      </c>
      <c r="CD180" s="150" t="s">
        <v>1876</v>
      </c>
      <c r="CE180" s="150">
        <v>2</v>
      </c>
      <c r="CF180" s="400"/>
      <c r="CG180" s="150" t="s">
        <v>4171</v>
      </c>
      <c r="CH180" s="855" t="s">
        <v>7308</v>
      </c>
      <c r="CI180" s="150" t="s">
        <v>24</v>
      </c>
      <c r="CJ180" s="150">
        <v>1</v>
      </c>
      <c r="CK180" s="649" t="s">
        <v>4196</v>
      </c>
      <c r="CL180" s="119" t="s">
        <v>8268</v>
      </c>
      <c r="CM180" s="258" t="s">
        <v>4235</v>
      </c>
      <c r="CN180" s="257" t="s">
        <v>24</v>
      </c>
      <c r="CO180" s="829">
        <v>21</v>
      </c>
      <c r="CP180" s="829">
        <v>1</v>
      </c>
      <c r="CQ180" s="829">
        <v>13</v>
      </c>
      <c r="CR180" s="829">
        <v>1</v>
      </c>
      <c r="CS180" s="829">
        <v>1</v>
      </c>
      <c r="CT180" s="968"/>
      <c r="CU180" s="1288" t="s">
        <v>8103</v>
      </c>
      <c r="CV180" s="1294">
        <v>11</v>
      </c>
      <c r="CW180" s="1294">
        <v>10</v>
      </c>
      <c r="CX180" s="151" t="s">
        <v>4201</v>
      </c>
      <c r="CY180" s="150">
        <v>36.21</v>
      </c>
      <c r="CZ180" s="150">
        <v>3.15</v>
      </c>
      <c r="DA180" s="150" t="s">
        <v>24</v>
      </c>
      <c r="DB180" s="151" t="s">
        <v>4202</v>
      </c>
      <c r="DC180" s="150">
        <v>37.159999999999997</v>
      </c>
      <c r="DD180" s="150">
        <v>2.48</v>
      </c>
      <c r="DE180" s="150" t="s">
        <v>24</v>
      </c>
      <c r="DF180" s="294" t="s">
        <v>3229</v>
      </c>
      <c r="DG180" s="295" t="s">
        <v>4214</v>
      </c>
      <c r="DH180" s="1178" t="s">
        <v>4203</v>
      </c>
      <c r="DI180" s="122">
        <v>31.75</v>
      </c>
      <c r="DJ180" s="122">
        <v>7.4</v>
      </c>
      <c r="DK180" s="122" t="s">
        <v>24</v>
      </c>
      <c r="DL180" s="1166" t="s">
        <v>4204</v>
      </c>
      <c r="DM180" s="122">
        <v>36.200000000000003</v>
      </c>
      <c r="DN180" s="1164">
        <v>3.34</v>
      </c>
      <c r="DO180" s="122" t="s">
        <v>24</v>
      </c>
      <c r="DP180" s="290" t="s">
        <v>4215</v>
      </c>
      <c r="DQ180" s="291" t="s">
        <v>4220</v>
      </c>
      <c r="DR180" s="1168" t="s">
        <v>24</v>
      </c>
      <c r="DS180" s="865" t="s">
        <v>24</v>
      </c>
      <c r="DT180" s="1166" t="s">
        <v>4205</v>
      </c>
      <c r="DU180" s="1164">
        <v>3.54</v>
      </c>
      <c r="DV180" s="1164">
        <v>0.66</v>
      </c>
      <c r="DW180" s="1164" t="s">
        <v>24</v>
      </c>
      <c r="DX180" s="1166" t="s">
        <v>4206</v>
      </c>
      <c r="DY180" s="1164">
        <v>3.96</v>
      </c>
      <c r="DZ180" s="1164">
        <v>0.2</v>
      </c>
      <c r="EA180" s="1164" t="s">
        <v>24</v>
      </c>
      <c r="EB180" s="543" t="s">
        <v>4219</v>
      </c>
      <c r="EC180" s="545" t="s">
        <v>4224</v>
      </c>
      <c r="ED180" s="1164" t="s">
        <v>24</v>
      </c>
      <c r="EE180" s="1164" t="s">
        <v>24</v>
      </c>
      <c r="EF180" s="1164" t="s">
        <v>24</v>
      </c>
      <c r="EG180" s="1164" t="s">
        <v>24</v>
      </c>
      <c r="EH180" s="1164" t="s">
        <v>24</v>
      </c>
      <c r="EI180" s="1164" t="s">
        <v>24</v>
      </c>
      <c r="EJ180" s="1164" t="s">
        <v>24</v>
      </c>
      <c r="EK180" s="1164" t="s">
        <v>24</v>
      </c>
      <c r="EL180" s="543"/>
      <c r="EM180" s="545"/>
      <c r="EN180" s="1167"/>
      <c r="EO180" s="1165"/>
      <c r="EP180" s="1164"/>
      <c r="EQ180" s="1164"/>
      <c r="ER180" s="1164"/>
      <c r="ES180" s="1164"/>
      <c r="ET180" s="1166"/>
      <c r="EU180" s="1164"/>
      <c r="EV180" s="1164"/>
      <c r="EW180" s="1164"/>
      <c r="EX180" s="313"/>
      <c r="EY180" s="313"/>
      <c r="EZ180" s="1166"/>
      <c r="FA180" s="1164"/>
      <c r="FB180" s="1164"/>
      <c r="FC180" s="1164"/>
      <c r="FD180" s="1166"/>
      <c r="FE180" s="1164"/>
      <c r="FF180" s="1164"/>
      <c r="FG180" s="1164"/>
      <c r="FH180" s="313"/>
      <c r="FI180" s="313"/>
      <c r="FJ180" s="1165"/>
    </row>
    <row r="181" spans="1:166" ht="15" hidden="1" customHeight="1">
      <c r="A181" s="79" t="s">
        <v>146</v>
      </c>
      <c r="B181" s="362">
        <v>112</v>
      </c>
      <c r="C181" s="362">
        <v>25</v>
      </c>
      <c r="D181" s="362"/>
      <c r="E181" s="604" t="s">
        <v>1952</v>
      </c>
      <c r="F181" s="124" t="s">
        <v>2173</v>
      </c>
      <c r="G181" s="125">
        <v>2007</v>
      </c>
      <c r="H181" s="79">
        <v>17509537</v>
      </c>
      <c r="I181" s="79">
        <v>1</v>
      </c>
      <c r="J181" s="126"/>
      <c r="K181" s="127"/>
      <c r="L181" s="79">
        <v>1</v>
      </c>
      <c r="M181" s="79"/>
      <c r="N181" s="79">
        <v>1</v>
      </c>
      <c r="O181" s="128">
        <v>1</v>
      </c>
      <c r="P181" s="79" t="s">
        <v>453</v>
      </c>
      <c r="Q181" s="79" t="s">
        <v>1147</v>
      </c>
      <c r="R181" s="79" t="s">
        <v>25</v>
      </c>
      <c r="S181" s="79">
        <v>1</v>
      </c>
      <c r="T181" s="79"/>
      <c r="U181" s="79"/>
      <c r="V181" s="79"/>
      <c r="W181" s="79" t="s">
        <v>454</v>
      </c>
      <c r="X181" s="79" t="s">
        <v>56</v>
      </c>
      <c r="Y181" s="79"/>
      <c r="Z181" s="79"/>
      <c r="AA181" s="79"/>
      <c r="AB181" s="79"/>
      <c r="AC181" s="506"/>
      <c r="AD181" s="573">
        <v>1</v>
      </c>
      <c r="AE181" s="573">
        <v>2</v>
      </c>
      <c r="AF181" s="975">
        <v>2</v>
      </c>
      <c r="AG181" s="976" t="s">
        <v>7832</v>
      </c>
      <c r="AH181" s="487" t="s">
        <v>7791</v>
      </c>
      <c r="AI181" s="484">
        <v>2</v>
      </c>
      <c r="AJ181" s="484"/>
      <c r="AK181" s="977" t="s">
        <v>4358</v>
      </c>
      <c r="AL181" s="978">
        <v>1</v>
      </c>
      <c r="AM181" s="979">
        <v>0</v>
      </c>
      <c r="AN181" s="980">
        <f>18+18+23+23</f>
        <v>82</v>
      </c>
      <c r="AO181" s="980">
        <v>18</v>
      </c>
      <c r="AP181" s="980" t="s">
        <v>4341</v>
      </c>
      <c r="AQ181" s="484" t="s">
        <v>803</v>
      </c>
      <c r="AR181" s="484" t="s">
        <v>803</v>
      </c>
      <c r="AS181" s="484" t="s">
        <v>4342</v>
      </c>
      <c r="AT181" s="980">
        <v>3.1</v>
      </c>
      <c r="AU181" s="484" t="s">
        <v>4343</v>
      </c>
      <c r="AV181" s="484" t="s">
        <v>4344</v>
      </c>
      <c r="AW181" s="484" t="s">
        <v>4249</v>
      </c>
      <c r="AX181" s="484"/>
      <c r="AY181" s="484"/>
      <c r="AZ181" s="981" t="s">
        <v>1874</v>
      </c>
      <c r="BA181" s="484" t="s">
        <v>24</v>
      </c>
      <c r="BB181" s="484" t="s">
        <v>24</v>
      </c>
      <c r="BC181" s="484" t="s">
        <v>4338</v>
      </c>
      <c r="BD181" s="981" t="s">
        <v>7522</v>
      </c>
      <c r="BE181" s="981"/>
      <c r="BF181" s="484" t="s">
        <v>4340</v>
      </c>
      <c r="BG181" s="484" t="s">
        <v>4339</v>
      </c>
      <c r="BH181" s="578"/>
      <c r="BI181" s="578"/>
      <c r="BJ181" s="982"/>
      <c r="BK181" s="982"/>
      <c r="BL181" s="982"/>
      <c r="BM181" s="982"/>
      <c r="BN181" s="982"/>
      <c r="BO181" s="982"/>
      <c r="BP181" s="982">
        <v>1</v>
      </c>
      <c r="BQ181" s="982"/>
      <c r="BR181" s="982"/>
      <c r="BS181" s="982"/>
      <c r="BT181" s="982"/>
      <c r="BU181" s="982"/>
      <c r="BV181" s="982"/>
      <c r="BW181" s="983" t="s">
        <v>7831</v>
      </c>
      <c r="BX181" s="984"/>
      <c r="BY181" s="985" t="s">
        <v>7614</v>
      </c>
      <c r="BZ181" s="984"/>
      <c r="CA181" s="986">
        <v>2</v>
      </c>
      <c r="CB181" s="986" t="s">
        <v>7556</v>
      </c>
      <c r="CC181" s="986" t="s">
        <v>24</v>
      </c>
      <c r="CD181" s="484" t="s">
        <v>1876</v>
      </c>
      <c r="CE181" s="484" t="s">
        <v>4345</v>
      </c>
      <c r="CF181" s="486"/>
      <c r="CG181" s="484" t="s">
        <v>4346</v>
      </c>
      <c r="CH181" s="981" t="s">
        <v>7365</v>
      </c>
      <c r="CI181" s="484" t="s">
        <v>24</v>
      </c>
      <c r="CJ181" s="484"/>
      <c r="CK181" s="484" t="s">
        <v>4347</v>
      </c>
      <c r="CL181" s="484"/>
      <c r="CM181" s="987" t="s">
        <v>4377</v>
      </c>
      <c r="CN181" s="988" t="s">
        <v>24</v>
      </c>
      <c r="CO181" s="988"/>
      <c r="CP181" s="988"/>
      <c r="CQ181" s="988"/>
      <c r="CR181" s="988"/>
      <c r="CS181" s="988"/>
      <c r="CT181" s="988"/>
      <c r="CU181" s="988"/>
      <c r="CV181" s="988"/>
      <c r="CW181" s="988"/>
      <c r="CX181" s="989" t="s">
        <v>4349</v>
      </c>
      <c r="CY181" s="484">
        <v>8.6999999999999993</v>
      </c>
      <c r="CZ181" s="484">
        <v>4.7</v>
      </c>
      <c r="DA181" s="484" t="s">
        <v>24</v>
      </c>
      <c r="DB181" s="989" t="s">
        <v>7794</v>
      </c>
      <c r="DC181" s="484">
        <v>5.3</v>
      </c>
      <c r="DD181" s="484">
        <v>4.0999999999999996</v>
      </c>
      <c r="DE181" s="484" t="s">
        <v>24</v>
      </c>
      <c r="DF181" s="990" t="s">
        <v>4353</v>
      </c>
      <c r="DG181" s="991" t="s">
        <v>4354</v>
      </c>
      <c r="DH181" s="1133"/>
      <c r="DI181" s="484"/>
      <c r="DJ181" s="705"/>
      <c r="DK181" s="705"/>
      <c r="DL181" s="1257"/>
      <c r="DM181" s="705"/>
      <c r="DN181" s="705"/>
      <c r="DO181" s="705"/>
      <c r="DP181" s="987"/>
      <c r="DQ181" s="578"/>
      <c r="DR181" s="1259"/>
      <c r="DS181" s="993"/>
      <c r="DT181" s="1257"/>
      <c r="DU181" s="484"/>
      <c r="DV181" s="705"/>
      <c r="DW181" s="705"/>
      <c r="DX181" s="705"/>
      <c r="DY181" s="705"/>
      <c r="DZ181" s="705"/>
      <c r="EA181" s="705"/>
      <c r="EB181" s="987"/>
      <c r="EC181" s="578"/>
      <c r="ED181" s="705"/>
      <c r="EE181" s="484"/>
      <c r="EF181" s="705"/>
      <c r="EG181" s="705"/>
      <c r="EH181" s="705"/>
      <c r="EI181" s="705"/>
      <c r="EJ181" s="705"/>
      <c r="EK181" s="705"/>
      <c r="EL181" s="987"/>
      <c r="EM181" s="578"/>
      <c r="EN181" s="1258"/>
      <c r="EO181" s="705"/>
      <c r="EP181" s="705"/>
      <c r="EQ181" s="705"/>
      <c r="ER181" s="705"/>
      <c r="ES181" s="705"/>
      <c r="ET181" s="1257"/>
      <c r="EU181" s="705"/>
      <c r="EV181" s="705"/>
      <c r="EW181" s="705"/>
      <c r="EX181" s="705"/>
      <c r="EY181" s="705"/>
      <c r="EZ181" s="1257"/>
      <c r="FA181" s="705"/>
      <c r="FB181" s="705"/>
      <c r="FC181" s="705"/>
      <c r="FD181" s="1257"/>
      <c r="FE181" s="705"/>
      <c r="FF181" s="705"/>
      <c r="FG181" s="705"/>
      <c r="FH181" s="705"/>
      <c r="FI181" s="705"/>
      <c r="FJ181" s="705"/>
    </row>
    <row r="182" spans="1:166" ht="15" hidden="1" customHeight="1">
      <c r="A182" s="79" t="s">
        <v>146</v>
      </c>
      <c r="B182" s="362">
        <v>112</v>
      </c>
      <c r="C182" s="362">
        <v>25</v>
      </c>
      <c r="D182" s="362"/>
      <c r="E182" s="604" t="s">
        <v>1952</v>
      </c>
      <c r="F182" s="124" t="s">
        <v>2173</v>
      </c>
      <c r="G182" s="125">
        <v>2007</v>
      </c>
      <c r="H182" s="79">
        <v>17509537</v>
      </c>
      <c r="I182" s="79">
        <v>1</v>
      </c>
      <c r="J182" s="126"/>
      <c r="K182" s="127"/>
      <c r="L182" s="79">
        <v>1</v>
      </c>
      <c r="M182" s="79"/>
      <c r="N182" s="79">
        <v>1</v>
      </c>
      <c r="O182" s="128">
        <v>1</v>
      </c>
      <c r="P182" s="79" t="s">
        <v>453</v>
      </c>
      <c r="Q182" s="79" t="s">
        <v>1147</v>
      </c>
      <c r="R182" s="79" t="s">
        <v>25</v>
      </c>
      <c r="S182" s="79">
        <v>1</v>
      </c>
      <c r="T182" s="79"/>
      <c r="U182" s="79"/>
      <c r="V182" s="79"/>
      <c r="W182" s="79" t="s">
        <v>454</v>
      </c>
      <c r="X182" s="79" t="s">
        <v>56</v>
      </c>
      <c r="Y182" s="79"/>
      <c r="Z182" s="79"/>
      <c r="AA182" s="79"/>
      <c r="AB182" s="79"/>
      <c r="AC182" s="506"/>
      <c r="AD182" s="573">
        <v>1</v>
      </c>
      <c r="AE182" s="573">
        <v>2</v>
      </c>
      <c r="AF182" s="975">
        <v>2</v>
      </c>
      <c r="AG182" s="976" t="s">
        <v>7832</v>
      </c>
      <c r="AH182" s="487" t="s">
        <v>7791</v>
      </c>
      <c r="AI182" s="484">
        <v>2</v>
      </c>
      <c r="AJ182" s="484"/>
      <c r="AK182" s="977" t="s">
        <v>4358</v>
      </c>
      <c r="AL182" s="978">
        <v>1</v>
      </c>
      <c r="AM182" s="979">
        <v>0</v>
      </c>
      <c r="AN182" s="980">
        <f>18+18+23+23</f>
        <v>82</v>
      </c>
      <c r="AO182" s="484">
        <v>18</v>
      </c>
      <c r="AP182" s="484" t="s">
        <v>4341</v>
      </c>
      <c r="AQ182" s="484" t="s">
        <v>803</v>
      </c>
      <c r="AR182" s="484" t="s">
        <v>803</v>
      </c>
      <c r="AS182" s="484" t="s">
        <v>4342</v>
      </c>
      <c r="AT182" s="484">
        <v>3.1</v>
      </c>
      <c r="AU182" s="484" t="s">
        <v>4343</v>
      </c>
      <c r="AV182" s="484" t="s">
        <v>4344</v>
      </c>
      <c r="AW182" s="484" t="s">
        <v>4249</v>
      </c>
      <c r="AX182" s="484"/>
      <c r="AY182" s="484"/>
      <c r="AZ182" s="981" t="s">
        <v>1874</v>
      </c>
      <c r="BA182" s="484" t="s">
        <v>24</v>
      </c>
      <c r="BB182" s="484" t="s">
        <v>24</v>
      </c>
      <c r="BC182" s="484" t="s">
        <v>4338</v>
      </c>
      <c r="BD182" s="981" t="s">
        <v>7522</v>
      </c>
      <c r="BE182" s="981"/>
      <c r="BF182" s="484" t="s">
        <v>4340</v>
      </c>
      <c r="BG182" s="484" t="s">
        <v>4339</v>
      </c>
      <c r="BH182" s="578"/>
      <c r="BI182" s="578"/>
      <c r="BJ182" s="982"/>
      <c r="BK182" s="982"/>
      <c r="BL182" s="982"/>
      <c r="BM182" s="982"/>
      <c r="BN182" s="982"/>
      <c r="BO182" s="982"/>
      <c r="BP182" s="982">
        <v>1</v>
      </c>
      <c r="BQ182" s="982"/>
      <c r="BR182" s="982"/>
      <c r="BS182" s="982"/>
      <c r="BT182" s="982"/>
      <c r="BU182" s="982"/>
      <c r="BV182" s="982"/>
      <c r="BW182" s="983" t="s">
        <v>7831</v>
      </c>
      <c r="BX182" s="984"/>
      <c r="BY182" s="985" t="s">
        <v>7614</v>
      </c>
      <c r="BZ182" s="984"/>
      <c r="CA182" s="986">
        <v>2</v>
      </c>
      <c r="CB182" s="986" t="s">
        <v>7556</v>
      </c>
      <c r="CC182" s="986" t="s">
        <v>24</v>
      </c>
      <c r="CD182" s="484" t="s">
        <v>1876</v>
      </c>
      <c r="CE182" s="484" t="s">
        <v>4345</v>
      </c>
      <c r="CF182" s="486"/>
      <c r="CG182" s="484" t="s">
        <v>4346</v>
      </c>
      <c r="CH182" s="981" t="s">
        <v>7365</v>
      </c>
      <c r="CI182" s="484" t="s">
        <v>24</v>
      </c>
      <c r="CJ182" s="484"/>
      <c r="CK182" s="484" t="s">
        <v>4347</v>
      </c>
      <c r="CL182" s="484"/>
      <c r="CM182" s="987" t="s">
        <v>4377</v>
      </c>
      <c r="CN182" s="988" t="s">
        <v>24</v>
      </c>
      <c r="CO182" s="988"/>
      <c r="CP182" s="988"/>
      <c r="CQ182" s="988"/>
      <c r="CR182" s="988"/>
      <c r="CS182" s="988"/>
      <c r="CT182" s="988"/>
      <c r="CU182" s="988"/>
      <c r="CV182" s="988"/>
      <c r="CW182" s="988"/>
      <c r="CX182" s="989" t="s">
        <v>4349</v>
      </c>
      <c r="CY182" s="484">
        <v>8.6999999999999993</v>
      </c>
      <c r="CZ182" s="484">
        <v>4.7</v>
      </c>
      <c r="DA182" s="484" t="s">
        <v>24</v>
      </c>
      <c r="DB182" s="989" t="s">
        <v>7792</v>
      </c>
      <c r="DC182" s="484">
        <v>8</v>
      </c>
      <c r="DD182" s="484">
        <v>6.1</v>
      </c>
      <c r="DE182" s="484" t="s">
        <v>24</v>
      </c>
      <c r="DF182" s="987" t="s">
        <v>4355</v>
      </c>
      <c r="DG182" s="578" t="s">
        <v>4356</v>
      </c>
      <c r="DH182" s="484"/>
      <c r="DI182" s="484"/>
      <c r="DJ182" s="705"/>
      <c r="DK182" s="484"/>
      <c r="DL182" s="705"/>
      <c r="DM182" s="484"/>
      <c r="DN182" s="705"/>
      <c r="DO182" s="484"/>
      <c r="DP182" s="987"/>
      <c r="DQ182" s="578"/>
      <c r="DR182" s="992"/>
      <c r="DS182" s="993"/>
      <c r="DT182" s="1257"/>
      <c r="DU182" s="484"/>
      <c r="DV182" s="705"/>
      <c r="DW182" s="484"/>
      <c r="DX182" s="705"/>
      <c r="DY182" s="484"/>
      <c r="DZ182" s="705"/>
      <c r="EA182" s="484"/>
      <c r="EB182" s="987"/>
      <c r="EC182" s="578"/>
      <c r="ED182" s="705"/>
      <c r="EE182" s="484"/>
      <c r="EF182" s="705"/>
      <c r="EG182" s="484"/>
      <c r="EH182" s="705"/>
      <c r="EI182" s="484"/>
      <c r="EJ182" s="705"/>
      <c r="EK182" s="484"/>
      <c r="EL182" s="987"/>
      <c r="EM182" s="578"/>
      <c r="EN182" s="1258"/>
      <c r="EO182" s="705"/>
      <c r="EP182" s="994"/>
      <c r="EQ182" s="994"/>
      <c r="ER182" s="994"/>
      <c r="ES182" s="994"/>
      <c r="ET182" s="995"/>
      <c r="EU182" s="705"/>
      <c r="EV182" s="705"/>
      <c r="EW182" s="705"/>
      <c r="EX182" s="578"/>
      <c r="EY182" s="578"/>
      <c r="EZ182" s="1257"/>
      <c r="FA182" s="705"/>
      <c r="FB182" s="705"/>
      <c r="FC182" s="705"/>
      <c r="FD182" s="1257"/>
      <c r="FE182" s="705"/>
      <c r="FF182" s="705"/>
      <c r="FG182" s="705"/>
      <c r="FH182" s="705"/>
      <c r="FI182" s="705"/>
      <c r="FJ182" s="705"/>
    </row>
    <row r="183" spans="1:166" ht="15" hidden="1" customHeight="1">
      <c r="A183" s="79" t="s">
        <v>146</v>
      </c>
      <c r="B183" s="362">
        <v>112</v>
      </c>
      <c r="C183" s="362">
        <v>25</v>
      </c>
      <c r="D183" s="362"/>
      <c r="E183" s="604" t="s">
        <v>1952</v>
      </c>
      <c r="F183" s="124" t="s">
        <v>2173</v>
      </c>
      <c r="G183" s="125">
        <v>2007</v>
      </c>
      <c r="H183" s="79">
        <v>17509537</v>
      </c>
      <c r="I183" s="79">
        <v>1</v>
      </c>
      <c r="J183" s="126"/>
      <c r="K183" s="127"/>
      <c r="L183" s="79">
        <v>1</v>
      </c>
      <c r="M183" s="79"/>
      <c r="N183" s="79">
        <v>1</v>
      </c>
      <c r="O183" s="128">
        <v>1</v>
      </c>
      <c r="P183" s="79" t="s">
        <v>453</v>
      </c>
      <c r="Q183" s="79" t="s">
        <v>1147</v>
      </c>
      <c r="R183" s="79" t="s">
        <v>25</v>
      </c>
      <c r="S183" s="79">
        <v>1</v>
      </c>
      <c r="T183" s="79"/>
      <c r="U183" s="79"/>
      <c r="V183" s="79"/>
      <c r="W183" s="79" t="s">
        <v>454</v>
      </c>
      <c r="X183" s="79" t="s">
        <v>56</v>
      </c>
      <c r="Y183" s="79"/>
      <c r="Z183" s="79"/>
      <c r="AA183" s="79"/>
      <c r="AB183" s="79"/>
      <c r="AC183" s="506"/>
      <c r="AD183" s="573">
        <v>1</v>
      </c>
      <c r="AE183" s="573">
        <v>2</v>
      </c>
      <c r="AF183" s="975">
        <v>2</v>
      </c>
      <c r="AG183" s="976" t="s">
        <v>7832</v>
      </c>
      <c r="AH183" s="487" t="s">
        <v>7791</v>
      </c>
      <c r="AI183" s="484">
        <v>2</v>
      </c>
      <c r="AJ183" s="484"/>
      <c r="AK183" s="977" t="s">
        <v>4358</v>
      </c>
      <c r="AL183" s="978">
        <v>1</v>
      </c>
      <c r="AM183" s="979">
        <v>0</v>
      </c>
      <c r="AN183" s="980">
        <f>18+18+23+23</f>
        <v>82</v>
      </c>
      <c r="AO183" s="484">
        <v>18</v>
      </c>
      <c r="AP183" s="484" t="s">
        <v>4341</v>
      </c>
      <c r="AQ183" s="484" t="s">
        <v>803</v>
      </c>
      <c r="AR183" s="484" t="s">
        <v>803</v>
      </c>
      <c r="AS183" s="484" t="s">
        <v>4342</v>
      </c>
      <c r="AT183" s="484">
        <v>3.1</v>
      </c>
      <c r="AU183" s="484" t="s">
        <v>4343</v>
      </c>
      <c r="AV183" s="484" t="s">
        <v>4344</v>
      </c>
      <c r="AW183" s="484" t="s">
        <v>4249</v>
      </c>
      <c r="AX183" s="484"/>
      <c r="AY183" s="484"/>
      <c r="AZ183" s="981" t="s">
        <v>1874</v>
      </c>
      <c r="BA183" s="484" t="s">
        <v>24</v>
      </c>
      <c r="BB183" s="484" t="s">
        <v>24</v>
      </c>
      <c r="BC183" s="484" t="s">
        <v>4338</v>
      </c>
      <c r="BD183" s="981" t="s">
        <v>7522</v>
      </c>
      <c r="BE183" s="981"/>
      <c r="BF183" s="484" t="s">
        <v>4340</v>
      </c>
      <c r="BG183" s="484" t="s">
        <v>4339</v>
      </c>
      <c r="BH183" s="578"/>
      <c r="BI183" s="578"/>
      <c r="BJ183" s="982"/>
      <c r="BK183" s="982"/>
      <c r="BL183" s="982"/>
      <c r="BM183" s="982"/>
      <c r="BN183" s="982"/>
      <c r="BO183" s="982"/>
      <c r="BP183" s="982">
        <v>1</v>
      </c>
      <c r="BQ183" s="982"/>
      <c r="BR183" s="982"/>
      <c r="BS183" s="982"/>
      <c r="BT183" s="982"/>
      <c r="BU183" s="982"/>
      <c r="BV183" s="982"/>
      <c r="BW183" s="983" t="s">
        <v>7831</v>
      </c>
      <c r="BX183" s="984"/>
      <c r="BY183" s="985" t="s">
        <v>7614</v>
      </c>
      <c r="BZ183" s="984"/>
      <c r="CA183" s="986">
        <v>2</v>
      </c>
      <c r="CB183" s="986" t="s">
        <v>7556</v>
      </c>
      <c r="CC183" s="986" t="s">
        <v>24</v>
      </c>
      <c r="CD183" s="484" t="s">
        <v>1876</v>
      </c>
      <c r="CE183" s="484" t="s">
        <v>4345</v>
      </c>
      <c r="CF183" s="486"/>
      <c r="CG183" s="484" t="s">
        <v>4346</v>
      </c>
      <c r="CH183" s="981" t="s">
        <v>7365</v>
      </c>
      <c r="CI183" s="484" t="s">
        <v>24</v>
      </c>
      <c r="CJ183" s="484"/>
      <c r="CK183" s="484" t="s">
        <v>4347</v>
      </c>
      <c r="CL183" s="484"/>
      <c r="CM183" s="987" t="s">
        <v>4377</v>
      </c>
      <c r="CN183" s="988" t="s">
        <v>24</v>
      </c>
      <c r="CO183" s="988"/>
      <c r="CP183" s="988"/>
      <c r="CQ183" s="988"/>
      <c r="CR183" s="988"/>
      <c r="CS183" s="988"/>
      <c r="CT183" s="988"/>
      <c r="CU183" s="988"/>
      <c r="CV183" s="988"/>
      <c r="CW183" s="988"/>
      <c r="CX183" s="989" t="s">
        <v>4349</v>
      </c>
      <c r="CY183" s="484">
        <v>8.6999999999999993</v>
      </c>
      <c r="CZ183" s="484">
        <v>4.7</v>
      </c>
      <c r="DA183" s="484" t="s">
        <v>24</v>
      </c>
      <c r="DB183" s="989" t="s">
        <v>7793</v>
      </c>
      <c r="DC183" s="484">
        <v>4.2</v>
      </c>
      <c r="DD183" s="484">
        <v>4.4000000000000004</v>
      </c>
      <c r="DE183" s="484" t="s">
        <v>24</v>
      </c>
      <c r="DF183" s="990" t="s">
        <v>4357</v>
      </c>
      <c r="DG183" s="1126" t="s">
        <v>4350</v>
      </c>
      <c r="DH183" s="1133"/>
      <c r="DI183" s="980"/>
      <c r="DJ183" s="705"/>
      <c r="DK183" s="980"/>
      <c r="DL183" s="1257"/>
      <c r="DM183" s="980"/>
      <c r="DN183" s="705"/>
      <c r="DO183" s="996"/>
      <c r="DP183" s="987"/>
      <c r="DQ183" s="997"/>
      <c r="DR183" s="1259"/>
      <c r="DS183" s="993"/>
      <c r="DT183" s="1257"/>
      <c r="DU183" s="484"/>
      <c r="DV183" s="705"/>
      <c r="DW183" s="705"/>
      <c r="DX183" s="705"/>
      <c r="DY183" s="705"/>
      <c r="DZ183" s="705"/>
      <c r="EA183" s="705"/>
      <c r="EB183" s="987"/>
      <c r="EC183" s="578"/>
      <c r="ED183" s="484"/>
      <c r="EE183" s="484"/>
      <c r="EF183" s="484"/>
      <c r="EG183" s="484"/>
      <c r="EH183" s="484"/>
      <c r="EI183" s="705"/>
      <c r="EJ183" s="705"/>
      <c r="EK183" s="705"/>
      <c r="EL183" s="987"/>
      <c r="EM183" s="578"/>
      <c r="EN183" s="1258"/>
      <c r="EO183" s="705"/>
      <c r="EP183" s="994"/>
      <c r="EQ183" s="994"/>
      <c r="ER183" s="994"/>
      <c r="ES183" s="994"/>
      <c r="ET183" s="995"/>
      <c r="EU183" s="705"/>
      <c r="EV183" s="705"/>
      <c r="EW183" s="705"/>
      <c r="EX183" s="578"/>
      <c r="EY183" s="578"/>
      <c r="EZ183" s="1257"/>
      <c r="FA183" s="705"/>
      <c r="FB183" s="705"/>
      <c r="FC183" s="705"/>
      <c r="FD183" s="1257"/>
      <c r="FE183" s="705"/>
      <c r="FF183" s="705"/>
      <c r="FG183" s="705"/>
      <c r="FH183" s="705"/>
      <c r="FI183" s="705"/>
      <c r="FJ183" s="705"/>
    </row>
    <row r="184" spans="1:166" ht="15" hidden="1" customHeight="1">
      <c r="A184" s="158" t="s">
        <v>148</v>
      </c>
      <c r="B184" s="1094">
        <v>113</v>
      </c>
      <c r="C184" s="1094">
        <v>26</v>
      </c>
      <c r="D184" s="1094"/>
      <c r="E184" s="1095" t="s">
        <v>1953</v>
      </c>
      <c r="F184" s="711" t="s">
        <v>2174</v>
      </c>
      <c r="G184" s="1096">
        <v>2006</v>
      </c>
      <c r="H184" s="158">
        <v>16891562</v>
      </c>
      <c r="I184" s="158">
        <v>1</v>
      </c>
      <c r="J184" s="158"/>
      <c r="K184" s="158"/>
      <c r="L184" s="158">
        <v>1</v>
      </c>
      <c r="M184" s="158"/>
      <c r="N184" s="158">
        <v>1</v>
      </c>
      <c r="O184" s="158">
        <v>1</v>
      </c>
      <c r="P184" s="158" t="s">
        <v>457</v>
      </c>
      <c r="Q184" s="158" t="s">
        <v>1147</v>
      </c>
      <c r="R184" s="158" t="s">
        <v>459</v>
      </c>
      <c r="S184" s="158">
        <v>0</v>
      </c>
      <c r="T184" s="158"/>
      <c r="U184" s="158"/>
      <c r="V184" s="158"/>
      <c r="W184" s="158" t="s">
        <v>458</v>
      </c>
      <c r="X184" s="158"/>
      <c r="Y184" s="158"/>
      <c r="Z184" s="158"/>
      <c r="AA184" s="158"/>
      <c r="AB184" s="158"/>
      <c r="AC184" s="800"/>
      <c r="AD184" s="536">
        <v>1</v>
      </c>
      <c r="AE184" s="536">
        <v>2</v>
      </c>
      <c r="AF184" s="743">
        <v>0</v>
      </c>
      <c r="AG184" s="744" t="s">
        <v>7484</v>
      </c>
      <c r="AH184" s="509">
        <v>0</v>
      </c>
      <c r="AI184" s="734">
        <v>2</v>
      </c>
      <c r="AJ184" s="734"/>
      <c r="AK184" s="739" t="s">
        <v>4413</v>
      </c>
      <c r="AL184" s="372" t="s">
        <v>4372</v>
      </c>
      <c r="AM184" s="724">
        <v>0</v>
      </c>
      <c r="AN184" s="742">
        <f>30+20+15</f>
        <v>65</v>
      </c>
      <c r="AO184" s="734">
        <v>30</v>
      </c>
      <c r="AP184" s="734" t="s">
        <v>4369</v>
      </c>
      <c r="AQ184" s="734" t="s">
        <v>4373</v>
      </c>
      <c r="AR184" s="734" t="s">
        <v>4373</v>
      </c>
      <c r="AS184" s="734" t="s">
        <v>4370</v>
      </c>
      <c r="AT184" s="734" t="s">
        <v>2882</v>
      </c>
      <c r="AU184" s="734" t="s">
        <v>4370</v>
      </c>
      <c r="AV184" s="734" t="s">
        <v>2882</v>
      </c>
      <c r="AW184" s="734" t="s">
        <v>4371</v>
      </c>
      <c r="AX184" s="734"/>
      <c r="AY184" s="734"/>
      <c r="AZ184" s="755" t="s">
        <v>1874</v>
      </c>
      <c r="BA184" s="734" t="s">
        <v>24</v>
      </c>
      <c r="BB184" s="734" t="s">
        <v>24</v>
      </c>
      <c r="BC184" s="734" t="s">
        <v>4374</v>
      </c>
      <c r="BD184" s="755"/>
      <c r="BE184" s="755"/>
      <c r="BF184" s="120" t="s">
        <v>5116</v>
      </c>
      <c r="BG184" s="734" t="s">
        <v>4366</v>
      </c>
      <c r="BH184" s="372"/>
      <c r="BI184" s="372"/>
      <c r="BJ184" s="735"/>
      <c r="BK184" s="735"/>
      <c r="BL184" s="735"/>
      <c r="BM184" s="735"/>
      <c r="BN184" s="735"/>
      <c r="BO184" s="735"/>
      <c r="BP184" s="735">
        <v>1</v>
      </c>
      <c r="BQ184" s="735"/>
      <c r="BR184" s="735"/>
      <c r="BS184" s="735"/>
      <c r="BT184" s="735"/>
      <c r="BU184" s="735"/>
      <c r="BV184" s="735"/>
      <c r="BW184" s="735" t="s">
        <v>4378</v>
      </c>
      <c r="BX184" s="736" t="s">
        <v>6609</v>
      </c>
      <c r="BY184" s="736"/>
      <c r="BZ184" s="736"/>
      <c r="CA184" s="510">
        <v>2</v>
      </c>
      <c r="CB184" s="510"/>
      <c r="CC184" s="510" t="s">
        <v>24</v>
      </c>
      <c r="CD184" s="734" t="s">
        <v>1876</v>
      </c>
      <c r="CE184" s="734">
        <v>3</v>
      </c>
      <c r="CF184" s="734"/>
      <c r="CG184" s="734" t="s">
        <v>4409</v>
      </c>
      <c r="CH184" s="755" t="s">
        <v>7313</v>
      </c>
      <c r="CI184" s="734" t="s">
        <v>24</v>
      </c>
      <c r="CJ184" s="734"/>
      <c r="CK184" s="734"/>
      <c r="CL184" s="734"/>
      <c r="CM184" s="737" t="s">
        <v>24</v>
      </c>
      <c r="CN184" s="738"/>
      <c r="CO184" s="738"/>
      <c r="CP184" s="738"/>
      <c r="CQ184" s="738"/>
      <c r="CR184" s="738"/>
      <c r="CS184" s="738"/>
      <c r="CT184" s="738"/>
      <c r="CU184" s="738"/>
      <c r="CV184" s="738"/>
      <c r="CW184" s="738"/>
      <c r="CX184" s="736"/>
      <c r="CY184" s="734"/>
      <c r="CZ184" s="734"/>
      <c r="DA184" s="734"/>
      <c r="DB184" s="736"/>
      <c r="DC184" s="734"/>
      <c r="DD184" s="734"/>
      <c r="DE184" s="734"/>
      <c r="DF184" s="621"/>
      <c r="DG184" s="509"/>
      <c r="DH184" s="778"/>
      <c r="DI184" s="734"/>
      <c r="DJ184" s="778"/>
      <c r="DK184" s="778"/>
      <c r="DL184" s="1180"/>
      <c r="DM184" s="778"/>
      <c r="DN184" s="778"/>
      <c r="DO184" s="778"/>
      <c r="DP184" s="737"/>
      <c r="DQ184" s="372"/>
      <c r="DR184" s="1182"/>
      <c r="DS184" s="956"/>
      <c r="DT184" s="1180"/>
      <c r="DU184" s="778"/>
      <c r="DV184" s="778"/>
      <c r="DW184" s="778"/>
      <c r="DX184" s="778"/>
      <c r="DY184" s="778"/>
      <c r="DZ184" s="778"/>
      <c r="EA184" s="778"/>
      <c r="EB184" s="737"/>
      <c r="EC184" s="372"/>
      <c r="ED184" s="778"/>
      <c r="EE184" s="778"/>
      <c r="EF184" s="778"/>
      <c r="EG184" s="778"/>
      <c r="EH184" s="778"/>
      <c r="EI184" s="778"/>
      <c r="EJ184" s="778"/>
      <c r="EK184" s="778"/>
      <c r="EL184" s="737"/>
      <c r="EM184" s="372"/>
      <c r="EN184" s="1181"/>
      <c r="EO184" s="778"/>
      <c r="EP184" s="782"/>
      <c r="EQ184" s="782"/>
      <c r="ER184" s="782"/>
      <c r="ES184" s="782"/>
      <c r="ET184" s="798"/>
      <c r="EU184" s="778"/>
      <c r="EV184" s="778"/>
      <c r="EW184" s="778"/>
      <c r="EX184" s="372"/>
      <c r="EY184" s="372"/>
      <c r="EZ184" s="1180"/>
      <c r="FA184" s="778"/>
      <c r="FB184" s="778"/>
      <c r="FC184" s="778"/>
      <c r="FD184" s="1180"/>
      <c r="FE184" s="778"/>
      <c r="FF184" s="778"/>
      <c r="FG184" s="778"/>
      <c r="FH184" s="778"/>
      <c r="FI184" s="778"/>
      <c r="FJ184" s="778"/>
    </row>
    <row r="185" spans="1:166" ht="15" hidden="1" customHeight="1">
      <c r="A185" s="158" t="s">
        <v>148</v>
      </c>
      <c r="B185" s="1094">
        <v>113</v>
      </c>
      <c r="C185" s="1094">
        <v>26</v>
      </c>
      <c r="D185" s="1094"/>
      <c r="E185" s="1095" t="s">
        <v>1953</v>
      </c>
      <c r="F185" s="711" t="s">
        <v>2174</v>
      </c>
      <c r="G185" s="1096">
        <v>2006</v>
      </c>
      <c r="H185" s="158">
        <v>16891562</v>
      </c>
      <c r="I185" s="158">
        <v>1</v>
      </c>
      <c r="J185" s="158"/>
      <c r="K185" s="158"/>
      <c r="L185" s="158">
        <v>1</v>
      </c>
      <c r="M185" s="158"/>
      <c r="N185" s="158">
        <v>1</v>
      </c>
      <c r="O185" s="158">
        <v>1</v>
      </c>
      <c r="P185" s="158" t="s">
        <v>457</v>
      </c>
      <c r="Q185" s="158" t="s">
        <v>1147</v>
      </c>
      <c r="R185" s="158" t="s">
        <v>459</v>
      </c>
      <c r="S185" s="158">
        <v>0</v>
      </c>
      <c r="T185" s="158"/>
      <c r="U185" s="158"/>
      <c r="V185" s="158"/>
      <c r="W185" s="158" t="s">
        <v>458</v>
      </c>
      <c r="X185" s="158"/>
      <c r="Y185" s="158"/>
      <c r="Z185" s="158"/>
      <c r="AA185" s="158"/>
      <c r="AB185" s="158"/>
      <c r="AC185" s="800"/>
      <c r="AD185" s="536">
        <v>1</v>
      </c>
      <c r="AE185" s="536">
        <v>2</v>
      </c>
      <c r="AF185" s="743">
        <v>0</v>
      </c>
      <c r="AG185" s="744" t="s">
        <v>7484</v>
      </c>
      <c r="AH185" s="509">
        <v>0</v>
      </c>
      <c r="AI185" s="734">
        <v>3</v>
      </c>
      <c r="AJ185" s="734"/>
      <c r="AK185" s="739" t="s">
        <v>4412</v>
      </c>
      <c r="AL185" s="372" t="s">
        <v>4406</v>
      </c>
      <c r="AM185" s="724">
        <v>0</v>
      </c>
      <c r="AN185" s="742">
        <f>36+26+40</f>
        <v>102</v>
      </c>
      <c r="AO185" s="734">
        <v>36</v>
      </c>
      <c r="AP185" s="734" t="s">
        <v>4393</v>
      </c>
      <c r="AQ185" s="734" t="s">
        <v>4362</v>
      </c>
      <c r="AR185" s="734" t="s">
        <v>4362</v>
      </c>
      <c r="AS185" s="734" t="s">
        <v>4363</v>
      </c>
      <c r="AT185" s="734" t="s">
        <v>4364</v>
      </c>
      <c r="AU185" s="734" t="s">
        <v>4363</v>
      </c>
      <c r="AV185" s="734" t="s">
        <v>4364</v>
      </c>
      <c r="AW185" s="734" t="s">
        <v>4365</v>
      </c>
      <c r="AX185" s="734"/>
      <c r="AY185" s="734"/>
      <c r="AZ185" s="755" t="s">
        <v>7361</v>
      </c>
      <c r="BA185" s="734" t="s">
        <v>24</v>
      </c>
      <c r="BB185" s="734" t="s">
        <v>24</v>
      </c>
      <c r="BC185" s="734" t="s">
        <v>4381</v>
      </c>
      <c r="BD185" s="755"/>
      <c r="BE185" s="755"/>
      <c r="BF185" s="734" t="s">
        <v>4375</v>
      </c>
      <c r="BG185" s="734" t="s">
        <v>4366</v>
      </c>
      <c r="BH185" s="372"/>
      <c r="BI185" s="372"/>
      <c r="BJ185" s="735"/>
      <c r="BK185" s="735"/>
      <c r="BL185" s="735"/>
      <c r="BM185" s="735"/>
      <c r="BN185" s="735"/>
      <c r="BO185" s="735"/>
      <c r="BP185" s="735">
        <v>1</v>
      </c>
      <c r="BQ185" s="735"/>
      <c r="BR185" s="735"/>
      <c r="BS185" s="735"/>
      <c r="BT185" s="735"/>
      <c r="BU185" s="735"/>
      <c r="BV185" s="735"/>
      <c r="BW185" s="735" t="s">
        <v>4411</v>
      </c>
      <c r="BX185" s="736" t="s">
        <v>6611</v>
      </c>
      <c r="BY185" s="736"/>
      <c r="BZ185" s="736"/>
      <c r="CA185" s="510">
        <v>2</v>
      </c>
      <c r="CB185" s="510"/>
      <c r="CC185" s="510" t="s">
        <v>24</v>
      </c>
      <c r="CD185" s="734" t="s">
        <v>1876</v>
      </c>
      <c r="CE185" s="734">
        <v>3</v>
      </c>
      <c r="CF185" s="734"/>
      <c r="CG185" s="734" t="s">
        <v>4409</v>
      </c>
      <c r="CH185" s="755"/>
      <c r="CI185" s="734" t="s">
        <v>24</v>
      </c>
      <c r="CJ185" s="734"/>
      <c r="CK185" s="734" t="s">
        <v>4410</v>
      </c>
      <c r="CL185" s="734"/>
      <c r="CM185" s="737" t="s">
        <v>4408</v>
      </c>
      <c r="CN185" s="738" t="s">
        <v>23</v>
      </c>
      <c r="CO185" s="738"/>
      <c r="CP185" s="738"/>
      <c r="CQ185" s="738"/>
      <c r="CR185" s="738"/>
      <c r="CS185" s="738"/>
      <c r="CT185" s="738"/>
      <c r="CU185" s="738"/>
      <c r="CV185" s="738"/>
      <c r="CW185" s="738"/>
      <c r="CX185" s="736" t="s">
        <v>4397</v>
      </c>
      <c r="CY185" s="734">
        <v>5.2309200000000002</v>
      </c>
      <c r="CZ185" s="734" t="s">
        <v>24</v>
      </c>
      <c r="DA185" s="734" t="s">
        <v>24</v>
      </c>
      <c r="DB185" s="736" t="s">
        <v>4396</v>
      </c>
      <c r="DC185" s="734">
        <v>6.6067200000000001</v>
      </c>
      <c r="DD185" s="734" t="s">
        <v>24</v>
      </c>
      <c r="DE185" s="734" t="s">
        <v>24</v>
      </c>
      <c r="DF185" s="515"/>
      <c r="DG185" s="513"/>
      <c r="DH185" s="1180" t="s">
        <v>4394</v>
      </c>
      <c r="DI185" s="778">
        <v>7.2181899999999999</v>
      </c>
      <c r="DJ185" s="778" t="s">
        <v>24</v>
      </c>
      <c r="DK185" s="778" t="s">
        <v>24</v>
      </c>
      <c r="DL185" s="1180" t="s">
        <v>4395</v>
      </c>
      <c r="DM185" s="778">
        <v>9.3869900000000008</v>
      </c>
      <c r="DN185" s="778" t="s">
        <v>24</v>
      </c>
      <c r="DO185" s="778" t="s">
        <v>24</v>
      </c>
      <c r="DP185" s="737"/>
      <c r="DQ185" s="372"/>
      <c r="DR185" s="621"/>
      <c r="DS185" s="956"/>
      <c r="DT185" s="1180" t="s">
        <v>4398</v>
      </c>
      <c r="DU185" s="778">
        <v>11.0304</v>
      </c>
      <c r="DV185" s="778" t="s">
        <v>24</v>
      </c>
      <c r="DW185" s="778" t="s">
        <v>24</v>
      </c>
      <c r="DX185" s="1180" t="s">
        <v>4399</v>
      </c>
      <c r="DY185" s="778">
        <v>12.7119</v>
      </c>
      <c r="DZ185" s="778" t="s">
        <v>24</v>
      </c>
      <c r="EA185" s="778" t="s">
        <v>24</v>
      </c>
      <c r="EB185" s="737"/>
      <c r="EC185" s="372"/>
      <c r="ED185" s="778" t="s">
        <v>4400</v>
      </c>
      <c r="EE185" s="778">
        <v>7.7722100000000003</v>
      </c>
      <c r="EF185" s="778" t="s">
        <v>24</v>
      </c>
      <c r="EG185" s="778" t="s">
        <v>24</v>
      </c>
      <c r="EH185" s="778" t="s">
        <v>4401</v>
      </c>
      <c r="EI185" s="778">
        <v>9.1863499999999991</v>
      </c>
      <c r="EJ185" s="778" t="s">
        <v>24</v>
      </c>
      <c r="EK185" s="778" t="s">
        <v>24</v>
      </c>
      <c r="EL185" s="737"/>
      <c r="EM185" s="372"/>
      <c r="EN185" s="1181"/>
      <c r="EO185" s="778"/>
      <c r="EP185" s="782" t="s">
        <v>4402</v>
      </c>
      <c r="EQ185" s="782">
        <v>10.523899999999999</v>
      </c>
      <c r="ER185" s="782" t="s">
        <v>24</v>
      </c>
      <c r="ES185" s="782" t="s">
        <v>24</v>
      </c>
      <c r="ET185" s="798" t="s">
        <v>4403</v>
      </c>
      <c r="EU185" s="778">
        <v>8.0302299999999995</v>
      </c>
      <c r="EV185" s="778" t="s">
        <v>24</v>
      </c>
      <c r="EW185" s="778" t="s">
        <v>24</v>
      </c>
      <c r="EX185" s="372"/>
      <c r="EY185" s="372"/>
      <c r="EZ185" s="1180" t="s">
        <v>4404</v>
      </c>
      <c r="FA185" s="778">
        <v>9.8646999999999991</v>
      </c>
      <c r="FB185" s="778" t="s">
        <v>24</v>
      </c>
      <c r="FC185" s="778" t="s">
        <v>24</v>
      </c>
      <c r="FD185" s="1180" t="s">
        <v>4405</v>
      </c>
      <c r="FE185" s="778">
        <v>10.4762</v>
      </c>
      <c r="FF185" s="778" t="s">
        <v>24</v>
      </c>
      <c r="FG185" s="778" t="s">
        <v>24</v>
      </c>
      <c r="FH185" s="778"/>
      <c r="FI185" s="778"/>
      <c r="FJ185" s="778"/>
    </row>
    <row r="186" spans="1:166" ht="15" hidden="1" customHeight="1">
      <c r="A186" s="158" t="s">
        <v>148</v>
      </c>
      <c r="B186" s="1094">
        <v>113</v>
      </c>
      <c r="C186" s="1094">
        <v>26</v>
      </c>
      <c r="D186" s="1094"/>
      <c r="E186" s="1095" t="s">
        <v>1953</v>
      </c>
      <c r="F186" s="711" t="s">
        <v>2174</v>
      </c>
      <c r="G186" s="1096">
        <v>2006</v>
      </c>
      <c r="H186" s="158">
        <v>16891562</v>
      </c>
      <c r="I186" s="158">
        <v>1</v>
      </c>
      <c r="J186" s="158"/>
      <c r="K186" s="158"/>
      <c r="L186" s="158">
        <v>1</v>
      </c>
      <c r="M186" s="158"/>
      <c r="N186" s="158">
        <v>1</v>
      </c>
      <c r="O186" s="158">
        <v>1</v>
      </c>
      <c r="P186" s="158" t="s">
        <v>457</v>
      </c>
      <c r="Q186" s="158" t="s">
        <v>1147</v>
      </c>
      <c r="R186" s="158" t="s">
        <v>459</v>
      </c>
      <c r="S186" s="158">
        <v>0</v>
      </c>
      <c r="T186" s="158"/>
      <c r="U186" s="158"/>
      <c r="V186" s="158"/>
      <c r="W186" s="158" t="s">
        <v>458</v>
      </c>
      <c r="X186" s="158"/>
      <c r="Y186" s="158"/>
      <c r="Z186" s="158"/>
      <c r="AA186" s="158"/>
      <c r="AB186" s="158"/>
      <c r="AC186" s="800"/>
      <c r="AD186" s="536">
        <v>1</v>
      </c>
      <c r="AE186" s="536">
        <v>2</v>
      </c>
      <c r="AF186" s="743">
        <v>0</v>
      </c>
      <c r="AG186" s="744" t="s">
        <v>7484</v>
      </c>
      <c r="AH186" s="509">
        <v>0</v>
      </c>
      <c r="AI186" s="734">
        <v>3</v>
      </c>
      <c r="AJ186" s="734"/>
      <c r="AK186" s="739" t="s">
        <v>4414</v>
      </c>
      <c r="AL186" s="372" t="s">
        <v>4406</v>
      </c>
      <c r="AM186" s="724">
        <v>0</v>
      </c>
      <c r="AN186" s="742">
        <f>31+16+35</f>
        <v>82</v>
      </c>
      <c r="AO186" s="734">
        <v>31</v>
      </c>
      <c r="AP186" s="734" t="s">
        <v>4361</v>
      </c>
      <c r="AQ186" s="734" t="s">
        <v>4362</v>
      </c>
      <c r="AR186" s="734" t="s">
        <v>4362</v>
      </c>
      <c r="AS186" s="734" t="s">
        <v>4363</v>
      </c>
      <c r="AT186" s="734" t="s">
        <v>4364</v>
      </c>
      <c r="AU186" s="734" t="s">
        <v>4363</v>
      </c>
      <c r="AV186" s="734" t="s">
        <v>4364</v>
      </c>
      <c r="AW186" s="734" t="s">
        <v>4365</v>
      </c>
      <c r="AX186" s="734"/>
      <c r="AY186" s="734"/>
      <c r="AZ186" s="755" t="s">
        <v>7361</v>
      </c>
      <c r="BA186" s="734" t="s">
        <v>24</v>
      </c>
      <c r="BB186" s="734" t="s">
        <v>24</v>
      </c>
      <c r="BC186" s="734" t="s">
        <v>4381</v>
      </c>
      <c r="BD186" s="755"/>
      <c r="BE186" s="755"/>
      <c r="BF186" s="734" t="s">
        <v>4375</v>
      </c>
      <c r="BG186" s="734" t="s">
        <v>4366</v>
      </c>
      <c r="BH186" s="372"/>
      <c r="BI186" s="372"/>
      <c r="BJ186" s="735"/>
      <c r="BK186" s="735"/>
      <c r="BL186" s="735"/>
      <c r="BM186" s="735"/>
      <c r="BN186" s="735"/>
      <c r="BO186" s="735"/>
      <c r="BP186" s="735">
        <v>1</v>
      </c>
      <c r="BQ186" s="735"/>
      <c r="BR186" s="735"/>
      <c r="BS186" s="735"/>
      <c r="BT186" s="735"/>
      <c r="BU186" s="735"/>
      <c r="BV186" s="735"/>
      <c r="BW186" s="735" t="s">
        <v>4379</v>
      </c>
      <c r="BX186" s="736" t="s">
        <v>6609</v>
      </c>
      <c r="BY186" s="736"/>
      <c r="BZ186" s="736"/>
      <c r="CA186" s="511">
        <v>2</v>
      </c>
      <c r="CB186" s="511"/>
      <c r="CC186" s="511" t="s">
        <v>24</v>
      </c>
      <c r="CD186" s="734" t="s">
        <v>1876</v>
      </c>
      <c r="CE186" s="734">
        <v>3</v>
      </c>
      <c r="CF186" s="734"/>
      <c r="CG186" s="734" t="s">
        <v>4380</v>
      </c>
      <c r="CH186" s="755"/>
      <c r="CI186" s="734" t="s">
        <v>24</v>
      </c>
      <c r="CJ186" s="734"/>
      <c r="CK186" s="734" t="s">
        <v>4407</v>
      </c>
      <c r="CL186" s="734"/>
      <c r="CM186" s="776" t="s">
        <v>4392</v>
      </c>
      <c r="CN186" s="777" t="s">
        <v>24</v>
      </c>
      <c r="CO186" s="777"/>
      <c r="CP186" s="777"/>
      <c r="CQ186" s="777"/>
      <c r="CR186" s="777"/>
      <c r="CS186" s="777"/>
      <c r="CT186" s="777"/>
      <c r="CU186" s="777"/>
      <c r="CV186" s="777"/>
      <c r="CW186" s="777"/>
      <c r="CX186" s="736" t="s">
        <v>4382</v>
      </c>
      <c r="CY186" s="734">
        <v>9.0321400000000001</v>
      </c>
      <c r="CZ186" s="734" t="s">
        <v>24</v>
      </c>
      <c r="DA186" s="734" t="s">
        <v>24</v>
      </c>
      <c r="DB186" s="736" t="s">
        <v>4383</v>
      </c>
      <c r="DC186" s="734">
        <v>10.125</v>
      </c>
      <c r="DD186" s="734" t="s">
        <v>24</v>
      </c>
      <c r="DE186" s="734" t="s">
        <v>24</v>
      </c>
      <c r="DF186" s="515" t="s">
        <v>4388</v>
      </c>
      <c r="DG186" s="513" t="s">
        <v>4389</v>
      </c>
      <c r="DH186" s="736" t="s">
        <v>4384</v>
      </c>
      <c r="DI186" s="734">
        <v>10.8</v>
      </c>
      <c r="DJ186" s="778" t="s">
        <v>24</v>
      </c>
      <c r="DK186" s="734" t="s">
        <v>24</v>
      </c>
      <c r="DL186" s="1180" t="s">
        <v>4385</v>
      </c>
      <c r="DM186" s="778">
        <v>3.7285699999999999</v>
      </c>
      <c r="DN186" s="778" t="s">
        <v>24</v>
      </c>
      <c r="DO186" s="778" t="s">
        <v>24</v>
      </c>
      <c r="DP186" s="737" t="s">
        <v>24</v>
      </c>
      <c r="DQ186" s="372" t="s">
        <v>24</v>
      </c>
      <c r="DR186" s="1182" t="s">
        <v>24</v>
      </c>
      <c r="DS186" s="956" t="s">
        <v>24</v>
      </c>
      <c r="DT186" s="1180" t="s">
        <v>4386</v>
      </c>
      <c r="DU186" s="778">
        <v>6.8464299999999998</v>
      </c>
      <c r="DV186" s="778" t="s">
        <v>24</v>
      </c>
      <c r="DW186" s="778" t="s">
        <v>24</v>
      </c>
      <c r="DX186" s="1180" t="s">
        <v>4387</v>
      </c>
      <c r="DY186" s="778">
        <v>7.0071399999999997</v>
      </c>
      <c r="DZ186" s="778" t="s">
        <v>24</v>
      </c>
      <c r="EA186" s="778" t="s">
        <v>24</v>
      </c>
      <c r="EB186" s="737" t="s">
        <v>4390</v>
      </c>
      <c r="EC186" s="372" t="s">
        <v>4391</v>
      </c>
      <c r="ED186" s="778" t="s">
        <v>24</v>
      </c>
      <c r="EE186" s="778" t="s">
        <v>24</v>
      </c>
      <c r="EF186" s="778" t="s">
        <v>24</v>
      </c>
      <c r="EG186" s="778" t="s">
        <v>24</v>
      </c>
      <c r="EH186" s="778"/>
      <c r="EI186" s="778"/>
      <c r="EJ186" s="778"/>
      <c r="EK186" s="778"/>
      <c r="EL186" s="737"/>
      <c r="EM186" s="372"/>
      <c r="EN186" s="1181"/>
      <c r="EO186" s="778"/>
      <c r="EP186" s="782"/>
      <c r="EQ186" s="782"/>
      <c r="ER186" s="782"/>
      <c r="ES186" s="782"/>
      <c r="ET186" s="798"/>
      <c r="EU186" s="778"/>
      <c r="EV186" s="778"/>
      <c r="EW186" s="778"/>
      <c r="EX186" s="372"/>
      <c r="EY186" s="372"/>
      <c r="EZ186" s="1180"/>
      <c r="FA186" s="778"/>
      <c r="FB186" s="778"/>
      <c r="FC186" s="778"/>
      <c r="FD186" s="1180"/>
      <c r="FE186" s="778"/>
      <c r="FF186" s="778"/>
      <c r="FG186" s="778"/>
      <c r="FH186" s="778"/>
      <c r="FI186" s="778"/>
      <c r="FJ186" s="778"/>
    </row>
    <row r="187" spans="1:166" s="717" customFormat="1" ht="15" hidden="1" customHeight="1">
      <c r="A187" s="153" t="s">
        <v>1063</v>
      </c>
      <c r="B187" s="1097">
        <v>114</v>
      </c>
      <c r="C187" s="1097">
        <v>27</v>
      </c>
      <c r="D187" s="1097"/>
      <c r="E187" s="1098" t="s">
        <v>2071</v>
      </c>
      <c r="F187" s="1021" t="s">
        <v>2323</v>
      </c>
      <c r="G187" s="1099">
        <v>2012</v>
      </c>
      <c r="H187" s="153">
        <v>22701407</v>
      </c>
      <c r="I187" s="153">
        <v>1</v>
      </c>
      <c r="J187" s="153"/>
      <c r="K187" s="153"/>
      <c r="L187" s="153">
        <v>1</v>
      </c>
      <c r="M187" s="153"/>
      <c r="N187" s="153">
        <v>1</v>
      </c>
      <c r="O187" s="153">
        <v>2</v>
      </c>
      <c r="P187" s="153" t="s">
        <v>1258</v>
      </c>
      <c r="Q187" s="153" t="s">
        <v>1147</v>
      </c>
      <c r="R187" s="153" t="s">
        <v>1321</v>
      </c>
      <c r="S187" s="153"/>
      <c r="T187" s="153" t="s">
        <v>1495</v>
      </c>
      <c r="U187" s="153"/>
      <c r="V187" s="153"/>
      <c r="W187" s="153" t="s">
        <v>1681</v>
      </c>
      <c r="X187" s="153"/>
      <c r="Y187" s="153"/>
      <c r="Z187" s="153"/>
      <c r="AA187" s="153"/>
      <c r="AB187" s="153"/>
      <c r="AC187" s="536"/>
      <c r="AD187" s="536">
        <v>1</v>
      </c>
      <c r="AE187" s="536">
        <v>2</v>
      </c>
      <c r="AF187" s="576">
        <v>0</v>
      </c>
      <c r="AG187" s="1686" t="s">
        <v>7798</v>
      </c>
      <c r="AH187" s="509"/>
      <c r="AI187" s="509">
        <v>4</v>
      </c>
      <c r="AJ187" s="509"/>
      <c r="AK187" s="512" t="s">
        <v>4431</v>
      </c>
      <c r="AL187" s="513" t="s">
        <v>7800</v>
      </c>
      <c r="AM187" s="514">
        <v>0</v>
      </c>
      <c r="AN187" s="635">
        <v>48</v>
      </c>
      <c r="AO187" s="509">
        <v>12</v>
      </c>
      <c r="AP187" s="509">
        <f>Table66[[#This Row],[Data_Subjects_n]]-Table66[[#This Row],[Data_Subjects_n_ptsd]]</f>
        <v>36</v>
      </c>
      <c r="AQ187" s="509" t="s">
        <v>803</v>
      </c>
      <c r="AR187" s="509" t="s">
        <v>803</v>
      </c>
      <c r="AS187" s="509" t="s">
        <v>7494</v>
      </c>
      <c r="AT187" s="509" t="s">
        <v>24</v>
      </c>
      <c r="AU187" s="509" t="s">
        <v>7494</v>
      </c>
      <c r="AV187" s="509" t="s">
        <v>24</v>
      </c>
      <c r="AW187" s="509" t="s">
        <v>4423</v>
      </c>
      <c r="AX187" s="509"/>
      <c r="AY187" s="509"/>
      <c r="AZ187" s="509" t="s">
        <v>7317</v>
      </c>
      <c r="BA187" s="509">
        <v>1</v>
      </c>
      <c r="BB187" s="509">
        <v>1</v>
      </c>
      <c r="BC187" s="509" t="s">
        <v>4422</v>
      </c>
      <c r="BD187" s="509" t="s">
        <v>7521</v>
      </c>
      <c r="BE187" s="509"/>
      <c r="BF187" s="509" t="s">
        <v>1321</v>
      </c>
      <c r="BG187" s="509" t="s">
        <v>4421</v>
      </c>
      <c r="BH187" s="513"/>
      <c r="BI187" s="513"/>
      <c r="BJ187" s="511"/>
      <c r="BK187" s="511"/>
      <c r="BL187" s="511"/>
      <c r="BM187" s="511"/>
      <c r="BN187" s="511"/>
      <c r="BO187" s="511"/>
      <c r="BP187" s="511">
        <v>1</v>
      </c>
      <c r="BQ187" s="511"/>
      <c r="BR187" s="511"/>
      <c r="BS187" s="511"/>
      <c r="BT187" s="511"/>
      <c r="BU187" s="511"/>
      <c r="BV187" s="511"/>
      <c r="BW187" s="511" t="s">
        <v>4419</v>
      </c>
      <c r="BX187" s="510" t="s">
        <v>7795</v>
      </c>
      <c r="BY187" s="510" t="s">
        <v>7796</v>
      </c>
      <c r="BZ187" s="510" t="s">
        <v>7797</v>
      </c>
      <c r="CA187" s="511">
        <v>2</v>
      </c>
      <c r="CB187" s="511" t="s">
        <v>7563</v>
      </c>
      <c r="CC187" s="511" t="s">
        <v>24</v>
      </c>
      <c r="CD187" s="509" t="s">
        <v>1876</v>
      </c>
      <c r="CE187" s="509">
        <v>2</v>
      </c>
      <c r="CF187" s="509"/>
      <c r="CG187" s="509" t="s">
        <v>8167</v>
      </c>
      <c r="CH187" s="509" t="s">
        <v>1511</v>
      </c>
      <c r="CI187" s="509" t="s">
        <v>4416</v>
      </c>
      <c r="CJ187" s="509"/>
      <c r="CK187" s="509" t="s">
        <v>4430</v>
      </c>
      <c r="CL187" s="509"/>
      <c r="CM187" s="1687" t="s">
        <v>4473</v>
      </c>
      <c r="CN187" s="1688" t="s">
        <v>24</v>
      </c>
      <c r="CO187" s="715"/>
      <c r="CP187" s="715"/>
      <c r="CQ187" s="715"/>
      <c r="CR187" s="715"/>
      <c r="CS187" s="715"/>
      <c r="CT187" s="715" t="s">
        <v>7838</v>
      </c>
      <c r="CU187" s="715"/>
      <c r="CV187" s="715"/>
      <c r="CW187" s="715"/>
      <c r="CX187" s="510" t="s">
        <v>4426</v>
      </c>
      <c r="CY187" s="509">
        <v>51.940300000000001</v>
      </c>
      <c r="CZ187" s="536"/>
      <c r="DA187" s="509">
        <f>54.2346-Table66[[#This Row],[Data_Outcome1_M]]</f>
        <v>2.2942999999999998</v>
      </c>
      <c r="DB187" s="510" t="s">
        <v>4429</v>
      </c>
      <c r="DC187" s="509">
        <v>49.993899999999996</v>
      </c>
      <c r="DD187" s="509"/>
      <c r="DE187" s="509">
        <f>54.7586-Table66[[#This Row],[Data_Outcome2_M]]</f>
        <v>4.7647000000000048</v>
      </c>
      <c r="DF187" s="515" t="s">
        <v>8093</v>
      </c>
      <c r="DG187" s="513" t="s">
        <v>4434</v>
      </c>
      <c r="DH187" s="1194"/>
      <c r="DI187" s="1194"/>
      <c r="DJ187" s="1194"/>
      <c r="DK187" s="1194"/>
      <c r="DL187" s="1194"/>
      <c r="DM187" s="1194"/>
      <c r="DN187" s="1194"/>
      <c r="DO187" s="1194"/>
      <c r="DP187" s="515"/>
      <c r="DQ187" s="513"/>
      <c r="DR187" s="1182"/>
      <c r="DS187" s="956"/>
      <c r="DT187" s="956"/>
      <c r="DU187" s="1194"/>
      <c r="DV187" s="1194"/>
      <c r="DW187" s="1194"/>
      <c r="DX187" s="1194"/>
      <c r="DY187" s="1194"/>
      <c r="DZ187" s="1194"/>
      <c r="EA187" s="1194"/>
      <c r="EB187" s="515"/>
      <c r="EC187" s="513"/>
      <c r="ED187" s="956"/>
      <c r="EE187" s="1194"/>
      <c r="EF187" s="1194"/>
      <c r="EG187" s="1194"/>
      <c r="EH187" s="956"/>
      <c r="EI187" s="1194"/>
      <c r="EJ187" s="1194"/>
      <c r="EK187" s="1194"/>
      <c r="EL187" s="515"/>
      <c r="EM187" s="513"/>
      <c r="EN187" s="1182"/>
      <c r="EO187" s="1194"/>
      <c r="EP187" s="538"/>
      <c r="EQ187" s="538"/>
      <c r="ER187" s="538"/>
      <c r="ES187" s="538"/>
      <c r="ET187" s="538"/>
      <c r="EU187" s="1194"/>
      <c r="EV187" s="1194"/>
      <c r="EW187" s="1194"/>
      <c r="EX187" s="513"/>
      <c r="EY187" s="513"/>
      <c r="EZ187" s="956"/>
      <c r="FA187" s="1194"/>
      <c r="FB187" s="1194"/>
      <c r="FC187" s="1194"/>
      <c r="FD187" s="956"/>
      <c r="FE187" s="1194"/>
      <c r="FF187" s="1194"/>
      <c r="FG187" s="1194"/>
      <c r="FH187" s="1194"/>
      <c r="FI187" s="1194"/>
      <c r="FJ187" s="1194"/>
    </row>
    <row r="188" spans="1:166" s="717" customFormat="1" ht="15" hidden="1" customHeight="1">
      <c r="A188" s="153" t="s">
        <v>1063</v>
      </c>
      <c r="B188" s="1097">
        <v>114</v>
      </c>
      <c r="C188" s="1097">
        <v>27</v>
      </c>
      <c r="D188" s="1097"/>
      <c r="E188" s="1098" t="s">
        <v>2071</v>
      </c>
      <c r="F188" s="1021" t="s">
        <v>2323</v>
      </c>
      <c r="G188" s="1099">
        <v>2012</v>
      </c>
      <c r="H188" s="153">
        <v>22701407</v>
      </c>
      <c r="I188" s="153">
        <v>1</v>
      </c>
      <c r="J188" s="153"/>
      <c r="K188" s="153"/>
      <c r="L188" s="153">
        <v>1</v>
      </c>
      <c r="M188" s="153"/>
      <c r="N188" s="153">
        <v>1</v>
      </c>
      <c r="O188" s="153">
        <v>2</v>
      </c>
      <c r="P188" s="153" t="s">
        <v>1258</v>
      </c>
      <c r="Q188" s="153" t="s">
        <v>1147</v>
      </c>
      <c r="R188" s="153" t="s">
        <v>1321</v>
      </c>
      <c r="S188" s="153"/>
      <c r="T188" s="153" t="s">
        <v>1495</v>
      </c>
      <c r="U188" s="153"/>
      <c r="V188" s="153"/>
      <c r="W188" s="153" t="s">
        <v>1681</v>
      </c>
      <c r="X188" s="153"/>
      <c r="Y188" s="153"/>
      <c r="Z188" s="153"/>
      <c r="AA188" s="153"/>
      <c r="AB188" s="153"/>
      <c r="AC188" s="536"/>
      <c r="AD188" s="536">
        <v>1</v>
      </c>
      <c r="AE188" s="536">
        <v>2</v>
      </c>
      <c r="AF188" s="576">
        <v>0</v>
      </c>
      <c r="AG188" s="1686" t="s">
        <v>7833</v>
      </c>
      <c r="AH188" s="509"/>
      <c r="AI188" s="509">
        <v>4</v>
      </c>
      <c r="AJ188" s="509"/>
      <c r="AK188" s="512" t="s">
        <v>4431</v>
      </c>
      <c r="AL188" s="513" t="s">
        <v>7800</v>
      </c>
      <c r="AM188" s="514">
        <v>0</v>
      </c>
      <c r="AN188" s="635">
        <v>48</v>
      </c>
      <c r="AO188" s="509">
        <v>12</v>
      </c>
      <c r="AP188" s="509">
        <f>Table66[[#This Row],[Data_Subjects_n]]-Table66[[#This Row],[Data_Subjects_n_ptsd]]</f>
        <v>36</v>
      </c>
      <c r="AQ188" s="509" t="s">
        <v>803</v>
      </c>
      <c r="AR188" s="509" t="s">
        <v>803</v>
      </c>
      <c r="AS188" s="509" t="s">
        <v>7494</v>
      </c>
      <c r="AT188" s="509" t="s">
        <v>24</v>
      </c>
      <c r="AU188" s="509" t="s">
        <v>7494</v>
      </c>
      <c r="AV188" s="509" t="s">
        <v>24</v>
      </c>
      <c r="AW188" s="509" t="s">
        <v>4423</v>
      </c>
      <c r="AX188" s="509"/>
      <c r="AY188" s="509"/>
      <c r="AZ188" s="509" t="s">
        <v>7317</v>
      </c>
      <c r="BA188" s="509">
        <v>1</v>
      </c>
      <c r="BB188" s="509">
        <v>1</v>
      </c>
      <c r="BC188" s="509" t="s">
        <v>4422</v>
      </c>
      <c r="BD188" s="509" t="s">
        <v>7521</v>
      </c>
      <c r="BE188" s="509"/>
      <c r="BF188" s="509" t="s">
        <v>1321</v>
      </c>
      <c r="BG188" s="509" t="s">
        <v>4421</v>
      </c>
      <c r="BH188" s="513"/>
      <c r="BI188" s="513"/>
      <c r="BJ188" s="511"/>
      <c r="BK188" s="511"/>
      <c r="BL188" s="511"/>
      <c r="BM188" s="511"/>
      <c r="BN188" s="511"/>
      <c r="BO188" s="511"/>
      <c r="BP188" s="511">
        <v>1</v>
      </c>
      <c r="BQ188" s="511"/>
      <c r="BR188" s="511"/>
      <c r="BS188" s="511"/>
      <c r="BT188" s="511"/>
      <c r="BU188" s="511"/>
      <c r="BV188" s="511"/>
      <c r="BW188" s="511" t="s">
        <v>4419</v>
      </c>
      <c r="BX188" s="510" t="s">
        <v>6613</v>
      </c>
      <c r="BY188" s="510" t="s">
        <v>7614</v>
      </c>
      <c r="BZ188" s="510" t="s">
        <v>7799</v>
      </c>
      <c r="CA188" s="511">
        <v>2</v>
      </c>
      <c r="CB188" s="511" t="s">
        <v>7563</v>
      </c>
      <c r="CC188" s="511" t="s">
        <v>24</v>
      </c>
      <c r="CD188" s="635" t="s">
        <v>1876</v>
      </c>
      <c r="CE188" s="509">
        <v>2</v>
      </c>
      <c r="CF188" s="509"/>
      <c r="CG188" s="509" t="s">
        <v>8167</v>
      </c>
      <c r="CH188" s="509" t="s">
        <v>1511</v>
      </c>
      <c r="CI188" s="509" t="s">
        <v>4416</v>
      </c>
      <c r="CJ188" s="509"/>
      <c r="CK188" s="509" t="s">
        <v>4430</v>
      </c>
      <c r="CL188" s="509"/>
      <c r="CM188" s="1687" t="s">
        <v>4473</v>
      </c>
      <c r="CN188" s="1688" t="s">
        <v>24</v>
      </c>
      <c r="CO188" s="715"/>
      <c r="CP188" s="715"/>
      <c r="CQ188" s="715"/>
      <c r="CR188" s="715"/>
      <c r="CS188" s="715">
        <v>1</v>
      </c>
      <c r="CT188" s="715" t="s">
        <v>7838</v>
      </c>
      <c r="CU188" s="715"/>
      <c r="CV188" s="715"/>
      <c r="CW188" s="715"/>
      <c r="CX188" s="510" t="s">
        <v>4441</v>
      </c>
      <c r="CY188" s="509">
        <v>6.9942399999999996</v>
      </c>
      <c r="CZ188" s="509"/>
      <c r="DA188" s="509">
        <f>8.4692-Table66[[#This Row],[Data_Outcome1_M]]</f>
        <v>1.4749600000000012</v>
      </c>
      <c r="DB188" s="510" t="s">
        <v>4439</v>
      </c>
      <c r="DC188" s="509">
        <v>8.3550599999999999</v>
      </c>
      <c r="DD188" s="509"/>
      <c r="DE188" s="509">
        <f>9.00403-Table66[[#This Row],[Data_Outcome2_M]]</f>
        <v>0.64897000000000027</v>
      </c>
      <c r="DF188" s="515" t="s">
        <v>4433</v>
      </c>
      <c r="DG188" s="513"/>
      <c r="DH188" s="1135"/>
      <c r="DI188" s="635"/>
      <c r="DJ188" s="1194"/>
      <c r="DK188" s="635"/>
      <c r="DL188" s="956"/>
      <c r="DM188" s="635"/>
      <c r="DN188" s="1194"/>
      <c r="DO188" s="1122"/>
      <c r="DP188" s="515"/>
      <c r="DQ188" s="513"/>
      <c r="DR188" s="1182"/>
      <c r="DS188" s="956"/>
      <c r="DT188" s="956"/>
      <c r="DU188" s="635"/>
      <c r="DV188" s="1194"/>
      <c r="DW188" s="635"/>
      <c r="DX188" s="956"/>
      <c r="DY188" s="635"/>
      <c r="DZ188" s="1194"/>
      <c r="EA188" s="635"/>
      <c r="EB188" s="1182"/>
      <c r="EC188" s="513"/>
      <c r="ED188" s="956"/>
      <c r="EE188" s="509"/>
      <c r="EF188" s="1194"/>
      <c r="EG188" s="509"/>
      <c r="EH188" s="956"/>
      <c r="EI188" s="509"/>
      <c r="EJ188" s="1194"/>
      <c r="EK188" s="509"/>
      <c r="EL188" s="515"/>
      <c r="EM188" s="513"/>
      <c r="EN188" s="1182"/>
      <c r="EO188" s="1194"/>
      <c r="EP188" s="1689"/>
      <c r="EQ188" s="635"/>
      <c r="ER188" s="635"/>
      <c r="ES188" s="635"/>
      <c r="ET188" s="1689"/>
      <c r="EU188" s="635"/>
      <c r="EV188" s="635"/>
      <c r="EW188" s="635"/>
      <c r="EX188" s="635"/>
      <c r="EY188" s="635"/>
      <c r="EZ188" s="956"/>
      <c r="FA188" s="1194"/>
      <c r="FB188" s="1194"/>
      <c r="FC188" s="1194"/>
      <c r="FD188" s="956"/>
      <c r="FE188" s="1194"/>
      <c r="FF188" s="1194"/>
      <c r="FG188" s="1194"/>
      <c r="FH188" s="1194"/>
      <c r="FI188" s="1194"/>
      <c r="FJ188" s="1194"/>
    </row>
    <row r="189" spans="1:166" s="717" customFormat="1" ht="15" hidden="1" customHeight="1">
      <c r="A189" s="153" t="s">
        <v>1063</v>
      </c>
      <c r="B189" s="1097">
        <v>114</v>
      </c>
      <c r="C189" s="1097">
        <v>27</v>
      </c>
      <c r="D189" s="1097"/>
      <c r="E189" s="1098" t="s">
        <v>2071</v>
      </c>
      <c r="F189" s="1021" t="s">
        <v>2323</v>
      </c>
      <c r="G189" s="1099">
        <v>2012</v>
      </c>
      <c r="H189" s="153">
        <v>22701407</v>
      </c>
      <c r="I189" s="153">
        <v>1</v>
      </c>
      <c r="J189" s="153"/>
      <c r="K189" s="153"/>
      <c r="L189" s="153">
        <v>1</v>
      </c>
      <c r="M189" s="153"/>
      <c r="N189" s="153">
        <v>1</v>
      </c>
      <c r="O189" s="153">
        <v>2</v>
      </c>
      <c r="P189" s="153" t="s">
        <v>1258</v>
      </c>
      <c r="Q189" s="153" t="s">
        <v>1147</v>
      </c>
      <c r="R189" s="153" t="s">
        <v>1321</v>
      </c>
      <c r="S189" s="153"/>
      <c r="T189" s="153" t="s">
        <v>1495</v>
      </c>
      <c r="U189" s="153"/>
      <c r="V189" s="153"/>
      <c r="W189" s="153" t="s">
        <v>1681</v>
      </c>
      <c r="X189" s="153"/>
      <c r="Y189" s="153"/>
      <c r="Z189" s="153"/>
      <c r="AA189" s="153"/>
      <c r="AB189" s="153"/>
      <c r="AC189" s="536"/>
      <c r="AD189" s="536">
        <v>1</v>
      </c>
      <c r="AE189" s="536">
        <v>2</v>
      </c>
      <c r="AF189" s="576">
        <v>0</v>
      </c>
      <c r="AG189" s="1686" t="s">
        <v>7833</v>
      </c>
      <c r="AH189" s="509"/>
      <c r="AI189" s="509">
        <v>4</v>
      </c>
      <c r="AJ189" s="509"/>
      <c r="AK189" s="512" t="s">
        <v>4431</v>
      </c>
      <c r="AL189" s="513" t="s">
        <v>7800</v>
      </c>
      <c r="AM189" s="514">
        <v>0</v>
      </c>
      <c r="AN189" s="635">
        <v>48</v>
      </c>
      <c r="AO189" s="509">
        <v>12</v>
      </c>
      <c r="AP189" s="509">
        <f>Table66[[#This Row],[Data_Subjects_n]]-Table66[[#This Row],[Data_Subjects_n_ptsd]]</f>
        <v>36</v>
      </c>
      <c r="AQ189" s="509" t="s">
        <v>803</v>
      </c>
      <c r="AR189" s="509" t="s">
        <v>803</v>
      </c>
      <c r="AS189" s="509" t="s">
        <v>7494</v>
      </c>
      <c r="AT189" s="509" t="s">
        <v>24</v>
      </c>
      <c r="AU189" s="509" t="s">
        <v>7494</v>
      </c>
      <c r="AV189" s="509" t="s">
        <v>24</v>
      </c>
      <c r="AW189" s="509" t="s">
        <v>4423</v>
      </c>
      <c r="AX189" s="509"/>
      <c r="AY189" s="509"/>
      <c r="AZ189" s="509" t="s">
        <v>7317</v>
      </c>
      <c r="BA189" s="509">
        <v>1</v>
      </c>
      <c r="BB189" s="509">
        <v>1</v>
      </c>
      <c r="BC189" s="509" t="s">
        <v>4422</v>
      </c>
      <c r="BD189" s="509" t="s">
        <v>7521</v>
      </c>
      <c r="BE189" s="509"/>
      <c r="BF189" s="509" t="s">
        <v>1321</v>
      </c>
      <c r="BG189" s="509" t="s">
        <v>4421</v>
      </c>
      <c r="BH189" s="513"/>
      <c r="BI189" s="513"/>
      <c r="BJ189" s="511"/>
      <c r="BK189" s="511"/>
      <c r="BL189" s="511"/>
      <c r="BM189" s="511"/>
      <c r="BN189" s="511"/>
      <c r="BO189" s="511"/>
      <c r="BP189" s="511">
        <v>1</v>
      </c>
      <c r="BQ189" s="511"/>
      <c r="BR189" s="511"/>
      <c r="BS189" s="511"/>
      <c r="BT189" s="511"/>
      <c r="BU189" s="511"/>
      <c r="BV189" s="511"/>
      <c r="BW189" s="511" t="s">
        <v>4419</v>
      </c>
      <c r="BX189" s="510" t="s">
        <v>6613</v>
      </c>
      <c r="BY189" s="510" t="s">
        <v>7614</v>
      </c>
      <c r="BZ189" s="510" t="s">
        <v>7799</v>
      </c>
      <c r="CA189" s="511">
        <v>2</v>
      </c>
      <c r="CB189" s="511" t="s">
        <v>7563</v>
      </c>
      <c r="CC189" s="511" t="s">
        <v>24</v>
      </c>
      <c r="CD189" s="635" t="s">
        <v>1876</v>
      </c>
      <c r="CE189" s="509">
        <v>2</v>
      </c>
      <c r="CF189" s="509"/>
      <c r="CG189" s="509" t="s">
        <v>8167</v>
      </c>
      <c r="CH189" s="509" t="s">
        <v>1511</v>
      </c>
      <c r="CI189" s="509" t="s">
        <v>4416</v>
      </c>
      <c r="CJ189" s="509"/>
      <c r="CK189" s="509" t="s">
        <v>4430</v>
      </c>
      <c r="CL189" s="509"/>
      <c r="CM189" s="1687" t="s">
        <v>4473</v>
      </c>
      <c r="CN189" s="1688" t="s">
        <v>24</v>
      </c>
      <c r="CO189" s="715"/>
      <c r="CP189" s="715"/>
      <c r="CQ189" s="715"/>
      <c r="CR189" s="715"/>
      <c r="CS189" s="715">
        <v>1</v>
      </c>
      <c r="CT189" s="715" t="s">
        <v>7838</v>
      </c>
      <c r="CU189" s="715"/>
      <c r="CV189" s="715"/>
      <c r="CW189" s="715"/>
      <c r="CX189" s="510" t="s">
        <v>4444</v>
      </c>
      <c r="CY189" s="509">
        <v>2.2436799999999999</v>
      </c>
      <c r="CZ189" s="509"/>
      <c r="DA189" s="509">
        <f>2.86314-Table66[[#This Row],[Data_Outcome1_M]]</f>
        <v>0.61946000000000012</v>
      </c>
      <c r="DB189" s="510" t="s">
        <v>4445</v>
      </c>
      <c r="DC189" s="509">
        <v>3.0440200000000002</v>
      </c>
      <c r="DD189" s="509"/>
      <c r="DE189" s="509">
        <f>3.63399-Table66[[#This Row],[Data_Outcome2_M]]</f>
        <v>0.58996999999999966</v>
      </c>
      <c r="DF189" s="515"/>
      <c r="DG189" s="513"/>
      <c r="DH189" s="956"/>
      <c r="DI189" s="1194"/>
      <c r="DJ189" s="1194"/>
      <c r="DK189" s="1194"/>
      <c r="DL189" s="956"/>
      <c r="DM189" s="1194"/>
      <c r="DN189" s="1194"/>
      <c r="DO189" s="1194"/>
      <c r="DP189" s="515"/>
      <c r="DQ189" s="513"/>
      <c r="DR189" s="1182"/>
      <c r="DS189" s="956"/>
      <c r="DT189" s="956"/>
      <c r="DU189" s="1194"/>
      <c r="DV189" s="1194"/>
      <c r="DW189" s="1194"/>
      <c r="DX189" s="956"/>
      <c r="DY189" s="1194"/>
      <c r="DZ189" s="1194"/>
      <c r="EA189" s="1194"/>
      <c r="EB189" s="515"/>
      <c r="EC189" s="513"/>
      <c r="ED189" s="956"/>
      <c r="EE189" s="1194"/>
      <c r="EF189" s="1194"/>
      <c r="EG189" s="1194"/>
      <c r="EH189" s="956"/>
      <c r="EI189" s="1194"/>
      <c r="EJ189" s="1194"/>
      <c r="EK189" s="1194"/>
      <c r="EL189" s="515"/>
      <c r="EM189" s="513"/>
      <c r="EN189" s="1182"/>
      <c r="EO189" s="1194"/>
      <c r="EP189" s="956"/>
      <c r="EQ189" s="1194"/>
      <c r="ER189" s="1194"/>
      <c r="ES189" s="1194"/>
      <c r="ET189" s="956"/>
      <c r="EU189" s="1194"/>
      <c r="EV189" s="1194"/>
      <c r="EW189" s="1194"/>
      <c r="EX189" s="1194"/>
      <c r="EY189" s="1194"/>
      <c r="EZ189" s="956"/>
      <c r="FA189" s="1194"/>
      <c r="FB189" s="1194"/>
      <c r="FC189" s="1194"/>
      <c r="FD189" s="956"/>
      <c r="FE189" s="1194"/>
      <c r="FF189" s="1194"/>
      <c r="FG189" s="1194"/>
      <c r="FH189" s="1194"/>
      <c r="FI189" s="1194"/>
      <c r="FJ189" s="1194"/>
    </row>
    <row r="190" spans="1:166" s="717" customFormat="1" ht="15" hidden="1" customHeight="1">
      <c r="A190" s="153" t="s">
        <v>1063</v>
      </c>
      <c r="B190" s="1097">
        <v>114</v>
      </c>
      <c r="C190" s="1097">
        <v>27</v>
      </c>
      <c r="D190" s="1097"/>
      <c r="E190" s="1098" t="s">
        <v>2071</v>
      </c>
      <c r="F190" s="1021" t="s">
        <v>2323</v>
      </c>
      <c r="G190" s="1099">
        <v>2012</v>
      </c>
      <c r="H190" s="153">
        <v>22701407</v>
      </c>
      <c r="I190" s="153">
        <v>1</v>
      </c>
      <c r="J190" s="153"/>
      <c r="K190" s="153"/>
      <c r="L190" s="153">
        <v>1</v>
      </c>
      <c r="M190" s="153"/>
      <c r="N190" s="153">
        <v>1</v>
      </c>
      <c r="O190" s="153">
        <v>2</v>
      </c>
      <c r="P190" s="153" t="s">
        <v>1258</v>
      </c>
      <c r="Q190" s="153" t="s">
        <v>1147</v>
      </c>
      <c r="R190" s="153" t="s">
        <v>1321</v>
      </c>
      <c r="S190" s="153"/>
      <c r="T190" s="153" t="s">
        <v>1495</v>
      </c>
      <c r="U190" s="153"/>
      <c r="V190" s="153"/>
      <c r="W190" s="153" t="s">
        <v>1681</v>
      </c>
      <c r="X190" s="153"/>
      <c r="Y190" s="153"/>
      <c r="Z190" s="153"/>
      <c r="AA190" s="153"/>
      <c r="AB190" s="153"/>
      <c r="AC190" s="536"/>
      <c r="AD190" s="536">
        <v>1</v>
      </c>
      <c r="AE190" s="536">
        <v>2</v>
      </c>
      <c r="AF190" s="576">
        <v>0</v>
      </c>
      <c r="AG190" s="1686" t="s">
        <v>7833</v>
      </c>
      <c r="AH190" s="509"/>
      <c r="AI190" s="509">
        <v>4</v>
      </c>
      <c r="AJ190" s="509"/>
      <c r="AK190" s="512" t="s">
        <v>4431</v>
      </c>
      <c r="AL190" s="513" t="s">
        <v>7800</v>
      </c>
      <c r="AM190" s="514">
        <v>0</v>
      </c>
      <c r="AN190" s="635">
        <v>48</v>
      </c>
      <c r="AO190" s="509">
        <v>12</v>
      </c>
      <c r="AP190" s="509">
        <f>Table66[[#This Row],[Data_Subjects_n]]-Table66[[#This Row],[Data_Subjects_n_ptsd]]</f>
        <v>36</v>
      </c>
      <c r="AQ190" s="509" t="s">
        <v>803</v>
      </c>
      <c r="AR190" s="509" t="s">
        <v>803</v>
      </c>
      <c r="AS190" s="509" t="s">
        <v>7494</v>
      </c>
      <c r="AT190" s="509" t="s">
        <v>24</v>
      </c>
      <c r="AU190" s="509" t="s">
        <v>7494</v>
      </c>
      <c r="AV190" s="509" t="s">
        <v>24</v>
      </c>
      <c r="AW190" s="509" t="s">
        <v>4423</v>
      </c>
      <c r="AX190" s="509"/>
      <c r="AY190" s="509"/>
      <c r="AZ190" s="509" t="s">
        <v>7317</v>
      </c>
      <c r="BA190" s="509">
        <v>1</v>
      </c>
      <c r="BB190" s="509">
        <v>1</v>
      </c>
      <c r="BC190" s="509" t="s">
        <v>4422</v>
      </c>
      <c r="BD190" s="509" t="s">
        <v>7521</v>
      </c>
      <c r="BE190" s="509"/>
      <c r="BF190" s="509" t="s">
        <v>1321</v>
      </c>
      <c r="BG190" s="509" t="s">
        <v>4421</v>
      </c>
      <c r="BH190" s="513"/>
      <c r="BI190" s="513"/>
      <c r="BJ190" s="511"/>
      <c r="BK190" s="511"/>
      <c r="BL190" s="511"/>
      <c r="BM190" s="511"/>
      <c r="BN190" s="511"/>
      <c r="BO190" s="511"/>
      <c r="BP190" s="511">
        <v>1</v>
      </c>
      <c r="BQ190" s="511"/>
      <c r="BR190" s="511"/>
      <c r="BS190" s="511"/>
      <c r="BT190" s="511"/>
      <c r="BU190" s="511"/>
      <c r="BV190" s="511"/>
      <c r="BW190" s="511" t="s">
        <v>4419</v>
      </c>
      <c r="BX190" s="510" t="s">
        <v>6613</v>
      </c>
      <c r="BY190" s="510" t="s">
        <v>7614</v>
      </c>
      <c r="BZ190" s="510" t="s">
        <v>7799</v>
      </c>
      <c r="CA190" s="511">
        <v>2</v>
      </c>
      <c r="CB190" s="511" t="s">
        <v>7563</v>
      </c>
      <c r="CC190" s="511" t="s">
        <v>24</v>
      </c>
      <c r="CD190" s="635" t="s">
        <v>1876</v>
      </c>
      <c r="CE190" s="509">
        <v>2</v>
      </c>
      <c r="CF190" s="509"/>
      <c r="CG190" s="509" t="s">
        <v>8167</v>
      </c>
      <c r="CH190" s="509" t="s">
        <v>1511</v>
      </c>
      <c r="CI190" s="509" t="s">
        <v>4416</v>
      </c>
      <c r="CJ190" s="509"/>
      <c r="CK190" s="509" t="s">
        <v>4430</v>
      </c>
      <c r="CL190" s="509"/>
      <c r="CM190" s="1687" t="s">
        <v>4473</v>
      </c>
      <c r="CN190" s="1688" t="s">
        <v>24</v>
      </c>
      <c r="CO190" s="715"/>
      <c r="CP190" s="715"/>
      <c r="CQ190" s="715"/>
      <c r="CR190" s="715"/>
      <c r="CS190" s="715">
        <v>-1</v>
      </c>
      <c r="CT190" s="715" t="s">
        <v>7838</v>
      </c>
      <c r="CU190" s="715"/>
      <c r="CV190" s="715"/>
      <c r="CW190" s="715"/>
      <c r="CX190" s="510" t="s">
        <v>4450</v>
      </c>
      <c r="CY190" s="509">
        <v>4.76471</v>
      </c>
      <c r="CZ190" s="509"/>
      <c r="DA190" s="509">
        <f>5.55882-Table66[[#This Row],[Data_Outcome1_M]]</f>
        <v>0.79410999999999987</v>
      </c>
      <c r="DB190" s="510" t="s">
        <v>4453</v>
      </c>
      <c r="DC190" s="509">
        <v>3.5</v>
      </c>
      <c r="DD190" s="1194"/>
      <c r="DE190" s="509">
        <f>3.91176-Table66[[#This Row],[Data_Outcome2_M]]</f>
        <v>0.41176000000000013</v>
      </c>
      <c r="DF190" s="515"/>
      <c r="DG190" s="513"/>
      <c r="DH190" s="956"/>
      <c r="DI190" s="1194"/>
      <c r="DJ190" s="1194"/>
      <c r="DK190" s="1194"/>
      <c r="DL190" s="956"/>
      <c r="DM190" s="1194"/>
      <c r="DN190" s="1194"/>
      <c r="DO190" s="1194"/>
      <c r="DP190" s="515"/>
      <c r="DQ190" s="513"/>
      <c r="DR190" s="1182"/>
      <c r="DS190" s="956"/>
      <c r="DT190" s="956"/>
      <c r="DU190" s="1194"/>
      <c r="DV190" s="1194"/>
      <c r="DW190" s="1194"/>
      <c r="DX190" s="956"/>
      <c r="DY190" s="1194"/>
      <c r="DZ190" s="1194"/>
      <c r="EA190" s="1194"/>
      <c r="EB190" s="515"/>
      <c r="EC190" s="513"/>
      <c r="ED190" s="956"/>
      <c r="EE190" s="1194"/>
      <c r="EF190" s="1194"/>
      <c r="EG190" s="1194"/>
      <c r="EH190" s="956"/>
      <c r="EI190" s="1194"/>
      <c r="EJ190" s="1194"/>
      <c r="EK190" s="1194"/>
      <c r="EL190" s="515"/>
      <c r="EM190" s="513"/>
      <c r="EN190" s="1182"/>
      <c r="EO190" s="1194"/>
      <c r="EP190" s="956"/>
      <c r="EQ190" s="1194"/>
      <c r="ER190" s="1194"/>
      <c r="ES190" s="1194"/>
      <c r="ET190" s="956"/>
      <c r="EU190" s="1194"/>
      <c r="EV190" s="1194"/>
      <c r="EW190" s="1194"/>
      <c r="EX190" s="1194"/>
      <c r="EY190" s="1194"/>
      <c r="EZ190" s="956"/>
      <c r="FA190" s="1194"/>
      <c r="FB190" s="1194"/>
      <c r="FC190" s="1194"/>
      <c r="FD190" s="956"/>
      <c r="FE190" s="1194"/>
      <c r="FF190" s="1194"/>
      <c r="FG190" s="1194"/>
      <c r="FH190" s="1194"/>
      <c r="FI190" s="1194"/>
      <c r="FJ190" s="1194"/>
    </row>
    <row r="191" spans="1:166" s="1303" customFormat="1" ht="15" hidden="1" customHeight="1">
      <c r="A191" s="153" t="s">
        <v>1063</v>
      </c>
      <c r="B191" s="1097">
        <v>114</v>
      </c>
      <c r="C191" s="1097">
        <v>27</v>
      </c>
      <c r="D191" s="1097"/>
      <c r="E191" s="1098" t="s">
        <v>2071</v>
      </c>
      <c r="F191" s="1021" t="s">
        <v>2323</v>
      </c>
      <c r="G191" s="1099">
        <v>2012</v>
      </c>
      <c r="H191" s="153">
        <v>22701407</v>
      </c>
      <c r="I191" s="153">
        <v>1</v>
      </c>
      <c r="J191" s="153"/>
      <c r="K191" s="153"/>
      <c r="L191" s="153">
        <v>1</v>
      </c>
      <c r="M191" s="153"/>
      <c r="N191" s="153">
        <v>1</v>
      </c>
      <c r="O191" s="153">
        <v>2</v>
      </c>
      <c r="P191" s="153" t="s">
        <v>1258</v>
      </c>
      <c r="Q191" s="153" t="s">
        <v>1147</v>
      </c>
      <c r="R191" s="153" t="s">
        <v>1321</v>
      </c>
      <c r="S191" s="153"/>
      <c r="T191" s="153" t="s">
        <v>1495</v>
      </c>
      <c r="U191" s="153"/>
      <c r="V191" s="153"/>
      <c r="W191" s="153" t="s">
        <v>1681</v>
      </c>
      <c r="X191" s="153"/>
      <c r="Y191" s="153"/>
      <c r="Z191" s="153"/>
      <c r="AA191" s="153"/>
      <c r="AB191" s="153"/>
      <c r="AC191" s="536"/>
      <c r="AD191" s="536">
        <v>1</v>
      </c>
      <c r="AE191" s="536">
        <v>2</v>
      </c>
      <c r="AF191" s="576">
        <v>0</v>
      </c>
      <c r="AG191" s="1686" t="s">
        <v>7833</v>
      </c>
      <c r="AH191" s="509"/>
      <c r="AI191" s="509">
        <v>4</v>
      </c>
      <c r="AJ191" s="509"/>
      <c r="AK191" s="512" t="s">
        <v>4431</v>
      </c>
      <c r="AL191" s="513" t="s">
        <v>7800</v>
      </c>
      <c r="AM191" s="514">
        <v>0</v>
      </c>
      <c r="AN191" s="635">
        <v>48</v>
      </c>
      <c r="AO191" s="509">
        <v>12</v>
      </c>
      <c r="AP191" s="509">
        <f>Table66[[#This Row],[Data_Subjects_n]]-Table66[[#This Row],[Data_Subjects_n_ptsd]]</f>
        <v>36</v>
      </c>
      <c r="AQ191" s="509" t="s">
        <v>803</v>
      </c>
      <c r="AR191" s="509" t="s">
        <v>803</v>
      </c>
      <c r="AS191" s="509" t="s">
        <v>7494</v>
      </c>
      <c r="AT191" s="509" t="s">
        <v>24</v>
      </c>
      <c r="AU191" s="509" t="s">
        <v>7494</v>
      </c>
      <c r="AV191" s="509" t="s">
        <v>24</v>
      </c>
      <c r="AW191" s="509" t="s">
        <v>4423</v>
      </c>
      <c r="AX191" s="509"/>
      <c r="AY191" s="509"/>
      <c r="AZ191" s="509" t="s">
        <v>7317</v>
      </c>
      <c r="BA191" s="509">
        <v>1</v>
      </c>
      <c r="BB191" s="509">
        <v>1</v>
      </c>
      <c r="BC191" s="509" t="s">
        <v>4422</v>
      </c>
      <c r="BD191" s="509" t="s">
        <v>7521</v>
      </c>
      <c r="BE191" s="509"/>
      <c r="BF191" s="509" t="s">
        <v>1321</v>
      </c>
      <c r="BG191" s="509" t="s">
        <v>4421</v>
      </c>
      <c r="BH191" s="513"/>
      <c r="BI191" s="513"/>
      <c r="BJ191" s="511"/>
      <c r="BK191" s="511"/>
      <c r="BL191" s="511"/>
      <c r="BM191" s="511"/>
      <c r="BN191" s="511"/>
      <c r="BO191" s="511"/>
      <c r="BP191" s="511">
        <v>1</v>
      </c>
      <c r="BQ191" s="511"/>
      <c r="BR191" s="511"/>
      <c r="BS191" s="511"/>
      <c r="BT191" s="511"/>
      <c r="BU191" s="511"/>
      <c r="BV191" s="511"/>
      <c r="BW191" s="511" t="s">
        <v>4419</v>
      </c>
      <c r="BX191" s="510" t="s">
        <v>6613</v>
      </c>
      <c r="BY191" s="510" t="s">
        <v>7614</v>
      </c>
      <c r="BZ191" s="510" t="s">
        <v>7799</v>
      </c>
      <c r="CA191" s="511">
        <v>2</v>
      </c>
      <c r="CB191" s="511" t="s">
        <v>7563</v>
      </c>
      <c r="CC191" s="511" t="s">
        <v>24</v>
      </c>
      <c r="CD191" s="635" t="s">
        <v>1876</v>
      </c>
      <c r="CE191" s="509">
        <v>2</v>
      </c>
      <c r="CF191" s="509"/>
      <c r="CG191" s="509" t="s">
        <v>8167</v>
      </c>
      <c r="CH191" s="509" t="s">
        <v>1511</v>
      </c>
      <c r="CI191" s="509" t="s">
        <v>4416</v>
      </c>
      <c r="CJ191" s="509"/>
      <c r="CK191" s="509" t="s">
        <v>4430</v>
      </c>
      <c r="CL191" s="509"/>
      <c r="CM191" s="1687" t="s">
        <v>4473</v>
      </c>
      <c r="CN191" s="1688" t="s">
        <v>24</v>
      </c>
      <c r="CO191" s="715"/>
      <c r="CP191" s="715"/>
      <c r="CQ191" s="715"/>
      <c r="CR191" s="715"/>
      <c r="CS191" s="715">
        <v>-1</v>
      </c>
      <c r="CT191" s="715" t="s">
        <v>7838</v>
      </c>
      <c r="CU191" s="715"/>
      <c r="CV191" s="715"/>
      <c r="CW191" s="715"/>
      <c r="CX191" s="510" t="s">
        <v>4456</v>
      </c>
      <c r="CY191" s="509">
        <v>2.1764700000000001</v>
      </c>
      <c r="CZ191" s="509"/>
      <c r="DA191" s="509">
        <f>2.97059-Table66[[#This Row],[Data_Outcome1_M]]</f>
        <v>0.79411999999999994</v>
      </c>
      <c r="DB191" s="510" t="s">
        <v>4459</v>
      </c>
      <c r="DC191" s="509">
        <v>1.7941199999999999</v>
      </c>
      <c r="DD191" s="509"/>
      <c r="DE191" s="1690">
        <f>2.23529-Table66[[#This Row],[Data_Outcome2_M]]</f>
        <v>0.44117000000000006</v>
      </c>
      <c r="DF191" s="513" t="s">
        <v>4461</v>
      </c>
      <c r="DG191" s="513" t="s">
        <v>4460</v>
      </c>
      <c r="DH191" s="956"/>
      <c r="DI191" s="1194"/>
      <c r="DJ191" s="1194"/>
      <c r="DK191" s="1194"/>
      <c r="DL191" s="956"/>
      <c r="DM191" s="1194"/>
      <c r="DN191" s="1194"/>
      <c r="DO191" s="1194"/>
      <c r="DP191" s="515"/>
      <c r="DQ191" s="513"/>
      <c r="DR191" s="1182"/>
      <c r="DS191" s="956"/>
      <c r="DT191" s="956"/>
      <c r="DU191" s="1194"/>
      <c r="DV191" s="1194"/>
      <c r="DW191" s="1194"/>
      <c r="DX191" s="956"/>
      <c r="DY191" s="1194"/>
      <c r="DZ191" s="1194"/>
      <c r="EA191" s="1194"/>
      <c r="EB191" s="515"/>
      <c r="EC191" s="513"/>
      <c r="ED191" s="956"/>
      <c r="EE191" s="1194"/>
      <c r="EF191" s="1194"/>
      <c r="EG191" s="1194"/>
      <c r="EH191" s="956"/>
      <c r="EI191" s="1194"/>
      <c r="EJ191" s="1194"/>
      <c r="EK191" s="1194"/>
      <c r="EL191" s="515"/>
      <c r="EM191" s="513"/>
      <c r="EN191" s="1182"/>
      <c r="EO191" s="1194"/>
      <c r="EP191" s="956"/>
      <c r="EQ191" s="1194"/>
      <c r="ER191" s="1194"/>
      <c r="ES191" s="1194"/>
      <c r="ET191" s="956"/>
      <c r="EU191" s="1194"/>
      <c r="EV191" s="1194"/>
      <c r="EW191" s="1194"/>
      <c r="EX191" s="1194"/>
      <c r="EY191" s="1194"/>
      <c r="EZ191" s="956"/>
      <c r="FA191" s="1194"/>
      <c r="FB191" s="1194"/>
      <c r="FC191" s="1194"/>
      <c r="FD191" s="956"/>
      <c r="FE191" s="1194"/>
      <c r="FF191" s="1194"/>
      <c r="FG191" s="1194"/>
      <c r="FH191" s="1194"/>
      <c r="FI191" s="1194"/>
      <c r="FJ191" s="1194"/>
    </row>
    <row r="192" spans="1:166" s="717" customFormat="1" ht="15" hidden="1" customHeight="1">
      <c r="A192" s="1304" t="s">
        <v>1063</v>
      </c>
      <c r="B192" s="1324">
        <v>114</v>
      </c>
      <c r="C192" s="1324">
        <v>27</v>
      </c>
      <c r="D192" s="1324"/>
      <c r="E192" s="1325" t="s">
        <v>2071</v>
      </c>
      <c r="F192" s="1326" t="s">
        <v>2323</v>
      </c>
      <c r="G192" s="1327">
        <v>2012</v>
      </c>
      <c r="H192" s="1304">
        <v>22701407</v>
      </c>
      <c r="I192" s="1304">
        <v>1</v>
      </c>
      <c r="J192" s="1304"/>
      <c r="K192" s="1304"/>
      <c r="L192" s="1304">
        <v>1</v>
      </c>
      <c r="M192" s="1304"/>
      <c r="N192" s="1304">
        <v>1</v>
      </c>
      <c r="O192" s="1304">
        <v>2</v>
      </c>
      <c r="P192" s="1304" t="s">
        <v>1258</v>
      </c>
      <c r="Q192" s="1304" t="s">
        <v>1147</v>
      </c>
      <c r="R192" s="1304" t="s">
        <v>1321</v>
      </c>
      <c r="S192" s="1304"/>
      <c r="T192" s="1304" t="s">
        <v>1495</v>
      </c>
      <c r="U192" s="1304"/>
      <c r="V192" s="1304"/>
      <c r="W192" s="1304" t="s">
        <v>1681</v>
      </c>
      <c r="X192" s="1304"/>
      <c r="Y192" s="1304"/>
      <c r="Z192" s="1304"/>
      <c r="AA192" s="1304"/>
      <c r="AB192" s="1304"/>
      <c r="AC192" s="1328"/>
      <c r="AD192" s="1328">
        <v>1</v>
      </c>
      <c r="AE192" s="1328">
        <v>2</v>
      </c>
      <c r="AF192" s="1329">
        <v>0</v>
      </c>
      <c r="AG192" s="1691" t="s">
        <v>8135</v>
      </c>
      <c r="AH192" s="1328"/>
      <c r="AI192" s="1328">
        <v>4</v>
      </c>
      <c r="AJ192" s="1328"/>
      <c r="AK192" s="1331" t="s">
        <v>4431</v>
      </c>
      <c r="AL192" s="513" t="s">
        <v>7834</v>
      </c>
      <c r="AM192" s="1332">
        <v>0</v>
      </c>
      <c r="AN192" s="1304">
        <v>48</v>
      </c>
      <c r="AO192" s="1328">
        <v>12</v>
      </c>
      <c r="AP192" s="1328">
        <f>Table66[[#This Row],[Data_Subjects_n]]-Table66[[#This Row],[Data_Subjects_n_ptsd]]</f>
        <v>36</v>
      </c>
      <c r="AQ192" s="1328" t="s">
        <v>803</v>
      </c>
      <c r="AR192" s="1328" t="s">
        <v>803</v>
      </c>
      <c r="AS192" s="1328" t="s">
        <v>7494</v>
      </c>
      <c r="AT192" s="1328" t="s">
        <v>24</v>
      </c>
      <c r="AU192" s="1328" t="s">
        <v>7494</v>
      </c>
      <c r="AV192" s="1328" t="s">
        <v>24</v>
      </c>
      <c r="AW192" s="1328" t="s">
        <v>4423</v>
      </c>
      <c r="AX192" s="1328"/>
      <c r="AY192" s="1328"/>
      <c r="AZ192" s="1328" t="s">
        <v>7317</v>
      </c>
      <c r="BA192" s="1328">
        <v>1</v>
      </c>
      <c r="BB192" s="1328">
        <v>1</v>
      </c>
      <c r="BC192" s="1328" t="s">
        <v>4422</v>
      </c>
      <c r="BD192" s="1328" t="s">
        <v>7521</v>
      </c>
      <c r="BE192" s="1328"/>
      <c r="BF192" s="1328" t="s">
        <v>1321</v>
      </c>
      <c r="BG192" s="1328" t="s">
        <v>4421</v>
      </c>
      <c r="BH192" s="1326"/>
      <c r="BI192" s="1326"/>
      <c r="BJ192" s="1333"/>
      <c r="BK192" s="1333"/>
      <c r="BL192" s="1333"/>
      <c r="BM192" s="1333"/>
      <c r="BN192" s="1333"/>
      <c r="BO192" s="1333"/>
      <c r="BP192" s="1333">
        <v>1</v>
      </c>
      <c r="BQ192" s="1333"/>
      <c r="BR192" s="1333"/>
      <c r="BS192" s="1333"/>
      <c r="BT192" s="1333"/>
      <c r="BU192" s="1333"/>
      <c r="BV192" s="1333"/>
      <c r="BW192" s="1333" t="s">
        <v>4419</v>
      </c>
      <c r="BX192" s="1334" t="s">
        <v>6613</v>
      </c>
      <c r="BY192" s="1334" t="s">
        <v>7614</v>
      </c>
      <c r="BZ192" s="1334" t="s">
        <v>803</v>
      </c>
      <c r="CA192" s="1333">
        <v>2</v>
      </c>
      <c r="CB192" s="1333" t="s">
        <v>7563</v>
      </c>
      <c r="CC192" s="1333" t="s">
        <v>24</v>
      </c>
      <c r="CD192" s="1304" t="s">
        <v>1876</v>
      </c>
      <c r="CE192" s="1328">
        <v>2</v>
      </c>
      <c r="CF192" s="1328"/>
      <c r="CG192" s="1328" t="s">
        <v>8168</v>
      </c>
      <c r="CH192" s="1328" t="s">
        <v>1511</v>
      </c>
      <c r="CI192" s="1328" t="s">
        <v>4416</v>
      </c>
      <c r="CJ192" s="1328"/>
      <c r="CK192" s="1328" t="s">
        <v>4430</v>
      </c>
      <c r="CL192" s="1328"/>
      <c r="CM192" s="1692" t="s">
        <v>4473</v>
      </c>
      <c r="CN192" s="1693" t="s">
        <v>24</v>
      </c>
      <c r="CO192" s="715">
        <v>23</v>
      </c>
      <c r="CP192" s="1336">
        <v>1</v>
      </c>
      <c r="CQ192" s="1336">
        <v>1</v>
      </c>
      <c r="CR192" s="1336">
        <v>0</v>
      </c>
      <c r="CS192" s="1336">
        <v>1</v>
      </c>
      <c r="CT192" s="1336"/>
      <c r="CU192" s="1336" t="s">
        <v>1878</v>
      </c>
      <c r="CV192" s="1335">
        <v>79</v>
      </c>
      <c r="CW192" s="1335">
        <v>71</v>
      </c>
      <c r="CX192" s="510" t="s">
        <v>4465</v>
      </c>
      <c r="CY192" s="509">
        <v>8.1405599999999995E-2</v>
      </c>
      <c r="CZ192" s="509"/>
      <c r="DA192" s="509">
        <f>0.219718-Table66[[#This Row],[Data_Outcome1_M]]</f>
        <v>0.1383124</v>
      </c>
      <c r="DB192" s="510" t="s">
        <v>4468</v>
      </c>
      <c r="DC192" s="509">
        <v>0.38624399999999998</v>
      </c>
      <c r="DD192" s="509"/>
      <c r="DE192" s="509">
        <f>0.443802-Table66[[#This Row],[Data_Outcome2_M]]</f>
        <v>5.7557999999999998E-2</v>
      </c>
      <c r="DF192" s="509" t="s">
        <v>4470</v>
      </c>
      <c r="DG192" s="509" t="s">
        <v>4469</v>
      </c>
      <c r="DH192" s="1334"/>
      <c r="DI192" s="1328"/>
      <c r="DJ192" s="1337"/>
      <c r="DK192" s="1328"/>
      <c r="DL192" s="1340"/>
      <c r="DM192" s="1328"/>
      <c r="DN192" s="1337"/>
      <c r="DO192" s="1328"/>
      <c r="DP192" s="1335"/>
      <c r="DQ192" s="1326"/>
      <c r="DR192" s="1339"/>
      <c r="DS192" s="1340"/>
      <c r="DT192" s="1340"/>
      <c r="DU192" s="1328"/>
      <c r="DV192" s="1337"/>
      <c r="DW192" s="1328"/>
      <c r="DX192" s="1340"/>
      <c r="DY192" s="1328"/>
      <c r="DZ192" s="1337"/>
      <c r="EA192" s="1328"/>
      <c r="EB192" s="1335"/>
      <c r="EC192" s="1326"/>
      <c r="ED192" s="1340"/>
      <c r="EE192" s="1328"/>
      <c r="EF192" s="1337"/>
      <c r="EG192" s="1328"/>
      <c r="EH192" s="1340"/>
      <c r="EI192" s="1328"/>
      <c r="EJ192" s="1337"/>
      <c r="EK192" s="1328"/>
      <c r="EL192" s="1335"/>
      <c r="EM192" s="1326"/>
      <c r="EN192" s="1339"/>
      <c r="EO192" s="1337"/>
      <c r="EP192" s="1340"/>
      <c r="EQ192" s="1337"/>
      <c r="ER192" s="1337"/>
      <c r="ES192" s="1337"/>
      <c r="ET192" s="1340"/>
      <c r="EU192" s="1337"/>
      <c r="EV192" s="1337"/>
      <c r="EW192" s="1337"/>
      <c r="EX192" s="1337"/>
      <c r="EY192" s="1337"/>
      <c r="EZ192" s="1340"/>
      <c r="FA192" s="1337"/>
      <c r="FB192" s="1337"/>
      <c r="FC192" s="1337"/>
      <c r="FD192" s="1340"/>
      <c r="FE192" s="1337"/>
      <c r="FF192" s="1337"/>
      <c r="FG192" s="1337"/>
      <c r="FH192" s="1337"/>
      <c r="FI192" s="1337"/>
      <c r="FJ192" s="1337"/>
    </row>
    <row r="193" spans="1:166" s="717" customFormat="1" ht="15" hidden="1" customHeight="1">
      <c r="A193" s="153" t="s">
        <v>1063</v>
      </c>
      <c r="B193" s="1097">
        <v>114</v>
      </c>
      <c r="C193" s="1097">
        <v>27</v>
      </c>
      <c r="D193" s="1097"/>
      <c r="E193" s="1098" t="s">
        <v>2071</v>
      </c>
      <c r="F193" s="1021" t="s">
        <v>2323</v>
      </c>
      <c r="G193" s="1099">
        <v>2012</v>
      </c>
      <c r="H193" s="153">
        <v>22701407</v>
      </c>
      <c r="I193" s="153">
        <v>1</v>
      </c>
      <c r="J193" s="153"/>
      <c r="K193" s="153"/>
      <c r="L193" s="153">
        <v>1</v>
      </c>
      <c r="M193" s="153"/>
      <c r="N193" s="153">
        <v>1</v>
      </c>
      <c r="O193" s="153">
        <v>2</v>
      </c>
      <c r="P193" s="153" t="s">
        <v>1258</v>
      </c>
      <c r="Q193" s="153" t="s">
        <v>1147</v>
      </c>
      <c r="R193" s="153" t="s">
        <v>1321</v>
      </c>
      <c r="S193" s="153"/>
      <c r="T193" s="153" t="s">
        <v>1495</v>
      </c>
      <c r="U193" s="153"/>
      <c r="V193" s="153"/>
      <c r="W193" s="153" t="s">
        <v>1681</v>
      </c>
      <c r="X193" s="153"/>
      <c r="Y193" s="153"/>
      <c r="Z193" s="153"/>
      <c r="AA193" s="153"/>
      <c r="AB193" s="153"/>
      <c r="AC193" s="536"/>
      <c r="AD193" s="536">
        <v>1</v>
      </c>
      <c r="AE193" s="536">
        <v>2</v>
      </c>
      <c r="AF193" s="576">
        <v>0</v>
      </c>
      <c r="AG193" s="1686" t="s">
        <v>7798</v>
      </c>
      <c r="AH193" s="509"/>
      <c r="AI193" s="509">
        <v>4</v>
      </c>
      <c r="AJ193" s="509"/>
      <c r="AK193" s="512" t="s">
        <v>4431</v>
      </c>
      <c r="AL193" s="513" t="s">
        <v>7800</v>
      </c>
      <c r="AM193" s="514">
        <v>0</v>
      </c>
      <c r="AN193" s="635">
        <v>36</v>
      </c>
      <c r="AO193" s="509">
        <v>9</v>
      </c>
      <c r="AP193" s="509">
        <f>Table66[[#This Row],[Data_Subjects_n]]-Table66[[#This Row],[Data_Subjects_n_ptsd]]</f>
        <v>27</v>
      </c>
      <c r="AQ193" s="509" t="s">
        <v>803</v>
      </c>
      <c r="AR193" s="509" t="s">
        <v>803</v>
      </c>
      <c r="AS193" s="509" t="s">
        <v>7494</v>
      </c>
      <c r="AT193" s="509" t="s">
        <v>24</v>
      </c>
      <c r="AU193" s="509" t="s">
        <v>7494</v>
      </c>
      <c r="AV193" s="509" t="s">
        <v>24</v>
      </c>
      <c r="AW193" s="509" t="s">
        <v>4423</v>
      </c>
      <c r="AX193" s="509"/>
      <c r="AY193" s="509"/>
      <c r="AZ193" s="509" t="s">
        <v>7317</v>
      </c>
      <c r="BA193" s="509">
        <v>1</v>
      </c>
      <c r="BB193" s="509">
        <v>1</v>
      </c>
      <c r="BC193" s="509" t="s">
        <v>4422</v>
      </c>
      <c r="BD193" s="509" t="s">
        <v>7521</v>
      </c>
      <c r="BE193" s="509"/>
      <c r="BF193" s="509" t="s">
        <v>1321</v>
      </c>
      <c r="BG193" s="509" t="s">
        <v>4421</v>
      </c>
      <c r="BH193" s="513"/>
      <c r="BI193" s="513"/>
      <c r="BJ193" s="511"/>
      <c r="BK193" s="511"/>
      <c r="BL193" s="511"/>
      <c r="BM193" s="511"/>
      <c r="BN193" s="511"/>
      <c r="BO193" s="511"/>
      <c r="BP193" s="511">
        <v>1</v>
      </c>
      <c r="BQ193" s="511"/>
      <c r="BR193" s="511"/>
      <c r="BS193" s="511"/>
      <c r="BT193" s="511"/>
      <c r="BU193" s="511"/>
      <c r="BV193" s="511"/>
      <c r="BW193" s="511" t="s">
        <v>4418</v>
      </c>
      <c r="BX193" s="510" t="s">
        <v>6613</v>
      </c>
      <c r="BY193" s="510" t="s">
        <v>7614</v>
      </c>
      <c r="BZ193" s="510" t="s">
        <v>7799</v>
      </c>
      <c r="CA193" s="511">
        <v>2</v>
      </c>
      <c r="CB193" s="511" t="s">
        <v>7563</v>
      </c>
      <c r="CC193" s="511" t="s">
        <v>24</v>
      </c>
      <c r="CD193" s="635" t="s">
        <v>1876</v>
      </c>
      <c r="CE193" s="509">
        <v>2</v>
      </c>
      <c r="CF193" s="509"/>
      <c r="CG193" s="509" t="s">
        <v>8169</v>
      </c>
      <c r="CH193" s="509" t="s">
        <v>1511</v>
      </c>
      <c r="CI193" s="509" t="s">
        <v>4416</v>
      </c>
      <c r="CJ193" s="509"/>
      <c r="CK193" s="509" t="s">
        <v>4430</v>
      </c>
      <c r="CL193" s="509"/>
      <c r="CM193" s="515" t="s">
        <v>4472</v>
      </c>
      <c r="CN193" s="621">
        <v>0</v>
      </c>
      <c r="CO193" s="715"/>
      <c r="CP193" s="621"/>
      <c r="CQ193" s="621"/>
      <c r="CR193" s="621"/>
      <c r="CS193" s="621"/>
      <c r="CT193" s="715" t="s">
        <v>7838</v>
      </c>
      <c r="CU193" s="715"/>
      <c r="CV193" s="715"/>
      <c r="CW193" s="715"/>
      <c r="CX193" s="510" t="s">
        <v>4425</v>
      </c>
      <c r="CY193" s="509">
        <v>41.153799999999997</v>
      </c>
      <c r="CZ193" s="509"/>
      <c r="DA193" s="509">
        <f>47.8596-Table66[[#This Row],[Data_Outcome1_M]]</f>
        <v>6.7058000000000035</v>
      </c>
      <c r="DB193" s="510" t="s">
        <v>4428</v>
      </c>
      <c r="DC193" s="509">
        <v>54.736400000000003</v>
      </c>
      <c r="DD193" s="509"/>
      <c r="DE193" s="509">
        <f>58.9717-Table66[[#This Row],[Data_Outcome2_M]]</f>
        <v>4.2352999999999952</v>
      </c>
      <c r="DF193" s="621" t="s">
        <v>8092</v>
      </c>
      <c r="DG193" s="509" t="s">
        <v>4434</v>
      </c>
      <c r="DH193" s="1194"/>
      <c r="DI193" s="1194"/>
      <c r="DJ193" s="1194"/>
      <c r="DK193" s="1194"/>
      <c r="DL193" s="1194"/>
      <c r="DM193" s="1194"/>
      <c r="DN193" s="1194"/>
      <c r="DO193" s="1194"/>
      <c r="DP193" s="515"/>
      <c r="DQ193" s="513"/>
      <c r="DR193" s="1182"/>
      <c r="DS193" s="956"/>
      <c r="DT193" s="956"/>
      <c r="DU193" s="1194"/>
      <c r="DV193" s="1194"/>
      <c r="DW193" s="1194"/>
      <c r="DX193" s="1194"/>
      <c r="DY193" s="1194"/>
      <c r="DZ193" s="1194"/>
      <c r="EA193" s="1194"/>
      <c r="EB193" s="515"/>
      <c r="EC193" s="513"/>
      <c r="ED193" s="1194"/>
      <c r="EE193" s="1194"/>
      <c r="EF193" s="1194"/>
      <c r="EG193" s="1194"/>
      <c r="EH193" s="1194"/>
      <c r="EI193" s="1194"/>
      <c r="EJ193" s="1194"/>
      <c r="EK193" s="1194"/>
      <c r="EL193" s="515"/>
      <c r="EM193" s="513"/>
      <c r="EN193" s="1182"/>
      <c r="EO193" s="1194"/>
      <c r="EP193" s="1194"/>
      <c r="EQ193" s="1194"/>
      <c r="ER193" s="1194"/>
      <c r="ES193" s="1194"/>
      <c r="ET193" s="1194"/>
      <c r="EU193" s="1194"/>
      <c r="EV193" s="1194"/>
      <c r="EW193" s="1194"/>
      <c r="EX193" s="1194"/>
      <c r="EY193" s="1194"/>
      <c r="EZ193" s="1194"/>
      <c r="FA193" s="1194"/>
      <c r="FB193" s="1194"/>
      <c r="FC193" s="1194"/>
      <c r="FD193" s="1194"/>
      <c r="FE193" s="1194"/>
      <c r="FF193" s="1194"/>
      <c r="FG193" s="1194"/>
      <c r="FH193" s="1194"/>
      <c r="FI193" s="1194"/>
      <c r="FJ193" s="1194"/>
    </row>
    <row r="194" spans="1:166" s="717" customFormat="1" ht="15" hidden="1" customHeight="1">
      <c r="A194" s="153" t="s">
        <v>1063</v>
      </c>
      <c r="B194" s="1097">
        <v>114</v>
      </c>
      <c r="C194" s="1097">
        <v>27</v>
      </c>
      <c r="D194" s="1097"/>
      <c r="E194" s="1098" t="s">
        <v>2071</v>
      </c>
      <c r="F194" s="1021" t="s">
        <v>2323</v>
      </c>
      <c r="G194" s="1099">
        <v>2012</v>
      </c>
      <c r="H194" s="153">
        <v>22701407</v>
      </c>
      <c r="I194" s="153">
        <v>1</v>
      </c>
      <c r="J194" s="153"/>
      <c r="K194" s="153"/>
      <c r="L194" s="153">
        <v>1</v>
      </c>
      <c r="M194" s="153"/>
      <c r="N194" s="153">
        <v>1</v>
      </c>
      <c r="O194" s="153">
        <v>2</v>
      </c>
      <c r="P194" s="153" t="s">
        <v>1258</v>
      </c>
      <c r="Q194" s="153" t="s">
        <v>1147</v>
      </c>
      <c r="R194" s="153" t="s">
        <v>1321</v>
      </c>
      <c r="S194" s="153"/>
      <c r="T194" s="153" t="s">
        <v>1495</v>
      </c>
      <c r="U194" s="153"/>
      <c r="V194" s="153"/>
      <c r="W194" s="153" t="s">
        <v>1681</v>
      </c>
      <c r="X194" s="153"/>
      <c r="Y194" s="153"/>
      <c r="Z194" s="153"/>
      <c r="AA194" s="153"/>
      <c r="AB194" s="153"/>
      <c r="AC194" s="536"/>
      <c r="AD194" s="536">
        <v>1</v>
      </c>
      <c r="AE194" s="536">
        <v>2</v>
      </c>
      <c r="AF194" s="576">
        <v>0</v>
      </c>
      <c r="AG194" s="1686" t="s">
        <v>7833</v>
      </c>
      <c r="AH194" s="509"/>
      <c r="AI194" s="509">
        <v>4</v>
      </c>
      <c r="AJ194" s="509"/>
      <c r="AK194" s="512" t="s">
        <v>4431</v>
      </c>
      <c r="AL194" s="513" t="s">
        <v>7800</v>
      </c>
      <c r="AM194" s="514">
        <v>0</v>
      </c>
      <c r="AN194" s="635">
        <v>36</v>
      </c>
      <c r="AO194" s="509">
        <v>9</v>
      </c>
      <c r="AP194" s="509">
        <f>Table66[[#This Row],[Data_Subjects_n]]-Table66[[#This Row],[Data_Subjects_n_ptsd]]</f>
        <v>27</v>
      </c>
      <c r="AQ194" s="509" t="s">
        <v>803</v>
      </c>
      <c r="AR194" s="509" t="s">
        <v>803</v>
      </c>
      <c r="AS194" s="509" t="s">
        <v>7494</v>
      </c>
      <c r="AT194" s="509" t="s">
        <v>24</v>
      </c>
      <c r="AU194" s="509" t="s">
        <v>7494</v>
      </c>
      <c r="AV194" s="509" t="s">
        <v>24</v>
      </c>
      <c r="AW194" s="509" t="s">
        <v>4423</v>
      </c>
      <c r="AX194" s="509"/>
      <c r="AY194" s="509"/>
      <c r="AZ194" s="509" t="s">
        <v>7317</v>
      </c>
      <c r="BA194" s="509">
        <v>1</v>
      </c>
      <c r="BB194" s="509">
        <v>1</v>
      </c>
      <c r="BC194" s="509" t="s">
        <v>4422</v>
      </c>
      <c r="BD194" s="509" t="s">
        <v>7521</v>
      </c>
      <c r="BE194" s="509"/>
      <c r="BF194" s="509" t="s">
        <v>1321</v>
      </c>
      <c r="BG194" s="509" t="s">
        <v>4421</v>
      </c>
      <c r="BH194" s="513"/>
      <c r="BI194" s="513"/>
      <c r="BJ194" s="511"/>
      <c r="BK194" s="511"/>
      <c r="BL194" s="511"/>
      <c r="BM194" s="511"/>
      <c r="BN194" s="511"/>
      <c r="BO194" s="511"/>
      <c r="BP194" s="511">
        <v>1</v>
      </c>
      <c r="BQ194" s="511"/>
      <c r="BR194" s="511"/>
      <c r="BS194" s="511"/>
      <c r="BT194" s="511"/>
      <c r="BU194" s="511"/>
      <c r="BV194" s="511"/>
      <c r="BW194" s="511" t="s">
        <v>4418</v>
      </c>
      <c r="BX194" s="510" t="s">
        <v>6613</v>
      </c>
      <c r="BY194" s="510" t="s">
        <v>7614</v>
      </c>
      <c r="BZ194" s="510" t="s">
        <v>7799</v>
      </c>
      <c r="CA194" s="511">
        <v>2</v>
      </c>
      <c r="CB194" s="511" t="s">
        <v>7563</v>
      </c>
      <c r="CC194" s="511" t="s">
        <v>24</v>
      </c>
      <c r="CD194" s="509" t="s">
        <v>1876</v>
      </c>
      <c r="CE194" s="509">
        <v>2</v>
      </c>
      <c r="CF194" s="509"/>
      <c r="CG194" s="509" t="s">
        <v>8169</v>
      </c>
      <c r="CH194" s="509" t="s">
        <v>1511</v>
      </c>
      <c r="CI194" s="509" t="s">
        <v>4416</v>
      </c>
      <c r="CJ194" s="509"/>
      <c r="CK194" s="509" t="s">
        <v>4430</v>
      </c>
      <c r="CL194" s="509"/>
      <c r="CM194" s="515" t="s">
        <v>4472</v>
      </c>
      <c r="CN194" s="621">
        <v>0</v>
      </c>
      <c r="CO194" s="715"/>
      <c r="CP194" s="621"/>
      <c r="CQ194" s="621"/>
      <c r="CR194" s="621"/>
      <c r="CS194" s="715">
        <v>1</v>
      </c>
      <c r="CT194" s="715" t="s">
        <v>7838</v>
      </c>
      <c r="CU194" s="715"/>
      <c r="CV194" s="715"/>
      <c r="CW194" s="715"/>
      <c r="CX194" s="510" t="s">
        <v>4440</v>
      </c>
      <c r="CY194" s="509">
        <v>7.9189400000000001</v>
      </c>
      <c r="CZ194" s="509"/>
      <c r="DA194" s="509">
        <f>10.0134-Table66[[#This Row],[Data_Outcome1_M]]</f>
        <v>2.0944600000000007</v>
      </c>
      <c r="DB194" s="510" t="s">
        <v>4438</v>
      </c>
      <c r="DC194" s="509">
        <v>7.3917900000000003</v>
      </c>
      <c r="DD194" s="509"/>
      <c r="DE194" s="509">
        <f>8.18825-Table66[[#This Row],[Data_Outcome2_M]]</f>
        <v>0.79645999999999972</v>
      </c>
      <c r="DF194" s="515"/>
      <c r="DG194" s="513"/>
      <c r="DH194" s="1135"/>
      <c r="DI194" s="635"/>
      <c r="DJ194" s="1194"/>
      <c r="DK194" s="635"/>
      <c r="DL194" s="956"/>
      <c r="DM194" s="635"/>
      <c r="DN194" s="1194"/>
      <c r="DO194" s="1122"/>
      <c r="DP194" s="515"/>
      <c r="DQ194" s="513"/>
      <c r="DR194" s="1182"/>
      <c r="DS194" s="956"/>
      <c r="DT194" s="956"/>
      <c r="DU194" s="635"/>
      <c r="DV194" s="1194"/>
      <c r="DW194" s="635"/>
      <c r="DX194" s="956"/>
      <c r="DY194" s="635"/>
      <c r="DZ194" s="1194"/>
      <c r="EA194" s="635"/>
      <c r="EB194" s="515"/>
      <c r="EC194" s="1694"/>
      <c r="ED194" s="956"/>
      <c r="EE194" s="635"/>
      <c r="EF194" s="1194"/>
      <c r="EG194" s="635"/>
      <c r="EH194" s="956"/>
      <c r="EI194" s="635"/>
      <c r="EJ194" s="1194"/>
      <c r="EK194" s="635"/>
      <c r="EL194" s="1182"/>
      <c r="EM194" s="1194"/>
      <c r="EN194" s="1182"/>
      <c r="EO194" s="1194"/>
      <c r="EP194" s="1689"/>
      <c r="EQ194" s="635"/>
      <c r="ER194" s="635"/>
      <c r="ES194" s="635"/>
      <c r="ET194" s="1689"/>
      <c r="EU194" s="635"/>
      <c r="EV194" s="635"/>
      <c r="EW194" s="635"/>
      <c r="EX194" s="635"/>
      <c r="EY194" s="635"/>
      <c r="EZ194" s="1689"/>
      <c r="FA194" s="635"/>
      <c r="FB194" s="635"/>
      <c r="FC194" s="635"/>
      <c r="FD194" s="1689"/>
      <c r="FE194" s="635"/>
      <c r="FF194" s="635"/>
      <c r="FG194" s="635"/>
      <c r="FH194" s="635"/>
      <c r="FI194" s="635"/>
      <c r="FJ194" s="1194"/>
    </row>
    <row r="195" spans="1:166" s="717" customFormat="1" ht="15" hidden="1" customHeight="1">
      <c r="A195" s="153" t="s">
        <v>1063</v>
      </c>
      <c r="B195" s="1097">
        <v>114</v>
      </c>
      <c r="C195" s="1097">
        <v>27</v>
      </c>
      <c r="D195" s="1097"/>
      <c r="E195" s="1098" t="s">
        <v>2071</v>
      </c>
      <c r="F195" s="1021" t="s">
        <v>2323</v>
      </c>
      <c r="G195" s="1099">
        <v>2012</v>
      </c>
      <c r="H195" s="153">
        <v>22701407</v>
      </c>
      <c r="I195" s="153">
        <v>1</v>
      </c>
      <c r="J195" s="153"/>
      <c r="K195" s="153"/>
      <c r="L195" s="153">
        <v>1</v>
      </c>
      <c r="M195" s="153"/>
      <c r="N195" s="153">
        <v>1</v>
      </c>
      <c r="O195" s="153">
        <v>2</v>
      </c>
      <c r="P195" s="153" t="s">
        <v>1258</v>
      </c>
      <c r="Q195" s="153" t="s">
        <v>1147</v>
      </c>
      <c r="R195" s="153" t="s">
        <v>1321</v>
      </c>
      <c r="S195" s="153"/>
      <c r="T195" s="153" t="s">
        <v>1495</v>
      </c>
      <c r="U195" s="153"/>
      <c r="V195" s="153"/>
      <c r="W195" s="153" t="s">
        <v>1681</v>
      </c>
      <c r="X195" s="153"/>
      <c r="Y195" s="153"/>
      <c r="Z195" s="153"/>
      <c r="AA195" s="153"/>
      <c r="AB195" s="153"/>
      <c r="AC195" s="536"/>
      <c r="AD195" s="536">
        <v>1</v>
      </c>
      <c r="AE195" s="536">
        <v>2</v>
      </c>
      <c r="AF195" s="576">
        <v>0</v>
      </c>
      <c r="AG195" s="1686" t="s">
        <v>7833</v>
      </c>
      <c r="AH195" s="509"/>
      <c r="AI195" s="509">
        <v>4</v>
      </c>
      <c r="AJ195" s="509"/>
      <c r="AK195" s="512" t="s">
        <v>4431</v>
      </c>
      <c r="AL195" s="513" t="s">
        <v>7800</v>
      </c>
      <c r="AM195" s="514">
        <v>0</v>
      </c>
      <c r="AN195" s="635">
        <v>36</v>
      </c>
      <c r="AO195" s="509">
        <v>9</v>
      </c>
      <c r="AP195" s="509">
        <f>Table66[[#This Row],[Data_Subjects_n]]-Table66[[#This Row],[Data_Subjects_n_ptsd]]</f>
        <v>27</v>
      </c>
      <c r="AQ195" s="509" t="s">
        <v>803</v>
      </c>
      <c r="AR195" s="509" t="s">
        <v>803</v>
      </c>
      <c r="AS195" s="509" t="s">
        <v>7494</v>
      </c>
      <c r="AT195" s="509" t="s">
        <v>24</v>
      </c>
      <c r="AU195" s="509" t="s">
        <v>7494</v>
      </c>
      <c r="AV195" s="509" t="s">
        <v>24</v>
      </c>
      <c r="AW195" s="509" t="s">
        <v>4423</v>
      </c>
      <c r="AX195" s="509"/>
      <c r="AY195" s="509"/>
      <c r="AZ195" s="509" t="s">
        <v>7317</v>
      </c>
      <c r="BA195" s="509">
        <v>1</v>
      </c>
      <c r="BB195" s="509">
        <v>1</v>
      </c>
      <c r="BC195" s="509" t="s">
        <v>4422</v>
      </c>
      <c r="BD195" s="509" t="s">
        <v>7521</v>
      </c>
      <c r="BE195" s="509"/>
      <c r="BF195" s="509" t="s">
        <v>1321</v>
      </c>
      <c r="BG195" s="509" t="s">
        <v>4421</v>
      </c>
      <c r="BH195" s="513"/>
      <c r="BI195" s="513"/>
      <c r="BJ195" s="511"/>
      <c r="BK195" s="511"/>
      <c r="BL195" s="511"/>
      <c r="BM195" s="511"/>
      <c r="BN195" s="511"/>
      <c r="BO195" s="511"/>
      <c r="BP195" s="511">
        <v>1</v>
      </c>
      <c r="BQ195" s="511"/>
      <c r="BR195" s="511"/>
      <c r="BS195" s="511"/>
      <c r="BT195" s="511"/>
      <c r="BU195" s="511"/>
      <c r="BV195" s="511"/>
      <c r="BW195" s="511" t="s">
        <v>4418</v>
      </c>
      <c r="BX195" s="510" t="s">
        <v>6613</v>
      </c>
      <c r="BY195" s="510" t="s">
        <v>7614</v>
      </c>
      <c r="BZ195" s="510" t="s">
        <v>7799</v>
      </c>
      <c r="CA195" s="511">
        <v>2</v>
      </c>
      <c r="CB195" s="511" t="s">
        <v>7563</v>
      </c>
      <c r="CC195" s="511" t="s">
        <v>24</v>
      </c>
      <c r="CD195" s="509" t="s">
        <v>1876</v>
      </c>
      <c r="CE195" s="509">
        <v>2</v>
      </c>
      <c r="CF195" s="509"/>
      <c r="CG195" s="509" t="s">
        <v>8169</v>
      </c>
      <c r="CH195" s="509" t="s">
        <v>1511</v>
      </c>
      <c r="CI195" s="509" t="s">
        <v>4416</v>
      </c>
      <c r="CJ195" s="509"/>
      <c r="CK195" s="509" t="s">
        <v>4430</v>
      </c>
      <c r="CL195" s="509"/>
      <c r="CM195" s="515" t="s">
        <v>4472</v>
      </c>
      <c r="CN195" s="621">
        <v>0</v>
      </c>
      <c r="CO195" s="715"/>
      <c r="CP195" s="621"/>
      <c r="CQ195" s="621"/>
      <c r="CR195" s="621"/>
      <c r="CS195" s="715">
        <v>1</v>
      </c>
      <c r="CT195" s="715" t="s">
        <v>7838</v>
      </c>
      <c r="CU195" s="715"/>
      <c r="CV195" s="715"/>
      <c r="CW195" s="715"/>
      <c r="CX195" s="510" t="s">
        <v>4443</v>
      </c>
      <c r="CY195" s="509">
        <v>3.6993499999999999</v>
      </c>
      <c r="CZ195" s="509"/>
      <c r="DA195" s="509">
        <f>4.58427-Table66[[#This Row],[Data_Outcome1_M]]</f>
        <v>0.88492000000000015</v>
      </c>
      <c r="DB195" s="510" t="s">
        <v>4447</v>
      </c>
      <c r="DC195" s="509">
        <v>5.5321400000000001</v>
      </c>
      <c r="DD195" s="509"/>
      <c r="DE195" s="509">
        <f>6.2991-Table66[[#This Row],[Data_Outcome2_M]]</f>
        <v>0.76696000000000009</v>
      </c>
      <c r="DF195" s="515"/>
      <c r="DG195" s="513"/>
      <c r="DH195" s="956"/>
      <c r="DI195" s="1194"/>
      <c r="DJ195" s="1194"/>
      <c r="DK195" s="1194"/>
      <c r="DL195" s="956"/>
      <c r="DM195" s="1194"/>
      <c r="DN195" s="1194"/>
      <c r="DO195" s="1194"/>
      <c r="DP195" s="515"/>
      <c r="DQ195" s="513"/>
      <c r="DR195" s="1182"/>
      <c r="DS195" s="956"/>
      <c r="DT195" s="956"/>
      <c r="DU195" s="635"/>
      <c r="DV195" s="1194"/>
      <c r="DW195" s="635"/>
      <c r="DX195" s="956"/>
      <c r="DY195" s="1194"/>
      <c r="DZ195" s="1194"/>
      <c r="EA195" s="1194"/>
      <c r="EB195" s="515"/>
      <c r="EC195" s="1694"/>
      <c r="ED195" s="956"/>
      <c r="EE195" s="1194"/>
      <c r="EF195" s="1194"/>
      <c r="EG195" s="1194"/>
      <c r="EH195" s="956"/>
      <c r="EI195" s="1194"/>
      <c r="EJ195" s="1194"/>
      <c r="EK195" s="1194"/>
      <c r="EL195" s="1182"/>
      <c r="EM195" s="1194"/>
      <c r="EN195" s="1182"/>
      <c r="EO195" s="1194"/>
      <c r="EP195" s="956"/>
      <c r="EQ195" s="1194"/>
      <c r="ER195" s="1194"/>
      <c r="ES195" s="1194"/>
      <c r="ET195" s="956"/>
      <c r="EU195" s="1194"/>
      <c r="EV195" s="1194"/>
      <c r="EW195" s="1194"/>
      <c r="EX195" s="1194"/>
      <c r="EY195" s="1194"/>
      <c r="EZ195" s="956"/>
      <c r="FA195" s="1194"/>
      <c r="FB195" s="1194"/>
      <c r="FC195" s="1194"/>
      <c r="FD195" s="956"/>
      <c r="FE195" s="1194"/>
      <c r="FF195" s="1194"/>
      <c r="FG195" s="1194"/>
      <c r="FH195" s="1194"/>
      <c r="FI195" s="1194"/>
      <c r="FJ195" s="1194"/>
    </row>
    <row r="196" spans="1:166" s="717" customFormat="1" ht="15" hidden="1" customHeight="1">
      <c r="A196" s="153" t="s">
        <v>1063</v>
      </c>
      <c r="B196" s="1097">
        <v>114</v>
      </c>
      <c r="C196" s="1097">
        <v>27</v>
      </c>
      <c r="D196" s="1097"/>
      <c r="E196" s="1098" t="s">
        <v>2071</v>
      </c>
      <c r="F196" s="1021" t="s">
        <v>2323</v>
      </c>
      <c r="G196" s="1099">
        <v>2012</v>
      </c>
      <c r="H196" s="153">
        <v>22701407</v>
      </c>
      <c r="I196" s="153">
        <v>1</v>
      </c>
      <c r="J196" s="153"/>
      <c r="K196" s="153"/>
      <c r="L196" s="153">
        <v>1</v>
      </c>
      <c r="M196" s="153"/>
      <c r="N196" s="153">
        <v>1</v>
      </c>
      <c r="O196" s="153">
        <v>2</v>
      </c>
      <c r="P196" s="153" t="s">
        <v>1258</v>
      </c>
      <c r="Q196" s="153" t="s">
        <v>1147</v>
      </c>
      <c r="R196" s="153" t="s">
        <v>1321</v>
      </c>
      <c r="S196" s="153"/>
      <c r="T196" s="153" t="s">
        <v>1495</v>
      </c>
      <c r="U196" s="153"/>
      <c r="V196" s="153"/>
      <c r="W196" s="153" t="s">
        <v>1681</v>
      </c>
      <c r="X196" s="153"/>
      <c r="Y196" s="153"/>
      <c r="Z196" s="153"/>
      <c r="AA196" s="153"/>
      <c r="AB196" s="153"/>
      <c r="AC196" s="536"/>
      <c r="AD196" s="536">
        <v>1</v>
      </c>
      <c r="AE196" s="536">
        <v>2</v>
      </c>
      <c r="AF196" s="576">
        <v>0</v>
      </c>
      <c r="AG196" s="1686" t="s">
        <v>7833</v>
      </c>
      <c r="AH196" s="509"/>
      <c r="AI196" s="509">
        <v>4</v>
      </c>
      <c r="AJ196" s="509"/>
      <c r="AK196" s="512" t="s">
        <v>4431</v>
      </c>
      <c r="AL196" s="513" t="s">
        <v>7800</v>
      </c>
      <c r="AM196" s="514">
        <v>0</v>
      </c>
      <c r="AN196" s="635">
        <v>36</v>
      </c>
      <c r="AO196" s="509">
        <v>9</v>
      </c>
      <c r="AP196" s="509">
        <f>Table66[[#This Row],[Data_Subjects_n]]-Table66[[#This Row],[Data_Subjects_n_ptsd]]</f>
        <v>27</v>
      </c>
      <c r="AQ196" s="509" t="s">
        <v>803</v>
      </c>
      <c r="AR196" s="509" t="s">
        <v>803</v>
      </c>
      <c r="AS196" s="509" t="s">
        <v>7494</v>
      </c>
      <c r="AT196" s="509" t="s">
        <v>24</v>
      </c>
      <c r="AU196" s="509" t="s">
        <v>7494</v>
      </c>
      <c r="AV196" s="509" t="s">
        <v>24</v>
      </c>
      <c r="AW196" s="509" t="s">
        <v>4423</v>
      </c>
      <c r="AX196" s="509"/>
      <c r="AY196" s="509"/>
      <c r="AZ196" s="509" t="s">
        <v>7317</v>
      </c>
      <c r="BA196" s="509">
        <v>1</v>
      </c>
      <c r="BB196" s="509">
        <v>1</v>
      </c>
      <c r="BC196" s="509" t="s">
        <v>4422</v>
      </c>
      <c r="BD196" s="509" t="s">
        <v>7521</v>
      </c>
      <c r="BE196" s="509"/>
      <c r="BF196" s="509" t="s">
        <v>1321</v>
      </c>
      <c r="BG196" s="509" t="s">
        <v>4421</v>
      </c>
      <c r="BH196" s="513"/>
      <c r="BI196" s="513"/>
      <c r="BJ196" s="511"/>
      <c r="BK196" s="511"/>
      <c r="BL196" s="511"/>
      <c r="BM196" s="511"/>
      <c r="BN196" s="511"/>
      <c r="BO196" s="511"/>
      <c r="BP196" s="511">
        <v>1</v>
      </c>
      <c r="BQ196" s="511"/>
      <c r="BR196" s="511"/>
      <c r="BS196" s="511"/>
      <c r="BT196" s="511"/>
      <c r="BU196" s="511"/>
      <c r="BV196" s="511"/>
      <c r="BW196" s="511" t="s">
        <v>4418</v>
      </c>
      <c r="BX196" s="510" t="s">
        <v>6613</v>
      </c>
      <c r="BY196" s="510" t="s">
        <v>7614</v>
      </c>
      <c r="BZ196" s="510" t="s">
        <v>7799</v>
      </c>
      <c r="CA196" s="511">
        <v>2</v>
      </c>
      <c r="CB196" s="511" t="s">
        <v>7563</v>
      </c>
      <c r="CC196" s="511" t="s">
        <v>24</v>
      </c>
      <c r="CD196" s="509" t="s">
        <v>1876</v>
      </c>
      <c r="CE196" s="509">
        <v>2</v>
      </c>
      <c r="CF196" s="509"/>
      <c r="CG196" s="509" t="s">
        <v>8169</v>
      </c>
      <c r="CH196" s="509" t="s">
        <v>1511</v>
      </c>
      <c r="CI196" s="509" t="s">
        <v>4416</v>
      </c>
      <c r="CJ196" s="509"/>
      <c r="CK196" s="509" t="s">
        <v>4430</v>
      </c>
      <c r="CL196" s="509"/>
      <c r="CM196" s="515" t="s">
        <v>4472</v>
      </c>
      <c r="CN196" s="621">
        <v>0</v>
      </c>
      <c r="CO196" s="715"/>
      <c r="CP196" s="621"/>
      <c r="CQ196" s="621"/>
      <c r="CR196" s="621"/>
      <c r="CS196" s="715">
        <v>-1</v>
      </c>
      <c r="CT196" s="715" t="s">
        <v>7838</v>
      </c>
      <c r="CU196" s="715"/>
      <c r="CV196" s="715"/>
      <c r="CW196" s="715"/>
      <c r="CX196" s="510" t="s">
        <v>4449</v>
      </c>
      <c r="CY196" s="635">
        <v>4.0882399999999999</v>
      </c>
      <c r="CZ196" s="509"/>
      <c r="DA196" s="635">
        <f>4.67647-Table66[[#This Row],[Data_Outcome1_M]]</f>
        <v>0.58823000000000025</v>
      </c>
      <c r="DB196" s="510" t="s">
        <v>4452</v>
      </c>
      <c r="DC196" s="509">
        <v>4.23529</v>
      </c>
      <c r="DD196" s="1194"/>
      <c r="DE196" s="509">
        <f>4.73529-Table66[[#This Row],[Data_Outcome2_M]]</f>
        <v>0.5</v>
      </c>
      <c r="DF196" s="515"/>
      <c r="DG196" s="513"/>
      <c r="DH196" s="510"/>
      <c r="DI196" s="509"/>
      <c r="DJ196" s="1194"/>
      <c r="DK196" s="509"/>
      <c r="DL196" s="956"/>
      <c r="DM196" s="509"/>
      <c r="DN196" s="1194"/>
      <c r="DO196" s="509"/>
      <c r="DP196" s="515"/>
      <c r="DQ196" s="513"/>
      <c r="DR196" s="1182"/>
      <c r="DS196" s="956"/>
      <c r="DT196" s="956"/>
      <c r="DU196" s="635"/>
      <c r="DV196" s="1194"/>
      <c r="DW196" s="635"/>
      <c r="DX196" s="956"/>
      <c r="DY196" s="509"/>
      <c r="DZ196" s="1194"/>
      <c r="EA196" s="509"/>
      <c r="EB196" s="515"/>
      <c r="EC196" s="1694"/>
      <c r="ED196" s="956"/>
      <c r="EE196" s="1194"/>
      <c r="EF196" s="1194"/>
      <c r="EG196" s="1194"/>
      <c r="EH196" s="956"/>
      <c r="EI196" s="1194"/>
      <c r="EJ196" s="1194"/>
      <c r="EK196" s="1194"/>
      <c r="EL196" s="1182"/>
      <c r="EM196" s="1194"/>
      <c r="EN196" s="1182"/>
      <c r="EO196" s="1194"/>
      <c r="EP196" s="956"/>
      <c r="EQ196" s="1194"/>
      <c r="ER196" s="1194"/>
      <c r="ES196" s="1194"/>
      <c r="ET196" s="956"/>
      <c r="EU196" s="1194"/>
      <c r="EV196" s="1194"/>
      <c r="EW196" s="1194"/>
      <c r="EX196" s="1194"/>
      <c r="EY196" s="1194"/>
      <c r="EZ196" s="956"/>
      <c r="FA196" s="1194"/>
      <c r="FB196" s="1194"/>
      <c r="FC196" s="1194"/>
      <c r="FD196" s="956"/>
      <c r="FE196" s="1194"/>
      <c r="FF196" s="1194"/>
      <c r="FG196" s="1194"/>
      <c r="FH196" s="1194"/>
      <c r="FI196" s="1194"/>
      <c r="FJ196" s="1194"/>
    </row>
    <row r="197" spans="1:166" s="1303" customFormat="1" ht="15" hidden="1" customHeight="1">
      <c r="A197" s="153" t="s">
        <v>1063</v>
      </c>
      <c r="B197" s="1097">
        <v>114</v>
      </c>
      <c r="C197" s="1097">
        <v>27</v>
      </c>
      <c r="D197" s="1097"/>
      <c r="E197" s="1098" t="s">
        <v>2071</v>
      </c>
      <c r="F197" s="1021" t="s">
        <v>2323</v>
      </c>
      <c r="G197" s="1099">
        <v>2012</v>
      </c>
      <c r="H197" s="153">
        <v>22701407</v>
      </c>
      <c r="I197" s="153">
        <v>1</v>
      </c>
      <c r="J197" s="153"/>
      <c r="K197" s="153"/>
      <c r="L197" s="153">
        <v>1</v>
      </c>
      <c r="M197" s="153"/>
      <c r="N197" s="153">
        <v>1</v>
      </c>
      <c r="O197" s="153">
        <v>2</v>
      </c>
      <c r="P197" s="153" t="s">
        <v>1258</v>
      </c>
      <c r="Q197" s="153" t="s">
        <v>1147</v>
      </c>
      <c r="R197" s="153" t="s">
        <v>1321</v>
      </c>
      <c r="S197" s="153"/>
      <c r="T197" s="153" t="s">
        <v>1495</v>
      </c>
      <c r="U197" s="153"/>
      <c r="V197" s="153"/>
      <c r="W197" s="153" t="s">
        <v>1681</v>
      </c>
      <c r="X197" s="153"/>
      <c r="Y197" s="153"/>
      <c r="Z197" s="153"/>
      <c r="AA197" s="153"/>
      <c r="AB197" s="153"/>
      <c r="AC197" s="536"/>
      <c r="AD197" s="536">
        <v>1</v>
      </c>
      <c r="AE197" s="536">
        <v>2</v>
      </c>
      <c r="AF197" s="576">
        <v>0</v>
      </c>
      <c r="AG197" s="1686" t="s">
        <v>7833</v>
      </c>
      <c r="AH197" s="509"/>
      <c r="AI197" s="509">
        <v>4</v>
      </c>
      <c r="AJ197" s="509"/>
      <c r="AK197" s="512" t="s">
        <v>4431</v>
      </c>
      <c r="AL197" s="513" t="s">
        <v>7800</v>
      </c>
      <c r="AM197" s="514">
        <v>0</v>
      </c>
      <c r="AN197" s="635">
        <v>36</v>
      </c>
      <c r="AO197" s="509">
        <v>9</v>
      </c>
      <c r="AP197" s="509">
        <f>Table66[[#This Row],[Data_Subjects_n]]-Table66[[#This Row],[Data_Subjects_n_ptsd]]</f>
        <v>27</v>
      </c>
      <c r="AQ197" s="509" t="s">
        <v>803</v>
      </c>
      <c r="AR197" s="509" t="s">
        <v>803</v>
      </c>
      <c r="AS197" s="509" t="s">
        <v>7494</v>
      </c>
      <c r="AT197" s="509" t="s">
        <v>24</v>
      </c>
      <c r="AU197" s="509" t="s">
        <v>7494</v>
      </c>
      <c r="AV197" s="509" t="s">
        <v>24</v>
      </c>
      <c r="AW197" s="509" t="s">
        <v>4423</v>
      </c>
      <c r="AX197" s="509"/>
      <c r="AY197" s="509"/>
      <c r="AZ197" s="509" t="s">
        <v>7317</v>
      </c>
      <c r="BA197" s="509">
        <v>1</v>
      </c>
      <c r="BB197" s="509">
        <v>1</v>
      </c>
      <c r="BC197" s="509" t="s">
        <v>4422</v>
      </c>
      <c r="BD197" s="509" t="s">
        <v>7521</v>
      </c>
      <c r="BE197" s="509"/>
      <c r="BF197" s="509" t="s">
        <v>1321</v>
      </c>
      <c r="BG197" s="509" t="s">
        <v>4421</v>
      </c>
      <c r="BH197" s="513"/>
      <c r="BI197" s="513"/>
      <c r="BJ197" s="511"/>
      <c r="BK197" s="511"/>
      <c r="BL197" s="511"/>
      <c r="BM197" s="511"/>
      <c r="BN197" s="511"/>
      <c r="BO197" s="511"/>
      <c r="BP197" s="511">
        <v>1</v>
      </c>
      <c r="BQ197" s="511"/>
      <c r="BR197" s="511"/>
      <c r="BS197" s="511"/>
      <c r="BT197" s="511"/>
      <c r="BU197" s="511"/>
      <c r="BV197" s="511"/>
      <c r="BW197" s="511" t="s">
        <v>4418</v>
      </c>
      <c r="BX197" s="510" t="s">
        <v>6613</v>
      </c>
      <c r="BY197" s="510" t="s">
        <v>7614</v>
      </c>
      <c r="BZ197" s="510" t="s">
        <v>7799</v>
      </c>
      <c r="CA197" s="511">
        <v>2</v>
      </c>
      <c r="CB197" s="511" t="s">
        <v>7563</v>
      </c>
      <c r="CC197" s="511" t="s">
        <v>24</v>
      </c>
      <c r="CD197" s="509" t="s">
        <v>1876</v>
      </c>
      <c r="CE197" s="509">
        <v>2</v>
      </c>
      <c r="CF197" s="509"/>
      <c r="CG197" s="509" t="s">
        <v>8169</v>
      </c>
      <c r="CH197" s="509" t="s">
        <v>1511</v>
      </c>
      <c r="CI197" s="509" t="s">
        <v>4416</v>
      </c>
      <c r="CJ197" s="509"/>
      <c r="CK197" s="509" t="s">
        <v>4430</v>
      </c>
      <c r="CL197" s="509"/>
      <c r="CM197" s="515" t="s">
        <v>4472</v>
      </c>
      <c r="CN197" s="621">
        <v>0</v>
      </c>
      <c r="CO197" s="715"/>
      <c r="CP197" s="621"/>
      <c r="CQ197" s="621"/>
      <c r="CR197" s="621"/>
      <c r="CS197" s="715">
        <v>-1</v>
      </c>
      <c r="CT197" s="715" t="s">
        <v>7838</v>
      </c>
      <c r="CU197" s="715"/>
      <c r="CV197" s="715"/>
      <c r="CW197" s="715"/>
      <c r="CX197" s="510" t="s">
        <v>4455</v>
      </c>
      <c r="CY197" s="509">
        <v>3.3823500000000002</v>
      </c>
      <c r="CZ197" s="509"/>
      <c r="DA197" s="509">
        <f>4.26471-Table66[[#This Row],[Data_Outcome1_M]]</f>
        <v>0.88235999999999981</v>
      </c>
      <c r="DB197" s="510" t="s">
        <v>4458</v>
      </c>
      <c r="DC197" s="509">
        <v>3.5</v>
      </c>
      <c r="DD197" s="509"/>
      <c r="DE197" s="1690">
        <f>4.11765-Table66[[#This Row],[Data_Outcome2_M]]</f>
        <v>0.61765000000000025</v>
      </c>
      <c r="DF197" s="513" t="s">
        <v>4461</v>
      </c>
      <c r="DG197" s="513" t="s">
        <v>4460</v>
      </c>
      <c r="DH197" s="956"/>
      <c r="DI197" s="1194"/>
      <c r="DJ197" s="1194"/>
      <c r="DK197" s="1194"/>
      <c r="DL197" s="956"/>
      <c r="DM197" s="1194"/>
      <c r="DN197" s="1194"/>
      <c r="DO197" s="1194"/>
      <c r="DP197" s="515"/>
      <c r="DQ197" s="513"/>
      <c r="DR197" s="1182"/>
      <c r="DS197" s="956"/>
      <c r="DT197" s="956"/>
      <c r="DU197" s="635"/>
      <c r="DV197" s="1194"/>
      <c r="DW197" s="635"/>
      <c r="DX197" s="956"/>
      <c r="DY197" s="1194"/>
      <c r="DZ197" s="1194"/>
      <c r="EA197" s="1194"/>
      <c r="EB197" s="515"/>
      <c r="EC197" s="1694"/>
      <c r="ED197" s="956"/>
      <c r="EE197" s="1194"/>
      <c r="EF197" s="1194"/>
      <c r="EG197" s="1194"/>
      <c r="EH197" s="956"/>
      <c r="EI197" s="1194"/>
      <c r="EJ197" s="1194"/>
      <c r="EK197" s="1194"/>
      <c r="EL197" s="1182"/>
      <c r="EM197" s="1194"/>
      <c r="EN197" s="1182"/>
      <c r="EO197" s="1194"/>
      <c r="EP197" s="956"/>
      <c r="EQ197" s="1194"/>
      <c r="ER197" s="1194"/>
      <c r="ES197" s="1194"/>
      <c r="ET197" s="956"/>
      <c r="EU197" s="1194"/>
      <c r="EV197" s="1194"/>
      <c r="EW197" s="1194"/>
      <c r="EX197" s="1194"/>
      <c r="EY197" s="1194"/>
      <c r="EZ197" s="956"/>
      <c r="FA197" s="1194"/>
      <c r="FB197" s="1194"/>
      <c r="FC197" s="1194"/>
      <c r="FD197" s="956"/>
      <c r="FE197" s="1194"/>
      <c r="FF197" s="1194"/>
      <c r="FG197" s="1194"/>
      <c r="FH197" s="1194"/>
      <c r="FI197" s="1194"/>
      <c r="FJ197" s="1194"/>
    </row>
    <row r="198" spans="1:166" s="717" customFormat="1" ht="15" hidden="1" customHeight="1">
      <c r="A198" s="1304" t="s">
        <v>1063</v>
      </c>
      <c r="B198" s="1324">
        <v>114</v>
      </c>
      <c r="C198" s="1324">
        <v>27</v>
      </c>
      <c r="D198" s="1324"/>
      <c r="E198" s="1325" t="s">
        <v>2071</v>
      </c>
      <c r="F198" s="1326" t="s">
        <v>2323</v>
      </c>
      <c r="G198" s="1327">
        <v>2012</v>
      </c>
      <c r="H198" s="1304">
        <v>22701407</v>
      </c>
      <c r="I198" s="1304">
        <v>1</v>
      </c>
      <c r="J198" s="1304"/>
      <c r="K198" s="1304"/>
      <c r="L198" s="1304">
        <v>1</v>
      </c>
      <c r="M198" s="1304"/>
      <c r="N198" s="1304">
        <v>1</v>
      </c>
      <c r="O198" s="1304">
        <v>2</v>
      </c>
      <c r="P198" s="1304" t="s">
        <v>1258</v>
      </c>
      <c r="Q198" s="1304" t="s">
        <v>1147</v>
      </c>
      <c r="R198" s="1304" t="s">
        <v>1321</v>
      </c>
      <c r="S198" s="1304"/>
      <c r="T198" s="1304" t="s">
        <v>1495</v>
      </c>
      <c r="U198" s="1304"/>
      <c r="V198" s="1304"/>
      <c r="W198" s="1304" t="s">
        <v>1681</v>
      </c>
      <c r="X198" s="1304"/>
      <c r="Y198" s="1304"/>
      <c r="Z198" s="1304"/>
      <c r="AA198" s="1304"/>
      <c r="AB198" s="1304"/>
      <c r="AC198" s="1328"/>
      <c r="AD198" s="1328">
        <v>1</v>
      </c>
      <c r="AE198" s="1328">
        <v>2</v>
      </c>
      <c r="AF198" s="1329">
        <v>0</v>
      </c>
      <c r="AG198" s="1691" t="s">
        <v>8136</v>
      </c>
      <c r="AH198" s="1328"/>
      <c r="AI198" s="1328">
        <v>4</v>
      </c>
      <c r="AJ198" s="1328"/>
      <c r="AK198" s="1331" t="s">
        <v>4431</v>
      </c>
      <c r="AL198" s="513" t="s">
        <v>7834</v>
      </c>
      <c r="AM198" s="1332">
        <v>0</v>
      </c>
      <c r="AN198" s="1304">
        <v>36</v>
      </c>
      <c r="AO198" s="1328">
        <v>9</v>
      </c>
      <c r="AP198" s="1328">
        <f>Table66[[#This Row],[Data_Subjects_n]]-Table66[[#This Row],[Data_Subjects_n_ptsd]]</f>
        <v>27</v>
      </c>
      <c r="AQ198" s="1328" t="s">
        <v>803</v>
      </c>
      <c r="AR198" s="1328" t="s">
        <v>803</v>
      </c>
      <c r="AS198" s="1328" t="s">
        <v>7494</v>
      </c>
      <c r="AT198" s="1328" t="s">
        <v>24</v>
      </c>
      <c r="AU198" s="1328" t="s">
        <v>7494</v>
      </c>
      <c r="AV198" s="1328" t="s">
        <v>24</v>
      </c>
      <c r="AW198" s="1328" t="s">
        <v>4423</v>
      </c>
      <c r="AX198" s="1328"/>
      <c r="AY198" s="1328"/>
      <c r="AZ198" s="1328" t="s">
        <v>7317</v>
      </c>
      <c r="BA198" s="1328">
        <v>1</v>
      </c>
      <c r="BB198" s="1328">
        <v>1</v>
      </c>
      <c r="BC198" s="1328" t="s">
        <v>4422</v>
      </c>
      <c r="BD198" s="1328" t="s">
        <v>7521</v>
      </c>
      <c r="BE198" s="1328"/>
      <c r="BF198" s="1328" t="s">
        <v>1321</v>
      </c>
      <c r="BG198" s="1328" t="s">
        <v>4421</v>
      </c>
      <c r="BH198" s="1326"/>
      <c r="BI198" s="1326"/>
      <c r="BJ198" s="1333"/>
      <c r="BK198" s="1333"/>
      <c r="BL198" s="1333"/>
      <c r="BM198" s="1333"/>
      <c r="BN198" s="1333"/>
      <c r="BO198" s="1333"/>
      <c r="BP198" s="1333">
        <v>1</v>
      </c>
      <c r="BQ198" s="1333"/>
      <c r="BR198" s="1333"/>
      <c r="BS198" s="1333"/>
      <c r="BT198" s="1333"/>
      <c r="BU198" s="1333"/>
      <c r="BV198" s="1333"/>
      <c r="BW198" s="1333" t="s">
        <v>4418</v>
      </c>
      <c r="BX198" s="1334" t="s">
        <v>6613</v>
      </c>
      <c r="BY198" s="1334" t="s">
        <v>7614</v>
      </c>
      <c r="BZ198" s="1334" t="s">
        <v>803</v>
      </c>
      <c r="CA198" s="1333">
        <v>2</v>
      </c>
      <c r="CB198" s="1333" t="s">
        <v>7563</v>
      </c>
      <c r="CC198" s="1333" t="s">
        <v>24</v>
      </c>
      <c r="CD198" s="1328" t="s">
        <v>1876</v>
      </c>
      <c r="CE198" s="1328">
        <v>2</v>
      </c>
      <c r="CF198" s="1328"/>
      <c r="CG198" s="1328" t="s">
        <v>8170</v>
      </c>
      <c r="CH198" s="1328" t="s">
        <v>1511</v>
      </c>
      <c r="CI198" s="1328" t="s">
        <v>4416</v>
      </c>
      <c r="CJ198" s="1328"/>
      <c r="CK198" s="1328" t="s">
        <v>4430</v>
      </c>
      <c r="CL198" s="1328"/>
      <c r="CM198" s="1335" t="s">
        <v>4472</v>
      </c>
      <c r="CN198" s="1336">
        <v>0</v>
      </c>
      <c r="CO198" s="715">
        <v>23</v>
      </c>
      <c r="CP198" s="1336">
        <v>2</v>
      </c>
      <c r="CQ198" s="1336">
        <v>2</v>
      </c>
      <c r="CR198" s="1336">
        <v>0</v>
      </c>
      <c r="CS198" s="1336">
        <v>1</v>
      </c>
      <c r="CT198" s="1336"/>
      <c r="CU198" s="1336" t="s">
        <v>1878</v>
      </c>
      <c r="CV198" s="1335">
        <v>80</v>
      </c>
      <c r="CW198" s="1335">
        <v>72</v>
      </c>
      <c r="CX198" s="1334" t="s">
        <v>4464</v>
      </c>
      <c r="CY198" s="1328">
        <v>0.25952799999999998</v>
      </c>
      <c r="CZ198" s="1328"/>
      <c r="DA198" s="1328">
        <f>0.355747-Table66[[#This Row],[Data_Outcome1_M]]</f>
        <v>9.6218999999999999E-2</v>
      </c>
      <c r="DB198" s="1334" t="s">
        <v>4467</v>
      </c>
      <c r="DC198" s="1328">
        <v>0.25079299999999999</v>
      </c>
      <c r="DD198" s="1328"/>
      <c r="DE198" s="1328">
        <f>0.33069-Table66[[#This Row],[Data_Outcome2_M]]</f>
        <v>7.9896999999999996E-2</v>
      </c>
      <c r="DF198" s="1328" t="s">
        <v>3229</v>
      </c>
      <c r="DG198" s="1328"/>
      <c r="DH198" s="1340"/>
      <c r="DI198" s="1337"/>
      <c r="DJ198" s="1337"/>
      <c r="DK198" s="1337"/>
      <c r="DL198" s="1340"/>
      <c r="DM198" s="1337"/>
      <c r="DN198" s="1337"/>
      <c r="DO198" s="1337"/>
      <c r="DP198" s="1335"/>
      <c r="DQ198" s="1326"/>
      <c r="DR198" s="1339"/>
      <c r="DS198" s="1340"/>
      <c r="DT198" s="1340"/>
      <c r="DU198" s="1304"/>
      <c r="DV198" s="1337"/>
      <c r="DW198" s="1304"/>
      <c r="DX198" s="1340"/>
      <c r="DY198" s="1337"/>
      <c r="DZ198" s="1337"/>
      <c r="EA198" s="1337"/>
      <c r="EB198" s="1335"/>
      <c r="EC198" s="1327"/>
      <c r="ED198" s="1340"/>
      <c r="EE198" s="1337"/>
      <c r="EF198" s="1337"/>
      <c r="EG198" s="1337"/>
      <c r="EH198" s="1340"/>
      <c r="EI198" s="1337"/>
      <c r="EJ198" s="1337"/>
      <c r="EK198" s="1337"/>
      <c r="EL198" s="1339"/>
      <c r="EM198" s="1337"/>
      <c r="EN198" s="1339"/>
      <c r="EO198" s="1337"/>
      <c r="EP198" s="1340"/>
      <c r="EQ198" s="1337"/>
      <c r="ER198" s="1337"/>
      <c r="ES198" s="1337"/>
      <c r="ET198" s="1340"/>
      <c r="EU198" s="1337"/>
      <c r="EV198" s="1337"/>
      <c r="EW198" s="1337"/>
      <c r="EX198" s="1337"/>
      <c r="EY198" s="1337"/>
      <c r="EZ198" s="1340"/>
      <c r="FA198" s="1337"/>
      <c r="FB198" s="1337"/>
      <c r="FC198" s="1337"/>
      <c r="FD198" s="1340"/>
      <c r="FE198" s="1337"/>
      <c r="FF198" s="1337"/>
      <c r="FG198" s="1337"/>
      <c r="FH198" s="1337"/>
      <c r="FI198" s="1337"/>
      <c r="FJ198" s="1337"/>
    </row>
    <row r="199" spans="1:166" s="717" customFormat="1" ht="15" hidden="1" customHeight="1">
      <c r="A199" s="153" t="s">
        <v>1063</v>
      </c>
      <c r="B199" s="1097">
        <v>114</v>
      </c>
      <c r="C199" s="1097">
        <v>27</v>
      </c>
      <c r="D199" s="1097"/>
      <c r="E199" s="1098" t="s">
        <v>2071</v>
      </c>
      <c r="F199" s="1021" t="s">
        <v>2323</v>
      </c>
      <c r="G199" s="1099">
        <v>2012</v>
      </c>
      <c r="H199" s="153">
        <v>22701407</v>
      </c>
      <c r="I199" s="153">
        <v>1</v>
      </c>
      <c r="J199" s="153"/>
      <c r="K199" s="153"/>
      <c r="L199" s="153">
        <v>1</v>
      </c>
      <c r="M199" s="153"/>
      <c r="N199" s="153">
        <v>1</v>
      </c>
      <c r="O199" s="153">
        <v>2</v>
      </c>
      <c r="P199" s="153" t="s">
        <v>1258</v>
      </c>
      <c r="Q199" s="153" t="s">
        <v>1147</v>
      </c>
      <c r="R199" s="153" t="s">
        <v>1321</v>
      </c>
      <c r="S199" s="153"/>
      <c r="T199" s="153" t="s">
        <v>1495</v>
      </c>
      <c r="U199" s="153"/>
      <c r="V199" s="153"/>
      <c r="W199" s="153" t="s">
        <v>1681</v>
      </c>
      <c r="X199" s="153"/>
      <c r="Y199" s="153"/>
      <c r="Z199" s="153"/>
      <c r="AA199" s="153"/>
      <c r="AB199" s="153"/>
      <c r="AC199" s="536"/>
      <c r="AD199" s="536">
        <v>1</v>
      </c>
      <c r="AE199" s="536">
        <v>2</v>
      </c>
      <c r="AF199" s="576">
        <v>0</v>
      </c>
      <c r="AG199" s="1686" t="s">
        <v>7798</v>
      </c>
      <c r="AH199" s="509"/>
      <c r="AI199" s="509">
        <v>4</v>
      </c>
      <c r="AJ199" s="509"/>
      <c r="AK199" s="512" t="s">
        <v>4431</v>
      </c>
      <c r="AL199" s="513" t="s">
        <v>7800</v>
      </c>
      <c r="AM199" s="514">
        <v>0</v>
      </c>
      <c r="AN199" s="635">
        <v>31</v>
      </c>
      <c r="AO199" s="509">
        <v>12</v>
      </c>
      <c r="AP199" s="509">
        <f>Table66[[#This Row],[Data_Subjects_n]]-Table66[[#This Row],[Data_Subjects_n_ptsd]]</f>
        <v>19</v>
      </c>
      <c r="AQ199" s="509" t="s">
        <v>803</v>
      </c>
      <c r="AR199" s="509" t="s">
        <v>803</v>
      </c>
      <c r="AS199" s="509" t="s">
        <v>7498</v>
      </c>
      <c r="AT199" s="509" t="s">
        <v>24</v>
      </c>
      <c r="AU199" s="509" t="s">
        <v>7498</v>
      </c>
      <c r="AV199" s="509" t="s">
        <v>24</v>
      </c>
      <c r="AW199" s="509" t="s">
        <v>4423</v>
      </c>
      <c r="AX199" s="509"/>
      <c r="AY199" s="509"/>
      <c r="AZ199" s="509" t="s">
        <v>7317</v>
      </c>
      <c r="BA199" s="509">
        <v>1</v>
      </c>
      <c r="BB199" s="509">
        <v>1</v>
      </c>
      <c r="BC199" s="509" t="s">
        <v>4422</v>
      </c>
      <c r="BD199" s="509" t="s">
        <v>7521</v>
      </c>
      <c r="BE199" s="509"/>
      <c r="BF199" s="509" t="s">
        <v>1321</v>
      </c>
      <c r="BG199" s="509" t="s">
        <v>4421</v>
      </c>
      <c r="BH199" s="513"/>
      <c r="BI199" s="513"/>
      <c r="BJ199" s="511"/>
      <c r="BK199" s="511"/>
      <c r="BL199" s="511"/>
      <c r="BM199" s="511"/>
      <c r="BN199" s="511"/>
      <c r="BO199" s="511"/>
      <c r="BP199" s="511">
        <v>1</v>
      </c>
      <c r="BQ199" s="511"/>
      <c r="BR199" s="511"/>
      <c r="BS199" s="511"/>
      <c r="BT199" s="511"/>
      <c r="BU199" s="511"/>
      <c r="BV199" s="511"/>
      <c r="BW199" s="511" t="s">
        <v>4417</v>
      </c>
      <c r="BX199" s="510" t="s">
        <v>6612</v>
      </c>
      <c r="BY199" s="510" t="s">
        <v>7617</v>
      </c>
      <c r="BZ199" s="510" t="s">
        <v>7799</v>
      </c>
      <c r="CA199" s="511">
        <v>2</v>
      </c>
      <c r="CB199" s="511" t="s">
        <v>7563</v>
      </c>
      <c r="CC199" s="511" t="s">
        <v>24</v>
      </c>
      <c r="CD199" s="509" t="s">
        <v>1876</v>
      </c>
      <c r="CE199" s="509">
        <v>2</v>
      </c>
      <c r="CF199" s="509"/>
      <c r="CG199" s="509" t="s">
        <v>8171</v>
      </c>
      <c r="CH199" s="509" t="s">
        <v>1511</v>
      </c>
      <c r="CI199" s="509" t="s">
        <v>4416</v>
      </c>
      <c r="CJ199" s="509"/>
      <c r="CK199" s="509" t="s">
        <v>4430</v>
      </c>
      <c r="CL199" s="509"/>
      <c r="CM199" s="515" t="s">
        <v>4471</v>
      </c>
      <c r="CN199" s="621">
        <v>0</v>
      </c>
      <c r="CO199" s="715"/>
      <c r="CP199" s="621"/>
      <c r="CQ199" s="621"/>
      <c r="CR199" s="621"/>
      <c r="CS199" s="621"/>
      <c r="CT199" s="715" t="s">
        <v>7838</v>
      </c>
      <c r="CU199" s="715"/>
      <c r="CV199" s="715"/>
      <c r="CW199" s="715"/>
      <c r="CX199" s="510" t="s">
        <v>4424</v>
      </c>
      <c r="CY199" s="509">
        <v>41.484499999999997</v>
      </c>
      <c r="CZ199" s="509"/>
      <c r="DA199" s="509">
        <f>45.1904-Table66[[#This Row],[Data_Outcome1_M]]</f>
        <v>3.7058999999999997</v>
      </c>
      <c r="DB199" s="510" t="s">
        <v>4427</v>
      </c>
      <c r="DC199" s="509">
        <v>41.832000000000001</v>
      </c>
      <c r="DD199" s="509"/>
      <c r="DE199" s="509">
        <f>44.6555-Table66[[#This Row],[Data_Outcome2_M]]</f>
        <v>2.8235000000000028</v>
      </c>
      <c r="DF199" s="621" t="s">
        <v>8091</v>
      </c>
      <c r="DG199" s="509" t="s">
        <v>4434</v>
      </c>
      <c r="DH199" s="1194"/>
      <c r="DI199" s="1194"/>
      <c r="DJ199" s="1194"/>
      <c r="DK199" s="1194"/>
      <c r="DL199" s="1194"/>
      <c r="DM199" s="1194"/>
      <c r="DN199" s="1194"/>
      <c r="DO199" s="1194"/>
      <c r="DP199" s="515"/>
      <c r="DQ199" s="513"/>
      <c r="DR199" s="1182"/>
      <c r="DS199" s="956"/>
      <c r="DT199" s="956"/>
      <c r="DU199" s="635"/>
      <c r="DV199" s="1194"/>
      <c r="DW199" s="635"/>
      <c r="DX199" s="1194"/>
      <c r="DY199" s="1194"/>
      <c r="DZ199" s="1194"/>
      <c r="EA199" s="1194"/>
      <c r="EB199" s="515"/>
      <c r="EC199" s="1694"/>
      <c r="ED199" s="1194"/>
      <c r="EE199" s="1194"/>
      <c r="EF199" s="1194"/>
      <c r="EG199" s="1194"/>
      <c r="EH199" s="1194"/>
      <c r="EI199" s="1194"/>
      <c r="EJ199" s="1194"/>
      <c r="EK199" s="1194"/>
      <c r="EL199" s="1182"/>
      <c r="EM199" s="1194"/>
      <c r="EN199" s="1182"/>
      <c r="EO199" s="1194"/>
      <c r="EP199" s="1194"/>
      <c r="EQ199" s="1194"/>
      <c r="ER199" s="1194"/>
      <c r="ES199" s="1194"/>
      <c r="ET199" s="1194"/>
      <c r="EU199" s="1194"/>
      <c r="EV199" s="1194"/>
      <c r="EW199" s="1194"/>
      <c r="EX199" s="1194"/>
      <c r="EY199" s="1194"/>
      <c r="EZ199" s="1194"/>
      <c r="FA199" s="1194"/>
      <c r="FB199" s="1194"/>
      <c r="FC199" s="1194"/>
      <c r="FD199" s="1194"/>
      <c r="FE199" s="1194"/>
      <c r="FF199" s="1194"/>
      <c r="FG199" s="1194"/>
      <c r="FH199" s="1194"/>
      <c r="FI199" s="1194"/>
      <c r="FJ199" s="1194"/>
    </row>
    <row r="200" spans="1:166" s="717" customFormat="1" ht="15" hidden="1" customHeight="1">
      <c r="A200" s="153" t="s">
        <v>1063</v>
      </c>
      <c r="B200" s="1097">
        <v>114</v>
      </c>
      <c r="C200" s="1097">
        <v>27</v>
      </c>
      <c r="D200" s="1097"/>
      <c r="E200" s="1098" t="s">
        <v>2071</v>
      </c>
      <c r="F200" s="1021" t="s">
        <v>2323</v>
      </c>
      <c r="G200" s="1099">
        <v>2012</v>
      </c>
      <c r="H200" s="153">
        <v>22701407</v>
      </c>
      <c r="I200" s="153">
        <v>1</v>
      </c>
      <c r="J200" s="153"/>
      <c r="K200" s="153"/>
      <c r="L200" s="153">
        <v>1</v>
      </c>
      <c r="M200" s="153"/>
      <c r="N200" s="153">
        <v>1</v>
      </c>
      <c r="O200" s="153">
        <v>2</v>
      </c>
      <c r="P200" s="153" t="s">
        <v>1258</v>
      </c>
      <c r="Q200" s="153" t="s">
        <v>1147</v>
      </c>
      <c r="R200" s="153" t="s">
        <v>1321</v>
      </c>
      <c r="S200" s="153"/>
      <c r="T200" s="153" t="s">
        <v>1495</v>
      </c>
      <c r="U200" s="153"/>
      <c r="V200" s="153"/>
      <c r="W200" s="153" t="s">
        <v>1681</v>
      </c>
      <c r="X200" s="153"/>
      <c r="Y200" s="153"/>
      <c r="Z200" s="153"/>
      <c r="AA200" s="153"/>
      <c r="AB200" s="153"/>
      <c r="AC200" s="536"/>
      <c r="AD200" s="536">
        <v>1</v>
      </c>
      <c r="AE200" s="536">
        <v>2</v>
      </c>
      <c r="AF200" s="576">
        <v>0</v>
      </c>
      <c r="AG200" s="1686" t="s">
        <v>7833</v>
      </c>
      <c r="AH200" s="509"/>
      <c r="AI200" s="509">
        <v>4</v>
      </c>
      <c r="AJ200" s="509"/>
      <c r="AK200" s="512" t="s">
        <v>4431</v>
      </c>
      <c r="AL200" s="513" t="s">
        <v>7800</v>
      </c>
      <c r="AM200" s="514">
        <v>0</v>
      </c>
      <c r="AN200" s="635">
        <v>31</v>
      </c>
      <c r="AO200" s="509">
        <v>12</v>
      </c>
      <c r="AP200" s="509">
        <f>Table66[[#This Row],[Data_Subjects_n]]-Table66[[#This Row],[Data_Subjects_n_ptsd]]</f>
        <v>19</v>
      </c>
      <c r="AQ200" s="509" t="s">
        <v>803</v>
      </c>
      <c r="AR200" s="509" t="s">
        <v>803</v>
      </c>
      <c r="AS200" s="509" t="s">
        <v>7498</v>
      </c>
      <c r="AT200" s="509" t="s">
        <v>24</v>
      </c>
      <c r="AU200" s="509" t="s">
        <v>7498</v>
      </c>
      <c r="AV200" s="509" t="s">
        <v>24</v>
      </c>
      <c r="AW200" s="509" t="s">
        <v>4423</v>
      </c>
      <c r="AX200" s="509"/>
      <c r="AY200" s="509"/>
      <c r="AZ200" s="509" t="s">
        <v>7317</v>
      </c>
      <c r="BA200" s="509">
        <v>1</v>
      </c>
      <c r="BB200" s="509">
        <v>1</v>
      </c>
      <c r="BC200" s="509" t="s">
        <v>4422</v>
      </c>
      <c r="BD200" s="509" t="s">
        <v>7521</v>
      </c>
      <c r="BE200" s="509"/>
      <c r="BF200" s="509" t="s">
        <v>1321</v>
      </c>
      <c r="BG200" s="509" t="s">
        <v>4421</v>
      </c>
      <c r="BH200" s="513"/>
      <c r="BI200" s="513"/>
      <c r="BJ200" s="511"/>
      <c r="BK200" s="511"/>
      <c r="BL200" s="511"/>
      <c r="BM200" s="511"/>
      <c r="BN200" s="511"/>
      <c r="BO200" s="511"/>
      <c r="BP200" s="511">
        <v>1</v>
      </c>
      <c r="BQ200" s="511"/>
      <c r="BR200" s="511"/>
      <c r="BS200" s="511"/>
      <c r="BT200" s="511"/>
      <c r="BU200" s="511"/>
      <c r="BV200" s="511"/>
      <c r="BW200" s="511" t="s">
        <v>4417</v>
      </c>
      <c r="BX200" s="510" t="s">
        <v>6612</v>
      </c>
      <c r="BY200" s="510" t="s">
        <v>7617</v>
      </c>
      <c r="BZ200" s="510" t="s">
        <v>7799</v>
      </c>
      <c r="CA200" s="511">
        <v>2</v>
      </c>
      <c r="CB200" s="511" t="s">
        <v>7563</v>
      </c>
      <c r="CC200" s="511" t="s">
        <v>24</v>
      </c>
      <c r="CD200" s="509" t="s">
        <v>1876</v>
      </c>
      <c r="CE200" s="509">
        <v>2</v>
      </c>
      <c r="CF200" s="509"/>
      <c r="CG200" s="509" t="s">
        <v>8171</v>
      </c>
      <c r="CH200" s="509" t="s">
        <v>1511</v>
      </c>
      <c r="CI200" s="509" t="s">
        <v>4416</v>
      </c>
      <c r="CJ200" s="509"/>
      <c r="CK200" s="509" t="s">
        <v>4430</v>
      </c>
      <c r="CL200" s="509"/>
      <c r="CM200" s="515" t="s">
        <v>4471</v>
      </c>
      <c r="CN200" s="621">
        <v>0</v>
      </c>
      <c r="CO200" s="715"/>
      <c r="CP200" s="621"/>
      <c r="CQ200" s="621"/>
      <c r="CR200" s="621"/>
      <c r="CS200" s="715">
        <v>1</v>
      </c>
      <c r="CT200" s="715" t="s">
        <v>7838</v>
      </c>
      <c r="CU200" s="715"/>
      <c r="CV200" s="715"/>
      <c r="CW200" s="715"/>
      <c r="CX200" s="510" t="s">
        <v>4436</v>
      </c>
      <c r="CY200" s="509">
        <v>5.8052599999999996</v>
      </c>
      <c r="CZ200" s="509"/>
      <c r="DA200" s="509">
        <f>8.16511-Table66[[#This Row],[Data_Outcome1_M]]</f>
        <v>2.3598500000000007</v>
      </c>
      <c r="DB200" s="510" t="s">
        <v>4437</v>
      </c>
      <c r="DC200" s="509">
        <v>6.1040999999999999</v>
      </c>
      <c r="DD200" s="509"/>
      <c r="DE200" s="509">
        <f>7.40207-Table66[[#This Row],[Data_Outcome2_M]]</f>
        <v>1.2979700000000003</v>
      </c>
      <c r="DF200" s="515" t="s">
        <v>24</v>
      </c>
      <c r="DG200" s="513"/>
      <c r="DH200" s="1135"/>
      <c r="DI200" s="635"/>
      <c r="DJ200" s="1194"/>
      <c r="DK200" s="635"/>
      <c r="DL200" s="956"/>
      <c r="DM200" s="635"/>
      <c r="DN200" s="1194"/>
      <c r="DO200" s="1122"/>
      <c r="DP200" s="515"/>
      <c r="DQ200" s="513"/>
      <c r="DR200" s="1182"/>
      <c r="DS200" s="956"/>
      <c r="DT200" s="956"/>
      <c r="DU200" s="635"/>
      <c r="DV200" s="1194"/>
      <c r="DW200" s="635"/>
      <c r="DX200" s="956"/>
      <c r="DY200" s="635"/>
      <c r="DZ200" s="1194"/>
      <c r="EA200" s="635"/>
      <c r="EB200" s="515"/>
      <c r="EC200" s="1694"/>
      <c r="ED200" s="956"/>
      <c r="EE200" s="635"/>
      <c r="EF200" s="1194"/>
      <c r="EG200" s="635"/>
      <c r="EH200" s="956"/>
      <c r="EI200" s="635"/>
      <c r="EJ200" s="1194"/>
      <c r="EK200" s="635"/>
      <c r="EL200" s="515"/>
      <c r="EM200" s="1194"/>
      <c r="EN200" s="1182"/>
      <c r="EO200" s="1194"/>
      <c r="EP200" s="1689"/>
      <c r="EQ200" s="635"/>
      <c r="ER200" s="635"/>
      <c r="ES200" s="635"/>
      <c r="ET200" s="1689"/>
      <c r="EU200" s="635"/>
      <c r="EV200" s="635"/>
      <c r="EW200" s="635"/>
      <c r="EX200" s="635"/>
      <c r="EY200" s="635"/>
      <c r="EZ200" s="1689"/>
      <c r="FA200" s="635"/>
      <c r="FB200" s="635"/>
      <c r="FC200" s="635"/>
      <c r="FD200" s="1689"/>
      <c r="FE200" s="635"/>
      <c r="FF200" s="635"/>
      <c r="FG200" s="635"/>
      <c r="FH200" s="635"/>
      <c r="FI200" s="635"/>
      <c r="FJ200" s="1194"/>
    </row>
    <row r="201" spans="1:166" s="717" customFormat="1" ht="15" hidden="1" customHeight="1">
      <c r="A201" s="153" t="s">
        <v>1063</v>
      </c>
      <c r="B201" s="1097">
        <v>114</v>
      </c>
      <c r="C201" s="1097">
        <v>27</v>
      </c>
      <c r="D201" s="1097"/>
      <c r="E201" s="1098" t="s">
        <v>2071</v>
      </c>
      <c r="F201" s="1021" t="s">
        <v>2323</v>
      </c>
      <c r="G201" s="1099">
        <v>2012</v>
      </c>
      <c r="H201" s="153">
        <v>22701407</v>
      </c>
      <c r="I201" s="153">
        <v>1</v>
      </c>
      <c r="J201" s="153"/>
      <c r="K201" s="153"/>
      <c r="L201" s="153">
        <v>1</v>
      </c>
      <c r="M201" s="153"/>
      <c r="N201" s="153">
        <v>1</v>
      </c>
      <c r="O201" s="153">
        <v>2</v>
      </c>
      <c r="P201" s="153" t="s">
        <v>1258</v>
      </c>
      <c r="Q201" s="153" t="s">
        <v>1147</v>
      </c>
      <c r="R201" s="153" t="s">
        <v>1321</v>
      </c>
      <c r="S201" s="153"/>
      <c r="T201" s="153" t="s">
        <v>1495</v>
      </c>
      <c r="U201" s="153"/>
      <c r="V201" s="153"/>
      <c r="W201" s="153" t="s">
        <v>1681</v>
      </c>
      <c r="X201" s="153"/>
      <c r="Y201" s="153"/>
      <c r="Z201" s="153"/>
      <c r="AA201" s="153"/>
      <c r="AB201" s="153"/>
      <c r="AC201" s="536"/>
      <c r="AD201" s="536">
        <v>1</v>
      </c>
      <c r="AE201" s="536">
        <v>2</v>
      </c>
      <c r="AF201" s="576">
        <v>0</v>
      </c>
      <c r="AG201" s="1686" t="s">
        <v>7833</v>
      </c>
      <c r="AH201" s="509"/>
      <c r="AI201" s="509">
        <v>4</v>
      </c>
      <c r="AJ201" s="509"/>
      <c r="AK201" s="512" t="s">
        <v>4431</v>
      </c>
      <c r="AL201" s="513" t="s">
        <v>7800</v>
      </c>
      <c r="AM201" s="514">
        <v>0</v>
      </c>
      <c r="AN201" s="635">
        <v>31</v>
      </c>
      <c r="AO201" s="509">
        <v>12</v>
      </c>
      <c r="AP201" s="509">
        <f>Table66[[#This Row],[Data_Subjects_n]]-Table66[[#This Row],[Data_Subjects_n_ptsd]]</f>
        <v>19</v>
      </c>
      <c r="AQ201" s="509" t="s">
        <v>803</v>
      </c>
      <c r="AR201" s="509" t="s">
        <v>803</v>
      </c>
      <c r="AS201" s="509" t="s">
        <v>7498</v>
      </c>
      <c r="AT201" s="509" t="s">
        <v>24</v>
      </c>
      <c r="AU201" s="509" t="s">
        <v>7498</v>
      </c>
      <c r="AV201" s="509" t="s">
        <v>24</v>
      </c>
      <c r="AW201" s="509" t="s">
        <v>4423</v>
      </c>
      <c r="AX201" s="509"/>
      <c r="AY201" s="509"/>
      <c r="AZ201" s="509" t="s">
        <v>7317</v>
      </c>
      <c r="BA201" s="509">
        <v>1</v>
      </c>
      <c r="BB201" s="509">
        <v>1</v>
      </c>
      <c r="BC201" s="509" t="s">
        <v>4422</v>
      </c>
      <c r="BD201" s="509" t="s">
        <v>7521</v>
      </c>
      <c r="BE201" s="509"/>
      <c r="BF201" s="509" t="s">
        <v>1321</v>
      </c>
      <c r="BG201" s="509" t="s">
        <v>4421</v>
      </c>
      <c r="BH201" s="513"/>
      <c r="BI201" s="513"/>
      <c r="BJ201" s="511"/>
      <c r="BK201" s="511"/>
      <c r="BL201" s="511"/>
      <c r="BM201" s="511"/>
      <c r="BN201" s="511"/>
      <c r="BO201" s="511"/>
      <c r="BP201" s="511">
        <v>1</v>
      </c>
      <c r="BQ201" s="511"/>
      <c r="BR201" s="511"/>
      <c r="BS201" s="511"/>
      <c r="BT201" s="511"/>
      <c r="BU201" s="511"/>
      <c r="BV201" s="511"/>
      <c r="BW201" s="511" t="s">
        <v>4417</v>
      </c>
      <c r="BX201" s="510" t="s">
        <v>6612</v>
      </c>
      <c r="BY201" s="510" t="s">
        <v>7617</v>
      </c>
      <c r="BZ201" s="510" t="s">
        <v>7799</v>
      </c>
      <c r="CA201" s="511">
        <v>2</v>
      </c>
      <c r="CB201" s="511" t="s">
        <v>7563</v>
      </c>
      <c r="CC201" s="511" t="s">
        <v>24</v>
      </c>
      <c r="CD201" s="509" t="s">
        <v>1876</v>
      </c>
      <c r="CE201" s="509">
        <v>2</v>
      </c>
      <c r="CF201" s="509"/>
      <c r="CG201" s="509" t="s">
        <v>8171</v>
      </c>
      <c r="CH201" s="509" t="s">
        <v>1511</v>
      </c>
      <c r="CI201" s="509" t="s">
        <v>4416</v>
      </c>
      <c r="CJ201" s="509"/>
      <c r="CK201" s="509" t="s">
        <v>4430</v>
      </c>
      <c r="CL201" s="509"/>
      <c r="CM201" s="515" t="s">
        <v>4471</v>
      </c>
      <c r="CN201" s="621">
        <v>0</v>
      </c>
      <c r="CO201" s="715"/>
      <c r="CP201" s="621"/>
      <c r="CQ201" s="621"/>
      <c r="CR201" s="621"/>
      <c r="CS201" s="715">
        <v>1</v>
      </c>
      <c r="CT201" s="715" t="s">
        <v>7838</v>
      </c>
      <c r="CU201" s="715"/>
      <c r="CV201" s="715"/>
      <c r="CW201" s="715"/>
      <c r="CX201" s="510" t="s">
        <v>4442</v>
      </c>
      <c r="CY201" s="509">
        <v>2.0281799999999999</v>
      </c>
      <c r="CZ201" s="509"/>
      <c r="DA201" s="509">
        <f>3.03109-Table66[[#This Row],[Data_Outcome1_M]]</f>
        <v>1.00291</v>
      </c>
      <c r="DB201" s="510" t="s">
        <v>4446</v>
      </c>
      <c r="DC201" s="509">
        <v>3.2709000000000001</v>
      </c>
      <c r="DD201" s="509"/>
      <c r="DE201" s="509">
        <f>4.45091-Table66[[#This Row],[Data_Outcome2_M]]</f>
        <v>1.1800100000000002</v>
      </c>
      <c r="DF201" s="515"/>
      <c r="DG201" s="513"/>
      <c r="DH201" s="956"/>
      <c r="DI201" s="1194"/>
      <c r="DJ201" s="1194"/>
      <c r="DK201" s="1194"/>
      <c r="DL201" s="956"/>
      <c r="DM201" s="1194"/>
      <c r="DN201" s="1194"/>
      <c r="DO201" s="1194"/>
      <c r="DP201" s="515"/>
      <c r="DQ201" s="513"/>
      <c r="DR201" s="1182"/>
      <c r="DS201" s="956"/>
      <c r="DT201" s="956"/>
      <c r="DU201" s="635"/>
      <c r="DV201" s="1194"/>
      <c r="DW201" s="635"/>
      <c r="DX201" s="956"/>
      <c r="DY201" s="1194"/>
      <c r="DZ201" s="1194"/>
      <c r="EA201" s="1194"/>
      <c r="EB201" s="515"/>
      <c r="EC201" s="1694"/>
      <c r="ED201" s="956"/>
      <c r="EE201" s="1194"/>
      <c r="EF201" s="1194"/>
      <c r="EG201" s="1194"/>
      <c r="EH201" s="956"/>
      <c r="EI201" s="1194"/>
      <c r="EJ201" s="1194"/>
      <c r="EK201" s="1194"/>
      <c r="EL201" s="515"/>
      <c r="EM201" s="1194"/>
      <c r="EN201" s="1182"/>
      <c r="EO201" s="1194"/>
      <c r="EP201" s="956"/>
      <c r="EQ201" s="1194"/>
      <c r="ER201" s="1194"/>
      <c r="ES201" s="1194"/>
      <c r="ET201" s="956"/>
      <c r="EU201" s="1194"/>
      <c r="EV201" s="1194"/>
      <c r="EW201" s="1194"/>
      <c r="EX201" s="1194"/>
      <c r="EY201" s="1194"/>
      <c r="EZ201" s="956"/>
      <c r="FA201" s="635"/>
      <c r="FB201" s="635"/>
      <c r="FC201" s="635"/>
      <c r="FD201" s="1689"/>
      <c r="FE201" s="1194"/>
      <c r="FF201" s="1194"/>
      <c r="FG201" s="1194"/>
      <c r="FH201" s="1194"/>
      <c r="FI201" s="1194"/>
      <c r="FJ201" s="1194"/>
    </row>
    <row r="202" spans="1:166" s="717" customFormat="1" ht="15" hidden="1" customHeight="1">
      <c r="A202" s="153" t="s">
        <v>1063</v>
      </c>
      <c r="B202" s="1097">
        <v>114</v>
      </c>
      <c r="C202" s="1097">
        <v>27</v>
      </c>
      <c r="D202" s="1097"/>
      <c r="E202" s="1098" t="s">
        <v>2071</v>
      </c>
      <c r="F202" s="1021" t="s">
        <v>2323</v>
      </c>
      <c r="G202" s="1099">
        <v>2012</v>
      </c>
      <c r="H202" s="153">
        <v>22701407</v>
      </c>
      <c r="I202" s="153">
        <v>1</v>
      </c>
      <c r="J202" s="153"/>
      <c r="K202" s="153"/>
      <c r="L202" s="153">
        <v>1</v>
      </c>
      <c r="M202" s="153"/>
      <c r="N202" s="153">
        <v>1</v>
      </c>
      <c r="O202" s="153">
        <v>2</v>
      </c>
      <c r="P202" s="153" t="s">
        <v>1258</v>
      </c>
      <c r="Q202" s="153" t="s">
        <v>1147</v>
      </c>
      <c r="R202" s="153" t="s">
        <v>1321</v>
      </c>
      <c r="S202" s="153"/>
      <c r="T202" s="153" t="s">
        <v>1495</v>
      </c>
      <c r="U202" s="153"/>
      <c r="V202" s="153"/>
      <c r="W202" s="153" t="s">
        <v>1681</v>
      </c>
      <c r="X202" s="153"/>
      <c r="Y202" s="153"/>
      <c r="Z202" s="153"/>
      <c r="AA202" s="153"/>
      <c r="AB202" s="153"/>
      <c r="AC202" s="536"/>
      <c r="AD202" s="536">
        <v>1</v>
      </c>
      <c r="AE202" s="536">
        <v>2</v>
      </c>
      <c r="AF202" s="576">
        <v>0</v>
      </c>
      <c r="AG202" s="1686" t="s">
        <v>7833</v>
      </c>
      <c r="AH202" s="509"/>
      <c r="AI202" s="509">
        <v>4</v>
      </c>
      <c r="AJ202" s="509"/>
      <c r="AK202" s="512" t="s">
        <v>4431</v>
      </c>
      <c r="AL202" s="513" t="s">
        <v>7800</v>
      </c>
      <c r="AM202" s="514">
        <v>0</v>
      </c>
      <c r="AN202" s="635">
        <v>31</v>
      </c>
      <c r="AO202" s="509">
        <v>12</v>
      </c>
      <c r="AP202" s="509">
        <f>Table66[[#This Row],[Data_Subjects_n]]-Table66[[#This Row],[Data_Subjects_n_ptsd]]</f>
        <v>19</v>
      </c>
      <c r="AQ202" s="509" t="s">
        <v>803</v>
      </c>
      <c r="AR202" s="509" t="s">
        <v>803</v>
      </c>
      <c r="AS202" s="509" t="s">
        <v>7498</v>
      </c>
      <c r="AT202" s="509" t="s">
        <v>24</v>
      </c>
      <c r="AU202" s="509" t="s">
        <v>7498</v>
      </c>
      <c r="AV202" s="509" t="s">
        <v>24</v>
      </c>
      <c r="AW202" s="509" t="s">
        <v>4423</v>
      </c>
      <c r="AX202" s="509"/>
      <c r="AY202" s="509"/>
      <c r="AZ202" s="509" t="s">
        <v>7317</v>
      </c>
      <c r="BA202" s="509">
        <v>1</v>
      </c>
      <c r="BB202" s="509">
        <v>1</v>
      </c>
      <c r="BC202" s="509" t="s">
        <v>4422</v>
      </c>
      <c r="BD202" s="509" t="s">
        <v>7521</v>
      </c>
      <c r="BE202" s="509"/>
      <c r="BF202" s="509" t="s">
        <v>1321</v>
      </c>
      <c r="BG202" s="509" t="s">
        <v>4421</v>
      </c>
      <c r="BH202" s="513"/>
      <c r="BI202" s="513"/>
      <c r="BJ202" s="511"/>
      <c r="BK202" s="511"/>
      <c r="BL202" s="511"/>
      <c r="BM202" s="511"/>
      <c r="BN202" s="511"/>
      <c r="BO202" s="511"/>
      <c r="BP202" s="511">
        <v>1</v>
      </c>
      <c r="BQ202" s="511"/>
      <c r="BR202" s="511"/>
      <c r="BS202" s="511"/>
      <c r="BT202" s="511"/>
      <c r="BU202" s="511"/>
      <c r="BV202" s="511"/>
      <c r="BW202" s="511" t="s">
        <v>4417</v>
      </c>
      <c r="BX202" s="510" t="s">
        <v>6612</v>
      </c>
      <c r="BY202" s="510" t="s">
        <v>7617</v>
      </c>
      <c r="BZ202" s="510" t="s">
        <v>7799</v>
      </c>
      <c r="CA202" s="511">
        <v>2</v>
      </c>
      <c r="CB202" s="511" t="s">
        <v>7563</v>
      </c>
      <c r="CC202" s="511" t="s">
        <v>24</v>
      </c>
      <c r="CD202" s="509" t="s">
        <v>1876</v>
      </c>
      <c r="CE202" s="509">
        <v>2</v>
      </c>
      <c r="CF202" s="509"/>
      <c r="CG202" s="509" t="s">
        <v>8171</v>
      </c>
      <c r="CH202" s="509" t="s">
        <v>1511</v>
      </c>
      <c r="CI202" s="509" t="s">
        <v>4416</v>
      </c>
      <c r="CJ202" s="509"/>
      <c r="CK202" s="509" t="s">
        <v>4430</v>
      </c>
      <c r="CL202" s="509"/>
      <c r="CM202" s="515" t="s">
        <v>4471</v>
      </c>
      <c r="CN202" s="621">
        <v>0</v>
      </c>
      <c r="CO202" s="715"/>
      <c r="CP202" s="621"/>
      <c r="CQ202" s="621"/>
      <c r="CR202" s="621"/>
      <c r="CS202" s="715">
        <v>-1</v>
      </c>
      <c r="CT202" s="715" t="s">
        <v>7838</v>
      </c>
      <c r="CU202" s="715"/>
      <c r="CV202" s="715"/>
      <c r="CW202" s="715"/>
      <c r="CX202" s="510" t="s">
        <v>4448</v>
      </c>
      <c r="CY202" s="635">
        <v>3.3529399999999998</v>
      </c>
      <c r="CZ202" s="509"/>
      <c r="DA202" s="635">
        <f>4.41176-Table66[[#This Row],[Data_Outcome1_M]]</f>
        <v>1.0588200000000003</v>
      </c>
      <c r="DB202" s="510" t="s">
        <v>4451</v>
      </c>
      <c r="DC202" s="509">
        <v>3.26471</v>
      </c>
      <c r="DD202" s="509"/>
      <c r="DE202" s="509">
        <f>4.32353-Table66[[#This Row],[Data_Outcome2_M]]</f>
        <v>1.0588199999999999</v>
      </c>
      <c r="DF202" s="515"/>
      <c r="DG202" s="513"/>
      <c r="DH202" s="956"/>
      <c r="DI202" s="1194"/>
      <c r="DJ202" s="1194"/>
      <c r="DK202" s="1194"/>
      <c r="DL202" s="956"/>
      <c r="DM202" s="1194"/>
      <c r="DN202" s="1194"/>
      <c r="DO202" s="1194"/>
      <c r="DP202" s="515"/>
      <c r="DQ202" s="513"/>
      <c r="DR202" s="1182"/>
      <c r="DS202" s="956"/>
      <c r="DT202" s="956"/>
      <c r="DU202" s="635"/>
      <c r="DV202" s="1194"/>
      <c r="DW202" s="635"/>
      <c r="DX202" s="956"/>
      <c r="DY202" s="1194"/>
      <c r="DZ202" s="1194"/>
      <c r="EA202" s="1194"/>
      <c r="EB202" s="515"/>
      <c r="EC202" s="1694"/>
      <c r="ED202" s="956"/>
      <c r="EE202" s="1194"/>
      <c r="EF202" s="1194"/>
      <c r="EG202" s="1194"/>
      <c r="EH202" s="956"/>
      <c r="EI202" s="1194"/>
      <c r="EJ202" s="1194"/>
      <c r="EK202" s="1194"/>
      <c r="EL202" s="515"/>
      <c r="EM202" s="1194"/>
      <c r="EN202" s="1182"/>
      <c r="EO202" s="1194"/>
      <c r="EP202" s="956"/>
      <c r="EQ202" s="1194"/>
      <c r="ER202" s="1194"/>
      <c r="ES202" s="1194"/>
      <c r="ET202" s="956"/>
      <c r="EU202" s="1194"/>
      <c r="EV202" s="1194"/>
      <c r="EW202" s="1194"/>
      <c r="EX202" s="1194"/>
      <c r="EY202" s="1194"/>
      <c r="EZ202" s="956"/>
      <c r="FA202" s="635"/>
      <c r="FB202" s="635"/>
      <c r="FC202" s="635"/>
      <c r="FD202" s="1689"/>
      <c r="FE202" s="1194"/>
      <c r="FF202" s="1194"/>
      <c r="FG202" s="1194"/>
      <c r="FH202" s="1194"/>
      <c r="FI202" s="1194"/>
      <c r="FJ202" s="1194"/>
    </row>
    <row r="203" spans="1:166" s="717" customFormat="1" ht="15" hidden="1" customHeight="1">
      <c r="A203" s="153" t="s">
        <v>1063</v>
      </c>
      <c r="B203" s="1097">
        <v>114</v>
      </c>
      <c r="C203" s="1097">
        <v>27</v>
      </c>
      <c r="D203" s="1097"/>
      <c r="E203" s="1098" t="s">
        <v>2071</v>
      </c>
      <c r="F203" s="1021" t="s">
        <v>2323</v>
      </c>
      <c r="G203" s="1099">
        <v>2012</v>
      </c>
      <c r="H203" s="153">
        <v>22701407</v>
      </c>
      <c r="I203" s="153">
        <v>1</v>
      </c>
      <c r="J203" s="153"/>
      <c r="K203" s="153"/>
      <c r="L203" s="153">
        <v>1</v>
      </c>
      <c r="M203" s="153"/>
      <c r="N203" s="153">
        <v>1</v>
      </c>
      <c r="O203" s="153">
        <v>2</v>
      </c>
      <c r="P203" s="153" t="s">
        <v>1258</v>
      </c>
      <c r="Q203" s="153" t="s">
        <v>1147</v>
      </c>
      <c r="R203" s="153" t="s">
        <v>1321</v>
      </c>
      <c r="S203" s="153"/>
      <c r="T203" s="153" t="s">
        <v>1495</v>
      </c>
      <c r="U203" s="153"/>
      <c r="V203" s="153"/>
      <c r="W203" s="153" t="s">
        <v>1681</v>
      </c>
      <c r="X203" s="153"/>
      <c r="Y203" s="153"/>
      <c r="Z203" s="153"/>
      <c r="AA203" s="153"/>
      <c r="AB203" s="153"/>
      <c r="AC203" s="536"/>
      <c r="AD203" s="536">
        <v>1</v>
      </c>
      <c r="AE203" s="536">
        <v>2</v>
      </c>
      <c r="AF203" s="576">
        <v>0</v>
      </c>
      <c r="AG203" s="1686" t="s">
        <v>7833</v>
      </c>
      <c r="AH203" s="509"/>
      <c r="AI203" s="509">
        <v>4</v>
      </c>
      <c r="AJ203" s="509"/>
      <c r="AK203" s="512" t="s">
        <v>4431</v>
      </c>
      <c r="AL203" s="513" t="s">
        <v>7800</v>
      </c>
      <c r="AM203" s="514">
        <v>0</v>
      </c>
      <c r="AN203" s="635">
        <v>31</v>
      </c>
      <c r="AO203" s="509">
        <v>12</v>
      </c>
      <c r="AP203" s="509">
        <f>Table66[[#This Row],[Data_Subjects_n]]-Table66[[#This Row],[Data_Subjects_n_ptsd]]</f>
        <v>19</v>
      </c>
      <c r="AQ203" s="509" t="s">
        <v>803</v>
      </c>
      <c r="AR203" s="509" t="s">
        <v>803</v>
      </c>
      <c r="AS203" s="509" t="s">
        <v>7498</v>
      </c>
      <c r="AT203" s="509" t="s">
        <v>24</v>
      </c>
      <c r="AU203" s="509" t="s">
        <v>7498</v>
      </c>
      <c r="AV203" s="509" t="s">
        <v>24</v>
      </c>
      <c r="AW203" s="509" t="s">
        <v>4423</v>
      </c>
      <c r="AX203" s="509"/>
      <c r="AY203" s="509"/>
      <c r="AZ203" s="509" t="s">
        <v>7317</v>
      </c>
      <c r="BA203" s="509">
        <v>1</v>
      </c>
      <c r="BB203" s="509">
        <v>1</v>
      </c>
      <c r="BC203" s="509" t="s">
        <v>4422</v>
      </c>
      <c r="BD203" s="509" t="s">
        <v>7521</v>
      </c>
      <c r="BE203" s="509"/>
      <c r="BF203" s="509" t="s">
        <v>1321</v>
      </c>
      <c r="BG203" s="509" t="s">
        <v>4421</v>
      </c>
      <c r="BH203" s="513"/>
      <c r="BI203" s="513"/>
      <c r="BJ203" s="511"/>
      <c r="BK203" s="511"/>
      <c r="BL203" s="511"/>
      <c r="BM203" s="511"/>
      <c r="BN203" s="511"/>
      <c r="BO203" s="511"/>
      <c r="BP203" s="511">
        <v>1</v>
      </c>
      <c r="BQ203" s="511"/>
      <c r="BR203" s="511"/>
      <c r="BS203" s="511"/>
      <c r="BT203" s="511"/>
      <c r="BU203" s="511"/>
      <c r="BV203" s="511"/>
      <c r="BW203" s="511" t="s">
        <v>4417</v>
      </c>
      <c r="BX203" s="510" t="s">
        <v>6612</v>
      </c>
      <c r="BY203" s="510" t="s">
        <v>7617</v>
      </c>
      <c r="BZ203" s="510" t="s">
        <v>7799</v>
      </c>
      <c r="CA203" s="511">
        <v>2</v>
      </c>
      <c r="CB203" s="511" t="s">
        <v>7563</v>
      </c>
      <c r="CC203" s="511" t="s">
        <v>24</v>
      </c>
      <c r="CD203" s="509" t="s">
        <v>1876</v>
      </c>
      <c r="CE203" s="509">
        <v>2</v>
      </c>
      <c r="CF203" s="509"/>
      <c r="CG203" s="509" t="s">
        <v>8171</v>
      </c>
      <c r="CH203" s="509" t="s">
        <v>1511</v>
      </c>
      <c r="CI203" s="509" t="s">
        <v>4416</v>
      </c>
      <c r="CJ203" s="509"/>
      <c r="CK203" s="509" t="s">
        <v>4430</v>
      </c>
      <c r="CL203" s="509"/>
      <c r="CM203" s="515" t="s">
        <v>4471</v>
      </c>
      <c r="CN203" s="621">
        <v>0</v>
      </c>
      <c r="CO203" s="715"/>
      <c r="CP203" s="621"/>
      <c r="CQ203" s="621"/>
      <c r="CR203" s="621"/>
      <c r="CS203" s="715">
        <v>-1</v>
      </c>
      <c r="CT203" s="715" t="s">
        <v>7838</v>
      </c>
      <c r="CU203" s="715"/>
      <c r="CV203" s="715"/>
      <c r="CW203" s="715"/>
      <c r="CX203" s="510" t="s">
        <v>4454</v>
      </c>
      <c r="CY203" s="509">
        <v>1.7941199999999999</v>
      </c>
      <c r="CZ203" s="509"/>
      <c r="DA203" s="509">
        <f>2.29412-Table66[[#This Row],[Data_Outcome1_M]]</f>
        <v>0.5</v>
      </c>
      <c r="DB203" s="510" t="s">
        <v>4457</v>
      </c>
      <c r="DC203" s="509">
        <v>2.0588199999999999</v>
      </c>
      <c r="DD203" s="509"/>
      <c r="DE203" s="1690">
        <f>2.26471-Table66[[#This Row],[Data_Outcome2_M]]</f>
        <v>0.20589000000000013</v>
      </c>
      <c r="DF203" s="513" t="s">
        <v>4461</v>
      </c>
      <c r="DG203" s="513" t="s">
        <v>4462</v>
      </c>
      <c r="DH203" s="956"/>
      <c r="DI203" s="1194"/>
      <c r="DJ203" s="1194"/>
      <c r="DK203" s="1194"/>
      <c r="DL203" s="956"/>
      <c r="DM203" s="1194"/>
      <c r="DN203" s="1194"/>
      <c r="DO203" s="1194"/>
      <c r="DP203" s="515"/>
      <c r="DQ203" s="513"/>
      <c r="DR203" s="1182"/>
      <c r="DS203" s="956"/>
      <c r="DT203" s="956"/>
      <c r="DU203" s="635"/>
      <c r="DV203" s="1194"/>
      <c r="DW203" s="635"/>
      <c r="DX203" s="956"/>
      <c r="DY203" s="1194"/>
      <c r="DZ203" s="1194"/>
      <c r="EA203" s="1194"/>
      <c r="EB203" s="515"/>
      <c r="EC203" s="1694"/>
      <c r="ED203" s="956"/>
      <c r="EE203" s="1194"/>
      <c r="EF203" s="1194"/>
      <c r="EG203" s="1194"/>
      <c r="EH203" s="956"/>
      <c r="EI203" s="1194"/>
      <c r="EJ203" s="1194"/>
      <c r="EK203" s="1194"/>
      <c r="EL203" s="515"/>
      <c r="EM203" s="1194"/>
      <c r="EN203" s="1182"/>
      <c r="EO203" s="1194"/>
      <c r="EP203" s="956"/>
      <c r="EQ203" s="1194"/>
      <c r="ER203" s="1194"/>
      <c r="ES203" s="1194"/>
      <c r="ET203" s="956"/>
      <c r="EU203" s="1194"/>
      <c r="EV203" s="1194"/>
      <c r="EW203" s="1194"/>
      <c r="EX203" s="1194"/>
      <c r="EY203" s="1194"/>
      <c r="EZ203" s="956"/>
      <c r="FA203" s="635"/>
      <c r="FB203" s="635"/>
      <c r="FC203" s="635"/>
      <c r="FD203" s="1689"/>
      <c r="FE203" s="1194"/>
      <c r="FF203" s="1194"/>
      <c r="FG203" s="1194"/>
      <c r="FH203" s="1194"/>
      <c r="FI203" s="1194"/>
      <c r="FJ203" s="1194"/>
    </row>
    <row r="204" spans="1:166" s="1303" customFormat="1" ht="15" hidden="1" customHeight="1">
      <c r="A204" s="1304" t="s">
        <v>1063</v>
      </c>
      <c r="B204" s="1324">
        <v>114</v>
      </c>
      <c r="C204" s="1324">
        <v>27</v>
      </c>
      <c r="D204" s="1324"/>
      <c r="E204" s="1325" t="s">
        <v>2071</v>
      </c>
      <c r="F204" s="1326" t="s">
        <v>2323</v>
      </c>
      <c r="G204" s="1327">
        <v>2012</v>
      </c>
      <c r="H204" s="1304">
        <v>22701407</v>
      </c>
      <c r="I204" s="1304">
        <v>1</v>
      </c>
      <c r="J204" s="1304"/>
      <c r="K204" s="1304"/>
      <c r="L204" s="1304">
        <v>1</v>
      </c>
      <c r="M204" s="1304"/>
      <c r="N204" s="1304">
        <v>1</v>
      </c>
      <c r="O204" s="1304">
        <v>2</v>
      </c>
      <c r="P204" s="1304" t="s">
        <v>1258</v>
      </c>
      <c r="Q204" s="1304" t="s">
        <v>1147</v>
      </c>
      <c r="R204" s="1304" t="s">
        <v>1321</v>
      </c>
      <c r="S204" s="1304"/>
      <c r="T204" s="1304" t="s">
        <v>1495</v>
      </c>
      <c r="U204" s="1304"/>
      <c r="V204" s="1304"/>
      <c r="W204" s="1304" t="s">
        <v>1681</v>
      </c>
      <c r="X204" s="1304"/>
      <c r="Y204" s="1304"/>
      <c r="Z204" s="1304"/>
      <c r="AA204" s="1304"/>
      <c r="AB204" s="1304"/>
      <c r="AC204" s="1328"/>
      <c r="AD204" s="1328">
        <v>1</v>
      </c>
      <c r="AE204" s="1328">
        <v>2</v>
      </c>
      <c r="AF204" s="1329">
        <v>0</v>
      </c>
      <c r="AG204" s="1691" t="s">
        <v>8137</v>
      </c>
      <c r="AH204" s="1328"/>
      <c r="AI204" s="1328">
        <v>4</v>
      </c>
      <c r="AJ204" s="1328"/>
      <c r="AK204" s="1331" t="s">
        <v>4431</v>
      </c>
      <c r="AL204" s="513" t="s">
        <v>7834</v>
      </c>
      <c r="AM204" s="1332">
        <v>0</v>
      </c>
      <c r="AN204" s="1304">
        <v>31</v>
      </c>
      <c r="AO204" s="1328">
        <v>12</v>
      </c>
      <c r="AP204" s="1328">
        <f>Table66[[#This Row],[Data_Subjects_n]]-Table66[[#This Row],[Data_Subjects_n_ptsd]]</f>
        <v>19</v>
      </c>
      <c r="AQ204" s="1328" t="s">
        <v>803</v>
      </c>
      <c r="AR204" s="1328" t="s">
        <v>803</v>
      </c>
      <c r="AS204" s="1328" t="s">
        <v>7498</v>
      </c>
      <c r="AT204" s="1328" t="s">
        <v>24</v>
      </c>
      <c r="AU204" s="1328" t="s">
        <v>7498</v>
      </c>
      <c r="AV204" s="1328" t="s">
        <v>24</v>
      </c>
      <c r="AW204" s="1328" t="s">
        <v>4423</v>
      </c>
      <c r="AX204" s="1328"/>
      <c r="AY204" s="1328"/>
      <c r="AZ204" s="1328" t="s">
        <v>7317</v>
      </c>
      <c r="BA204" s="1328">
        <v>1</v>
      </c>
      <c r="BB204" s="1328">
        <v>1</v>
      </c>
      <c r="BC204" s="1328" t="s">
        <v>4422</v>
      </c>
      <c r="BD204" s="1328" t="s">
        <v>7521</v>
      </c>
      <c r="BE204" s="1328"/>
      <c r="BF204" s="1328" t="s">
        <v>1321</v>
      </c>
      <c r="BG204" s="1328" t="s">
        <v>4421</v>
      </c>
      <c r="BH204" s="1326"/>
      <c r="BI204" s="1326"/>
      <c r="BJ204" s="1333"/>
      <c r="BK204" s="1333"/>
      <c r="BL204" s="1333"/>
      <c r="BM204" s="1333"/>
      <c r="BN204" s="1333"/>
      <c r="BO204" s="1333"/>
      <c r="BP204" s="1333">
        <v>1</v>
      </c>
      <c r="BQ204" s="1333"/>
      <c r="BR204" s="1333"/>
      <c r="BS204" s="1333"/>
      <c r="BT204" s="1333"/>
      <c r="BU204" s="1333"/>
      <c r="BV204" s="1333"/>
      <c r="BW204" s="1333" t="s">
        <v>4417</v>
      </c>
      <c r="BX204" s="1334" t="s">
        <v>6612</v>
      </c>
      <c r="BY204" s="1334" t="s">
        <v>7617</v>
      </c>
      <c r="BZ204" s="1334" t="s">
        <v>7799</v>
      </c>
      <c r="CA204" s="1333">
        <v>2</v>
      </c>
      <c r="CB204" s="1333" t="s">
        <v>7563</v>
      </c>
      <c r="CC204" s="1333" t="s">
        <v>24</v>
      </c>
      <c r="CD204" s="1328" t="s">
        <v>1876</v>
      </c>
      <c r="CE204" s="1328">
        <v>2</v>
      </c>
      <c r="CF204" s="1328"/>
      <c r="CG204" s="1328" t="s">
        <v>8172</v>
      </c>
      <c r="CH204" s="1328" t="s">
        <v>1511</v>
      </c>
      <c r="CI204" s="1328" t="s">
        <v>4416</v>
      </c>
      <c r="CJ204" s="1328"/>
      <c r="CK204" s="1328" t="s">
        <v>4430</v>
      </c>
      <c r="CL204" s="1328"/>
      <c r="CM204" s="1335" t="s">
        <v>4471</v>
      </c>
      <c r="CN204" s="1336">
        <v>0</v>
      </c>
      <c r="CO204" s="1336">
        <v>23</v>
      </c>
      <c r="CP204" s="1336">
        <v>3</v>
      </c>
      <c r="CQ204" s="1336">
        <v>3</v>
      </c>
      <c r="CR204" s="1336">
        <v>0</v>
      </c>
      <c r="CS204" s="1336">
        <v>1</v>
      </c>
      <c r="CT204" s="1336"/>
      <c r="CU204" s="1336" t="s">
        <v>1878</v>
      </c>
      <c r="CV204" s="1335">
        <v>81</v>
      </c>
      <c r="CW204" s="1335">
        <v>73</v>
      </c>
      <c r="CX204" s="1334" t="s">
        <v>4463</v>
      </c>
      <c r="CY204" s="1328">
        <v>0.158444</v>
      </c>
      <c r="CZ204" s="1328"/>
      <c r="DA204" s="1328">
        <f>0.352598-Table66[[#This Row],[Data_Outcome1_M]]</f>
        <v>0.19415400000000002</v>
      </c>
      <c r="DB204" s="1334" t="s">
        <v>4466</v>
      </c>
      <c r="DC204" s="1328">
        <v>0.326683</v>
      </c>
      <c r="DD204" s="1328"/>
      <c r="DE204" s="1328">
        <f>0.495069-Table66[[#This Row],[Data_Outcome2_M]]</f>
        <v>0.16838599999999998</v>
      </c>
      <c r="DF204" s="1328" t="s">
        <v>3229</v>
      </c>
      <c r="DG204" s="1328"/>
      <c r="DH204" s="1340"/>
      <c r="DI204" s="1337"/>
      <c r="DJ204" s="1337"/>
      <c r="DK204" s="1337"/>
      <c r="DL204" s="1340"/>
      <c r="DM204" s="1337"/>
      <c r="DN204" s="1337"/>
      <c r="DO204" s="1337"/>
      <c r="DP204" s="1335"/>
      <c r="DQ204" s="1326"/>
      <c r="DR204" s="1339"/>
      <c r="DS204" s="1340"/>
      <c r="DT204" s="1340"/>
      <c r="DU204" s="1304"/>
      <c r="DV204" s="1337"/>
      <c r="DW204" s="1304"/>
      <c r="DX204" s="1340"/>
      <c r="DY204" s="1337"/>
      <c r="DZ204" s="1337"/>
      <c r="EA204" s="1337"/>
      <c r="EB204" s="1335"/>
      <c r="EC204" s="1327"/>
      <c r="ED204" s="1340"/>
      <c r="EE204" s="1337"/>
      <c r="EF204" s="1337"/>
      <c r="EG204" s="1337"/>
      <c r="EH204" s="1340"/>
      <c r="EI204" s="1337"/>
      <c r="EJ204" s="1337"/>
      <c r="EK204" s="1337"/>
      <c r="EL204" s="1335"/>
      <c r="EM204" s="1337"/>
      <c r="EN204" s="1339"/>
      <c r="EO204" s="1337"/>
      <c r="EP204" s="1340"/>
      <c r="EQ204" s="1337"/>
      <c r="ER204" s="1337"/>
      <c r="ES204" s="1337"/>
      <c r="ET204" s="1340"/>
      <c r="EU204" s="1337"/>
      <c r="EV204" s="1337"/>
      <c r="EW204" s="1337"/>
      <c r="EX204" s="1337"/>
      <c r="EY204" s="1337"/>
      <c r="EZ204" s="1340"/>
      <c r="FA204" s="1304"/>
      <c r="FB204" s="1304"/>
      <c r="FC204" s="1304"/>
      <c r="FD204" s="1695"/>
      <c r="FE204" s="1337"/>
      <c r="FF204" s="1337"/>
      <c r="FG204" s="1337"/>
      <c r="FH204" s="1337"/>
      <c r="FI204" s="1337"/>
      <c r="FJ204" s="1337"/>
    </row>
    <row r="205" spans="1:166" ht="15" hidden="1" customHeight="1">
      <c r="A205" s="158" t="s">
        <v>151</v>
      </c>
      <c r="B205" s="1094">
        <v>115</v>
      </c>
      <c r="C205" s="1094">
        <v>28</v>
      </c>
      <c r="D205" s="1094"/>
      <c r="E205" s="1095" t="s">
        <v>1954</v>
      </c>
      <c r="F205" s="711" t="s">
        <v>2175</v>
      </c>
      <c r="G205" s="1096">
        <v>2016</v>
      </c>
      <c r="H205" s="158">
        <v>26220415</v>
      </c>
      <c r="I205" s="158">
        <v>1</v>
      </c>
      <c r="J205" s="158"/>
      <c r="K205" s="158"/>
      <c r="L205" s="158">
        <v>1</v>
      </c>
      <c r="M205" s="158"/>
      <c r="N205" s="158">
        <v>1</v>
      </c>
      <c r="O205" s="158">
        <v>1</v>
      </c>
      <c r="P205" s="158" t="s">
        <v>465</v>
      </c>
      <c r="Q205" s="158" t="s">
        <v>1153</v>
      </c>
      <c r="R205" s="158" t="s">
        <v>466</v>
      </c>
      <c r="S205" s="158">
        <v>1</v>
      </c>
      <c r="T205" s="158"/>
      <c r="U205" s="158"/>
      <c r="V205" s="158"/>
      <c r="W205" s="158" t="s">
        <v>465</v>
      </c>
      <c r="X205" s="158" t="s">
        <v>24</v>
      </c>
      <c r="Y205" s="158"/>
      <c r="Z205" s="158"/>
      <c r="AA205" s="158"/>
      <c r="AB205" s="158" t="s">
        <v>467</v>
      </c>
      <c r="AC205" s="800"/>
      <c r="AD205" s="536">
        <v>1</v>
      </c>
      <c r="AE205" s="536">
        <v>2</v>
      </c>
      <c r="AF205" s="743">
        <v>0</v>
      </c>
      <c r="AG205" s="744" t="s">
        <v>7478</v>
      </c>
      <c r="AH205" s="509">
        <v>0</v>
      </c>
      <c r="AI205" s="734">
        <v>2</v>
      </c>
      <c r="AJ205" s="734"/>
      <c r="AK205" s="739" t="s">
        <v>4480</v>
      </c>
      <c r="AL205" s="372">
        <v>1</v>
      </c>
      <c r="AM205" s="724" t="s">
        <v>24</v>
      </c>
      <c r="AN205" s="742" t="s">
        <v>4477</v>
      </c>
      <c r="AO205" s="734">
        <v>55</v>
      </c>
      <c r="AP205" s="734">
        <v>33</v>
      </c>
      <c r="AQ205" s="734" t="s">
        <v>803</v>
      </c>
      <c r="AR205" s="734" t="s">
        <v>803</v>
      </c>
      <c r="AS205" s="734">
        <v>61</v>
      </c>
      <c r="AT205" s="734">
        <v>4.3</v>
      </c>
      <c r="AU205" s="734">
        <v>66.099999999999994</v>
      </c>
      <c r="AV205" s="734">
        <v>7.2</v>
      </c>
      <c r="AW205" s="734" t="s">
        <v>4475</v>
      </c>
      <c r="AX205" s="734"/>
      <c r="AY205" s="734"/>
      <c r="AZ205" s="755" t="s">
        <v>1874</v>
      </c>
      <c r="BA205" s="734" t="s">
        <v>24</v>
      </c>
      <c r="BB205" s="734" t="s">
        <v>24</v>
      </c>
      <c r="BC205" s="734" t="s">
        <v>4161</v>
      </c>
      <c r="BD205" s="755"/>
      <c r="BE205" s="755"/>
      <c r="BF205" s="120" t="s">
        <v>5116</v>
      </c>
      <c r="BG205" s="734" t="s">
        <v>4476</v>
      </c>
      <c r="BH205" s="372"/>
      <c r="BI205" s="372"/>
      <c r="BJ205" s="735"/>
      <c r="BK205" s="735"/>
      <c r="BL205" s="735"/>
      <c r="BM205" s="735"/>
      <c r="BN205" s="735"/>
      <c r="BO205" s="735"/>
      <c r="BP205" s="735"/>
      <c r="BQ205" s="735"/>
      <c r="BR205" s="735" t="s">
        <v>1917</v>
      </c>
      <c r="BS205" s="735"/>
      <c r="BT205" s="735"/>
      <c r="BU205" s="735"/>
      <c r="BV205" s="735"/>
      <c r="BW205" s="735" t="s">
        <v>4478</v>
      </c>
      <c r="BX205" s="736"/>
      <c r="BY205" s="736"/>
      <c r="BZ205" s="736"/>
      <c r="CA205" s="511"/>
      <c r="CB205" s="511"/>
      <c r="CC205" s="511"/>
      <c r="CD205" s="734" t="s">
        <v>1876</v>
      </c>
      <c r="CE205" s="734" t="s">
        <v>4479</v>
      </c>
      <c r="CF205" s="734"/>
      <c r="CG205" s="734" t="s">
        <v>4485</v>
      </c>
      <c r="CH205" s="755" t="s">
        <v>7344</v>
      </c>
      <c r="CI205" s="734" t="s">
        <v>24</v>
      </c>
      <c r="CJ205" s="734"/>
      <c r="CK205" s="734" t="s">
        <v>4496</v>
      </c>
      <c r="CL205" s="734"/>
      <c r="CM205" s="737" t="s">
        <v>4502</v>
      </c>
      <c r="CN205" s="738"/>
      <c r="CO205" s="738"/>
      <c r="CP205" s="738"/>
      <c r="CQ205" s="738"/>
      <c r="CR205" s="738"/>
      <c r="CS205" s="738"/>
      <c r="CT205" s="738"/>
      <c r="CU205" s="738"/>
      <c r="CV205" s="738"/>
      <c r="CW205" s="738"/>
      <c r="CX205" s="736" t="s">
        <v>4497</v>
      </c>
      <c r="CY205" s="742">
        <v>57</v>
      </c>
      <c r="CZ205" s="742">
        <v>13.7</v>
      </c>
      <c r="DA205" s="742" t="s">
        <v>24</v>
      </c>
      <c r="DB205" s="823" t="s">
        <v>4498</v>
      </c>
      <c r="DC205" s="734">
        <v>63.3</v>
      </c>
      <c r="DD205" s="734">
        <v>14.6</v>
      </c>
      <c r="DE205" s="734" t="s">
        <v>24</v>
      </c>
      <c r="DF205" s="621" t="s">
        <v>4500</v>
      </c>
      <c r="DG205" s="509" t="s">
        <v>4501</v>
      </c>
      <c r="DH205" s="1180"/>
      <c r="DI205" s="778"/>
      <c r="DJ205" s="778"/>
      <c r="DK205" s="778"/>
      <c r="DL205" s="1180"/>
      <c r="DM205" s="778"/>
      <c r="DN205" s="778"/>
      <c r="DO205" s="778"/>
      <c r="DP205" s="737"/>
      <c r="DQ205" s="372"/>
      <c r="DR205" s="1182"/>
      <c r="DS205" s="956"/>
      <c r="DT205" s="1180"/>
      <c r="DU205" s="742"/>
      <c r="DV205" s="778"/>
      <c r="DW205" s="742"/>
      <c r="DX205" s="778"/>
      <c r="DY205" s="778"/>
      <c r="DZ205" s="778"/>
      <c r="EA205" s="778"/>
      <c r="EB205" s="737"/>
      <c r="EC205" s="1149"/>
      <c r="ED205" s="778"/>
      <c r="EE205" s="778"/>
      <c r="EF205" s="778"/>
      <c r="EG205" s="778"/>
      <c r="EH205" s="778"/>
      <c r="EI205" s="778"/>
      <c r="EJ205" s="778"/>
      <c r="EK205" s="778"/>
      <c r="EL205" s="737"/>
      <c r="EM205" s="778"/>
      <c r="EN205" s="1181"/>
      <c r="EO205" s="778"/>
      <c r="EP205" s="778"/>
      <c r="EQ205" s="778"/>
      <c r="ER205" s="778"/>
      <c r="ES205" s="778"/>
      <c r="ET205" s="1180"/>
      <c r="EU205" s="778"/>
      <c r="EV205" s="778"/>
      <c r="EW205" s="778"/>
      <c r="EX205" s="778"/>
      <c r="EY205" s="778"/>
      <c r="EZ205" s="1180"/>
      <c r="FA205" s="742"/>
      <c r="FB205" s="742"/>
      <c r="FC205" s="742"/>
      <c r="FD205" s="823"/>
      <c r="FE205" s="778"/>
      <c r="FF205" s="778"/>
      <c r="FG205" s="778"/>
      <c r="FH205" s="778"/>
      <c r="FI205" s="778"/>
      <c r="FJ205" s="778"/>
    </row>
    <row r="206" spans="1:166" ht="15" hidden="1" customHeight="1">
      <c r="A206" s="158" t="s">
        <v>151</v>
      </c>
      <c r="B206" s="1094">
        <v>115</v>
      </c>
      <c r="C206" s="1094">
        <v>28</v>
      </c>
      <c r="D206" s="1094"/>
      <c r="E206" s="1095" t="s">
        <v>1954</v>
      </c>
      <c r="F206" s="711" t="s">
        <v>2175</v>
      </c>
      <c r="G206" s="1096">
        <v>2016</v>
      </c>
      <c r="H206" s="158">
        <v>26220415</v>
      </c>
      <c r="I206" s="158">
        <v>1</v>
      </c>
      <c r="J206" s="158"/>
      <c r="K206" s="158"/>
      <c r="L206" s="158">
        <v>1</v>
      </c>
      <c r="M206" s="158"/>
      <c r="N206" s="158">
        <v>1</v>
      </c>
      <c r="O206" s="158">
        <v>1</v>
      </c>
      <c r="P206" s="158" t="s">
        <v>465</v>
      </c>
      <c r="Q206" s="158" t="s">
        <v>1153</v>
      </c>
      <c r="R206" s="158" t="s">
        <v>466</v>
      </c>
      <c r="S206" s="158">
        <v>1</v>
      </c>
      <c r="T206" s="158"/>
      <c r="U206" s="158"/>
      <c r="V206" s="158"/>
      <c r="W206" s="158" t="s">
        <v>465</v>
      </c>
      <c r="X206" s="158" t="s">
        <v>24</v>
      </c>
      <c r="Y206" s="158"/>
      <c r="Z206" s="158"/>
      <c r="AA206" s="158"/>
      <c r="AB206" s="158" t="s">
        <v>467</v>
      </c>
      <c r="AC206" s="800"/>
      <c r="AD206" s="536">
        <v>1</v>
      </c>
      <c r="AE206" s="536">
        <v>2</v>
      </c>
      <c r="AF206" s="743">
        <v>0</v>
      </c>
      <c r="AG206" s="744" t="s">
        <v>7479</v>
      </c>
      <c r="AH206" s="509">
        <v>0</v>
      </c>
      <c r="AI206" s="734">
        <v>2</v>
      </c>
      <c r="AJ206" s="734"/>
      <c r="AK206" s="739" t="s">
        <v>4480</v>
      </c>
      <c r="AL206" s="372">
        <v>1</v>
      </c>
      <c r="AM206" s="724" t="s">
        <v>24</v>
      </c>
      <c r="AN206" s="742" t="s">
        <v>4477</v>
      </c>
      <c r="AO206" s="734">
        <v>55</v>
      </c>
      <c r="AP206" s="734">
        <v>33</v>
      </c>
      <c r="AQ206" s="734" t="s">
        <v>803</v>
      </c>
      <c r="AR206" s="734" t="s">
        <v>803</v>
      </c>
      <c r="AS206" s="734">
        <v>61</v>
      </c>
      <c r="AT206" s="734">
        <v>4.3</v>
      </c>
      <c r="AU206" s="734">
        <v>66.099999999999994</v>
      </c>
      <c r="AV206" s="734">
        <v>7.2</v>
      </c>
      <c r="AW206" s="734" t="s">
        <v>4475</v>
      </c>
      <c r="AX206" s="734"/>
      <c r="AY206" s="734"/>
      <c r="AZ206" s="755" t="s">
        <v>1874</v>
      </c>
      <c r="BA206" s="734" t="s">
        <v>24</v>
      </c>
      <c r="BB206" s="734" t="s">
        <v>24</v>
      </c>
      <c r="BC206" s="734" t="s">
        <v>4161</v>
      </c>
      <c r="BD206" s="755"/>
      <c r="BE206" s="755"/>
      <c r="BF206" s="120" t="s">
        <v>5116</v>
      </c>
      <c r="BG206" s="734" t="s">
        <v>4476</v>
      </c>
      <c r="BH206" s="372"/>
      <c r="BI206" s="372"/>
      <c r="BJ206" s="735"/>
      <c r="BK206" s="735"/>
      <c r="BL206" s="735"/>
      <c r="BM206" s="735"/>
      <c r="BN206" s="735"/>
      <c r="BO206" s="735">
        <v>1</v>
      </c>
      <c r="BP206" s="735"/>
      <c r="BQ206" s="735"/>
      <c r="BR206" s="735"/>
      <c r="BS206" s="735"/>
      <c r="BT206" s="735"/>
      <c r="BU206" s="735"/>
      <c r="BV206" s="735"/>
      <c r="BW206" s="735" t="s">
        <v>4002</v>
      </c>
      <c r="BX206" s="736"/>
      <c r="BY206" s="736"/>
      <c r="BZ206" s="736"/>
      <c r="CA206" s="511"/>
      <c r="CB206" s="511"/>
      <c r="CC206" s="511"/>
      <c r="CD206" s="734" t="s">
        <v>1876</v>
      </c>
      <c r="CE206" s="734" t="s">
        <v>4479</v>
      </c>
      <c r="CF206" s="734"/>
      <c r="CG206" s="734" t="s">
        <v>4483</v>
      </c>
      <c r="CH206" s="755"/>
      <c r="CI206" s="734" t="s">
        <v>24</v>
      </c>
      <c r="CJ206" s="734"/>
      <c r="CK206" s="774" t="s">
        <v>4484</v>
      </c>
      <c r="CL206" s="774"/>
      <c r="CM206" s="737" t="s">
        <v>4503</v>
      </c>
      <c r="CN206" s="738"/>
      <c r="CO206" s="738"/>
      <c r="CP206" s="738"/>
      <c r="CQ206" s="738"/>
      <c r="CR206" s="738"/>
      <c r="CS206" s="738"/>
      <c r="CT206" s="738"/>
      <c r="CU206" s="738"/>
      <c r="CV206" s="738"/>
      <c r="CW206" s="738"/>
      <c r="CX206" s="736"/>
      <c r="CY206" s="734"/>
      <c r="CZ206" s="734"/>
      <c r="DA206" s="734"/>
      <c r="DB206" s="736"/>
      <c r="DC206" s="734"/>
      <c r="DD206" s="734"/>
      <c r="DE206" s="734"/>
      <c r="DF206" s="621"/>
      <c r="DG206" s="509"/>
      <c r="DH206" s="736"/>
      <c r="DI206" s="734"/>
      <c r="DJ206" s="734"/>
      <c r="DK206" s="734"/>
      <c r="DL206" s="1180"/>
      <c r="DM206" s="734"/>
      <c r="DN206" s="778"/>
      <c r="DO206" s="734"/>
      <c r="DP206" s="737"/>
      <c r="DQ206" s="372"/>
      <c r="DR206" s="1182"/>
      <c r="DS206" s="956"/>
      <c r="DT206" s="1180"/>
      <c r="DU206" s="734"/>
      <c r="DV206" s="778"/>
      <c r="DW206" s="734"/>
      <c r="DX206" s="778"/>
      <c r="DY206" s="734"/>
      <c r="DZ206" s="778"/>
      <c r="EA206" s="734"/>
      <c r="EB206" s="1181"/>
      <c r="EC206" s="778"/>
      <c r="ED206" s="778"/>
      <c r="EE206" s="734"/>
      <c r="EF206" s="778"/>
      <c r="EG206" s="734"/>
      <c r="EH206" s="778"/>
      <c r="EI206" s="734"/>
      <c r="EJ206" s="778"/>
      <c r="EK206" s="734"/>
      <c r="EL206" s="1181"/>
      <c r="EM206" s="778"/>
      <c r="EN206" s="738"/>
      <c r="EO206" s="734"/>
      <c r="EP206" s="742"/>
      <c r="EQ206" s="742"/>
      <c r="ER206" s="742"/>
      <c r="ES206" s="742"/>
      <c r="ET206" s="823"/>
      <c r="EU206" s="742"/>
      <c r="EV206" s="742"/>
      <c r="EW206" s="742"/>
      <c r="EX206" s="742"/>
      <c r="EY206" s="742"/>
      <c r="EZ206" s="1180"/>
      <c r="FA206" s="778"/>
      <c r="FB206" s="778"/>
      <c r="FC206" s="778"/>
      <c r="FD206" s="1180"/>
      <c r="FE206" s="778"/>
      <c r="FF206" s="778"/>
      <c r="FG206" s="778"/>
      <c r="FH206" s="778"/>
      <c r="FI206" s="778"/>
      <c r="FJ206" s="778"/>
    </row>
    <row r="207" spans="1:166" ht="15" hidden="1" customHeight="1">
      <c r="A207" s="153" t="s">
        <v>151</v>
      </c>
      <c r="B207" s="618">
        <v>115</v>
      </c>
      <c r="C207" s="618">
        <v>28</v>
      </c>
      <c r="D207" s="618"/>
      <c r="E207" s="610" t="s">
        <v>1954</v>
      </c>
      <c r="F207" s="368" t="s">
        <v>2175</v>
      </c>
      <c r="G207" s="369">
        <v>2016</v>
      </c>
      <c r="H207" s="153">
        <v>26220415</v>
      </c>
      <c r="I207" s="153">
        <v>1</v>
      </c>
      <c r="J207" s="370"/>
      <c r="K207" s="371"/>
      <c r="L207" s="153">
        <v>1</v>
      </c>
      <c r="M207" s="153"/>
      <c r="N207" s="153">
        <v>1</v>
      </c>
      <c r="O207" s="153">
        <v>1</v>
      </c>
      <c r="P207" s="153" t="s">
        <v>465</v>
      </c>
      <c r="Q207" s="153" t="s">
        <v>1153</v>
      </c>
      <c r="R207" s="153" t="s">
        <v>466</v>
      </c>
      <c r="S207" s="153">
        <v>1</v>
      </c>
      <c r="T207" s="153"/>
      <c r="U207" s="153"/>
      <c r="V207" s="153"/>
      <c r="W207" s="153" t="s">
        <v>465</v>
      </c>
      <c r="X207" s="153" t="s">
        <v>24</v>
      </c>
      <c r="Y207" s="153"/>
      <c r="Z207" s="153"/>
      <c r="AA207" s="153"/>
      <c r="AB207" s="153" t="s">
        <v>467</v>
      </c>
      <c r="AC207" s="536"/>
      <c r="AD207" s="536">
        <v>1</v>
      </c>
      <c r="AE207" s="536">
        <v>2</v>
      </c>
      <c r="AF207" s="165">
        <v>0</v>
      </c>
      <c r="AG207" s="166" t="s">
        <v>7477</v>
      </c>
      <c r="AH207" s="509"/>
      <c r="AI207" s="120">
        <v>2</v>
      </c>
      <c r="AJ207" s="120"/>
      <c r="AK207" s="206" t="s">
        <v>4480</v>
      </c>
      <c r="AL207" s="372">
        <v>1</v>
      </c>
      <c r="AM207" s="207">
        <v>0</v>
      </c>
      <c r="AN207" s="683" t="s">
        <v>4477</v>
      </c>
      <c r="AO207" s="120">
        <v>55</v>
      </c>
      <c r="AP207" s="120">
        <v>33</v>
      </c>
      <c r="AQ207" s="120" t="s">
        <v>803</v>
      </c>
      <c r="AR207" s="120" t="s">
        <v>803</v>
      </c>
      <c r="AS207" s="120">
        <v>61</v>
      </c>
      <c r="AT207" s="120">
        <v>4.3</v>
      </c>
      <c r="AU207" s="120">
        <v>66.099999999999994</v>
      </c>
      <c r="AV207" s="120">
        <v>7.2</v>
      </c>
      <c r="AW207" s="120" t="s">
        <v>4475</v>
      </c>
      <c r="AX207" s="120"/>
      <c r="AY207" s="120"/>
      <c r="AZ207" s="755" t="s">
        <v>1874</v>
      </c>
      <c r="BA207" s="120" t="s">
        <v>24</v>
      </c>
      <c r="BB207" s="120" t="s">
        <v>24</v>
      </c>
      <c r="BC207" s="120" t="s">
        <v>4161</v>
      </c>
      <c r="BD207" s="755"/>
      <c r="BE207" s="755"/>
      <c r="BF207" s="120" t="s">
        <v>5116</v>
      </c>
      <c r="BG207" s="120" t="s">
        <v>4476</v>
      </c>
      <c r="BH207" s="377"/>
      <c r="BI207" s="377"/>
      <c r="BJ207" s="373"/>
      <c r="BK207" s="373"/>
      <c r="BL207" s="373"/>
      <c r="BM207" s="373"/>
      <c r="BN207" s="373"/>
      <c r="BO207" s="373"/>
      <c r="BP207" s="373">
        <v>1</v>
      </c>
      <c r="BQ207" s="373"/>
      <c r="BR207" s="373"/>
      <c r="BS207" s="373"/>
      <c r="BT207" s="373"/>
      <c r="BU207" s="373"/>
      <c r="BV207" s="373"/>
      <c r="BW207" s="599" t="s">
        <v>4486</v>
      </c>
      <c r="BX207" s="374" t="s">
        <v>6609</v>
      </c>
      <c r="BY207" s="374"/>
      <c r="BZ207" s="374"/>
      <c r="CA207" s="511">
        <v>2</v>
      </c>
      <c r="CB207" s="511"/>
      <c r="CC207" s="511" t="s">
        <v>24</v>
      </c>
      <c r="CD207" s="120" t="s">
        <v>1876</v>
      </c>
      <c r="CE207" s="120" t="s">
        <v>4479</v>
      </c>
      <c r="CF207" s="120"/>
      <c r="CG207" s="734" t="s">
        <v>4481</v>
      </c>
      <c r="CH207" s="755" t="s">
        <v>7307</v>
      </c>
      <c r="CI207" s="120" t="s">
        <v>24</v>
      </c>
      <c r="CJ207" s="120"/>
      <c r="CK207" s="120" t="s">
        <v>4482</v>
      </c>
      <c r="CL207" s="120"/>
      <c r="CM207" s="375" t="s">
        <v>4499</v>
      </c>
      <c r="CN207" s="380">
        <v>0</v>
      </c>
      <c r="CO207" s="380"/>
      <c r="CP207" s="380"/>
      <c r="CQ207" s="380"/>
      <c r="CR207" s="380"/>
      <c r="CS207" s="380"/>
      <c r="CT207" s="380"/>
      <c r="CU207" s="380"/>
      <c r="CV207" s="380"/>
      <c r="CW207" s="380"/>
      <c r="CX207" s="376" t="s">
        <v>4489</v>
      </c>
      <c r="CY207" s="120">
        <v>41.4</v>
      </c>
      <c r="CZ207" s="120">
        <v>9.8000000000000007</v>
      </c>
      <c r="DA207" s="120" t="s">
        <v>24</v>
      </c>
      <c r="DB207" s="376" t="s">
        <v>4490</v>
      </c>
      <c r="DC207" s="120">
        <v>42.6</v>
      </c>
      <c r="DD207" s="120">
        <v>6.1</v>
      </c>
      <c r="DE207" s="120" t="s">
        <v>24</v>
      </c>
      <c r="DF207" s="515" t="s">
        <v>4491</v>
      </c>
      <c r="DG207" s="513" t="s">
        <v>4494</v>
      </c>
      <c r="DH207" s="727" t="s">
        <v>4487</v>
      </c>
      <c r="DI207" s="727">
        <v>7.4</v>
      </c>
      <c r="DJ207" s="384">
        <v>2.9</v>
      </c>
      <c r="DK207" s="384" t="s">
        <v>24</v>
      </c>
      <c r="DL207" s="727" t="s">
        <v>4488</v>
      </c>
      <c r="DM207" s="384">
        <v>8.1</v>
      </c>
      <c r="DN207" s="384">
        <v>1.9</v>
      </c>
      <c r="DO207" s="384" t="s">
        <v>24</v>
      </c>
      <c r="DP207" s="375" t="s">
        <v>4492</v>
      </c>
      <c r="DQ207" s="377" t="s">
        <v>4493</v>
      </c>
      <c r="DR207" s="1182"/>
      <c r="DS207" s="956"/>
      <c r="DT207" s="727"/>
      <c r="DU207" s="384"/>
      <c r="DV207" s="384"/>
      <c r="DW207" s="384"/>
      <c r="DX207" s="384"/>
      <c r="DY207" s="384"/>
      <c r="DZ207" s="384"/>
      <c r="EA207" s="384"/>
      <c r="EB207" s="1012"/>
      <c r="EC207" s="384"/>
      <c r="ED207" s="384"/>
      <c r="EE207" s="384"/>
      <c r="EF207" s="384"/>
      <c r="EG207" s="384"/>
      <c r="EH207" s="384"/>
      <c r="EI207" s="384"/>
      <c r="EJ207" s="384"/>
      <c r="EK207" s="384"/>
      <c r="EL207" s="1012"/>
      <c r="EM207" s="384"/>
      <c r="EN207" s="1012"/>
      <c r="EO207" s="384"/>
      <c r="EP207" s="384"/>
      <c r="EQ207" s="384"/>
      <c r="ER207" s="384"/>
      <c r="ES207" s="384"/>
      <c r="ET207" s="727"/>
      <c r="EU207" s="384"/>
      <c r="EV207" s="384"/>
      <c r="EW207" s="384"/>
      <c r="EX207" s="384"/>
      <c r="EY207" s="384"/>
      <c r="EZ207" s="727"/>
      <c r="FA207" s="384"/>
      <c r="FB207" s="384"/>
      <c r="FC207" s="384"/>
      <c r="FD207" s="727"/>
      <c r="FE207" s="384"/>
      <c r="FF207" s="384"/>
      <c r="FG207" s="384"/>
      <c r="FH207" s="384"/>
      <c r="FI207" s="384"/>
      <c r="FJ207" s="384"/>
    </row>
    <row r="208" spans="1:166" ht="15" customHeight="1">
      <c r="A208" s="118" t="s">
        <v>1097</v>
      </c>
      <c r="B208" s="767">
        <v>11</v>
      </c>
      <c r="C208" s="767"/>
      <c r="D208" s="767"/>
      <c r="E208" s="605" t="s">
        <v>1935</v>
      </c>
      <c r="F208" s="140" t="s">
        <v>2303</v>
      </c>
      <c r="G208" s="141">
        <v>2015</v>
      </c>
      <c r="H208" s="118">
        <v>25533726</v>
      </c>
      <c r="I208" s="118">
        <v>1</v>
      </c>
      <c r="J208" s="118">
        <v>1</v>
      </c>
      <c r="K208" s="118"/>
      <c r="L208" s="118">
        <v>1</v>
      </c>
      <c r="M208" s="118"/>
      <c r="N208" s="158">
        <v>1</v>
      </c>
      <c r="O208" s="142">
        <v>2</v>
      </c>
      <c r="P208" s="118" t="s">
        <v>1230</v>
      </c>
      <c r="Q208" s="118" t="s">
        <v>1162</v>
      </c>
      <c r="R208" s="118" t="s">
        <v>1127</v>
      </c>
      <c r="S208" s="118"/>
      <c r="T208" s="118" t="s">
        <v>1541</v>
      </c>
      <c r="U208" s="118" t="s">
        <v>23</v>
      </c>
      <c r="V208" s="118" t="s">
        <v>23</v>
      </c>
      <c r="W208" s="118" t="s">
        <v>1501</v>
      </c>
      <c r="X208" s="118" t="s">
        <v>1231</v>
      </c>
      <c r="Y208" s="118" t="s">
        <v>23</v>
      </c>
      <c r="Z208" s="118"/>
      <c r="AA208" s="118"/>
      <c r="AB208" s="118"/>
      <c r="AC208" s="145"/>
      <c r="AD208" s="653">
        <v>1</v>
      </c>
      <c r="AE208" s="653">
        <v>2</v>
      </c>
      <c r="AF208" s="159">
        <v>1</v>
      </c>
      <c r="AG208" s="160" t="s">
        <v>8113</v>
      </c>
      <c r="AH208" s="732">
        <v>0</v>
      </c>
      <c r="AI208" s="122">
        <v>4</v>
      </c>
      <c r="AJ208" s="485"/>
      <c r="AK208" s="204" t="s">
        <v>7444</v>
      </c>
      <c r="AL208" s="192">
        <v>2</v>
      </c>
      <c r="AM208" s="227" t="s">
        <v>7438</v>
      </c>
      <c r="AN208" s="266">
        <f>Table66[[#This Row],[Data_Subjects_n_ptsd]]+Table66[[#This Row],[Data_Subjects_n_control]]</f>
        <v>20</v>
      </c>
      <c r="AO208" s="150">
        <v>10</v>
      </c>
      <c r="AP208" s="150">
        <v>10</v>
      </c>
      <c r="AQ208" s="150" t="s">
        <v>803</v>
      </c>
      <c r="AR208" s="150" t="s">
        <v>803</v>
      </c>
      <c r="AS208" s="150" t="s">
        <v>2687</v>
      </c>
      <c r="AT208" s="150" t="s">
        <v>24</v>
      </c>
      <c r="AU208" s="150" t="s">
        <v>2687</v>
      </c>
      <c r="AV208" s="150" t="s">
        <v>24</v>
      </c>
      <c r="AW208" s="150" t="s">
        <v>7433</v>
      </c>
      <c r="AX208" s="150">
        <v>15</v>
      </c>
      <c r="AY208" s="150">
        <v>1</v>
      </c>
      <c r="AZ208" s="150" t="s">
        <v>1814</v>
      </c>
      <c r="BA208" s="150">
        <v>1</v>
      </c>
      <c r="BB208" s="150">
        <v>1</v>
      </c>
      <c r="BC208" s="150" t="s">
        <v>7436</v>
      </c>
      <c r="BD208" s="753" t="s">
        <v>7523</v>
      </c>
      <c r="BE208" s="753"/>
      <c r="BF208" s="150" t="s">
        <v>1130</v>
      </c>
      <c r="BG208" s="150" t="s">
        <v>2554</v>
      </c>
      <c r="BH208" s="588"/>
      <c r="BI208" s="588"/>
      <c r="BJ208" s="161">
        <v>1</v>
      </c>
      <c r="BK208" s="161"/>
      <c r="BL208" s="161"/>
      <c r="BM208" s="161"/>
      <c r="BN208" s="161"/>
      <c r="BO208" s="161"/>
      <c r="BP208" s="161"/>
      <c r="BQ208" s="161"/>
      <c r="BR208" s="161"/>
      <c r="BS208" s="161"/>
      <c r="BT208" s="161"/>
      <c r="BU208" s="161"/>
      <c r="BV208" s="161"/>
      <c r="BW208" s="596" t="s">
        <v>7435</v>
      </c>
      <c r="BX208" s="185" t="s">
        <v>6598</v>
      </c>
      <c r="BY208" s="797" t="s">
        <v>7615</v>
      </c>
      <c r="BZ208" s="791" t="s">
        <v>7610</v>
      </c>
      <c r="CA208" s="766">
        <v>4</v>
      </c>
      <c r="CB208" s="766" t="s">
        <v>7556</v>
      </c>
      <c r="CC208" s="766" t="s">
        <v>7384</v>
      </c>
      <c r="CD208" s="150" t="s">
        <v>1876</v>
      </c>
      <c r="CE208" s="150">
        <v>2</v>
      </c>
      <c r="CF208" s="400" t="s">
        <v>7584</v>
      </c>
      <c r="CG208" s="150" t="s">
        <v>7434</v>
      </c>
      <c r="CH208" s="150" t="s">
        <v>1488</v>
      </c>
      <c r="CI208" s="150" t="s">
        <v>7432</v>
      </c>
      <c r="CJ208" s="150">
        <v>1</v>
      </c>
      <c r="CK208" s="150" t="s">
        <v>2659</v>
      </c>
      <c r="CL208" s="150" t="s">
        <v>2659</v>
      </c>
      <c r="CM208" s="258" t="s">
        <v>2709</v>
      </c>
      <c r="CN208" s="257">
        <v>0</v>
      </c>
      <c r="CO208" s="829">
        <v>6</v>
      </c>
      <c r="CP208" s="829">
        <v>2</v>
      </c>
      <c r="CQ208" s="829">
        <v>1</v>
      </c>
      <c r="CR208" s="829">
        <v>1</v>
      </c>
      <c r="CS208" s="829">
        <v>1</v>
      </c>
      <c r="CT208" s="968"/>
      <c r="CU208" s="1289" t="s">
        <v>8104</v>
      </c>
      <c r="CV208" s="1295">
        <v>58</v>
      </c>
      <c r="CW208" s="1295">
        <v>52</v>
      </c>
      <c r="CX208" s="151" t="s">
        <v>7440</v>
      </c>
      <c r="CY208" s="150">
        <v>13.9884</v>
      </c>
      <c r="CZ208" s="150" t="s">
        <v>24</v>
      </c>
      <c r="DA208" s="150">
        <f>15.7639-Table66[[#This Row],[Data_Outcome1_M]]</f>
        <v>1.7754999999999992</v>
      </c>
      <c r="DB208" s="151" t="s">
        <v>7439</v>
      </c>
      <c r="DC208" s="150">
        <v>13.468</v>
      </c>
      <c r="DD208" s="150" t="s">
        <v>24</v>
      </c>
      <c r="DE208" s="150">
        <f>Table66[[#This Row],[Data_Outcome2_M]]-11.9372</f>
        <v>1.5307999999999993</v>
      </c>
      <c r="DF208" s="294" t="s">
        <v>2707</v>
      </c>
      <c r="DG208" s="295" t="s">
        <v>2480</v>
      </c>
      <c r="DH208" s="1179"/>
      <c r="DI208" s="417"/>
      <c r="DJ208" s="1169"/>
      <c r="DK208" s="417"/>
      <c r="DL208" s="1169"/>
      <c r="DM208" s="121"/>
      <c r="DN208" s="1169"/>
      <c r="DO208" s="121"/>
      <c r="DP208" s="288"/>
      <c r="DQ208" s="289"/>
      <c r="DR208" s="1168"/>
      <c r="DS208" s="865"/>
      <c r="DT208" s="1166"/>
      <c r="DU208" s="1164"/>
      <c r="DV208" s="1164"/>
      <c r="DW208" s="1164"/>
      <c r="DX208" s="1164"/>
      <c r="DY208" s="1164"/>
      <c r="DZ208" s="1164"/>
      <c r="EA208" s="1164"/>
      <c r="EB208" s="311"/>
      <c r="EC208" s="313"/>
      <c r="ED208" s="1164"/>
      <c r="EE208" s="122"/>
      <c r="EF208" s="1164"/>
      <c r="EG208" s="122"/>
      <c r="EH208" s="1164"/>
      <c r="EI208" s="122"/>
      <c r="EJ208" s="1164"/>
      <c r="EK208" s="122"/>
      <c r="EL208" s="311"/>
      <c r="EM208" s="313"/>
      <c r="EN208" s="1167"/>
      <c r="EO208" s="1165"/>
      <c r="EP208" s="1164"/>
      <c r="EQ208" s="500"/>
      <c r="ER208" s="1164"/>
      <c r="ES208" s="1164"/>
      <c r="ET208" s="1166"/>
      <c r="EU208" s="1164"/>
      <c r="EV208" s="1164"/>
      <c r="EW208" s="1164"/>
      <c r="EX208" s="313"/>
      <c r="EY208" s="313"/>
      <c r="EZ208" s="1166"/>
      <c r="FA208" s="1164"/>
      <c r="FB208" s="1164"/>
      <c r="FC208" s="1164"/>
      <c r="FD208" s="1166"/>
      <c r="FE208" s="1164"/>
      <c r="FF208" s="1164"/>
      <c r="FG208" s="1164"/>
      <c r="FH208" s="313"/>
      <c r="FI208" s="313"/>
      <c r="FJ208" s="1165"/>
    </row>
    <row r="209" spans="1:166" ht="15" customHeight="1">
      <c r="A209" s="118" t="s">
        <v>1097</v>
      </c>
      <c r="B209" s="767">
        <v>11</v>
      </c>
      <c r="C209" s="767"/>
      <c r="D209" s="767"/>
      <c r="E209" s="605" t="s">
        <v>1935</v>
      </c>
      <c r="F209" s="140" t="s">
        <v>2303</v>
      </c>
      <c r="G209" s="141">
        <v>2015</v>
      </c>
      <c r="H209" s="118">
        <v>25533726</v>
      </c>
      <c r="I209" s="118">
        <v>1</v>
      </c>
      <c r="J209" s="118">
        <v>1</v>
      </c>
      <c r="K209" s="118"/>
      <c r="L209" s="118">
        <v>1</v>
      </c>
      <c r="M209" s="118"/>
      <c r="N209" s="158">
        <v>1</v>
      </c>
      <c r="O209" s="142">
        <v>2</v>
      </c>
      <c r="P209" s="118" t="s">
        <v>1230</v>
      </c>
      <c r="Q209" s="118" t="s">
        <v>1162</v>
      </c>
      <c r="R209" s="118" t="s">
        <v>1127</v>
      </c>
      <c r="S209" s="118"/>
      <c r="T209" s="118" t="s">
        <v>1541</v>
      </c>
      <c r="U209" s="118" t="s">
        <v>23</v>
      </c>
      <c r="V209" s="118" t="s">
        <v>23</v>
      </c>
      <c r="W209" s="118" t="s">
        <v>1501</v>
      </c>
      <c r="X209" s="118" t="s">
        <v>1231</v>
      </c>
      <c r="Y209" s="118" t="s">
        <v>23</v>
      </c>
      <c r="Z209" s="118"/>
      <c r="AA209" s="118"/>
      <c r="AB209" s="118"/>
      <c r="AC209" s="145"/>
      <c r="AD209" s="653">
        <v>1</v>
      </c>
      <c r="AE209" s="653">
        <v>2</v>
      </c>
      <c r="AF209" s="159">
        <v>1</v>
      </c>
      <c r="AG209" s="160" t="s">
        <v>8114</v>
      </c>
      <c r="AH209" s="732">
        <v>0</v>
      </c>
      <c r="AI209" s="122">
        <v>4</v>
      </c>
      <c r="AJ209" s="485"/>
      <c r="AK209" s="204" t="s">
        <v>7445</v>
      </c>
      <c r="AL209" s="192">
        <v>2</v>
      </c>
      <c r="AM209" s="227" t="s">
        <v>7438</v>
      </c>
      <c r="AN209" s="266">
        <f>Table66[[#This Row],[Data_Subjects_n_ptsd]]+Table66[[#This Row],[Data_Subjects_n_control]]</f>
        <v>20</v>
      </c>
      <c r="AO209" s="150">
        <v>10</v>
      </c>
      <c r="AP209" s="150">
        <v>10</v>
      </c>
      <c r="AQ209" s="150" t="s">
        <v>803</v>
      </c>
      <c r="AR209" s="150" t="s">
        <v>803</v>
      </c>
      <c r="AS209" s="150" t="s">
        <v>2687</v>
      </c>
      <c r="AT209" s="150" t="s">
        <v>24</v>
      </c>
      <c r="AU209" s="425" t="s">
        <v>2687</v>
      </c>
      <c r="AV209" s="150" t="s">
        <v>24</v>
      </c>
      <c r="AW209" s="150" t="s">
        <v>7437</v>
      </c>
      <c r="AX209" s="150">
        <v>15</v>
      </c>
      <c r="AY209" s="150">
        <v>1</v>
      </c>
      <c r="AZ209" s="150" t="s">
        <v>1814</v>
      </c>
      <c r="BA209" s="150">
        <v>1</v>
      </c>
      <c r="BB209" s="150">
        <v>1</v>
      </c>
      <c r="BC209" s="150" t="s">
        <v>7436</v>
      </c>
      <c r="BD209" s="753" t="s">
        <v>7523</v>
      </c>
      <c r="BE209" s="753"/>
      <c r="BF209" s="150" t="s">
        <v>1130</v>
      </c>
      <c r="BG209" s="150" t="s">
        <v>2554</v>
      </c>
      <c r="BH209" s="588"/>
      <c r="BI209" s="588"/>
      <c r="BJ209" s="161">
        <v>1</v>
      </c>
      <c r="BK209" s="161"/>
      <c r="BL209" s="161"/>
      <c r="BM209" s="161"/>
      <c r="BN209" s="161"/>
      <c r="BO209" s="161"/>
      <c r="BP209" s="161"/>
      <c r="BQ209" s="161"/>
      <c r="BR209" s="161"/>
      <c r="BS209" s="161"/>
      <c r="BT209" s="161"/>
      <c r="BU209" s="161"/>
      <c r="BV209" s="161"/>
      <c r="BW209" s="596" t="s">
        <v>7435</v>
      </c>
      <c r="BX209" s="162" t="s">
        <v>6599</v>
      </c>
      <c r="BY209" s="797" t="s">
        <v>7615</v>
      </c>
      <c r="BZ209" s="791" t="s">
        <v>7610</v>
      </c>
      <c r="CA209" s="659">
        <v>4</v>
      </c>
      <c r="CB209" s="659" t="s">
        <v>7556</v>
      </c>
      <c r="CC209" s="659" t="s">
        <v>7384</v>
      </c>
      <c r="CD209" s="150" t="s">
        <v>1876</v>
      </c>
      <c r="CE209" s="150">
        <v>2</v>
      </c>
      <c r="CF209" s="400" t="s">
        <v>7584</v>
      </c>
      <c r="CG209" s="150" t="s">
        <v>7434</v>
      </c>
      <c r="CH209" s="150" t="s">
        <v>1488</v>
      </c>
      <c r="CI209" s="150" t="s">
        <v>7432</v>
      </c>
      <c r="CJ209" s="150">
        <v>1</v>
      </c>
      <c r="CK209" s="150" t="s">
        <v>2659</v>
      </c>
      <c r="CL209" s="150" t="s">
        <v>2659</v>
      </c>
      <c r="CM209" s="258" t="s">
        <v>2716</v>
      </c>
      <c r="CN209" s="257">
        <v>0</v>
      </c>
      <c r="CO209" s="829">
        <v>6</v>
      </c>
      <c r="CP209" s="829">
        <v>3</v>
      </c>
      <c r="CQ209" s="829">
        <v>1</v>
      </c>
      <c r="CR209" s="829">
        <v>1</v>
      </c>
      <c r="CS209" s="829">
        <v>1</v>
      </c>
      <c r="CT209" s="968"/>
      <c r="CU209" s="1289" t="s">
        <v>8104</v>
      </c>
      <c r="CV209" s="1295">
        <v>59</v>
      </c>
      <c r="CW209" s="1295">
        <v>53</v>
      </c>
      <c r="CX209" s="151" t="s">
        <v>7440</v>
      </c>
      <c r="CY209" s="150">
        <v>14.1493</v>
      </c>
      <c r="CZ209" s="150" t="s">
        <v>24</v>
      </c>
      <c r="DA209" s="150">
        <f>16.4182-Table66[[#This Row],[Data_Outcome1_M]]</f>
        <v>2.2688999999999986</v>
      </c>
      <c r="DB209" s="151" t="s">
        <v>7439</v>
      </c>
      <c r="DC209" s="150">
        <v>13.0587</v>
      </c>
      <c r="DD209" s="150" t="s">
        <v>24</v>
      </c>
      <c r="DE209" s="150">
        <f>16.3618-Table66[[#This Row],[Data_Outcome2_M]]</f>
        <v>3.3030999999999988</v>
      </c>
      <c r="DF209" s="294" t="s">
        <v>2707</v>
      </c>
      <c r="DG209" s="295" t="s">
        <v>2480</v>
      </c>
      <c r="DH209" s="1178"/>
      <c r="DI209" s="500"/>
      <c r="DJ209" s="1164"/>
      <c r="DK209" s="500"/>
      <c r="DL209" s="1166"/>
      <c r="DM209" s="500"/>
      <c r="DN209" s="1164"/>
      <c r="DO209" s="1150"/>
      <c r="DP209" s="290"/>
      <c r="DQ209" s="291"/>
      <c r="DR209" s="864"/>
      <c r="DS209" s="865"/>
      <c r="DT209" s="526"/>
      <c r="DU209" s="1164"/>
      <c r="DV209" s="1164"/>
      <c r="DW209" s="1164"/>
      <c r="DX209" s="122"/>
      <c r="DY209" s="1164"/>
      <c r="DZ209" s="1164"/>
      <c r="EA209" s="1164"/>
      <c r="EB209" s="311"/>
      <c r="EC209" s="313"/>
      <c r="ED209" s="1164"/>
      <c r="EE209" s="1164"/>
      <c r="EF209" s="1164"/>
      <c r="EG209" s="1164"/>
      <c r="EH209" s="1164"/>
      <c r="EI209" s="1164"/>
      <c r="EJ209" s="1164"/>
      <c r="EK209" s="1164"/>
      <c r="EL209" s="311"/>
      <c r="EM209" s="313"/>
      <c r="EN209" s="1167"/>
      <c r="EO209" s="1165"/>
      <c r="EP209" s="1164"/>
      <c r="EQ209" s="1164"/>
      <c r="ER209" s="1164"/>
      <c r="ES209" s="1164"/>
      <c r="ET209" s="1166"/>
      <c r="EU209" s="1164"/>
      <c r="EV209" s="1164"/>
      <c r="EW209" s="1164"/>
      <c r="EX209" s="313"/>
      <c r="EY209" s="313"/>
      <c r="EZ209" s="1166"/>
      <c r="FA209" s="1164"/>
      <c r="FB209" s="1164"/>
      <c r="FC209" s="1164"/>
      <c r="FD209" s="1166"/>
      <c r="FE209" s="1164"/>
      <c r="FF209" s="1164"/>
      <c r="FG209" s="1164"/>
      <c r="FH209" s="313"/>
      <c r="FI209" s="313"/>
      <c r="FJ209" s="1165"/>
    </row>
    <row r="210" spans="1:166" ht="15" customHeight="1">
      <c r="A210" s="118" t="s">
        <v>1097</v>
      </c>
      <c r="B210" s="767">
        <v>11</v>
      </c>
      <c r="C210" s="767"/>
      <c r="D210" s="767"/>
      <c r="E210" s="605" t="s">
        <v>1935</v>
      </c>
      <c r="F210" s="140" t="s">
        <v>2303</v>
      </c>
      <c r="G210" s="141">
        <v>2015</v>
      </c>
      <c r="H210" s="118">
        <v>25533726</v>
      </c>
      <c r="I210" s="118">
        <v>1</v>
      </c>
      <c r="J210" s="118">
        <v>1</v>
      </c>
      <c r="K210" s="118"/>
      <c r="L210" s="118">
        <v>1</v>
      </c>
      <c r="M210" s="118"/>
      <c r="N210" s="158">
        <v>1</v>
      </c>
      <c r="O210" s="142">
        <v>2</v>
      </c>
      <c r="P210" s="118" t="s">
        <v>1230</v>
      </c>
      <c r="Q210" s="118" t="s">
        <v>1162</v>
      </c>
      <c r="R210" s="118" t="s">
        <v>1127</v>
      </c>
      <c r="S210" s="118"/>
      <c r="T210" s="118" t="s">
        <v>1541</v>
      </c>
      <c r="U210" s="118" t="s">
        <v>23</v>
      </c>
      <c r="V210" s="118" t="s">
        <v>23</v>
      </c>
      <c r="W210" s="118" t="s">
        <v>1501</v>
      </c>
      <c r="X210" s="118" t="s">
        <v>1231</v>
      </c>
      <c r="Y210" s="118" t="s">
        <v>23</v>
      </c>
      <c r="Z210" s="118"/>
      <c r="AA210" s="118"/>
      <c r="AB210" s="118"/>
      <c r="AC210" s="145"/>
      <c r="AD210" s="653">
        <v>1</v>
      </c>
      <c r="AE210" s="653">
        <v>2</v>
      </c>
      <c r="AF210" s="159">
        <v>1</v>
      </c>
      <c r="AG210" s="160" t="s">
        <v>8114</v>
      </c>
      <c r="AH210" s="732">
        <v>0</v>
      </c>
      <c r="AI210" s="122">
        <v>4</v>
      </c>
      <c r="AJ210" s="485"/>
      <c r="AK210" s="204" t="s">
        <v>7445</v>
      </c>
      <c r="AL210" s="192">
        <v>2</v>
      </c>
      <c r="AM210" s="227" t="s">
        <v>7438</v>
      </c>
      <c r="AN210" s="266">
        <f>Table66[[#This Row],[Data_Subjects_n_ptsd]]+Table66[[#This Row],[Data_Subjects_n_control]]</f>
        <v>20</v>
      </c>
      <c r="AO210" s="150">
        <v>10</v>
      </c>
      <c r="AP210" s="150">
        <v>10</v>
      </c>
      <c r="AQ210" s="150" t="s">
        <v>803</v>
      </c>
      <c r="AR210" s="150" t="s">
        <v>803</v>
      </c>
      <c r="AS210" s="150" t="s">
        <v>2687</v>
      </c>
      <c r="AT210" s="150" t="s">
        <v>24</v>
      </c>
      <c r="AU210" s="425" t="s">
        <v>2687</v>
      </c>
      <c r="AV210" s="150" t="s">
        <v>24</v>
      </c>
      <c r="AW210" s="150" t="s">
        <v>7437</v>
      </c>
      <c r="AX210" s="150">
        <v>15</v>
      </c>
      <c r="AY210" s="150">
        <v>1</v>
      </c>
      <c r="AZ210" s="150" t="s">
        <v>1814</v>
      </c>
      <c r="BA210" s="150">
        <v>1</v>
      </c>
      <c r="BB210" s="150">
        <v>1</v>
      </c>
      <c r="BC210" s="150" t="s">
        <v>7436</v>
      </c>
      <c r="BD210" s="753" t="s">
        <v>7523</v>
      </c>
      <c r="BE210" s="753"/>
      <c r="BF210" s="150" t="s">
        <v>1130</v>
      </c>
      <c r="BG210" s="150" t="s">
        <v>2554</v>
      </c>
      <c r="BH210" s="588"/>
      <c r="BI210" s="588"/>
      <c r="BJ210" s="161">
        <v>1</v>
      </c>
      <c r="BK210" s="161"/>
      <c r="BL210" s="161"/>
      <c r="BM210" s="161"/>
      <c r="BN210" s="161"/>
      <c r="BO210" s="161"/>
      <c r="BP210" s="161"/>
      <c r="BQ210" s="161"/>
      <c r="BR210" s="161"/>
      <c r="BS210" s="161"/>
      <c r="BT210" s="161"/>
      <c r="BU210" s="161"/>
      <c r="BV210" s="161"/>
      <c r="BW210" s="596" t="s">
        <v>7435</v>
      </c>
      <c r="BX210" s="162" t="s">
        <v>6599</v>
      </c>
      <c r="BY210" s="797" t="s">
        <v>7615</v>
      </c>
      <c r="BZ210" s="791" t="s">
        <v>7610</v>
      </c>
      <c r="CA210" s="659">
        <v>4</v>
      </c>
      <c r="CB210" s="659" t="s">
        <v>7556</v>
      </c>
      <c r="CC210" s="659" t="s">
        <v>7384</v>
      </c>
      <c r="CD210" s="150" t="s">
        <v>1876</v>
      </c>
      <c r="CE210" s="150">
        <v>2</v>
      </c>
      <c r="CF210" s="400" t="s">
        <v>7584</v>
      </c>
      <c r="CG210" s="150" t="s">
        <v>7434</v>
      </c>
      <c r="CH210" s="150" t="s">
        <v>1488</v>
      </c>
      <c r="CI210" s="150" t="s">
        <v>7432</v>
      </c>
      <c r="CJ210" s="150">
        <v>1</v>
      </c>
      <c r="CK210" s="150" t="s">
        <v>2659</v>
      </c>
      <c r="CL210" s="150" t="s">
        <v>2659</v>
      </c>
      <c r="CM210" s="258" t="s">
        <v>2716</v>
      </c>
      <c r="CN210" s="257" t="s">
        <v>6627</v>
      </c>
      <c r="CO210" s="829">
        <v>6</v>
      </c>
      <c r="CP210" s="829">
        <v>3</v>
      </c>
      <c r="CQ210" s="829">
        <v>2</v>
      </c>
      <c r="CR210" s="829">
        <v>1</v>
      </c>
      <c r="CS210" s="829">
        <v>1</v>
      </c>
      <c r="CT210" s="968"/>
      <c r="CU210" s="1289" t="s">
        <v>8104</v>
      </c>
      <c r="CV210" s="1295">
        <v>59</v>
      </c>
      <c r="CW210" s="1295">
        <v>53</v>
      </c>
      <c r="CX210" s="428" t="s">
        <v>7441</v>
      </c>
      <c r="CY210" s="150">
        <v>73.122900000000001</v>
      </c>
      <c r="CZ210" s="150" t="s">
        <v>24</v>
      </c>
      <c r="DA210" s="150">
        <f>77.8708-Table66[[#This Row],[Data_Outcome1_M]]</f>
        <v>4.7479000000000013</v>
      </c>
      <c r="DB210" s="428" t="s">
        <v>7442</v>
      </c>
      <c r="DC210" s="150">
        <v>14.8607</v>
      </c>
      <c r="DD210" s="150" t="s">
        <v>24</v>
      </c>
      <c r="DE210" s="150">
        <f>16.9247-Table66[[#This Row],[Data_Outcome2_M]]</f>
        <v>2.0640000000000018</v>
      </c>
      <c r="DF210" s="290" t="s">
        <v>7736</v>
      </c>
      <c r="DG210" s="291" t="s">
        <v>2555</v>
      </c>
      <c r="DH210" s="1156"/>
      <c r="DI210" s="122"/>
      <c r="DJ210" s="1164"/>
      <c r="DK210" s="122"/>
      <c r="DL210" s="1156"/>
      <c r="DM210" s="122"/>
      <c r="DN210" s="1164"/>
      <c r="DO210" s="122"/>
      <c r="DP210" s="290"/>
      <c r="DQ210" s="291"/>
      <c r="DR210" s="864"/>
      <c r="DS210" s="865"/>
      <c r="DT210" s="526"/>
      <c r="DU210" s="1164"/>
      <c r="DV210" s="1164"/>
      <c r="DW210" s="1164"/>
      <c r="DX210" s="122"/>
      <c r="DY210" s="1164"/>
      <c r="DZ210" s="1164"/>
      <c r="EA210" s="1164"/>
      <c r="EB210" s="311"/>
      <c r="EC210" s="313"/>
      <c r="ED210" s="1164"/>
      <c r="EE210" s="1164"/>
      <c r="EF210" s="1164"/>
      <c r="EG210" s="1164"/>
      <c r="EH210" s="1164"/>
      <c r="EI210" s="1164"/>
      <c r="EJ210" s="1164"/>
      <c r="EK210" s="1164"/>
      <c r="EL210" s="311"/>
      <c r="EM210" s="313"/>
      <c r="EN210" s="1167"/>
      <c r="EO210" s="1165"/>
      <c r="EP210" s="1164"/>
      <c r="EQ210" s="1164"/>
      <c r="ER210" s="1164"/>
      <c r="ES210" s="1164"/>
      <c r="ET210" s="1166"/>
      <c r="EU210" s="1164"/>
      <c r="EV210" s="1164"/>
      <c r="EW210" s="1164"/>
      <c r="EX210" s="313"/>
      <c r="EY210" s="313"/>
      <c r="EZ210" s="1166"/>
      <c r="FA210" s="1164"/>
      <c r="FB210" s="1164"/>
      <c r="FC210" s="1164"/>
      <c r="FD210" s="1166"/>
      <c r="FE210" s="1164"/>
      <c r="FF210" s="1164"/>
      <c r="FG210" s="1164"/>
      <c r="FH210" s="313"/>
      <c r="FI210" s="313"/>
      <c r="FJ210" s="1165"/>
    </row>
    <row r="211" spans="1:166" ht="15" customHeight="1">
      <c r="A211" s="79" t="s">
        <v>1083</v>
      </c>
      <c r="B211" s="614">
        <v>13</v>
      </c>
      <c r="C211" s="614"/>
      <c r="D211" s="614"/>
      <c r="E211" s="604" t="s">
        <v>2060</v>
      </c>
      <c r="F211" s="124" t="s">
        <v>2312</v>
      </c>
      <c r="G211" s="125">
        <v>2012</v>
      </c>
      <c r="H211" s="79">
        <v>21925525</v>
      </c>
      <c r="I211" s="79">
        <v>1</v>
      </c>
      <c r="J211" s="126" t="s">
        <v>1831</v>
      </c>
      <c r="K211" s="127"/>
      <c r="L211" s="79">
        <v>0</v>
      </c>
      <c r="M211" s="79"/>
      <c r="N211" s="153">
        <v>0</v>
      </c>
      <c r="O211" s="128">
        <v>2</v>
      </c>
      <c r="P211" s="79" t="s">
        <v>1273</v>
      </c>
      <c r="Q211" s="79" t="s">
        <v>1212</v>
      </c>
      <c r="R211" s="79" t="s">
        <v>1127</v>
      </c>
      <c r="S211" s="79"/>
      <c r="T211" s="79" t="s">
        <v>1829</v>
      </c>
      <c r="U211" s="79"/>
      <c r="V211" s="79"/>
      <c r="W211" s="79" t="s">
        <v>1830</v>
      </c>
      <c r="X211" s="79"/>
      <c r="Y211" s="79"/>
      <c r="Z211" s="79"/>
      <c r="AA211" s="79"/>
      <c r="AB211" s="79" t="s">
        <v>1488</v>
      </c>
      <c r="AC211" s="506"/>
      <c r="AD211" s="573">
        <v>1</v>
      </c>
      <c r="AE211" s="573">
        <v>2</v>
      </c>
      <c r="AF211" s="154">
        <v>1</v>
      </c>
      <c r="AG211" s="353" t="s">
        <v>7665</v>
      </c>
      <c r="AH211" s="704">
        <v>0</v>
      </c>
      <c r="AI211" s="121">
        <v>4</v>
      </c>
      <c r="AJ211" s="484"/>
      <c r="AK211" s="202" t="s">
        <v>2735</v>
      </c>
      <c r="AL211" s="192">
        <v>2</v>
      </c>
      <c r="AM211" s="215">
        <v>0</v>
      </c>
      <c r="AN211" s="190">
        <f>8+8+8</f>
        <v>24</v>
      </c>
      <c r="AO211" s="134">
        <v>8</v>
      </c>
      <c r="AP211" s="134">
        <v>8</v>
      </c>
      <c r="AQ211" s="134" t="s">
        <v>803</v>
      </c>
      <c r="AR211" s="134" t="s">
        <v>803</v>
      </c>
      <c r="AS211" s="150" t="s">
        <v>7502</v>
      </c>
      <c r="AT211" s="134" t="s">
        <v>24</v>
      </c>
      <c r="AU211" s="425" t="s">
        <v>7502</v>
      </c>
      <c r="AV211" s="134" t="s">
        <v>24</v>
      </c>
      <c r="AW211" s="134" t="s">
        <v>7666</v>
      </c>
      <c r="AX211" s="134">
        <v>10</v>
      </c>
      <c r="AY211" s="134">
        <v>0.8</v>
      </c>
      <c r="AZ211" s="753" t="s">
        <v>1814</v>
      </c>
      <c r="BA211" s="134">
        <v>1</v>
      </c>
      <c r="BB211" s="134" t="s">
        <v>3322</v>
      </c>
      <c r="BC211" s="134" t="s">
        <v>7536</v>
      </c>
      <c r="BD211" s="753" t="s">
        <v>7523</v>
      </c>
      <c r="BE211" s="753"/>
      <c r="BF211" s="134" t="s">
        <v>2730</v>
      </c>
      <c r="BG211" s="134" t="s">
        <v>2733</v>
      </c>
      <c r="BH211" s="594"/>
      <c r="BI211" s="594"/>
      <c r="BJ211" s="156">
        <v>1</v>
      </c>
      <c r="BK211" s="156"/>
      <c r="BL211" s="156"/>
      <c r="BM211" s="156"/>
      <c r="BN211" s="156"/>
      <c r="BO211" s="156"/>
      <c r="BP211" s="156"/>
      <c r="BQ211" s="156"/>
      <c r="BR211" s="156"/>
      <c r="BS211" s="156"/>
      <c r="BT211" s="156"/>
      <c r="BU211" s="156"/>
      <c r="BV211" s="156"/>
      <c r="BW211" s="595" t="s">
        <v>2741</v>
      </c>
      <c r="BX211" s="157" t="s">
        <v>6596</v>
      </c>
      <c r="BY211" s="797" t="s">
        <v>7615</v>
      </c>
      <c r="BZ211" s="789" t="s">
        <v>7610</v>
      </c>
      <c r="CA211" s="660">
        <v>4</v>
      </c>
      <c r="CB211" s="660" t="s">
        <v>7556</v>
      </c>
      <c r="CC211" s="660" t="s">
        <v>7380</v>
      </c>
      <c r="CD211" s="134" t="s">
        <v>1876</v>
      </c>
      <c r="CE211" s="134">
        <v>3</v>
      </c>
      <c r="CF211" s="400"/>
      <c r="CG211" s="134" t="s">
        <v>7460</v>
      </c>
      <c r="CH211" s="753" t="s">
        <v>1488</v>
      </c>
      <c r="CI211" s="134" t="s">
        <v>2471</v>
      </c>
      <c r="CJ211" s="134">
        <v>0</v>
      </c>
      <c r="CK211" s="134" t="s">
        <v>2659</v>
      </c>
      <c r="CL211" s="134" t="s">
        <v>2659</v>
      </c>
      <c r="CM211" s="259" t="s">
        <v>2748</v>
      </c>
      <c r="CN211" s="454" t="s">
        <v>24</v>
      </c>
      <c r="CO211" s="828">
        <v>14</v>
      </c>
      <c r="CP211" s="828">
        <v>2</v>
      </c>
      <c r="CQ211" s="828">
        <v>1</v>
      </c>
      <c r="CR211" s="828">
        <v>0</v>
      </c>
      <c r="CS211" s="828">
        <v>1</v>
      </c>
      <c r="CT211" s="967"/>
      <c r="CU211" s="1289" t="s">
        <v>8104</v>
      </c>
      <c r="CV211" s="1295">
        <v>70</v>
      </c>
      <c r="CW211" s="1295">
        <v>62</v>
      </c>
      <c r="CX211" s="138" t="s">
        <v>2739</v>
      </c>
      <c r="CY211" s="134">
        <v>33.502899999999997</v>
      </c>
      <c r="CZ211" s="134" t="s">
        <v>24</v>
      </c>
      <c r="DA211" s="134">
        <f>37.3238-Table66[[#This Row],[Data_Outcome1_M]]</f>
        <v>3.8209000000000017</v>
      </c>
      <c r="DB211" s="430" t="s">
        <v>2736</v>
      </c>
      <c r="DC211" s="134">
        <v>62.995399999999997</v>
      </c>
      <c r="DD211" s="134" t="s">
        <v>24</v>
      </c>
      <c r="DE211" s="134">
        <f>70.638-Table66[[#This Row],[Data_Outcome2_M]]</f>
        <v>7.6426000000000087</v>
      </c>
      <c r="DF211" s="294" t="s">
        <v>2740</v>
      </c>
      <c r="DG211" s="295" t="s">
        <v>2555</v>
      </c>
      <c r="DH211" s="1179"/>
      <c r="DI211" s="417"/>
      <c r="DJ211" s="1169"/>
      <c r="DK211" s="417"/>
      <c r="DL211" s="1171"/>
      <c r="DM211" s="417"/>
      <c r="DN211" s="1169"/>
      <c r="DO211" s="1151"/>
      <c r="DP211" s="288"/>
      <c r="DQ211" s="289"/>
      <c r="DR211" s="864"/>
      <c r="DS211" s="865"/>
      <c r="DT211" s="1276"/>
      <c r="DU211" s="121"/>
      <c r="DV211" s="121"/>
      <c r="DW211" s="121"/>
      <c r="DX211" s="121"/>
      <c r="DY211" s="121"/>
      <c r="DZ211" s="121"/>
      <c r="EA211" s="121"/>
      <c r="EB211" s="304"/>
      <c r="EC211" s="312"/>
      <c r="ED211" s="121"/>
      <c r="EE211" s="121"/>
      <c r="EF211" s="121"/>
      <c r="EG211" s="121"/>
      <c r="EH211" s="121"/>
      <c r="EI211" s="121"/>
      <c r="EJ211" s="121"/>
      <c r="EK211" s="121"/>
      <c r="EL211" s="304"/>
      <c r="EM211" s="312"/>
      <c r="EN211" s="309"/>
      <c r="EO211" s="1170"/>
      <c r="EP211" s="1169"/>
      <c r="EQ211" s="1169"/>
      <c r="ER211" s="1169"/>
      <c r="ES211" s="1169"/>
      <c r="ET211" s="1171"/>
      <c r="EU211" s="1169"/>
      <c r="EV211" s="1169"/>
      <c r="EW211" s="1169"/>
      <c r="EX211" s="312"/>
      <c r="EY211" s="312"/>
      <c r="EZ211" s="1171"/>
      <c r="FA211" s="1169"/>
      <c r="FB211" s="1169"/>
      <c r="FC211" s="1169"/>
      <c r="FD211" s="1171"/>
      <c r="FE211" s="1169"/>
      <c r="FF211" s="1169"/>
      <c r="FG211" s="1169"/>
      <c r="FH211" s="312"/>
      <c r="FI211" s="312"/>
      <c r="FJ211" s="1170"/>
    </row>
    <row r="212" spans="1:166" ht="15" customHeight="1">
      <c r="A212" s="79" t="s">
        <v>1071</v>
      </c>
      <c r="B212" s="614">
        <v>16</v>
      </c>
      <c r="C212" s="614"/>
      <c r="D212" s="614"/>
      <c r="E212" s="604" t="s">
        <v>2067</v>
      </c>
      <c r="F212" s="124" t="s">
        <v>2319</v>
      </c>
      <c r="G212" s="125">
        <v>2012</v>
      </c>
      <c r="H212" s="79">
        <v>21918506</v>
      </c>
      <c r="I212" s="79">
        <v>1</v>
      </c>
      <c r="J212" s="126">
        <v>1</v>
      </c>
      <c r="K212" s="127"/>
      <c r="L212" s="79">
        <v>1</v>
      </c>
      <c r="M212" s="79"/>
      <c r="N212" s="79">
        <v>1</v>
      </c>
      <c r="O212" s="128">
        <v>2</v>
      </c>
      <c r="P212" s="79" t="s">
        <v>1306</v>
      </c>
      <c r="Q212" s="79" t="s">
        <v>1232</v>
      </c>
      <c r="R212" s="79" t="s">
        <v>1127</v>
      </c>
      <c r="S212" s="79"/>
      <c r="T212" s="79" t="s">
        <v>1487</v>
      </c>
      <c r="U212" s="79" t="s">
        <v>803</v>
      </c>
      <c r="V212" s="79" t="s">
        <v>23</v>
      </c>
      <c r="W212" s="79" t="s">
        <v>1305</v>
      </c>
      <c r="X212" s="79"/>
      <c r="Y212" s="79" t="s">
        <v>1304</v>
      </c>
      <c r="Z212" s="79"/>
      <c r="AA212" s="79"/>
      <c r="AB212" s="79"/>
      <c r="AC212" s="506"/>
      <c r="AD212" s="573">
        <v>1</v>
      </c>
      <c r="AE212" s="573">
        <v>2</v>
      </c>
      <c r="AF212" s="154">
        <v>1</v>
      </c>
      <c r="AG212" s="155" t="s">
        <v>7771</v>
      </c>
      <c r="AH212" s="704"/>
      <c r="AI212" s="121">
        <v>4</v>
      </c>
      <c r="AJ212" s="484"/>
      <c r="AK212" s="202" t="s">
        <v>2870</v>
      </c>
      <c r="AL212" s="192" t="s">
        <v>3099</v>
      </c>
      <c r="AM212" s="215">
        <v>1</v>
      </c>
      <c r="AN212" s="266">
        <f>Table66[[#This Row],[Data_Subjects_n_ptsd]]+Table66[[#This Row],[Data_Subjects_n_control]]</f>
        <v>23</v>
      </c>
      <c r="AO212" s="150">
        <v>13</v>
      </c>
      <c r="AP212" s="150">
        <v>10</v>
      </c>
      <c r="AQ212" s="134" t="s">
        <v>803</v>
      </c>
      <c r="AR212" s="134" t="s">
        <v>803</v>
      </c>
      <c r="AS212" s="134" t="s">
        <v>2796</v>
      </c>
      <c r="AT212" s="134" t="s">
        <v>24</v>
      </c>
      <c r="AU212" s="426" t="s">
        <v>2796</v>
      </c>
      <c r="AV212" s="134" t="s">
        <v>24</v>
      </c>
      <c r="AW212" s="134" t="s">
        <v>2799</v>
      </c>
      <c r="AX212" s="134"/>
      <c r="AY212" s="134"/>
      <c r="AZ212" s="753" t="s">
        <v>1487</v>
      </c>
      <c r="BA212" s="134">
        <v>1</v>
      </c>
      <c r="BB212" s="134">
        <v>1</v>
      </c>
      <c r="BC212" s="134" t="s">
        <v>2797</v>
      </c>
      <c r="BD212" s="753" t="s">
        <v>7526</v>
      </c>
      <c r="BE212" s="753"/>
      <c r="BF212" s="134" t="s">
        <v>1130</v>
      </c>
      <c r="BG212" s="134" t="s">
        <v>2798</v>
      </c>
      <c r="BH212" s="594"/>
      <c r="BI212" s="594"/>
      <c r="BJ212" s="156">
        <v>1</v>
      </c>
      <c r="BK212" s="156">
        <v>1</v>
      </c>
      <c r="BL212" s="156"/>
      <c r="BM212" s="156"/>
      <c r="BN212" s="156"/>
      <c r="BO212" s="156"/>
      <c r="BP212" s="156"/>
      <c r="BQ212" s="156"/>
      <c r="BR212" s="156"/>
      <c r="BS212" s="156"/>
      <c r="BT212" s="156"/>
      <c r="BU212" s="156"/>
      <c r="BV212" s="156"/>
      <c r="BW212" s="595" t="s">
        <v>2800</v>
      </c>
      <c r="BX212" s="157" t="s">
        <v>6598</v>
      </c>
      <c r="BY212" s="797" t="s">
        <v>7615</v>
      </c>
      <c r="BZ212" s="789" t="s">
        <v>7610</v>
      </c>
      <c r="CA212" s="660">
        <v>4</v>
      </c>
      <c r="CB212" s="660" t="s">
        <v>7556</v>
      </c>
      <c r="CC212" s="660" t="s">
        <v>7384</v>
      </c>
      <c r="CD212" s="134" t="s">
        <v>1876</v>
      </c>
      <c r="CE212" s="134" t="s">
        <v>2814</v>
      </c>
      <c r="CF212" s="400" t="s">
        <v>7580</v>
      </c>
      <c r="CG212" s="134" t="s">
        <v>7451</v>
      </c>
      <c r="CH212" s="753" t="s">
        <v>1488</v>
      </c>
      <c r="CI212" s="134" t="s">
        <v>2471</v>
      </c>
      <c r="CJ212" s="134">
        <v>1</v>
      </c>
      <c r="CK212" s="134" t="s">
        <v>2802</v>
      </c>
      <c r="CL212" s="134" t="s">
        <v>6639</v>
      </c>
      <c r="CM212" s="259" t="s">
        <v>2853</v>
      </c>
      <c r="CN212" s="454" t="s">
        <v>6627</v>
      </c>
      <c r="CO212" s="828">
        <v>19</v>
      </c>
      <c r="CP212" s="828">
        <v>1</v>
      </c>
      <c r="CQ212" s="828">
        <v>1</v>
      </c>
      <c r="CR212" s="828">
        <v>1</v>
      </c>
      <c r="CS212" s="828">
        <v>1</v>
      </c>
      <c r="CT212" s="967"/>
      <c r="CU212" s="1289" t="s">
        <v>8104</v>
      </c>
      <c r="CV212" s="1295">
        <v>74</v>
      </c>
      <c r="CW212" s="1295">
        <v>66</v>
      </c>
      <c r="CX212" s="138" t="s">
        <v>2807</v>
      </c>
      <c r="CY212" s="134">
        <v>33.139200000000002</v>
      </c>
      <c r="CZ212" s="134" t="s">
        <v>24</v>
      </c>
      <c r="DA212" s="134">
        <f>38.2555-Table66[[#This Row],[Data_Outcome1_M]]</f>
        <v>5.1162999999999954</v>
      </c>
      <c r="DB212" s="430" t="s">
        <v>2806</v>
      </c>
      <c r="DC212" s="134">
        <v>11.6936</v>
      </c>
      <c r="DD212" s="134" t="s">
        <v>24</v>
      </c>
      <c r="DE212" s="134">
        <f>14.4843-Table66[[#This Row],[Data_Outcome2_M]]</f>
        <v>2.7906999999999993</v>
      </c>
      <c r="DF212" s="294" t="s">
        <v>2844</v>
      </c>
      <c r="DG212" s="295" t="s">
        <v>2846</v>
      </c>
      <c r="DH212" s="1154"/>
      <c r="DI212" s="121"/>
      <c r="DJ212" s="1169"/>
      <c r="DK212" s="121"/>
      <c r="DL212" s="1154"/>
      <c r="DM212" s="121"/>
      <c r="DN212" s="1169"/>
      <c r="DO212" s="121"/>
      <c r="DP212" s="288"/>
      <c r="DQ212" s="289"/>
      <c r="DR212" s="864"/>
      <c r="DS212" s="865"/>
      <c r="DT212" s="1171"/>
      <c r="DU212" s="121"/>
      <c r="DV212" s="1169"/>
      <c r="DW212" s="121"/>
      <c r="DX212" s="1171"/>
      <c r="DY212" s="121"/>
      <c r="DZ212" s="1169"/>
      <c r="EA212" s="121"/>
      <c r="EB212" s="300"/>
      <c r="EC212" s="301"/>
      <c r="ED212" s="1171"/>
      <c r="EE212" s="1169"/>
      <c r="EF212" s="1169"/>
      <c r="EG212" s="1169"/>
      <c r="EH212" s="1171"/>
      <c r="EI212" s="1169"/>
      <c r="EJ212" s="1169"/>
      <c r="EK212" s="1169"/>
      <c r="EL212" s="304"/>
      <c r="EM212" s="312"/>
      <c r="EN212" s="309"/>
      <c r="EO212" s="1170"/>
      <c r="EP212" s="1169"/>
      <c r="EQ212" s="1169"/>
      <c r="ER212" s="1169"/>
      <c r="ES212" s="1169"/>
      <c r="ET212" s="1171"/>
      <c r="EU212" s="1169"/>
      <c r="EV212" s="1169"/>
      <c r="EW212" s="1169"/>
      <c r="EX212" s="312"/>
      <c r="EY212" s="312"/>
      <c r="EZ212" s="1171"/>
      <c r="FA212" s="1169"/>
      <c r="FB212" s="1169"/>
      <c r="FC212" s="1169"/>
      <c r="FD212" s="1171"/>
      <c r="FE212" s="1169"/>
      <c r="FF212" s="1169"/>
      <c r="FG212" s="1169"/>
      <c r="FH212" s="312"/>
      <c r="FI212" s="312"/>
      <c r="FJ212" s="1170"/>
    </row>
    <row r="213" spans="1:166" ht="15" customHeight="1">
      <c r="A213" s="79" t="s">
        <v>1071</v>
      </c>
      <c r="B213" s="614">
        <v>16</v>
      </c>
      <c r="C213" s="614"/>
      <c r="D213" s="614"/>
      <c r="E213" s="604" t="s">
        <v>2067</v>
      </c>
      <c r="F213" s="124" t="s">
        <v>2319</v>
      </c>
      <c r="G213" s="125">
        <v>2012</v>
      </c>
      <c r="H213" s="79">
        <v>21918506</v>
      </c>
      <c r="I213" s="79">
        <v>1</v>
      </c>
      <c r="J213" s="126">
        <v>1</v>
      </c>
      <c r="K213" s="127"/>
      <c r="L213" s="79">
        <v>1</v>
      </c>
      <c r="M213" s="79"/>
      <c r="N213" s="79">
        <v>1</v>
      </c>
      <c r="O213" s="128">
        <v>2</v>
      </c>
      <c r="P213" s="79" t="s">
        <v>1306</v>
      </c>
      <c r="Q213" s="79" t="s">
        <v>1232</v>
      </c>
      <c r="R213" s="79" t="s">
        <v>1127</v>
      </c>
      <c r="S213" s="79"/>
      <c r="T213" s="79" t="s">
        <v>1487</v>
      </c>
      <c r="U213" s="79" t="s">
        <v>803</v>
      </c>
      <c r="V213" s="79" t="s">
        <v>23</v>
      </c>
      <c r="W213" s="79" t="s">
        <v>1305</v>
      </c>
      <c r="X213" s="79"/>
      <c r="Y213" s="79" t="s">
        <v>1304</v>
      </c>
      <c r="Z213" s="79"/>
      <c r="AA213" s="79"/>
      <c r="AB213" s="79"/>
      <c r="AC213" s="506"/>
      <c r="AD213" s="573">
        <v>1</v>
      </c>
      <c r="AE213" s="573">
        <v>2</v>
      </c>
      <c r="AF213" s="154">
        <v>1</v>
      </c>
      <c r="AG213" s="155" t="s">
        <v>7771</v>
      </c>
      <c r="AH213" s="704"/>
      <c r="AI213" s="121">
        <v>4</v>
      </c>
      <c r="AJ213" s="484"/>
      <c r="AK213" s="535" t="s">
        <v>2870</v>
      </c>
      <c r="AL213" s="192" t="s">
        <v>3099</v>
      </c>
      <c r="AM213" s="215">
        <v>1</v>
      </c>
      <c r="AN213" s="266">
        <f>Table66[[#This Row],[Data_Subjects_n_ptsd]]+Table66[[#This Row],[Data_Subjects_n_control]]</f>
        <v>23</v>
      </c>
      <c r="AO213" s="150">
        <v>12</v>
      </c>
      <c r="AP213" s="150">
        <v>11</v>
      </c>
      <c r="AQ213" s="134" t="s">
        <v>803</v>
      </c>
      <c r="AR213" s="134" t="s">
        <v>803</v>
      </c>
      <c r="AS213" s="134" t="s">
        <v>2796</v>
      </c>
      <c r="AT213" s="134" t="s">
        <v>24</v>
      </c>
      <c r="AU213" s="134" t="s">
        <v>2796</v>
      </c>
      <c r="AV213" s="134" t="s">
        <v>24</v>
      </c>
      <c r="AW213" s="134" t="s">
        <v>2799</v>
      </c>
      <c r="AX213" s="134"/>
      <c r="AY213" s="134"/>
      <c r="AZ213" s="753" t="s">
        <v>1487</v>
      </c>
      <c r="BA213" s="134">
        <v>1</v>
      </c>
      <c r="BB213" s="134">
        <v>1</v>
      </c>
      <c r="BC213" s="134" t="s">
        <v>2797</v>
      </c>
      <c r="BD213" s="753" t="s">
        <v>7526</v>
      </c>
      <c r="BE213" s="753"/>
      <c r="BF213" s="134" t="s">
        <v>1130</v>
      </c>
      <c r="BG213" s="134" t="s">
        <v>2798</v>
      </c>
      <c r="BH213" s="594"/>
      <c r="BI213" s="594"/>
      <c r="BJ213" s="156">
        <v>1</v>
      </c>
      <c r="BK213" s="156">
        <v>1</v>
      </c>
      <c r="BL213" s="156"/>
      <c r="BM213" s="156"/>
      <c r="BN213" s="156"/>
      <c r="BO213" s="156"/>
      <c r="BP213" s="156"/>
      <c r="BQ213" s="156"/>
      <c r="BR213" s="156"/>
      <c r="BS213" s="156"/>
      <c r="BT213" s="156"/>
      <c r="BU213" s="156"/>
      <c r="BV213" s="156"/>
      <c r="BW213" s="595" t="s">
        <v>2800</v>
      </c>
      <c r="BX213" s="157" t="s">
        <v>6598</v>
      </c>
      <c r="BY213" s="797" t="s">
        <v>7615</v>
      </c>
      <c r="BZ213" s="789" t="s">
        <v>7610</v>
      </c>
      <c r="CA213" s="765">
        <v>4</v>
      </c>
      <c r="CB213" s="765" t="s">
        <v>7556</v>
      </c>
      <c r="CC213" s="765" t="s">
        <v>7384</v>
      </c>
      <c r="CD213" s="134" t="s">
        <v>1876</v>
      </c>
      <c r="CE213" s="134" t="s">
        <v>2814</v>
      </c>
      <c r="CF213" s="400" t="s">
        <v>7580</v>
      </c>
      <c r="CG213" s="134" t="s">
        <v>7451</v>
      </c>
      <c r="CH213" s="753" t="s">
        <v>1488</v>
      </c>
      <c r="CI213" s="134" t="s">
        <v>2471</v>
      </c>
      <c r="CJ213" s="134">
        <v>1</v>
      </c>
      <c r="CK213" s="134" t="s">
        <v>2802</v>
      </c>
      <c r="CL213" s="134" t="s">
        <v>6639</v>
      </c>
      <c r="CM213" s="259" t="s">
        <v>2853</v>
      </c>
      <c r="CN213" s="454" t="s">
        <v>6627</v>
      </c>
      <c r="CO213" s="828">
        <v>19</v>
      </c>
      <c r="CP213" s="828">
        <v>2</v>
      </c>
      <c r="CQ213" s="828">
        <v>1</v>
      </c>
      <c r="CR213" s="828">
        <v>1</v>
      </c>
      <c r="CS213" s="828">
        <v>1</v>
      </c>
      <c r="CT213" s="967"/>
      <c r="CU213" s="1289" t="s">
        <v>8104</v>
      </c>
      <c r="CV213" s="1295">
        <v>75</v>
      </c>
      <c r="CW213" s="1295">
        <v>67</v>
      </c>
      <c r="CX213" s="138" t="s">
        <v>2809</v>
      </c>
      <c r="CY213" s="134">
        <v>36.781599999999997</v>
      </c>
      <c r="CZ213" s="134" t="s">
        <v>24</v>
      </c>
      <c r="DA213" s="134">
        <f>42.2989-Table66[[#This Row],[Data_Outcome1_M]]</f>
        <v>5.5173000000000059</v>
      </c>
      <c r="DB213" s="138" t="s">
        <v>2808</v>
      </c>
      <c r="DC213" s="134">
        <v>8.7356300000000005</v>
      </c>
      <c r="DD213" s="134" t="s">
        <v>24</v>
      </c>
      <c r="DE213" s="134">
        <f>11.0345-Table66[[#This Row],[Data_Outcome2_M]]</f>
        <v>2.2988699999999991</v>
      </c>
      <c r="DF213" s="435" t="s">
        <v>2849</v>
      </c>
      <c r="DG213" s="437" t="s">
        <v>2850</v>
      </c>
      <c r="DH213" s="1179"/>
      <c r="DI213" s="417"/>
      <c r="DJ213" s="1169"/>
      <c r="DK213" s="417"/>
      <c r="DL213" s="1169"/>
      <c r="DM213" s="417"/>
      <c r="DN213" s="1169"/>
      <c r="DO213" s="1151"/>
      <c r="DP213" s="288"/>
      <c r="DQ213" s="289"/>
      <c r="DR213" s="1168"/>
      <c r="DS213" s="865"/>
      <c r="DT213" s="1171"/>
      <c r="DU213" s="1169"/>
      <c r="DV213" s="1169"/>
      <c r="DW213" s="1169"/>
      <c r="DX213" s="1169"/>
      <c r="DY213" s="1169"/>
      <c r="DZ213" s="1169"/>
      <c r="EA213" s="1169"/>
      <c r="EB213" s="300"/>
      <c r="EC213" s="301"/>
      <c r="ED213" s="1169"/>
      <c r="EE213" s="1169"/>
      <c r="EF213" s="1169"/>
      <c r="EG213" s="1169"/>
      <c r="EH213" s="1169"/>
      <c r="EI213" s="417"/>
      <c r="EJ213" s="1169"/>
      <c r="EK213" s="417"/>
      <c r="EL213" s="304"/>
      <c r="EM213" s="312"/>
      <c r="EN213" s="309"/>
      <c r="EO213" s="1170"/>
      <c r="EP213" s="1169"/>
      <c r="EQ213" s="1169"/>
      <c r="ER213" s="1169"/>
      <c r="ES213" s="1169"/>
      <c r="ET213" s="1171"/>
      <c r="EU213" s="1169"/>
      <c r="EV213" s="1169"/>
      <c r="EW213" s="1169"/>
      <c r="EX213" s="312"/>
      <c r="EY213" s="312"/>
      <c r="EZ213" s="1171"/>
      <c r="FA213" s="1169"/>
      <c r="FB213" s="1169"/>
      <c r="FC213" s="1169"/>
      <c r="FD213" s="1171"/>
      <c r="FE213" s="1169"/>
      <c r="FF213" s="1169"/>
      <c r="FG213" s="1169"/>
      <c r="FH213" s="312"/>
      <c r="FI213" s="312"/>
      <c r="FJ213" s="1170"/>
    </row>
    <row r="214" spans="1:166" ht="15" customHeight="1">
      <c r="A214" s="79" t="s">
        <v>1071</v>
      </c>
      <c r="B214" s="614">
        <v>16</v>
      </c>
      <c r="C214" s="614"/>
      <c r="D214" s="614"/>
      <c r="E214" s="604" t="s">
        <v>2067</v>
      </c>
      <c r="F214" s="124" t="s">
        <v>2319</v>
      </c>
      <c r="G214" s="125">
        <v>2012</v>
      </c>
      <c r="H214" s="79">
        <v>21918506</v>
      </c>
      <c r="I214" s="79">
        <v>1</v>
      </c>
      <c r="J214" s="126">
        <v>1</v>
      </c>
      <c r="K214" s="127"/>
      <c r="L214" s="79">
        <v>1</v>
      </c>
      <c r="M214" s="79"/>
      <c r="N214" s="79">
        <v>1</v>
      </c>
      <c r="O214" s="128">
        <v>2</v>
      </c>
      <c r="P214" s="79" t="s">
        <v>1306</v>
      </c>
      <c r="Q214" s="79" t="s">
        <v>1232</v>
      </c>
      <c r="R214" s="79" t="s">
        <v>1127</v>
      </c>
      <c r="S214" s="79"/>
      <c r="T214" s="79" t="s">
        <v>1487</v>
      </c>
      <c r="U214" s="79" t="s">
        <v>803</v>
      </c>
      <c r="V214" s="79" t="s">
        <v>23</v>
      </c>
      <c r="W214" s="79" t="s">
        <v>1305</v>
      </c>
      <c r="X214" s="79"/>
      <c r="Y214" s="79" t="s">
        <v>1304</v>
      </c>
      <c r="Z214" s="79"/>
      <c r="AA214" s="79"/>
      <c r="AB214" s="79"/>
      <c r="AC214" s="506"/>
      <c r="AD214" s="573">
        <v>1</v>
      </c>
      <c r="AE214" s="573">
        <v>2</v>
      </c>
      <c r="AF214" s="154">
        <v>1</v>
      </c>
      <c r="AG214" s="155" t="s">
        <v>7771</v>
      </c>
      <c r="AH214" s="704"/>
      <c r="AI214" s="121">
        <v>4</v>
      </c>
      <c r="AJ214" s="484"/>
      <c r="AK214" s="535" t="s">
        <v>2870</v>
      </c>
      <c r="AL214" s="192" t="s">
        <v>3099</v>
      </c>
      <c r="AM214" s="215">
        <v>1</v>
      </c>
      <c r="AN214" s="266">
        <f>Table66[[#This Row],[Data_Subjects_n_ptsd]]+Table66[[#This Row],[Data_Subjects_n_control]]</f>
        <v>24</v>
      </c>
      <c r="AO214" s="150">
        <v>12</v>
      </c>
      <c r="AP214" s="150">
        <v>12</v>
      </c>
      <c r="AQ214" s="134" t="s">
        <v>803</v>
      </c>
      <c r="AR214" s="134" t="s">
        <v>803</v>
      </c>
      <c r="AS214" s="134" t="s">
        <v>2796</v>
      </c>
      <c r="AT214" s="134" t="s">
        <v>24</v>
      </c>
      <c r="AU214" s="134" t="s">
        <v>2796</v>
      </c>
      <c r="AV214" s="134" t="s">
        <v>24</v>
      </c>
      <c r="AW214" s="134" t="s">
        <v>2799</v>
      </c>
      <c r="AX214" s="134"/>
      <c r="AY214" s="134"/>
      <c r="AZ214" s="753" t="s">
        <v>1487</v>
      </c>
      <c r="BA214" s="134">
        <v>1</v>
      </c>
      <c r="BB214" s="134">
        <v>1</v>
      </c>
      <c r="BC214" s="134" t="s">
        <v>2797</v>
      </c>
      <c r="BD214" s="753" t="s">
        <v>7526</v>
      </c>
      <c r="BE214" s="753"/>
      <c r="BF214" s="134" t="s">
        <v>1130</v>
      </c>
      <c r="BG214" s="134" t="s">
        <v>2798</v>
      </c>
      <c r="BH214" s="594"/>
      <c r="BI214" s="594"/>
      <c r="BJ214" s="156">
        <v>1</v>
      </c>
      <c r="BK214" s="156">
        <v>1</v>
      </c>
      <c r="BL214" s="156"/>
      <c r="BM214" s="156"/>
      <c r="BN214" s="156"/>
      <c r="BO214" s="156"/>
      <c r="BP214" s="156"/>
      <c r="BQ214" s="156"/>
      <c r="BR214" s="156"/>
      <c r="BS214" s="156"/>
      <c r="BT214" s="156"/>
      <c r="BU214" s="156"/>
      <c r="BV214" s="156"/>
      <c r="BW214" s="595" t="s">
        <v>2800</v>
      </c>
      <c r="BX214" s="157" t="s">
        <v>6598</v>
      </c>
      <c r="BY214" s="797" t="s">
        <v>7615</v>
      </c>
      <c r="BZ214" s="789" t="s">
        <v>7610</v>
      </c>
      <c r="CA214" s="765">
        <v>4</v>
      </c>
      <c r="CB214" s="765" t="s">
        <v>7556</v>
      </c>
      <c r="CC214" s="765" t="s">
        <v>7384</v>
      </c>
      <c r="CD214" s="134" t="s">
        <v>1876</v>
      </c>
      <c r="CE214" s="134" t="s">
        <v>2814</v>
      </c>
      <c r="CF214" s="400" t="s">
        <v>7580</v>
      </c>
      <c r="CG214" s="134" t="s">
        <v>7451</v>
      </c>
      <c r="CH214" s="753" t="s">
        <v>1488</v>
      </c>
      <c r="CI214" s="134" t="s">
        <v>2471</v>
      </c>
      <c r="CJ214" s="134">
        <v>1</v>
      </c>
      <c r="CK214" s="134" t="s">
        <v>2802</v>
      </c>
      <c r="CL214" s="134" t="s">
        <v>6639</v>
      </c>
      <c r="CM214" s="259" t="s">
        <v>2853</v>
      </c>
      <c r="CN214" s="454" t="s">
        <v>6627</v>
      </c>
      <c r="CO214" s="828">
        <v>19</v>
      </c>
      <c r="CP214" s="828">
        <v>3</v>
      </c>
      <c r="CQ214" s="828">
        <v>1</v>
      </c>
      <c r="CR214" s="828">
        <v>1</v>
      </c>
      <c r="CS214" s="828">
        <v>1</v>
      </c>
      <c r="CT214" s="967"/>
      <c r="CU214" s="1289" t="s">
        <v>8104</v>
      </c>
      <c r="CV214" s="1295">
        <v>76</v>
      </c>
      <c r="CW214" s="1295">
        <v>68</v>
      </c>
      <c r="CX214" s="138" t="s">
        <v>2811</v>
      </c>
      <c r="CY214" s="134">
        <v>35.436900000000001</v>
      </c>
      <c r="CZ214" s="134" t="s">
        <v>24</v>
      </c>
      <c r="DA214" s="134">
        <f>40.7767-Table66[[#This Row],[Data_Outcome1_M]]</f>
        <v>5.3397999999999968</v>
      </c>
      <c r="DB214" s="138" t="s">
        <v>2810</v>
      </c>
      <c r="DC214" s="134">
        <v>11.650499999999999</v>
      </c>
      <c r="DD214" s="134" t="s">
        <v>24</v>
      </c>
      <c r="DE214" s="134">
        <f>14.5631-Table66[[#This Row],[Data_Outcome2_M]]</f>
        <v>2.9126000000000012</v>
      </c>
      <c r="DF214" s="300" t="s">
        <v>2851</v>
      </c>
      <c r="DG214" s="301" t="s">
        <v>2850</v>
      </c>
      <c r="DH214" s="1276"/>
      <c r="DI214" s="121"/>
      <c r="DJ214" s="1169"/>
      <c r="DK214" s="121"/>
      <c r="DL214" s="1171"/>
      <c r="DM214" s="121"/>
      <c r="DN214" s="1169"/>
      <c r="DO214" s="121"/>
      <c r="DP214" s="434"/>
      <c r="DQ214" s="436"/>
      <c r="DR214" s="1276"/>
      <c r="DS214" s="1169"/>
      <c r="DT214" s="1171"/>
      <c r="DU214" s="121"/>
      <c r="DV214" s="1169"/>
      <c r="DW214" s="121"/>
      <c r="DX214" s="1169"/>
      <c r="DY214" s="121"/>
      <c r="DZ214" s="1169"/>
      <c r="EA214" s="121"/>
      <c r="EB214" s="304"/>
      <c r="EC214" s="312"/>
      <c r="ED214" s="1169"/>
      <c r="EE214" s="121"/>
      <c r="EF214" s="1169"/>
      <c r="EG214" s="121"/>
      <c r="EH214" s="1169"/>
      <c r="EI214" s="417"/>
      <c r="EJ214" s="1169"/>
      <c r="EK214" s="417"/>
      <c r="EL214" s="304"/>
      <c r="EM214" s="312"/>
      <c r="EN214" s="276"/>
      <c r="EO214" s="1170"/>
      <c r="EP214" s="1169"/>
      <c r="EQ214" s="1169"/>
      <c r="ER214" s="1169"/>
      <c r="ES214" s="1169"/>
      <c r="ET214" s="1171"/>
      <c r="EU214" s="1169"/>
      <c r="EV214" s="1169"/>
      <c r="EW214" s="1169"/>
      <c r="EX214" s="312"/>
      <c r="EY214" s="312"/>
      <c r="EZ214" s="1171"/>
      <c r="FA214" s="1169"/>
      <c r="FB214" s="1169"/>
      <c r="FC214" s="1169"/>
      <c r="FD214" s="1171"/>
      <c r="FE214" s="1169"/>
      <c r="FF214" s="1169"/>
      <c r="FG214" s="1169"/>
      <c r="FH214" s="312"/>
      <c r="FI214" s="312"/>
      <c r="FJ214" s="1170"/>
    </row>
    <row r="215" spans="1:166" s="1301" customFormat="1" ht="15" customHeight="1">
      <c r="A215" s="79" t="s">
        <v>1071</v>
      </c>
      <c r="B215" s="614">
        <v>16</v>
      </c>
      <c r="C215" s="614"/>
      <c r="D215" s="614"/>
      <c r="E215" s="604" t="s">
        <v>2067</v>
      </c>
      <c r="F215" s="124" t="s">
        <v>2319</v>
      </c>
      <c r="G215" s="125">
        <v>2012</v>
      </c>
      <c r="H215" s="79">
        <v>21918506</v>
      </c>
      <c r="I215" s="79">
        <v>1</v>
      </c>
      <c r="J215" s="126">
        <v>1</v>
      </c>
      <c r="K215" s="127"/>
      <c r="L215" s="79">
        <v>1</v>
      </c>
      <c r="M215" s="79"/>
      <c r="N215" s="79">
        <v>1</v>
      </c>
      <c r="O215" s="128">
        <v>2</v>
      </c>
      <c r="P215" s="79" t="s">
        <v>1306</v>
      </c>
      <c r="Q215" s="79" t="s">
        <v>1232</v>
      </c>
      <c r="R215" s="79" t="s">
        <v>1127</v>
      </c>
      <c r="S215" s="79"/>
      <c r="T215" s="79" t="s">
        <v>1487</v>
      </c>
      <c r="U215" s="79" t="s">
        <v>803</v>
      </c>
      <c r="V215" s="79" t="s">
        <v>23</v>
      </c>
      <c r="W215" s="79" t="s">
        <v>1305</v>
      </c>
      <c r="X215" s="79"/>
      <c r="Y215" s="79" t="s">
        <v>1304</v>
      </c>
      <c r="Z215" s="79"/>
      <c r="AA215" s="79"/>
      <c r="AB215" s="79"/>
      <c r="AC215" s="506"/>
      <c r="AD215" s="573">
        <v>1</v>
      </c>
      <c r="AE215" s="573">
        <v>2</v>
      </c>
      <c r="AF215" s="154">
        <v>1</v>
      </c>
      <c r="AG215" s="155" t="s">
        <v>7771</v>
      </c>
      <c r="AH215" s="704"/>
      <c r="AI215" s="121">
        <v>4</v>
      </c>
      <c r="AJ215" s="484"/>
      <c r="AK215" s="202" t="s">
        <v>2870</v>
      </c>
      <c r="AL215" s="192" t="s">
        <v>3099</v>
      </c>
      <c r="AM215" s="215">
        <v>1</v>
      </c>
      <c r="AN215" s="150">
        <f>Table66[[#This Row],[Data_Subjects_n_ptsd]]+Table66[[#This Row],[Data_Subjects_n_control]]</f>
        <v>25</v>
      </c>
      <c r="AO215" s="150">
        <v>12</v>
      </c>
      <c r="AP215" s="150">
        <v>13</v>
      </c>
      <c r="AQ215" s="134" t="s">
        <v>803</v>
      </c>
      <c r="AR215" s="134" t="s">
        <v>803</v>
      </c>
      <c r="AS215" s="134" t="s">
        <v>2796</v>
      </c>
      <c r="AT215" s="134" t="s">
        <v>24</v>
      </c>
      <c r="AU215" s="426" t="s">
        <v>2796</v>
      </c>
      <c r="AV215" s="134" t="s">
        <v>24</v>
      </c>
      <c r="AW215" s="134" t="s">
        <v>2799</v>
      </c>
      <c r="AX215" s="134"/>
      <c r="AY215" s="134"/>
      <c r="AZ215" s="753" t="s">
        <v>1487</v>
      </c>
      <c r="BA215" s="134">
        <v>1</v>
      </c>
      <c r="BB215" s="134">
        <v>1</v>
      </c>
      <c r="BC215" s="134" t="s">
        <v>2797</v>
      </c>
      <c r="BD215" s="753" t="s">
        <v>7526</v>
      </c>
      <c r="BE215" s="753"/>
      <c r="BF215" s="134" t="s">
        <v>1130</v>
      </c>
      <c r="BG215" s="134" t="s">
        <v>2798</v>
      </c>
      <c r="BH215" s="594"/>
      <c r="BI215" s="594"/>
      <c r="BJ215" s="156">
        <v>1</v>
      </c>
      <c r="BK215" s="156">
        <v>1</v>
      </c>
      <c r="BL215" s="156"/>
      <c r="BM215" s="156"/>
      <c r="BN215" s="156"/>
      <c r="BO215" s="156"/>
      <c r="BP215" s="156"/>
      <c r="BQ215" s="156"/>
      <c r="BR215" s="156"/>
      <c r="BS215" s="156"/>
      <c r="BT215" s="156"/>
      <c r="BU215" s="156"/>
      <c r="BV215" s="156"/>
      <c r="BW215" s="595" t="s">
        <v>2800</v>
      </c>
      <c r="BX215" s="157" t="s">
        <v>6598</v>
      </c>
      <c r="BY215" s="797" t="s">
        <v>7615</v>
      </c>
      <c r="BZ215" s="789" t="s">
        <v>7610</v>
      </c>
      <c r="CA215" s="765">
        <v>4</v>
      </c>
      <c r="CB215" s="765" t="s">
        <v>7556</v>
      </c>
      <c r="CC215" s="765" t="s">
        <v>7384</v>
      </c>
      <c r="CD215" s="134" t="s">
        <v>1876</v>
      </c>
      <c r="CE215" s="134" t="s">
        <v>2814</v>
      </c>
      <c r="CF215" s="400" t="s">
        <v>7580</v>
      </c>
      <c r="CG215" s="134" t="s">
        <v>7451</v>
      </c>
      <c r="CH215" s="753" t="s">
        <v>1488</v>
      </c>
      <c r="CI215" s="134" t="s">
        <v>2471</v>
      </c>
      <c r="CJ215" s="134">
        <v>1</v>
      </c>
      <c r="CK215" s="134" t="s">
        <v>2802</v>
      </c>
      <c r="CL215" s="134" t="s">
        <v>6639</v>
      </c>
      <c r="CM215" s="259" t="s">
        <v>2853</v>
      </c>
      <c r="CN215" s="454" t="s">
        <v>6627</v>
      </c>
      <c r="CO215" s="828">
        <v>19</v>
      </c>
      <c r="CP215" s="828">
        <v>4</v>
      </c>
      <c r="CQ215" s="828">
        <v>1</v>
      </c>
      <c r="CR215" s="828">
        <v>1</v>
      </c>
      <c r="CS215" s="828">
        <v>1</v>
      </c>
      <c r="CT215" s="967"/>
      <c r="CU215" s="1289" t="s">
        <v>8104</v>
      </c>
      <c r="CV215" s="1295">
        <v>77</v>
      </c>
      <c r="CW215" s="1295">
        <v>69</v>
      </c>
      <c r="CX215" s="134" t="s">
        <v>2813</v>
      </c>
      <c r="CY215" s="134">
        <v>36.363599999999998</v>
      </c>
      <c r="CZ215" s="134" t="s">
        <v>24</v>
      </c>
      <c r="DA215" s="134">
        <f>41.9913-Table66[[#This Row],[Data_Outcome1_M]]</f>
        <v>5.6277000000000044</v>
      </c>
      <c r="DB215" s="138" t="s">
        <v>2812</v>
      </c>
      <c r="DC215" s="134">
        <v>9.0909099999999992</v>
      </c>
      <c r="DD215" s="138" t="s">
        <v>24</v>
      </c>
      <c r="DE215" s="134">
        <f>11.2554-Table66[[#This Row],[Data_Outcome2_M]]</f>
        <v>2.1644900000000007</v>
      </c>
      <c r="DF215" s="134" t="s">
        <v>2852</v>
      </c>
      <c r="DG215" s="134" t="s">
        <v>2850</v>
      </c>
      <c r="DH215" s="1175"/>
      <c r="DI215" s="417"/>
      <c r="DJ215" s="1169"/>
      <c r="DK215" s="417"/>
      <c r="DL215" s="1171"/>
      <c r="DM215" s="417"/>
      <c r="DN215" s="1169"/>
      <c r="DO215" s="1151"/>
      <c r="DP215" s="434"/>
      <c r="DQ215" s="436"/>
      <c r="DR215" s="1175"/>
      <c r="DS215" s="1169"/>
      <c r="DT215" s="1171"/>
      <c r="DU215" s="121"/>
      <c r="DV215" s="1169"/>
      <c r="DW215" s="121"/>
      <c r="DX215" s="1169"/>
      <c r="DY215" s="121"/>
      <c r="DZ215" s="1169"/>
      <c r="EA215" s="121"/>
      <c r="EB215" s="304"/>
      <c r="EC215" s="312"/>
      <c r="ED215" s="1169"/>
      <c r="EE215" s="121"/>
      <c r="EF215" s="1169"/>
      <c r="EG215" s="121"/>
      <c r="EH215" s="1169"/>
      <c r="EI215" s="121"/>
      <c r="EJ215" s="1169"/>
      <c r="EK215" s="121"/>
      <c r="EL215" s="304"/>
      <c r="EM215" s="312"/>
      <c r="EN215" s="276"/>
      <c r="EO215" s="1170"/>
      <c r="EP215" s="417"/>
      <c r="EQ215" s="417"/>
      <c r="ER215" s="417"/>
      <c r="ES215" s="417"/>
      <c r="ET215" s="1155"/>
      <c r="EU215" s="417"/>
      <c r="EV215" s="417"/>
      <c r="EW215" s="417"/>
      <c r="EX215" s="469"/>
      <c r="EY215" s="469"/>
      <c r="EZ215" s="1171"/>
      <c r="FA215" s="1169"/>
      <c r="FB215" s="1169"/>
      <c r="FC215" s="1169"/>
      <c r="FD215" s="1171"/>
      <c r="FE215" s="1169"/>
      <c r="FF215" s="1169"/>
      <c r="FG215" s="1169"/>
      <c r="FH215" s="312"/>
      <c r="FI215" s="312"/>
      <c r="FJ215" s="1170"/>
    </row>
    <row r="216" spans="1:166" s="1301" customFormat="1" ht="15" hidden="1" customHeight="1">
      <c r="A216" s="1538" t="s">
        <v>153</v>
      </c>
      <c r="B216" s="1539">
        <v>17</v>
      </c>
      <c r="C216" s="1539"/>
      <c r="D216" s="1539"/>
      <c r="E216" s="1540" t="s">
        <v>1955</v>
      </c>
      <c r="F216" s="1541" t="s">
        <v>2177</v>
      </c>
      <c r="G216" s="1542">
        <v>1998</v>
      </c>
      <c r="H216" s="1538">
        <v>9821567</v>
      </c>
      <c r="I216" s="1538">
        <v>1</v>
      </c>
      <c r="J216" s="1538"/>
      <c r="K216" s="1538"/>
      <c r="L216" s="1538">
        <v>1</v>
      </c>
      <c r="M216" s="1538"/>
      <c r="N216" s="1538">
        <v>1</v>
      </c>
      <c r="O216" s="1538">
        <v>1</v>
      </c>
      <c r="P216" s="1538" t="s">
        <v>468</v>
      </c>
      <c r="Q216" s="1538" t="s">
        <v>1162</v>
      </c>
      <c r="R216" s="1538" t="s">
        <v>25</v>
      </c>
      <c r="S216" s="1538">
        <v>1</v>
      </c>
      <c r="T216" s="1538"/>
      <c r="U216" s="1538"/>
      <c r="V216" s="1538"/>
      <c r="W216" s="1538" t="s">
        <v>11</v>
      </c>
      <c r="X216" s="1538" t="s">
        <v>24</v>
      </c>
      <c r="Y216" s="1538" t="s">
        <v>13</v>
      </c>
      <c r="Z216" s="1538"/>
      <c r="AA216" s="1538"/>
      <c r="AB216" s="1538"/>
      <c r="AC216" s="1543"/>
      <c r="AD216" s="1543">
        <v>1</v>
      </c>
      <c r="AE216" s="1543">
        <v>2</v>
      </c>
      <c r="AF216" s="1544">
        <v>0</v>
      </c>
      <c r="AG216" s="1545" t="s">
        <v>8107</v>
      </c>
      <c r="AH216" s="1543" t="s">
        <v>7806</v>
      </c>
      <c r="AI216" s="1543">
        <v>2</v>
      </c>
      <c r="AJ216" s="1543"/>
      <c r="AK216" s="1546" t="s">
        <v>2881</v>
      </c>
      <c r="AL216" s="1541">
        <v>1</v>
      </c>
      <c r="AM216" s="1547">
        <v>0</v>
      </c>
      <c r="AN216" s="1543">
        <f>Table66[[#This Row],[Data_Subjects_n_ptsd]]+Table66[[#This Row],[Data_Subjects_n_control]]</f>
        <v>31</v>
      </c>
      <c r="AO216" s="1543">
        <f>34/2</f>
        <v>17</v>
      </c>
      <c r="AP216" s="1543">
        <v>14</v>
      </c>
      <c r="AQ216" s="1543" t="s">
        <v>24</v>
      </c>
      <c r="AR216" s="1543" t="s">
        <v>24</v>
      </c>
      <c r="AS216" s="1543">
        <v>46</v>
      </c>
      <c r="AT216" s="1543">
        <v>3.4</v>
      </c>
      <c r="AU216" s="1548">
        <v>44.5</v>
      </c>
      <c r="AV216" s="1543">
        <v>3.9</v>
      </c>
      <c r="AW216" s="1543" t="s">
        <v>1874</v>
      </c>
      <c r="AX216" s="1543"/>
      <c r="AY216" s="1543"/>
      <c r="AZ216" s="1543" t="s">
        <v>1874</v>
      </c>
      <c r="BA216" s="1543" t="s">
        <v>24</v>
      </c>
      <c r="BB216" s="1543" t="s">
        <v>24</v>
      </c>
      <c r="BC216" s="1543" t="s">
        <v>7804</v>
      </c>
      <c r="BD216" s="1543" t="s">
        <v>7522</v>
      </c>
      <c r="BE216" s="1543"/>
      <c r="BF216" s="1543" t="s">
        <v>2875</v>
      </c>
      <c r="BG216" s="1543" t="s">
        <v>2876</v>
      </c>
      <c r="BH216" s="1541"/>
      <c r="BI216" s="1541"/>
      <c r="BJ216" s="1549">
        <v>1</v>
      </c>
      <c r="BK216" s="1549"/>
      <c r="BL216" s="1549"/>
      <c r="BM216" s="1549"/>
      <c r="BN216" s="1549"/>
      <c r="BO216" s="1549"/>
      <c r="BP216" s="1549"/>
      <c r="BQ216" s="1549"/>
      <c r="BR216" s="1549"/>
      <c r="BS216" s="1549"/>
      <c r="BT216" s="1549"/>
      <c r="BU216" s="1549"/>
      <c r="BV216" s="1549"/>
      <c r="BW216" s="1549" t="s">
        <v>2879</v>
      </c>
      <c r="BX216" s="1550" t="s">
        <v>6598</v>
      </c>
      <c r="BY216" s="1550" t="s">
        <v>7615</v>
      </c>
      <c r="BZ216" s="1550" t="s">
        <v>7818</v>
      </c>
      <c r="CA216" s="1549">
        <v>4</v>
      </c>
      <c r="CB216" s="1549" t="s">
        <v>7556</v>
      </c>
      <c r="CC216" s="1549" t="s">
        <v>7384</v>
      </c>
      <c r="CD216" s="1543" t="s">
        <v>1876</v>
      </c>
      <c r="CE216" s="1543">
        <v>3</v>
      </c>
      <c r="CF216" s="1543"/>
      <c r="CG216" s="1543" t="s">
        <v>7462</v>
      </c>
      <c r="CH216" s="1543" t="s">
        <v>1488</v>
      </c>
      <c r="CI216" s="1543" t="s">
        <v>24</v>
      </c>
      <c r="CJ216" s="1543">
        <v>1</v>
      </c>
      <c r="CK216" s="1543" t="s">
        <v>2878</v>
      </c>
      <c r="CL216" s="1543" t="s">
        <v>6638</v>
      </c>
      <c r="CM216" s="1551" t="s">
        <v>2906</v>
      </c>
      <c r="CN216" s="1552" t="s">
        <v>6627</v>
      </c>
      <c r="CO216" s="1552"/>
      <c r="CP216" s="1552"/>
      <c r="CQ216" s="1552"/>
      <c r="CR216" s="1552"/>
      <c r="CS216" s="1552"/>
      <c r="CT216" s="1552"/>
      <c r="CU216" s="1552"/>
      <c r="CV216" s="1335"/>
      <c r="CW216" s="1335"/>
      <c r="CX216" s="1550" t="s">
        <v>7809</v>
      </c>
      <c r="CY216" s="1543">
        <v>175.476</v>
      </c>
      <c r="CZ216" s="1543" t="s">
        <v>24</v>
      </c>
      <c r="DA216" s="1543" t="s">
        <v>24</v>
      </c>
      <c r="DB216" s="1550" t="s">
        <v>7810</v>
      </c>
      <c r="DC216" s="1543">
        <v>163.935</v>
      </c>
      <c r="DD216" s="1543" t="s">
        <v>24</v>
      </c>
      <c r="DE216" s="1543" t="s">
        <v>24</v>
      </c>
      <c r="DF216" s="1553" t="s">
        <v>7823</v>
      </c>
      <c r="DG216" s="1543" t="s">
        <v>24</v>
      </c>
      <c r="DH216" s="1554"/>
      <c r="DI216" s="1554"/>
      <c r="DJ216" s="1554"/>
      <c r="DK216" s="1554"/>
      <c r="DL216" s="1555"/>
      <c r="DM216" s="1554"/>
      <c r="DN216" s="1554"/>
      <c r="DO216" s="1554"/>
      <c r="DP216" s="1551"/>
      <c r="DQ216" s="1541"/>
      <c r="DR216" s="1556"/>
      <c r="DS216" s="1555"/>
      <c r="DT216" s="1555"/>
      <c r="DU216" s="1554"/>
      <c r="DV216" s="1554"/>
      <c r="DW216" s="1554"/>
      <c r="DX216" s="1555"/>
      <c r="DY216" s="1554"/>
      <c r="DZ216" s="1554"/>
      <c r="EA216" s="1554"/>
      <c r="EB216" s="1556"/>
      <c r="EC216" s="1554"/>
      <c r="ED216" s="1555"/>
      <c r="EE216" s="1554"/>
      <c r="EF216" s="1554"/>
      <c r="EG216" s="1554"/>
      <c r="EH216" s="1555"/>
      <c r="EI216" s="1554"/>
      <c r="EJ216" s="1554"/>
      <c r="EK216" s="1554"/>
      <c r="EL216" s="1556"/>
      <c r="EM216" s="1554"/>
      <c r="EN216" s="1557"/>
      <c r="EO216" s="1554"/>
      <c r="EP216" s="1538"/>
      <c r="EQ216" s="1538"/>
      <c r="ER216" s="1538"/>
      <c r="ES216" s="1538"/>
      <c r="ET216" s="1538"/>
      <c r="EU216" s="1538"/>
      <c r="EV216" s="1538"/>
      <c r="EW216" s="1538"/>
      <c r="EX216" s="1538"/>
      <c r="EY216" s="1538"/>
      <c r="EZ216" s="1554"/>
      <c r="FA216" s="1554"/>
      <c r="FB216" s="1554"/>
      <c r="FC216" s="1554"/>
      <c r="FD216" s="1555"/>
      <c r="FE216" s="1554"/>
      <c r="FF216" s="1554"/>
      <c r="FG216" s="1554"/>
      <c r="FH216" s="1554"/>
      <c r="FI216" s="1554"/>
      <c r="FJ216" s="1554"/>
    </row>
    <row r="217" spans="1:166" s="1301" customFormat="1" ht="15" hidden="1" customHeight="1">
      <c r="A217" s="1538" t="s">
        <v>153</v>
      </c>
      <c r="B217" s="1539">
        <v>17</v>
      </c>
      <c r="C217" s="1539"/>
      <c r="D217" s="1539"/>
      <c r="E217" s="1540" t="s">
        <v>1955</v>
      </c>
      <c r="F217" s="1541" t="s">
        <v>2177</v>
      </c>
      <c r="G217" s="1542">
        <v>1998</v>
      </c>
      <c r="H217" s="1538">
        <v>9821567</v>
      </c>
      <c r="I217" s="1538">
        <v>1</v>
      </c>
      <c r="J217" s="1538"/>
      <c r="K217" s="1538"/>
      <c r="L217" s="1538">
        <v>1</v>
      </c>
      <c r="M217" s="1538"/>
      <c r="N217" s="1538">
        <v>1</v>
      </c>
      <c r="O217" s="1538">
        <v>1</v>
      </c>
      <c r="P217" s="1538" t="s">
        <v>468</v>
      </c>
      <c r="Q217" s="1538" t="s">
        <v>1162</v>
      </c>
      <c r="R217" s="1538" t="s">
        <v>25</v>
      </c>
      <c r="S217" s="1538">
        <v>1</v>
      </c>
      <c r="T217" s="1538"/>
      <c r="U217" s="1538"/>
      <c r="V217" s="1538"/>
      <c r="W217" s="1538" t="s">
        <v>11</v>
      </c>
      <c r="X217" s="1538" t="s">
        <v>24</v>
      </c>
      <c r="Y217" s="1538" t="s">
        <v>13</v>
      </c>
      <c r="Z217" s="1538"/>
      <c r="AA217" s="1538"/>
      <c r="AB217" s="1538"/>
      <c r="AC217" s="1543"/>
      <c r="AD217" s="1543">
        <v>1</v>
      </c>
      <c r="AE217" s="1543">
        <v>2</v>
      </c>
      <c r="AF217" s="1544">
        <v>0</v>
      </c>
      <c r="AG217" s="1545" t="s">
        <v>8107</v>
      </c>
      <c r="AH217" s="1543" t="s">
        <v>7806</v>
      </c>
      <c r="AI217" s="1543">
        <v>2</v>
      </c>
      <c r="AJ217" s="1543"/>
      <c r="AK217" s="1546" t="s">
        <v>2881</v>
      </c>
      <c r="AL217" s="1541">
        <v>1</v>
      </c>
      <c r="AM217" s="1547">
        <v>0</v>
      </c>
      <c r="AN217" s="1543">
        <f>Table66[[#This Row],[Data_Subjects_n_ptsd]]+Table66[[#This Row],[Data_Subjects_n_control]]</f>
        <v>31</v>
      </c>
      <c r="AO217" s="1543">
        <f>34/2</f>
        <v>17</v>
      </c>
      <c r="AP217" s="1543">
        <v>14</v>
      </c>
      <c r="AQ217" s="1543" t="s">
        <v>24</v>
      </c>
      <c r="AR217" s="1543" t="s">
        <v>24</v>
      </c>
      <c r="AS217" s="1543">
        <v>46</v>
      </c>
      <c r="AT217" s="1543">
        <v>3.4</v>
      </c>
      <c r="AU217" s="1548">
        <v>44.5</v>
      </c>
      <c r="AV217" s="1543">
        <v>3.9</v>
      </c>
      <c r="AW217" s="1543" t="s">
        <v>1874</v>
      </c>
      <c r="AX217" s="1543"/>
      <c r="AY217" s="1543"/>
      <c r="AZ217" s="1543" t="s">
        <v>1874</v>
      </c>
      <c r="BA217" s="1543" t="s">
        <v>24</v>
      </c>
      <c r="BB217" s="1543" t="s">
        <v>24</v>
      </c>
      <c r="BC217" s="1543" t="s">
        <v>7804</v>
      </c>
      <c r="BD217" s="1543" t="s">
        <v>7522</v>
      </c>
      <c r="BE217" s="1543"/>
      <c r="BF217" s="1543" t="s">
        <v>2875</v>
      </c>
      <c r="BG217" s="1543" t="s">
        <v>2876</v>
      </c>
      <c r="BH217" s="1541"/>
      <c r="BI217" s="1541"/>
      <c r="BJ217" s="1549">
        <v>1</v>
      </c>
      <c r="BK217" s="1549"/>
      <c r="BL217" s="1549"/>
      <c r="BM217" s="1549"/>
      <c r="BN217" s="1549"/>
      <c r="BO217" s="1549"/>
      <c r="BP217" s="1549"/>
      <c r="BQ217" s="1549"/>
      <c r="BR217" s="1549"/>
      <c r="BS217" s="1549"/>
      <c r="BT217" s="1549"/>
      <c r="BU217" s="1549"/>
      <c r="BV217" s="1549"/>
      <c r="BW217" s="1549" t="s">
        <v>2879</v>
      </c>
      <c r="BX217" s="1550" t="s">
        <v>6598</v>
      </c>
      <c r="BY217" s="1550" t="s">
        <v>7615</v>
      </c>
      <c r="BZ217" s="1550" t="s">
        <v>7818</v>
      </c>
      <c r="CA217" s="1549">
        <v>4</v>
      </c>
      <c r="CB217" s="1549" t="s">
        <v>7556</v>
      </c>
      <c r="CC217" s="1549" t="s">
        <v>7384</v>
      </c>
      <c r="CD217" s="1543" t="s">
        <v>1876</v>
      </c>
      <c r="CE217" s="1543">
        <v>3</v>
      </c>
      <c r="CF217" s="1543"/>
      <c r="CG217" s="1543" t="s">
        <v>7462</v>
      </c>
      <c r="CH217" s="1543" t="s">
        <v>1488</v>
      </c>
      <c r="CI217" s="1543" t="s">
        <v>24</v>
      </c>
      <c r="CJ217" s="1543">
        <v>1</v>
      </c>
      <c r="CK217" s="1543" t="s">
        <v>2878</v>
      </c>
      <c r="CL217" s="1543" t="s">
        <v>6638</v>
      </c>
      <c r="CM217" s="1551" t="s">
        <v>2906</v>
      </c>
      <c r="CN217" s="1552" t="s">
        <v>6627</v>
      </c>
      <c r="CO217" s="1552"/>
      <c r="CP217" s="1552"/>
      <c r="CQ217" s="1552"/>
      <c r="CR217" s="1552"/>
      <c r="CS217" s="1552"/>
      <c r="CT217" s="1552"/>
      <c r="CU217" s="1552"/>
      <c r="CV217" s="1335"/>
      <c r="CW217" s="1335"/>
      <c r="CX217" s="1550" t="s">
        <v>7812</v>
      </c>
      <c r="CY217" s="1538">
        <v>222.495</v>
      </c>
      <c r="CZ217" s="1543" t="s">
        <v>24</v>
      </c>
      <c r="DA217" s="1543" t="s">
        <v>24</v>
      </c>
      <c r="DB217" s="1550" t="s">
        <v>7813</v>
      </c>
      <c r="DC217" s="1538">
        <v>110.187</v>
      </c>
      <c r="DD217" s="1543" t="s">
        <v>24</v>
      </c>
      <c r="DE217" s="1543" t="s">
        <v>24</v>
      </c>
      <c r="DF217" s="1553" t="s">
        <v>7823</v>
      </c>
      <c r="DG217" s="1541"/>
      <c r="DH217" s="1558"/>
      <c r="DI217" s="1538"/>
      <c r="DJ217" s="1554"/>
      <c r="DK217" s="1538"/>
      <c r="DL217" s="1555"/>
      <c r="DM217" s="1554"/>
      <c r="DN217" s="1554"/>
      <c r="DO217" s="1554"/>
      <c r="DP217" s="1551"/>
      <c r="DQ217" s="1541"/>
      <c r="DR217" s="1556"/>
      <c r="DS217" s="1555"/>
      <c r="DT217" s="1555"/>
      <c r="DU217" s="1554"/>
      <c r="DV217" s="1554"/>
      <c r="DW217" s="1554"/>
      <c r="DX217" s="1555"/>
      <c r="DY217" s="1554"/>
      <c r="DZ217" s="1554"/>
      <c r="EA217" s="1554"/>
      <c r="EB217" s="1556"/>
      <c r="EC217" s="1554"/>
      <c r="ED217" s="1554"/>
      <c r="EE217" s="1554"/>
      <c r="EF217" s="1554"/>
      <c r="EG217" s="1554"/>
      <c r="EH217" s="1555"/>
      <c r="EI217" s="1554"/>
      <c r="EJ217" s="1554"/>
      <c r="EK217" s="1554"/>
      <c r="EL217" s="1556"/>
      <c r="EM217" s="1554"/>
      <c r="EN217" s="1557"/>
      <c r="EO217" s="1554"/>
      <c r="EP217" s="1559"/>
      <c r="EQ217" s="1538"/>
      <c r="ER217" s="1538"/>
      <c r="ES217" s="1538"/>
      <c r="ET217" s="1559"/>
      <c r="EU217" s="1538"/>
      <c r="EV217" s="1538"/>
      <c r="EW217" s="1538"/>
      <c r="EX217" s="1538"/>
      <c r="EY217" s="1538"/>
      <c r="EZ217" s="1559"/>
      <c r="FA217" s="1538"/>
      <c r="FB217" s="1538"/>
      <c r="FC217" s="1538"/>
      <c r="FD217" s="1555"/>
      <c r="FE217" s="1554"/>
      <c r="FF217" s="1554"/>
      <c r="FG217" s="1554"/>
      <c r="FH217" s="1554"/>
      <c r="FI217" s="1554"/>
      <c r="FJ217" s="1538"/>
    </row>
    <row r="218" spans="1:166" s="1301" customFormat="1" ht="15" hidden="1" customHeight="1">
      <c r="A218" s="158" t="s">
        <v>153</v>
      </c>
      <c r="B218" s="1560">
        <v>17</v>
      </c>
      <c r="C218" s="1560"/>
      <c r="D218" s="1560"/>
      <c r="E218" s="1095" t="s">
        <v>1955</v>
      </c>
      <c r="F218" s="711" t="s">
        <v>2177</v>
      </c>
      <c r="G218" s="1096">
        <v>1998</v>
      </c>
      <c r="H218" s="158">
        <v>9821567</v>
      </c>
      <c r="I218" s="158">
        <v>1</v>
      </c>
      <c r="J218" s="158"/>
      <c r="K218" s="158"/>
      <c r="L218" s="158">
        <v>1</v>
      </c>
      <c r="M218" s="158"/>
      <c r="N218" s="158">
        <v>1</v>
      </c>
      <c r="O218" s="158">
        <v>1</v>
      </c>
      <c r="P218" s="158" t="s">
        <v>468</v>
      </c>
      <c r="Q218" s="158" t="s">
        <v>1162</v>
      </c>
      <c r="R218" s="158" t="s">
        <v>25</v>
      </c>
      <c r="S218" s="158">
        <v>1</v>
      </c>
      <c r="T218" s="158"/>
      <c r="U218" s="158"/>
      <c r="V218" s="158"/>
      <c r="W218" s="158" t="s">
        <v>11</v>
      </c>
      <c r="X218" s="158" t="s">
        <v>24</v>
      </c>
      <c r="Y218" s="158" t="s">
        <v>13</v>
      </c>
      <c r="Z218" s="158"/>
      <c r="AA218" s="158"/>
      <c r="AB218" s="158"/>
      <c r="AC218" s="800"/>
      <c r="AD218" s="800">
        <v>1</v>
      </c>
      <c r="AE218" s="800">
        <v>2</v>
      </c>
      <c r="AF218" s="1544">
        <v>0</v>
      </c>
      <c r="AG218" s="1545" t="s">
        <v>8107</v>
      </c>
      <c r="AH218" s="1543" t="s">
        <v>7806</v>
      </c>
      <c r="AI218" s="734">
        <v>2</v>
      </c>
      <c r="AJ218" s="734"/>
      <c r="AK218" s="739" t="s">
        <v>2881</v>
      </c>
      <c r="AL218" s="372">
        <v>1</v>
      </c>
      <c r="AM218" s="724">
        <v>0</v>
      </c>
      <c r="AN218" s="734">
        <f>Table66[[#This Row],[Data_Subjects_n_ptsd]]+Table66[[#This Row],[Data_Subjects_n_control]]</f>
        <v>31</v>
      </c>
      <c r="AO218" s="734">
        <f>34/2</f>
        <v>17</v>
      </c>
      <c r="AP218" s="734">
        <v>14</v>
      </c>
      <c r="AQ218" s="734" t="s">
        <v>24</v>
      </c>
      <c r="AR218" s="734" t="s">
        <v>24</v>
      </c>
      <c r="AS218" s="734">
        <v>46</v>
      </c>
      <c r="AT218" s="734">
        <v>3.4</v>
      </c>
      <c r="AU218" s="782">
        <v>44.5</v>
      </c>
      <c r="AV218" s="734">
        <v>3.9</v>
      </c>
      <c r="AW218" s="734" t="s">
        <v>1874</v>
      </c>
      <c r="AX218" s="734"/>
      <c r="AY218" s="734"/>
      <c r="AZ218" s="734" t="s">
        <v>1874</v>
      </c>
      <c r="BA218" s="734" t="s">
        <v>24</v>
      </c>
      <c r="BB218" s="734" t="s">
        <v>24</v>
      </c>
      <c r="BC218" s="734" t="s">
        <v>7804</v>
      </c>
      <c r="BD218" s="734" t="s">
        <v>7522</v>
      </c>
      <c r="BE218" s="734"/>
      <c r="BF218" s="734" t="s">
        <v>2875</v>
      </c>
      <c r="BG218" s="734" t="s">
        <v>2876</v>
      </c>
      <c r="BH218" s="372"/>
      <c r="BI218" s="372"/>
      <c r="BJ218" s="735">
        <v>1</v>
      </c>
      <c r="BK218" s="735"/>
      <c r="BL218" s="735"/>
      <c r="BM218" s="735"/>
      <c r="BN218" s="735"/>
      <c r="BO218" s="735"/>
      <c r="BP218" s="735"/>
      <c r="BQ218" s="735"/>
      <c r="BR218" s="735"/>
      <c r="BS218" s="735"/>
      <c r="BT218" s="735"/>
      <c r="BU218" s="735"/>
      <c r="BV218" s="735"/>
      <c r="BW218" s="735" t="s">
        <v>2879</v>
      </c>
      <c r="BX218" s="736" t="s">
        <v>6598</v>
      </c>
      <c r="BY218" s="736" t="s">
        <v>7615</v>
      </c>
      <c r="BZ218" s="736" t="s">
        <v>803</v>
      </c>
      <c r="CA218" s="735">
        <v>4</v>
      </c>
      <c r="CB218" s="735" t="s">
        <v>7556</v>
      </c>
      <c r="CC218" s="735" t="s">
        <v>7384</v>
      </c>
      <c r="CD218" s="734" t="s">
        <v>1876</v>
      </c>
      <c r="CE218" s="734">
        <v>3</v>
      </c>
      <c r="CF218" s="734"/>
      <c r="CG218" s="734" t="s">
        <v>7462</v>
      </c>
      <c r="CH218" s="734" t="s">
        <v>1488</v>
      </c>
      <c r="CI218" s="734" t="s">
        <v>24</v>
      </c>
      <c r="CJ218" s="734">
        <v>1</v>
      </c>
      <c r="CK218" s="734" t="s">
        <v>2878</v>
      </c>
      <c r="CL218" s="734" t="s">
        <v>6638</v>
      </c>
      <c r="CM218" s="737" t="s">
        <v>2906</v>
      </c>
      <c r="CN218" s="738" t="s">
        <v>6627</v>
      </c>
      <c r="CO218" s="738"/>
      <c r="CP218" s="738"/>
      <c r="CQ218" s="738"/>
      <c r="CR218" s="738"/>
      <c r="CS218" s="738"/>
      <c r="CT218" s="738"/>
      <c r="CU218" s="738"/>
      <c r="CV218" s="515"/>
      <c r="CW218" s="515"/>
      <c r="CX218" s="736" t="s">
        <v>7815</v>
      </c>
      <c r="CY218" s="742">
        <v>412.01799999999997</v>
      </c>
      <c r="CZ218" s="1543" t="s">
        <v>24</v>
      </c>
      <c r="DA218" s="1543" t="s">
        <v>24</v>
      </c>
      <c r="DB218" s="736" t="s">
        <v>7816</v>
      </c>
      <c r="DC218" s="734">
        <v>194.131</v>
      </c>
      <c r="DD218" s="1543" t="s">
        <v>24</v>
      </c>
      <c r="DE218" s="1543" t="s">
        <v>24</v>
      </c>
      <c r="DF218" s="734" t="s">
        <v>2905</v>
      </c>
      <c r="DG218" s="372"/>
      <c r="DH218" s="1561"/>
      <c r="DI218" s="742"/>
      <c r="DJ218" s="778"/>
      <c r="DK218" s="742"/>
      <c r="DL218" s="1180"/>
      <c r="DM218" s="778"/>
      <c r="DN218" s="778"/>
      <c r="DO218" s="778"/>
      <c r="DP218" s="737"/>
      <c r="DQ218" s="372"/>
      <c r="DR218" s="1181"/>
      <c r="DS218" s="1180"/>
      <c r="DT218" s="1180"/>
      <c r="DU218" s="778"/>
      <c r="DV218" s="778"/>
      <c r="DW218" s="778"/>
      <c r="DX218" s="1180"/>
      <c r="DY218" s="778"/>
      <c r="DZ218" s="778"/>
      <c r="EA218" s="778"/>
      <c r="EB218" s="1181"/>
      <c r="EC218" s="778"/>
      <c r="ED218" s="778"/>
      <c r="EE218" s="778"/>
      <c r="EF218" s="778"/>
      <c r="EG218" s="778"/>
      <c r="EH218" s="1180"/>
      <c r="EI218" s="778"/>
      <c r="EJ218" s="778"/>
      <c r="EK218" s="778"/>
      <c r="EL218" s="1181"/>
      <c r="EM218" s="778"/>
      <c r="EN218" s="1562"/>
      <c r="EO218" s="778"/>
      <c r="EP218" s="823"/>
      <c r="EQ218" s="742"/>
      <c r="ER218" s="742"/>
      <c r="ES218" s="742"/>
      <c r="ET218" s="823"/>
      <c r="EU218" s="742"/>
      <c r="EV218" s="742"/>
      <c r="EW218" s="742"/>
      <c r="EX218" s="742"/>
      <c r="EY218" s="742"/>
      <c r="EZ218" s="1180"/>
      <c r="FA218" s="778"/>
      <c r="FB218" s="778"/>
      <c r="FC218" s="778"/>
      <c r="FD218" s="1180"/>
      <c r="FE218" s="778"/>
      <c r="FF218" s="778"/>
      <c r="FG218" s="778"/>
      <c r="FH218" s="778"/>
      <c r="FI218" s="778"/>
      <c r="FJ218" s="778"/>
    </row>
    <row r="219" spans="1:166" s="229" customFormat="1" ht="15" customHeight="1">
      <c r="A219" s="79" t="s">
        <v>152</v>
      </c>
      <c r="B219" s="614">
        <v>3</v>
      </c>
      <c r="C219" s="614"/>
      <c r="D219" s="614"/>
      <c r="E219" s="604" t="s">
        <v>1955</v>
      </c>
      <c r="F219" s="124" t="s">
        <v>2176</v>
      </c>
      <c r="G219" s="125">
        <v>1999</v>
      </c>
      <c r="H219" s="79">
        <v>10066999</v>
      </c>
      <c r="I219" s="79">
        <v>1</v>
      </c>
      <c r="J219" s="126"/>
      <c r="K219" s="127"/>
      <c r="L219" s="79">
        <v>1</v>
      </c>
      <c r="M219" s="79"/>
      <c r="N219" s="79">
        <v>1</v>
      </c>
      <c r="O219" s="128">
        <v>1</v>
      </c>
      <c r="P219" s="79" t="s">
        <v>11</v>
      </c>
      <c r="Q219" s="79" t="s">
        <v>1162</v>
      </c>
      <c r="R219" s="79" t="s">
        <v>25</v>
      </c>
      <c r="S219" s="79">
        <v>1</v>
      </c>
      <c r="T219" s="79"/>
      <c r="U219" s="79"/>
      <c r="V219" s="79"/>
      <c r="W219" s="79" t="s">
        <v>11</v>
      </c>
      <c r="X219" s="79" t="s">
        <v>24</v>
      </c>
      <c r="Y219" s="79" t="s">
        <v>13</v>
      </c>
      <c r="Z219" s="79"/>
      <c r="AA219" s="79"/>
      <c r="AB219" s="79"/>
      <c r="AC219" s="506"/>
      <c r="AD219" s="573">
        <v>1</v>
      </c>
      <c r="AE219" s="573">
        <v>2</v>
      </c>
      <c r="AF219" s="129">
        <v>1</v>
      </c>
      <c r="AG219" s="130" t="s">
        <v>24</v>
      </c>
      <c r="AH219" s="771" t="s">
        <v>7464</v>
      </c>
      <c r="AI219" s="136">
        <v>2</v>
      </c>
      <c r="AJ219" s="489"/>
      <c r="AK219" s="198"/>
      <c r="AL219" s="192">
        <v>1</v>
      </c>
      <c r="AM219" s="199">
        <v>0</v>
      </c>
      <c r="AN219" s="136">
        <v>24</v>
      </c>
      <c r="AO219" s="136">
        <v>12</v>
      </c>
      <c r="AP219" s="16">
        <v>12</v>
      </c>
      <c r="AQ219" s="16" t="s">
        <v>803</v>
      </c>
      <c r="AR219" s="16" t="s">
        <v>803</v>
      </c>
      <c r="AS219" s="26">
        <v>33.6</v>
      </c>
      <c r="AT219" s="26">
        <v>6.2</v>
      </c>
      <c r="AU219" s="1600">
        <v>38.4</v>
      </c>
      <c r="AV219" s="26">
        <v>11.7</v>
      </c>
      <c r="AW219" s="26" t="s">
        <v>1874</v>
      </c>
      <c r="AX219" s="16"/>
      <c r="AY219" s="16"/>
      <c r="AZ219" s="756" t="s">
        <v>1874</v>
      </c>
      <c r="BA219" s="16" t="s">
        <v>24</v>
      </c>
      <c r="BB219" s="16" t="s">
        <v>24</v>
      </c>
      <c r="BC219" s="16" t="s">
        <v>2423</v>
      </c>
      <c r="BD219" s="756" t="s">
        <v>7521</v>
      </c>
      <c r="BE219" s="187">
        <v>0</v>
      </c>
      <c r="BF219" s="16" t="s">
        <v>2605</v>
      </c>
      <c r="BG219" s="16" t="s">
        <v>1875</v>
      </c>
      <c r="BH219" s="590"/>
      <c r="BI219" s="590"/>
      <c r="BJ219" s="132">
        <v>1</v>
      </c>
      <c r="BK219" s="132"/>
      <c r="BL219" s="132"/>
      <c r="BM219" s="132"/>
      <c r="BN219" s="132"/>
      <c r="BO219" s="132"/>
      <c r="BP219" s="132"/>
      <c r="BQ219" s="132"/>
      <c r="BR219" s="132"/>
      <c r="BS219" s="132"/>
      <c r="BT219" s="132"/>
      <c r="BU219" s="132"/>
      <c r="BV219" s="132"/>
      <c r="BW219" s="591" t="s">
        <v>2528</v>
      </c>
      <c r="BX219" s="133" t="s">
        <v>6596</v>
      </c>
      <c r="BY219" s="796" t="s">
        <v>7615</v>
      </c>
      <c r="BZ219" s="792" t="s">
        <v>7610</v>
      </c>
      <c r="CA219" s="783">
        <v>4</v>
      </c>
      <c r="CB219" s="765" t="s">
        <v>7556</v>
      </c>
      <c r="CC219" s="783" t="s">
        <v>7380</v>
      </c>
      <c r="CD219" s="636" t="s">
        <v>1876</v>
      </c>
      <c r="CE219" s="26">
        <v>2</v>
      </c>
      <c r="CF219" s="785"/>
      <c r="CG219" s="636" t="s">
        <v>7463</v>
      </c>
      <c r="CH219" s="760" t="s">
        <v>1488</v>
      </c>
      <c r="CI219" s="26" t="s">
        <v>24</v>
      </c>
      <c r="CJ219" s="26">
        <v>1</v>
      </c>
      <c r="CK219" s="134" t="s">
        <v>2400</v>
      </c>
      <c r="CL219" s="150" t="s">
        <v>6638</v>
      </c>
      <c r="CM219" s="255" t="s">
        <v>2533</v>
      </c>
      <c r="CN219" s="626" t="s">
        <v>23</v>
      </c>
      <c r="CO219" s="829">
        <v>24</v>
      </c>
      <c r="CP219" s="827">
        <v>1</v>
      </c>
      <c r="CQ219" s="827">
        <v>3</v>
      </c>
      <c r="CR219" s="827">
        <v>1</v>
      </c>
      <c r="CS219" s="827">
        <v>1</v>
      </c>
      <c r="CT219" s="966" t="s">
        <v>7836</v>
      </c>
      <c r="CU219" s="1288" t="s">
        <v>8103</v>
      </c>
      <c r="CV219" s="1294">
        <v>13</v>
      </c>
      <c r="CW219" s="1294">
        <v>12</v>
      </c>
      <c r="CX219" s="519" t="s">
        <v>2448</v>
      </c>
      <c r="CY219" s="134">
        <f>AVERAGE(187.57,247.63)</f>
        <v>217.6</v>
      </c>
      <c r="CZ219" s="134">
        <f>STDEV(187.57,247.63)</f>
        <v>42.468833278064089</v>
      </c>
      <c r="DA219" s="134" t="s">
        <v>24</v>
      </c>
      <c r="DB219" s="519" t="s">
        <v>2450</v>
      </c>
      <c r="DC219" s="222">
        <f>AVERAGE(196.09439, 226.00397)</f>
        <v>211.04918000000001</v>
      </c>
      <c r="DD219" s="222">
        <f>STDEV(196.09439, 226.00397)</f>
        <v>21.149266840441541</v>
      </c>
      <c r="DE219" s="134" t="s">
        <v>24</v>
      </c>
      <c r="DF219" s="549" t="s">
        <v>7803</v>
      </c>
      <c r="DG219" s="295" t="s">
        <v>24</v>
      </c>
      <c r="DH219" s="1179"/>
      <c r="DI219" s="417"/>
      <c r="DJ219" s="1169"/>
      <c r="DK219" s="417"/>
      <c r="DL219" s="121"/>
      <c r="DM219" s="1169"/>
      <c r="DN219" s="1169"/>
      <c r="DO219" s="1169"/>
      <c r="DP219" s="288"/>
      <c r="DQ219" s="289"/>
      <c r="DR219" s="280"/>
      <c r="DS219" s="865"/>
      <c r="DT219" s="1171"/>
      <c r="DU219" s="417"/>
      <c r="DV219" s="1169"/>
      <c r="DW219" s="417"/>
      <c r="DX219" s="1169"/>
      <c r="DY219" s="1169"/>
      <c r="DZ219" s="1169"/>
      <c r="EA219" s="1169"/>
      <c r="EB219" s="304"/>
      <c r="EC219" s="312"/>
      <c r="ED219" s="1169"/>
      <c r="EE219" s="417"/>
      <c r="EF219" s="1169"/>
      <c r="EG219" s="417"/>
      <c r="EH219" s="1169"/>
      <c r="EI219" s="1169"/>
      <c r="EJ219" s="1169"/>
      <c r="EK219" s="1169"/>
      <c r="EL219" s="304"/>
      <c r="EM219" s="312"/>
      <c r="EN219" s="309"/>
      <c r="EO219" s="1170"/>
      <c r="EP219" s="417"/>
      <c r="EQ219" s="417"/>
      <c r="ER219" s="417"/>
      <c r="ES219" s="417"/>
      <c r="ET219" s="1155"/>
      <c r="EU219" s="417"/>
      <c r="EV219" s="417"/>
      <c r="EW219" s="417"/>
      <c r="EX219" s="469"/>
      <c r="EY219" s="469"/>
      <c r="EZ219" s="1171"/>
      <c r="FA219" s="1169"/>
      <c r="FB219" s="1169"/>
      <c r="FC219" s="1169"/>
      <c r="FD219" s="1171"/>
      <c r="FE219" s="1169"/>
      <c r="FF219" s="1169"/>
      <c r="FG219" s="1169"/>
      <c r="FH219" s="312"/>
      <c r="FI219" s="312"/>
      <c r="FJ219" s="1170"/>
    </row>
    <row r="220" spans="1:166" s="229" customFormat="1" ht="15" customHeight="1">
      <c r="A220" s="79" t="s">
        <v>152</v>
      </c>
      <c r="B220" s="614">
        <v>3</v>
      </c>
      <c r="C220" s="614"/>
      <c r="D220" s="614"/>
      <c r="E220" s="604" t="s">
        <v>1955</v>
      </c>
      <c r="F220" s="124" t="s">
        <v>2176</v>
      </c>
      <c r="G220" s="125">
        <v>1999</v>
      </c>
      <c r="H220" s="79">
        <v>10066999</v>
      </c>
      <c r="I220" s="79">
        <v>1</v>
      </c>
      <c r="J220" s="126"/>
      <c r="K220" s="127"/>
      <c r="L220" s="79">
        <v>1</v>
      </c>
      <c r="M220" s="79"/>
      <c r="N220" s="79">
        <v>1</v>
      </c>
      <c r="O220" s="128">
        <v>1</v>
      </c>
      <c r="P220" s="79" t="s">
        <v>11</v>
      </c>
      <c r="Q220" s="79" t="s">
        <v>1162</v>
      </c>
      <c r="R220" s="79" t="s">
        <v>25</v>
      </c>
      <c r="S220" s="79">
        <v>1</v>
      </c>
      <c r="T220" s="79"/>
      <c r="U220" s="79"/>
      <c r="V220" s="79"/>
      <c r="W220" s="79" t="s">
        <v>11</v>
      </c>
      <c r="X220" s="79" t="s">
        <v>24</v>
      </c>
      <c r="Y220" s="79" t="s">
        <v>13</v>
      </c>
      <c r="Z220" s="79"/>
      <c r="AA220" s="79"/>
      <c r="AB220" s="79"/>
      <c r="AC220" s="506"/>
      <c r="AD220" s="573">
        <v>1</v>
      </c>
      <c r="AE220" s="573">
        <v>2</v>
      </c>
      <c r="AF220" s="129">
        <v>1</v>
      </c>
      <c r="AG220" s="130" t="s">
        <v>24</v>
      </c>
      <c r="AH220" s="771" t="s">
        <v>7464</v>
      </c>
      <c r="AI220" s="136">
        <v>2</v>
      </c>
      <c r="AJ220" s="489"/>
      <c r="AK220" s="198"/>
      <c r="AL220" s="192">
        <v>1</v>
      </c>
      <c r="AM220" s="199">
        <v>0</v>
      </c>
      <c r="AN220" s="136">
        <v>24</v>
      </c>
      <c r="AO220" s="136">
        <v>12</v>
      </c>
      <c r="AP220" s="16">
        <v>12</v>
      </c>
      <c r="AQ220" s="16" t="s">
        <v>803</v>
      </c>
      <c r="AR220" s="16" t="s">
        <v>803</v>
      </c>
      <c r="AS220" s="26">
        <v>33.6</v>
      </c>
      <c r="AT220" s="26">
        <v>6.2</v>
      </c>
      <c r="AU220" s="1600">
        <v>38.4</v>
      </c>
      <c r="AV220" s="26">
        <v>11.7</v>
      </c>
      <c r="AW220" s="26" t="s">
        <v>1874</v>
      </c>
      <c r="AX220" s="16"/>
      <c r="AY220" s="16"/>
      <c r="AZ220" s="756" t="s">
        <v>1874</v>
      </c>
      <c r="BA220" s="16" t="s">
        <v>24</v>
      </c>
      <c r="BB220" s="16" t="s">
        <v>24</v>
      </c>
      <c r="BC220" s="16" t="s">
        <v>2423</v>
      </c>
      <c r="BD220" s="756" t="s">
        <v>7521</v>
      </c>
      <c r="BE220" s="187">
        <v>0</v>
      </c>
      <c r="BF220" s="16" t="s">
        <v>2605</v>
      </c>
      <c r="BG220" s="16" t="s">
        <v>1875</v>
      </c>
      <c r="BH220" s="590"/>
      <c r="BI220" s="590"/>
      <c r="BJ220" s="132">
        <v>1</v>
      </c>
      <c r="BK220" s="132"/>
      <c r="BL220" s="132"/>
      <c r="BM220" s="132"/>
      <c r="BN220" s="132"/>
      <c r="BO220" s="132"/>
      <c r="BP220" s="132"/>
      <c r="BQ220" s="132"/>
      <c r="BR220" s="132"/>
      <c r="BS220" s="132"/>
      <c r="BT220" s="132"/>
      <c r="BU220" s="132"/>
      <c r="BV220" s="132"/>
      <c r="BW220" s="591" t="s">
        <v>2528</v>
      </c>
      <c r="BX220" s="133" t="s">
        <v>6596</v>
      </c>
      <c r="BY220" s="796" t="s">
        <v>7615</v>
      </c>
      <c r="BZ220" s="792" t="s">
        <v>7610</v>
      </c>
      <c r="CA220" s="783">
        <v>4</v>
      </c>
      <c r="CB220" s="765" t="s">
        <v>7556</v>
      </c>
      <c r="CC220" s="783" t="s">
        <v>7380</v>
      </c>
      <c r="CD220" s="636" t="s">
        <v>1876</v>
      </c>
      <c r="CE220" s="26">
        <v>2</v>
      </c>
      <c r="CF220" s="785"/>
      <c r="CG220" s="636" t="s">
        <v>7463</v>
      </c>
      <c r="CH220" s="760" t="s">
        <v>1488</v>
      </c>
      <c r="CI220" s="26" t="s">
        <v>24</v>
      </c>
      <c r="CJ220" s="26">
        <v>1</v>
      </c>
      <c r="CK220" s="134" t="s">
        <v>2400</v>
      </c>
      <c r="CL220" s="150" t="s">
        <v>6638</v>
      </c>
      <c r="CM220" s="255" t="s">
        <v>2533</v>
      </c>
      <c r="CN220" s="626" t="s">
        <v>23</v>
      </c>
      <c r="CO220" s="829">
        <v>24</v>
      </c>
      <c r="CP220" s="827">
        <v>1</v>
      </c>
      <c r="CQ220" s="827">
        <v>4</v>
      </c>
      <c r="CR220" s="827">
        <v>1</v>
      </c>
      <c r="CS220" s="827">
        <v>-1</v>
      </c>
      <c r="CT220" s="966" t="s">
        <v>7837</v>
      </c>
      <c r="CU220" s="1288" t="s">
        <v>8103</v>
      </c>
      <c r="CV220" s="1294">
        <v>13</v>
      </c>
      <c r="CW220" s="1294">
        <v>12</v>
      </c>
      <c r="CX220" s="519" t="s">
        <v>2449</v>
      </c>
      <c r="CY220" s="134">
        <f>AVERAGE(194.04, 229.522)</f>
        <v>211.78100000000001</v>
      </c>
      <c r="CZ220" s="134">
        <f>STDEV(194.04, 229.522)</f>
        <v>25.089562810061079</v>
      </c>
      <c r="DA220" s="134" t="s">
        <v>24</v>
      </c>
      <c r="DB220" s="519" t="s">
        <v>2451</v>
      </c>
      <c r="DC220" s="134">
        <f>AVERAGE(172.08734, 136.67021)</f>
        <v>154.37877500000002</v>
      </c>
      <c r="DD220" s="134">
        <f>STDEV(172.08734, 136.67021)</f>
        <v>25.043692793165462</v>
      </c>
      <c r="DE220" s="134" t="s">
        <v>24</v>
      </c>
      <c r="DF220" s="549" t="s">
        <v>7803</v>
      </c>
      <c r="DG220" s="295" t="s">
        <v>24</v>
      </c>
      <c r="DH220" s="1256"/>
      <c r="DI220" s="1160"/>
      <c r="DJ220" s="1255"/>
      <c r="DK220" s="417"/>
      <c r="DL220" s="1230"/>
      <c r="DM220" s="121"/>
      <c r="DN220" s="1169"/>
      <c r="DO220" s="121"/>
      <c r="DP220" s="288"/>
      <c r="DQ220" s="289"/>
      <c r="DR220" s="280"/>
      <c r="DS220" s="865"/>
      <c r="DT220" s="1171"/>
      <c r="DU220" s="417"/>
      <c r="DV220" s="1169"/>
      <c r="DW220" s="417"/>
      <c r="DX220" s="1169"/>
      <c r="DY220" s="417"/>
      <c r="DZ220" s="1169"/>
      <c r="EA220" s="417"/>
      <c r="EB220" s="304"/>
      <c r="EC220" s="312"/>
      <c r="ED220" s="1169"/>
      <c r="EE220" s="417"/>
      <c r="EF220" s="1169"/>
      <c r="EG220" s="417"/>
      <c r="EH220" s="1169"/>
      <c r="EI220" s="121"/>
      <c r="EJ220" s="1169"/>
      <c r="EK220" s="121"/>
      <c r="EL220" s="304"/>
      <c r="EM220" s="312"/>
      <c r="EN220" s="309"/>
      <c r="EO220" s="1170"/>
      <c r="EP220" s="417"/>
      <c r="EQ220" s="417"/>
      <c r="ER220" s="417"/>
      <c r="ES220" s="417"/>
      <c r="ET220" s="1155"/>
      <c r="EU220" s="417"/>
      <c r="EV220" s="417"/>
      <c r="EW220" s="417"/>
      <c r="EX220" s="469"/>
      <c r="EY220" s="469"/>
      <c r="EZ220" s="1276"/>
      <c r="FA220" s="121"/>
      <c r="FB220" s="121"/>
      <c r="FC220" s="121"/>
      <c r="FD220" s="1276"/>
      <c r="FE220" s="121"/>
      <c r="FF220" s="121"/>
      <c r="FG220" s="121"/>
      <c r="FH220" s="301"/>
      <c r="FI220" s="301"/>
      <c r="FJ220" s="277"/>
    </row>
    <row r="221" spans="1:166" s="717" customFormat="1" ht="15" customHeight="1">
      <c r="A221" s="118" t="s">
        <v>152</v>
      </c>
      <c r="B221" s="614">
        <v>3</v>
      </c>
      <c r="C221" s="614"/>
      <c r="D221" s="614"/>
      <c r="E221" s="605" t="s">
        <v>1955</v>
      </c>
      <c r="F221" s="140" t="s">
        <v>2176</v>
      </c>
      <c r="G221" s="141">
        <v>1999</v>
      </c>
      <c r="H221" s="118">
        <v>10066999</v>
      </c>
      <c r="I221" s="118">
        <v>1</v>
      </c>
      <c r="J221" s="118"/>
      <c r="K221" s="118"/>
      <c r="L221" s="118">
        <v>1</v>
      </c>
      <c r="M221" s="118"/>
      <c r="N221" s="118">
        <v>1</v>
      </c>
      <c r="O221" s="142">
        <v>1</v>
      </c>
      <c r="P221" s="118" t="s">
        <v>11</v>
      </c>
      <c r="Q221" s="118" t="s">
        <v>1162</v>
      </c>
      <c r="R221" s="118" t="s">
        <v>25</v>
      </c>
      <c r="S221" s="118">
        <v>1</v>
      </c>
      <c r="T221" s="118"/>
      <c r="U221" s="118"/>
      <c r="V221" s="118"/>
      <c r="W221" s="118" t="s">
        <v>11</v>
      </c>
      <c r="X221" s="118" t="s">
        <v>24</v>
      </c>
      <c r="Y221" s="118" t="s">
        <v>13</v>
      </c>
      <c r="Z221" s="118"/>
      <c r="AA221" s="118"/>
      <c r="AB221" s="118"/>
      <c r="AC221" s="145"/>
      <c r="AD221" s="573">
        <v>1</v>
      </c>
      <c r="AE221" s="573">
        <v>2</v>
      </c>
      <c r="AF221" s="143">
        <v>1</v>
      </c>
      <c r="AG221" s="144" t="s">
        <v>24</v>
      </c>
      <c r="AH221" s="771" t="s">
        <v>7464</v>
      </c>
      <c r="AI221" s="145">
        <v>2</v>
      </c>
      <c r="AJ221" s="488"/>
      <c r="AK221" s="200"/>
      <c r="AL221" s="192">
        <v>1</v>
      </c>
      <c r="AM221" s="201">
        <v>0</v>
      </c>
      <c r="AN221" s="145">
        <v>24</v>
      </c>
      <c r="AO221" s="145">
        <v>12</v>
      </c>
      <c r="AP221" s="146">
        <v>12</v>
      </c>
      <c r="AQ221" s="146" t="s">
        <v>803</v>
      </c>
      <c r="AR221" s="146" t="s">
        <v>803</v>
      </c>
      <c r="AS221" s="465">
        <v>33.6</v>
      </c>
      <c r="AT221" s="253">
        <v>6.2</v>
      </c>
      <c r="AU221" s="1599">
        <v>38.4</v>
      </c>
      <c r="AV221" s="253">
        <v>11.7</v>
      </c>
      <c r="AW221" s="253" t="s">
        <v>1874</v>
      </c>
      <c r="AX221" s="146"/>
      <c r="AY221" s="146"/>
      <c r="AZ221" s="756" t="s">
        <v>1874</v>
      </c>
      <c r="BA221" s="146" t="s">
        <v>24</v>
      </c>
      <c r="BB221" s="146" t="s">
        <v>24</v>
      </c>
      <c r="BC221" s="146" t="s">
        <v>2423</v>
      </c>
      <c r="BD221" s="756" t="s">
        <v>7521</v>
      </c>
      <c r="BE221" s="187">
        <v>0</v>
      </c>
      <c r="BF221" s="146" t="s">
        <v>2605</v>
      </c>
      <c r="BG221" s="146" t="s">
        <v>1875</v>
      </c>
      <c r="BH221" s="592"/>
      <c r="BI221" s="592"/>
      <c r="BJ221" s="147">
        <v>1</v>
      </c>
      <c r="BK221" s="147"/>
      <c r="BL221" s="147"/>
      <c r="BM221" s="147"/>
      <c r="BN221" s="147"/>
      <c r="BO221" s="147"/>
      <c r="BP221" s="147"/>
      <c r="BQ221" s="147"/>
      <c r="BR221" s="147"/>
      <c r="BS221" s="147"/>
      <c r="BT221" s="147"/>
      <c r="BU221" s="147"/>
      <c r="BV221" s="147"/>
      <c r="BW221" s="593" t="s">
        <v>2530</v>
      </c>
      <c r="BX221" s="148" t="s">
        <v>6596</v>
      </c>
      <c r="BY221" s="796" t="s">
        <v>7615</v>
      </c>
      <c r="BZ221" s="793" t="s">
        <v>7610</v>
      </c>
      <c r="CA221" s="783">
        <v>4</v>
      </c>
      <c r="CB221" s="765" t="s">
        <v>7556</v>
      </c>
      <c r="CC221" s="783" t="s">
        <v>7380</v>
      </c>
      <c r="CD221" s="465" t="s">
        <v>1876</v>
      </c>
      <c r="CE221" s="253">
        <v>2</v>
      </c>
      <c r="CF221" s="785"/>
      <c r="CG221" s="636" t="s">
        <v>7463</v>
      </c>
      <c r="CH221" s="760" t="s">
        <v>1488</v>
      </c>
      <c r="CI221" s="253" t="s">
        <v>24</v>
      </c>
      <c r="CJ221" s="253">
        <v>1</v>
      </c>
      <c r="CK221" s="150" t="s">
        <v>2400</v>
      </c>
      <c r="CL221" s="150" t="s">
        <v>6638</v>
      </c>
      <c r="CM221" s="258" t="s">
        <v>2531</v>
      </c>
      <c r="CN221" s="257">
        <v>0</v>
      </c>
      <c r="CO221" s="829">
        <v>24</v>
      </c>
      <c r="CP221" s="829">
        <v>1</v>
      </c>
      <c r="CQ221" s="829">
        <v>5</v>
      </c>
      <c r="CR221" s="829">
        <v>1</v>
      </c>
      <c r="CS221" s="829">
        <v>1</v>
      </c>
      <c r="CT221" s="966" t="s">
        <v>7836</v>
      </c>
      <c r="CU221" s="1288" t="s">
        <v>8103</v>
      </c>
      <c r="CV221" s="1294">
        <v>13</v>
      </c>
      <c r="CW221" s="1294">
        <v>12</v>
      </c>
      <c r="CX221" s="151" t="s">
        <v>2462</v>
      </c>
      <c r="CY221" s="150">
        <f>AVERAGE(183.79,246.16)</f>
        <v>214.97499999999999</v>
      </c>
      <c r="CZ221" s="150">
        <f>STDEV(183.79,246.16)</f>
        <v>44.1022499426049</v>
      </c>
      <c r="DA221" s="150" t="s">
        <v>24</v>
      </c>
      <c r="DB221" s="468" t="s">
        <v>2460</v>
      </c>
      <c r="DC221" s="266">
        <f>AVERAGE(195.72,224.54)</f>
        <v>210.13</v>
      </c>
      <c r="DD221" s="150">
        <f>STDEV(195.72,224.54)</f>
        <v>20.378817433796296</v>
      </c>
      <c r="DE221" s="150" t="s">
        <v>24</v>
      </c>
      <c r="DF221" s="549" t="s">
        <v>2535</v>
      </c>
      <c r="DG221" s="295" t="s">
        <v>2464</v>
      </c>
      <c r="DH221" s="1179"/>
      <c r="DI221" s="417"/>
      <c r="DJ221" s="1169"/>
      <c r="DK221" s="417"/>
      <c r="DL221" s="121"/>
      <c r="DM221" s="1169"/>
      <c r="DN221" s="1169"/>
      <c r="DO221" s="1169"/>
      <c r="DP221" s="290"/>
      <c r="DQ221" s="291"/>
      <c r="DR221" s="280"/>
      <c r="DS221" s="865"/>
      <c r="DT221" s="1166"/>
      <c r="DU221" s="500"/>
      <c r="DV221" s="1164"/>
      <c r="DW221" s="500"/>
      <c r="DX221" s="1166"/>
      <c r="DY221" s="1164"/>
      <c r="DZ221" s="1164"/>
      <c r="EA221" s="1164"/>
      <c r="EB221" s="311"/>
      <c r="EC221" s="313"/>
      <c r="ED221" s="1166"/>
      <c r="EE221" s="500"/>
      <c r="EF221" s="1164"/>
      <c r="EG221" s="500"/>
      <c r="EH221" s="1166"/>
      <c r="EI221" s="1164"/>
      <c r="EJ221" s="1164"/>
      <c r="EK221" s="1164"/>
      <c r="EL221" s="311"/>
      <c r="EM221" s="313"/>
      <c r="EN221" s="1167"/>
      <c r="EO221" s="1165"/>
      <c r="EP221" s="500"/>
      <c r="EQ221" s="500"/>
      <c r="ER221" s="500"/>
      <c r="ES221" s="500"/>
      <c r="ET221" s="1153"/>
      <c r="EU221" s="500"/>
      <c r="EV221" s="500"/>
      <c r="EW221" s="500"/>
      <c r="EX221" s="665"/>
      <c r="EY221" s="665"/>
      <c r="EZ221" s="1166"/>
      <c r="FA221" s="1164"/>
      <c r="FB221" s="1164"/>
      <c r="FC221" s="1164"/>
      <c r="FD221" s="1166"/>
      <c r="FE221" s="1164"/>
      <c r="FF221" s="1164"/>
      <c r="FG221" s="1164"/>
      <c r="FH221" s="313"/>
      <c r="FI221" s="313"/>
      <c r="FJ221" s="1165"/>
    </row>
    <row r="222" spans="1:166" s="717" customFormat="1" ht="15" customHeight="1">
      <c r="A222" s="118" t="s">
        <v>152</v>
      </c>
      <c r="B222" s="614">
        <v>3</v>
      </c>
      <c r="C222" s="614"/>
      <c r="D222" s="614"/>
      <c r="E222" s="605" t="s">
        <v>1955</v>
      </c>
      <c r="F222" s="140" t="s">
        <v>2176</v>
      </c>
      <c r="G222" s="141">
        <v>1999</v>
      </c>
      <c r="H222" s="118">
        <v>10066999</v>
      </c>
      <c r="I222" s="118">
        <v>1</v>
      </c>
      <c r="J222" s="118"/>
      <c r="K222" s="118"/>
      <c r="L222" s="118">
        <v>1</v>
      </c>
      <c r="M222" s="118"/>
      <c r="N222" s="118">
        <v>1</v>
      </c>
      <c r="O222" s="142">
        <v>1</v>
      </c>
      <c r="P222" s="118" t="s">
        <v>11</v>
      </c>
      <c r="Q222" s="118" t="s">
        <v>1162</v>
      </c>
      <c r="R222" s="118" t="s">
        <v>25</v>
      </c>
      <c r="S222" s="118">
        <v>1</v>
      </c>
      <c r="T222" s="118"/>
      <c r="U222" s="118"/>
      <c r="V222" s="118"/>
      <c r="W222" s="118" t="s">
        <v>11</v>
      </c>
      <c r="X222" s="118" t="s">
        <v>24</v>
      </c>
      <c r="Y222" s="118" t="s">
        <v>13</v>
      </c>
      <c r="Z222" s="118"/>
      <c r="AA222" s="118"/>
      <c r="AB222" s="118"/>
      <c r="AC222" s="145"/>
      <c r="AD222" s="573">
        <v>1</v>
      </c>
      <c r="AE222" s="573">
        <v>2</v>
      </c>
      <c r="AF222" s="143">
        <v>1</v>
      </c>
      <c r="AG222" s="144" t="s">
        <v>24</v>
      </c>
      <c r="AH222" s="771" t="s">
        <v>7464</v>
      </c>
      <c r="AI222" s="145">
        <v>2</v>
      </c>
      <c r="AJ222" s="488"/>
      <c r="AK222" s="200"/>
      <c r="AL222" s="192">
        <v>1</v>
      </c>
      <c r="AM222" s="201">
        <v>0</v>
      </c>
      <c r="AN222" s="145">
        <v>24</v>
      </c>
      <c r="AO222" s="145">
        <v>12</v>
      </c>
      <c r="AP222" s="146">
        <v>12</v>
      </c>
      <c r="AQ222" s="146" t="s">
        <v>803</v>
      </c>
      <c r="AR222" s="146" t="s">
        <v>803</v>
      </c>
      <c r="AS222" s="465">
        <v>33.6</v>
      </c>
      <c r="AT222" s="253">
        <v>6.2</v>
      </c>
      <c r="AU222" s="1599">
        <v>38.4</v>
      </c>
      <c r="AV222" s="253">
        <v>11.7</v>
      </c>
      <c r="AW222" s="253" t="s">
        <v>1874</v>
      </c>
      <c r="AX222" s="146"/>
      <c r="AY222" s="146"/>
      <c r="AZ222" s="756" t="s">
        <v>1874</v>
      </c>
      <c r="BA222" s="146" t="s">
        <v>24</v>
      </c>
      <c r="BB222" s="146" t="s">
        <v>24</v>
      </c>
      <c r="BC222" s="146" t="s">
        <v>2423</v>
      </c>
      <c r="BD222" s="756" t="s">
        <v>7521</v>
      </c>
      <c r="BE222" s="187">
        <v>0</v>
      </c>
      <c r="BF222" s="146" t="s">
        <v>2605</v>
      </c>
      <c r="BG222" s="146" t="s">
        <v>1875</v>
      </c>
      <c r="BH222" s="592"/>
      <c r="BI222" s="592"/>
      <c r="BJ222" s="147">
        <v>1</v>
      </c>
      <c r="BK222" s="147"/>
      <c r="BL222" s="147"/>
      <c r="BM222" s="147"/>
      <c r="BN222" s="147"/>
      <c r="BO222" s="147"/>
      <c r="BP222" s="147"/>
      <c r="BQ222" s="147"/>
      <c r="BR222" s="147"/>
      <c r="BS222" s="147"/>
      <c r="BT222" s="147"/>
      <c r="BU222" s="147"/>
      <c r="BV222" s="147"/>
      <c r="BW222" s="593" t="s">
        <v>2530</v>
      </c>
      <c r="BX222" s="148" t="s">
        <v>6596</v>
      </c>
      <c r="BY222" s="796" t="s">
        <v>7615</v>
      </c>
      <c r="BZ222" s="793" t="s">
        <v>7610</v>
      </c>
      <c r="CA222" s="783">
        <v>4</v>
      </c>
      <c r="CB222" s="765" t="s">
        <v>7556</v>
      </c>
      <c r="CC222" s="783" t="s">
        <v>7380</v>
      </c>
      <c r="CD222" s="465" t="s">
        <v>1876</v>
      </c>
      <c r="CE222" s="253">
        <v>2</v>
      </c>
      <c r="CF222" s="785"/>
      <c r="CG222" s="636" t="s">
        <v>7463</v>
      </c>
      <c r="CH222" s="760" t="s">
        <v>1488</v>
      </c>
      <c r="CI222" s="253" t="s">
        <v>24</v>
      </c>
      <c r="CJ222" s="253">
        <v>1</v>
      </c>
      <c r="CK222" s="150" t="s">
        <v>2400</v>
      </c>
      <c r="CL222" s="150" t="s">
        <v>6638</v>
      </c>
      <c r="CM222" s="258" t="s">
        <v>2531</v>
      </c>
      <c r="CN222" s="257">
        <v>0</v>
      </c>
      <c r="CO222" s="829">
        <v>24</v>
      </c>
      <c r="CP222" s="829">
        <v>1</v>
      </c>
      <c r="CQ222" s="829">
        <v>6</v>
      </c>
      <c r="CR222" s="829">
        <v>1</v>
      </c>
      <c r="CS222" s="829">
        <v>-1</v>
      </c>
      <c r="CT222" s="966" t="s">
        <v>7837</v>
      </c>
      <c r="CU222" s="1288" t="s">
        <v>8103</v>
      </c>
      <c r="CV222" s="1294">
        <v>13</v>
      </c>
      <c r="CW222" s="1294">
        <v>12</v>
      </c>
      <c r="CX222" s="151" t="s">
        <v>2463</v>
      </c>
      <c r="CY222" s="150">
        <f>AVERAGE(189.84,229.23)</f>
        <v>209.535</v>
      </c>
      <c r="CZ222" s="150">
        <f>STDEV(189.84,229.23)</f>
        <v>27.852936110938099</v>
      </c>
      <c r="DA222" s="150" t="s">
        <v>24</v>
      </c>
      <c r="DB222" s="468" t="s">
        <v>2461</v>
      </c>
      <c r="DC222" s="266">
        <f>AVERAGE(174.011,132.523)</f>
        <v>153.267</v>
      </c>
      <c r="DD222" s="150">
        <f>STDEV(174.011,132.523)</f>
        <v>29.336446137867533</v>
      </c>
      <c r="DE222" s="150" t="s">
        <v>24</v>
      </c>
      <c r="DF222" s="549" t="s">
        <v>2535</v>
      </c>
      <c r="DG222" s="295" t="s">
        <v>2464</v>
      </c>
      <c r="DH222" s="1178"/>
      <c r="DI222" s="500"/>
      <c r="DJ222" s="1164"/>
      <c r="DK222" s="500"/>
      <c r="DL222" s="1166"/>
      <c r="DM222" s="122"/>
      <c r="DN222" s="1164"/>
      <c r="DO222" s="122"/>
      <c r="DP222" s="290"/>
      <c r="DQ222" s="291"/>
      <c r="DR222" s="1168"/>
      <c r="DS222" s="1191"/>
      <c r="DT222" s="1166"/>
      <c r="DU222" s="500"/>
      <c r="DV222" s="1164"/>
      <c r="DW222" s="500"/>
      <c r="DX222" s="1166"/>
      <c r="DY222" s="500"/>
      <c r="DZ222" s="1164"/>
      <c r="EA222" s="500"/>
      <c r="EB222" s="311"/>
      <c r="EC222" s="313"/>
      <c r="ED222" s="1166"/>
      <c r="EE222" s="500"/>
      <c r="EF222" s="1164"/>
      <c r="EG222" s="500"/>
      <c r="EH222" s="1166"/>
      <c r="EI222" s="122"/>
      <c r="EJ222" s="1164"/>
      <c r="EK222" s="122"/>
      <c r="EL222" s="311"/>
      <c r="EM222" s="313"/>
      <c r="EN222" s="1167"/>
      <c r="EO222" s="1165"/>
      <c r="EP222" s="500"/>
      <c r="EQ222" s="500"/>
      <c r="ER222" s="500"/>
      <c r="ES222" s="500"/>
      <c r="ET222" s="1153"/>
      <c r="EU222" s="500"/>
      <c r="EV222" s="500"/>
      <c r="EW222" s="500"/>
      <c r="EX222" s="665"/>
      <c r="EY222" s="665"/>
      <c r="EZ222" s="1166"/>
      <c r="FA222" s="1164"/>
      <c r="FB222" s="1164"/>
      <c r="FC222" s="1164"/>
      <c r="FD222" s="1166"/>
      <c r="FE222" s="1164"/>
      <c r="FF222" s="1164"/>
      <c r="FG222" s="1164"/>
      <c r="FH222" s="313"/>
      <c r="FI222" s="313"/>
      <c r="FJ222" s="1165"/>
    </row>
    <row r="223" spans="1:166" s="717" customFormat="1" ht="15" customHeight="1">
      <c r="A223" s="118" t="s">
        <v>153</v>
      </c>
      <c r="B223" s="614">
        <v>17</v>
      </c>
      <c r="C223" s="614"/>
      <c r="D223" s="614"/>
      <c r="E223" s="605" t="s">
        <v>1955</v>
      </c>
      <c r="F223" s="140" t="s">
        <v>2177</v>
      </c>
      <c r="G223" s="141">
        <v>1998</v>
      </c>
      <c r="H223" s="118">
        <v>9821567</v>
      </c>
      <c r="I223" s="118">
        <v>1</v>
      </c>
      <c r="J223" s="118"/>
      <c r="K223" s="118"/>
      <c r="L223" s="118">
        <v>1</v>
      </c>
      <c r="M223" s="118"/>
      <c r="N223" s="118">
        <v>1</v>
      </c>
      <c r="O223" s="142">
        <v>1</v>
      </c>
      <c r="P223" s="118" t="s">
        <v>468</v>
      </c>
      <c r="Q223" s="118" t="s">
        <v>1162</v>
      </c>
      <c r="R223" s="118" t="s">
        <v>25</v>
      </c>
      <c r="S223" s="118">
        <v>1</v>
      </c>
      <c r="T223" s="118"/>
      <c r="U223" s="118"/>
      <c r="V223" s="118"/>
      <c r="W223" s="118" t="s">
        <v>11</v>
      </c>
      <c r="X223" s="118" t="s">
        <v>24</v>
      </c>
      <c r="Y223" s="118" t="s">
        <v>13</v>
      </c>
      <c r="Z223" s="118"/>
      <c r="AA223" s="118"/>
      <c r="AB223" s="118"/>
      <c r="AC223" s="145"/>
      <c r="AD223" s="573">
        <v>1</v>
      </c>
      <c r="AE223" s="573">
        <v>2</v>
      </c>
      <c r="AF223" s="159">
        <v>1</v>
      </c>
      <c r="AG223" s="353" t="s">
        <v>8162</v>
      </c>
      <c r="AH223" s="887" t="s">
        <v>7806</v>
      </c>
      <c r="AI223" s="122">
        <v>0</v>
      </c>
      <c r="AJ223" s="485"/>
      <c r="AK223" s="204" t="s">
        <v>2909</v>
      </c>
      <c r="AL223" s="192">
        <v>1</v>
      </c>
      <c r="AM223" s="205">
        <v>0</v>
      </c>
      <c r="AN223" s="121">
        <f>Table66[[#This Row],[Data_Subjects_n_ptsd]]+Table66[[#This Row],[Data_Subjects_n_control]]</f>
        <v>48</v>
      </c>
      <c r="AO223" s="121">
        <f>34</f>
        <v>34</v>
      </c>
      <c r="AP223" s="121">
        <v>14</v>
      </c>
      <c r="AQ223" s="121" t="s">
        <v>24</v>
      </c>
      <c r="AR223" s="121" t="s">
        <v>24</v>
      </c>
      <c r="AS223" s="134">
        <v>46</v>
      </c>
      <c r="AT223" s="134">
        <v>3.4</v>
      </c>
      <c r="AU223" s="426">
        <v>44.5</v>
      </c>
      <c r="AV223" s="134">
        <v>3.9</v>
      </c>
      <c r="AW223" s="134" t="s">
        <v>1874</v>
      </c>
      <c r="AX223" s="121"/>
      <c r="AY223" s="121"/>
      <c r="AZ223" s="754" t="s">
        <v>1874</v>
      </c>
      <c r="BA223" s="121" t="s">
        <v>24</v>
      </c>
      <c r="BB223" s="121" t="s">
        <v>24</v>
      </c>
      <c r="BC223" s="121" t="s">
        <v>7804</v>
      </c>
      <c r="BD223" s="754" t="s">
        <v>7522</v>
      </c>
      <c r="BE223" s="187">
        <v>1</v>
      </c>
      <c r="BF223" s="122" t="s">
        <v>2875</v>
      </c>
      <c r="BG223" s="122" t="s">
        <v>2876</v>
      </c>
      <c r="BH223" s="588"/>
      <c r="BI223" s="588"/>
      <c r="BJ223" s="161">
        <v>1</v>
      </c>
      <c r="BK223" s="161"/>
      <c r="BL223" s="161"/>
      <c r="BM223" s="161"/>
      <c r="BN223" s="161"/>
      <c r="BO223" s="161"/>
      <c r="BP223" s="161"/>
      <c r="BQ223" s="161"/>
      <c r="BR223" s="161"/>
      <c r="BS223" s="161"/>
      <c r="BT223" s="161"/>
      <c r="BU223" s="161"/>
      <c r="BV223" s="161"/>
      <c r="BW223" s="596" t="s">
        <v>2880</v>
      </c>
      <c r="BX223" s="162" t="s">
        <v>6596</v>
      </c>
      <c r="BY223" s="797" t="s">
        <v>7615</v>
      </c>
      <c r="BZ223" s="790" t="s">
        <v>7610</v>
      </c>
      <c r="CA223" s="765">
        <v>4</v>
      </c>
      <c r="CB223" s="765" t="s">
        <v>7556</v>
      </c>
      <c r="CC223" s="765" t="s">
        <v>7807</v>
      </c>
      <c r="CD223" s="150" t="s">
        <v>1876</v>
      </c>
      <c r="CE223" s="150">
        <v>3</v>
      </c>
      <c r="CF223" s="400"/>
      <c r="CG223" s="150" t="s">
        <v>2877</v>
      </c>
      <c r="CH223" s="753" t="s">
        <v>1488</v>
      </c>
      <c r="CI223" s="150" t="s">
        <v>24</v>
      </c>
      <c r="CJ223" s="150"/>
      <c r="CK223" s="150" t="s">
        <v>2878</v>
      </c>
      <c r="CL223" s="150" t="s">
        <v>6638</v>
      </c>
      <c r="CM223" s="258" t="s">
        <v>2908</v>
      </c>
      <c r="CN223" s="257">
        <v>0</v>
      </c>
      <c r="CO223" s="830">
        <v>25</v>
      </c>
      <c r="CP223" s="829">
        <v>1</v>
      </c>
      <c r="CQ223" s="829">
        <v>4</v>
      </c>
      <c r="CR223" s="829">
        <v>1</v>
      </c>
      <c r="CS223" s="829">
        <v>1</v>
      </c>
      <c r="CT223" s="968" t="s">
        <v>7836</v>
      </c>
      <c r="CU223" s="1291" t="s">
        <v>8102</v>
      </c>
      <c r="CV223" s="1295">
        <v>14</v>
      </c>
      <c r="CW223" s="1295">
        <v>13</v>
      </c>
      <c r="CX223" s="151" t="s">
        <v>2897</v>
      </c>
      <c r="CY223" s="150">
        <v>412.01799999999997</v>
      </c>
      <c r="CZ223" s="855" t="s">
        <v>24</v>
      </c>
      <c r="DA223" s="855" t="s">
        <v>24</v>
      </c>
      <c r="DB223" s="468" t="s">
        <v>2893</v>
      </c>
      <c r="DC223" s="266">
        <v>245.863</v>
      </c>
      <c r="DD223" s="855" t="s">
        <v>24</v>
      </c>
      <c r="DE223" s="855" t="s">
        <v>24</v>
      </c>
      <c r="DF223" s="280" t="s">
        <v>2907</v>
      </c>
      <c r="DG223" s="295" t="s">
        <v>24</v>
      </c>
      <c r="DH223" s="1179"/>
      <c r="DI223" s="417"/>
      <c r="DJ223" s="1169"/>
      <c r="DK223" s="417"/>
      <c r="DL223" s="1169"/>
      <c r="DM223" s="1169"/>
      <c r="DN223" s="1169"/>
      <c r="DO223" s="1169"/>
      <c r="DP223" s="290"/>
      <c r="DQ223" s="291"/>
      <c r="DR223" s="1168"/>
      <c r="DS223" s="865"/>
      <c r="DT223" s="1171"/>
      <c r="DU223" s="417"/>
      <c r="DV223" s="1169"/>
      <c r="DW223" s="417"/>
      <c r="DX223" s="1169"/>
      <c r="DY223" s="1169"/>
      <c r="DZ223" s="1169"/>
      <c r="EA223" s="1169"/>
      <c r="EB223" s="311"/>
      <c r="EC223" s="313"/>
      <c r="ED223" s="1166"/>
      <c r="EE223" s="500"/>
      <c r="EF223" s="1164"/>
      <c r="EG223" s="500"/>
      <c r="EH223" s="1169"/>
      <c r="EI223" s="1169"/>
      <c r="EJ223" s="1169"/>
      <c r="EK223" s="1169"/>
      <c r="EL223" s="311"/>
      <c r="EM223" s="313"/>
      <c r="EN223" s="1167"/>
      <c r="EO223" s="1165"/>
      <c r="EP223" s="417"/>
      <c r="EQ223" s="417"/>
      <c r="ER223" s="417"/>
      <c r="ES223" s="417"/>
      <c r="ET223" s="417"/>
      <c r="EU223" s="417"/>
      <c r="EV223" s="417"/>
      <c r="EW223" s="417"/>
      <c r="EX223" s="469"/>
      <c r="EY223" s="469"/>
      <c r="EZ223" s="1169"/>
      <c r="FA223" s="1169"/>
      <c r="FB223" s="1169"/>
      <c r="FC223" s="1169"/>
      <c r="FD223" s="1169"/>
      <c r="FE223" s="1169"/>
      <c r="FF223" s="1169"/>
      <c r="FG223" s="1169"/>
      <c r="FH223" s="312"/>
      <c r="FI223" s="312"/>
      <c r="FJ223" s="1170"/>
    </row>
    <row r="224" spans="1:166" s="717" customFormat="1" ht="15" customHeight="1">
      <c r="A224" s="118" t="s">
        <v>153</v>
      </c>
      <c r="B224" s="614">
        <v>17</v>
      </c>
      <c r="C224" s="614"/>
      <c r="D224" s="614"/>
      <c r="E224" s="605" t="s">
        <v>1955</v>
      </c>
      <c r="F224" s="140" t="s">
        <v>2177</v>
      </c>
      <c r="G224" s="141">
        <v>1998</v>
      </c>
      <c r="H224" s="118">
        <v>9821567</v>
      </c>
      <c r="I224" s="118">
        <v>1</v>
      </c>
      <c r="J224" s="118"/>
      <c r="K224" s="118"/>
      <c r="L224" s="118">
        <v>1</v>
      </c>
      <c r="M224" s="118"/>
      <c r="N224" s="118">
        <v>1</v>
      </c>
      <c r="O224" s="142">
        <v>1</v>
      </c>
      <c r="P224" s="118" t="s">
        <v>468</v>
      </c>
      <c r="Q224" s="118" t="s">
        <v>1162</v>
      </c>
      <c r="R224" s="118" t="s">
        <v>25</v>
      </c>
      <c r="S224" s="118">
        <v>1</v>
      </c>
      <c r="T224" s="118"/>
      <c r="U224" s="118"/>
      <c r="V224" s="118"/>
      <c r="W224" s="118" t="s">
        <v>11</v>
      </c>
      <c r="X224" s="118" t="s">
        <v>24</v>
      </c>
      <c r="Y224" s="118" t="s">
        <v>13</v>
      </c>
      <c r="Z224" s="118"/>
      <c r="AA224" s="118"/>
      <c r="AB224" s="118"/>
      <c r="AC224" s="145"/>
      <c r="AD224" s="573">
        <v>1</v>
      </c>
      <c r="AE224" s="573">
        <v>2</v>
      </c>
      <c r="AF224" s="159">
        <v>1</v>
      </c>
      <c r="AG224" s="353" t="s">
        <v>8162</v>
      </c>
      <c r="AH224" s="887" t="s">
        <v>7806</v>
      </c>
      <c r="AI224" s="122">
        <v>0</v>
      </c>
      <c r="AJ224" s="485"/>
      <c r="AK224" s="204" t="s">
        <v>2909</v>
      </c>
      <c r="AL224" s="192">
        <v>1</v>
      </c>
      <c r="AM224" s="205">
        <v>0</v>
      </c>
      <c r="AN224" s="121">
        <f>Table66[[#This Row],[Data_Subjects_n_ptsd]]+Table66[[#This Row],[Data_Subjects_n_control]]</f>
        <v>48</v>
      </c>
      <c r="AO224" s="121">
        <f>34</f>
        <v>34</v>
      </c>
      <c r="AP224" s="121">
        <v>14</v>
      </c>
      <c r="AQ224" s="121" t="s">
        <v>24</v>
      </c>
      <c r="AR224" s="121" t="s">
        <v>24</v>
      </c>
      <c r="AS224" s="134">
        <v>46</v>
      </c>
      <c r="AT224" s="134">
        <v>3.4</v>
      </c>
      <c r="AU224" s="426">
        <v>44.5</v>
      </c>
      <c r="AV224" s="134">
        <v>3.9</v>
      </c>
      <c r="AW224" s="134" t="s">
        <v>1874</v>
      </c>
      <c r="AX224" s="121"/>
      <c r="AY224" s="121"/>
      <c r="AZ224" s="754" t="s">
        <v>1874</v>
      </c>
      <c r="BA224" s="121" t="s">
        <v>24</v>
      </c>
      <c r="BB224" s="121" t="s">
        <v>24</v>
      </c>
      <c r="BC224" s="121" t="s">
        <v>7804</v>
      </c>
      <c r="BD224" s="754" t="s">
        <v>7522</v>
      </c>
      <c r="BE224" s="187">
        <v>1</v>
      </c>
      <c r="BF224" s="122" t="s">
        <v>2875</v>
      </c>
      <c r="BG224" s="122" t="s">
        <v>2876</v>
      </c>
      <c r="BH224" s="588"/>
      <c r="BI224" s="588"/>
      <c r="BJ224" s="161">
        <v>1</v>
      </c>
      <c r="BK224" s="161"/>
      <c r="BL224" s="161"/>
      <c r="BM224" s="161"/>
      <c r="BN224" s="161"/>
      <c r="BO224" s="161"/>
      <c r="BP224" s="161"/>
      <c r="BQ224" s="161"/>
      <c r="BR224" s="161"/>
      <c r="BS224" s="161"/>
      <c r="BT224" s="161"/>
      <c r="BU224" s="161"/>
      <c r="BV224" s="161"/>
      <c r="BW224" s="596" t="s">
        <v>2880</v>
      </c>
      <c r="BX224" s="162" t="s">
        <v>6596</v>
      </c>
      <c r="BY224" s="797" t="s">
        <v>7615</v>
      </c>
      <c r="BZ224" s="790" t="s">
        <v>7610</v>
      </c>
      <c r="CA224" s="765">
        <v>4</v>
      </c>
      <c r="CB224" s="765" t="s">
        <v>7556</v>
      </c>
      <c r="CC224" s="765" t="s">
        <v>7808</v>
      </c>
      <c r="CD224" s="150" t="s">
        <v>1876</v>
      </c>
      <c r="CE224" s="150">
        <v>3</v>
      </c>
      <c r="CF224" s="400"/>
      <c r="CG224" s="150" t="s">
        <v>2877</v>
      </c>
      <c r="CH224" s="753" t="s">
        <v>1488</v>
      </c>
      <c r="CI224" s="150" t="s">
        <v>24</v>
      </c>
      <c r="CJ224" s="150"/>
      <c r="CK224" s="150" t="s">
        <v>2878</v>
      </c>
      <c r="CL224" s="150" t="s">
        <v>6638</v>
      </c>
      <c r="CM224" s="258" t="s">
        <v>2908</v>
      </c>
      <c r="CN224" s="257">
        <v>0</v>
      </c>
      <c r="CO224" s="830">
        <v>25</v>
      </c>
      <c r="CP224" s="829">
        <v>1</v>
      </c>
      <c r="CQ224" s="829">
        <v>6</v>
      </c>
      <c r="CR224" s="829">
        <v>1</v>
      </c>
      <c r="CS224" s="829">
        <v>-1</v>
      </c>
      <c r="CT224" s="968" t="s">
        <v>7837</v>
      </c>
      <c r="CU224" s="1291" t="s">
        <v>8102</v>
      </c>
      <c r="CV224" s="1295">
        <v>14</v>
      </c>
      <c r="CW224" s="1295">
        <v>13</v>
      </c>
      <c r="CX224" s="151" t="s">
        <v>2898</v>
      </c>
      <c r="CY224" s="150">
        <v>280.38200000000001</v>
      </c>
      <c r="CZ224" s="855" t="s">
        <v>24</v>
      </c>
      <c r="DA224" s="855" t="s">
        <v>24</v>
      </c>
      <c r="DB224" s="468" t="s">
        <v>2894</v>
      </c>
      <c r="DC224" s="266">
        <v>161.15100000000001</v>
      </c>
      <c r="DD224" s="855" t="s">
        <v>24</v>
      </c>
      <c r="DE224" s="855" t="s">
        <v>24</v>
      </c>
      <c r="DF224" s="280" t="s">
        <v>2907</v>
      </c>
      <c r="DG224" s="295"/>
      <c r="DH224" s="1179"/>
      <c r="DI224" s="417"/>
      <c r="DJ224" s="1169"/>
      <c r="DK224" s="417"/>
      <c r="DL224" s="1169"/>
      <c r="DM224" s="121"/>
      <c r="DN224" s="1169"/>
      <c r="DO224" s="121"/>
      <c r="DP224" s="545"/>
      <c r="DQ224" s="545"/>
      <c r="DR224" s="1168"/>
      <c r="DS224" s="865"/>
      <c r="DT224" s="1171"/>
      <c r="DU224" s="417"/>
      <c r="DV224" s="1169"/>
      <c r="DW224" s="417"/>
      <c r="DX224" s="1169"/>
      <c r="DY224" s="417"/>
      <c r="DZ224" s="313"/>
      <c r="EA224" s="665"/>
      <c r="EB224" s="304"/>
      <c r="EC224" s="313"/>
      <c r="ED224" s="1166"/>
      <c r="EE224" s="500"/>
      <c r="EF224" s="1164"/>
      <c r="EG224" s="500"/>
      <c r="EH224" s="1166"/>
      <c r="EI224" s="1164"/>
      <c r="EJ224" s="1164"/>
      <c r="EK224" s="1164"/>
      <c r="EL224" s="311"/>
      <c r="EM224" s="313"/>
      <c r="EN224" s="1167"/>
      <c r="EO224" s="1165"/>
      <c r="EP224" s="1153"/>
      <c r="EQ224" s="500"/>
      <c r="ER224" s="500"/>
      <c r="ES224" s="500"/>
      <c r="ET224" s="1153"/>
      <c r="EU224" s="500"/>
      <c r="EV224" s="500"/>
      <c r="EW224" s="500"/>
      <c r="EX224" s="665"/>
      <c r="EY224" s="665"/>
      <c r="EZ224" s="1166"/>
      <c r="FA224" s="1164"/>
      <c r="FB224" s="1164"/>
      <c r="FC224" s="1164"/>
      <c r="FD224" s="1166"/>
      <c r="FE224" s="1164"/>
      <c r="FF224" s="1164"/>
      <c r="FG224" s="1164"/>
      <c r="FH224" s="313"/>
      <c r="FI224" s="313"/>
      <c r="FJ224" s="1167"/>
    </row>
    <row r="225" spans="1:166" ht="15" hidden="1" customHeight="1">
      <c r="A225" s="1538" t="s">
        <v>153</v>
      </c>
      <c r="B225" s="1539">
        <v>17</v>
      </c>
      <c r="C225" s="1539"/>
      <c r="D225" s="1539"/>
      <c r="E225" s="1540" t="s">
        <v>1955</v>
      </c>
      <c r="F225" s="1541" t="s">
        <v>2177</v>
      </c>
      <c r="G225" s="1542">
        <v>1998</v>
      </c>
      <c r="H225" s="1538">
        <v>9821567</v>
      </c>
      <c r="I225" s="1538">
        <v>1</v>
      </c>
      <c r="J225" s="1538"/>
      <c r="K225" s="1538"/>
      <c r="L225" s="1538">
        <v>1</v>
      </c>
      <c r="M225" s="1538"/>
      <c r="N225" s="1538">
        <v>1</v>
      </c>
      <c r="O225" s="1538">
        <v>1</v>
      </c>
      <c r="P225" s="1538" t="s">
        <v>468</v>
      </c>
      <c r="Q225" s="1538" t="s">
        <v>1162</v>
      </c>
      <c r="R225" s="1538" t="s">
        <v>25</v>
      </c>
      <c r="S225" s="1538">
        <v>1</v>
      </c>
      <c r="T225" s="1538"/>
      <c r="U225" s="1538"/>
      <c r="V225" s="1538"/>
      <c r="W225" s="1538" t="s">
        <v>11</v>
      </c>
      <c r="X225" s="1538" t="s">
        <v>24</v>
      </c>
      <c r="Y225" s="1538" t="s">
        <v>13</v>
      </c>
      <c r="Z225" s="1538"/>
      <c r="AA225" s="1538"/>
      <c r="AB225" s="1538"/>
      <c r="AC225" s="1543"/>
      <c r="AD225" s="1543">
        <v>1</v>
      </c>
      <c r="AE225" s="1543">
        <v>2</v>
      </c>
      <c r="AF225" s="1544">
        <v>0</v>
      </c>
      <c r="AG225" s="1545" t="s">
        <v>8107</v>
      </c>
      <c r="AH225" s="1543" t="s">
        <v>7805</v>
      </c>
      <c r="AI225" s="1543">
        <v>2</v>
      </c>
      <c r="AJ225" s="1543"/>
      <c r="AK225" s="1546" t="s">
        <v>2881</v>
      </c>
      <c r="AL225" s="1541">
        <v>1</v>
      </c>
      <c r="AM225" s="1547">
        <v>0</v>
      </c>
      <c r="AN225" s="1543">
        <f>Table66[[#This Row],[Data_Subjects_n_ptsd]]+Table66[[#This Row],[Data_Subjects_n_control]]</f>
        <v>34</v>
      </c>
      <c r="AO225" s="1543">
        <f>34/2</f>
        <v>17</v>
      </c>
      <c r="AP225" s="1543">
        <v>17</v>
      </c>
      <c r="AQ225" s="1543" t="s">
        <v>24</v>
      </c>
      <c r="AR225" s="1543" t="s">
        <v>24</v>
      </c>
      <c r="AS225" s="1543">
        <v>46</v>
      </c>
      <c r="AT225" s="1543">
        <v>3.4</v>
      </c>
      <c r="AU225" s="1548">
        <v>42.2</v>
      </c>
      <c r="AV225" s="1543">
        <v>4.8</v>
      </c>
      <c r="AW225" s="1543" t="s">
        <v>1874</v>
      </c>
      <c r="AX225" s="1543"/>
      <c r="AY225" s="1543"/>
      <c r="AZ225" s="1543" t="s">
        <v>1874</v>
      </c>
      <c r="BA225" s="1543" t="s">
        <v>24</v>
      </c>
      <c r="BB225" s="1543" t="s">
        <v>24</v>
      </c>
      <c r="BC225" s="1543" t="s">
        <v>2874</v>
      </c>
      <c r="BD225" s="1543" t="s">
        <v>7521</v>
      </c>
      <c r="BE225" s="1543"/>
      <c r="BF225" s="1543" t="s">
        <v>2875</v>
      </c>
      <c r="BG225" s="1543" t="s">
        <v>2876</v>
      </c>
      <c r="BH225" s="1541"/>
      <c r="BI225" s="1541"/>
      <c r="BJ225" s="1549">
        <v>1</v>
      </c>
      <c r="BK225" s="1549"/>
      <c r="BL225" s="1549"/>
      <c r="BM225" s="1549"/>
      <c r="BN225" s="1549"/>
      <c r="BO225" s="1549"/>
      <c r="BP225" s="1549"/>
      <c r="BQ225" s="1549"/>
      <c r="BR225" s="1549"/>
      <c r="BS225" s="1549"/>
      <c r="BT225" s="1549"/>
      <c r="BU225" s="1549"/>
      <c r="BV225" s="1549"/>
      <c r="BW225" s="1549" t="s">
        <v>2879</v>
      </c>
      <c r="BX225" s="1550" t="s">
        <v>6598</v>
      </c>
      <c r="BY225" s="1550" t="s">
        <v>7615</v>
      </c>
      <c r="BZ225" s="1550" t="s">
        <v>7818</v>
      </c>
      <c r="CA225" s="1549">
        <v>4</v>
      </c>
      <c r="CB225" s="1549" t="s">
        <v>7556</v>
      </c>
      <c r="CC225" s="1549" t="s">
        <v>7384</v>
      </c>
      <c r="CD225" s="1543" t="s">
        <v>1876</v>
      </c>
      <c r="CE225" s="1543">
        <v>3</v>
      </c>
      <c r="CF225" s="1543"/>
      <c r="CG225" s="1543" t="s">
        <v>7462</v>
      </c>
      <c r="CH225" s="1543" t="s">
        <v>1488</v>
      </c>
      <c r="CI225" s="1543" t="s">
        <v>24</v>
      </c>
      <c r="CJ225" s="1543">
        <v>1</v>
      </c>
      <c r="CK225" s="1543" t="s">
        <v>2878</v>
      </c>
      <c r="CL225" s="1543" t="s">
        <v>6638</v>
      </c>
      <c r="CM225" s="1551" t="s">
        <v>2906</v>
      </c>
      <c r="CN225" s="1552" t="s">
        <v>6627</v>
      </c>
      <c r="CO225" s="1552"/>
      <c r="CP225" s="1552"/>
      <c r="CQ225" s="1552"/>
      <c r="CR225" s="1552"/>
      <c r="CS225" s="1552"/>
      <c r="CT225" s="1552"/>
      <c r="CU225" s="1552"/>
      <c r="CV225" s="1335"/>
      <c r="CW225" s="1335"/>
      <c r="CX225" s="1550" t="s">
        <v>7809</v>
      </c>
      <c r="CY225" s="1543">
        <v>175.476</v>
      </c>
      <c r="CZ225" s="1543" t="s">
        <v>24</v>
      </c>
      <c r="DA225" s="1543" t="s">
        <v>24</v>
      </c>
      <c r="DB225" s="1559" t="s">
        <v>7811</v>
      </c>
      <c r="DC225" s="1538">
        <v>174.70599999999999</v>
      </c>
      <c r="DD225" s="1543" t="s">
        <v>24</v>
      </c>
      <c r="DE225" s="1543" t="s">
        <v>24</v>
      </c>
      <c r="DF225" s="1553" t="s">
        <v>7823</v>
      </c>
      <c r="DG225" s="1541" t="s">
        <v>24</v>
      </c>
      <c r="DH225" s="1558"/>
      <c r="DI225" s="1538"/>
      <c r="DJ225" s="1554"/>
      <c r="DK225" s="1538"/>
      <c r="DL225" s="1555"/>
      <c r="DM225" s="1554"/>
      <c r="DN225" s="1554"/>
      <c r="DO225" s="1554"/>
      <c r="DP225" s="1551"/>
      <c r="DQ225" s="1541"/>
      <c r="DR225" s="1556"/>
      <c r="DS225" s="1555"/>
      <c r="DT225" s="1555"/>
      <c r="DU225" s="1538"/>
      <c r="DV225" s="1554"/>
      <c r="DW225" s="1538"/>
      <c r="DX225" s="1555"/>
      <c r="DY225" s="1554"/>
      <c r="DZ225" s="1554"/>
      <c r="EA225" s="1554"/>
      <c r="EB225" s="1556"/>
      <c r="EC225" s="1554"/>
      <c r="ED225" s="1555"/>
      <c r="EE225" s="1538"/>
      <c r="EF225" s="1554"/>
      <c r="EG225" s="1538"/>
      <c r="EH225" s="1555"/>
      <c r="EI225" s="1554"/>
      <c r="EJ225" s="1554"/>
      <c r="EK225" s="1554"/>
      <c r="EL225" s="1556"/>
      <c r="EM225" s="1554"/>
      <c r="EN225" s="1557"/>
      <c r="EO225" s="1554"/>
      <c r="EP225" s="1559"/>
      <c r="EQ225" s="1538"/>
      <c r="ER225" s="1538"/>
      <c r="ES225" s="1538"/>
      <c r="ET225" s="1559"/>
      <c r="EU225" s="1538"/>
      <c r="EV225" s="1538"/>
      <c r="EW225" s="1538"/>
      <c r="EX225" s="1538"/>
      <c r="EY225" s="1538"/>
      <c r="EZ225" s="1555"/>
      <c r="FA225" s="1554"/>
      <c r="FB225" s="1554"/>
      <c r="FC225" s="1554"/>
      <c r="FD225" s="1555"/>
      <c r="FE225" s="1554"/>
      <c r="FF225" s="1554"/>
      <c r="FG225" s="1554"/>
      <c r="FH225" s="1554"/>
      <c r="FI225" s="1554"/>
      <c r="FJ225" s="1554"/>
    </row>
    <row r="226" spans="1:166" ht="15" hidden="1" customHeight="1">
      <c r="A226" s="1538" t="s">
        <v>153</v>
      </c>
      <c r="B226" s="1539">
        <v>17</v>
      </c>
      <c r="C226" s="1539"/>
      <c r="D226" s="1539"/>
      <c r="E226" s="1540" t="s">
        <v>1955</v>
      </c>
      <c r="F226" s="1541" t="s">
        <v>2177</v>
      </c>
      <c r="G226" s="1542">
        <v>1998</v>
      </c>
      <c r="H226" s="1538">
        <v>9821567</v>
      </c>
      <c r="I226" s="1538">
        <v>1</v>
      </c>
      <c r="J226" s="1538"/>
      <c r="K226" s="1538"/>
      <c r="L226" s="1538">
        <v>1</v>
      </c>
      <c r="M226" s="1538"/>
      <c r="N226" s="1538">
        <v>1</v>
      </c>
      <c r="O226" s="1538">
        <v>1</v>
      </c>
      <c r="P226" s="1538" t="s">
        <v>468</v>
      </c>
      <c r="Q226" s="1538" t="s">
        <v>1162</v>
      </c>
      <c r="R226" s="1538" t="s">
        <v>25</v>
      </c>
      <c r="S226" s="1538">
        <v>1</v>
      </c>
      <c r="T226" s="1538"/>
      <c r="U226" s="1538"/>
      <c r="V226" s="1538"/>
      <c r="W226" s="1538" t="s">
        <v>11</v>
      </c>
      <c r="X226" s="1538" t="s">
        <v>24</v>
      </c>
      <c r="Y226" s="1538" t="s">
        <v>13</v>
      </c>
      <c r="Z226" s="1538"/>
      <c r="AA226" s="1538"/>
      <c r="AB226" s="1538"/>
      <c r="AC226" s="1543"/>
      <c r="AD226" s="1543">
        <v>1</v>
      </c>
      <c r="AE226" s="1543">
        <v>2</v>
      </c>
      <c r="AF226" s="1544">
        <v>0</v>
      </c>
      <c r="AG226" s="1545" t="s">
        <v>8107</v>
      </c>
      <c r="AH226" s="1543" t="s">
        <v>7805</v>
      </c>
      <c r="AI226" s="1543">
        <v>2</v>
      </c>
      <c r="AJ226" s="1543"/>
      <c r="AK226" s="1546" t="s">
        <v>2881</v>
      </c>
      <c r="AL226" s="1541">
        <v>1</v>
      </c>
      <c r="AM226" s="1547">
        <v>0</v>
      </c>
      <c r="AN226" s="1543">
        <f>Table66[[#This Row],[Data_Subjects_n_ptsd]]+Table66[[#This Row],[Data_Subjects_n_control]]</f>
        <v>34</v>
      </c>
      <c r="AO226" s="1543">
        <f>34/2</f>
        <v>17</v>
      </c>
      <c r="AP226" s="1543">
        <v>17</v>
      </c>
      <c r="AQ226" s="1543" t="s">
        <v>24</v>
      </c>
      <c r="AR226" s="1543" t="s">
        <v>24</v>
      </c>
      <c r="AS226" s="1543">
        <v>46</v>
      </c>
      <c r="AT226" s="1543">
        <v>3.4</v>
      </c>
      <c r="AU226" s="1548">
        <v>42.2</v>
      </c>
      <c r="AV226" s="1543">
        <v>4.8</v>
      </c>
      <c r="AW226" s="1543" t="s">
        <v>1874</v>
      </c>
      <c r="AX226" s="1543"/>
      <c r="AY226" s="1543"/>
      <c r="AZ226" s="1543" t="s">
        <v>1874</v>
      </c>
      <c r="BA226" s="1543" t="s">
        <v>24</v>
      </c>
      <c r="BB226" s="1543" t="s">
        <v>24</v>
      </c>
      <c r="BC226" s="1543" t="s">
        <v>2874</v>
      </c>
      <c r="BD226" s="1543" t="s">
        <v>7521</v>
      </c>
      <c r="BE226" s="1543"/>
      <c r="BF226" s="1543" t="s">
        <v>2875</v>
      </c>
      <c r="BG226" s="1543" t="s">
        <v>2876</v>
      </c>
      <c r="BH226" s="1541"/>
      <c r="BI226" s="1541"/>
      <c r="BJ226" s="1549">
        <v>1</v>
      </c>
      <c r="BK226" s="1549"/>
      <c r="BL226" s="1549"/>
      <c r="BM226" s="1549"/>
      <c r="BN226" s="1549"/>
      <c r="BO226" s="1549"/>
      <c r="BP226" s="1549"/>
      <c r="BQ226" s="1549"/>
      <c r="BR226" s="1549"/>
      <c r="BS226" s="1549"/>
      <c r="BT226" s="1549"/>
      <c r="BU226" s="1549"/>
      <c r="BV226" s="1549"/>
      <c r="BW226" s="1549" t="s">
        <v>2879</v>
      </c>
      <c r="BX226" s="1550" t="s">
        <v>6598</v>
      </c>
      <c r="BY226" s="1550" t="s">
        <v>7615</v>
      </c>
      <c r="BZ226" s="1550" t="s">
        <v>7818</v>
      </c>
      <c r="CA226" s="1549">
        <v>4</v>
      </c>
      <c r="CB226" s="1549" t="s">
        <v>7556</v>
      </c>
      <c r="CC226" s="1549" t="s">
        <v>7384</v>
      </c>
      <c r="CD226" s="1543" t="s">
        <v>1876</v>
      </c>
      <c r="CE226" s="1543">
        <v>3</v>
      </c>
      <c r="CF226" s="1543"/>
      <c r="CG226" s="1543" t="s">
        <v>7462</v>
      </c>
      <c r="CH226" s="1543" t="s">
        <v>1488</v>
      </c>
      <c r="CI226" s="1543" t="s">
        <v>24</v>
      </c>
      <c r="CJ226" s="1543">
        <v>1</v>
      </c>
      <c r="CK226" s="1543" t="s">
        <v>2878</v>
      </c>
      <c r="CL226" s="1543" t="s">
        <v>6638</v>
      </c>
      <c r="CM226" s="1551" t="s">
        <v>2906</v>
      </c>
      <c r="CN226" s="1552" t="s">
        <v>6627</v>
      </c>
      <c r="CO226" s="1552"/>
      <c r="CP226" s="1552"/>
      <c r="CQ226" s="1552"/>
      <c r="CR226" s="1552"/>
      <c r="CS226" s="1552"/>
      <c r="CT226" s="1552"/>
      <c r="CU226" s="1552"/>
      <c r="CV226" s="1335"/>
      <c r="CW226" s="1335"/>
      <c r="CX226" s="1550" t="s">
        <v>7812</v>
      </c>
      <c r="CY226" s="1543">
        <v>222.495</v>
      </c>
      <c r="CZ226" s="1543" t="s">
        <v>24</v>
      </c>
      <c r="DA226" s="1543" t="s">
        <v>24</v>
      </c>
      <c r="DB226" s="1559" t="s">
        <v>7814</v>
      </c>
      <c r="DC226" s="1538">
        <v>134.80500000000001</v>
      </c>
      <c r="DD226" s="1543" t="s">
        <v>24</v>
      </c>
      <c r="DE226" s="1543" t="s">
        <v>24</v>
      </c>
      <c r="DF226" s="1553" t="s">
        <v>7823</v>
      </c>
      <c r="DG226" s="1541"/>
      <c r="DH226" s="1558"/>
      <c r="DI226" s="1538"/>
      <c r="DJ226" s="1554"/>
      <c r="DK226" s="1538"/>
      <c r="DL226" s="1555"/>
      <c r="DM226" s="1554"/>
      <c r="DN226" s="1554"/>
      <c r="DO226" s="1554"/>
      <c r="DP226" s="1551"/>
      <c r="DQ226" s="1541"/>
      <c r="DR226" s="1556"/>
      <c r="DS226" s="1555"/>
      <c r="DT226" s="1555"/>
      <c r="DU226" s="1538"/>
      <c r="DV226" s="1554"/>
      <c r="DW226" s="1538"/>
      <c r="DX226" s="1554"/>
      <c r="DY226" s="1538"/>
      <c r="DZ226" s="1554"/>
      <c r="EA226" s="1538"/>
      <c r="EB226" s="1556"/>
      <c r="EC226" s="1554"/>
      <c r="ED226" s="1554"/>
      <c r="EE226" s="1538"/>
      <c r="EF226" s="1554"/>
      <c r="EG226" s="1538"/>
      <c r="EH226" s="1555"/>
      <c r="EI226" s="1554"/>
      <c r="EJ226" s="1554"/>
      <c r="EK226" s="1554"/>
      <c r="EL226" s="1556"/>
      <c r="EM226" s="1554"/>
      <c r="EN226" s="1557"/>
      <c r="EO226" s="1554"/>
      <c r="EP226" s="1559"/>
      <c r="EQ226" s="1538"/>
      <c r="ER226" s="1538"/>
      <c r="ES226" s="1538"/>
      <c r="ET226" s="1559"/>
      <c r="EU226" s="1538"/>
      <c r="EV226" s="1538"/>
      <c r="EW226" s="1538"/>
      <c r="EX226" s="1538"/>
      <c r="EY226" s="1538"/>
      <c r="EZ226" s="1550"/>
      <c r="FA226" s="1543"/>
      <c r="FB226" s="1554"/>
      <c r="FC226" s="1554"/>
      <c r="FD226" s="1550"/>
      <c r="FE226" s="1554"/>
      <c r="FF226" s="1554"/>
      <c r="FG226" s="1543"/>
      <c r="FH226" s="1554"/>
      <c r="FI226" s="1554"/>
      <c r="FJ226" s="1554"/>
    </row>
    <row r="227" spans="1:166" ht="15" hidden="1" customHeight="1">
      <c r="A227" s="158" t="s">
        <v>153</v>
      </c>
      <c r="B227" s="1560">
        <v>17</v>
      </c>
      <c r="C227" s="1560"/>
      <c r="D227" s="1560"/>
      <c r="E227" s="1095" t="s">
        <v>1955</v>
      </c>
      <c r="F227" s="711" t="s">
        <v>2177</v>
      </c>
      <c r="G227" s="1096">
        <v>1998</v>
      </c>
      <c r="H227" s="158">
        <v>9821567</v>
      </c>
      <c r="I227" s="158">
        <v>1</v>
      </c>
      <c r="J227" s="158"/>
      <c r="K227" s="158"/>
      <c r="L227" s="158">
        <v>1</v>
      </c>
      <c r="M227" s="158"/>
      <c r="N227" s="158">
        <v>1</v>
      </c>
      <c r="O227" s="158">
        <v>1</v>
      </c>
      <c r="P227" s="158" t="s">
        <v>468</v>
      </c>
      <c r="Q227" s="158" t="s">
        <v>1162</v>
      </c>
      <c r="R227" s="158" t="s">
        <v>25</v>
      </c>
      <c r="S227" s="158">
        <v>1</v>
      </c>
      <c r="T227" s="158"/>
      <c r="U227" s="158"/>
      <c r="V227" s="158"/>
      <c r="W227" s="158" t="s">
        <v>11</v>
      </c>
      <c r="X227" s="158" t="s">
        <v>24</v>
      </c>
      <c r="Y227" s="158" t="s">
        <v>13</v>
      </c>
      <c r="Z227" s="158"/>
      <c r="AA227" s="158"/>
      <c r="AB227" s="158"/>
      <c r="AC227" s="800"/>
      <c r="AD227" s="800">
        <v>1</v>
      </c>
      <c r="AE227" s="800">
        <v>2</v>
      </c>
      <c r="AF227" s="1544">
        <v>0</v>
      </c>
      <c r="AG227" s="1545" t="s">
        <v>8107</v>
      </c>
      <c r="AH227" s="1543" t="s">
        <v>7805</v>
      </c>
      <c r="AI227" s="734">
        <v>2</v>
      </c>
      <c r="AJ227" s="734"/>
      <c r="AK227" s="739" t="s">
        <v>2881</v>
      </c>
      <c r="AL227" s="372">
        <v>1</v>
      </c>
      <c r="AM227" s="724">
        <v>0</v>
      </c>
      <c r="AN227" s="734">
        <f>Table66[[#This Row],[Data_Subjects_n_ptsd]]+Table66[[#This Row],[Data_Subjects_n_control]]</f>
        <v>34</v>
      </c>
      <c r="AO227" s="734">
        <f>34/2</f>
        <v>17</v>
      </c>
      <c r="AP227" s="734">
        <v>17</v>
      </c>
      <c r="AQ227" s="734" t="s">
        <v>24</v>
      </c>
      <c r="AR227" s="734" t="s">
        <v>24</v>
      </c>
      <c r="AS227" s="734">
        <v>46</v>
      </c>
      <c r="AT227" s="734">
        <v>3.4</v>
      </c>
      <c r="AU227" s="782">
        <v>42.2</v>
      </c>
      <c r="AV227" s="734">
        <v>4.8</v>
      </c>
      <c r="AW227" s="734" t="s">
        <v>1874</v>
      </c>
      <c r="AX227" s="734"/>
      <c r="AY227" s="734"/>
      <c r="AZ227" s="734" t="s">
        <v>1874</v>
      </c>
      <c r="BA227" s="734" t="s">
        <v>24</v>
      </c>
      <c r="BB227" s="734" t="s">
        <v>24</v>
      </c>
      <c r="BC227" s="734" t="s">
        <v>2874</v>
      </c>
      <c r="BD227" s="734" t="s">
        <v>7521</v>
      </c>
      <c r="BE227" s="734"/>
      <c r="BF227" s="734" t="s">
        <v>2875</v>
      </c>
      <c r="BG227" s="734" t="s">
        <v>2876</v>
      </c>
      <c r="BH227" s="372"/>
      <c r="BI227" s="372"/>
      <c r="BJ227" s="735">
        <v>1</v>
      </c>
      <c r="BK227" s="735"/>
      <c r="BL227" s="735"/>
      <c r="BM227" s="735"/>
      <c r="BN227" s="735"/>
      <c r="BO227" s="735"/>
      <c r="BP227" s="735"/>
      <c r="BQ227" s="735"/>
      <c r="BR227" s="735"/>
      <c r="BS227" s="735"/>
      <c r="BT227" s="735"/>
      <c r="BU227" s="735"/>
      <c r="BV227" s="735"/>
      <c r="BW227" s="735" t="s">
        <v>2879</v>
      </c>
      <c r="BX227" s="736" t="s">
        <v>6598</v>
      </c>
      <c r="BY227" s="736" t="s">
        <v>7615</v>
      </c>
      <c r="BZ227" s="736" t="s">
        <v>803</v>
      </c>
      <c r="CA227" s="735">
        <v>4</v>
      </c>
      <c r="CB227" s="735" t="s">
        <v>7556</v>
      </c>
      <c r="CC227" s="735" t="s">
        <v>7384</v>
      </c>
      <c r="CD227" s="734" t="s">
        <v>1876</v>
      </c>
      <c r="CE227" s="734">
        <v>3</v>
      </c>
      <c r="CF227" s="734"/>
      <c r="CG227" s="782" t="s">
        <v>7462</v>
      </c>
      <c r="CH227" s="734" t="s">
        <v>1488</v>
      </c>
      <c r="CI227" s="734" t="s">
        <v>24</v>
      </c>
      <c r="CJ227" s="734">
        <v>1</v>
      </c>
      <c r="CK227" s="734" t="s">
        <v>2878</v>
      </c>
      <c r="CL227" s="734" t="s">
        <v>6638</v>
      </c>
      <c r="CM227" s="737" t="s">
        <v>2906</v>
      </c>
      <c r="CN227" s="738" t="s">
        <v>6627</v>
      </c>
      <c r="CO227" s="738"/>
      <c r="CP227" s="738"/>
      <c r="CQ227" s="738"/>
      <c r="CR227" s="738"/>
      <c r="CS227" s="738"/>
      <c r="CT227" s="738"/>
      <c r="CU227" s="738"/>
      <c r="CV227" s="515"/>
      <c r="CW227" s="515"/>
      <c r="CX227" s="736" t="s">
        <v>7815</v>
      </c>
      <c r="CY227" s="734">
        <v>412.01799999999997</v>
      </c>
      <c r="CZ227" s="1543" t="s">
        <v>24</v>
      </c>
      <c r="DA227" s="1543" t="s">
        <v>24</v>
      </c>
      <c r="DB227" s="736" t="s">
        <v>7817</v>
      </c>
      <c r="DC227" s="734">
        <v>196.43899999999999</v>
      </c>
      <c r="DD227" s="1543" t="s">
        <v>24</v>
      </c>
      <c r="DE227" s="1543" t="s">
        <v>24</v>
      </c>
      <c r="DF227" s="734" t="s">
        <v>2905</v>
      </c>
      <c r="DG227" s="372"/>
      <c r="DH227" s="1561"/>
      <c r="DI227" s="742"/>
      <c r="DJ227" s="778"/>
      <c r="DK227" s="742"/>
      <c r="DL227" s="1180"/>
      <c r="DM227" s="742"/>
      <c r="DN227" s="778"/>
      <c r="DO227" s="1136"/>
      <c r="DP227" s="737"/>
      <c r="DQ227" s="372"/>
      <c r="DR227" s="1181"/>
      <c r="DS227" s="1180"/>
      <c r="DT227" s="1180"/>
      <c r="DU227" s="742"/>
      <c r="DV227" s="778"/>
      <c r="DW227" s="742"/>
      <c r="DX227" s="778"/>
      <c r="DY227" s="742"/>
      <c r="DZ227" s="778"/>
      <c r="EA227" s="742"/>
      <c r="EB227" s="1181"/>
      <c r="EC227" s="778"/>
      <c r="ED227" s="778"/>
      <c r="EE227" s="778"/>
      <c r="EF227" s="778"/>
      <c r="EG227" s="778"/>
      <c r="EH227" s="1180"/>
      <c r="EI227" s="742"/>
      <c r="EJ227" s="778"/>
      <c r="EK227" s="742"/>
      <c r="EL227" s="1181"/>
      <c r="EM227" s="778"/>
      <c r="EN227" s="1562"/>
      <c r="EO227" s="778"/>
      <c r="EP227" s="823"/>
      <c r="EQ227" s="742"/>
      <c r="ER227" s="742"/>
      <c r="ES227" s="742"/>
      <c r="ET227" s="823"/>
      <c r="EU227" s="742"/>
      <c r="EV227" s="742"/>
      <c r="EW227" s="742"/>
      <c r="EX227" s="742"/>
      <c r="EY227" s="742"/>
      <c r="EZ227" s="823"/>
      <c r="FA227" s="742"/>
      <c r="FB227" s="742"/>
      <c r="FC227" s="742"/>
      <c r="FD227" s="823"/>
      <c r="FE227" s="742"/>
      <c r="FF227" s="742"/>
      <c r="FG227" s="742"/>
      <c r="FH227" s="742"/>
      <c r="FI227" s="742"/>
      <c r="FJ227" s="742"/>
    </row>
    <row r="228" spans="1:166" s="1057" customFormat="1" ht="15" customHeight="1">
      <c r="A228" s="1025" t="s">
        <v>153</v>
      </c>
      <c r="B228" s="1643">
        <v>17</v>
      </c>
      <c r="C228" s="1643"/>
      <c r="D228" s="1643"/>
      <c r="E228" s="1027" t="s">
        <v>1955</v>
      </c>
      <c r="F228" s="1028" t="s">
        <v>2177</v>
      </c>
      <c r="G228" s="1029">
        <v>1998</v>
      </c>
      <c r="H228" s="1025">
        <v>9821567</v>
      </c>
      <c r="I228" s="1025">
        <v>1</v>
      </c>
      <c r="J228" s="1025"/>
      <c r="K228" s="1025"/>
      <c r="L228" s="1025">
        <v>1</v>
      </c>
      <c r="M228" s="1025"/>
      <c r="N228" s="1025">
        <v>1</v>
      </c>
      <c r="O228" s="1030">
        <v>1</v>
      </c>
      <c r="P228" s="1025" t="s">
        <v>468</v>
      </c>
      <c r="Q228" s="1025" t="s">
        <v>1162</v>
      </c>
      <c r="R228" s="1025" t="s">
        <v>25</v>
      </c>
      <c r="S228" s="1025">
        <v>1</v>
      </c>
      <c r="T228" s="1025"/>
      <c r="U228" s="1025"/>
      <c r="V228" s="1025"/>
      <c r="W228" s="1025" t="s">
        <v>11</v>
      </c>
      <c r="X228" s="1025" t="s">
        <v>24</v>
      </c>
      <c r="Y228" s="1025" t="s">
        <v>13</v>
      </c>
      <c r="Z228" s="1025"/>
      <c r="AA228" s="1025"/>
      <c r="AB228" s="1025"/>
      <c r="AC228" s="1031"/>
      <c r="AD228" s="1032">
        <v>1</v>
      </c>
      <c r="AE228" s="1032">
        <v>2</v>
      </c>
      <c r="AF228" s="1644">
        <v>1</v>
      </c>
      <c r="AG228" s="1067" t="s">
        <v>8161</v>
      </c>
      <c r="AH228" s="1068"/>
      <c r="AI228" s="1645">
        <v>0</v>
      </c>
      <c r="AJ228" s="1646"/>
      <c r="AK228" s="1647"/>
      <c r="AL228" s="1648">
        <v>1</v>
      </c>
      <c r="AM228" s="1649">
        <v>0</v>
      </c>
      <c r="AN228" s="1645">
        <f>Table66[[#This Row],[Data_Subjects_n_ptsd]]+Table66[[#This Row],[Data_Subjects_n_ptsd]]</f>
        <v>34</v>
      </c>
      <c r="AO228" s="1645">
        <v>17</v>
      </c>
      <c r="AP228" s="1645">
        <v>14</v>
      </c>
      <c r="AQ228" s="121" t="s">
        <v>24</v>
      </c>
      <c r="AR228" s="121" t="s">
        <v>24</v>
      </c>
      <c r="AS228" s="1650">
        <v>42.2</v>
      </c>
      <c r="AT228" s="1107">
        <v>4.8</v>
      </c>
      <c r="AU228" s="1650">
        <v>44.5</v>
      </c>
      <c r="AV228" s="1107">
        <v>3.9</v>
      </c>
      <c r="AW228" s="1107" t="s">
        <v>1874</v>
      </c>
      <c r="AX228" s="1645"/>
      <c r="AY228" s="1645"/>
      <c r="AZ228" s="1645" t="s">
        <v>1874</v>
      </c>
      <c r="BA228" s="1645" t="s">
        <v>24</v>
      </c>
      <c r="BB228" s="1645" t="s">
        <v>24</v>
      </c>
      <c r="BC228" s="1645" t="s">
        <v>7804</v>
      </c>
      <c r="BD228" s="1645" t="s">
        <v>7522</v>
      </c>
      <c r="BE228" s="1651">
        <v>1</v>
      </c>
      <c r="BF228" s="1645" t="s">
        <v>2875</v>
      </c>
      <c r="BG228" s="1645" t="s">
        <v>4508</v>
      </c>
      <c r="BH228" s="1652"/>
      <c r="BI228" s="1652"/>
      <c r="BJ228" s="1653">
        <v>1</v>
      </c>
      <c r="BK228" s="1653"/>
      <c r="BL228" s="1653"/>
      <c r="BM228" s="1653"/>
      <c r="BN228" s="1653"/>
      <c r="BO228" s="1653"/>
      <c r="BP228" s="1653"/>
      <c r="BQ228" s="1653"/>
      <c r="BR228" s="1653"/>
      <c r="BS228" s="1653"/>
      <c r="BT228" s="1653"/>
      <c r="BU228" s="1653"/>
      <c r="BV228" s="1653"/>
      <c r="BW228" s="1654" t="s">
        <v>2880</v>
      </c>
      <c r="BX228" s="1627" t="s">
        <v>6596</v>
      </c>
      <c r="BY228" s="1628" t="s">
        <v>7615</v>
      </c>
      <c r="BZ228" s="1655" t="s">
        <v>7610</v>
      </c>
      <c r="CA228" s="1656">
        <v>4</v>
      </c>
      <c r="CB228" s="1656" t="s">
        <v>7556</v>
      </c>
      <c r="CC228" s="1656" t="s">
        <v>7807</v>
      </c>
      <c r="CD228" s="1107" t="s">
        <v>1876</v>
      </c>
      <c r="CE228" s="1107">
        <v>3</v>
      </c>
      <c r="CF228" s="1107"/>
      <c r="CG228" s="1650" t="s">
        <v>2877</v>
      </c>
      <c r="CH228" s="1107" t="s">
        <v>1488</v>
      </c>
      <c r="CI228" s="1107" t="s">
        <v>24</v>
      </c>
      <c r="CJ228" s="1107"/>
      <c r="CK228" s="1107" t="s">
        <v>2878</v>
      </c>
      <c r="CL228" s="1107" t="s">
        <v>6638</v>
      </c>
      <c r="CM228" s="1657"/>
      <c r="CN228" s="1658"/>
      <c r="CO228" s="1659"/>
      <c r="CP228" s="1659"/>
      <c r="CQ228" s="1659"/>
      <c r="CR228" s="1659"/>
      <c r="CS228" s="1659"/>
      <c r="CT228" s="1660"/>
      <c r="CU228" s="1630" t="s">
        <v>8155</v>
      </c>
      <c r="CV228" s="1661" t="s">
        <v>8158</v>
      </c>
      <c r="CW228" s="1661">
        <v>13</v>
      </c>
      <c r="CX228" s="1662" t="s">
        <v>2895</v>
      </c>
      <c r="CY228" s="1650">
        <v>225.86500000000001</v>
      </c>
      <c r="CZ228" s="1079" t="s">
        <v>24</v>
      </c>
      <c r="DA228" s="1079" t="s">
        <v>24</v>
      </c>
      <c r="DB228" s="1106" t="s">
        <v>2893</v>
      </c>
      <c r="DC228" s="1107">
        <v>245.863</v>
      </c>
      <c r="DD228" s="1079" t="s">
        <v>24</v>
      </c>
      <c r="DE228" s="1079" t="s">
        <v>24</v>
      </c>
      <c r="DF228" s="1676"/>
      <c r="DG228" s="1664"/>
      <c r="DH228" s="1666"/>
      <c r="DI228" s="1665"/>
      <c r="DJ228" s="1665"/>
      <c r="DK228" s="1665"/>
      <c r="DL228" s="1666"/>
      <c r="DM228" s="1665"/>
      <c r="DN228" s="1665"/>
      <c r="DO228" s="1665"/>
      <c r="DP228" s="1667"/>
      <c r="DQ228" s="1664"/>
      <c r="DR228" s="1668"/>
      <c r="DS228" s="1669"/>
      <c r="DT228" s="1637"/>
      <c r="DU228" s="1639"/>
      <c r="DV228" s="1639"/>
      <c r="DW228" s="1639"/>
      <c r="DX228" s="1637"/>
      <c r="DY228" s="1639"/>
      <c r="DZ228" s="1639"/>
      <c r="EA228" s="1639"/>
      <c r="EB228" s="1640"/>
      <c r="EC228" s="1641"/>
      <c r="ED228" s="1637"/>
      <c r="EE228" s="1639"/>
      <c r="EF228" s="1639"/>
      <c r="EG228" s="1639"/>
      <c r="EH228" s="1637"/>
      <c r="EI228" s="1639"/>
      <c r="EJ228" s="1639"/>
      <c r="EK228" s="1639"/>
      <c r="EL228" s="1640"/>
      <c r="EM228" s="1641"/>
      <c r="EN228" s="1668"/>
      <c r="EO228" s="1671"/>
      <c r="EP228" s="1637"/>
      <c r="EQ228" s="1639"/>
      <c r="ER228" s="1639"/>
      <c r="ES228" s="1639"/>
      <c r="ET228" s="1637"/>
      <c r="EU228" s="1639"/>
      <c r="EV228" s="1639"/>
      <c r="EW228" s="1639"/>
      <c r="EX228" s="1641"/>
      <c r="EY228" s="1641"/>
      <c r="EZ228" s="1637"/>
      <c r="FA228" s="1639"/>
      <c r="FB228" s="1639"/>
      <c r="FC228" s="1639"/>
      <c r="FD228" s="1637"/>
      <c r="FE228" s="1639"/>
      <c r="FF228" s="1639"/>
      <c r="FG228" s="1639"/>
      <c r="FH228" s="1641"/>
      <c r="FI228" s="1641"/>
      <c r="FJ228" s="1668"/>
    </row>
    <row r="229" spans="1:166" s="1057" customFormat="1" ht="15" customHeight="1">
      <c r="A229" s="1025" t="s">
        <v>153</v>
      </c>
      <c r="B229" s="1643">
        <v>17</v>
      </c>
      <c r="C229" s="1643"/>
      <c r="D229" s="1643"/>
      <c r="E229" s="1027" t="s">
        <v>1955</v>
      </c>
      <c r="F229" s="1028" t="s">
        <v>2177</v>
      </c>
      <c r="G229" s="1029">
        <v>1998</v>
      </c>
      <c r="H229" s="1025">
        <v>9821567</v>
      </c>
      <c r="I229" s="1025">
        <v>1</v>
      </c>
      <c r="J229" s="1025"/>
      <c r="K229" s="1025"/>
      <c r="L229" s="1025">
        <v>1</v>
      </c>
      <c r="M229" s="1025"/>
      <c r="N229" s="1025">
        <v>1</v>
      </c>
      <c r="O229" s="1030">
        <v>1</v>
      </c>
      <c r="P229" s="1025" t="s">
        <v>468</v>
      </c>
      <c r="Q229" s="1025" t="s">
        <v>1162</v>
      </c>
      <c r="R229" s="1025" t="s">
        <v>25</v>
      </c>
      <c r="S229" s="1025">
        <v>1</v>
      </c>
      <c r="T229" s="1025"/>
      <c r="U229" s="1025"/>
      <c r="V229" s="1025"/>
      <c r="W229" s="1025" t="s">
        <v>11</v>
      </c>
      <c r="X229" s="1025" t="s">
        <v>24</v>
      </c>
      <c r="Y229" s="1025" t="s">
        <v>13</v>
      </c>
      <c r="Z229" s="1025"/>
      <c r="AA229" s="1025"/>
      <c r="AB229" s="1025"/>
      <c r="AC229" s="1031"/>
      <c r="AD229" s="1032">
        <v>1</v>
      </c>
      <c r="AE229" s="1032">
        <v>2</v>
      </c>
      <c r="AF229" s="1644">
        <v>1</v>
      </c>
      <c r="AG229" s="1067" t="s">
        <v>8161</v>
      </c>
      <c r="AH229" s="1068"/>
      <c r="AI229" s="1645">
        <v>0</v>
      </c>
      <c r="AJ229" s="1646"/>
      <c r="AK229" s="1647"/>
      <c r="AL229" s="1648">
        <v>1</v>
      </c>
      <c r="AM229" s="1649">
        <v>0</v>
      </c>
      <c r="AN229" s="1645">
        <f>Table66[[#This Row],[Data_Subjects_n_ptsd]]+Table66[[#This Row],[Data_Subjects_n_ptsd]]</f>
        <v>34</v>
      </c>
      <c r="AO229" s="1645">
        <v>17</v>
      </c>
      <c r="AP229" s="1645">
        <v>14</v>
      </c>
      <c r="AQ229" s="121" t="s">
        <v>24</v>
      </c>
      <c r="AR229" s="121" t="s">
        <v>24</v>
      </c>
      <c r="AS229" s="1650">
        <v>42.2</v>
      </c>
      <c r="AT229" s="1107">
        <v>4.8</v>
      </c>
      <c r="AU229" s="1650">
        <v>44.5</v>
      </c>
      <c r="AV229" s="1107">
        <v>3.9</v>
      </c>
      <c r="AW229" s="1107" t="s">
        <v>1874</v>
      </c>
      <c r="AX229" s="1645"/>
      <c r="AY229" s="1645"/>
      <c r="AZ229" s="1645" t="s">
        <v>1874</v>
      </c>
      <c r="BA229" s="1645" t="s">
        <v>24</v>
      </c>
      <c r="BB229" s="1645" t="s">
        <v>24</v>
      </c>
      <c r="BC229" s="1645" t="s">
        <v>7804</v>
      </c>
      <c r="BD229" s="1645" t="s">
        <v>7522</v>
      </c>
      <c r="BE229" s="1651">
        <v>1</v>
      </c>
      <c r="BF229" s="1645" t="s">
        <v>2875</v>
      </c>
      <c r="BG229" s="1645" t="s">
        <v>4508</v>
      </c>
      <c r="BH229" s="1652"/>
      <c r="BI229" s="1652"/>
      <c r="BJ229" s="1653">
        <v>1</v>
      </c>
      <c r="BK229" s="1653"/>
      <c r="BL229" s="1653"/>
      <c r="BM229" s="1653"/>
      <c r="BN229" s="1653"/>
      <c r="BO229" s="1653"/>
      <c r="BP229" s="1653"/>
      <c r="BQ229" s="1653"/>
      <c r="BR229" s="1653"/>
      <c r="BS229" s="1653"/>
      <c r="BT229" s="1653"/>
      <c r="BU229" s="1653"/>
      <c r="BV229" s="1653"/>
      <c r="BW229" s="1654" t="s">
        <v>2880</v>
      </c>
      <c r="BX229" s="1627" t="s">
        <v>6596</v>
      </c>
      <c r="BY229" s="1628" t="s">
        <v>7615</v>
      </c>
      <c r="BZ229" s="1655" t="s">
        <v>7610</v>
      </c>
      <c r="CA229" s="1656">
        <v>4</v>
      </c>
      <c r="CB229" s="1656" t="s">
        <v>7556</v>
      </c>
      <c r="CC229" s="1656" t="s">
        <v>7808</v>
      </c>
      <c r="CD229" s="1107" t="s">
        <v>1876</v>
      </c>
      <c r="CE229" s="1107">
        <v>3</v>
      </c>
      <c r="CF229" s="1107"/>
      <c r="CG229" s="1650" t="s">
        <v>2877</v>
      </c>
      <c r="CH229" s="1107" t="s">
        <v>1488</v>
      </c>
      <c r="CI229" s="1107" t="s">
        <v>24</v>
      </c>
      <c r="CJ229" s="1107"/>
      <c r="CK229" s="1107" t="s">
        <v>2878</v>
      </c>
      <c r="CL229" s="1107" t="s">
        <v>6638</v>
      </c>
      <c r="CM229" s="1657"/>
      <c r="CN229" s="1658"/>
      <c r="CO229" s="1659"/>
      <c r="CP229" s="1659"/>
      <c r="CQ229" s="1659"/>
      <c r="CR229" s="1659"/>
      <c r="CS229" s="1659"/>
      <c r="CT229" s="1660"/>
      <c r="CU229" s="1630" t="s">
        <v>8155</v>
      </c>
      <c r="CV229" s="1661" t="s">
        <v>8158</v>
      </c>
      <c r="CW229" s="1661">
        <v>13</v>
      </c>
      <c r="CX229" s="1106" t="s">
        <v>2896</v>
      </c>
      <c r="CY229" s="1607">
        <v>118.075</v>
      </c>
      <c r="CZ229" s="1079" t="s">
        <v>24</v>
      </c>
      <c r="DA229" s="1079" t="s">
        <v>24</v>
      </c>
      <c r="DB229" s="1106" t="s">
        <v>2894</v>
      </c>
      <c r="DC229" s="1107">
        <v>161.15100000000001</v>
      </c>
      <c r="DD229" s="1079" t="s">
        <v>24</v>
      </c>
      <c r="DE229" s="1079" t="s">
        <v>24</v>
      </c>
      <c r="DF229" s="1676"/>
      <c r="DG229" s="1664"/>
      <c r="DH229" s="1816"/>
      <c r="DI229" s="1638"/>
      <c r="DJ229" s="1645"/>
      <c r="DK229" s="1638"/>
      <c r="DL229" s="1677"/>
      <c r="DM229" s="1638"/>
      <c r="DN229" s="1645"/>
      <c r="DO229" s="1672"/>
      <c r="DP229" s="1673"/>
      <c r="DQ229" s="1674"/>
      <c r="DR229" s="1675"/>
      <c r="DS229" s="1669"/>
      <c r="DT229" s="1677"/>
      <c r="DU229" s="1638"/>
      <c r="DV229" s="1639"/>
      <c r="DW229" s="1638"/>
      <c r="DX229" s="1677"/>
      <c r="DY229" s="1638"/>
      <c r="DZ229" s="1639"/>
      <c r="EA229" s="1639"/>
      <c r="EB229" s="1640"/>
      <c r="EC229" s="1641"/>
      <c r="ED229" s="1637"/>
      <c r="EE229" s="1639"/>
      <c r="EF229" s="1639"/>
      <c r="EG229" s="1639"/>
      <c r="EH229" s="1637"/>
      <c r="EI229" s="1639"/>
      <c r="EJ229" s="1639"/>
      <c r="EK229" s="1639"/>
      <c r="EL229" s="1640"/>
      <c r="EM229" s="1641"/>
      <c r="EN229" s="1668"/>
      <c r="EO229" s="1671"/>
      <c r="EP229" s="1637"/>
      <c r="EQ229" s="1639"/>
      <c r="ER229" s="1639"/>
      <c r="ES229" s="1639"/>
      <c r="ET229" s="1637"/>
      <c r="EU229" s="1639"/>
      <c r="EV229" s="1639"/>
      <c r="EW229" s="1639"/>
      <c r="EX229" s="1641"/>
      <c r="EY229" s="1641"/>
      <c r="EZ229" s="1637"/>
      <c r="FA229" s="1639"/>
      <c r="FB229" s="1639"/>
      <c r="FC229" s="1639"/>
      <c r="FD229" s="1637"/>
      <c r="FE229" s="1639"/>
      <c r="FF229" s="1639"/>
      <c r="FG229" s="1639"/>
      <c r="FH229" s="1641"/>
      <c r="FI229" s="1641"/>
      <c r="FJ229" s="1668"/>
    </row>
    <row r="230" spans="1:166" s="1057" customFormat="1" ht="15" customHeight="1">
      <c r="A230" s="118" t="s">
        <v>153</v>
      </c>
      <c r="B230" s="614">
        <v>17</v>
      </c>
      <c r="C230" s="614"/>
      <c r="D230" s="614"/>
      <c r="E230" s="605" t="s">
        <v>1955</v>
      </c>
      <c r="F230" s="140" t="s">
        <v>2177</v>
      </c>
      <c r="G230" s="141">
        <v>1998</v>
      </c>
      <c r="H230" s="118">
        <v>9821567</v>
      </c>
      <c r="I230" s="118">
        <v>1</v>
      </c>
      <c r="J230" s="118"/>
      <c r="K230" s="118"/>
      <c r="L230" s="118">
        <v>1</v>
      </c>
      <c r="M230" s="118"/>
      <c r="N230" s="118">
        <v>1</v>
      </c>
      <c r="O230" s="142">
        <v>1</v>
      </c>
      <c r="P230" s="118" t="s">
        <v>468</v>
      </c>
      <c r="Q230" s="118" t="s">
        <v>1162</v>
      </c>
      <c r="R230" s="118" t="s">
        <v>25</v>
      </c>
      <c r="S230" s="118">
        <v>1</v>
      </c>
      <c r="T230" s="118"/>
      <c r="U230" s="118"/>
      <c r="V230" s="118"/>
      <c r="W230" s="118" t="s">
        <v>11</v>
      </c>
      <c r="X230" s="118" t="s">
        <v>24</v>
      </c>
      <c r="Y230" s="118" t="s">
        <v>13</v>
      </c>
      <c r="Z230" s="118"/>
      <c r="AA230" s="118"/>
      <c r="AB230" s="118"/>
      <c r="AC230" s="145"/>
      <c r="AD230" s="573">
        <v>1</v>
      </c>
      <c r="AE230" s="573">
        <v>2</v>
      </c>
      <c r="AF230" s="159">
        <v>1</v>
      </c>
      <c r="AG230" s="353" t="s">
        <v>8162</v>
      </c>
      <c r="AH230" s="887" t="s">
        <v>7805</v>
      </c>
      <c r="AI230" s="122">
        <v>0</v>
      </c>
      <c r="AJ230" s="485"/>
      <c r="AK230" s="204" t="s">
        <v>2909</v>
      </c>
      <c r="AL230" s="192">
        <v>1</v>
      </c>
      <c r="AM230" s="205">
        <v>0</v>
      </c>
      <c r="AN230" s="121">
        <f>Table66[[#This Row],[Data_Subjects_n_ptsd]]+Table66[[#This Row],[Data_Subjects_n_control]]</f>
        <v>51</v>
      </c>
      <c r="AO230" s="121">
        <f>34</f>
        <v>34</v>
      </c>
      <c r="AP230" s="121">
        <v>17</v>
      </c>
      <c r="AQ230" s="121" t="s">
        <v>24</v>
      </c>
      <c r="AR230" s="121" t="s">
        <v>24</v>
      </c>
      <c r="AS230" s="426">
        <v>46</v>
      </c>
      <c r="AT230" s="134">
        <v>3.4</v>
      </c>
      <c r="AU230" s="426">
        <v>42.2</v>
      </c>
      <c r="AV230" s="134">
        <v>4.8</v>
      </c>
      <c r="AW230" s="134" t="s">
        <v>1874</v>
      </c>
      <c r="AX230" s="121"/>
      <c r="AY230" s="121"/>
      <c r="AZ230" s="754" t="s">
        <v>1874</v>
      </c>
      <c r="BA230" s="121" t="s">
        <v>24</v>
      </c>
      <c r="BB230" s="121" t="s">
        <v>24</v>
      </c>
      <c r="BC230" s="121" t="s">
        <v>2874</v>
      </c>
      <c r="BD230" s="754" t="s">
        <v>7521</v>
      </c>
      <c r="BE230" s="187">
        <v>1</v>
      </c>
      <c r="BF230" s="122" t="s">
        <v>2875</v>
      </c>
      <c r="BG230" s="122" t="s">
        <v>2876</v>
      </c>
      <c r="BH230" s="588"/>
      <c r="BI230" s="588"/>
      <c r="BJ230" s="161">
        <v>1</v>
      </c>
      <c r="BK230" s="161"/>
      <c r="BL230" s="161"/>
      <c r="BM230" s="161"/>
      <c r="BN230" s="161"/>
      <c r="BO230" s="161"/>
      <c r="BP230" s="161"/>
      <c r="BQ230" s="161"/>
      <c r="BR230" s="161"/>
      <c r="BS230" s="161"/>
      <c r="BT230" s="161"/>
      <c r="BU230" s="161"/>
      <c r="BV230" s="161"/>
      <c r="BW230" s="596" t="s">
        <v>2880</v>
      </c>
      <c r="BX230" s="162" t="s">
        <v>6596</v>
      </c>
      <c r="BY230" s="797" t="s">
        <v>7615</v>
      </c>
      <c r="BZ230" s="790" t="s">
        <v>7610</v>
      </c>
      <c r="CA230" s="765">
        <v>4</v>
      </c>
      <c r="CB230" s="765" t="s">
        <v>7556</v>
      </c>
      <c r="CC230" s="765" t="s">
        <v>7807</v>
      </c>
      <c r="CD230" s="150" t="s">
        <v>1876</v>
      </c>
      <c r="CE230" s="150">
        <v>3</v>
      </c>
      <c r="CF230" s="400"/>
      <c r="CG230" s="425" t="s">
        <v>2877</v>
      </c>
      <c r="CH230" s="753" t="s">
        <v>1488</v>
      </c>
      <c r="CI230" s="150" t="s">
        <v>24</v>
      </c>
      <c r="CJ230" s="150"/>
      <c r="CK230" s="150" t="s">
        <v>2878</v>
      </c>
      <c r="CL230" s="150" t="s">
        <v>6638</v>
      </c>
      <c r="CM230" s="258" t="s">
        <v>2908</v>
      </c>
      <c r="CN230" s="257">
        <v>0</v>
      </c>
      <c r="CO230" s="830">
        <v>25</v>
      </c>
      <c r="CP230" s="829">
        <v>1</v>
      </c>
      <c r="CQ230" s="829">
        <v>5</v>
      </c>
      <c r="CR230" s="829">
        <v>1</v>
      </c>
      <c r="CS230" s="829">
        <v>1</v>
      </c>
      <c r="CT230" s="968" t="s">
        <v>7836</v>
      </c>
      <c r="CU230" s="1288" t="s">
        <v>8103</v>
      </c>
      <c r="CV230" s="1295">
        <v>14</v>
      </c>
      <c r="CW230" s="1295">
        <v>14</v>
      </c>
      <c r="CX230" s="428" t="s">
        <v>2897</v>
      </c>
      <c r="CY230" s="425">
        <v>412.01799999999997</v>
      </c>
      <c r="CZ230" s="855" t="s">
        <v>24</v>
      </c>
      <c r="DA230" s="855" t="s">
        <v>24</v>
      </c>
      <c r="DB230" s="468" t="s">
        <v>2895</v>
      </c>
      <c r="DC230" s="266">
        <v>225.86500000000001</v>
      </c>
      <c r="DD230" s="855" t="s">
        <v>24</v>
      </c>
      <c r="DE230" s="855" t="s">
        <v>24</v>
      </c>
      <c r="DF230" s="280" t="s">
        <v>2907</v>
      </c>
      <c r="DG230" s="295"/>
      <c r="DH230" s="1156"/>
      <c r="DI230" s="689"/>
      <c r="DJ230" s="689"/>
      <c r="DK230" s="689"/>
      <c r="DL230" s="1156"/>
      <c r="DM230" s="689"/>
      <c r="DN230" s="689"/>
      <c r="DO230" s="689"/>
      <c r="DP230" s="290"/>
      <c r="DQ230" s="291"/>
      <c r="DR230" s="1168"/>
      <c r="DS230" s="865"/>
      <c r="DT230" s="1166"/>
      <c r="DU230" s="1164"/>
      <c r="DV230" s="1164"/>
      <c r="DW230" s="1164"/>
      <c r="DX230" s="1166"/>
      <c r="DY230" s="1164"/>
      <c r="DZ230" s="1164"/>
      <c r="EA230" s="1164"/>
      <c r="EB230" s="311"/>
      <c r="EC230" s="313"/>
      <c r="ED230" s="1166"/>
      <c r="EE230" s="1164"/>
      <c r="EF230" s="1164"/>
      <c r="EG230" s="1164"/>
      <c r="EH230" s="1166"/>
      <c r="EI230" s="1164"/>
      <c r="EJ230" s="1164"/>
      <c r="EK230" s="1164"/>
      <c r="EL230" s="311"/>
      <c r="EM230" s="313"/>
      <c r="EN230" s="1167"/>
      <c r="EO230" s="1165"/>
      <c r="EP230" s="1166"/>
      <c r="EQ230" s="1164"/>
      <c r="ER230" s="1164"/>
      <c r="ES230" s="1164"/>
      <c r="ET230" s="1166"/>
      <c r="EU230" s="1164"/>
      <c r="EV230" s="1164"/>
      <c r="EW230" s="1164"/>
      <c r="EX230" s="313"/>
      <c r="EY230" s="313"/>
      <c r="EZ230" s="1166"/>
      <c r="FA230" s="1164"/>
      <c r="FB230" s="1164"/>
      <c r="FC230" s="1164"/>
      <c r="FD230" s="1166"/>
      <c r="FE230" s="1164"/>
      <c r="FF230" s="1164"/>
      <c r="FG230" s="1164"/>
      <c r="FH230" s="313"/>
      <c r="FI230" s="313"/>
      <c r="FJ230" s="1167"/>
    </row>
    <row r="231" spans="1:166" s="1057" customFormat="1" ht="15" customHeight="1">
      <c r="A231" s="118" t="s">
        <v>153</v>
      </c>
      <c r="B231" s="614">
        <v>17</v>
      </c>
      <c r="C231" s="614"/>
      <c r="D231" s="614"/>
      <c r="E231" s="605" t="s">
        <v>1955</v>
      </c>
      <c r="F231" s="140" t="s">
        <v>2177</v>
      </c>
      <c r="G231" s="141">
        <v>1998</v>
      </c>
      <c r="H231" s="118">
        <v>9821567</v>
      </c>
      <c r="I231" s="118">
        <v>1</v>
      </c>
      <c r="J231" s="118"/>
      <c r="K231" s="118"/>
      <c r="L231" s="118">
        <v>1</v>
      </c>
      <c r="M231" s="118"/>
      <c r="N231" s="118">
        <v>1</v>
      </c>
      <c r="O231" s="142">
        <v>1</v>
      </c>
      <c r="P231" s="118" t="s">
        <v>468</v>
      </c>
      <c r="Q231" s="118" t="s">
        <v>1162</v>
      </c>
      <c r="R231" s="118" t="s">
        <v>25</v>
      </c>
      <c r="S231" s="118">
        <v>1</v>
      </c>
      <c r="T231" s="118"/>
      <c r="U231" s="118"/>
      <c r="V231" s="118"/>
      <c r="W231" s="118" t="s">
        <v>11</v>
      </c>
      <c r="X231" s="118" t="s">
        <v>24</v>
      </c>
      <c r="Y231" s="118" t="s">
        <v>13</v>
      </c>
      <c r="Z231" s="118"/>
      <c r="AA231" s="118"/>
      <c r="AB231" s="118"/>
      <c r="AC231" s="145"/>
      <c r="AD231" s="573">
        <v>1</v>
      </c>
      <c r="AE231" s="573">
        <v>2</v>
      </c>
      <c r="AF231" s="159">
        <v>1</v>
      </c>
      <c r="AG231" s="353" t="s">
        <v>8162</v>
      </c>
      <c r="AH231" s="887" t="s">
        <v>7805</v>
      </c>
      <c r="AI231" s="122">
        <v>0</v>
      </c>
      <c r="AJ231" s="485"/>
      <c r="AK231" s="204" t="s">
        <v>2909</v>
      </c>
      <c r="AL231" s="192">
        <v>1</v>
      </c>
      <c r="AM231" s="205">
        <v>0</v>
      </c>
      <c r="AN231" s="121">
        <f>Table66[[#This Row],[Data_Subjects_n_ptsd]]+Table66[[#This Row],[Data_Subjects_n_control]]</f>
        <v>51</v>
      </c>
      <c r="AO231" s="121">
        <f>34</f>
        <v>34</v>
      </c>
      <c r="AP231" s="121">
        <v>17</v>
      </c>
      <c r="AQ231" s="121" t="s">
        <v>24</v>
      </c>
      <c r="AR231" s="121" t="s">
        <v>24</v>
      </c>
      <c r="AS231" s="426">
        <v>46</v>
      </c>
      <c r="AT231" s="134">
        <v>3.4</v>
      </c>
      <c r="AU231" s="426">
        <v>42.2</v>
      </c>
      <c r="AV231" s="134">
        <v>4.8</v>
      </c>
      <c r="AW231" s="134" t="s">
        <v>1874</v>
      </c>
      <c r="AX231" s="121"/>
      <c r="AY231" s="121"/>
      <c r="AZ231" s="754" t="s">
        <v>1874</v>
      </c>
      <c r="BA231" s="121" t="s">
        <v>24</v>
      </c>
      <c r="BB231" s="121" t="s">
        <v>24</v>
      </c>
      <c r="BC231" s="121" t="s">
        <v>2874</v>
      </c>
      <c r="BD231" s="754" t="s">
        <v>7521</v>
      </c>
      <c r="BE231" s="187">
        <v>1</v>
      </c>
      <c r="BF231" s="122" t="s">
        <v>2875</v>
      </c>
      <c r="BG231" s="122" t="s">
        <v>2876</v>
      </c>
      <c r="BH231" s="588"/>
      <c r="BI231" s="588"/>
      <c r="BJ231" s="161">
        <v>1</v>
      </c>
      <c r="BK231" s="161"/>
      <c r="BL231" s="161"/>
      <c r="BM231" s="161"/>
      <c r="BN231" s="161"/>
      <c r="BO231" s="161"/>
      <c r="BP231" s="161"/>
      <c r="BQ231" s="161"/>
      <c r="BR231" s="161"/>
      <c r="BS231" s="161"/>
      <c r="BT231" s="161"/>
      <c r="BU231" s="161"/>
      <c r="BV231" s="161"/>
      <c r="BW231" s="596" t="s">
        <v>2880</v>
      </c>
      <c r="BX231" s="162" t="s">
        <v>6596</v>
      </c>
      <c r="BY231" s="797" t="s">
        <v>7615</v>
      </c>
      <c r="BZ231" s="790" t="s">
        <v>7610</v>
      </c>
      <c r="CA231" s="765">
        <v>4</v>
      </c>
      <c r="CB231" s="765" t="s">
        <v>7556</v>
      </c>
      <c r="CC231" s="765" t="s">
        <v>7808</v>
      </c>
      <c r="CD231" s="150" t="s">
        <v>1876</v>
      </c>
      <c r="CE231" s="150">
        <v>3</v>
      </c>
      <c r="CF231" s="400"/>
      <c r="CG231" s="425" t="s">
        <v>2877</v>
      </c>
      <c r="CH231" s="753" t="s">
        <v>1488</v>
      </c>
      <c r="CI231" s="150" t="s">
        <v>24</v>
      </c>
      <c r="CJ231" s="150"/>
      <c r="CK231" s="150" t="s">
        <v>2878</v>
      </c>
      <c r="CL231" s="150" t="s">
        <v>6638</v>
      </c>
      <c r="CM231" s="258" t="s">
        <v>2908</v>
      </c>
      <c r="CN231" s="257">
        <v>0</v>
      </c>
      <c r="CO231" s="830">
        <v>25</v>
      </c>
      <c r="CP231" s="829">
        <v>1</v>
      </c>
      <c r="CQ231" s="829">
        <v>7</v>
      </c>
      <c r="CR231" s="829">
        <v>1</v>
      </c>
      <c r="CS231" s="829">
        <v>-1</v>
      </c>
      <c r="CT231" s="968" t="s">
        <v>7837</v>
      </c>
      <c r="CU231" s="1288" t="s">
        <v>8103</v>
      </c>
      <c r="CV231" s="1295">
        <v>14</v>
      </c>
      <c r="CW231" s="1295">
        <v>14</v>
      </c>
      <c r="CX231" s="151" t="s">
        <v>2898</v>
      </c>
      <c r="CY231" s="150">
        <v>280.38200000000001</v>
      </c>
      <c r="CZ231" s="855" t="s">
        <v>24</v>
      </c>
      <c r="DA231" s="855" t="s">
        <v>24</v>
      </c>
      <c r="DB231" s="468" t="s">
        <v>2896</v>
      </c>
      <c r="DC231" s="266">
        <v>118.075</v>
      </c>
      <c r="DD231" s="855" t="s">
        <v>24</v>
      </c>
      <c r="DE231" s="855" t="s">
        <v>24</v>
      </c>
      <c r="DF231" s="280" t="s">
        <v>2907</v>
      </c>
      <c r="DG231" s="295"/>
      <c r="DH231" s="1156"/>
      <c r="DI231" s="689"/>
      <c r="DJ231" s="689"/>
      <c r="DK231" s="689"/>
      <c r="DL231" s="1156"/>
      <c r="DM231" s="689"/>
      <c r="DN231" s="689"/>
      <c r="DO231" s="689"/>
      <c r="DP231" s="290"/>
      <c r="DQ231" s="291"/>
      <c r="DR231" s="1168"/>
      <c r="DS231" s="865"/>
      <c r="DT231" s="526"/>
      <c r="DU231" s="1164"/>
      <c r="DV231" s="1164"/>
      <c r="DW231" s="1164"/>
      <c r="DX231" s="526"/>
      <c r="DY231" s="1164"/>
      <c r="DZ231" s="1164"/>
      <c r="EA231" s="1164"/>
      <c r="EB231" s="311"/>
      <c r="EC231" s="313"/>
      <c r="ED231" s="1166"/>
      <c r="EE231" s="1164"/>
      <c r="EF231" s="1164"/>
      <c r="EG231" s="1164"/>
      <c r="EH231" s="1166"/>
      <c r="EI231" s="1164"/>
      <c r="EJ231" s="1164"/>
      <c r="EK231" s="1164"/>
      <c r="EL231" s="311"/>
      <c r="EM231" s="313"/>
      <c r="EN231" s="1167"/>
      <c r="EO231" s="1165"/>
      <c r="EP231" s="1166"/>
      <c r="EQ231" s="1164"/>
      <c r="ER231" s="1164"/>
      <c r="ES231" s="1164"/>
      <c r="ET231" s="1166"/>
      <c r="EU231" s="1164"/>
      <c r="EV231" s="1164"/>
      <c r="EW231" s="1164"/>
      <c r="EX231" s="313"/>
      <c r="EY231" s="313"/>
      <c r="EZ231" s="1166"/>
      <c r="FA231" s="1164"/>
      <c r="FB231" s="1164"/>
      <c r="FC231" s="1164"/>
      <c r="FD231" s="1166"/>
      <c r="FE231" s="1164"/>
      <c r="FF231" s="1164"/>
      <c r="FG231" s="1164"/>
      <c r="FH231" s="313"/>
      <c r="FI231" s="313"/>
      <c r="FJ231" s="1167"/>
    </row>
    <row r="232" spans="1:166" s="1057" customFormat="1" ht="15" customHeight="1">
      <c r="A232" s="79" t="s">
        <v>1050</v>
      </c>
      <c r="B232" s="614">
        <v>20</v>
      </c>
      <c r="C232" s="614"/>
      <c r="D232" s="614"/>
      <c r="E232" s="604" t="s">
        <v>2077</v>
      </c>
      <c r="F232" s="124" t="s">
        <v>2331</v>
      </c>
      <c r="G232" s="125">
        <v>2007</v>
      </c>
      <c r="H232" s="79">
        <v>17267088</v>
      </c>
      <c r="I232" s="79">
        <v>1</v>
      </c>
      <c r="J232" s="126"/>
      <c r="K232" s="127"/>
      <c r="L232" s="79">
        <v>1</v>
      </c>
      <c r="M232" s="79"/>
      <c r="N232" s="79">
        <v>1</v>
      </c>
      <c r="O232" s="128">
        <v>2</v>
      </c>
      <c r="P232" s="79" t="s">
        <v>1353</v>
      </c>
      <c r="Q232" s="79" t="s">
        <v>1216</v>
      </c>
      <c r="R232" s="79" t="s">
        <v>1127</v>
      </c>
      <c r="S232" s="79"/>
      <c r="T232" s="79" t="s">
        <v>1487</v>
      </c>
      <c r="U232" s="79" t="s">
        <v>803</v>
      </c>
      <c r="V232" s="79" t="s">
        <v>23</v>
      </c>
      <c r="W232" s="79" t="s">
        <v>1337</v>
      </c>
      <c r="X232" s="79" t="s">
        <v>1354</v>
      </c>
      <c r="Y232" s="79"/>
      <c r="Z232" s="79"/>
      <c r="AA232" s="79"/>
      <c r="AB232" s="79"/>
      <c r="AC232" s="506"/>
      <c r="AD232" s="573">
        <v>1</v>
      </c>
      <c r="AE232" s="573">
        <v>2</v>
      </c>
      <c r="AF232" s="154">
        <v>1</v>
      </c>
      <c r="AG232" s="155" t="s">
        <v>2979</v>
      </c>
      <c r="AH232" s="704"/>
      <c r="AI232" s="121">
        <v>4</v>
      </c>
      <c r="AJ232" s="484"/>
      <c r="AK232" s="202" t="s">
        <v>2966</v>
      </c>
      <c r="AL232" s="192">
        <v>0</v>
      </c>
      <c r="AM232" s="203">
        <v>0</v>
      </c>
      <c r="AN232" s="121">
        <v>16</v>
      </c>
      <c r="AO232" s="121">
        <v>8</v>
      </c>
      <c r="AP232" s="121">
        <v>8</v>
      </c>
      <c r="AQ232" s="121" t="s">
        <v>803</v>
      </c>
      <c r="AR232" s="121" t="s">
        <v>803</v>
      </c>
      <c r="AS232" s="448" t="s">
        <v>2667</v>
      </c>
      <c r="AT232" s="121" t="s">
        <v>24</v>
      </c>
      <c r="AU232" s="448" t="s">
        <v>2667</v>
      </c>
      <c r="AV232" s="121" t="s">
        <v>24</v>
      </c>
      <c r="AW232" s="121" t="s">
        <v>2963</v>
      </c>
      <c r="AX232" s="121"/>
      <c r="AY232" s="121"/>
      <c r="AZ232" s="753" t="s">
        <v>1487</v>
      </c>
      <c r="BA232" s="121">
        <v>1</v>
      </c>
      <c r="BB232" s="121">
        <v>1</v>
      </c>
      <c r="BC232" s="121" t="s">
        <v>7545</v>
      </c>
      <c r="BD232" s="754" t="s">
        <v>7522</v>
      </c>
      <c r="BE232" s="754"/>
      <c r="BF232" s="121" t="s">
        <v>1130</v>
      </c>
      <c r="BG232" s="121" t="s">
        <v>2798</v>
      </c>
      <c r="BH232" s="594"/>
      <c r="BI232" s="594"/>
      <c r="BJ232" s="156">
        <v>1</v>
      </c>
      <c r="BK232" s="156"/>
      <c r="BL232" s="156"/>
      <c r="BM232" s="156"/>
      <c r="BN232" s="156"/>
      <c r="BO232" s="156"/>
      <c r="BP232" s="156"/>
      <c r="BQ232" s="156"/>
      <c r="BR232" s="156"/>
      <c r="BS232" s="156"/>
      <c r="BT232" s="156"/>
      <c r="BU232" s="156"/>
      <c r="BV232" s="156"/>
      <c r="BW232" s="595" t="s">
        <v>2967</v>
      </c>
      <c r="BX232" s="157" t="s">
        <v>6598</v>
      </c>
      <c r="BY232" s="797" t="s">
        <v>7615</v>
      </c>
      <c r="BZ232" s="789" t="s">
        <v>7610</v>
      </c>
      <c r="CA232" s="765">
        <v>4</v>
      </c>
      <c r="CB232" s="765" t="s">
        <v>7556</v>
      </c>
      <c r="CC232" s="765" t="s">
        <v>7384</v>
      </c>
      <c r="CD232" s="134" t="s">
        <v>1876</v>
      </c>
      <c r="CE232" s="134">
        <v>2</v>
      </c>
      <c r="CF232" s="400" t="s">
        <v>7602</v>
      </c>
      <c r="CG232" s="426" t="s">
        <v>2965</v>
      </c>
      <c r="CH232" s="753" t="s">
        <v>1488</v>
      </c>
      <c r="CI232" s="134" t="s">
        <v>7553</v>
      </c>
      <c r="CJ232" s="134"/>
      <c r="CK232" s="134" t="s">
        <v>2945</v>
      </c>
      <c r="CL232" s="134" t="s">
        <v>6640</v>
      </c>
      <c r="CM232" s="259" t="s">
        <v>2971</v>
      </c>
      <c r="CN232" s="454" t="s">
        <v>6627</v>
      </c>
      <c r="CO232" s="828">
        <v>31</v>
      </c>
      <c r="CP232" s="828">
        <v>1</v>
      </c>
      <c r="CQ232" s="828">
        <v>1</v>
      </c>
      <c r="CR232" s="828">
        <v>0</v>
      </c>
      <c r="CS232" s="828">
        <v>1</v>
      </c>
      <c r="CT232" s="967"/>
      <c r="CU232" s="1289" t="s">
        <v>8104</v>
      </c>
      <c r="CV232" s="1295">
        <v>87</v>
      </c>
      <c r="CW232" s="1295">
        <v>79</v>
      </c>
      <c r="CX232" s="138" t="s">
        <v>2968</v>
      </c>
      <c r="CY232" s="134">
        <v>125.1</v>
      </c>
      <c r="CZ232" s="168" t="s">
        <v>24</v>
      </c>
      <c r="DA232" s="134">
        <v>6.2</v>
      </c>
      <c r="DB232" s="556" t="s">
        <v>2969</v>
      </c>
      <c r="DC232" s="190">
        <v>83.8</v>
      </c>
      <c r="DD232" s="134" t="s">
        <v>24</v>
      </c>
      <c r="DE232" s="134">
        <v>8.8000000000000007</v>
      </c>
      <c r="DF232" s="549" t="s">
        <v>2970</v>
      </c>
      <c r="DG232" s="295" t="s">
        <v>2972</v>
      </c>
      <c r="DH232" s="1154"/>
      <c r="DI232" s="448"/>
      <c r="DJ232" s="448"/>
      <c r="DK232" s="448"/>
      <c r="DL232" s="448"/>
      <c r="DM232" s="448"/>
      <c r="DN232" s="448"/>
      <c r="DO232" s="448"/>
      <c r="DP232" s="288"/>
      <c r="DQ232" s="289"/>
      <c r="DR232" s="1168"/>
      <c r="DS232" s="865"/>
      <c r="DT232" s="1171"/>
      <c r="DU232" s="1169"/>
      <c r="DV232" s="1169"/>
      <c r="DW232" s="1169"/>
      <c r="DX232" s="1169"/>
      <c r="DY232" s="1169"/>
      <c r="DZ232" s="1169"/>
      <c r="EA232" s="1169"/>
      <c r="EB232" s="304"/>
      <c r="EC232" s="312"/>
      <c r="ED232" s="1169"/>
      <c r="EE232" s="1169"/>
      <c r="EF232" s="1169"/>
      <c r="EG232" s="1169"/>
      <c r="EH232" s="1169"/>
      <c r="EI232" s="1169"/>
      <c r="EJ232" s="1169"/>
      <c r="EK232" s="1169"/>
      <c r="EL232" s="304"/>
      <c r="EM232" s="312"/>
      <c r="EN232" s="309"/>
      <c r="EO232" s="1170"/>
      <c r="EP232" s="1169"/>
      <c r="EQ232" s="1169"/>
      <c r="ER232" s="1169"/>
      <c r="ES232" s="1169"/>
      <c r="ET232" s="1171"/>
      <c r="EU232" s="1169"/>
      <c r="EV232" s="1169"/>
      <c r="EW232" s="1169"/>
      <c r="EX232" s="312"/>
      <c r="EY232" s="312"/>
      <c r="EZ232" s="1171"/>
      <c r="FA232" s="1169"/>
      <c r="FB232" s="1169"/>
      <c r="FC232" s="1169"/>
      <c r="FD232" s="1171"/>
      <c r="FE232" s="1169"/>
      <c r="FF232" s="1169"/>
      <c r="FG232" s="1169"/>
      <c r="FH232" s="312"/>
      <c r="FI232" s="312"/>
      <c r="FJ232" s="1170"/>
    </row>
    <row r="233" spans="1:166" s="1057" customFormat="1" ht="15" customHeight="1">
      <c r="A233" s="1305" t="s">
        <v>1026</v>
      </c>
      <c r="B233" s="1310">
        <v>24</v>
      </c>
      <c r="C233" s="1310"/>
      <c r="D233" s="1310"/>
      <c r="E233" s="1311" t="s">
        <v>2088</v>
      </c>
      <c r="F233" s="1312" t="s">
        <v>2343</v>
      </c>
      <c r="G233" s="1313">
        <v>2012</v>
      </c>
      <c r="H233" s="1305">
        <v>22176467</v>
      </c>
      <c r="I233" s="1305">
        <v>1</v>
      </c>
      <c r="J233" s="1305" t="s">
        <v>1855</v>
      </c>
      <c r="K233" s="1305"/>
      <c r="L233" s="1305">
        <v>0</v>
      </c>
      <c r="M233" s="1305"/>
      <c r="N233" s="1305">
        <v>0</v>
      </c>
      <c r="O233" s="1305">
        <v>2</v>
      </c>
      <c r="P233" s="1305" t="s">
        <v>1404</v>
      </c>
      <c r="Q233" s="1305" t="s">
        <v>1212</v>
      </c>
      <c r="R233" s="1305" t="s">
        <v>1127</v>
      </c>
      <c r="S233" s="1305"/>
      <c r="T233" s="1305" t="s">
        <v>1488</v>
      </c>
      <c r="U233" s="1305" t="s">
        <v>803</v>
      </c>
      <c r="V233" s="1305"/>
      <c r="W233" s="1305" t="s">
        <v>1403</v>
      </c>
      <c r="X233" s="1305"/>
      <c r="Y233" s="1305"/>
      <c r="Z233" s="1305"/>
      <c r="AA233" s="1305"/>
      <c r="AB233" s="1305"/>
      <c r="AC233" s="1306"/>
      <c r="AD233" s="1306">
        <v>1</v>
      </c>
      <c r="AE233" s="1306">
        <v>2</v>
      </c>
      <c r="AF233" s="1314">
        <v>1</v>
      </c>
      <c r="AG233" s="1315" t="s">
        <v>8140</v>
      </c>
      <c r="AH233" s="1306" t="s">
        <v>7704</v>
      </c>
      <c r="AI233" s="1306">
        <v>4</v>
      </c>
      <c r="AJ233" s="1306"/>
      <c r="AK233" s="1316" t="s">
        <v>3050</v>
      </c>
      <c r="AL233" s="1312">
        <v>1</v>
      </c>
      <c r="AM233" s="1317">
        <v>0</v>
      </c>
      <c r="AN233" s="1306">
        <f>Table66[[#This Row],[Data_Subjects_n_ptsd]]+Table66[[#This Row],[Data_Subjects_n_control]]</f>
        <v>15</v>
      </c>
      <c r="AO233" s="1306">
        <v>7</v>
      </c>
      <c r="AP233" s="1306">
        <v>8</v>
      </c>
      <c r="AQ233" s="1306" t="s">
        <v>803</v>
      </c>
      <c r="AR233" s="1306" t="s">
        <v>803</v>
      </c>
      <c r="AS233" s="1805" t="s">
        <v>3031</v>
      </c>
      <c r="AT233" s="1306" t="s">
        <v>24</v>
      </c>
      <c r="AU233" s="1805" t="s">
        <v>3031</v>
      </c>
      <c r="AV233" s="1306" t="s">
        <v>24</v>
      </c>
      <c r="AW233" s="1306" t="s">
        <v>7697</v>
      </c>
      <c r="AX233" s="1306">
        <v>15</v>
      </c>
      <c r="AY233" s="1306">
        <v>1</v>
      </c>
      <c r="AZ233" s="1306" t="s">
        <v>1814</v>
      </c>
      <c r="BA233" s="1306">
        <v>1</v>
      </c>
      <c r="BB233" s="1306" t="s">
        <v>7690</v>
      </c>
      <c r="BC233" s="1306" t="s">
        <v>3032</v>
      </c>
      <c r="BD233" s="1306" t="s">
        <v>7523</v>
      </c>
      <c r="BE233" s="1306"/>
      <c r="BF233" s="1306" t="s">
        <v>2730</v>
      </c>
      <c r="BG233" s="1306" t="s">
        <v>2554</v>
      </c>
      <c r="BH233" s="1312"/>
      <c r="BI233" s="1312"/>
      <c r="BJ233" s="1318">
        <v>1</v>
      </c>
      <c r="BK233" s="1318"/>
      <c r="BL233" s="1318"/>
      <c r="BM233" s="1318"/>
      <c r="BN233" s="1318"/>
      <c r="BO233" s="1318"/>
      <c r="BP233" s="1318"/>
      <c r="BQ233" s="1318"/>
      <c r="BR233" s="1318"/>
      <c r="BS233" s="1318"/>
      <c r="BT233" s="1318"/>
      <c r="BU233" s="1318"/>
      <c r="BV233" s="1318"/>
      <c r="BW233" s="1318" t="s">
        <v>3039</v>
      </c>
      <c r="BX233" s="1309" t="s">
        <v>6598</v>
      </c>
      <c r="BY233" s="1309" t="s">
        <v>7615</v>
      </c>
      <c r="BZ233" s="1309" t="s">
        <v>7610</v>
      </c>
      <c r="CA233" s="1318">
        <v>4</v>
      </c>
      <c r="CB233" s="1318" t="s">
        <v>7556</v>
      </c>
      <c r="CC233" s="1318" t="s">
        <v>7384</v>
      </c>
      <c r="CD233" s="1306" t="s">
        <v>1876</v>
      </c>
      <c r="CE233" s="1306" t="s">
        <v>3041</v>
      </c>
      <c r="CF233" s="1306" t="s">
        <v>7700</v>
      </c>
      <c r="CG233" s="1805" t="s">
        <v>7691</v>
      </c>
      <c r="CH233" s="1306" t="s">
        <v>1488</v>
      </c>
      <c r="CI233" s="1306" t="s">
        <v>2471</v>
      </c>
      <c r="CJ233" s="1306"/>
      <c r="CK233" s="1306" t="s">
        <v>2659</v>
      </c>
      <c r="CL233" s="1306" t="s">
        <v>2659</v>
      </c>
      <c r="CM233" s="1319" t="s">
        <v>8123</v>
      </c>
      <c r="CN233" s="1307" t="s">
        <v>6627</v>
      </c>
      <c r="CO233" s="1307">
        <v>44</v>
      </c>
      <c r="CP233" s="1307">
        <v>1</v>
      </c>
      <c r="CQ233" s="1307"/>
      <c r="CR233" s="1307">
        <v>1</v>
      </c>
      <c r="CS233" s="1307"/>
      <c r="CT233" s="1307"/>
      <c r="CU233" s="830" t="s">
        <v>8104</v>
      </c>
      <c r="CV233" s="1320">
        <v>96</v>
      </c>
      <c r="CW233" s="1320">
        <v>88</v>
      </c>
      <c r="CX233" s="1323" t="s">
        <v>3036</v>
      </c>
      <c r="CY233" s="1306">
        <v>87.4405</v>
      </c>
      <c r="CZ233" s="1321" t="s">
        <v>24</v>
      </c>
      <c r="DA233" s="1306">
        <f>89.1072-Table66[[#This Row],[Data_Outcome1_M]]</f>
        <v>1.6667000000000058</v>
      </c>
      <c r="DB233" s="1810" t="s">
        <v>3035</v>
      </c>
      <c r="DC233" s="1305">
        <v>26.8781</v>
      </c>
      <c r="DD233" s="1321" t="s">
        <v>24</v>
      </c>
      <c r="DE233" s="1306">
        <f>33.2117-Table66[[#This Row],[Data_Outcome2_M]]</f>
        <v>6.3336000000000006</v>
      </c>
      <c r="DF233" s="1307" t="s">
        <v>3061</v>
      </c>
      <c r="DG233" s="1312" t="s">
        <v>3062</v>
      </c>
      <c r="DH233" s="1308"/>
      <c r="DI233" s="1805"/>
      <c r="DJ233" s="1805"/>
      <c r="DK233" s="1805"/>
      <c r="DL233" s="1308"/>
      <c r="DM233" s="1805"/>
      <c r="DN233" s="1805"/>
      <c r="DO233" s="1805"/>
      <c r="DP233" s="1319"/>
      <c r="DQ233" s="1312"/>
      <c r="DR233" s="1322"/>
      <c r="DS233" s="1323"/>
      <c r="DT233" s="1323"/>
      <c r="DU233" s="1306"/>
      <c r="DV233" s="1321"/>
      <c r="DW233" s="1306"/>
      <c r="DX233" s="1323"/>
      <c r="DY233" s="1306"/>
      <c r="DZ233" s="1321"/>
      <c r="EA233" s="1306"/>
      <c r="EB233" s="1322"/>
      <c r="EC233" s="1321"/>
      <c r="ED233" s="1321"/>
      <c r="EE233" s="1306"/>
      <c r="EF233" s="1321"/>
      <c r="EG233" s="1306"/>
      <c r="EH233" s="1321"/>
      <c r="EI233" s="1306"/>
      <c r="EJ233" s="1321"/>
      <c r="EK233" s="1306"/>
      <c r="EL233" s="1322"/>
      <c r="EM233" s="1321"/>
      <c r="EN233" s="1322"/>
      <c r="EO233" s="1321"/>
      <c r="EP233" s="1321"/>
      <c r="EQ233" s="1306"/>
      <c r="ER233" s="1306"/>
      <c r="ES233" s="1306"/>
      <c r="ET233" s="1309"/>
      <c r="EU233" s="1306"/>
      <c r="EV233" s="1321"/>
      <c r="EW233" s="1321"/>
      <c r="EX233" s="1321"/>
      <c r="EY233" s="1321"/>
      <c r="EZ233" s="1323"/>
      <c r="FA233" s="1321"/>
      <c r="FB233" s="1321"/>
      <c r="FC233" s="1321"/>
      <c r="FD233" s="1323"/>
      <c r="FE233" s="1321"/>
      <c r="FF233" s="1321"/>
      <c r="FG233" s="1321"/>
      <c r="FH233" s="1321"/>
      <c r="FI233" s="1321"/>
      <c r="FJ233" s="1321"/>
    </row>
    <row r="234" spans="1:166" ht="15" customHeight="1">
      <c r="A234" s="1305" t="s">
        <v>1026</v>
      </c>
      <c r="B234" s="1310">
        <v>24</v>
      </c>
      <c r="C234" s="1310"/>
      <c r="D234" s="1310"/>
      <c r="E234" s="1311" t="s">
        <v>2088</v>
      </c>
      <c r="F234" s="1312" t="s">
        <v>2343</v>
      </c>
      <c r="G234" s="1313">
        <v>2012</v>
      </c>
      <c r="H234" s="1305">
        <v>22176467</v>
      </c>
      <c r="I234" s="1305">
        <v>1</v>
      </c>
      <c r="J234" s="1305" t="s">
        <v>1855</v>
      </c>
      <c r="K234" s="1305"/>
      <c r="L234" s="1305">
        <v>0</v>
      </c>
      <c r="M234" s="1305"/>
      <c r="N234" s="1305">
        <v>0</v>
      </c>
      <c r="O234" s="1305">
        <v>2</v>
      </c>
      <c r="P234" s="1305" t="s">
        <v>1404</v>
      </c>
      <c r="Q234" s="1305" t="s">
        <v>1212</v>
      </c>
      <c r="R234" s="1305" t="s">
        <v>1127</v>
      </c>
      <c r="S234" s="1305"/>
      <c r="T234" s="1305" t="s">
        <v>1488</v>
      </c>
      <c r="U234" s="1305" t="s">
        <v>803</v>
      </c>
      <c r="V234" s="1305"/>
      <c r="W234" s="1305" t="s">
        <v>1403</v>
      </c>
      <c r="X234" s="1305"/>
      <c r="Y234" s="1305"/>
      <c r="Z234" s="1305"/>
      <c r="AA234" s="1305"/>
      <c r="AB234" s="1305"/>
      <c r="AC234" s="1306"/>
      <c r="AD234" s="1306">
        <v>1</v>
      </c>
      <c r="AE234" s="1306">
        <v>2</v>
      </c>
      <c r="AF234" s="1314">
        <v>1</v>
      </c>
      <c r="AG234" s="1315" t="s">
        <v>8139</v>
      </c>
      <c r="AH234" s="1306" t="s">
        <v>7700</v>
      </c>
      <c r="AI234" s="1306">
        <v>4</v>
      </c>
      <c r="AJ234" s="1306"/>
      <c r="AK234" s="1316" t="s">
        <v>3052</v>
      </c>
      <c r="AL234" s="1312">
        <v>1</v>
      </c>
      <c r="AM234" s="1317">
        <v>0</v>
      </c>
      <c r="AN234" s="1306">
        <f>Table66[[#This Row],[Data_Subjects_n_ptsd]]+Table66[[#This Row],[Data_Subjects_n_control]]</f>
        <v>24</v>
      </c>
      <c r="AO234" s="1306">
        <v>12</v>
      </c>
      <c r="AP234" s="1306">
        <v>12</v>
      </c>
      <c r="AQ234" s="1306" t="s">
        <v>803</v>
      </c>
      <c r="AR234" s="1306" t="s">
        <v>803</v>
      </c>
      <c r="AS234" s="1306" t="s">
        <v>3031</v>
      </c>
      <c r="AT234" s="1306" t="s">
        <v>24</v>
      </c>
      <c r="AU234" s="1805" t="s">
        <v>3031</v>
      </c>
      <c r="AV234" s="1306" t="s">
        <v>24</v>
      </c>
      <c r="AW234" s="1306" t="s">
        <v>7697</v>
      </c>
      <c r="AX234" s="1306">
        <v>15</v>
      </c>
      <c r="AY234" s="1306">
        <v>1</v>
      </c>
      <c r="AZ234" s="1306" t="s">
        <v>1814</v>
      </c>
      <c r="BA234" s="1306">
        <v>1</v>
      </c>
      <c r="BB234" s="1306" t="s">
        <v>7690</v>
      </c>
      <c r="BC234" s="1306" t="s">
        <v>3032</v>
      </c>
      <c r="BD234" s="1306" t="s">
        <v>7523</v>
      </c>
      <c r="BE234" s="1306"/>
      <c r="BF234" s="1306" t="s">
        <v>2730</v>
      </c>
      <c r="BG234" s="1306" t="s">
        <v>2554</v>
      </c>
      <c r="BH234" s="1312"/>
      <c r="BI234" s="1312"/>
      <c r="BJ234" s="1318">
        <v>1</v>
      </c>
      <c r="BK234" s="1318"/>
      <c r="BL234" s="1318"/>
      <c r="BM234" s="1318"/>
      <c r="BN234" s="1318"/>
      <c r="BO234" s="1318"/>
      <c r="BP234" s="1318"/>
      <c r="BQ234" s="1318"/>
      <c r="BR234" s="1318"/>
      <c r="BS234" s="1318"/>
      <c r="BT234" s="1318"/>
      <c r="BU234" s="1318"/>
      <c r="BV234" s="1318"/>
      <c r="BW234" s="1318" t="s">
        <v>3043</v>
      </c>
      <c r="BX234" s="1309" t="s">
        <v>6598</v>
      </c>
      <c r="BY234" s="1309" t="s">
        <v>7615</v>
      </c>
      <c r="BZ234" s="1309" t="s">
        <v>7610</v>
      </c>
      <c r="CA234" s="1318">
        <v>4</v>
      </c>
      <c r="CB234" s="1318" t="s">
        <v>7556</v>
      </c>
      <c r="CC234" s="1318" t="s">
        <v>7384</v>
      </c>
      <c r="CD234" s="1306" t="s">
        <v>1876</v>
      </c>
      <c r="CE234" s="1306" t="s">
        <v>3041</v>
      </c>
      <c r="CF234" s="1306" t="s">
        <v>7700</v>
      </c>
      <c r="CG234" s="1805" t="s">
        <v>7694</v>
      </c>
      <c r="CH234" s="1306" t="s">
        <v>1488</v>
      </c>
      <c r="CI234" s="1306" t="s">
        <v>2471</v>
      </c>
      <c r="CJ234" s="1306"/>
      <c r="CK234" s="1306" t="s">
        <v>2659</v>
      </c>
      <c r="CL234" s="1306" t="s">
        <v>2659</v>
      </c>
      <c r="CM234" s="1319" t="s">
        <v>3083</v>
      </c>
      <c r="CN234" s="1307" t="s">
        <v>6627</v>
      </c>
      <c r="CO234" s="1307">
        <v>44</v>
      </c>
      <c r="CP234" s="1307">
        <v>2</v>
      </c>
      <c r="CQ234" s="1307"/>
      <c r="CR234" s="1307">
        <v>1</v>
      </c>
      <c r="CS234" s="1307"/>
      <c r="CT234" s="1307"/>
      <c r="CU234" s="830" t="s">
        <v>8104</v>
      </c>
      <c r="CV234" s="1320">
        <v>97</v>
      </c>
      <c r="CW234" s="1320">
        <v>89</v>
      </c>
      <c r="CX234" s="1309" t="s">
        <v>3036</v>
      </c>
      <c r="CY234" s="1321">
        <v>67.587800000000001</v>
      </c>
      <c r="CZ234" s="1321" t="s">
        <v>24</v>
      </c>
      <c r="DA234" s="1321">
        <f>75.7474-Table66[[#This Row],[Data_Outcome1_M]]</f>
        <v>8.1595999999999975</v>
      </c>
      <c r="DB234" s="1308" t="s">
        <v>3035</v>
      </c>
      <c r="DC234" s="1805">
        <v>16.767199999999999</v>
      </c>
      <c r="DD234" s="1321" t="s">
        <v>24</v>
      </c>
      <c r="DE234" s="1306">
        <f>21.5434-Table66[[#This Row],[Data_Outcome2_M]]</f>
        <v>4.7761999999999993</v>
      </c>
      <c r="DF234" s="1307" t="s">
        <v>3080</v>
      </c>
      <c r="DG234" s="1312" t="s">
        <v>3060</v>
      </c>
      <c r="DH234" s="1308"/>
      <c r="DI234" s="1805"/>
      <c r="DJ234" s="1805"/>
      <c r="DK234" s="1805"/>
      <c r="DL234" s="1308"/>
      <c r="DM234" s="1805"/>
      <c r="DN234" s="1805"/>
      <c r="DO234" s="1805"/>
      <c r="DP234" s="1319"/>
      <c r="DQ234" s="1312"/>
      <c r="DR234" s="1322"/>
      <c r="DS234" s="1323"/>
      <c r="DT234" s="1323"/>
      <c r="DU234" s="1306"/>
      <c r="DV234" s="1321"/>
      <c r="DW234" s="1306"/>
      <c r="DX234" s="1323"/>
      <c r="DY234" s="1321"/>
      <c r="DZ234" s="1321"/>
      <c r="EA234" s="1321"/>
      <c r="EB234" s="1322"/>
      <c r="EC234" s="1321"/>
      <c r="ED234" s="1321"/>
      <c r="EE234" s="1321"/>
      <c r="EF234" s="1321"/>
      <c r="EG234" s="1321"/>
      <c r="EH234" s="1321"/>
      <c r="EI234" s="1321"/>
      <c r="EJ234" s="1321"/>
      <c r="EK234" s="1321"/>
      <c r="EL234" s="1322"/>
      <c r="EM234" s="1321"/>
      <c r="EN234" s="1322"/>
      <c r="EO234" s="1321"/>
      <c r="EP234" s="1321"/>
      <c r="EQ234" s="1306"/>
      <c r="ER234" s="1306"/>
      <c r="ES234" s="1306"/>
      <c r="ET234" s="1309"/>
      <c r="EU234" s="1306"/>
      <c r="EV234" s="1321"/>
      <c r="EW234" s="1321"/>
      <c r="EX234" s="1321"/>
      <c r="EY234" s="1321"/>
      <c r="EZ234" s="1323"/>
      <c r="FA234" s="1321"/>
      <c r="FB234" s="1321"/>
      <c r="FC234" s="1321"/>
      <c r="FD234" s="1323"/>
      <c r="FE234" s="1321"/>
      <c r="FF234" s="1321"/>
      <c r="FG234" s="1321"/>
      <c r="FH234" s="1321"/>
      <c r="FI234" s="1321"/>
      <c r="FJ234" s="1321"/>
    </row>
    <row r="235" spans="1:166" ht="15" customHeight="1">
      <c r="A235" s="79" t="s">
        <v>218</v>
      </c>
      <c r="B235" s="614">
        <v>26</v>
      </c>
      <c r="C235" s="614"/>
      <c r="D235" s="614"/>
      <c r="E235" s="604" t="s">
        <v>1985</v>
      </c>
      <c r="F235" s="124" t="s">
        <v>2210</v>
      </c>
      <c r="G235" s="125">
        <v>2014</v>
      </c>
      <c r="H235" s="79">
        <v>24625622</v>
      </c>
      <c r="I235" s="79">
        <v>1</v>
      </c>
      <c r="J235" s="126"/>
      <c r="K235" s="127"/>
      <c r="L235" s="79">
        <v>1</v>
      </c>
      <c r="M235" s="79"/>
      <c r="N235" s="79">
        <v>1</v>
      </c>
      <c r="O235" s="128">
        <v>1</v>
      </c>
      <c r="P235" s="79" t="s">
        <v>614</v>
      </c>
      <c r="Q235" s="79" t="s">
        <v>1142</v>
      </c>
      <c r="R235" s="79" t="s">
        <v>615</v>
      </c>
      <c r="S235" s="79">
        <v>1</v>
      </c>
      <c r="T235" s="79"/>
      <c r="U235" s="79"/>
      <c r="V235" s="79"/>
      <c r="W235" s="79" t="s">
        <v>11</v>
      </c>
      <c r="X235" s="79"/>
      <c r="Y235" s="79" t="s">
        <v>13</v>
      </c>
      <c r="Z235" s="79"/>
      <c r="AA235" s="79"/>
      <c r="AB235" s="79"/>
      <c r="AC235" s="506"/>
      <c r="AD235" s="573">
        <v>1</v>
      </c>
      <c r="AE235" s="573">
        <v>2</v>
      </c>
      <c r="AF235" s="154">
        <v>1</v>
      </c>
      <c r="AG235" s="155"/>
      <c r="AH235" s="704"/>
      <c r="AI235" s="121">
        <v>1</v>
      </c>
      <c r="AJ235" s="484"/>
      <c r="AK235" s="202"/>
      <c r="AL235" s="192">
        <v>0</v>
      </c>
      <c r="AM235" s="203">
        <v>0</v>
      </c>
      <c r="AN235" s="121">
        <f>Table66[[#This Row],[Data_Subjects_n_ptsd]]+Table66[[#This Row],[Data_Subjects_n_control]]</f>
        <v>50</v>
      </c>
      <c r="AO235" s="121">
        <v>25</v>
      </c>
      <c r="AP235" s="121">
        <v>25</v>
      </c>
      <c r="AQ235" s="121" t="s">
        <v>3101</v>
      </c>
      <c r="AR235" s="121" t="s">
        <v>3102</v>
      </c>
      <c r="AS235" s="121">
        <v>37.299999999999997</v>
      </c>
      <c r="AT235" s="121" t="s">
        <v>3103</v>
      </c>
      <c r="AU235" s="448">
        <v>37.6</v>
      </c>
      <c r="AV235" s="121" t="s">
        <v>3104</v>
      </c>
      <c r="AW235" s="121" t="s">
        <v>1874</v>
      </c>
      <c r="AX235" s="121"/>
      <c r="AY235" s="121"/>
      <c r="AZ235" s="754" t="s">
        <v>1874</v>
      </c>
      <c r="BA235" s="121" t="s">
        <v>24</v>
      </c>
      <c r="BB235" s="121" t="s">
        <v>24</v>
      </c>
      <c r="BC235" s="121" t="s">
        <v>2423</v>
      </c>
      <c r="BD235" s="754" t="s">
        <v>7521</v>
      </c>
      <c r="BE235" s="1624">
        <v>0</v>
      </c>
      <c r="BF235" s="121" t="s">
        <v>2605</v>
      </c>
      <c r="BG235" s="121" t="s">
        <v>1875</v>
      </c>
      <c r="BH235" s="594"/>
      <c r="BI235" s="594"/>
      <c r="BJ235" s="156">
        <v>1</v>
      </c>
      <c r="BK235" s="156"/>
      <c r="BL235" s="156"/>
      <c r="BM235" s="156"/>
      <c r="BN235" s="156"/>
      <c r="BO235" s="156"/>
      <c r="BP235" s="156"/>
      <c r="BQ235" s="156"/>
      <c r="BR235" s="156"/>
      <c r="BS235" s="156"/>
      <c r="BT235" s="156"/>
      <c r="BU235" s="156"/>
      <c r="BV235" s="156"/>
      <c r="BW235" s="595" t="s">
        <v>3107</v>
      </c>
      <c r="BX235" s="157" t="s">
        <v>6596</v>
      </c>
      <c r="BY235" s="797" t="s">
        <v>7615</v>
      </c>
      <c r="BZ235" s="789" t="s">
        <v>7610</v>
      </c>
      <c r="CA235" s="765">
        <v>4</v>
      </c>
      <c r="CB235" s="765" t="s">
        <v>7556</v>
      </c>
      <c r="CC235" s="765" t="s">
        <v>7380</v>
      </c>
      <c r="CD235" s="134" t="s">
        <v>1876</v>
      </c>
      <c r="CE235" s="134" t="s">
        <v>3105</v>
      </c>
      <c r="CF235" s="400"/>
      <c r="CG235" s="426" t="s">
        <v>7933</v>
      </c>
      <c r="CH235" s="753" t="s">
        <v>1488</v>
      </c>
      <c r="CI235" s="134" t="s">
        <v>24</v>
      </c>
      <c r="CJ235" s="134"/>
      <c r="CK235" s="134" t="s">
        <v>7931</v>
      </c>
      <c r="CL235" s="134" t="s">
        <v>6638</v>
      </c>
      <c r="CM235" s="259" t="s">
        <v>3122</v>
      </c>
      <c r="CN235" s="454" t="s">
        <v>23</v>
      </c>
      <c r="CO235" s="828">
        <v>47</v>
      </c>
      <c r="CP235" s="828">
        <v>1</v>
      </c>
      <c r="CQ235" s="828">
        <v>1</v>
      </c>
      <c r="CR235" s="828">
        <v>1</v>
      </c>
      <c r="CS235" s="828">
        <v>1</v>
      </c>
      <c r="CT235" s="967"/>
      <c r="CU235" s="1288" t="s">
        <v>8103</v>
      </c>
      <c r="CV235" s="1294">
        <v>6</v>
      </c>
      <c r="CW235" s="1294">
        <v>3</v>
      </c>
      <c r="CX235" s="138" t="s">
        <v>7923</v>
      </c>
      <c r="CY235" s="134">
        <v>53.33</v>
      </c>
      <c r="CZ235" s="134" t="s">
        <v>24</v>
      </c>
      <c r="DA235" s="134">
        <v>3.14</v>
      </c>
      <c r="DB235" s="138" t="s">
        <v>7925</v>
      </c>
      <c r="DC235" s="190">
        <v>58.22</v>
      </c>
      <c r="DD235" s="134" t="s">
        <v>24</v>
      </c>
      <c r="DE235" s="134">
        <v>3.86</v>
      </c>
      <c r="DF235" s="549" t="s">
        <v>7919</v>
      </c>
      <c r="DG235" s="295" t="s">
        <v>3060</v>
      </c>
      <c r="DH235" s="1179"/>
      <c r="DI235" s="417"/>
      <c r="DJ235" s="1169"/>
      <c r="DK235" s="417"/>
      <c r="DL235" s="1169"/>
      <c r="DM235" s="417"/>
      <c r="DN235" s="1169"/>
      <c r="DO235" s="1151"/>
      <c r="DP235" s="435"/>
      <c r="DQ235" s="437"/>
      <c r="DR235" s="864"/>
      <c r="DS235" s="865"/>
      <c r="DT235" s="1171"/>
      <c r="DU235" s="417"/>
      <c r="DV235" s="1169"/>
      <c r="DW235" s="417"/>
      <c r="DX235" s="1169"/>
      <c r="DY235" s="417"/>
      <c r="DZ235" s="1169"/>
      <c r="EA235" s="1169"/>
      <c r="EB235" s="304"/>
      <c r="EC235" s="312"/>
      <c r="ED235" s="1169"/>
      <c r="EE235" s="1169"/>
      <c r="EF235" s="1169"/>
      <c r="EG235" s="1169"/>
      <c r="EH235" s="1169"/>
      <c r="EI235" s="1169"/>
      <c r="EJ235" s="1169"/>
      <c r="EK235" s="1169"/>
      <c r="EL235" s="304"/>
      <c r="EM235" s="312"/>
      <c r="EN235" s="276"/>
      <c r="EO235" s="1170"/>
      <c r="EP235" s="1169"/>
      <c r="EQ235" s="1169"/>
      <c r="ER235" s="1169"/>
      <c r="ES235" s="1169"/>
      <c r="ET235" s="1171"/>
      <c r="EU235" s="1169"/>
      <c r="EV235" s="1169"/>
      <c r="EW235" s="1169"/>
      <c r="EX235" s="312"/>
      <c r="EY235" s="312"/>
      <c r="EZ235" s="1171"/>
      <c r="FA235" s="1169"/>
      <c r="FB235" s="1169"/>
      <c r="FC235" s="1169"/>
      <c r="FD235" s="1171"/>
      <c r="FE235" s="1169"/>
      <c r="FF235" s="1169"/>
      <c r="FG235" s="1169"/>
      <c r="FH235" s="312"/>
      <c r="FI235" s="312"/>
      <c r="FJ235" s="1170"/>
    </row>
    <row r="236" spans="1:166" s="229" customFormat="1" ht="15" customHeight="1">
      <c r="A236" s="79" t="s">
        <v>218</v>
      </c>
      <c r="B236" s="614">
        <v>26</v>
      </c>
      <c r="C236" s="614"/>
      <c r="D236" s="614"/>
      <c r="E236" s="604" t="s">
        <v>1985</v>
      </c>
      <c r="F236" s="124" t="s">
        <v>2210</v>
      </c>
      <c r="G236" s="125">
        <v>2014</v>
      </c>
      <c r="H236" s="79">
        <v>24625622</v>
      </c>
      <c r="I236" s="79">
        <v>1</v>
      </c>
      <c r="J236" s="126"/>
      <c r="K236" s="127"/>
      <c r="L236" s="79">
        <v>1</v>
      </c>
      <c r="M236" s="79"/>
      <c r="N236" s="79">
        <v>1</v>
      </c>
      <c r="O236" s="128">
        <v>1</v>
      </c>
      <c r="P236" s="79" t="s">
        <v>614</v>
      </c>
      <c r="Q236" s="79" t="s">
        <v>1142</v>
      </c>
      <c r="R236" s="79" t="s">
        <v>615</v>
      </c>
      <c r="S236" s="79">
        <v>1</v>
      </c>
      <c r="T236" s="79"/>
      <c r="U236" s="79"/>
      <c r="V236" s="79"/>
      <c r="W236" s="79" t="s">
        <v>11</v>
      </c>
      <c r="X236" s="79"/>
      <c r="Y236" s="79" t="s">
        <v>13</v>
      </c>
      <c r="Z236" s="79"/>
      <c r="AA236" s="79"/>
      <c r="AB236" s="79"/>
      <c r="AC236" s="506"/>
      <c r="AD236" s="573">
        <v>1</v>
      </c>
      <c r="AE236" s="573">
        <v>2</v>
      </c>
      <c r="AF236" s="154">
        <v>1</v>
      </c>
      <c r="AG236" s="155"/>
      <c r="AH236" s="704"/>
      <c r="AI236" s="121">
        <v>1</v>
      </c>
      <c r="AJ236" s="484"/>
      <c r="AK236" s="202"/>
      <c r="AL236" s="192">
        <v>0</v>
      </c>
      <c r="AM236" s="203">
        <v>0</v>
      </c>
      <c r="AN236" s="121">
        <f>Table66[[#This Row],[Data_Subjects_n_ptsd]]+Table66[[#This Row],[Data_Subjects_n_control]]</f>
        <v>50</v>
      </c>
      <c r="AO236" s="121">
        <v>25</v>
      </c>
      <c r="AP236" s="121">
        <v>25</v>
      </c>
      <c r="AQ236" s="121" t="s">
        <v>3101</v>
      </c>
      <c r="AR236" s="121" t="s">
        <v>3102</v>
      </c>
      <c r="AS236" s="121">
        <v>37.299999999999997</v>
      </c>
      <c r="AT236" s="121" t="s">
        <v>3103</v>
      </c>
      <c r="AU236" s="448">
        <v>37.6</v>
      </c>
      <c r="AV236" s="121" t="s">
        <v>3104</v>
      </c>
      <c r="AW236" s="121" t="s">
        <v>1874</v>
      </c>
      <c r="AX236" s="121"/>
      <c r="AY236" s="121"/>
      <c r="AZ236" s="754" t="s">
        <v>1874</v>
      </c>
      <c r="BA236" s="121" t="s">
        <v>24</v>
      </c>
      <c r="BB236" s="121" t="s">
        <v>24</v>
      </c>
      <c r="BC236" s="121" t="s">
        <v>2423</v>
      </c>
      <c r="BD236" s="754" t="s">
        <v>7521</v>
      </c>
      <c r="BE236" s="1624">
        <v>0</v>
      </c>
      <c r="BF236" s="121" t="s">
        <v>2605</v>
      </c>
      <c r="BG236" s="121" t="s">
        <v>1875</v>
      </c>
      <c r="BH236" s="594"/>
      <c r="BI236" s="594"/>
      <c r="BJ236" s="156">
        <v>1</v>
      </c>
      <c r="BK236" s="156"/>
      <c r="BL236" s="156"/>
      <c r="BM236" s="156"/>
      <c r="BN236" s="156"/>
      <c r="BO236" s="156"/>
      <c r="BP236" s="156"/>
      <c r="BQ236" s="156"/>
      <c r="BR236" s="156"/>
      <c r="BS236" s="156"/>
      <c r="BT236" s="156"/>
      <c r="BU236" s="156"/>
      <c r="BV236" s="156"/>
      <c r="BW236" s="595" t="s">
        <v>3107</v>
      </c>
      <c r="BX236" s="157" t="s">
        <v>6596</v>
      </c>
      <c r="BY236" s="797" t="s">
        <v>7615</v>
      </c>
      <c r="BZ236" s="789" t="s">
        <v>7610</v>
      </c>
      <c r="CA236" s="765">
        <v>4</v>
      </c>
      <c r="CB236" s="765" t="s">
        <v>7556</v>
      </c>
      <c r="CC236" s="765" t="s">
        <v>7380</v>
      </c>
      <c r="CD236" s="134" t="s">
        <v>1876</v>
      </c>
      <c r="CE236" s="134" t="s">
        <v>3105</v>
      </c>
      <c r="CF236" s="400"/>
      <c r="CG236" s="426" t="s">
        <v>7934</v>
      </c>
      <c r="CH236" s="753" t="s">
        <v>1488</v>
      </c>
      <c r="CI236" s="134" t="s">
        <v>24</v>
      </c>
      <c r="CJ236" s="134"/>
      <c r="CK236" s="134" t="s">
        <v>7931</v>
      </c>
      <c r="CL236" s="134" t="s">
        <v>6638</v>
      </c>
      <c r="CM236" s="259" t="s">
        <v>3122</v>
      </c>
      <c r="CN236" s="454" t="s">
        <v>23</v>
      </c>
      <c r="CO236" s="828">
        <v>47</v>
      </c>
      <c r="CP236" s="828">
        <v>1</v>
      </c>
      <c r="CQ236" s="828">
        <v>3</v>
      </c>
      <c r="CR236" s="828">
        <v>1</v>
      </c>
      <c r="CS236" s="828">
        <v>1</v>
      </c>
      <c r="CT236" s="967"/>
      <c r="CU236" s="1288" t="s">
        <v>8103</v>
      </c>
      <c r="CV236" s="1294">
        <v>6</v>
      </c>
      <c r="CW236" s="1294">
        <v>3</v>
      </c>
      <c r="CX236" s="138" t="s">
        <v>7924</v>
      </c>
      <c r="CY236" s="134">
        <v>49.33</v>
      </c>
      <c r="CZ236" s="134" t="s">
        <v>24</v>
      </c>
      <c r="DA236" s="134">
        <v>5.63</v>
      </c>
      <c r="DB236" s="430" t="s">
        <v>7926</v>
      </c>
      <c r="DC236" s="426">
        <v>46.22</v>
      </c>
      <c r="DD236" s="134" t="s">
        <v>24</v>
      </c>
      <c r="DE236" s="134" t="s">
        <v>3114</v>
      </c>
      <c r="DF236" s="300" t="s">
        <v>7921</v>
      </c>
      <c r="DG236" s="436" t="s">
        <v>3120</v>
      </c>
      <c r="DH236" s="1154"/>
      <c r="DI236" s="448"/>
      <c r="DJ236" s="448"/>
      <c r="DK236" s="448"/>
      <c r="DL236" s="1154"/>
      <c r="DM236" s="448"/>
      <c r="DN236" s="448"/>
      <c r="DO236" s="448"/>
      <c r="DP236" s="288"/>
      <c r="DQ236" s="289"/>
      <c r="DR236" s="1168"/>
      <c r="DS236" s="865"/>
      <c r="DT236" s="1171"/>
      <c r="DU236" s="1169"/>
      <c r="DV236" s="1169"/>
      <c r="DW236" s="1169"/>
      <c r="DX236" s="1171"/>
      <c r="DY236" s="1169"/>
      <c r="DZ236" s="1169"/>
      <c r="EA236" s="1169"/>
      <c r="EB236" s="304"/>
      <c r="EC236" s="312"/>
      <c r="ED236" s="1171"/>
      <c r="EE236" s="1169"/>
      <c r="EF236" s="1169"/>
      <c r="EG236" s="1169"/>
      <c r="EH236" s="1171"/>
      <c r="EI236" s="1169"/>
      <c r="EJ236" s="1169"/>
      <c r="EK236" s="1169"/>
      <c r="EL236" s="304"/>
      <c r="EM236" s="312"/>
      <c r="EN236" s="309"/>
      <c r="EO236" s="1170"/>
      <c r="EP236" s="1169"/>
      <c r="EQ236" s="1169"/>
      <c r="ER236" s="1169"/>
      <c r="ES236" s="1169"/>
      <c r="ET236" s="1171"/>
      <c r="EU236" s="1169"/>
      <c r="EV236" s="1169"/>
      <c r="EW236" s="1169"/>
      <c r="EX236" s="312"/>
      <c r="EY236" s="312"/>
      <c r="EZ236" s="1171"/>
      <c r="FA236" s="1169"/>
      <c r="FB236" s="1169"/>
      <c r="FC236" s="1169"/>
      <c r="FD236" s="1171"/>
      <c r="FE236" s="1169"/>
      <c r="FF236" s="1169"/>
      <c r="FG236" s="1169"/>
      <c r="FH236" s="312"/>
      <c r="FI236" s="312"/>
      <c r="FJ236" s="1170"/>
    </row>
    <row r="237" spans="1:166" s="229" customFormat="1" ht="15" customHeight="1">
      <c r="A237" s="79" t="s">
        <v>1021</v>
      </c>
      <c r="B237" s="614">
        <v>27</v>
      </c>
      <c r="C237" s="614"/>
      <c r="D237" s="614"/>
      <c r="E237" s="604" t="s">
        <v>2092</v>
      </c>
      <c r="F237" s="124" t="s">
        <v>2347</v>
      </c>
      <c r="G237" s="125">
        <v>2014</v>
      </c>
      <c r="H237" s="79">
        <v>24988461</v>
      </c>
      <c r="I237" s="79">
        <v>1</v>
      </c>
      <c r="J237" s="126">
        <v>1</v>
      </c>
      <c r="K237" s="127"/>
      <c r="L237" s="79">
        <v>1</v>
      </c>
      <c r="M237" s="79"/>
      <c r="N237" s="79">
        <v>1</v>
      </c>
      <c r="O237" s="128">
        <v>2</v>
      </c>
      <c r="P237" s="79" t="s">
        <v>1415</v>
      </c>
      <c r="Q237" s="79" t="s">
        <v>1224</v>
      </c>
      <c r="R237" s="79" t="s">
        <v>1127</v>
      </c>
      <c r="S237" s="79"/>
      <c r="T237" s="79" t="s">
        <v>1487</v>
      </c>
      <c r="U237" s="79" t="s">
        <v>803</v>
      </c>
      <c r="V237" s="79" t="s">
        <v>23</v>
      </c>
      <c r="W237" s="79" t="s">
        <v>1675</v>
      </c>
      <c r="X237" s="79"/>
      <c r="Y237" s="79"/>
      <c r="Z237" s="79"/>
      <c r="AA237" s="79"/>
      <c r="AB237" s="79"/>
      <c r="AC237" s="506"/>
      <c r="AD237" s="573">
        <v>1</v>
      </c>
      <c r="AE237" s="573">
        <v>2</v>
      </c>
      <c r="AF237" s="154">
        <v>1</v>
      </c>
      <c r="AG237" s="155"/>
      <c r="AH237" s="704" t="s">
        <v>7508</v>
      </c>
      <c r="AI237" s="121">
        <v>4</v>
      </c>
      <c r="AJ237" s="484"/>
      <c r="AK237" s="202" t="s">
        <v>3129</v>
      </c>
      <c r="AL237" s="192">
        <v>0</v>
      </c>
      <c r="AM237" s="203">
        <v>1</v>
      </c>
      <c r="AN237" s="121">
        <v>20</v>
      </c>
      <c r="AO237" s="121">
        <v>10</v>
      </c>
      <c r="AP237" s="121">
        <v>10</v>
      </c>
      <c r="AQ237" s="121" t="s">
        <v>803</v>
      </c>
      <c r="AR237" s="134" t="s">
        <v>803</v>
      </c>
      <c r="AS237" s="134" t="s">
        <v>7486</v>
      </c>
      <c r="AT237" s="134" t="s">
        <v>24</v>
      </c>
      <c r="AU237" s="426" t="s">
        <v>7486</v>
      </c>
      <c r="AV237" s="134" t="s">
        <v>24</v>
      </c>
      <c r="AW237" s="134" t="s">
        <v>2963</v>
      </c>
      <c r="AX237" s="121"/>
      <c r="AY237" s="121"/>
      <c r="AZ237" s="754" t="s">
        <v>1487</v>
      </c>
      <c r="BA237" s="121">
        <v>1</v>
      </c>
      <c r="BB237" s="121">
        <v>1</v>
      </c>
      <c r="BC237" s="121" t="s">
        <v>7527</v>
      </c>
      <c r="BD237" s="754" t="s">
        <v>7523</v>
      </c>
      <c r="BE237" s="754"/>
      <c r="BF237" s="121" t="s">
        <v>1130</v>
      </c>
      <c r="BG237" s="121" t="s">
        <v>2798</v>
      </c>
      <c r="BH237" s="594"/>
      <c r="BI237" s="594"/>
      <c r="BJ237" s="156">
        <v>1</v>
      </c>
      <c r="BK237" s="156"/>
      <c r="BL237" s="156"/>
      <c r="BM237" s="156"/>
      <c r="BN237" s="156"/>
      <c r="BO237" s="156"/>
      <c r="BP237" s="156"/>
      <c r="BQ237" s="156"/>
      <c r="BR237" s="156"/>
      <c r="BS237" s="156"/>
      <c r="BT237" s="156"/>
      <c r="BU237" s="156"/>
      <c r="BV237" s="156"/>
      <c r="BW237" s="595" t="s">
        <v>2879</v>
      </c>
      <c r="BX237" s="157" t="s">
        <v>6598</v>
      </c>
      <c r="BY237" s="797" t="s">
        <v>7615</v>
      </c>
      <c r="BZ237" s="789" t="s">
        <v>7610</v>
      </c>
      <c r="CA237" s="765">
        <v>4</v>
      </c>
      <c r="CB237" s="765" t="s">
        <v>7556</v>
      </c>
      <c r="CC237" s="765" t="s">
        <v>7384</v>
      </c>
      <c r="CD237" s="134" t="s">
        <v>1876</v>
      </c>
      <c r="CE237" s="134" t="s">
        <v>3128</v>
      </c>
      <c r="CF237" s="400" t="s">
        <v>7603</v>
      </c>
      <c r="CG237" s="426" t="s">
        <v>3127</v>
      </c>
      <c r="CH237" s="753" t="s">
        <v>1488</v>
      </c>
      <c r="CI237" s="134" t="s">
        <v>7555</v>
      </c>
      <c r="CJ237" s="134">
        <v>0</v>
      </c>
      <c r="CK237" s="134" t="s">
        <v>2659</v>
      </c>
      <c r="CL237" s="134" t="s">
        <v>2659</v>
      </c>
      <c r="CM237" s="259" t="s">
        <v>3126</v>
      </c>
      <c r="CN237" s="454" t="s">
        <v>6627</v>
      </c>
      <c r="CO237" s="828">
        <v>49</v>
      </c>
      <c r="CP237" s="828">
        <v>1</v>
      </c>
      <c r="CQ237" s="828">
        <v>1</v>
      </c>
      <c r="CR237" s="828">
        <v>0</v>
      </c>
      <c r="CS237" s="828">
        <v>1</v>
      </c>
      <c r="CT237" s="967"/>
      <c r="CU237" s="1289" t="s">
        <v>8104</v>
      </c>
      <c r="CV237" s="1295">
        <v>102</v>
      </c>
      <c r="CW237" s="1295">
        <v>94</v>
      </c>
      <c r="CX237" s="138" t="s">
        <v>3123</v>
      </c>
      <c r="CY237" s="134">
        <v>56.833100000000002</v>
      </c>
      <c r="CZ237" s="134" t="s">
        <v>24</v>
      </c>
      <c r="DA237" s="134">
        <f>66.4251-Table66[[#This Row],[Data_Outcome1_M]]</f>
        <v>9.5919999999999987</v>
      </c>
      <c r="DB237" s="138" t="s">
        <v>3124</v>
      </c>
      <c r="DC237" s="134">
        <v>21.870699999999999</v>
      </c>
      <c r="DD237" s="134" t="s">
        <v>24</v>
      </c>
      <c r="DE237" s="134">
        <f>27.2365-Table66[[#This Row],[Data_Outcome2_M]]</f>
        <v>5.3658000000000001</v>
      </c>
      <c r="DF237" s="549" t="s">
        <v>3125</v>
      </c>
      <c r="DG237" s="295" t="s">
        <v>3060</v>
      </c>
      <c r="DH237" s="1154" t="s">
        <v>24</v>
      </c>
      <c r="DI237" s="448"/>
      <c r="DJ237" s="448"/>
      <c r="DK237" s="448"/>
      <c r="DL237" s="448"/>
      <c r="DM237" s="448"/>
      <c r="DN237" s="448"/>
      <c r="DO237" s="448"/>
      <c r="DP237" s="288"/>
      <c r="DQ237" s="289"/>
      <c r="DR237" s="1168"/>
      <c r="DS237" s="865"/>
      <c r="DT237" s="1171"/>
      <c r="DU237" s="121"/>
      <c r="DV237" s="1169"/>
      <c r="DW237" s="121"/>
      <c r="DX237" s="1169"/>
      <c r="DY237" s="121"/>
      <c r="DZ237" s="1169"/>
      <c r="EA237" s="121"/>
      <c r="EB237" s="304"/>
      <c r="EC237" s="312"/>
      <c r="ED237" s="1169"/>
      <c r="EE237" s="121"/>
      <c r="EF237" s="1169"/>
      <c r="EG237" s="121"/>
      <c r="EH237" s="1169"/>
      <c r="EI237" s="121"/>
      <c r="EJ237" s="1169"/>
      <c r="EK237" s="121"/>
      <c r="EL237" s="304"/>
      <c r="EM237" s="312"/>
      <c r="EN237" s="276"/>
      <c r="EO237" s="277"/>
      <c r="EP237" s="121"/>
      <c r="EQ237" s="121"/>
      <c r="ER237" s="121"/>
      <c r="ES237" s="121"/>
      <c r="ET237" s="1276"/>
      <c r="EU237" s="121"/>
      <c r="EV237" s="121"/>
      <c r="EW237" s="121"/>
      <c r="EX237" s="312"/>
      <c r="EY237" s="312"/>
      <c r="EZ237" s="1276"/>
      <c r="FA237" s="121"/>
      <c r="FB237" s="121"/>
      <c r="FC237" s="121"/>
      <c r="FD237" s="1276"/>
      <c r="FE237" s="121"/>
      <c r="FF237" s="121"/>
      <c r="FG237" s="121"/>
      <c r="FH237" s="301"/>
      <c r="FI237" s="301"/>
      <c r="FJ237" s="277"/>
    </row>
    <row r="238" spans="1:166" s="229" customFormat="1" ht="15" customHeight="1">
      <c r="A238" s="79" t="s">
        <v>225</v>
      </c>
      <c r="B238" s="614">
        <v>28</v>
      </c>
      <c r="C238" s="614"/>
      <c r="D238" s="614"/>
      <c r="E238" s="604" t="s">
        <v>1987</v>
      </c>
      <c r="F238" s="124" t="s">
        <v>2213</v>
      </c>
      <c r="G238" s="125">
        <v>2008</v>
      </c>
      <c r="H238" s="79">
        <v>18313695</v>
      </c>
      <c r="I238" s="79">
        <v>1</v>
      </c>
      <c r="J238" s="126"/>
      <c r="K238" s="127"/>
      <c r="L238" s="79">
        <v>1</v>
      </c>
      <c r="M238" s="79"/>
      <c r="N238" s="79">
        <v>1</v>
      </c>
      <c r="O238" s="128">
        <v>1</v>
      </c>
      <c r="P238" s="79" t="s">
        <v>627</v>
      </c>
      <c r="Q238" s="79" t="s">
        <v>1142</v>
      </c>
      <c r="R238" s="79" t="s">
        <v>628</v>
      </c>
      <c r="S238" s="79">
        <v>1</v>
      </c>
      <c r="T238" s="79"/>
      <c r="U238" s="79"/>
      <c r="V238" s="79"/>
      <c r="W238" s="79" t="s">
        <v>629</v>
      </c>
      <c r="X238" s="79" t="s">
        <v>24</v>
      </c>
      <c r="Y238" s="79" t="s">
        <v>630</v>
      </c>
      <c r="Z238" s="79"/>
      <c r="AA238" s="79"/>
      <c r="AB238" s="79" t="s">
        <v>631</v>
      </c>
      <c r="AC238" s="506"/>
      <c r="AD238" s="573">
        <v>1</v>
      </c>
      <c r="AE238" s="573">
        <v>2</v>
      </c>
      <c r="AF238" s="154">
        <v>1</v>
      </c>
      <c r="AG238" s="160" t="s">
        <v>7949</v>
      </c>
      <c r="AH238" s="704" t="s">
        <v>7953</v>
      </c>
      <c r="AI238" s="121">
        <v>0</v>
      </c>
      <c r="AJ238" s="484"/>
      <c r="AK238" s="202"/>
      <c r="AL238" s="192">
        <v>1</v>
      </c>
      <c r="AM238" s="203">
        <v>0</v>
      </c>
      <c r="AN238" s="122">
        <f>Table66[[#This Row],[Data_Subjects_n_ptsd]]+Table66[[#This Row],[Data_Subjects_n_control]]</f>
        <v>21</v>
      </c>
      <c r="AO238" s="122">
        <f>7</f>
        <v>7</v>
      </c>
      <c r="AP238" s="122">
        <v>14</v>
      </c>
      <c r="AQ238" s="122" t="s">
        <v>803</v>
      </c>
      <c r="AR238" s="150" t="s">
        <v>803</v>
      </c>
      <c r="AS238" s="150">
        <v>58.1</v>
      </c>
      <c r="AT238" s="150">
        <v>2.8</v>
      </c>
      <c r="AU238" s="425">
        <v>58.1</v>
      </c>
      <c r="AV238" s="150">
        <v>2.8</v>
      </c>
      <c r="AW238" s="150" t="s">
        <v>1874</v>
      </c>
      <c r="AX238" s="122"/>
      <c r="AY238" s="122"/>
      <c r="AZ238" s="754" t="s">
        <v>1874</v>
      </c>
      <c r="BA238" s="122" t="s">
        <v>24</v>
      </c>
      <c r="BB238" s="122" t="s">
        <v>24</v>
      </c>
      <c r="BC238" s="122" t="s">
        <v>7950</v>
      </c>
      <c r="BD238" s="754" t="s">
        <v>7952</v>
      </c>
      <c r="BE238" s="187">
        <v>1</v>
      </c>
      <c r="BF238" s="121" t="s">
        <v>2875</v>
      </c>
      <c r="BG238" s="121" t="s">
        <v>1875</v>
      </c>
      <c r="BH238" s="594"/>
      <c r="BI238" s="594"/>
      <c r="BJ238" s="156">
        <v>1</v>
      </c>
      <c r="BK238" s="156"/>
      <c r="BL238" s="156"/>
      <c r="BM238" s="156"/>
      <c r="BN238" s="156"/>
      <c r="BO238" s="156"/>
      <c r="BP238" s="156"/>
      <c r="BQ238" s="156"/>
      <c r="BR238" s="156"/>
      <c r="BS238" s="156"/>
      <c r="BT238" s="156"/>
      <c r="BU238" s="156"/>
      <c r="BV238" s="156"/>
      <c r="BW238" s="595" t="s">
        <v>1891</v>
      </c>
      <c r="BX238" s="157" t="s">
        <v>6596</v>
      </c>
      <c r="BY238" s="797" t="s">
        <v>7615</v>
      </c>
      <c r="BZ238" s="789" t="s">
        <v>7610</v>
      </c>
      <c r="CA238" s="765">
        <v>4</v>
      </c>
      <c r="CB238" s="765" t="s">
        <v>7556</v>
      </c>
      <c r="CC238" s="765" t="s">
        <v>7954</v>
      </c>
      <c r="CD238" s="134" t="s">
        <v>1876</v>
      </c>
      <c r="CE238" s="134" t="s">
        <v>3136</v>
      </c>
      <c r="CF238" s="400"/>
      <c r="CG238" s="426" t="s">
        <v>3137</v>
      </c>
      <c r="CH238" s="753" t="s">
        <v>1488</v>
      </c>
      <c r="CI238" s="134" t="s">
        <v>24</v>
      </c>
      <c r="CJ238" s="134">
        <v>1</v>
      </c>
      <c r="CK238" s="134" t="s">
        <v>3138</v>
      </c>
      <c r="CL238" s="134" t="s">
        <v>630</v>
      </c>
      <c r="CM238" s="259" t="s">
        <v>3166</v>
      </c>
      <c r="CN238" s="454">
        <v>0</v>
      </c>
      <c r="CO238" s="829">
        <v>51</v>
      </c>
      <c r="CP238" s="829">
        <v>1</v>
      </c>
      <c r="CQ238" s="829">
        <v>13</v>
      </c>
      <c r="CR238" s="829">
        <v>1</v>
      </c>
      <c r="CS238" s="829">
        <v>1</v>
      </c>
      <c r="CT238" s="968" t="s">
        <v>7836</v>
      </c>
      <c r="CU238" s="1291" t="s">
        <v>8102</v>
      </c>
      <c r="CV238" s="1295">
        <v>20</v>
      </c>
      <c r="CW238" s="1295">
        <v>20</v>
      </c>
      <c r="CX238" s="138" t="s">
        <v>3139</v>
      </c>
      <c r="CY238" s="134">
        <v>0.39906700000000001</v>
      </c>
      <c r="CZ238" s="134" t="s">
        <v>24</v>
      </c>
      <c r="DA238" s="134">
        <f>0.531716-Table66[[#This Row],[Data_Outcome1_M]]</f>
        <v>0.13264899999999996</v>
      </c>
      <c r="DB238" s="138" t="s">
        <v>3143</v>
      </c>
      <c r="DC238" s="134">
        <v>0.365485</v>
      </c>
      <c r="DD238" s="134" t="s">
        <v>24</v>
      </c>
      <c r="DE238" s="134">
        <f>0.481343-Table66[[#This Row],[Data_Outcome2_M]]</f>
        <v>0.11585800000000002</v>
      </c>
      <c r="DF238" s="549" t="s">
        <v>3168</v>
      </c>
      <c r="DG238" s="295" t="s">
        <v>3167</v>
      </c>
      <c r="DH238" s="448"/>
      <c r="DI238" s="448"/>
      <c r="DJ238" s="448"/>
      <c r="DK238" s="448"/>
      <c r="DL238" s="448"/>
      <c r="DM238" s="448"/>
      <c r="DN238" s="448"/>
      <c r="DO238" s="448"/>
      <c r="DP238" s="288"/>
      <c r="DQ238" s="289"/>
      <c r="DR238" s="1168"/>
      <c r="DS238" s="865"/>
      <c r="DT238" s="1171"/>
      <c r="DU238" s="121"/>
      <c r="DV238" s="1169"/>
      <c r="DW238" s="121"/>
      <c r="DX238" s="1169"/>
      <c r="DY238" s="121"/>
      <c r="DZ238" s="1169"/>
      <c r="EA238" s="121"/>
      <c r="EB238" s="304"/>
      <c r="EC238" s="312"/>
      <c r="ED238" s="1169"/>
      <c r="EE238" s="121"/>
      <c r="EF238" s="1169"/>
      <c r="EG238" s="121"/>
      <c r="EH238" s="1169"/>
      <c r="EI238" s="121"/>
      <c r="EJ238" s="1169"/>
      <c r="EK238" s="121"/>
      <c r="EL238" s="304"/>
      <c r="EM238" s="312"/>
      <c r="EN238" s="309"/>
      <c r="EO238" s="1170"/>
      <c r="EP238" s="121"/>
      <c r="EQ238" s="121"/>
      <c r="ER238" s="121"/>
      <c r="ES238" s="121"/>
      <c r="ET238" s="1276"/>
      <c r="EU238" s="121"/>
      <c r="EV238" s="121"/>
      <c r="EW238" s="121"/>
      <c r="EX238" s="301"/>
      <c r="EY238" s="301"/>
      <c r="EZ238" s="1276"/>
      <c r="FA238" s="121"/>
      <c r="FB238" s="121"/>
      <c r="FC238" s="121"/>
      <c r="FD238" s="1276"/>
      <c r="FE238" s="121"/>
      <c r="FF238" s="121"/>
      <c r="FG238" s="121"/>
      <c r="FH238" s="301"/>
      <c r="FI238" s="301"/>
      <c r="FJ238" s="1170"/>
    </row>
    <row r="239" spans="1:166" s="229" customFormat="1" ht="15" customHeight="1">
      <c r="A239" s="79" t="s">
        <v>225</v>
      </c>
      <c r="B239" s="614">
        <v>28</v>
      </c>
      <c r="C239" s="614"/>
      <c r="D239" s="614"/>
      <c r="E239" s="604" t="s">
        <v>1987</v>
      </c>
      <c r="F239" s="124" t="s">
        <v>2213</v>
      </c>
      <c r="G239" s="125">
        <v>2008</v>
      </c>
      <c r="H239" s="79">
        <v>18313695</v>
      </c>
      <c r="I239" s="79">
        <v>1</v>
      </c>
      <c r="J239" s="126"/>
      <c r="K239" s="127"/>
      <c r="L239" s="79">
        <v>1</v>
      </c>
      <c r="M239" s="79"/>
      <c r="N239" s="79">
        <v>1</v>
      </c>
      <c r="O239" s="128">
        <v>1</v>
      </c>
      <c r="P239" s="79" t="s">
        <v>627</v>
      </c>
      <c r="Q239" s="79" t="s">
        <v>1142</v>
      </c>
      <c r="R239" s="79" t="s">
        <v>628</v>
      </c>
      <c r="S239" s="79">
        <v>1</v>
      </c>
      <c r="T239" s="79"/>
      <c r="U239" s="79"/>
      <c r="V239" s="79"/>
      <c r="W239" s="79" t="s">
        <v>629</v>
      </c>
      <c r="X239" s="79" t="s">
        <v>24</v>
      </c>
      <c r="Y239" s="79" t="s">
        <v>630</v>
      </c>
      <c r="Z239" s="79"/>
      <c r="AA239" s="79"/>
      <c r="AB239" s="79" t="s">
        <v>631</v>
      </c>
      <c r="AC239" s="506"/>
      <c r="AD239" s="573">
        <v>1</v>
      </c>
      <c r="AE239" s="573">
        <v>2</v>
      </c>
      <c r="AF239" s="154">
        <v>1</v>
      </c>
      <c r="AG239" s="160" t="s">
        <v>7949</v>
      </c>
      <c r="AH239" s="704"/>
      <c r="AI239" s="121">
        <v>2</v>
      </c>
      <c r="AJ239" s="484"/>
      <c r="AK239" s="202"/>
      <c r="AL239" s="192">
        <v>1</v>
      </c>
      <c r="AM239" s="203">
        <v>0</v>
      </c>
      <c r="AN239" s="122">
        <f>Table66[[#This Row],[Data_Subjects_n_ptsd]]+Table66[[#This Row],[Data_Subjects_n_control]]</f>
        <v>14</v>
      </c>
      <c r="AO239" s="122">
        <f>7</f>
        <v>7</v>
      </c>
      <c r="AP239" s="122">
        <v>7</v>
      </c>
      <c r="AQ239" s="122" t="s">
        <v>803</v>
      </c>
      <c r="AR239" s="150" t="s">
        <v>803</v>
      </c>
      <c r="AS239" s="150">
        <v>58.1</v>
      </c>
      <c r="AT239" s="150">
        <v>2.8</v>
      </c>
      <c r="AU239" s="425">
        <v>59.1</v>
      </c>
      <c r="AV239" s="150">
        <v>2.5</v>
      </c>
      <c r="AW239" s="150" t="s">
        <v>1874</v>
      </c>
      <c r="AX239" s="122"/>
      <c r="AY239" s="122"/>
      <c r="AZ239" s="754" t="s">
        <v>1874</v>
      </c>
      <c r="BA239" s="122" t="s">
        <v>24</v>
      </c>
      <c r="BB239" s="122" t="s">
        <v>24</v>
      </c>
      <c r="BC239" s="122" t="s">
        <v>4161</v>
      </c>
      <c r="BD239" s="754" t="s">
        <v>7521</v>
      </c>
      <c r="BE239" s="187">
        <v>1</v>
      </c>
      <c r="BF239" s="121" t="s">
        <v>2605</v>
      </c>
      <c r="BG239" s="121" t="s">
        <v>1875</v>
      </c>
      <c r="BH239" s="594"/>
      <c r="BI239" s="594"/>
      <c r="BJ239" s="156">
        <v>1</v>
      </c>
      <c r="BK239" s="156"/>
      <c r="BL239" s="156"/>
      <c r="BM239" s="156"/>
      <c r="BN239" s="156"/>
      <c r="BO239" s="156"/>
      <c r="BP239" s="156"/>
      <c r="BQ239" s="156"/>
      <c r="BR239" s="156"/>
      <c r="BS239" s="156"/>
      <c r="BT239" s="156"/>
      <c r="BU239" s="156"/>
      <c r="BV239" s="156"/>
      <c r="BW239" s="595" t="s">
        <v>1891</v>
      </c>
      <c r="BX239" s="157" t="s">
        <v>6596</v>
      </c>
      <c r="BY239" s="797" t="s">
        <v>7615</v>
      </c>
      <c r="BZ239" s="789" t="s">
        <v>7610</v>
      </c>
      <c r="CA239" s="765">
        <v>4</v>
      </c>
      <c r="CB239" s="765" t="s">
        <v>7556</v>
      </c>
      <c r="CC239" s="765" t="s">
        <v>7954</v>
      </c>
      <c r="CD239" s="134" t="s">
        <v>1876</v>
      </c>
      <c r="CE239" s="134" t="s">
        <v>3136</v>
      </c>
      <c r="CF239" s="400"/>
      <c r="CG239" s="426" t="s">
        <v>3137</v>
      </c>
      <c r="CH239" s="753" t="s">
        <v>1488</v>
      </c>
      <c r="CI239" s="134" t="s">
        <v>24</v>
      </c>
      <c r="CJ239" s="134">
        <v>1</v>
      </c>
      <c r="CK239" s="134" t="s">
        <v>3138</v>
      </c>
      <c r="CL239" s="134" t="s">
        <v>630</v>
      </c>
      <c r="CM239" s="259" t="s">
        <v>3166</v>
      </c>
      <c r="CN239" s="454">
        <v>0</v>
      </c>
      <c r="CO239" s="829">
        <v>51</v>
      </c>
      <c r="CP239" s="829">
        <v>1</v>
      </c>
      <c r="CQ239" s="829">
        <v>14</v>
      </c>
      <c r="CR239" s="829">
        <v>1</v>
      </c>
      <c r="CS239" s="829">
        <v>1</v>
      </c>
      <c r="CT239" s="968" t="s">
        <v>7836</v>
      </c>
      <c r="CU239" s="1288" t="s">
        <v>8103</v>
      </c>
      <c r="CV239" s="1295">
        <v>20</v>
      </c>
      <c r="CW239" s="1294">
        <v>21</v>
      </c>
      <c r="CX239" s="138" t="s">
        <v>3139</v>
      </c>
      <c r="CY239" s="134">
        <v>0.39906700000000001</v>
      </c>
      <c r="CZ239" s="134" t="s">
        <v>24</v>
      </c>
      <c r="DA239" s="134">
        <f>0.531716-Table66[[#This Row],[Data_Outcome1_M]]</f>
        <v>0.13264899999999996</v>
      </c>
      <c r="DB239" s="138" t="s">
        <v>3141</v>
      </c>
      <c r="DC239" s="134">
        <v>0.58209</v>
      </c>
      <c r="DD239" s="134" t="s">
        <v>24</v>
      </c>
      <c r="DE239" s="134">
        <f>0.724813-Table66[[#This Row],[Data_Outcome2_M]]</f>
        <v>0.14272300000000004</v>
      </c>
      <c r="DF239" s="549"/>
      <c r="DG239" s="295"/>
      <c r="DH239" s="1154"/>
      <c r="DI239" s="448"/>
      <c r="DJ239" s="448"/>
      <c r="DK239" s="448"/>
      <c r="DL239" s="1154"/>
      <c r="DM239" s="448"/>
      <c r="DN239" s="448"/>
      <c r="DO239" s="448"/>
      <c r="DP239" s="288"/>
      <c r="DQ239" s="289"/>
      <c r="DR239" s="1168"/>
      <c r="DS239" s="865"/>
      <c r="DT239" s="1171"/>
      <c r="DU239" s="121"/>
      <c r="DV239" s="1169"/>
      <c r="DW239" s="121"/>
      <c r="DX239" s="1171"/>
      <c r="DY239" s="121"/>
      <c r="DZ239" s="1169"/>
      <c r="EA239" s="121"/>
      <c r="EB239" s="304"/>
      <c r="EC239" s="312"/>
      <c r="ED239" s="1171"/>
      <c r="EE239" s="121"/>
      <c r="EF239" s="1169"/>
      <c r="EG239" s="121"/>
      <c r="EH239" s="1171"/>
      <c r="EI239" s="121"/>
      <c r="EJ239" s="1169"/>
      <c r="EK239" s="121"/>
      <c r="EL239" s="304"/>
      <c r="EM239" s="312"/>
      <c r="EN239" s="309"/>
      <c r="EO239" s="1170"/>
      <c r="EP239" s="1169"/>
      <c r="EQ239" s="1169"/>
      <c r="ER239" s="1169"/>
      <c r="ES239" s="1169"/>
      <c r="ET239" s="1171"/>
      <c r="EU239" s="1169"/>
      <c r="EV239" s="1169"/>
      <c r="EW239" s="1169"/>
      <c r="EX239" s="312"/>
      <c r="EY239" s="312"/>
      <c r="EZ239" s="1171"/>
      <c r="FA239" s="1169"/>
      <c r="FB239" s="1169"/>
      <c r="FC239" s="1169"/>
      <c r="FD239" s="1171"/>
      <c r="FE239" s="1169"/>
      <c r="FF239" s="1169"/>
      <c r="FG239" s="1169"/>
      <c r="FH239" s="312"/>
      <c r="FI239" s="312"/>
      <c r="FJ239" s="1170"/>
    </row>
    <row r="240" spans="1:166" ht="15" hidden="1" customHeight="1">
      <c r="A240" s="79" t="s">
        <v>154</v>
      </c>
      <c r="B240" s="362">
        <v>116</v>
      </c>
      <c r="C240" s="362"/>
      <c r="D240" s="362">
        <v>35</v>
      </c>
      <c r="E240" s="604" t="s">
        <v>1956</v>
      </c>
      <c r="F240" s="124" t="s">
        <v>2178</v>
      </c>
      <c r="G240" s="125">
        <v>2007</v>
      </c>
      <c r="H240" s="79">
        <v>18037391</v>
      </c>
      <c r="I240" s="79">
        <v>1</v>
      </c>
      <c r="J240" s="126"/>
      <c r="K240" s="127"/>
      <c r="L240" s="79">
        <v>1</v>
      </c>
      <c r="M240" s="79"/>
      <c r="N240" s="164">
        <v>1</v>
      </c>
      <c r="O240" s="128">
        <v>1</v>
      </c>
      <c r="P240" s="79" t="s">
        <v>449</v>
      </c>
      <c r="Q240" s="79"/>
      <c r="R240" s="79" t="s">
        <v>471</v>
      </c>
      <c r="S240" s="79">
        <v>0</v>
      </c>
      <c r="T240" s="79"/>
      <c r="U240" s="79"/>
      <c r="V240" s="79"/>
      <c r="W240" s="79" t="s">
        <v>24</v>
      </c>
      <c r="X240" s="79"/>
      <c r="Y240" s="79" t="s">
        <v>23</v>
      </c>
      <c r="Z240" s="79"/>
      <c r="AA240" s="79"/>
      <c r="AB240" s="79" t="s">
        <v>470</v>
      </c>
      <c r="AC240" s="506" t="s">
        <v>6204</v>
      </c>
      <c r="AD240" s="573">
        <v>1</v>
      </c>
      <c r="AE240" s="573">
        <v>0</v>
      </c>
      <c r="AF240" s="924">
        <v>2</v>
      </c>
      <c r="AG240" s="925" t="s">
        <v>6203</v>
      </c>
      <c r="AH240" s="911"/>
      <c r="AI240" s="923"/>
      <c r="AJ240" s="923"/>
      <c r="AK240" s="926"/>
      <c r="AL240" s="588"/>
      <c r="AM240" s="927"/>
      <c r="AN240" s="923"/>
      <c r="AO240" s="923"/>
      <c r="AP240" s="923"/>
      <c r="AQ240" s="923"/>
      <c r="AR240" s="923"/>
      <c r="AS240" s="923"/>
      <c r="AT240" s="923"/>
      <c r="AU240" s="936"/>
      <c r="AV240" s="923"/>
      <c r="AW240" s="923"/>
      <c r="AX240" s="923"/>
      <c r="AY240" s="923"/>
      <c r="AZ240" s="915"/>
      <c r="BA240" s="923"/>
      <c r="BB240" s="923"/>
      <c r="BC240" s="923"/>
      <c r="BD240" s="915"/>
      <c r="BE240" s="915"/>
      <c r="BF240" s="923"/>
      <c r="BG240" s="923"/>
      <c r="BH240" s="594"/>
      <c r="BI240" s="594"/>
      <c r="BJ240" s="156"/>
      <c r="BK240" s="156"/>
      <c r="BL240" s="156"/>
      <c r="BM240" s="156"/>
      <c r="BN240" s="156"/>
      <c r="BO240" s="156"/>
      <c r="BP240" s="156"/>
      <c r="BQ240" s="156"/>
      <c r="BR240" s="156" t="s">
        <v>5207</v>
      </c>
      <c r="BS240" s="156"/>
      <c r="BT240" s="156"/>
      <c r="BU240" s="156"/>
      <c r="BV240" s="156"/>
      <c r="BW240" s="928"/>
      <c r="BX240" s="929"/>
      <c r="BY240" s="929"/>
      <c r="BZ240" s="929"/>
      <c r="CA240" s="184"/>
      <c r="CB240" s="184"/>
      <c r="CC240" s="184"/>
      <c r="CD240" s="923"/>
      <c r="CE240" s="923"/>
      <c r="CF240" s="923"/>
      <c r="CG240" s="936"/>
      <c r="CH240" s="915"/>
      <c r="CI240" s="923"/>
      <c r="CJ240" s="923"/>
      <c r="CK240" s="923"/>
      <c r="CL240" s="923"/>
      <c r="CM240" s="930"/>
      <c r="CN240" s="931"/>
      <c r="CO240" s="931"/>
      <c r="CP240" s="931"/>
      <c r="CQ240" s="931"/>
      <c r="CR240" s="931"/>
      <c r="CS240" s="931"/>
      <c r="CT240" s="967"/>
      <c r="CU240" s="967"/>
      <c r="CV240" s="967"/>
      <c r="CW240" s="967"/>
      <c r="CX240" s="932"/>
      <c r="CY240" s="923"/>
      <c r="CZ240" s="923"/>
      <c r="DA240" s="923"/>
      <c r="DB240" s="932"/>
      <c r="DC240" s="923"/>
      <c r="DD240" s="923"/>
      <c r="DE240" s="923"/>
      <c r="DF240" s="922"/>
      <c r="DG240" s="598"/>
      <c r="DH240" s="935"/>
      <c r="DI240" s="936"/>
      <c r="DJ240" s="936"/>
      <c r="DK240" s="936"/>
      <c r="DL240" s="935"/>
      <c r="DM240" s="936"/>
      <c r="DN240" s="936"/>
      <c r="DO240" s="936"/>
      <c r="DP240" s="930"/>
      <c r="DQ240" s="594"/>
      <c r="DR240" s="1187"/>
      <c r="DS240" s="1186"/>
      <c r="DT240" s="950"/>
      <c r="DU240" s="951"/>
      <c r="DV240" s="951"/>
      <c r="DW240" s="951"/>
      <c r="DX240" s="951"/>
      <c r="DY240" s="951"/>
      <c r="DZ240" s="951"/>
      <c r="EA240" s="951"/>
      <c r="EB240" s="1185"/>
      <c r="EC240" s="951"/>
      <c r="ED240" s="951"/>
      <c r="EE240" s="951"/>
      <c r="EF240" s="951"/>
      <c r="EG240" s="951"/>
      <c r="EH240" s="951"/>
      <c r="EI240" s="951"/>
      <c r="EJ240" s="951"/>
      <c r="EK240" s="951"/>
      <c r="EL240" s="1185"/>
      <c r="EM240" s="951"/>
      <c r="EN240" s="1185"/>
      <c r="EO240" s="951"/>
      <c r="EP240" s="951"/>
      <c r="EQ240" s="951"/>
      <c r="ER240" s="951"/>
      <c r="ES240" s="951"/>
      <c r="ET240" s="950"/>
      <c r="EU240" s="951"/>
      <c r="EV240" s="951"/>
      <c r="EW240" s="951"/>
      <c r="EX240" s="951"/>
      <c r="EY240" s="951"/>
      <c r="EZ240" s="950"/>
      <c r="FA240" s="951"/>
      <c r="FB240" s="951"/>
      <c r="FC240" s="951"/>
      <c r="FD240" s="950"/>
      <c r="FE240" s="951"/>
      <c r="FF240" s="951"/>
      <c r="FG240" s="951"/>
      <c r="FH240" s="951"/>
      <c r="FI240" s="951"/>
      <c r="FJ240" s="951"/>
    </row>
    <row r="241" spans="1:166" ht="15" hidden="1" customHeight="1">
      <c r="A241" s="79" t="s">
        <v>156</v>
      </c>
      <c r="B241" s="362">
        <v>117</v>
      </c>
      <c r="C241" s="362"/>
      <c r="D241" s="362">
        <v>36</v>
      </c>
      <c r="E241" s="604" t="s">
        <v>1957</v>
      </c>
      <c r="F241" s="124" t="s">
        <v>2179</v>
      </c>
      <c r="G241" s="125">
        <v>2002</v>
      </c>
      <c r="H241" s="79">
        <v>12450636</v>
      </c>
      <c r="I241" s="79">
        <v>1</v>
      </c>
      <c r="J241" s="126"/>
      <c r="K241" s="127"/>
      <c r="L241" s="79">
        <v>1</v>
      </c>
      <c r="M241" s="79"/>
      <c r="N241" s="79">
        <v>1</v>
      </c>
      <c r="O241" s="128">
        <v>1</v>
      </c>
      <c r="P241" s="79" t="s">
        <v>473</v>
      </c>
      <c r="Q241" s="79" t="s">
        <v>1184</v>
      </c>
      <c r="R241" s="79" t="s">
        <v>471</v>
      </c>
      <c r="S241" s="79">
        <v>0</v>
      </c>
      <c r="T241" s="79"/>
      <c r="U241" s="79"/>
      <c r="V241" s="79"/>
      <c r="W241" s="79" t="s">
        <v>474</v>
      </c>
      <c r="X241" s="79" t="s">
        <v>24</v>
      </c>
      <c r="Y241" s="79" t="s">
        <v>24</v>
      </c>
      <c r="Z241" s="79"/>
      <c r="AA241" s="79"/>
      <c r="AB241" s="79"/>
      <c r="AC241" s="506" t="s">
        <v>6206</v>
      </c>
      <c r="AD241" s="573">
        <v>1</v>
      </c>
      <c r="AE241" s="573">
        <v>0</v>
      </c>
      <c r="AF241" s="924">
        <v>2</v>
      </c>
      <c r="AG241" s="925"/>
      <c r="AH241" s="911"/>
      <c r="AI241" s="923"/>
      <c r="AJ241" s="923"/>
      <c r="AK241" s="926"/>
      <c r="AL241" s="588"/>
      <c r="AM241" s="927"/>
      <c r="AN241" s="923"/>
      <c r="AO241" s="923"/>
      <c r="AP241" s="923"/>
      <c r="AQ241" s="923"/>
      <c r="AR241" s="923"/>
      <c r="AS241" s="923"/>
      <c r="AT241" s="923"/>
      <c r="AU241" s="923"/>
      <c r="AV241" s="923"/>
      <c r="AW241" s="923"/>
      <c r="AX241" s="923"/>
      <c r="AY241" s="923"/>
      <c r="AZ241" s="915"/>
      <c r="BA241" s="923"/>
      <c r="BB241" s="923"/>
      <c r="BC241" s="923"/>
      <c r="BD241" s="915"/>
      <c r="BE241" s="915"/>
      <c r="BF241" s="923"/>
      <c r="BG241" s="923"/>
      <c r="BH241" s="594"/>
      <c r="BI241" s="594"/>
      <c r="BJ241" s="156"/>
      <c r="BK241" s="156"/>
      <c r="BL241" s="156"/>
      <c r="BM241" s="156"/>
      <c r="BN241" s="156"/>
      <c r="BO241" s="156"/>
      <c r="BP241" s="156"/>
      <c r="BQ241" s="156"/>
      <c r="BR241" s="156"/>
      <c r="BS241" s="156"/>
      <c r="BT241" s="156"/>
      <c r="BU241" s="156"/>
      <c r="BV241" s="156" t="s">
        <v>6205</v>
      </c>
      <c r="BW241" s="928" t="s">
        <v>6207</v>
      </c>
      <c r="BX241" s="929"/>
      <c r="BY241" s="929"/>
      <c r="BZ241" s="929"/>
      <c r="CA241" s="184"/>
      <c r="CB241" s="184"/>
      <c r="CC241" s="184"/>
      <c r="CD241" s="923"/>
      <c r="CE241" s="923"/>
      <c r="CF241" s="923"/>
      <c r="CG241" s="923"/>
      <c r="CH241" s="915"/>
      <c r="CI241" s="923"/>
      <c r="CJ241" s="923"/>
      <c r="CK241" s="923"/>
      <c r="CL241" s="923"/>
      <c r="CM241" s="930"/>
      <c r="CN241" s="931"/>
      <c r="CO241" s="931"/>
      <c r="CP241" s="931"/>
      <c r="CQ241" s="931"/>
      <c r="CR241" s="931"/>
      <c r="CS241" s="931"/>
      <c r="CT241" s="967"/>
      <c r="CU241" s="967"/>
      <c r="CV241" s="967"/>
      <c r="CW241" s="967"/>
      <c r="CX241" s="932"/>
      <c r="CY241" s="923"/>
      <c r="CZ241" s="923"/>
      <c r="DA241" s="923"/>
      <c r="DB241" s="932"/>
      <c r="DC241" s="923"/>
      <c r="DD241" s="923"/>
      <c r="DE241" s="923"/>
      <c r="DF241" s="920"/>
      <c r="DG241" s="598"/>
      <c r="DH241" s="950"/>
      <c r="DI241" s="936"/>
      <c r="DJ241" s="936"/>
      <c r="DK241" s="936"/>
      <c r="DL241" s="935"/>
      <c r="DM241" s="936"/>
      <c r="DN241" s="936"/>
      <c r="DO241" s="936"/>
      <c r="DP241" s="930"/>
      <c r="DQ241" s="594"/>
      <c r="DR241" s="1187"/>
      <c r="DS241" s="1186"/>
      <c r="DT241" s="950"/>
      <c r="DU241" s="951"/>
      <c r="DV241" s="951"/>
      <c r="DW241" s="951"/>
      <c r="DX241" s="951"/>
      <c r="DY241" s="951"/>
      <c r="DZ241" s="951"/>
      <c r="EA241" s="951"/>
      <c r="EB241" s="1185"/>
      <c r="EC241" s="951"/>
      <c r="ED241" s="951"/>
      <c r="EE241" s="951"/>
      <c r="EF241" s="951"/>
      <c r="EG241" s="951"/>
      <c r="EH241" s="951"/>
      <c r="EI241" s="951"/>
      <c r="EJ241" s="951"/>
      <c r="EK241" s="951"/>
      <c r="EL241" s="1185"/>
      <c r="EM241" s="951"/>
      <c r="EN241" s="1185"/>
      <c r="EO241" s="951"/>
      <c r="EP241" s="951"/>
      <c r="EQ241" s="951"/>
      <c r="ER241" s="951"/>
      <c r="ES241" s="951"/>
      <c r="ET241" s="950"/>
      <c r="EU241" s="951"/>
      <c r="EV241" s="951"/>
      <c r="EW241" s="951"/>
      <c r="EX241" s="951"/>
      <c r="EY241" s="951"/>
      <c r="EZ241" s="950"/>
      <c r="FA241" s="951"/>
      <c r="FB241" s="951"/>
      <c r="FC241" s="951"/>
      <c r="FD241" s="950"/>
      <c r="FE241" s="951"/>
      <c r="FF241" s="951"/>
      <c r="FG241" s="951"/>
      <c r="FH241" s="951"/>
      <c r="FI241" s="951"/>
      <c r="FJ241" s="951"/>
    </row>
    <row r="242" spans="1:166" ht="15" hidden="1" customHeight="1">
      <c r="A242" s="79" t="s">
        <v>160</v>
      </c>
      <c r="B242" s="362">
        <v>118</v>
      </c>
      <c r="C242" s="362"/>
      <c r="D242" s="362">
        <v>37</v>
      </c>
      <c r="E242" s="604" t="s">
        <v>1958</v>
      </c>
      <c r="F242" s="124" t="s">
        <v>2180</v>
      </c>
      <c r="G242" s="125">
        <v>2012</v>
      </c>
      <c r="H242" s="79">
        <v>23198722</v>
      </c>
      <c r="I242" s="79">
        <v>1</v>
      </c>
      <c r="J242" s="126"/>
      <c r="K242" s="127"/>
      <c r="L242" s="79">
        <v>1</v>
      </c>
      <c r="M242" s="79"/>
      <c r="N242" s="79">
        <v>1</v>
      </c>
      <c r="O242" s="128">
        <v>1</v>
      </c>
      <c r="P242" s="79" t="s">
        <v>484</v>
      </c>
      <c r="Q242" s="79" t="s">
        <v>1161</v>
      </c>
      <c r="R242" s="79" t="s">
        <v>483</v>
      </c>
      <c r="S242" s="79">
        <v>1</v>
      </c>
      <c r="T242" s="79"/>
      <c r="U242" s="79"/>
      <c r="V242" s="79"/>
      <c r="W242" s="79" t="s">
        <v>482</v>
      </c>
      <c r="X242" s="79" t="s">
        <v>480</v>
      </c>
      <c r="Y242" s="79"/>
      <c r="Z242" s="79"/>
      <c r="AA242" s="79"/>
      <c r="AB242" s="79" t="s">
        <v>481</v>
      </c>
      <c r="AC242" s="506" t="s">
        <v>6208</v>
      </c>
      <c r="AD242" s="573">
        <v>1</v>
      </c>
      <c r="AE242" s="573">
        <v>0</v>
      </c>
      <c r="AF242" s="924">
        <v>2</v>
      </c>
      <c r="AG242" s="925"/>
      <c r="AH242" s="911"/>
      <c r="AI242" s="923"/>
      <c r="AJ242" s="923"/>
      <c r="AK242" s="926"/>
      <c r="AL242" s="588"/>
      <c r="AM242" s="927"/>
      <c r="AN242" s="923"/>
      <c r="AO242" s="923"/>
      <c r="AP242" s="923"/>
      <c r="AQ242" s="923"/>
      <c r="AR242" s="923"/>
      <c r="AS242" s="923"/>
      <c r="AT242" s="923"/>
      <c r="AU242" s="923"/>
      <c r="AV242" s="923"/>
      <c r="AW242" s="923"/>
      <c r="AX242" s="923"/>
      <c r="AY242" s="923"/>
      <c r="AZ242" s="915"/>
      <c r="BA242" s="923"/>
      <c r="BB242" s="923"/>
      <c r="BC242" s="923"/>
      <c r="BD242" s="915"/>
      <c r="BE242" s="915"/>
      <c r="BF242" s="923"/>
      <c r="BG242" s="923"/>
      <c r="BH242" s="594"/>
      <c r="BI242" s="594"/>
      <c r="BJ242" s="156"/>
      <c r="BK242" s="156"/>
      <c r="BL242" s="156" t="s">
        <v>6209</v>
      </c>
      <c r="BM242" s="156"/>
      <c r="BN242" s="156"/>
      <c r="BO242" s="156"/>
      <c r="BP242" s="156"/>
      <c r="BQ242" s="156"/>
      <c r="BR242" s="156" t="s">
        <v>5207</v>
      </c>
      <c r="BS242" s="156"/>
      <c r="BT242" s="156"/>
      <c r="BU242" s="156"/>
      <c r="BV242" s="156" t="s">
        <v>6205</v>
      </c>
      <c r="BW242" s="928"/>
      <c r="BX242" s="929"/>
      <c r="BY242" s="929"/>
      <c r="BZ242" s="929"/>
      <c r="CA242" s="184"/>
      <c r="CB242" s="184"/>
      <c r="CC242" s="184"/>
      <c r="CD242" s="923"/>
      <c r="CE242" s="923"/>
      <c r="CF242" s="923"/>
      <c r="CG242" s="923"/>
      <c r="CH242" s="915"/>
      <c r="CI242" s="923"/>
      <c r="CJ242" s="923"/>
      <c r="CK242" s="923"/>
      <c r="CL242" s="923"/>
      <c r="CM242" s="930"/>
      <c r="CN242" s="931"/>
      <c r="CO242" s="931"/>
      <c r="CP242" s="931"/>
      <c r="CQ242" s="931"/>
      <c r="CR242" s="931"/>
      <c r="CS242" s="931"/>
      <c r="CT242" s="967"/>
      <c r="CU242" s="967"/>
      <c r="CV242" s="967"/>
      <c r="CW242" s="967"/>
      <c r="CX242" s="932"/>
      <c r="CY242" s="923"/>
      <c r="CZ242" s="923"/>
      <c r="DA242" s="923"/>
      <c r="DB242" s="932"/>
      <c r="DC242" s="923"/>
      <c r="DD242" s="923"/>
      <c r="DE242" s="923"/>
      <c r="DF242" s="920"/>
      <c r="DG242" s="598"/>
      <c r="DH242" s="950"/>
      <c r="DI242" s="936"/>
      <c r="DJ242" s="936"/>
      <c r="DK242" s="936"/>
      <c r="DL242" s="935"/>
      <c r="DM242" s="936"/>
      <c r="DN242" s="936"/>
      <c r="DO242" s="936"/>
      <c r="DP242" s="930"/>
      <c r="DQ242" s="594"/>
      <c r="DR242" s="1187"/>
      <c r="DS242" s="1186"/>
      <c r="DT242" s="950"/>
      <c r="DU242" s="951"/>
      <c r="DV242" s="951"/>
      <c r="DW242" s="951"/>
      <c r="DX242" s="951"/>
      <c r="DY242" s="951"/>
      <c r="DZ242" s="951"/>
      <c r="EA242" s="951"/>
      <c r="EB242" s="1185"/>
      <c r="EC242" s="951"/>
      <c r="ED242" s="951"/>
      <c r="EE242" s="951"/>
      <c r="EF242" s="951"/>
      <c r="EG242" s="951"/>
      <c r="EH242" s="951"/>
      <c r="EI242" s="951"/>
      <c r="EJ242" s="951"/>
      <c r="EK242" s="951"/>
      <c r="EL242" s="1185"/>
      <c r="EM242" s="951"/>
      <c r="EN242" s="1185"/>
      <c r="EO242" s="951"/>
      <c r="EP242" s="951"/>
      <c r="EQ242" s="951"/>
      <c r="ER242" s="951"/>
      <c r="ES242" s="951"/>
      <c r="ET242" s="950"/>
      <c r="EU242" s="951"/>
      <c r="EV242" s="951"/>
      <c r="EW242" s="951"/>
      <c r="EX242" s="951"/>
      <c r="EY242" s="951"/>
      <c r="EZ242" s="950"/>
      <c r="FA242" s="951"/>
      <c r="FB242" s="951"/>
      <c r="FC242" s="951"/>
      <c r="FD242" s="950"/>
      <c r="FE242" s="951"/>
      <c r="FF242" s="951"/>
      <c r="FG242" s="951"/>
      <c r="FH242" s="951"/>
      <c r="FI242" s="951"/>
      <c r="FJ242" s="951"/>
    </row>
    <row r="243" spans="1:166" ht="15" hidden="1" customHeight="1">
      <c r="A243" s="153" t="s">
        <v>1060</v>
      </c>
      <c r="B243" s="1535">
        <v>18</v>
      </c>
      <c r="C243" s="1535"/>
      <c r="D243" s="1535"/>
      <c r="E243" s="610" t="s">
        <v>2072</v>
      </c>
      <c r="F243" s="368" t="s">
        <v>2324</v>
      </c>
      <c r="G243" s="369">
        <v>2011</v>
      </c>
      <c r="H243" s="153">
        <v>21285873</v>
      </c>
      <c r="I243" s="153">
        <v>1</v>
      </c>
      <c r="J243" s="370"/>
      <c r="K243" s="371"/>
      <c r="L243" s="153">
        <v>1</v>
      </c>
      <c r="M243" s="153"/>
      <c r="N243" s="153">
        <v>1</v>
      </c>
      <c r="O243" s="153">
        <v>2</v>
      </c>
      <c r="P243" s="153" t="s">
        <v>1329</v>
      </c>
      <c r="Q243" s="153" t="s">
        <v>1169</v>
      </c>
      <c r="R243" s="153" t="s">
        <v>1127</v>
      </c>
      <c r="S243" s="153"/>
      <c r="T243" s="153" t="s">
        <v>1541</v>
      </c>
      <c r="U243" s="153" t="s">
        <v>803</v>
      </c>
      <c r="V243" s="153"/>
      <c r="W243" s="153" t="s">
        <v>1328</v>
      </c>
      <c r="X243" s="153"/>
      <c r="Y243" s="153" t="s">
        <v>1132</v>
      </c>
      <c r="Z243" s="153"/>
      <c r="AA243" s="153"/>
      <c r="AB243" s="153"/>
      <c r="AC243" s="536"/>
      <c r="AD243" s="536">
        <v>1</v>
      </c>
      <c r="AE243" s="536">
        <v>2</v>
      </c>
      <c r="AF243" s="165">
        <v>0</v>
      </c>
      <c r="AG243" s="166" t="s">
        <v>7839</v>
      </c>
      <c r="AH243" s="509" t="s">
        <v>7473</v>
      </c>
      <c r="AI243" s="120">
        <v>4</v>
      </c>
      <c r="AJ243" s="120"/>
      <c r="AK243" s="206" t="s">
        <v>2930</v>
      </c>
      <c r="AL243" s="372">
        <v>0</v>
      </c>
      <c r="AM243" s="207">
        <v>1</v>
      </c>
      <c r="AN243" s="120" t="s">
        <v>2929</v>
      </c>
      <c r="AO243" s="120" t="s">
        <v>2928</v>
      </c>
      <c r="AP243" s="120" t="s">
        <v>2928</v>
      </c>
      <c r="AQ243" s="120" t="s">
        <v>803</v>
      </c>
      <c r="AR243" s="120" t="s">
        <v>803</v>
      </c>
      <c r="AS243" s="120" t="s">
        <v>7488</v>
      </c>
      <c r="AT243" s="120" t="s">
        <v>24</v>
      </c>
      <c r="AU243" s="120" t="s">
        <v>7488</v>
      </c>
      <c r="AV243" s="120" t="s">
        <v>24</v>
      </c>
      <c r="AW243" s="120" t="s">
        <v>2911</v>
      </c>
      <c r="AX243" s="120">
        <v>10</v>
      </c>
      <c r="AY243" s="120">
        <v>3</v>
      </c>
      <c r="AZ243" s="755" t="s">
        <v>1814</v>
      </c>
      <c r="BA243" s="120">
        <v>1</v>
      </c>
      <c r="BB243" s="120" t="s">
        <v>3340</v>
      </c>
      <c r="BC243" s="384" t="s">
        <v>2914</v>
      </c>
      <c r="BD243" s="759" t="s">
        <v>7523</v>
      </c>
      <c r="BE243" s="759"/>
      <c r="BF243" s="120" t="s">
        <v>2912</v>
      </c>
      <c r="BG243" s="120" t="s">
        <v>2554</v>
      </c>
      <c r="BH243" s="377"/>
      <c r="BI243" s="377"/>
      <c r="BJ243" s="373">
        <v>1</v>
      </c>
      <c r="BK243" s="373"/>
      <c r="BL243" s="373"/>
      <c r="BM243" s="373"/>
      <c r="BN243" s="373"/>
      <c r="BO243" s="373"/>
      <c r="BP243" s="373"/>
      <c r="BQ243" s="373"/>
      <c r="BR243" s="373"/>
      <c r="BS243" s="373"/>
      <c r="BT243" s="373"/>
      <c r="BU243" s="373"/>
      <c r="BV243" s="373"/>
      <c r="BW243" s="599" t="s">
        <v>7633</v>
      </c>
      <c r="BX243" s="374" t="s">
        <v>6657</v>
      </c>
      <c r="BY243" s="799" t="s">
        <v>7613</v>
      </c>
      <c r="BZ243" s="374" t="s">
        <v>803</v>
      </c>
      <c r="CA243" s="510">
        <v>1</v>
      </c>
      <c r="CB243" s="510" t="s">
        <v>7556</v>
      </c>
      <c r="CC243" s="510" t="s">
        <v>7384</v>
      </c>
      <c r="CD243" s="120" t="s">
        <v>1876</v>
      </c>
      <c r="CE243" s="120" t="s">
        <v>2927</v>
      </c>
      <c r="CF243" s="786" t="s">
        <v>7584</v>
      </c>
      <c r="CG243" s="120" t="s">
        <v>7566</v>
      </c>
      <c r="CH243" s="755" t="s">
        <v>7310</v>
      </c>
      <c r="CI243" s="120" t="s">
        <v>1121</v>
      </c>
      <c r="CJ243" s="120"/>
      <c r="CK243" s="120" t="s">
        <v>2659</v>
      </c>
      <c r="CL243" s="120" t="s">
        <v>2659</v>
      </c>
      <c r="CM243" s="375" t="s">
        <v>2931</v>
      </c>
      <c r="CN243" s="380" t="s">
        <v>6627</v>
      </c>
      <c r="CO243" s="380"/>
      <c r="CP243" s="380"/>
      <c r="CQ243" s="380"/>
      <c r="CR243" s="380"/>
      <c r="CS243" s="380"/>
      <c r="CT243" s="380"/>
      <c r="CU243" s="380"/>
      <c r="CV243" s="380"/>
      <c r="CW243" s="380"/>
      <c r="CX243" s="376" t="s">
        <v>2919</v>
      </c>
      <c r="CY243" s="683">
        <v>2.7356600000000002</v>
      </c>
      <c r="CZ243" s="120" t="s">
        <v>24</v>
      </c>
      <c r="DA243" s="120">
        <f>5.19593-Table66[[#This Row],[Data_Outcome1_M]]</f>
        <v>2.4602699999999995</v>
      </c>
      <c r="DB243" s="376" t="s">
        <v>2920</v>
      </c>
      <c r="DC243" s="120">
        <v>61.8371</v>
      </c>
      <c r="DD243" s="120" t="s">
        <v>24</v>
      </c>
      <c r="DE243" s="120">
        <f>68.1005-Table66[[#This Row],[Data_Outcome2_M]]</f>
        <v>6.2633999999999972</v>
      </c>
      <c r="DF243" s="515" t="s">
        <v>2921</v>
      </c>
      <c r="DG243" s="538" t="s">
        <v>2922</v>
      </c>
      <c r="DH243" s="376" t="s">
        <v>2918</v>
      </c>
      <c r="DI243" s="384">
        <v>0.965001</v>
      </c>
      <c r="DJ243" s="384" t="s">
        <v>24</v>
      </c>
      <c r="DK243" s="384">
        <f>2.22051-Table66[[#This Row],[Data_Outcome3_M]]</f>
        <v>1.255509</v>
      </c>
      <c r="DL243" s="727" t="s">
        <v>2917</v>
      </c>
      <c r="DM243" s="384">
        <v>63.9559</v>
      </c>
      <c r="DN243" s="384" t="s">
        <v>24</v>
      </c>
      <c r="DO243" s="384">
        <f>70.4416-Table66[[#This Row],[Data_Outcome4_M]]</f>
        <v>6.4856999999999942</v>
      </c>
      <c r="DP243" s="375" t="s">
        <v>2923</v>
      </c>
      <c r="DQ243" s="377" t="s">
        <v>2924</v>
      </c>
      <c r="DR243" s="1182" t="s">
        <v>24</v>
      </c>
      <c r="DS243" s="956" t="s">
        <v>24</v>
      </c>
      <c r="DT243" s="727" t="s">
        <v>2916</v>
      </c>
      <c r="DU243" s="384">
        <v>3.4542600000000001</v>
      </c>
      <c r="DV243" s="384" t="s">
        <v>24</v>
      </c>
      <c r="DW243" s="384">
        <f>6.36459-Table66[[#This Row],[Data_Outcome5_M]]</f>
        <v>2.9103299999999996</v>
      </c>
      <c r="DX243" s="727" t="s">
        <v>2915</v>
      </c>
      <c r="DY243" s="384">
        <v>69.378</v>
      </c>
      <c r="DZ243" s="384" t="s">
        <v>24</v>
      </c>
      <c r="EA243" s="384">
        <f>72.9123-Table66[[#This Row],[Data_Outcome6_M]]</f>
        <v>3.5343000000000018</v>
      </c>
      <c r="EB243" s="1012" t="s">
        <v>2925</v>
      </c>
      <c r="EC243" s="384" t="s">
        <v>2926</v>
      </c>
      <c r="ED243" s="384" t="s">
        <v>24</v>
      </c>
      <c r="EE243" s="384" t="s">
        <v>24</v>
      </c>
      <c r="EF243" s="384"/>
      <c r="EG243" s="384"/>
      <c r="EH243" s="384"/>
      <c r="EI243" s="384"/>
      <c r="EJ243" s="384"/>
      <c r="EK243" s="384"/>
      <c r="EL243" s="1012"/>
      <c r="EM243" s="384"/>
      <c r="EN243" s="1012"/>
      <c r="EO243" s="384"/>
      <c r="EP243" s="384"/>
      <c r="EQ243" s="384"/>
      <c r="ER243" s="384"/>
      <c r="ES243" s="384"/>
      <c r="ET243" s="727"/>
      <c r="EU243" s="384"/>
      <c r="EV243" s="384"/>
      <c r="EW243" s="384"/>
      <c r="EX243" s="384"/>
      <c r="EY243" s="384"/>
      <c r="EZ243" s="727"/>
      <c r="FA243" s="384"/>
      <c r="FB243" s="384"/>
      <c r="FC243" s="384"/>
      <c r="FD243" s="727"/>
      <c r="FE243" s="384"/>
      <c r="FF243" s="384"/>
      <c r="FG243" s="384"/>
      <c r="FH243" s="384"/>
      <c r="FI243" s="384"/>
      <c r="FJ243" s="384"/>
    </row>
    <row r="244" spans="1:166" ht="15" hidden="1" customHeight="1">
      <c r="A244" s="153" t="s">
        <v>163</v>
      </c>
      <c r="B244" s="618">
        <v>119</v>
      </c>
      <c r="C244" s="618"/>
      <c r="D244" s="618">
        <v>38</v>
      </c>
      <c r="E244" s="610" t="s">
        <v>1959</v>
      </c>
      <c r="F244" s="368" t="s">
        <v>2181</v>
      </c>
      <c r="G244" s="369">
        <v>2008</v>
      </c>
      <c r="H244" s="153">
        <v>18806234</v>
      </c>
      <c r="I244" s="153">
        <v>1</v>
      </c>
      <c r="J244" s="370"/>
      <c r="K244" s="371"/>
      <c r="L244" s="153">
        <v>1</v>
      </c>
      <c r="M244" s="153"/>
      <c r="N244" s="153">
        <v>1</v>
      </c>
      <c r="O244" s="153">
        <v>1</v>
      </c>
      <c r="P244" s="153" t="s">
        <v>486</v>
      </c>
      <c r="Q244" s="153"/>
      <c r="R244" s="153" t="s">
        <v>487</v>
      </c>
      <c r="S244" s="153">
        <v>0</v>
      </c>
      <c r="T244" s="153"/>
      <c r="U244" s="153"/>
      <c r="V244" s="153"/>
      <c r="W244" s="153"/>
      <c r="X244" s="153"/>
      <c r="Y244" s="153"/>
      <c r="Z244" s="153"/>
      <c r="AA244" s="153"/>
      <c r="AB244" s="153"/>
      <c r="AC244" s="536" t="s">
        <v>6210</v>
      </c>
      <c r="AD244" s="536">
        <v>1</v>
      </c>
      <c r="AE244" s="536">
        <v>1</v>
      </c>
      <c r="AF244" s="165">
        <v>0</v>
      </c>
      <c r="AG244" s="166" t="s">
        <v>7481</v>
      </c>
      <c r="AH244" s="509">
        <v>0</v>
      </c>
      <c r="AI244" s="120">
        <v>2</v>
      </c>
      <c r="AJ244" s="120"/>
      <c r="AK244" s="206" t="s">
        <v>6800</v>
      </c>
      <c r="AL244" s="372">
        <v>1</v>
      </c>
      <c r="AM244" s="207">
        <v>0</v>
      </c>
      <c r="AN244" s="120">
        <v>25</v>
      </c>
      <c r="AO244" s="120" t="s">
        <v>6801</v>
      </c>
      <c r="AP244" s="120">
        <v>11</v>
      </c>
      <c r="AQ244" s="120" t="s">
        <v>803</v>
      </c>
      <c r="AR244" s="120" t="s">
        <v>803</v>
      </c>
      <c r="AS244" s="120">
        <f>AVERAGE(80.9, 79.3)</f>
        <v>80.099999999999994</v>
      </c>
      <c r="AT244" s="120">
        <f>AVERAGE(2.3,1.5)</f>
        <v>1.9</v>
      </c>
      <c r="AU244" s="120">
        <v>80</v>
      </c>
      <c r="AV244" s="120">
        <v>2.2000000000000002</v>
      </c>
      <c r="AW244" s="120" t="s">
        <v>6802</v>
      </c>
      <c r="AX244" s="120"/>
      <c r="AY244" s="120"/>
      <c r="AZ244" s="755" t="s">
        <v>7361</v>
      </c>
      <c r="BA244" s="120" t="s">
        <v>24</v>
      </c>
      <c r="BB244" s="120" t="s">
        <v>24</v>
      </c>
      <c r="BC244" s="120" t="s">
        <v>6803</v>
      </c>
      <c r="BD244" s="755"/>
      <c r="BE244" s="755"/>
      <c r="BF244" s="120" t="s">
        <v>6791</v>
      </c>
      <c r="BG244" s="120" t="s">
        <v>6792</v>
      </c>
      <c r="BH244" s="377"/>
      <c r="BI244" s="377"/>
      <c r="BJ244" s="373"/>
      <c r="BK244" s="373"/>
      <c r="BL244" s="373" t="s">
        <v>6209</v>
      </c>
      <c r="BM244" s="373"/>
      <c r="BN244" s="373"/>
      <c r="BO244" s="373" t="s">
        <v>4727</v>
      </c>
      <c r="BP244" s="373">
        <v>1</v>
      </c>
      <c r="BQ244" s="373"/>
      <c r="BR244" s="373" t="s">
        <v>4727</v>
      </c>
      <c r="BS244" s="373"/>
      <c r="BT244" s="373"/>
      <c r="BU244" s="373"/>
      <c r="BV244" s="373"/>
      <c r="BW244" s="599" t="s">
        <v>6797</v>
      </c>
      <c r="BX244" s="374" t="s">
        <v>6610</v>
      </c>
      <c r="BY244" s="374"/>
      <c r="BZ244" s="374"/>
      <c r="CA244" s="510">
        <v>2</v>
      </c>
      <c r="CB244" s="510"/>
      <c r="CC244" s="510" t="s">
        <v>24</v>
      </c>
      <c r="CD244" s="120" t="s">
        <v>1876</v>
      </c>
      <c r="CE244" s="120" t="s">
        <v>6804</v>
      </c>
      <c r="CF244" s="120"/>
      <c r="CG244" s="120" t="s">
        <v>6795</v>
      </c>
      <c r="CH244" s="755"/>
      <c r="CI244" s="120" t="s">
        <v>24</v>
      </c>
      <c r="CJ244" s="120"/>
      <c r="CK244" s="120" t="s">
        <v>6796</v>
      </c>
      <c r="CL244" s="120"/>
      <c r="CM244" s="375" t="s">
        <v>6827</v>
      </c>
      <c r="CN244" s="380">
        <v>0</v>
      </c>
      <c r="CO244" s="380"/>
      <c r="CP244" s="380"/>
      <c r="CQ244" s="380"/>
      <c r="CR244" s="380"/>
      <c r="CS244" s="380"/>
      <c r="CT244" s="380"/>
      <c r="CU244" s="380"/>
      <c r="CV244" s="380"/>
      <c r="CW244" s="380"/>
      <c r="CX244" s="376" t="s">
        <v>6816</v>
      </c>
      <c r="CY244" s="683">
        <v>3.9</v>
      </c>
      <c r="CZ244" s="120">
        <v>1.2</v>
      </c>
      <c r="DA244" s="120" t="s">
        <v>24</v>
      </c>
      <c r="DB244" s="376" t="s">
        <v>6817</v>
      </c>
      <c r="DC244" s="120">
        <v>4</v>
      </c>
      <c r="DD244" s="120">
        <v>0</v>
      </c>
      <c r="DE244" s="120" t="s">
        <v>24</v>
      </c>
      <c r="DF244" s="515" t="s">
        <v>6822</v>
      </c>
      <c r="DG244" s="538" t="s">
        <v>2480</v>
      </c>
      <c r="DH244" s="376" t="s">
        <v>6818</v>
      </c>
      <c r="DI244" s="683">
        <v>4</v>
      </c>
      <c r="DJ244" s="384">
        <v>1.4</v>
      </c>
      <c r="DK244" s="120" t="s">
        <v>24</v>
      </c>
      <c r="DL244" s="727" t="s">
        <v>6819</v>
      </c>
      <c r="DM244" s="384">
        <v>34.1</v>
      </c>
      <c r="DN244" s="384">
        <v>10.4</v>
      </c>
      <c r="DO244" s="384" t="s">
        <v>24</v>
      </c>
      <c r="DP244" s="375" t="s">
        <v>6823</v>
      </c>
      <c r="DQ244" s="377" t="s">
        <v>2480</v>
      </c>
      <c r="DR244" s="621" t="s">
        <v>24</v>
      </c>
      <c r="DS244" s="956" t="s">
        <v>24</v>
      </c>
      <c r="DT244" s="727" t="s">
        <v>6820</v>
      </c>
      <c r="DU244" s="683">
        <v>32.6</v>
      </c>
      <c r="DV244" s="384">
        <v>7</v>
      </c>
      <c r="DW244" s="384" t="s">
        <v>24</v>
      </c>
      <c r="DX244" s="727" t="s">
        <v>6821</v>
      </c>
      <c r="DY244" s="384">
        <v>34</v>
      </c>
      <c r="DZ244" s="384">
        <v>6.9</v>
      </c>
      <c r="EA244" s="384" t="s">
        <v>24</v>
      </c>
      <c r="EB244" s="1012" t="s">
        <v>24</v>
      </c>
      <c r="EC244" s="384" t="s">
        <v>24</v>
      </c>
      <c r="ED244" s="384"/>
      <c r="EE244" s="683"/>
      <c r="EF244" s="384"/>
      <c r="EG244" s="384"/>
      <c r="EH244" s="384"/>
      <c r="EI244" s="384"/>
      <c r="EJ244" s="384"/>
      <c r="EK244" s="384"/>
      <c r="EL244" s="1012"/>
      <c r="EM244" s="384"/>
      <c r="EN244" s="1012"/>
      <c r="EO244" s="384"/>
      <c r="EP244" s="384"/>
      <c r="EQ244" s="384"/>
      <c r="ER244" s="384"/>
      <c r="ES244" s="384"/>
      <c r="ET244" s="727"/>
      <c r="EU244" s="384"/>
      <c r="EV244" s="384"/>
      <c r="EW244" s="384"/>
      <c r="EX244" s="384"/>
      <c r="EY244" s="384"/>
      <c r="EZ244" s="727"/>
      <c r="FA244" s="384"/>
      <c r="FB244" s="384"/>
      <c r="FC244" s="384"/>
      <c r="FD244" s="727"/>
      <c r="FE244" s="384"/>
      <c r="FF244" s="384"/>
      <c r="FG244" s="384"/>
      <c r="FH244" s="384"/>
      <c r="FI244" s="384"/>
      <c r="FJ244" s="384"/>
    </row>
    <row r="245" spans="1:166" ht="15" hidden="1" customHeight="1">
      <c r="A245" s="158" t="s">
        <v>163</v>
      </c>
      <c r="B245" s="1094">
        <v>119</v>
      </c>
      <c r="C245" s="1094"/>
      <c r="D245" s="1094">
        <v>38</v>
      </c>
      <c r="E245" s="1095" t="s">
        <v>1959</v>
      </c>
      <c r="F245" s="711" t="s">
        <v>2181</v>
      </c>
      <c r="G245" s="1096">
        <v>2008</v>
      </c>
      <c r="H245" s="158">
        <v>18806234</v>
      </c>
      <c r="I245" s="158">
        <v>1</v>
      </c>
      <c r="J245" s="158"/>
      <c r="K245" s="158"/>
      <c r="L245" s="158">
        <v>1</v>
      </c>
      <c r="M245" s="158"/>
      <c r="N245" s="158">
        <v>1</v>
      </c>
      <c r="O245" s="158">
        <v>1</v>
      </c>
      <c r="P245" s="158" t="s">
        <v>486</v>
      </c>
      <c r="Q245" s="158"/>
      <c r="R245" s="158" t="s">
        <v>487</v>
      </c>
      <c r="S245" s="158">
        <v>0</v>
      </c>
      <c r="T245" s="158"/>
      <c r="U245" s="158"/>
      <c r="V245" s="158"/>
      <c r="W245" s="158"/>
      <c r="X245" s="158"/>
      <c r="Y245" s="158"/>
      <c r="Z245" s="158"/>
      <c r="AA245" s="158"/>
      <c r="AB245" s="158"/>
      <c r="AC245" s="800" t="s">
        <v>6210</v>
      </c>
      <c r="AD245" s="800">
        <v>1</v>
      </c>
      <c r="AE245" s="800">
        <v>1</v>
      </c>
      <c r="AF245" s="743">
        <v>0</v>
      </c>
      <c r="AG245" s="744" t="s">
        <v>7481</v>
      </c>
      <c r="AH245" s="509">
        <v>0</v>
      </c>
      <c r="AI245" s="734">
        <v>2</v>
      </c>
      <c r="AJ245" s="734"/>
      <c r="AK245" s="739" t="s">
        <v>6800</v>
      </c>
      <c r="AL245" s="372">
        <v>1</v>
      </c>
      <c r="AM245" s="724">
        <v>0</v>
      </c>
      <c r="AN245" s="734">
        <v>25</v>
      </c>
      <c r="AO245" s="734" t="s">
        <v>6801</v>
      </c>
      <c r="AP245" s="734">
        <v>11</v>
      </c>
      <c r="AQ245" s="734" t="s">
        <v>803</v>
      </c>
      <c r="AR245" s="734" t="s">
        <v>803</v>
      </c>
      <c r="AS245" s="734">
        <f>AVERAGE(80.9, 79.3)</f>
        <v>80.099999999999994</v>
      </c>
      <c r="AT245" s="734">
        <f>AVERAGE(2.3,1.5)</f>
        <v>1.9</v>
      </c>
      <c r="AU245" s="734">
        <v>80</v>
      </c>
      <c r="AV245" s="734">
        <v>2.2000000000000002</v>
      </c>
      <c r="AW245" s="734" t="s">
        <v>6802</v>
      </c>
      <c r="AX245" s="734"/>
      <c r="AY245" s="734"/>
      <c r="AZ245" s="755" t="s">
        <v>7361</v>
      </c>
      <c r="BA245" s="734" t="s">
        <v>24</v>
      </c>
      <c r="BB245" s="734" t="s">
        <v>24</v>
      </c>
      <c r="BC245" s="734" t="s">
        <v>6803</v>
      </c>
      <c r="BD245" s="755"/>
      <c r="BE245" s="755"/>
      <c r="BF245" s="734" t="s">
        <v>6791</v>
      </c>
      <c r="BG245" s="734" t="s">
        <v>6792</v>
      </c>
      <c r="BH245" s="372"/>
      <c r="BI245" s="372"/>
      <c r="BJ245" s="735"/>
      <c r="BK245" s="735"/>
      <c r="BL245" s="735" t="s">
        <v>6209</v>
      </c>
      <c r="BM245" s="735"/>
      <c r="BN245" s="735"/>
      <c r="BO245" s="735" t="s">
        <v>4727</v>
      </c>
      <c r="BP245" s="735">
        <v>1</v>
      </c>
      <c r="BQ245" s="735"/>
      <c r="BR245" s="735" t="s">
        <v>4727</v>
      </c>
      <c r="BS245" s="735"/>
      <c r="BT245" s="735"/>
      <c r="BU245" s="735"/>
      <c r="BV245" s="735"/>
      <c r="BW245" s="735" t="s">
        <v>4000</v>
      </c>
      <c r="BX245" s="736" t="s">
        <v>6609</v>
      </c>
      <c r="BY245" s="736"/>
      <c r="BZ245" s="736"/>
      <c r="CA245" s="510">
        <v>2</v>
      </c>
      <c r="CB245" s="510"/>
      <c r="CC245" s="510" t="s">
        <v>24</v>
      </c>
      <c r="CD245" s="734" t="s">
        <v>1876</v>
      </c>
      <c r="CE245" s="734" t="s">
        <v>6804</v>
      </c>
      <c r="CF245" s="734"/>
      <c r="CG245" s="734" t="s">
        <v>6793</v>
      </c>
      <c r="CH245" s="755"/>
      <c r="CI245" s="734" t="s">
        <v>24</v>
      </c>
      <c r="CJ245" s="734"/>
      <c r="CK245" s="774" t="s">
        <v>6805</v>
      </c>
      <c r="CL245" s="734"/>
      <c r="CM245" s="737" t="s">
        <v>6827</v>
      </c>
      <c r="CN245" s="738">
        <v>0</v>
      </c>
      <c r="CO245" s="738"/>
      <c r="CP245" s="738"/>
      <c r="CQ245" s="738"/>
      <c r="CR245" s="738"/>
      <c r="CS245" s="738"/>
      <c r="CT245" s="738"/>
      <c r="CU245" s="738"/>
      <c r="CV245" s="738"/>
      <c r="CW245" s="738"/>
      <c r="CX245" s="736" t="s">
        <v>6807</v>
      </c>
      <c r="CY245" s="742">
        <v>11</v>
      </c>
      <c r="CZ245" s="734">
        <v>4.9000000000000004</v>
      </c>
      <c r="DA245" s="734" t="s">
        <v>24</v>
      </c>
      <c r="DB245" s="736" t="s">
        <v>6808</v>
      </c>
      <c r="DC245" s="734">
        <v>10.1</v>
      </c>
      <c r="DD245" s="734">
        <v>2.6</v>
      </c>
      <c r="DE245" s="734" t="s">
        <v>24</v>
      </c>
      <c r="DF245" s="515" t="s">
        <v>6822</v>
      </c>
      <c r="DG245" s="538" t="s">
        <v>2480</v>
      </c>
      <c r="DH245" s="736" t="s">
        <v>6809</v>
      </c>
      <c r="DI245" s="734">
        <v>9</v>
      </c>
      <c r="DJ245" s="734">
        <v>3.7</v>
      </c>
      <c r="DK245" s="734" t="s">
        <v>24</v>
      </c>
      <c r="DL245" s="1180" t="s">
        <v>6812</v>
      </c>
      <c r="DM245" s="734">
        <v>8.6</v>
      </c>
      <c r="DN245" s="778">
        <v>3.9</v>
      </c>
      <c r="DO245" s="734" t="s">
        <v>24</v>
      </c>
      <c r="DP245" s="737" t="s">
        <v>6822</v>
      </c>
      <c r="DQ245" s="372" t="s">
        <v>2480</v>
      </c>
      <c r="DR245" s="1182" t="s">
        <v>24</v>
      </c>
      <c r="DS245" s="956" t="s">
        <v>24</v>
      </c>
      <c r="DT245" s="1180" t="s">
        <v>6810</v>
      </c>
      <c r="DU245" s="778">
        <v>7.5</v>
      </c>
      <c r="DV245" s="778">
        <v>4</v>
      </c>
      <c r="DW245" s="778" t="s">
        <v>24</v>
      </c>
      <c r="DX245" s="1180" t="s">
        <v>6811</v>
      </c>
      <c r="DY245" s="778">
        <v>9.4</v>
      </c>
      <c r="DZ245" s="778">
        <v>2.5</v>
      </c>
      <c r="EA245" s="778" t="s">
        <v>24</v>
      </c>
      <c r="EB245" s="1181" t="s">
        <v>24</v>
      </c>
      <c r="EC245" s="778" t="s">
        <v>24</v>
      </c>
      <c r="ED245" s="778"/>
      <c r="EE245" s="778"/>
      <c r="EF245" s="778"/>
      <c r="EG245" s="778"/>
      <c r="EH245" s="778"/>
      <c r="EI245" s="778"/>
      <c r="EJ245" s="778"/>
      <c r="EK245" s="778"/>
      <c r="EL245" s="1181"/>
      <c r="EM245" s="778"/>
      <c r="EN245" s="1181"/>
      <c r="EO245" s="778"/>
      <c r="EP245" s="778"/>
      <c r="EQ245" s="778"/>
      <c r="ER245" s="778"/>
      <c r="ES245" s="778"/>
      <c r="ET245" s="1180"/>
      <c r="EU245" s="778"/>
      <c r="EV245" s="778"/>
      <c r="EW245" s="778"/>
      <c r="EX245" s="778"/>
      <c r="EY245" s="778"/>
      <c r="EZ245" s="1180"/>
      <c r="FA245" s="778"/>
      <c r="FB245" s="778"/>
      <c r="FC245" s="778"/>
      <c r="FD245" s="1180"/>
      <c r="FE245" s="778"/>
      <c r="FF245" s="778"/>
      <c r="FG245" s="778"/>
      <c r="FH245" s="778"/>
      <c r="FI245" s="778"/>
      <c r="FJ245" s="778"/>
    </row>
    <row r="246" spans="1:166" ht="15" hidden="1" customHeight="1">
      <c r="A246" s="158" t="s">
        <v>163</v>
      </c>
      <c r="B246" s="1094">
        <v>119</v>
      </c>
      <c r="C246" s="1094"/>
      <c r="D246" s="1094">
        <v>38</v>
      </c>
      <c r="E246" s="1095" t="s">
        <v>1959</v>
      </c>
      <c r="F246" s="711" t="s">
        <v>2181</v>
      </c>
      <c r="G246" s="1096">
        <v>2008</v>
      </c>
      <c r="H246" s="158">
        <v>18806234</v>
      </c>
      <c r="I246" s="158">
        <v>1</v>
      </c>
      <c r="J246" s="158"/>
      <c r="K246" s="158"/>
      <c r="L246" s="158">
        <v>1</v>
      </c>
      <c r="M246" s="158"/>
      <c r="N246" s="158">
        <v>1</v>
      </c>
      <c r="O246" s="158">
        <v>1</v>
      </c>
      <c r="P246" s="158" t="s">
        <v>486</v>
      </c>
      <c r="Q246" s="158"/>
      <c r="R246" s="158" t="s">
        <v>487</v>
      </c>
      <c r="S246" s="158">
        <v>0</v>
      </c>
      <c r="T246" s="158"/>
      <c r="U246" s="158"/>
      <c r="V246" s="158"/>
      <c r="W246" s="158"/>
      <c r="X246" s="158"/>
      <c r="Y246" s="158"/>
      <c r="Z246" s="158"/>
      <c r="AA246" s="158"/>
      <c r="AB246" s="158"/>
      <c r="AC246" s="800" t="s">
        <v>6210</v>
      </c>
      <c r="AD246" s="800">
        <v>1</v>
      </c>
      <c r="AE246" s="800">
        <v>1</v>
      </c>
      <c r="AF246" s="743">
        <v>0</v>
      </c>
      <c r="AG246" s="744" t="s">
        <v>7481</v>
      </c>
      <c r="AH246" s="509">
        <v>0</v>
      </c>
      <c r="AI246" s="734">
        <v>2</v>
      </c>
      <c r="AJ246" s="734"/>
      <c r="AK246" s="739" t="s">
        <v>6800</v>
      </c>
      <c r="AL246" s="372">
        <v>1</v>
      </c>
      <c r="AM246" s="724">
        <v>0</v>
      </c>
      <c r="AN246" s="734">
        <v>25</v>
      </c>
      <c r="AO246" s="734" t="s">
        <v>6801</v>
      </c>
      <c r="AP246" s="734">
        <v>11</v>
      </c>
      <c r="AQ246" s="734" t="s">
        <v>803</v>
      </c>
      <c r="AR246" s="734" t="s">
        <v>803</v>
      </c>
      <c r="AS246" s="734">
        <f>AVERAGE(80.9, 79.3)</f>
        <v>80.099999999999994</v>
      </c>
      <c r="AT246" s="734">
        <f>AVERAGE(2.3,1.5)</f>
        <v>1.9</v>
      </c>
      <c r="AU246" s="734">
        <v>80</v>
      </c>
      <c r="AV246" s="734">
        <v>2.2000000000000002</v>
      </c>
      <c r="AW246" s="734" t="s">
        <v>6802</v>
      </c>
      <c r="AX246" s="734"/>
      <c r="AY246" s="734"/>
      <c r="AZ246" s="755" t="s">
        <v>7361</v>
      </c>
      <c r="BA246" s="734" t="s">
        <v>24</v>
      </c>
      <c r="BB246" s="734" t="s">
        <v>24</v>
      </c>
      <c r="BC246" s="734" t="s">
        <v>6803</v>
      </c>
      <c r="BD246" s="755"/>
      <c r="BE246" s="755"/>
      <c r="BF246" s="734" t="s">
        <v>6791</v>
      </c>
      <c r="BG246" s="734" t="s">
        <v>6792</v>
      </c>
      <c r="BH246" s="372"/>
      <c r="BI246" s="372"/>
      <c r="BJ246" s="735"/>
      <c r="BK246" s="735"/>
      <c r="BL246" s="735" t="s">
        <v>6209</v>
      </c>
      <c r="BM246" s="735"/>
      <c r="BN246" s="735"/>
      <c r="BO246" s="735" t="s">
        <v>4727</v>
      </c>
      <c r="BP246" s="735">
        <v>1</v>
      </c>
      <c r="BQ246" s="735"/>
      <c r="BR246" s="735" t="s">
        <v>4727</v>
      </c>
      <c r="BS246" s="735"/>
      <c r="BT246" s="735"/>
      <c r="BU246" s="735"/>
      <c r="BV246" s="735"/>
      <c r="BW246" s="735" t="s">
        <v>6798</v>
      </c>
      <c r="BX246" s="736" t="s">
        <v>6612</v>
      </c>
      <c r="BY246" s="736"/>
      <c r="BZ246" s="736"/>
      <c r="CA246" s="511">
        <v>2</v>
      </c>
      <c r="CB246" s="511"/>
      <c r="CC246" s="511" t="s">
        <v>24</v>
      </c>
      <c r="CD246" s="734" t="s">
        <v>1876</v>
      </c>
      <c r="CE246" s="734" t="s">
        <v>6804</v>
      </c>
      <c r="CF246" s="734"/>
      <c r="CG246" s="734" t="s">
        <v>6794</v>
      </c>
      <c r="CH246" s="755"/>
      <c r="CI246" s="734" t="s">
        <v>24</v>
      </c>
      <c r="CJ246" s="734"/>
      <c r="CK246" s="734" t="s">
        <v>6806</v>
      </c>
      <c r="CL246" s="734"/>
      <c r="CM246" s="737" t="s">
        <v>6826</v>
      </c>
      <c r="CN246" s="738" t="s">
        <v>24</v>
      </c>
      <c r="CO246" s="738"/>
      <c r="CP246" s="738"/>
      <c r="CQ246" s="738"/>
      <c r="CR246" s="738"/>
      <c r="CS246" s="738"/>
      <c r="CT246" s="738"/>
      <c r="CU246" s="738"/>
      <c r="CV246" s="738"/>
      <c r="CW246" s="738"/>
      <c r="CX246" s="736" t="s">
        <v>6813</v>
      </c>
      <c r="CY246" s="742">
        <v>39.200000000000003</v>
      </c>
      <c r="CZ246" s="734">
        <v>3.4</v>
      </c>
      <c r="DA246" s="734" t="s">
        <v>24</v>
      </c>
      <c r="DB246" s="736" t="s">
        <v>6814</v>
      </c>
      <c r="DC246" s="734">
        <v>36.1</v>
      </c>
      <c r="DD246" s="734">
        <v>6.1</v>
      </c>
      <c r="DE246" s="734" t="s">
        <v>24</v>
      </c>
      <c r="DF246" s="515" t="s">
        <v>6824</v>
      </c>
      <c r="DG246" s="538" t="s">
        <v>6825</v>
      </c>
      <c r="DH246" s="736" t="s">
        <v>6815</v>
      </c>
      <c r="DI246" s="742">
        <v>41.2</v>
      </c>
      <c r="DJ246" s="778">
        <v>2.9</v>
      </c>
      <c r="DK246" s="734" t="s">
        <v>24</v>
      </c>
      <c r="DL246" s="1180" t="s">
        <v>24</v>
      </c>
      <c r="DM246" s="778" t="s">
        <v>24</v>
      </c>
      <c r="DN246" s="778" t="s">
        <v>24</v>
      </c>
      <c r="DO246" s="778" t="s">
        <v>24</v>
      </c>
      <c r="DP246" s="737" t="s">
        <v>24</v>
      </c>
      <c r="DQ246" s="782" t="s">
        <v>24</v>
      </c>
      <c r="DR246" s="1182"/>
      <c r="DS246" s="956"/>
      <c r="DT246" s="1180"/>
      <c r="DU246" s="778"/>
      <c r="DV246" s="778"/>
      <c r="DW246" s="778"/>
      <c r="DX246" s="778"/>
      <c r="DY246" s="742"/>
      <c r="DZ246" s="778"/>
      <c r="EA246" s="742"/>
      <c r="EB246" s="1181"/>
      <c r="EC246" s="778"/>
      <c r="ED246" s="778"/>
      <c r="EE246" s="742"/>
      <c r="EF246" s="778"/>
      <c r="EG246" s="778"/>
      <c r="EH246" s="778"/>
      <c r="EI246" s="778"/>
      <c r="EJ246" s="778"/>
      <c r="EK246" s="778"/>
      <c r="EL246" s="1181"/>
      <c r="EM246" s="778"/>
      <c r="EN246" s="1181"/>
      <c r="EO246" s="778"/>
      <c r="EP246" s="778"/>
      <c r="EQ246" s="778"/>
      <c r="ER246" s="778"/>
      <c r="ES246" s="778"/>
      <c r="ET246" s="1180"/>
      <c r="EU246" s="778"/>
      <c r="EV246" s="778"/>
      <c r="EW246" s="778"/>
      <c r="EX246" s="778"/>
      <c r="EY246" s="778"/>
      <c r="EZ246" s="1180"/>
      <c r="FA246" s="778"/>
      <c r="FB246" s="778"/>
      <c r="FC246" s="778"/>
      <c r="FD246" s="1180"/>
      <c r="FE246" s="778"/>
      <c r="FF246" s="778"/>
      <c r="FG246" s="778"/>
      <c r="FH246" s="778"/>
      <c r="FI246" s="778"/>
      <c r="FJ246" s="778"/>
    </row>
    <row r="247" spans="1:166" ht="15" hidden="1" customHeight="1">
      <c r="A247" s="79" t="s">
        <v>1047</v>
      </c>
      <c r="B247" s="362">
        <v>131</v>
      </c>
      <c r="C247" s="362"/>
      <c r="D247" s="362">
        <v>42</v>
      </c>
      <c r="E247" s="604" t="s">
        <v>2079</v>
      </c>
      <c r="F247" s="124" t="s">
        <v>2333</v>
      </c>
      <c r="G247" s="125">
        <v>2016</v>
      </c>
      <c r="H247" s="79">
        <v>27275520</v>
      </c>
      <c r="I247" s="79">
        <v>1</v>
      </c>
      <c r="J247" s="126"/>
      <c r="K247" s="127"/>
      <c r="L247" s="79">
        <v>1</v>
      </c>
      <c r="M247" s="79"/>
      <c r="N247" s="79">
        <v>1</v>
      </c>
      <c r="O247" s="128">
        <v>2</v>
      </c>
      <c r="P247" s="79" t="s">
        <v>1361</v>
      </c>
      <c r="Q247" s="79" t="s">
        <v>1216</v>
      </c>
      <c r="R247" s="79" t="s">
        <v>1127</v>
      </c>
      <c r="S247" s="79"/>
      <c r="T247" s="79" t="s">
        <v>1487</v>
      </c>
      <c r="U247" s="79"/>
      <c r="V247" s="79"/>
      <c r="W247" s="79" t="s">
        <v>1360</v>
      </c>
      <c r="X247" s="79" t="s">
        <v>24</v>
      </c>
      <c r="Y247" s="79" t="s">
        <v>24</v>
      </c>
      <c r="Z247" s="79"/>
      <c r="AA247" s="79"/>
      <c r="AB247" s="79"/>
      <c r="AC247" s="506" t="s">
        <v>6213</v>
      </c>
      <c r="AD247" s="573">
        <v>1</v>
      </c>
      <c r="AE247" s="573">
        <v>1</v>
      </c>
      <c r="AF247" s="154">
        <v>1</v>
      </c>
      <c r="AG247" s="155" t="s">
        <v>7625</v>
      </c>
      <c r="AH247" s="704"/>
      <c r="AI247" s="121">
        <v>4</v>
      </c>
      <c r="AJ247" s="484" t="s">
        <v>6889</v>
      </c>
      <c r="AK247" s="202" t="s">
        <v>6883</v>
      </c>
      <c r="AL247" s="192">
        <v>1</v>
      </c>
      <c r="AM247" s="203">
        <v>1</v>
      </c>
      <c r="AN247" s="121">
        <f>Table66[[#This Row],[Data_Subjects_n_ptsd]]+Table66[[#This Row],[Data_Subjects_n_control]]</f>
        <v>20</v>
      </c>
      <c r="AO247" s="121">
        <v>10</v>
      </c>
      <c r="AP247" s="121">
        <v>10</v>
      </c>
      <c r="AQ247" s="121" t="s">
        <v>803</v>
      </c>
      <c r="AR247" s="121" t="s">
        <v>803</v>
      </c>
      <c r="AS247" s="121" t="s">
        <v>2687</v>
      </c>
      <c r="AT247" s="121" t="s">
        <v>24</v>
      </c>
      <c r="AU247" s="121" t="s">
        <v>2687</v>
      </c>
      <c r="AV247" s="121" t="s">
        <v>24</v>
      </c>
      <c r="AW247" s="121" t="s">
        <v>6876</v>
      </c>
      <c r="AX247" s="121"/>
      <c r="AY247" s="121"/>
      <c r="AZ247" s="754" t="s">
        <v>7328</v>
      </c>
      <c r="BA247" s="121">
        <v>1</v>
      </c>
      <c r="BB247" s="121" t="s">
        <v>6877</v>
      </c>
      <c r="BC247" s="121" t="s">
        <v>6888</v>
      </c>
      <c r="BD247" s="754" t="s">
        <v>7523</v>
      </c>
      <c r="BE247" s="754"/>
      <c r="BF247" s="121" t="s">
        <v>1130</v>
      </c>
      <c r="BG247" s="121" t="s">
        <v>6653</v>
      </c>
      <c r="BH247" s="594" t="s">
        <v>5207</v>
      </c>
      <c r="BI247" s="594"/>
      <c r="BJ247" s="156"/>
      <c r="BK247" s="156"/>
      <c r="BL247" s="156"/>
      <c r="BM247" s="156"/>
      <c r="BN247" s="156"/>
      <c r="BO247" s="156"/>
      <c r="BP247" s="156">
        <v>1</v>
      </c>
      <c r="BQ247" s="156"/>
      <c r="BR247" s="156"/>
      <c r="BS247" s="156"/>
      <c r="BT247" s="156"/>
      <c r="BU247" s="156"/>
      <c r="BV247" s="156"/>
      <c r="BW247" s="595" t="s">
        <v>6764</v>
      </c>
      <c r="BX247" s="157" t="s">
        <v>6763</v>
      </c>
      <c r="BY247" s="797" t="s">
        <v>7614</v>
      </c>
      <c r="BZ247" s="789" t="s">
        <v>7610</v>
      </c>
      <c r="CA247" s="769">
        <v>2</v>
      </c>
      <c r="CB247" s="769" t="s">
        <v>7556</v>
      </c>
      <c r="CC247" s="811" t="s">
        <v>7384</v>
      </c>
      <c r="CD247" s="134" t="s">
        <v>1876</v>
      </c>
      <c r="CE247" s="168" t="s">
        <v>6884</v>
      </c>
      <c r="CF247" s="415"/>
      <c r="CG247" s="664" t="s">
        <v>6879</v>
      </c>
      <c r="CH247" s="763" t="s">
        <v>1512</v>
      </c>
      <c r="CI247" s="134" t="s">
        <v>6885</v>
      </c>
      <c r="CJ247" s="134"/>
      <c r="CK247" s="134" t="s">
        <v>6878</v>
      </c>
      <c r="CL247" s="134" t="s">
        <v>8226</v>
      </c>
      <c r="CM247" s="259" t="s">
        <v>6902</v>
      </c>
      <c r="CN247" s="1736" t="s">
        <v>24</v>
      </c>
      <c r="CO247" s="828">
        <v>33</v>
      </c>
      <c r="CP247" s="828">
        <v>1</v>
      </c>
      <c r="CQ247" s="828">
        <v>4</v>
      </c>
      <c r="CR247" s="828">
        <v>1</v>
      </c>
      <c r="CS247" s="828">
        <v>-1</v>
      </c>
      <c r="CT247" s="967"/>
      <c r="CU247" s="1289" t="s">
        <v>8104</v>
      </c>
      <c r="CV247" s="1295">
        <v>89</v>
      </c>
      <c r="CW247" s="1295">
        <v>81</v>
      </c>
      <c r="CX247" s="138" t="s">
        <v>6897</v>
      </c>
      <c r="CY247" s="190">
        <v>23.699000000000002</v>
      </c>
      <c r="CZ247" s="134" t="s">
        <v>24</v>
      </c>
      <c r="DA247" s="134">
        <f>26.4762-Table66[[#This Row],[Data_Outcome1_M]]</f>
        <v>2.777199999999997</v>
      </c>
      <c r="DB247" s="138" t="s">
        <v>6898</v>
      </c>
      <c r="DC247" s="134">
        <v>12.9977</v>
      </c>
      <c r="DD247" s="134" t="s">
        <v>24</v>
      </c>
      <c r="DE247" s="134">
        <f>14.6906-Table66[[#This Row],[Data_Outcome2_M]]</f>
        <v>1.6928999999999998</v>
      </c>
      <c r="DF247" s="288" t="s">
        <v>6901</v>
      </c>
      <c r="DG247" s="568" t="s">
        <v>2588</v>
      </c>
      <c r="DH247" s="1171"/>
      <c r="DI247" s="121"/>
      <c r="DJ247" s="1169"/>
      <c r="DK247" s="1169"/>
      <c r="DL247" s="1171"/>
      <c r="DM247" s="1169"/>
      <c r="DN247" s="1169"/>
      <c r="DO247" s="1169"/>
      <c r="DP247" s="567"/>
      <c r="DQ247" s="441"/>
      <c r="DR247" s="1168"/>
      <c r="DS247" s="865"/>
      <c r="DT247" s="1171"/>
      <c r="DU247" s="1169"/>
      <c r="DV247" s="1169"/>
      <c r="DW247" s="1169"/>
      <c r="DX247" s="1171"/>
      <c r="DY247" s="1169"/>
      <c r="DZ247" s="1169"/>
      <c r="EA247" s="1169"/>
      <c r="EB247" s="1226"/>
      <c r="EC247" s="1225"/>
      <c r="ED247" s="1171"/>
      <c r="EE247" s="1169"/>
      <c r="EF247" s="1169"/>
      <c r="EG247" s="1169"/>
      <c r="EH247" s="1171"/>
      <c r="EI247" s="1169"/>
      <c r="EJ247" s="1169"/>
      <c r="EK247" s="1169"/>
      <c r="EL247" s="1226"/>
      <c r="EM247" s="1225"/>
      <c r="EN247" s="309"/>
      <c r="EO247" s="1170"/>
      <c r="EP247" s="1171"/>
      <c r="EQ247" s="1169"/>
      <c r="ER247" s="1169"/>
      <c r="ES247" s="1169"/>
      <c r="ET247" s="1171"/>
      <c r="EU247" s="1169"/>
      <c r="EV247" s="1169"/>
      <c r="EW247" s="1169"/>
      <c r="EX247" s="1226"/>
      <c r="EY247" s="1225"/>
      <c r="EZ247" s="1171"/>
      <c r="FA247" s="1169"/>
      <c r="FB247" s="1169"/>
      <c r="FC247" s="1169"/>
      <c r="FD247" s="1171"/>
      <c r="FE247" s="1169"/>
      <c r="FF247" s="1169"/>
      <c r="FG247" s="1169"/>
      <c r="FH247" s="312"/>
      <c r="FI247" s="312"/>
      <c r="FJ247" s="1170"/>
    </row>
    <row r="248" spans="1:166" ht="15" hidden="1" customHeight="1">
      <c r="A248" s="835" t="s">
        <v>167</v>
      </c>
      <c r="B248" s="836">
        <v>121</v>
      </c>
      <c r="C248" s="836">
        <v>30</v>
      </c>
      <c r="D248" s="836"/>
      <c r="E248" s="837" t="s">
        <v>1960</v>
      </c>
      <c r="F248" s="838" t="s">
        <v>2182</v>
      </c>
      <c r="G248" s="839">
        <v>2011</v>
      </c>
      <c r="H248" s="835">
        <v>21047644</v>
      </c>
      <c r="I248" s="835">
        <v>1</v>
      </c>
      <c r="J248" s="835"/>
      <c r="K248" s="835"/>
      <c r="L248" s="835">
        <v>1</v>
      </c>
      <c r="M248" s="835"/>
      <c r="N248" s="835">
        <v>1</v>
      </c>
      <c r="O248" s="840">
        <v>1</v>
      </c>
      <c r="P248" s="835" t="s">
        <v>493</v>
      </c>
      <c r="Q248" s="835" t="s">
        <v>1147</v>
      </c>
      <c r="R248" s="835" t="s">
        <v>20</v>
      </c>
      <c r="S248" s="835">
        <v>1</v>
      </c>
      <c r="T248" s="835"/>
      <c r="U248" s="835"/>
      <c r="V248" s="835"/>
      <c r="W248" s="835"/>
      <c r="X248" s="835" t="s">
        <v>56</v>
      </c>
      <c r="Y248" s="835"/>
      <c r="Z248" s="835"/>
      <c r="AA248" s="835"/>
      <c r="AB248" s="835" t="s">
        <v>4541</v>
      </c>
      <c r="AC248" s="841"/>
      <c r="AD248" s="842">
        <v>1</v>
      </c>
      <c r="AE248" s="842">
        <v>2</v>
      </c>
      <c r="AF248" s="843">
        <v>1</v>
      </c>
      <c r="AG248" s="844"/>
      <c r="AH248" s="845"/>
      <c r="AI248" s="841">
        <v>2</v>
      </c>
      <c r="AJ248" s="846"/>
      <c r="AK248" s="847" t="s">
        <v>4542</v>
      </c>
      <c r="AL248" s="848">
        <v>0</v>
      </c>
      <c r="AM248" s="849">
        <v>0</v>
      </c>
      <c r="AN248" s="841">
        <f>Table66[[#This Row],[Data_Subjects_n_ptsd]]+Table66[[#This Row],[Data_Subjects_n_control]]</f>
        <v>29</v>
      </c>
      <c r="AO248" s="841">
        <v>15</v>
      </c>
      <c r="AP248" s="841">
        <v>14</v>
      </c>
      <c r="AQ248" s="841" t="s">
        <v>4520</v>
      </c>
      <c r="AR248" s="841" t="s">
        <v>4519</v>
      </c>
      <c r="AS248" s="855">
        <v>33.93</v>
      </c>
      <c r="AT248" s="855">
        <v>8.23</v>
      </c>
      <c r="AU248" s="855">
        <v>34</v>
      </c>
      <c r="AV248" s="855">
        <v>6.03</v>
      </c>
      <c r="AW248" s="855" t="s">
        <v>1874</v>
      </c>
      <c r="AX248" s="841"/>
      <c r="AY248" s="841"/>
      <c r="AZ248" s="841" t="s">
        <v>1874</v>
      </c>
      <c r="BA248" s="841" t="s">
        <v>24</v>
      </c>
      <c r="BB248" s="841" t="s">
        <v>24</v>
      </c>
      <c r="BC248" s="841" t="s">
        <v>4522</v>
      </c>
      <c r="BD248" s="841" t="s">
        <v>7521</v>
      </c>
      <c r="BE248" s="1624">
        <v>0</v>
      </c>
      <c r="BF248" s="841" t="s">
        <v>5116</v>
      </c>
      <c r="BG248" s="841" t="s">
        <v>4521</v>
      </c>
      <c r="BH248" s="850"/>
      <c r="BI248" s="850"/>
      <c r="BJ248" s="851"/>
      <c r="BK248" s="851"/>
      <c r="BL248" s="851"/>
      <c r="BM248" s="851"/>
      <c r="BN248" s="851"/>
      <c r="BO248" s="851"/>
      <c r="BP248" s="851">
        <v>1</v>
      </c>
      <c r="BQ248" s="851"/>
      <c r="BR248" s="851"/>
      <c r="BS248" s="851"/>
      <c r="BT248" s="851"/>
      <c r="BU248" s="851"/>
      <c r="BV248" s="851"/>
      <c r="BW248" s="852" t="s">
        <v>7366</v>
      </c>
      <c r="BX248" s="962" t="s">
        <v>7367</v>
      </c>
      <c r="BY248" s="999" t="s">
        <v>7841</v>
      </c>
      <c r="BZ248" s="853" t="s">
        <v>803</v>
      </c>
      <c r="CA248" s="854">
        <v>3</v>
      </c>
      <c r="CB248" s="854" t="s">
        <v>7556</v>
      </c>
      <c r="CC248" s="854" t="s">
        <v>7380</v>
      </c>
      <c r="CD248" s="855" t="s">
        <v>1876</v>
      </c>
      <c r="CE248" s="855">
        <v>2</v>
      </c>
      <c r="CF248" s="855"/>
      <c r="CG248" s="855" t="s">
        <v>4523</v>
      </c>
      <c r="CH248" s="855" t="s">
        <v>8236</v>
      </c>
      <c r="CI248" s="855" t="s">
        <v>24</v>
      </c>
      <c r="CJ248" s="855"/>
      <c r="CK248" s="855" t="s">
        <v>4532</v>
      </c>
      <c r="CL248" s="855" t="s">
        <v>8234</v>
      </c>
      <c r="CM248" s="856" t="s">
        <v>4540</v>
      </c>
      <c r="CN248" s="857">
        <v>0</v>
      </c>
      <c r="CO248" s="858">
        <v>27</v>
      </c>
      <c r="CP248" s="858">
        <v>1</v>
      </c>
      <c r="CQ248" s="858">
        <v>1</v>
      </c>
      <c r="CR248" s="858">
        <v>1</v>
      </c>
      <c r="CS248" s="858">
        <v>1</v>
      </c>
      <c r="CT248" s="972" t="s">
        <v>7840</v>
      </c>
      <c r="CU248" s="1288" t="s">
        <v>8103</v>
      </c>
      <c r="CV248" s="1295">
        <v>15</v>
      </c>
      <c r="CW248" s="1294">
        <v>15</v>
      </c>
      <c r="CX248" s="859" t="s">
        <v>4524</v>
      </c>
      <c r="CY248" s="840">
        <v>0.52320100000000003</v>
      </c>
      <c r="CZ248" s="855" t="s">
        <v>24</v>
      </c>
      <c r="DA248" s="855">
        <f>0.592438-Table66[[#This Row],[Data_Outcome1_M]]</f>
        <v>6.9236999999999993E-2</v>
      </c>
      <c r="DB248" s="859" t="s">
        <v>4525</v>
      </c>
      <c r="DC248" s="855">
        <v>0.48261900000000002</v>
      </c>
      <c r="DD248" s="855" t="s">
        <v>24</v>
      </c>
      <c r="DE248" s="855">
        <f>0.513813-Table66[[#This Row],[Data_Outcome2_M]]</f>
        <v>3.1193999999999944E-2</v>
      </c>
      <c r="DF248" s="860" t="s">
        <v>4534</v>
      </c>
      <c r="DG248" s="1127" t="s">
        <v>4535</v>
      </c>
      <c r="DH248" s="1164"/>
      <c r="DI248" s="500"/>
      <c r="DJ248" s="1164"/>
      <c r="DK248" s="1164"/>
      <c r="DL248" s="1164"/>
      <c r="DM248" s="1164"/>
      <c r="DN248" s="1164"/>
      <c r="DO248" s="1164"/>
      <c r="DP248" s="290"/>
      <c r="DQ248" s="655"/>
      <c r="DR248" s="1236"/>
      <c r="DS248" s="1238"/>
      <c r="DT248" s="1166"/>
      <c r="DU248" s="500"/>
      <c r="DV248" s="1164"/>
      <c r="DW248" s="1164"/>
      <c r="DX248" s="1164"/>
      <c r="DY248" s="1164"/>
      <c r="DZ248" s="1164"/>
      <c r="EA248" s="1164"/>
      <c r="EB248" s="311"/>
      <c r="EC248" s="1233"/>
      <c r="ED248" s="1164"/>
      <c r="EE248" s="500"/>
      <c r="EF248" s="1164"/>
      <c r="EG248" s="1164"/>
      <c r="EH248" s="1164"/>
      <c r="EI248" s="1164"/>
      <c r="EJ248" s="1164"/>
      <c r="EK248" s="1164"/>
      <c r="EL248" s="1237"/>
      <c r="EM248" s="1233"/>
      <c r="EN248" s="1236"/>
      <c r="EO248" s="1234"/>
      <c r="EP248" s="1232" t="s">
        <v>24</v>
      </c>
      <c r="EQ248" s="1232"/>
      <c r="ER248" s="1232"/>
      <c r="ES248" s="1232"/>
      <c r="ET248" s="1235"/>
      <c r="EU248" s="1232"/>
      <c r="EV248" s="1232"/>
      <c r="EW248" s="1232"/>
      <c r="EX248" s="1233"/>
      <c r="EY248" s="1233"/>
      <c r="EZ248" s="1235"/>
      <c r="FA248" s="1232"/>
      <c r="FB248" s="1232"/>
      <c r="FC248" s="1232"/>
      <c r="FD248" s="1235"/>
      <c r="FE248" s="1232"/>
      <c r="FF248" s="1232"/>
      <c r="FG248" s="1232"/>
      <c r="FH248" s="1233"/>
      <c r="FI248" s="1233"/>
      <c r="FJ248" s="1234"/>
    </row>
    <row r="249" spans="1:166" s="1301" customFormat="1" ht="15" hidden="1" customHeight="1">
      <c r="A249" s="835" t="s">
        <v>167</v>
      </c>
      <c r="B249" s="836">
        <v>121</v>
      </c>
      <c r="C249" s="836">
        <v>30</v>
      </c>
      <c r="D249" s="836"/>
      <c r="E249" s="837" t="s">
        <v>1960</v>
      </c>
      <c r="F249" s="838" t="s">
        <v>2182</v>
      </c>
      <c r="G249" s="839">
        <v>2011</v>
      </c>
      <c r="H249" s="835">
        <v>21047644</v>
      </c>
      <c r="I249" s="835">
        <v>1</v>
      </c>
      <c r="J249" s="835"/>
      <c r="K249" s="835"/>
      <c r="L249" s="835">
        <v>1</v>
      </c>
      <c r="M249" s="835"/>
      <c r="N249" s="835">
        <v>1</v>
      </c>
      <c r="O249" s="840">
        <v>1</v>
      </c>
      <c r="P249" s="835" t="s">
        <v>493</v>
      </c>
      <c r="Q249" s="835" t="s">
        <v>1147</v>
      </c>
      <c r="R249" s="835" t="s">
        <v>20</v>
      </c>
      <c r="S249" s="835">
        <v>1</v>
      </c>
      <c r="T249" s="835"/>
      <c r="U249" s="835"/>
      <c r="V249" s="835"/>
      <c r="W249" s="835"/>
      <c r="X249" s="835" t="s">
        <v>56</v>
      </c>
      <c r="Y249" s="835"/>
      <c r="Z249" s="835"/>
      <c r="AA249" s="835"/>
      <c r="AB249" s="835" t="s">
        <v>4541</v>
      </c>
      <c r="AC249" s="841"/>
      <c r="AD249" s="842">
        <v>1</v>
      </c>
      <c r="AE249" s="842">
        <v>2</v>
      </c>
      <c r="AF249" s="843">
        <v>1</v>
      </c>
      <c r="AG249" s="844"/>
      <c r="AH249" s="845"/>
      <c r="AI249" s="841">
        <v>2</v>
      </c>
      <c r="AJ249" s="846"/>
      <c r="AK249" s="847" t="s">
        <v>4542</v>
      </c>
      <c r="AL249" s="848">
        <v>0</v>
      </c>
      <c r="AM249" s="849">
        <v>0</v>
      </c>
      <c r="AN249" s="841">
        <f>Table66[[#This Row],[Data_Subjects_n_ptsd]]+Table66[[#This Row],[Data_Subjects_n_control]]</f>
        <v>29</v>
      </c>
      <c r="AO249" s="841">
        <v>15</v>
      </c>
      <c r="AP249" s="841">
        <v>14</v>
      </c>
      <c r="AQ249" s="841" t="s">
        <v>4520</v>
      </c>
      <c r="AR249" s="841" t="s">
        <v>4519</v>
      </c>
      <c r="AS249" s="855">
        <v>33.93</v>
      </c>
      <c r="AT249" s="855">
        <v>8.23</v>
      </c>
      <c r="AU249" s="855">
        <v>34</v>
      </c>
      <c r="AV249" s="855">
        <v>6.03</v>
      </c>
      <c r="AW249" s="855" t="s">
        <v>1874</v>
      </c>
      <c r="AX249" s="841"/>
      <c r="AY249" s="841"/>
      <c r="AZ249" s="841" t="s">
        <v>1874</v>
      </c>
      <c r="BA249" s="841" t="s">
        <v>24</v>
      </c>
      <c r="BB249" s="841" t="s">
        <v>24</v>
      </c>
      <c r="BC249" s="841" t="s">
        <v>4522</v>
      </c>
      <c r="BD249" s="841" t="s">
        <v>7521</v>
      </c>
      <c r="BE249" s="1624">
        <v>0</v>
      </c>
      <c r="BF249" s="841" t="s">
        <v>5116</v>
      </c>
      <c r="BG249" s="841" t="s">
        <v>4521</v>
      </c>
      <c r="BH249" s="850"/>
      <c r="BI249" s="850"/>
      <c r="BJ249" s="851"/>
      <c r="BK249" s="851"/>
      <c r="BL249" s="851"/>
      <c r="BM249" s="851"/>
      <c r="BN249" s="851"/>
      <c r="BO249" s="851"/>
      <c r="BP249" s="851">
        <v>1</v>
      </c>
      <c r="BQ249" s="851"/>
      <c r="BR249" s="851"/>
      <c r="BS249" s="851"/>
      <c r="BT249" s="851"/>
      <c r="BU249" s="851"/>
      <c r="BV249" s="851"/>
      <c r="BW249" s="852" t="s">
        <v>7366</v>
      </c>
      <c r="BX249" s="962" t="s">
        <v>7367</v>
      </c>
      <c r="BY249" s="999" t="s">
        <v>7841</v>
      </c>
      <c r="BZ249" s="853" t="s">
        <v>803</v>
      </c>
      <c r="CA249" s="854">
        <v>3</v>
      </c>
      <c r="CB249" s="854" t="s">
        <v>7556</v>
      </c>
      <c r="CC249" s="854" t="s">
        <v>7380</v>
      </c>
      <c r="CD249" s="855" t="s">
        <v>1876</v>
      </c>
      <c r="CE249" s="855">
        <v>2</v>
      </c>
      <c r="CF249" s="855"/>
      <c r="CG249" s="855" t="s">
        <v>4523</v>
      </c>
      <c r="CH249" s="855" t="s">
        <v>8236</v>
      </c>
      <c r="CI249" s="855" t="s">
        <v>24</v>
      </c>
      <c r="CJ249" s="855"/>
      <c r="CK249" s="855" t="s">
        <v>4532</v>
      </c>
      <c r="CL249" s="855" t="s">
        <v>8235</v>
      </c>
      <c r="CM249" s="856" t="s">
        <v>4540</v>
      </c>
      <c r="CN249" s="857">
        <v>0</v>
      </c>
      <c r="CO249" s="858">
        <v>27</v>
      </c>
      <c r="CP249" s="858">
        <v>1</v>
      </c>
      <c r="CQ249" s="858">
        <v>2</v>
      </c>
      <c r="CR249" s="858">
        <v>1</v>
      </c>
      <c r="CS249" s="858">
        <v>-1</v>
      </c>
      <c r="CT249" s="972" t="s">
        <v>7840</v>
      </c>
      <c r="CU249" s="1288" t="s">
        <v>8103</v>
      </c>
      <c r="CV249" s="1295">
        <v>15</v>
      </c>
      <c r="CW249" s="1294">
        <v>15</v>
      </c>
      <c r="CX249" s="859" t="s">
        <v>4526</v>
      </c>
      <c r="CY249" s="855">
        <v>0.45033935000000003</v>
      </c>
      <c r="CZ249" s="855" t="s">
        <v>24</v>
      </c>
      <c r="DA249" s="855">
        <f>0.5051253-Table66[[#This Row],[Data_Outcome1_M]]</f>
        <v>5.4785949999999972E-2</v>
      </c>
      <c r="DB249" s="859" t="s">
        <v>4527</v>
      </c>
      <c r="DC249" s="855">
        <v>0.27660807999999998</v>
      </c>
      <c r="DD249" s="855" t="s">
        <v>24</v>
      </c>
      <c r="DE249" s="855">
        <f>0.32606238-Table66[[#This Row],[Data_Outcome2_M]]</f>
        <v>4.9454300000000007E-2</v>
      </c>
      <c r="DF249" s="860" t="s">
        <v>4533</v>
      </c>
      <c r="DG249" s="861" t="s">
        <v>4536</v>
      </c>
      <c r="DH249" s="1239"/>
      <c r="DI249" s="835"/>
      <c r="DJ249" s="1232"/>
      <c r="DK249" s="835"/>
      <c r="DL249" s="1235"/>
      <c r="DM249" s="835"/>
      <c r="DN249" s="1232"/>
      <c r="DO249" s="1159"/>
      <c r="DP249" s="860"/>
      <c r="DQ249" s="863"/>
      <c r="DR249" s="1236"/>
      <c r="DS249" s="1238"/>
      <c r="DT249" s="1235"/>
      <c r="DU249" s="835"/>
      <c r="DV249" s="1232"/>
      <c r="DW249" s="835"/>
      <c r="DX249" s="1235"/>
      <c r="DY249" s="835"/>
      <c r="DZ249" s="1232"/>
      <c r="EA249" s="835"/>
      <c r="EB249" s="1237"/>
      <c r="EC249" s="1233"/>
      <c r="ED249" s="1232" t="s">
        <v>4530</v>
      </c>
      <c r="EE249" s="835">
        <v>0.21712607</v>
      </c>
      <c r="EF249" s="1232" t="s">
        <v>24</v>
      </c>
      <c r="EG249" s="835">
        <f>0.25745186-Table66[[#This Row],[Data_Outcome7_M]]</f>
        <v>4.0325789999999972E-2</v>
      </c>
      <c r="EH249" s="1232" t="s">
        <v>4531</v>
      </c>
      <c r="EI249" s="835">
        <v>0.16970012000000001</v>
      </c>
      <c r="EJ249" s="1232" t="s">
        <v>24</v>
      </c>
      <c r="EK249" s="835">
        <f>0.19937383-Table66[[#This Row],[Data_Outcome8_M]]</f>
        <v>2.9673709999999992E-2</v>
      </c>
      <c r="EL249" s="1237"/>
      <c r="EM249" s="1233"/>
      <c r="EN249" s="1236"/>
      <c r="EO249" s="1234"/>
      <c r="EP249" s="1232" t="s">
        <v>24</v>
      </c>
      <c r="EQ249" s="1232"/>
      <c r="ER249" s="1232"/>
      <c r="ES249" s="1232"/>
      <c r="ET249" s="1235"/>
      <c r="EU249" s="1232"/>
      <c r="EV249" s="1232"/>
      <c r="EW249" s="1232"/>
      <c r="EX249" s="1233"/>
      <c r="EY249" s="1233"/>
      <c r="EZ249" s="1235"/>
      <c r="FA249" s="1232"/>
      <c r="FB249" s="1232"/>
      <c r="FC249" s="1232"/>
      <c r="FD249" s="1235"/>
      <c r="FE249" s="1232"/>
      <c r="FF249" s="1232"/>
      <c r="FG249" s="1232"/>
      <c r="FH249" s="1233"/>
      <c r="FI249" s="1233"/>
      <c r="FJ249" s="1234"/>
    </row>
    <row r="250" spans="1:166" s="1301" customFormat="1" ht="15" hidden="1" customHeight="1">
      <c r="A250" s="835" t="s">
        <v>167</v>
      </c>
      <c r="B250" s="836">
        <v>121</v>
      </c>
      <c r="C250" s="836">
        <v>30</v>
      </c>
      <c r="D250" s="836"/>
      <c r="E250" s="837" t="s">
        <v>1960</v>
      </c>
      <c r="F250" s="838" t="s">
        <v>2182</v>
      </c>
      <c r="G250" s="839">
        <v>2011</v>
      </c>
      <c r="H250" s="835">
        <v>21047644</v>
      </c>
      <c r="I250" s="835">
        <v>1</v>
      </c>
      <c r="J250" s="835"/>
      <c r="K250" s="835"/>
      <c r="L250" s="835">
        <v>1</v>
      </c>
      <c r="M250" s="835"/>
      <c r="N250" s="835">
        <v>1</v>
      </c>
      <c r="O250" s="840">
        <v>1</v>
      </c>
      <c r="P250" s="835" t="s">
        <v>493</v>
      </c>
      <c r="Q250" s="835" t="s">
        <v>1147</v>
      </c>
      <c r="R250" s="835" t="s">
        <v>20</v>
      </c>
      <c r="S250" s="835">
        <v>1</v>
      </c>
      <c r="T250" s="835"/>
      <c r="U250" s="835"/>
      <c r="V250" s="835"/>
      <c r="W250" s="835"/>
      <c r="X250" s="835" t="s">
        <v>56</v>
      </c>
      <c r="Y250" s="835"/>
      <c r="Z250" s="835"/>
      <c r="AA250" s="835"/>
      <c r="AB250" s="835" t="s">
        <v>4541</v>
      </c>
      <c r="AC250" s="841"/>
      <c r="AD250" s="842">
        <v>1</v>
      </c>
      <c r="AE250" s="842">
        <v>2</v>
      </c>
      <c r="AF250" s="843">
        <v>1</v>
      </c>
      <c r="AG250" s="844"/>
      <c r="AH250" s="845"/>
      <c r="AI250" s="841">
        <v>2</v>
      </c>
      <c r="AJ250" s="846"/>
      <c r="AK250" s="847" t="s">
        <v>4542</v>
      </c>
      <c r="AL250" s="848">
        <v>0</v>
      </c>
      <c r="AM250" s="849">
        <v>0</v>
      </c>
      <c r="AN250" s="841">
        <f>Table66[[#This Row],[Data_Subjects_n_ptsd]]+Table66[[#This Row],[Data_Subjects_n_control]]</f>
        <v>29</v>
      </c>
      <c r="AO250" s="841">
        <v>15</v>
      </c>
      <c r="AP250" s="841">
        <v>14</v>
      </c>
      <c r="AQ250" s="841" t="s">
        <v>4520</v>
      </c>
      <c r="AR250" s="841" t="s">
        <v>4519</v>
      </c>
      <c r="AS250" s="855">
        <v>33.93</v>
      </c>
      <c r="AT250" s="855">
        <v>8.23</v>
      </c>
      <c r="AU250" s="855">
        <v>34</v>
      </c>
      <c r="AV250" s="855">
        <v>6.03</v>
      </c>
      <c r="AW250" s="855" t="s">
        <v>1874</v>
      </c>
      <c r="AX250" s="841"/>
      <c r="AY250" s="841"/>
      <c r="AZ250" s="841" t="s">
        <v>1874</v>
      </c>
      <c r="BA250" s="841" t="s">
        <v>24</v>
      </c>
      <c r="BB250" s="841" t="s">
        <v>24</v>
      </c>
      <c r="BC250" s="841" t="s">
        <v>4522</v>
      </c>
      <c r="BD250" s="841" t="s">
        <v>7521</v>
      </c>
      <c r="BE250" s="1624">
        <v>0</v>
      </c>
      <c r="BF250" s="841" t="s">
        <v>5116</v>
      </c>
      <c r="BG250" s="841" t="s">
        <v>4521</v>
      </c>
      <c r="BH250" s="850"/>
      <c r="BI250" s="850"/>
      <c r="BJ250" s="851"/>
      <c r="BK250" s="851"/>
      <c r="BL250" s="851"/>
      <c r="BM250" s="851"/>
      <c r="BN250" s="851"/>
      <c r="BO250" s="851"/>
      <c r="BP250" s="851">
        <v>1</v>
      </c>
      <c r="BQ250" s="851"/>
      <c r="BR250" s="851"/>
      <c r="BS250" s="851"/>
      <c r="BT250" s="851"/>
      <c r="BU250" s="851"/>
      <c r="BV250" s="851"/>
      <c r="BW250" s="852" t="s">
        <v>7366</v>
      </c>
      <c r="BX250" s="962" t="s">
        <v>7367</v>
      </c>
      <c r="BY250" s="999" t="s">
        <v>7617</v>
      </c>
      <c r="BZ250" s="853" t="s">
        <v>803</v>
      </c>
      <c r="CA250" s="854">
        <v>2</v>
      </c>
      <c r="CB250" s="854" t="s">
        <v>7556</v>
      </c>
      <c r="CC250" s="854" t="s">
        <v>7380</v>
      </c>
      <c r="CD250" s="855" t="s">
        <v>1876</v>
      </c>
      <c r="CE250" s="855">
        <v>2</v>
      </c>
      <c r="CF250" s="855"/>
      <c r="CG250" s="855" t="s">
        <v>4523</v>
      </c>
      <c r="CH250" s="855" t="s">
        <v>8236</v>
      </c>
      <c r="CI250" s="855" t="s">
        <v>24</v>
      </c>
      <c r="CJ250" s="855"/>
      <c r="CK250" s="855" t="s">
        <v>4532</v>
      </c>
      <c r="CL250" s="855" t="s">
        <v>8234</v>
      </c>
      <c r="CM250" s="856" t="s">
        <v>4540</v>
      </c>
      <c r="CN250" s="857">
        <v>0</v>
      </c>
      <c r="CO250" s="858">
        <v>27</v>
      </c>
      <c r="CP250" s="858">
        <v>1</v>
      </c>
      <c r="CQ250" s="858">
        <v>3</v>
      </c>
      <c r="CR250" s="858">
        <v>1</v>
      </c>
      <c r="CS250" s="858">
        <v>1</v>
      </c>
      <c r="CT250" s="972" t="s">
        <v>7840</v>
      </c>
      <c r="CU250" s="1288" t="s">
        <v>8103</v>
      </c>
      <c r="CV250" s="1295">
        <v>15</v>
      </c>
      <c r="CW250" s="1294">
        <v>15</v>
      </c>
      <c r="CX250" s="859" t="s">
        <v>4528</v>
      </c>
      <c r="CY250" s="840">
        <v>0.29531186999999998</v>
      </c>
      <c r="CZ250" s="855" t="s">
        <v>24</v>
      </c>
      <c r="DA250" s="855">
        <f>0.3470469-Table66[[#This Row],[Data_Outcome1_M]]</f>
        <v>5.1735030000000015E-2</v>
      </c>
      <c r="DB250" s="859" t="s">
        <v>4529</v>
      </c>
      <c r="DC250" s="855">
        <v>0.36429440000000002</v>
      </c>
      <c r="DD250" s="855" t="s">
        <v>24</v>
      </c>
      <c r="DE250" s="855">
        <f>0.40005502-Table66[[#This Row],[Data_Outcome2_M]]</f>
        <v>3.5760619999999965E-2</v>
      </c>
      <c r="DF250" s="998"/>
      <c r="DG250" s="861"/>
      <c r="DH250" s="1281"/>
      <c r="DI250" s="835"/>
      <c r="DJ250" s="1232"/>
      <c r="DK250" s="841"/>
      <c r="DL250" s="1235"/>
      <c r="DM250" s="841"/>
      <c r="DN250" s="1232"/>
      <c r="DO250" s="841"/>
      <c r="DP250" s="860"/>
      <c r="DQ250" s="861"/>
      <c r="DR250" s="1236"/>
      <c r="DS250" s="1238"/>
      <c r="DT250" s="1235"/>
      <c r="DU250" s="835"/>
      <c r="DV250" s="1232"/>
      <c r="DW250" s="841"/>
      <c r="DX250" s="1235"/>
      <c r="DY250" s="841"/>
      <c r="DZ250" s="1232"/>
      <c r="EA250" s="841"/>
      <c r="EB250" s="998"/>
      <c r="EC250" s="1233"/>
      <c r="ED250" s="961" t="s">
        <v>4530</v>
      </c>
      <c r="EE250" s="961">
        <v>0.21712607</v>
      </c>
      <c r="EF250" s="961" t="s">
        <v>24</v>
      </c>
      <c r="EG250" s="961">
        <f>0.25745186-Table66[[#This Row],[Data_Outcome7_M]]</f>
        <v>4.0325789999999972E-2</v>
      </c>
      <c r="EH250" s="961" t="s">
        <v>4531</v>
      </c>
      <c r="EI250" s="841">
        <v>0.16970012000000001</v>
      </c>
      <c r="EJ250" s="1232" t="s">
        <v>24</v>
      </c>
      <c r="EK250" s="841">
        <f>0.19937383-Table66[[#This Row],[Data_Outcome8_M]]</f>
        <v>2.9673709999999992E-2</v>
      </c>
      <c r="EL250" s="1237"/>
      <c r="EM250" s="1233"/>
      <c r="EN250" s="1236"/>
      <c r="EO250" s="1234"/>
      <c r="EP250" s="841" t="s">
        <v>24</v>
      </c>
      <c r="EQ250" s="841"/>
      <c r="ER250" s="841"/>
      <c r="ES250" s="841"/>
      <c r="ET250" s="1281"/>
      <c r="EU250" s="841"/>
      <c r="EV250" s="841"/>
      <c r="EW250" s="841"/>
      <c r="EX250" s="1233"/>
      <c r="EY250" s="1233"/>
      <c r="EZ250" s="1235"/>
      <c r="FA250" s="1232"/>
      <c r="FB250" s="1232"/>
      <c r="FC250" s="1232"/>
      <c r="FD250" s="1235"/>
      <c r="FE250" s="1232"/>
      <c r="FF250" s="1232"/>
      <c r="FG250" s="1232"/>
      <c r="FH250" s="1233"/>
      <c r="FI250" s="1233"/>
      <c r="FJ250" s="1234"/>
    </row>
    <row r="251" spans="1:166" s="1301" customFormat="1" ht="15" hidden="1" customHeight="1">
      <c r="A251" s="835" t="s">
        <v>167</v>
      </c>
      <c r="B251" s="836">
        <v>121</v>
      </c>
      <c r="C251" s="836">
        <v>30</v>
      </c>
      <c r="D251" s="836"/>
      <c r="E251" s="837" t="s">
        <v>1960</v>
      </c>
      <c r="F251" s="838" t="s">
        <v>2182</v>
      </c>
      <c r="G251" s="839">
        <v>2011</v>
      </c>
      <c r="H251" s="835">
        <v>21047644</v>
      </c>
      <c r="I251" s="835">
        <v>1</v>
      </c>
      <c r="J251" s="835"/>
      <c r="K251" s="835"/>
      <c r="L251" s="835">
        <v>1</v>
      </c>
      <c r="M251" s="835"/>
      <c r="N251" s="835">
        <v>1</v>
      </c>
      <c r="O251" s="840">
        <v>1</v>
      </c>
      <c r="P251" s="835" t="s">
        <v>493</v>
      </c>
      <c r="Q251" s="835" t="s">
        <v>1147</v>
      </c>
      <c r="R251" s="835" t="s">
        <v>20</v>
      </c>
      <c r="S251" s="835">
        <v>1</v>
      </c>
      <c r="T251" s="835"/>
      <c r="U251" s="835"/>
      <c r="V251" s="835"/>
      <c r="W251" s="835"/>
      <c r="X251" s="835" t="s">
        <v>56</v>
      </c>
      <c r="Y251" s="835"/>
      <c r="Z251" s="835"/>
      <c r="AA251" s="835"/>
      <c r="AB251" s="835" t="s">
        <v>4541</v>
      </c>
      <c r="AC251" s="841"/>
      <c r="AD251" s="842">
        <v>1</v>
      </c>
      <c r="AE251" s="842">
        <v>2</v>
      </c>
      <c r="AF251" s="843">
        <v>1</v>
      </c>
      <c r="AG251" s="844"/>
      <c r="AH251" s="845"/>
      <c r="AI251" s="841">
        <v>2</v>
      </c>
      <c r="AJ251" s="846"/>
      <c r="AK251" s="847" t="s">
        <v>4542</v>
      </c>
      <c r="AL251" s="848">
        <v>0</v>
      </c>
      <c r="AM251" s="849">
        <v>0</v>
      </c>
      <c r="AN251" s="841">
        <f>Table66[[#This Row],[Data_Subjects_n_ptsd]]+Table66[[#This Row],[Data_Subjects_n_control]]</f>
        <v>29</v>
      </c>
      <c r="AO251" s="841">
        <v>15</v>
      </c>
      <c r="AP251" s="841">
        <v>14</v>
      </c>
      <c r="AQ251" s="841" t="s">
        <v>4520</v>
      </c>
      <c r="AR251" s="841" t="s">
        <v>4519</v>
      </c>
      <c r="AS251" s="855">
        <v>33.93</v>
      </c>
      <c r="AT251" s="855">
        <v>8.23</v>
      </c>
      <c r="AU251" s="855">
        <v>34</v>
      </c>
      <c r="AV251" s="855">
        <v>6.03</v>
      </c>
      <c r="AW251" s="855" t="s">
        <v>1874</v>
      </c>
      <c r="AX251" s="841"/>
      <c r="AY251" s="841"/>
      <c r="AZ251" s="841" t="s">
        <v>1874</v>
      </c>
      <c r="BA251" s="841" t="s">
        <v>24</v>
      </c>
      <c r="BB251" s="841" t="s">
        <v>24</v>
      </c>
      <c r="BC251" s="841" t="s">
        <v>4522</v>
      </c>
      <c r="BD251" s="841" t="s">
        <v>7521</v>
      </c>
      <c r="BE251" s="1624">
        <v>0</v>
      </c>
      <c r="BF251" s="841" t="s">
        <v>5116</v>
      </c>
      <c r="BG251" s="841" t="s">
        <v>4521</v>
      </c>
      <c r="BH251" s="850"/>
      <c r="BI251" s="850"/>
      <c r="BJ251" s="851"/>
      <c r="BK251" s="851"/>
      <c r="BL251" s="851"/>
      <c r="BM251" s="851"/>
      <c r="BN251" s="851"/>
      <c r="BO251" s="851"/>
      <c r="BP251" s="851">
        <v>1</v>
      </c>
      <c r="BQ251" s="851"/>
      <c r="BR251" s="851"/>
      <c r="BS251" s="851"/>
      <c r="BT251" s="851"/>
      <c r="BU251" s="851"/>
      <c r="BV251" s="851"/>
      <c r="BW251" s="852" t="s">
        <v>7366</v>
      </c>
      <c r="BX251" s="962" t="s">
        <v>7367</v>
      </c>
      <c r="BY251" s="999" t="s">
        <v>7617</v>
      </c>
      <c r="BZ251" s="853" t="s">
        <v>803</v>
      </c>
      <c r="CA251" s="854">
        <v>2</v>
      </c>
      <c r="CB251" s="854" t="s">
        <v>7556</v>
      </c>
      <c r="CC251" s="854" t="s">
        <v>7380</v>
      </c>
      <c r="CD251" s="855" t="s">
        <v>1876</v>
      </c>
      <c r="CE251" s="855">
        <v>2</v>
      </c>
      <c r="CF251" s="855"/>
      <c r="CG251" s="855" t="s">
        <v>4523</v>
      </c>
      <c r="CH251" s="855" t="s">
        <v>8236</v>
      </c>
      <c r="CI251" s="855" t="s">
        <v>24</v>
      </c>
      <c r="CJ251" s="855"/>
      <c r="CK251" s="855" t="s">
        <v>4532</v>
      </c>
      <c r="CL251" s="855" t="s">
        <v>8235</v>
      </c>
      <c r="CM251" s="856" t="s">
        <v>4540</v>
      </c>
      <c r="CN251" s="857">
        <v>0</v>
      </c>
      <c r="CO251" s="858">
        <v>27</v>
      </c>
      <c r="CP251" s="858">
        <v>1</v>
      </c>
      <c r="CQ251" s="858">
        <v>4</v>
      </c>
      <c r="CR251" s="858">
        <v>1</v>
      </c>
      <c r="CS251" s="858">
        <v>-1</v>
      </c>
      <c r="CT251" s="972" t="s">
        <v>7840</v>
      </c>
      <c r="CU251" s="1288" t="s">
        <v>8103</v>
      </c>
      <c r="CV251" s="1295">
        <v>15</v>
      </c>
      <c r="CW251" s="1294">
        <v>15</v>
      </c>
      <c r="CX251" s="855" t="s">
        <v>4530</v>
      </c>
      <c r="CY251" s="840">
        <v>0.21712607</v>
      </c>
      <c r="CZ251" s="855" t="s">
        <v>24</v>
      </c>
      <c r="DA251" s="855">
        <f>0.25745186-Table66[[#This Row],[Data_Outcome1_M]]</f>
        <v>4.0325789999999972E-2</v>
      </c>
      <c r="DB251" s="855" t="s">
        <v>4531</v>
      </c>
      <c r="DC251" s="855">
        <v>0.16970012000000001</v>
      </c>
      <c r="DD251" s="855" t="s">
        <v>24</v>
      </c>
      <c r="DE251" s="855">
        <f>0.19937383-Table66[[#This Row],[Data_Outcome2_M]]</f>
        <v>2.9673709999999992E-2</v>
      </c>
      <c r="DF251" s="860"/>
      <c r="DG251" s="861"/>
      <c r="DH251" s="1235"/>
      <c r="DI251" s="835"/>
      <c r="DJ251" s="1232"/>
      <c r="DK251" s="1232"/>
      <c r="DL251" s="1235"/>
      <c r="DM251" s="1232"/>
      <c r="DN251" s="1232"/>
      <c r="DO251" s="1232"/>
      <c r="DP251" s="860"/>
      <c r="DQ251" s="861"/>
      <c r="DR251" s="1236"/>
      <c r="DS251" s="1238"/>
      <c r="DT251" s="1235"/>
      <c r="DU251" s="835"/>
      <c r="DV251" s="1232"/>
      <c r="DW251" s="1232"/>
      <c r="DX251" s="1235"/>
      <c r="DY251" s="1232"/>
      <c r="DZ251" s="1232"/>
      <c r="EA251" s="1232"/>
      <c r="EB251" s="998"/>
      <c r="EC251" s="1233"/>
      <c r="ED251" s="961" t="s">
        <v>4530</v>
      </c>
      <c r="EE251" s="961">
        <v>0.21712607</v>
      </c>
      <c r="EF251" s="961" t="s">
        <v>24</v>
      </c>
      <c r="EG251" s="961">
        <f>0.25745186-Table66[[#This Row],[Data_Outcome7_M]]</f>
        <v>4.0325789999999972E-2</v>
      </c>
      <c r="EH251" s="961" t="s">
        <v>4531</v>
      </c>
      <c r="EI251" s="1232">
        <v>0.16970012000000001</v>
      </c>
      <c r="EJ251" s="1232" t="s">
        <v>24</v>
      </c>
      <c r="EK251" s="1232">
        <f>0.19937383-Table66[[#This Row],[Data_Outcome8_M]]</f>
        <v>2.9673709999999992E-2</v>
      </c>
      <c r="EL251" s="1237"/>
      <c r="EM251" s="1233"/>
      <c r="EN251" s="1236"/>
      <c r="EO251" s="1234"/>
      <c r="EP251" s="1232" t="s">
        <v>24</v>
      </c>
      <c r="EQ251" s="1232"/>
      <c r="ER251" s="1232"/>
      <c r="ES251" s="1232"/>
      <c r="ET251" s="1235"/>
      <c r="EU251" s="1232"/>
      <c r="EV251" s="1232"/>
      <c r="EW251" s="1232"/>
      <c r="EX251" s="1233"/>
      <c r="EY251" s="1233"/>
      <c r="EZ251" s="1235"/>
      <c r="FA251" s="1232"/>
      <c r="FB251" s="1232"/>
      <c r="FC251" s="1232"/>
      <c r="FD251" s="1235"/>
      <c r="FE251" s="1232"/>
      <c r="FF251" s="1232"/>
      <c r="FG251" s="1232"/>
      <c r="FH251" s="1233"/>
      <c r="FI251" s="1233"/>
      <c r="FJ251" s="1234"/>
    </row>
    <row r="252" spans="1:166" s="1301" customFormat="1" ht="15" hidden="1" customHeight="1">
      <c r="A252" s="153" t="s">
        <v>166</v>
      </c>
      <c r="B252" s="618">
        <v>122</v>
      </c>
      <c r="C252" s="618">
        <v>31</v>
      </c>
      <c r="D252" s="618"/>
      <c r="E252" s="610" t="s">
        <v>1960</v>
      </c>
      <c r="F252" s="368" t="s">
        <v>2183</v>
      </c>
      <c r="G252" s="369">
        <v>2015</v>
      </c>
      <c r="H252" s="153">
        <v>26106539</v>
      </c>
      <c r="I252" s="153">
        <v>1</v>
      </c>
      <c r="J252" s="370"/>
      <c r="K252" s="371"/>
      <c r="L252" s="153">
        <v>1</v>
      </c>
      <c r="M252" s="153"/>
      <c r="N252" s="153">
        <v>1</v>
      </c>
      <c r="O252" s="153">
        <v>1</v>
      </c>
      <c r="P252" s="153" t="s">
        <v>73</v>
      </c>
      <c r="Q252" s="153" t="s">
        <v>1147</v>
      </c>
      <c r="R252" s="153" t="s">
        <v>391</v>
      </c>
      <c r="S252" s="153">
        <v>1</v>
      </c>
      <c r="T252" s="153"/>
      <c r="U252" s="153"/>
      <c r="V252" s="153"/>
      <c r="W252" s="153" t="s">
        <v>492</v>
      </c>
      <c r="X252" s="153" t="s">
        <v>491</v>
      </c>
      <c r="Y252" s="153"/>
      <c r="Z252" s="153"/>
      <c r="AA252" s="153"/>
      <c r="AB252" s="153"/>
      <c r="AC252" s="536"/>
      <c r="AD252" s="536">
        <v>1</v>
      </c>
      <c r="AE252" s="536">
        <v>2</v>
      </c>
      <c r="AF252" s="165">
        <v>0</v>
      </c>
      <c r="AG252" s="166" t="s">
        <v>7233</v>
      </c>
      <c r="AH252" s="509">
        <v>0</v>
      </c>
      <c r="AI252" s="120">
        <v>2</v>
      </c>
      <c r="AJ252" s="120"/>
      <c r="AK252" s="206" t="s">
        <v>24</v>
      </c>
      <c r="AL252" s="372"/>
      <c r="AM252" s="207"/>
      <c r="AN252" s="120"/>
      <c r="AO252" s="120"/>
      <c r="AP252" s="120"/>
      <c r="AQ252" s="120"/>
      <c r="AR252" s="120"/>
      <c r="AS252" s="120"/>
      <c r="AT252" s="120"/>
      <c r="AU252" s="120"/>
      <c r="AV252" s="120"/>
      <c r="AW252" s="120"/>
      <c r="AX252" s="120"/>
      <c r="AY252" s="120"/>
      <c r="AZ252" s="755"/>
      <c r="BA252" s="120"/>
      <c r="BB252" s="120"/>
      <c r="BC252" s="120"/>
      <c r="BD252" s="755"/>
      <c r="BE252" s="755"/>
      <c r="BF252" s="120"/>
      <c r="BG252" s="120"/>
      <c r="BH252" s="377"/>
      <c r="BI252" s="377"/>
      <c r="BJ252" s="373"/>
      <c r="BK252" s="373"/>
      <c r="BL252" s="373"/>
      <c r="BM252" s="373"/>
      <c r="BN252" s="373"/>
      <c r="BO252" s="373"/>
      <c r="BP252" s="373">
        <v>1</v>
      </c>
      <c r="BQ252" s="373"/>
      <c r="BR252" s="373"/>
      <c r="BS252" s="373"/>
      <c r="BT252" s="373"/>
      <c r="BU252" s="373"/>
      <c r="BV252" s="373"/>
      <c r="BW252" s="599"/>
      <c r="BX252" s="374"/>
      <c r="BY252" s="374"/>
      <c r="BZ252" s="374"/>
      <c r="CA252" s="511"/>
      <c r="CB252" s="511"/>
      <c r="CC252" s="511"/>
      <c r="CD252" s="120"/>
      <c r="CE252" s="120"/>
      <c r="CF252" s="120"/>
      <c r="CG252" s="120"/>
      <c r="CH252" s="755"/>
      <c r="CI252" s="120"/>
      <c r="CJ252" s="120"/>
      <c r="CK252" s="120"/>
      <c r="CL252" s="120"/>
      <c r="CM252" s="375" t="s">
        <v>24</v>
      </c>
      <c r="CN252" s="380"/>
      <c r="CO252" s="380"/>
      <c r="CP252" s="380"/>
      <c r="CQ252" s="380"/>
      <c r="CR252" s="380"/>
      <c r="CS252" s="380"/>
      <c r="CT252" s="380"/>
      <c r="CU252" s="380"/>
      <c r="CV252" s="380"/>
      <c r="CW252" s="380"/>
      <c r="CX252" s="709"/>
      <c r="CY252" s="633"/>
      <c r="CZ252" s="633"/>
      <c r="DA252" s="633"/>
      <c r="DB252" s="709"/>
      <c r="DC252" s="120"/>
      <c r="DD252" s="120"/>
      <c r="DE252" s="120"/>
      <c r="DF252" s="515"/>
      <c r="DG252" s="513"/>
      <c r="DH252" s="376"/>
      <c r="DI252" s="683"/>
      <c r="DJ252" s="120"/>
      <c r="DK252" s="120"/>
      <c r="DL252" s="727"/>
      <c r="DM252" s="120"/>
      <c r="DN252" s="384"/>
      <c r="DO252" s="120"/>
      <c r="DP252" s="375"/>
      <c r="DQ252" s="377"/>
      <c r="DR252" s="1182"/>
      <c r="DS252" s="956"/>
      <c r="DT252" s="727"/>
      <c r="DU252" s="683"/>
      <c r="DV252" s="384"/>
      <c r="DW252" s="384"/>
      <c r="DX252" s="384"/>
      <c r="DY252" s="384"/>
      <c r="DZ252" s="384"/>
      <c r="EA252" s="384"/>
      <c r="EB252" s="375"/>
      <c r="EC252" s="384"/>
      <c r="ED252" s="633"/>
      <c r="EE252" s="633"/>
      <c r="EF252" s="633"/>
      <c r="EG252" s="633"/>
      <c r="EH252" s="633"/>
      <c r="EI252" s="384"/>
      <c r="EJ252" s="384"/>
      <c r="EK252" s="384"/>
      <c r="EL252" s="1012"/>
      <c r="EM252" s="384"/>
      <c r="EN252" s="1012"/>
      <c r="EO252" s="384"/>
      <c r="EP252" s="384"/>
      <c r="EQ252" s="384"/>
      <c r="ER252" s="384"/>
      <c r="ES252" s="384"/>
      <c r="ET252" s="727"/>
      <c r="EU252" s="384"/>
      <c r="EV252" s="384"/>
      <c r="EW252" s="384"/>
      <c r="EX252" s="384"/>
      <c r="EY252" s="384"/>
      <c r="EZ252" s="727"/>
      <c r="FA252" s="384"/>
      <c r="FB252" s="384"/>
      <c r="FC252" s="384"/>
      <c r="FD252" s="727"/>
      <c r="FE252" s="384"/>
      <c r="FF252" s="384"/>
      <c r="FG252" s="384"/>
      <c r="FH252" s="384"/>
      <c r="FI252" s="384"/>
      <c r="FJ252" s="384"/>
    </row>
    <row r="253" spans="1:166" ht="15" hidden="1" customHeight="1">
      <c r="A253" s="118" t="s">
        <v>1110</v>
      </c>
      <c r="B253" s="767">
        <v>5</v>
      </c>
      <c r="C253" s="767"/>
      <c r="D253" s="767"/>
      <c r="E253" s="605" t="s">
        <v>2053</v>
      </c>
      <c r="F253" s="140" t="s">
        <v>2296</v>
      </c>
      <c r="G253" s="141">
        <v>2014</v>
      </c>
      <c r="H253" s="118">
        <v>24808840</v>
      </c>
      <c r="I253" s="118">
        <v>1</v>
      </c>
      <c r="J253" s="118">
        <v>1</v>
      </c>
      <c r="K253" s="118"/>
      <c r="L253" s="118">
        <v>1</v>
      </c>
      <c r="M253" s="118"/>
      <c r="N253" s="158">
        <v>1</v>
      </c>
      <c r="O253" s="142">
        <v>2</v>
      </c>
      <c r="P253" s="118" t="s">
        <v>1220</v>
      </c>
      <c r="Q253" s="118" t="s">
        <v>1169</v>
      </c>
      <c r="R253" s="118" t="s">
        <v>1127</v>
      </c>
      <c r="S253" s="118"/>
      <c r="T253" s="118" t="s">
        <v>1544</v>
      </c>
      <c r="U253" s="118" t="s">
        <v>803</v>
      </c>
      <c r="V253" s="118"/>
      <c r="W253" s="118" t="s">
        <v>1140</v>
      </c>
      <c r="X253" s="118" t="s">
        <v>24</v>
      </c>
      <c r="Y253" s="118"/>
      <c r="Z253" s="118"/>
      <c r="AA253" s="118"/>
      <c r="AB253" s="118" t="s">
        <v>1141</v>
      </c>
      <c r="AC253" s="145"/>
      <c r="AD253" s="653">
        <v>1</v>
      </c>
      <c r="AE253" s="653">
        <v>2</v>
      </c>
      <c r="AF253" s="352">
        <v>1</v>
      </c>
      <c r="AG253" s="160" t="s">
        <v>24</v>
      </c>
      <c r="AH253" s="732">
        <v>0</v>
      </c>
      <c r="AI253" s="122">
        <v>4</v>
      </c>
      <c r="AJ253" s="485"/>
      <c r="AK253" s="204" t="s">
        <v>7423</v>
      </c>
      <c r="AL253" s="192" t="s">
        <v>7395</v>
      </c>
      <c r="AM253" s="227">
        <v>0</v>
      </c>
      <c r="AN253" s="150">
        <f>Table66[[#This Row],[Data_Subjects_n_ptsd]]+Table66[[#This Row],[Data_Subjects_n_control]]</f>
        <v>17</v>
      </c>
      <c r="AO253" s="150">
        <v>9</v>
      </c>
      <c r="AP253" s="150">
        <v>8</v>
      </c>
      <c r="AQ253" s="150" t="s">
        <v>803</v>
      </c>
      <c r="AR253" s="150" t="s">
        <v>803</v>
      </c>
      <c r="AS253" s="150" t="s">
        <v>2494</v>
      </c>
      <c r="AT253" s="150" t="s">
        <v>24</v>
      </c>
      <c r="AU253" s="150" t="s">
        <v>2494</v>
      </c>
      <c r="AV253" s="150" t="s">
        <v>24</v>
      </c>
      <c r="AW253" s="150" t="s">
        <v>7397</v>
      </c>
      <c r="AX253" s="150"/>
      <c r="AY253" s="150"/>
      <c r="AZ253" s="150" t="s">
        <v>7317</v>
      </c>
      <c r="BA253" s="150">
        <v>1</v>
      </c>
      <c r="BB253" s="150">
        <v>1</v>
      </c>
      <c r="BC253" s="150" t="s">
        <v>7386</v>
      </c>
      <c r="BD253" s="753" t="s">
        <v>7523</v>
      </c>
      <c r="BE253" s="753"/>
      <c r="BF253" s="150" t="s">
        <v>1130</v>
      </c>
      <c r="BG253" s="150" t="s">
        <v>2554</v>
      </c>
      <c r="BH253" s="588"/>
      <c r="BI253" s="588"/>
      <c r="BJ253" s="161">
        <v>1</v>
      </c>
      <c r="BK253" s="161"/>
      <c r="BL253" s="161"/>
      <c r="BM253" s="161"/>
      <c r="BN253" s="161"/>
      <c r="BO253" s="161"/>
      <c r="BP253" s="161"/>
      <c r="BQ253" s="161"/>
      <c r="BR253" s="161"/>
      <c r="BS253" s="161"/>
      <c r="BT253" s="161"/>
      <c r="BU253" s="161"/>
      <c r="BV253" s="161"/>
      <c r="BW253" s="596" t="s">
        <v>7392</v>
      </c>
      <c r="BX253" s="162" t="s">
        <v>6657</v>
      </c>
      <c r="BY253" s="797" t="s">
        <v>7613</v>
      </c>
      <c r="BZ253" s="790" t="s">
        <v>803</v>
      </c>
      <c r="CA253" s="766">
        <v>1</v>
      </c>
      <c r="CB253" s="765" t="s">
        <v>7556</v>
      </c>
      <c r="CC253" s="766" t="s">
        <v>7384</v>
      </c>
      <c r="CD253" s="150" t="s">
        <v>1876</v>
      </c>
      <c r="CE253" s="150">
        <v>2</v>
      </c>
      <c r="CF253" s="400" t="s">
        <v>7581</v>
      </c>
      <c r="CG253" s="150" t="s">
        <v>7387</v>
      </c>
      <c r="CH253" s="150" t="s">
        <v>7310</v>
      </c>
      <c r="CI253" s="150" t="s">
        <v>2471</v>
      </c>
      <c r="CJ253" s="150">
        <v>0</v>
      </c>
      <c r="CK253" s="150" t="s">
        <v>2659</v>
      </c>
      <c r="CL253" s="150" t="s">
        <v>8296</v>
      </c>
      <c r="CM253" s="258" t="s">
        <v>3229</v>
      </c>
      <c r="CN253" s="257">
        <v>0</v>
      </c>
      <c r="CO253" s="829">
        <v>3</v>
      </c>
      <c r="CP253" s="829">
        <v>6</v>
      </c>
      <c r="CQ253" s="829">
        <v>1</v>
      </c>
      <c r="CR253" s="829">
        <v>0</v>
      </c>
      <c r="CS253" s="829">
        <v>1</v>
      </c>
      <c r="CT253" s="968"/>
      <c r="CU253" s="1289" t="s">
        <v>8104</v>
      </c>
      <c r="CV253" s="1295">
        <v>47</v>
      </c>
      <c r="CW253" s="1295">
        <v>41</v>
      </c>
      <c r="CX253" s="151" t="s">
        <v>2505</v>
      </c>
      <c r="CY253" s="150">
        <v>5.7611400000000001</v>
      </c>
      <c r="CZ253" s="150" t="s">
        <v>24</v>
      </c>
      <c r="DA253" s="150">
        <f>8.65499-Table66[[#This Row],[Data_Outcome1_M]]</f>
        <v>2.8938499999999996</v>
      </c>
      <c r="DB253" s="151" t="s">
        <v>2508</v>
      </c>
      <c r="DC253" s="150">
        <v>0.74659299999999995</v>
      </c>
      <c r="DD253" s="150" t="s">
        <v>24</v>
      </c>
      <c r="DE253" s="150">
        <f>1.17531-Table66[[#This Row],[Data_Outcome2_M]]</f>
        <v>0.42871700000000013</v>
      </c>
      <c r="DF253" s="642" t="s">
        <v>2559</v>
      </c>
      <c r="DG253" s="821" t="s">
        <v>2480</v>
      </c>
      <c r="DH253" s="526" t="s">
        <v>24</v>
      </c>
      <c r="DI253" s="122"/>
      <c r="DJ253" s="1164"/>
      <c r="DK253" s="122"/>
      <c r="DL253" s="1166"/>
      <c r="DM253" s="122"/>
      <c r="DN253" s="1164"/>
      <c r="DO253" s="122"/>
      <c r="DP253" s="290"/>
      <c r="DQ253" s="291"/>
      <c r="DR253" s="280"/>
      <c r="DS253" s="865"/>
      <c r="DT253" s="1166"/>
      <c r="DU253" s="1164"/>
      <c r="DV253" s="1164"/>
      <c r="DW253" s="1164"/>
      <c r="DX253" s="1164"/>
      <c r="DY253" s="1164"/>
      <c r="DZ253" s="1164"/>
      <c r="EA253" s="1164"/>
      <c r="EB253" s="311"/>
      <c r="EC253" s="313"/>
      <c r="ED253" s="1164"/>
      <c r="EE253" s="122"/>
      <c r="EF253" s="122"/>
      <c r="EG253" s="122"/>
      <c r="EH253" s="1164"/>
      <c r="EI253" s="1164"/>
      <c r="EJ253" s="1164"/>
      <c r="EK253" s="1164"/>
      <c r="EL253" s="311"/>
      <c r="EM253" s="313"/>
      <c r="EN253" s="1167"/>
      <c r="EO253" s="1165"/>
      <c r="EP253" s="1164"/>
      <c r="EQ253" s="1164"/>
      <c r="ER253" s="1164"/>
      <c r="ES253" s="1164"/>
      <c r="ET253" s="1166"/>
      <c r="EU253" s="1164"/>
      <c r="EV253" s="1164"/>
      <c r="EW253" s="1164"/>
      <c r="EX253" s="313"/>
      <c r="EY253" s="313"/>
      <c r="EZ253" s="1166"/>
      <c r="FA253" s="1164"/>
      <c r="FB253" s="1164"/>
      <c r="FC253" s="1164"/>
      <c r="FD253" s="1166"/>
      <c r="FE253" s="1164"/>
      <c r="FF253" s="1164"/>
      <c r="FG253" s="1164"/>
      <c r="FH253" s="313"/>
      <c r="FI253" s="313"/>
      <c r="FJ253" s="1165"/>
    </row>
    <row r="254" spans="1:166" s="717" customFormat="1" ht="15" hidden="1" customHeight="1">
      <c r="A254" s="1304" t="s">
        <v>1057</v>
      </c>
      <c r="B254" s="1324">
        <v>123</v>
      </c>
      <c r="C254" s="1324"/>
      <c r="D254" s="1324">
        <v>39</v>
      </c>
      <c r="E254" s="1325" t="s">
        <v>2074</v>
      </c>
      <c r="F254" s="1326" t="s">
        <v>2326</v>
      </c>
      <c r="G254" s="1327">
        <v>2012</v>
      </c>
      <c r="H254" s="1304">
        <v>22659471</v>
      </c>
      <c r="I254" s="1304">
        <v>1</v>
      </c>
      <c r="J254" s="1304"/>
      <c r="K254" s="1304"/>
      <c r="L254" s="1304">
        <v>1</v>
      </c>
      <c r="M254" s="1304"/>
      <c r="N254" s="1304">
        <v>1</v>
      </c>
      <c r="O254" s="1304">
        <v>2</v>
      </c>
      <c r="P254" s="1304" t="s">
        <v>1336</v>
      </c>
      <c r="Q254" s="1304" t="s">
        <v>1224</v>
      </c>
      <c r="R254" s="1304" t="s">
        <v>1127</v>
      </c>
      <c r="S254" s="1304"/>
      <c r="T254" s="1304" t="s">
        <v>1498</v>
      </c>
      <c r="U254" s="1304" t="s">
        <v>803</v>
      </c>
      <c r="V254" s="1304"/>
      <c r="W254" s="1304" t="s">
        <v>1337</v>
      </c>
      <c r="X254" s="1304" t="s">
        <v>1338</v>
      </c>
      <c r="Y254" s="1304"/>
      <c r="Z254" s="1304"/>
      <c r="AA254" s="1304"/>
      <c r="AB254" s="1304"/>
      <c r="AC254" s="1328" t="s">
        <v>1227</v>
      </c>
      <c r="AD254" s="1328">
        <v>1</v>
      </c>
      <c r="AE254" s="1328">
        <v>1</v>
      </c>
      <c r="AF254" s="1329">
        <v>0</v>
      </c>
      <c r="AG254" s="1691" t="s">
        <v>8138</v>
      </c>
      <c r="AH254" s="1328"/>
      <c r="AI254" s="1328">
        <v>4</v>
      </c>
      <c r="AJ254" s="1328"/>
      <c r="AK254" s="1331" t="s">
        <v>6829</v>
      </c>
      <c r="AL254" s="1326">
        <v>2</v>
      </c>
      <c r="AM254" s="1332">
        <v>0</v>
      </c>
      <c r="AN254" s="1328">
        <f>Table66[[#This Row],[Data_Subjects_n_ptsd]]+Table66[[#This Row],[Data_Subjects_n_control]]</f>
        <v>24</v>
      </c>
      <c r="AO254" s="1328">
        <v>12</v>
      </c>
      <c r="AP254" s="1328">
        <v>12</v>
      </c>
      <c r="AQ254" s="1328" t="s">
        <v>803</v>
      </c>
      <c r="AR254" s="1328" t="s">
        <v>803</v>
      </c>
      <c r="AS254" s="1696" t="s">
        <v>4544</v>
      </c>
      <c r="AT254" s="1328" t="s">
        <v>24</v>
      </c>
      <c r="AU254" s="1696" t="s">
        <v>4544</v>
      </c>
      <c r="AV254" s="1328" t="s">
        <v>24</v>
      </c>
      <c r="AW254" s="1328" t="s">
        <v>6830</v>
      </c>
      <c r="AX254" s="1328">
        <v>10</v>
      </c>
      <c r="AY254" s="1328">
        <v>1</v>
      </c>
      <c r="AZ254" s="1328" t="s">
        <v>1814</v>
      </c>
      <c r="BA254" s="1328">
        <v>1</v>
      </c>
      <c r="BB254" s="1328">
        <v>1</v>
      </c>
      <c r="BC254" s="1328" t="s">
        <v>5662</v>
      </c>
      <c r="BD254" s="1328" t="s">
        <v>7522</v>
      </c>
      <c r="BE254" s="1328"/>
      <c r="BF254" s="1328" t="s">
        <v>1130</v>
      </c>
      <c r="BG254" s="1328" t="s">
        <v>6653</v>
      </c>
      <c r="BH254" s="1326"/>
      <c r="BI254" s="1326"/>
      <c r="BJ254" s="1333">
        <v>1</v>
      </c>
      <c r="BK254" s="1333"/>
      <c r="BL254" s="1333"/>
      <c r="BM254" s="1333"/>
      <c r="BN254" s="1333"/>
      <c r="BO254" s="1333"/>
      <c r="BP254" s="1333">
        <v>1</v>
      </c>
      <c r="BQ254" s="1333"/>
      <c r="BR254" s="1333"/>
      <c r="BS254" s="1333"/>
      <c r="BT254" s="1333"/>
      <c r="BU254" s="1333"/>
      <c r="BV254" s="1333"/>
      <c r="BW254" s="1333" t="s">
        <v>6866</v>
      </c>
      <c r="BX254" s="1334" t="s">
        <v>7560</v>
      </c>
      <c r="BY254" s="1334" t="s">
        <v>7613</v>
      </c>
      <c r="BZ254" s="1334" t="s">
        <v>7871</v>
      </c>
      <c r="CA254" s="1333">
        <v>1</v>
      </c>
      <c r="CB254" s="1333" t="s">
        <v>7563</v>
      </c>
      <c r="CC254" s="1333" t="s">
        <v>7384</v>
      </c>
      <c r="CD254" s="1328" t="s">
        <v>1876</v>
      </c>
      <c r="CE254" s="1328" t="s">
        <v>6833</v>
      </c>
      <c r="CF254" s="1328" t="s">
        <v>24</v>
      </c>
      <c r="CG254" s="1328" t="s">
        <v>6836</v>
      </c>
      <c r="CH254" s="1337" t="s">
        <v>7310</v>
      </c>
      <c r="CI254" s="1328" t="s">
        <v>6839</v>
      </c>
      <c r="CJ254" s="1328"/>
      <c r="CK254" s="1697" t="s">
        <v>6840</v>
      </c>
      <c r="CL254" s="1328" t="s">
        <v>6639</v>
      </c>
      <c r="CM254" s="1335" t="s">
        <v>6874</v>
      </c>
      <c r="CN254" s="1336" t="s">
        <v>6868</v>
      </c>
      <c r="CO254" s="1336">
        <v>28</v>
      </c>
      <c r="CP254" s="1336">
        <v>2</v>
      </c>
      <c r="CQ254" s="1336">
        <v>1</v>
      </c>
      <c r="CR254" s="1336">
        <v>1</v>
      </c>
      <c r="CS254" s="1336">
        <v>1</v>
      </c>
      <c r="CT254" s="1336"/>
      <c r="CU254" s="1336"/>
      <c r="CV254" s="1335">
        <v>84</v>
      </c>
      <c r="CW254" s="1335">
        <v>76</v>
      </c>
      <c r="CX254" s="1334" t="s">
        <v>6842</v>
      </c>
      <c r="CY254" s="1328">
        <v>14.852</v>
      </c>
      <c r="CZ254" s="1328" t="s">
        <v>24</v>
      </c>
      <c r="DA254" s="1328">
        <f>26.3326-Table66[[#This Row],[Data_Outcome1_M]]</f>
        <v>11.480599999999999</v>
      </c>
      <c r="DB254" s="1334" t="s">
        <v>6843</v>
      </c>
      <c r="DC254" s="1328">
        <v>14.482100000000001</v>
      </c>
      <c r="DD254" s="1328" t="s">
        <v>24</v>
      </c>
      <c r="DE254" s="1328">
        <f>25.2224-Table66[[#This Row],[Data_Outcome2_M]]</f>
        <v>10.7403</v>
      </c>
      <c r="DF254" s="1335" t="s">
        <v>3390</v>
      </c>
      <c r="DG254" s="1326" t="s">
        <v>3790</v>
      </c>
      <c r="DH254" s="1337"/>
      <c r="DI254" s="1337"/>
      <c r="DJ254" s="1337"/>
      <c r="DK254" s="1337"/>
      <c r="DL254" s="1337"/>
      <c r="DM254" s="1337"/>
      <c r="DN254" s="1337"/>
      <c r="DO254" s="1337"/>
      <c r="DP254" s="1335"/>
      <c r="DQ254" s="1326"/>
      <c r="DR254" s="1339" t="s">
        <v>24</v>
      </c>
      <c r="DS254" s="1340" t="s">
        <v>24</v>
      </c>
      <c r="DT254" s="1340"/>
      <c r="DU254" s="1337"/>
      <c r="DV254" s="1337"/>
      <c r="DW254" s="1337"/>
      <c r="DX254" s="1337"/>
      <c r="DY254" s="1337"/>
      <c r="DZ254" s="1337"/>
      <c r="EA254" s="1337"/>
      <c r="EB254" s="1339"/>
      <c r="EC254" s="1337"/>
      <c r="ED254" s="1337"/>
      <c r="EE254" s="1337"/>
      <c r="EF254" s="1337"/>
      <c r="EG254" s="1337"/>
      <c r="EH254" s="1337"/>
      <c r="EI254" s="1337"/>
      <c r="EJ254" s="1337"/>
      <c r="EK254" s="1337"/>
      <c r="EL254" s="1339"/>
      <c r="EM254" s="1337"/>
      <c r="EN254" s="1339"/>
      <c r="EO254" s="1337"/>
      <c r="EP254" s="1337"/>
      <c r="EQ254" s="1337"/>
      <c r="ER254" s="1337"/>
      <c r="ES254" s="1337"/>
      <c r="ET254" s="1337"/>
      <c r="EU254" s="1337"/>
      <c r="EV254" s="1337"/>
      <c r="EW254" s="1337"/>
      <c r="EX254" s="1337"/>
      <c r="EY254" s="1337"/>
      <c r="EZ254" s="1337"/>
      <c r="FA254" s="1337"/>
      <c r="FB254" s="1337"/>
      <c r="FC254" s="1337"/>
      <c r="FD254" s="1337"/>
      <c r="FE254" s="1337"/>
      <c r="FF254" s="1337"/>
      <c r="FG254" s="1337"/>
      <c r="FH254" s="1337"/>
      <c r="FI254" s="1337"/>
      <c r="FJ254" s="1337"/>
    </row>
    <row r="255" spans="1:166" s="1019" customFormat="1" ht="15" hidden="1" customHeight="1">
      <c r="A255" s="118" t="s">
        <v>1110</v>
      </c>
      <c r="B255" s="767">
        <v>5</v>
      </c>
      <c r="C255" s="767"/>
      <c r="D255" s="767"/>
      <c r="E255" s="605" t="s">
        <v>2053</v>
      </c>
      <c r="F255" s="140" t="s">
        <v>2296</v>
      </c>
      <c r="G255" s="141">
        <v>2014</v>
      </c>
      <c r="H255" s="118">
        <v>24808840</v>
      </c>
      <c r="I255" s="118">
        <v>1</v>
      </c>
      <c r="J255" s="118">
        <v>1</v>
      </c>
      <c r="K255" s="118"/>
      <c r="L255" s="118">
        <v>1</v>
      </c>
      <c r="M255" s="118"/>
      <c r="N255" s="158">
        <v>1</v>
      </c>
      <c r="O255" s="142">
        <v>2</v>
      </c>
      <c r="P255" s="118" t="s">
        <v>1220</v>
      </c>
      <c r="Q255" s="118" t="s">
        <v>1169</v>
      </c>
      <c r="R255" s="118" t="s">
        <v>1127</v>
      </c>
      <c r="S255" s="118"/>
      <c r="T255" s="118" t="s">
        <v>1544</v>
      </c>
      <c r="U255" s="118" t="s">
        <v>803</v>
      </c>
      <c r="V255" s="118"/>
      <c r="W255" s="118" t="s">
        <v>1140</v>
      </c>
      <c r="X255" s="118" t="s">
        <v>24</v>
      </c>
      <c r="Y255" s="118"/>
      <c r="Z255" s="118"/>
      <c r="AA255" s="118"/>
      <c r="AB255" s="118" t="s">
        <v>1141</v>
      </c>
      <c r="AC255" s="145"/>
      <c r="AD255" s="653">
        <v>1</v>
      </c>
      <c r="AE255" s="653">
        <v>2</v>
      </c>
      <c r="AF255" s="352">
        <v>1</v>
      </c>
      <c r="AG255" s="160" t="s">
        <v>24</v>
      </c>
      <c r="AH255" s="732" t="s">
        <v>7424</v>
      </c>
      <c r="AI255" s="122">
        <v>4</v>
      </c>
      <c r="AJ255" s="485"/>
      <c r="AK255" s="204" t="s">
        <v>7420</v>
      </c>
      <c r="AL255" s="192">
        <v>2</v>
      </c>
      <c r="AM255" s="227">
        <v>0</v>
      </c>
      <c r="AN255" s="150">
        <f>Table66[[#This Row],[Data_Subjects_n_ptsd]]+Table66[[#This Row],[Data_Subjects_n_control]]</f>
        <v>18</v>
      </c>
      <c r="AO255" s="150">
        <v>9</v>
      </c>
      <c r="AP255" s="150">
        <v>9</v>
      </c>
      <c r="AQ255" s="150" t="s">
        <v>803</v>
      </c>
      <c r="AR255" s="150" t="s">
        <v>803</v>
      </c>
      <c r="AS255" s="150" t="s">
        <v>2494</v>
      </c>
      <c r="AT255" s="150" t="s">
        <v>24</v>
      </c>
      <c r="AU255" s="150" t="s">
        <v>2494</v>
      </c>
      <c r="AV255" s="150" t="s">
        <v>24</v>
      </c>
      <c r="AW255" s="150" t="s">
        <v>7398</v>
      </c>
      <c r="AX255" s="150">
        <v>5</v>
      </c>
      <c r="AY255" s="150">
        <v>0.8</v>
      </c>
      <c r="AZ255" s="150" t="s">
        <v>1814</v>
      </c>
      <c r="BA255" s="150">
        <v>1</v>
      </c>
      <c r="BB255" s="150">
        <v>1</v>
      </c>
      <c r="BC255" s="150" t="s">
        <v>7400</v>
      </c>
      <c r="BD255" s="753" t="s">
        <v>7523</v>
      </c>
      <c r="BE255" s="753"/>
      <c r="BF255" s="150" t="s">
        <v>1130</v>
      </c>
      <c r="BG255" s="150" t="s">
        <v>2554</v>
      </c>
      <c r="BH255" s="588"/>
      <c r="BI255" s="588"/>
      <c r="BJ255" s="161">
        <v>1</v>
      </c>
      <c r="BK255" s="161"/>
      <c r="BL255" s="161"/>
      <c r="BM255" s="161"/>
      <c r="BN255" s="161"/>
      <c r="BO255" s="161"/>
      <c r="BP255" s="161"/>
      <c r="BQ255" s="161"/>
      <c r="BR255" s="161"/>
      <c r="BS255" s="161"/>
      <c r="BT255" s="161"/>
      <c r="BU255" s="161"/>
      <c r="BV255" s="161"/>
      <c r="BW255" s="596" t="s">
        <v>7404</v>
      </c>
      <c r="BX255" s="162" t="s">
        <v>6657</v>
      </c>
      <c r="BY255" s="797" t="s">
        <v>7613</v>
      </c>
      <c r="BZ255" s="790" t="s">
        <v>803</v>
      </c>
      <c r="CA255" s="659">
        <v>1</v>
      </c>
      <c r="CB255" s="660" t="s">
        <v>7556</v>
      </c>
      <c r="CC255" s="659" t="s">
        <v>7384</v>
      </c>
      <c r="CD255" s="150" t="s">
        <v>1876</v>
      </c>
      <c r="CE255" s="150">
        <v>2</v>
      </c>
      <c r="CF255" s="400" t="s">
        <v>7581</v>
      </c>
      <c r="CG255" s="150" t="s">
        <v>7406</v>
      </c>
      <c r="CH255" s="150" t="s">
        <v>7310</v>
      </c>
      <c r="CI255" s="150" t="s">
        <v>2471</v>
      </c>
      <c r="CJ255" s="150">
        <v>0</v>
      </c>
      <c r="CK255" s="150" t="s">
        <v>2659</v>
      </c>
      <c r="CL255" s="150" t="s">
        <v>8296</v>
      </c>
      <c r="CM255" s="258" t="s">
        <v>2598</v>
      </c>
      <c r="CN255" s="257" t="s">
        <v>6627</v>
      </c>
      <c r="CO255" s="829">
        <v>3</v>
      </c>
      <c r="CP255" s="829">
        <v>4</v>
      </c>
      <c r="CQ255" s="829">
        <v>1</v>
      </c>
      <c r="CR255" s="829">
        <v>0</v>
      </c>
      <c r="CS255" s="829">
        <v>1</v>
      </c>
      <c r="CT255" s="968"/>
      <c r="CU255" s="1289" t="s">
        <v>8104</v>
      </c>
      <c r="CV255" s="1295">
        <v>55</v>
      </c>
      <c r="CW255" s="1295">
        <v>49</v>
      </c>
      <c r="CX255" s="151" t="s">
        <v>2506</v>
      </c>
      <c r="CY255" s="150">
        <v>54.555999999999997</v>
      </c>
      <c r="CZ255" s="150" t="s">
        <v>24</v>
      </c>
      <c r="DA255" s="150">
        <f>60.567-Table66[[#This Row],[Data_Outcome1_M]]</f>
        <v>6.0110000000000028</v>
      </c>
      <c r="DB255" s="151" t="s">
        <v>2507</v>
      </c>
      <c r="DC255" s="150">
        <v>4.7819099999999999</v>
      </c>
      <c r="DD255" s="150" t="s">
        <v>24</v>
      </c>
      <c r="DE255" s="150">
        <f>6.14803-Table66[[#This Row],[Data_Outcome2_M]]</f>
        <v>1.3661200000000004</v>
      </c>
      <c r="DF255" s="642" t="s">
        <v>2596</v>
      </c>
      <c r="DG255" s="821" t="s">
        <v>2588</v>
      </c>
      <c r="DH255" s="1178"/>
      <c r="DI255" s="500"/>
      <c r="DJ255" s="1164"/>
      <c r="DK255" s="500"/>
      <c r="DL255" s="1166"/>
      <c r="DM255" s="500"/>
      <c r="DN255" s="1164"/>
      <c r="DO255" s="1150"/>
      <c r="DP255" s="290"/>
      <c r="DQ255" s="388"/>
      <c r="DR255" s="1168"/>
      <c r="DS255" s="865"/>
      <c r="DT255" s="1166"/>
      <c r="DU255" s="500"/>
      <c r="DV255" s="1164"/>
      <c r="DW255" s="500"/>
      <c r="DX255" s="1166"/>
      <c r="DY255" s="500"/>
      <c r="DZ255" s="1164"/>
      <c r="EA255" s="500"/>
      <c r="EB255" s="311"/>
      <c r="EC255" s="313"/>
      <c r="ED255" s="1164"/>
      <c r="EE255" s="500"/>
      <c r="EF255" s="1164"/>
      <c r="EG255" s="500"/>
      <c r="EH255" s="1164"/>
      <c r="EI255" s="500"/>
      <c r="EJ255" s="1164"/>
      <c r="EK255" s="500"/>
      <c r="EL255" s="311"/>
      <c r="EM255" s="313"/>
      <c r="EN255" s="1167"/>
      <c r="EO255" s="1165"/>
      <c r="EP255" s="500"/>
      <c r="EQ255" s="500"/>
      <c r="ER255" s="500"/>
      <c r="ES255" s="500"/>
      <c r="ET255" s="1153"/>
      <c r="EU255" s="500"/>
      <c r="EV255" s="500"/>
      <c r="EW255" s="500"/>
      <c r="EX255" s="665"/>
      <c r="EY255" s="665"/>
      <c r="EZ255" s="1153"/>
      <c r="FA255" s="500"/>
      <c r="FB255" s="500"/>
      <c r="FC255" s="500"/>
      <c r="FD255" s="1153"/>
      <c r="FE255" s="500"/>
      <c r="FF255" s="500"/>
      <c r="FG255" s="500"/>
      <c r="FH255" s="665"/>
      <c r="FI255" s="665"/>
      <c r="FJ255" s="1729"/>
    </row>
    <row r="256" spans="1:166" ht="15" hidden="1" customHeight="1">
      <c r="A256" s="79" t="s">
        <v>1057</v>
      </c>
      <c r="B256" s="617">
        <v>123</v>
      </c>
      <c r="C256" s="617"/>
      <c r="D256" s="617">
        <v>39</v>
      </c>
      <c r="E256" s="608" t="s">
        <v>2074</v>
      </c>
      <c r="F256" s="181" t="s">
        <v>2326</v>
      </c>
      <c r="G256" s="182">
        <v>2012</v>
      </c>
      <c r="H256" s="79">
        <v>22659471</v>
      </c>
      <c r="I256" s="79">
        <v>1</v>
      </c>
      <c r="J256" s="79"/>
      <c r="K256" s="79"/>
      <c r="L256" s="79">
        <v>1</v>
      </c>
      <c r="M256" s="79"/>
      <c r="N256" s="79">
        <v>1</v>
      </c>
      <c r="O256" s="128">
        <v>2</v>
      </c>
      <c r="P256" s="79" t="s">
        <v>1336</v>
      </c>
      <c r="Q256" s="79" t="s">
        <v>1224</v>
      </c>
      <c r="R256" s="79" t="s">
        <v>1127</v>
      </c>
      <c r="S256" s="79"/>
      <c r="T256" s="79" t="s">
        <v>1498</v>
      </c>
      <c r="U256" s="79" t="s">
        <v>803</v>
      </c>
      <c r="V256" s="79"/>
      <c r="W256" s="79" t="s">
        <v>1337</v>
      </c>
      <c r="X256" s="79" t="s">
        <v>1338</v>
      </c>
      <c r="Y256" s="79"/>
      <c r="Z256" s="79"/>
      <c r="AA256" s="79"/>
      <c r="AB256" s="79"/>
      <c r="AC256" s="506" t="s">
        <v>1227</v>
      </c>
      <c r="AD256" s="573">
        <v>1</v>
      </c>
      <c r="AE256" s="573">
        <v>1</v>
      </c>
      <c r="AF256" s="352">
        <v>1</v>
      </c>
      <c r="AG256" s="353" t="s">
        <v>7873</v>
      </c>
      <c r="AH256" s="704"/>
      <c r="AI256" s="346">
        <v>4</v>
      </c>
      <c r="AJ256" s="487"/>
      <c r="AK256" s="459" t="s">
        <v>6829</v>
      </c>
      <c r="AL256" s="348">
        <v>2</v>
      </c>
      <c r="AM256" s="349">
        <v>0</v>
      </c>
      <c r="AN256" s="346">
        <f>Table66[[#This Row],[Data_Subjects_n_ptsd]]+Table66[[#This Row],[Data_Subjects_n_control]]</f>
        <v>24</v>
      </c>
      <c r="AO256" s="346">
        <v>12</v>
      </c>
      <c r="AP256" s="346">
        <v>12</v>
      </c>
      <c r="AQ256" s="346" t="s">
        <v>803</v>
      </c>
      <c r="AR256" s="346" t="s">
        <v>803</v>
      </c>
      <c r="AS256" s="1602" t="s">
        <v>4544</v>
      </c>
      <c r="AT256" s="186" t="s">
        <v>24</v>
      </c>
      <c r="AU256" s="1602" t="s">
        <v>4544</v>
      </c>
      <c r="AV256" s="186" t="s">
        <v>24</v>
      </c>
      <c r="AW256" s="186" t="s">
        <v>6830</v>
      </c>
      <c r="AX256" s="346">
        <v>10</v>
      </c>
      <c r="AY256" s="346">
        <v>1</v>
      </c>
      <c r="AZ256" s="754" t="s">
        <v>1814</v>
      </c>
      <c r="BA256" s="346">
        <v>1</v>
      </c>
      <c r="BB256" s="346">
        <v>1</v>
      </c>
      <c r="BC256" s="346" t="s">
        <v>5662</v>
      </c>
      <c r="BD256" s="754" t="s">
        <v>7522</v>
      </c>
      <c r="BE256" s="754"/>
      <c r="BF256" s="346" t="s">
        <v>1130</v>
      </c>
      <c r="BG256" s="346" t="s">
        <v>6653</v>
      </c>
      <c r="BH256" s="598"/>
      <c r="BI256" s="598"/>
      <c r="BJ256" s="184">
        <v>1</v>
      </c>
      <c r="BK256" s="184"/>
      <c r="BL256" s="184"/>
      <c r="BM256" s="184"/>
      <c r="BN256" s="184"/>
      <c r="BO256" s="184"/>
      <c r="BP256" s="184">
        <v>1</v>
      </c>
      <c r="BQ256" s="184"/>
      <c r="BR256" s="184"/>
      <c r="BS256" s="184"/>
      <c r="BT256" s="184"/>
      <c r="BU256" s="184"/>
      <c r="BV256" s="184"/>
      <c r="BW256" s="600" t="s">
        <v>6866</v>
      </c>
      <c r="BX256" s="185" t="s">
        <v>7560</v>
      </c>
      <c r="BY256" s="797" t="s">
        <v>7613</v>
      </c>
      <c r="BZ256" s="791" t="s">
        <v>7609</v>
      </c>
      <c r="CA256" s="660">
        <v>1</v>
      </c>
      <c r="CB256" s="660" t="s">
        <v>7556</v>
      </c>
      <c r="CC256" s="660" t="s">
        <v>7384</v>
      </c>
      <c r="CD256" s="186" t="s">
        <v>1876</v>
      </c>
      <c r="CE256" s="186" t="s">
        <v>6833</v>
      </c>
      <c r="CF256" s="400" t="s">
        <v>7875</v>
      </c>
      <c r="CG256" s="186" t="s">
        <v>6836</v>
      </c>
      <c r="CH256" s="762" t="s">
        <v>7310</v>
      </c>
      <c r="CI256" s="186" t="s">
        <v>6839</v>
      </c>
      <c r="CJ256" s="186"/>
      <c r="CK256" s="467" t="s">
        <v>6840</v>
      </c>
      <c r="CL256" s="186" t="s">
        <v>6639</v>
      </c>
      <c r="CM256" s="261" t="s">
        <v>6874</v>
      </c>
      <c r="CN256" s="620" t="s">
        <v>6868</v>
      </c>
      <c r="CO256" s="830">
        <v>28</v>
      </c>
      <c r="CP256" s="830">
        <v>2</v>
      </c>
      <c r="CQ256" s="830">
        <v>3</v>
      </c>
      <c r="CR256" s="830">
        <v>1</v>
      </c>
      <c r="CS256" s="830">
        <v>1</v>
      </c>
      <c r="CT256" s="969"/>
      <c r="CU256" s="1289" t="s">
        <v>8104</v>
      </c>
      <c r="CV256" s="1296">
        <v>84</v>
      </c>
      <c r="CW256" s="1296">
        <v>76</v>
      </c>
      <c r="CX256" s="700" t="s">
        <v>6846</v>
      </c>
      <c r="CY256" s="506">
        <v>103.44499999999999</v>
      </c>
      <c r="CZ256" s="506" t="s">
        <v>24</v>
      </c>
      <c r="DA256" s="506">
        <f>136.778-Table66[[#This Row],[Data_Outcome1_M]]</f>
        <v>33.332999999999998</v>
      </c>
      <c r="DB256" s="700" t="s">
        <v>6847</v>
      </c>
      <c r="DC256" s="186">
        <v>2.7045699999999999</v>
      </c>
      <c r="DD256" s="186" t="s">
        <v>24</v>
      </c>
      <c r="DE256" s="186">
        <f>5.66798-Table66[[#This Row],[Data_Outcome2_M]]</f>
        <v>2.9634100000000001</v>
      </c>
      <c r="DF256" s="294" t="s">
        <v>6867</v>
      </c>
      <c r="DG256" s="295" t="s">
        <v>2588</v>
      </c>
      <c r="DH256" s="1278"/>
      <c r="DI256" s="346"/>
      <c r="DJ256" s="1189"/>
      <c r="DK256" s="346"/>
      <c r="DL256" s="1192"/>
      <c r="DM256" s="346"/>
      <c r="DN256" s="1189"/>
      <c r="DO256" s="346"/>
      <c r="DP256" s="294"/>
      <c r="DQ256" s="667"/>
      <c r="DR256" s="1168"/>
      <c r="DS256" s="865" t="s">
        <v>24</v>
      </c>
      <c r="DT256" s="1230"/>
      <c r="DU256" s="136"/>
      <c r="DV256" s="16"/>
      <c r="DW256" s="136"/>
      <c r="DX256" s="1230"/>
      <c r="DY256" s="346"/>
      <c r="DZ256" s="1189"/>
      <c r="EA256" s="346"/>
      <c r="EB256" s="1216"/>
      <c r="EC256" s="1215"/>
      <c r="ED256" s="1230"/>
      <c r="EE256" s="136"/>
      <c r="EF256" s="16"/>
      <c r="EG256" s="136"/>
      <c r="EH256" s="1230"/>
      <c r="EI256" s="346"/>
      <c r="EJ256" s="1189"/>
      <c r="EK256" s="346"/>
      <c r="EL256" s="1231"/>
      <c r="EM256" s="1190"/>
      <c r="EN256" s="280"/>
      <c r="EO256" s="1191"/>
      <c r="EP256" s="700"/>
      <c r="EQ256" s="136"/>
      <c r="ER256" s="136"/>
      <c r="ES256" s="136"/>
      <c r="ET256" s="700"/>
      <c r="EU256" s="346"/>
      <c r="EV256" s="346"/>
      <c r="EW256" s="346"/>
      <c r="EX256" s="1231"/>
      <c r="EY256" s="1190"/>
      <c r="EZ256" s="1230"/>
      <c r="FA256" s="16"/>
      <c r="FB256" s="16"/>
      <c r="FC256" s="16"/>
      <c r="FD256" s="1230"/>
      <c r="FE256" s="1189"/>
      <c r="FF256" s="1189"/>
      <c r="FG256" s="1189"/>
      <c r="FH256" s="1231"/>
      <c r="FI256" s="1190"/>
      <c r="FJ256" s="1191"/>
    </row>
    <row r="257" spans="1:166" ht="15" hidden="1" customHeight="1">
      <c r="A257" s="79" t="s">
        <v>1057</v>
      </c>
      <c r="B257" s="617">
        <v>123</v>
      </c>
      <c r="C257" s="617"/>
      <c r="D257" s="617">
        <v>39</v>
      </c>
      <c r="E257" s="608" t="s">
        <v>2074</v>
      </c>
      <c r="F257" s="181" t="s">
        <v>2326</v>
      </c>
      <c r="G257" s="182">
        <v>2012</v>
      </c>
      <c r="H257" s="79">
        <v>22659471</v>
      </c>
      <c r="I257" s="79">
        <v>1</v>
      </c>
      <c r="J257" s="79"/>
      <c r="K257" s="79"/>
      <c r="L257" s="79">
        <v>1</v>
      </c>
      <c r="M257" s="79"/>
      <c r="N257" s="79">
        <v>1</v>
      </c>
      <c r="O257" s="128">
        <v>2</v>
      </c>
      <c r="P257" s="79" t="s">
        <v>1336</v>
      </c>
      <c r="Q257" s="79" t="s">
        <v>1224</v>
      </c>
      <c r="R257" s="79" t="s">
        <v>1127</v>
      </c>
      <c r="S257" s="79"/>
      <c r="T257" s="79" t="s">
        <v>1498</v>
      </c>
      <c r="U257" s="79" t="s">
        <v>803</v>
      </c>
      <c r="V257" s="79"/>
      <c r="W257" s="79" t="s">
        <v>1337</v>
      </c>
      <c r="X257" s="79" t="s">
        <v>1338</v>
      </c>
      <c r="Y257" s="79"/>
      <c r="Z257" s="79"/>
      <c r="AA257" s="79"/>
      <c r="AB257" s="79"/>
      <c r="AC257" s="506" t="s">
        <v>1227</v>
      </c>
      <c r="AD257" s="573">
        <v>1</v>
      </c>
      <c r="AE257" s="573">
        <v>1</v>
      </c>
      <c r="AF257" s="352">
        <v>1</v>
      </c>
      <c r="AG257" s="353" t="s">
        <v>7873</v>
      </c>
      <c r="AH257" s="704"/>
      <c r="AI257" s="346">
        <v>4</v>
      </c>
      <c r="AJ257" s="487"/>
      <c r="AK257" s="459" t="s">
        <v>6829</v>
      </c>
      <c r="AL257" s="348">
        <v>2</v>
      </c>
      <c r="AM257" s="349">
        <v>0</v>
      </c>
      <c r="AN257" s="346">
        <f>Table66[[#This Row],[Data_Subjects_n_ptsd]]+Table66[[#This Row],[Data_Subjects_n_control]]</f>
        <v>24</v>
      </c>
      <c r="AO257" s="346">
        <v>12</v>
      </c>
      <c r="AP257" s="346">
        <v>12</v>
      </c>
      <c r="AQ257" s="346" t="s">
        <v>803</v>
      </c>
      <c r="AR257" s="346" t="s">
        <v>803</v>
      </c>
      <c r="AS257" s="1602" t="s">
        <v>4544</v>
      </c>
      <c r="AT257" s="186" t="s">
        <v>24</v>
      </c>
      <c r="AU257" s="1602" t="s">
        <v>4544</v>
      </c>
      <c r="AV257" s="186" t="s">
        <v>24</v>
      </c>
      <c r="AW257" s="186" t="s">
        <v>6830</v>
      </c>
      <c r="AX257" s="346">
        <v>10</v>
      </c>
      <c r="AY257" s="346">
        <v>1</v>
      </c>
      <c r="AZ257" s="754" t="s">
        <v>1814</v>
      </c>
      <c r="BA257" s="346">
        <v>1</v>
      </c>
      <c r="BB257" s="346">
        <v>1</v>
      </c>
      <c r="BC257" s="346" t="s">
        <v>5662</v>
      </c>
      <c r="BD257" s="754" t="s">
        <v>7522</v>
      </c>
      <c r="BE257" s="754"/>
      <c r="BF257" s="346" t="s">
        <v>1130</v>
      </c>
      <c r="BG257" s="346" t="s">
        <v>6653</v>
      </c>
      <c r="BH257" s="598"/>
      <c r="BI257" s="598"/>
      <c r="BJ257" s="184">
        <v>1</v>
      </c>
      <c r="BK257" s="184"/>
      <c r="BL257" s="184"/>
      <c r="BM257" s="184"/>
      <c r="BN257" s="184"/>
      <c r="BO257" s="184"/>
      <c r="BP257" s="184">
        <v>1</v>
      </c>
      <c r="BQ257" s="184"/>
      <c r="BR257" s="184"/>
      <c r="BS257" s="184"/>
      <c r="BT257" s="184"/>
      <c r="BU257" s="184"/>
      <c r="BV257" s="184"/>
      <c r="BW257" s="600" t="s">
        <v>6866</v>
      </c>
      <c r="BX257" s="185" t="s">
        <v>7560</v>
      </c>
      <c r="BY257" s="797" t="s">
        <v>7613</v>
      </c>
      <c r="BZ257" s="791" t="s">
        <v>7609</v>
      </c>
      <c r="CA257" s="660">
        <v>1</v>
      </c>
      <c r="CB257" s="660" t="s">
        <v>7556</v>
      </c>
      <c r="CC257" s="660" t="s">
        <v>7384</v>
      </c>
      <c r="CD257" s="186" t="s">
        <v>1876</v>
      </c>
      <c r="CE257" s="186" t="s">
        <v>6833</v>
      </c>
      <c r="CF257" s="400" t="s">
        <v>7876</v>
      </c>
      <c r="CG257" s="186" t="s">
        <v>6836</v>
      </c>
      <c r="CH257" s="762" t="s">
        <v>7310</v>
      </c>
      <c r="CI257" s="186" t="s">
        <v>6839</v>
      </c>
      <c r="CJ257" s="186"/>
      <c r="CK257" s="467" t="s">
        <v>6840</v>
      </c>
      <c r="CL257" s="186" t="s">
        <v>6639</v>
      </c>
      <c r="CM257" s="261" t="s">
        <v>6874</v>
      </c>
      <c r="CN257" s="620" t="s">
        <v>6868</v>
      </c>
      <c r="CO257" s="830">
        <v>28</v>
      </c>
      <c r="CP257" s="830">
        <v>2</v>
      </c>
      <c r="CQ257" s="830">
        <v>4</v>
      </c>
      <c r="CR257" s="830">
        <v>1</v>
      </c>
      <c r="CS257" s="830">
        <v>1</v>
      </c>
      <c r="CT257" s="969"/>
      <c r="CU257" s="1289" t="s">
        <v>8104</v>
      </c>
      <c r="CV257" s="1296">
        <v>84</v>
      </c>
      <c r="CW257" s="1296">
        <v>76</v>
      </c>
      <c r="CX257" s="700" t="s">
        <v>6848</v>
      </c>
      <c r="CY257" s="506">
        <v>7.1852799999999997</v>
      </c>
      <c r="CZ257" s="506" t="s">
        <v>24</v>
      </c>
      <c r="DA257" s="506">
        <f>10.5182-Table66[[#This Row],[Data_Outcome1_M]]</f>
        <v>3.3329200000000005</v>
      </c>
      <c r="DB257" s="700" t="s">
        <v>6849</v>
      </c>
      <c r="DC257" s="186">
        <v>2.00054</v>
      </c>
      <c r="DD257" s="186" t="s">
        <v>24</v>
      </c>
      <c r="DE257" s="186">
        <f>4.96351-Table66[[#This Row],[Data_Outcome2_M]]</f>
        <v>2.9629700000000003</v>
      </c>
      <c r="DF257" s="671" t="s">
        <v>3229</v>
      </c>
      <c r="DG257" s="315" t="s">
        <v>6870</v>
      </c>
      <c r="DH257" s="1192"/>
      <c r="DI257" s="1189"/>
      <c r="DJ257" s="1189"/>
      <c r="DK257" s="1189"/>
      <c r="DL257" s="1192"/>
      <c r="DM257" s="1189"/>
      <c r="DN257" s="1189"/>
      <c r="DO257" s="1189"/>
      <c r="DP257" s="294"/>
      <c r="DQ257" s="667"/>
      <c r="DR257" s="1168"/>
      <c r="DS257" s="865" t="s">
        <v>24</v>
      </c>
      <c r="DT257" s="1230"/>
      <c r="DU257" s="16"/>
      <c r="DV257" s="16"/>
      <c r="DW257" s="16"/>
      <c r="DX257" s="1230"/>
      <c r="DY257" s="1189"/>
      <c r="DZ257" s="1189"/>
      <c r="EA257" s="1189"/>
      <c r="EB257" s="1216"/>
      <c r="EC257" s="1215"/>
      <c r="ED257" s="1230"/>
      <c r="EE257" s="16"/>
      <c r="EF257" s="16"/>
      <c r="EG257" s="16"/>
      <c r="EH257" s="1230"/>
      <c r="EI257" s="1189"/>
      <c r="EJ257" s="1189"/>
      <c r="EK257" s="1189"/>
      <c r="EL257" s="1231"/>
      <c r="EM257" s="1190"/>
      <c r="EN257" s="1168"/>
      <c r="EO257" s="1191"/>
      <c r="EP257" s="1230"/>
      <c r="EQ257" s="16"/>
      <c r="ER257" s="16"/>
      <c r="ES257" s="16"/>
      <c r="ET257" s="1230"/>
      <c r="EU257" s="1189"/>
      <c r="EV257" s="1189"/>
      <c r="EW257" s="1189"/>
      <c r="EX257" s="1231"/>
      <c r="EY257" s="1190"/>
      <c r="EZ257" s="1230"/>
      <c r="FA257" s="16"/>
      <c r="FB257" s="16"/>
      <c r="FC257" s="16"/>
      <c r="FD257" s="1230"/>
      <c r="FE257" s="1189"/>
      <c r="FF257" s="1189"/>
      <c r="FG257" s="1189"/>
      <c r="FH257" s="1231"/>
      <c r="FI257" s="1190"/>
      <c r="FJ257" s="1191"/>
    </row>
    <row r="258" spans="1:166" ht="15" hidden="1" customHeight="1">
      <c r="A258" s="79" t="s">
        <v>1057</v>
      </c>
      <c r="B258" s="617">
        <v>123</v>
      </c>
      <c r="C258" s="617"/>
      <c r="D258" s="617">
        <v>39</v>
      </c>
      <c r="E258" s="608" t="s">
        <v>2074</v>
      </c>
      <c r="F258" s="181" t="s">
        <v>2326</v>
      </c>
      <c r="G258" s="182">
        <v>2012</v>
      </c>
      <c r="H258" s="79">
        <v>22659471</v>
      </c>
      <c r="I258" s="79">
        <v>1</v>
      </c>
      <c r="J258" s="79"/>
      <c r="K258" s="79"/>
      <c r="L258" s="79">
        <v>1</v>
      </c>
      <c r="M258" s="79"/>
      <c r="N258" s="79">
        <v>1</v>
      </c>
      <c r="O258" s="128">
        <v>2</v>
      </c>
      <c r="P258" s="79" t="s">
        <v>1336</v>
      </c>
      <c r="Q258" s="79" t="s">
        <v>1224</v>
      </c>
      <c r="R258" s="79" t="s">
        <v>1127</v>
      </c>
      <c r="S258" s="79"/>
      <c r="T258" s="79" t="s">
        <v>1498</v>
      </c>
      <c r="U258" s="79" t="s">
        <v>803</v>
      </c>
      <c r="V258" s="79"/>
      <c r="W258" s="79" t="s">
        <v>1337</v>
      </c>
      <c r="X258" s="79" t="s">
        <v>1338</v>
      </c>
      <c r="Y258" s="79"/>
      <c r="Z258" s="79"/>
      <c r="AA258" s="79"/>
      <c r="AB258" s="79"/>
      <c r="AC258" s="506" t="s">
        <v>1227</v>
      </c>
      <c r="AD258" s="573">
        <v>1</v>
      </c>
      <c r="AE258" s="573">
        <v>1</v>
      </c>
      <c r="AF258" s="352">
        <v>1</v>
      </c>
      <c r="AG258" s="353" t="s">
        <v>7873</v>
      </c>
      <c r="AH258" s="704"/>
      <c r="AI258" s="346">
        <v>4</v>
      </c>
      <c r="AJ258" s="487"/>
      <c r="AK258" s="459" t="s">
        <v>6829</v>
      </c>
      <c r="AL258" s="348">
        <v>2</v>
      </c>
      <c r="AM258" s="349">
        <v>0</v>
      </c>
      <c r="AN258" s="346">
        <f>Table66[[#This Row],[Data_Subjects_n_ptsd]]+Table66[[#This Row],[Data_Subjects_n_control]]</f>
        <v>24</v>
      </c>
      <c r="AO258" s="346">
        <v>12</v>
      </c>
      <c r="AP258" s="346">
        <v>12</v>
      </c>
      <c r="AQ258" s="346" t="s">
        <v>803</v>
      </c>
      <c r="AR258" s="346" t="s">
        <v>803</v>
      </c>
      <c r="AS258" s="1602" t="s">
        <v>4544</v>
      </c>
      <c r="AT258" s="186" t="s">
        <v>24</v>
      </c>
      <c r="AU258" s="1602" t="s">
        <v>4544</v>
      </c>
      <c r="AV258" s="186" t="s">
        <v>24</v>
      </c>
      <c r="AW258" s="186" t="s">
        <v>6830</v>
      </c>
      <c r="AX258" s="346">
        <v>10</v>
      </c>
      <c r="AY258" s="346">
        <v>1</v>
      </c>
      <c r="AZ258" s="754" t="s">
        <v>1814</v>
      </c>
      <c r="BA258" s="346">
        <v>1</v>
      </c>
      <c r="BB258" s="346">
        <v>1</v>
      </c>
      <c r="BC258" s="346" t="s">
        <v>5662</v>
      </c>
      <c r="BD258" s="754" t="s">
        <v>7522</v>
      </c>
      <c r="BE258" s="754"/>
      <c r="BF258" s="346" t="s">
        <v>1130</v>
      </c>
      <c r="BG258" s="346" t="s">
        <v>6653</v>
      </c>
      <c r="BH258" s="598"/>
      <c r="BI258" s="598"/>
      <c r="BJ258" s="184">
        <v>1</v>
      </c>
      <c r="BK258" s="184"/>
      <c r="BL258" s="184"/>
      <c r="BM258" s="184"/>
      <c r="BN258" s="184"/>
      <c r="BO258" s="184"/>
      <c r="BP258" s="184">
        <v>1</v>
      </c>
      <c r="BQ258" s="184"/>
      <c r="BR258" s="184"/>
      <c r="BS258" s="184"/>
      <c r="BT258" s="184"/>
      <c r="BU258" s="184"/>
      <c r="BV258" s="184"/>
      <c r="BW258" s="600" t="s">
        <v>6866</v>
      </c>
      <c r="BX258" s="185" t="s">
        <v>7560</v>
      </c>
      <c r="BY258" s="797" t="s">
        <v>7613</v>
      </c>
      <c r="BZ258" s="791" t="s">
        <v>7609</v>
      </c>
      <c r="CA258" s="660">
        <v>1</v>
      </c>
      <c r="CB258" s="660" t="s">
        <v>7556</v>
      </c>
      <c r="CC258" s="660" t="s">
        <v>7384</v>
      </c>
      <c r="CD258" s="186" t="s">
        <v>1876</v>
      </c>
      <c r="CE258" s="186" t="s">
        <v>6833</v>
      </c>
      <c r="CF258" s="400" t="s">
        <v>7877</v>
      </c>
      <c r="CG258" s="186" t="s">
        <v>6836</v>
      </c>
      <c r="CH258" s="762" t="s">
        <v>7310</v>
      </c>
      <c r="CI258" s="186" t="s">
        <v>6839</v>
      </c>
      <c r="CJ258" s="186"/>
      <c r="CK258" s="467" t="s">
        <v>6840</v>
      </c>
      <c r="CL258" s="186" t="s">
        <v>6639</v>
      </c>
      <c r="CM258" s="261" t="s">
        <v>6874</v>
      </c>
      <c r="CN258" s="620" t="s">
        <v>6868</v>
      </c>
      <c r="CO258" s="830">
        <v>28</v>
      </c>
      <c r="CP258" s="830">
        <v>2</v>
      </c>
      <c r="CQ258" s="830">
        <v>5</v>
      </c>
      <c r="CR258" s="830">
        <v>1</v>
      </c>
      <c r="CS258" s="830">
        <v>1</v>
      </c>
      <c r="CT258" s="969"/>
      <c r="CU258" s="1289" t="s">
        <v>8104</v>
      </c>
      <c r="CV258" s="1296">
        <v>84</v>
      </c>
      <c r="CW258" s="1296">
        <v>76</v>
      </c>
      <c r="CX258" s="700" t="s">
        <v>6850</v>
      </c>
      <c r="CY258" s="506">
        <v>31.666899999999998</v>
      </c>
      <c r="CZ258" s="506" t="s">
        <v>24</v>
      </c>
      <c r="DA258" s="506">
        <f>55.7401-Table66[[#This Row],[Data_Outcome1_M]]</f>
        <v>24.0732</v>
      </c>
      <c r="DB258" s="700" t="s">
        <v>6851</v>
      </c>
      <c r="DC258" s="186">
        <v>2.4076300000000002</v>
      </c>
      <c r="DD258" s="186" t="s">
        <v>24</v>
      </c>
      <c r="DE258" s="186">
        <f>4.62986-Table66[[#This Row],[Data_Outcome2_M]]</f>
        <v>2.2222299999999997</v>
      </c>
      <c r="DF258" s="671" t="s">
        <v>3229</v>
      </c>
      <c r="DG258" s="315" t="s">
        <v>6870</v>
      </c>
      <c r="DH258" s="1192"/>
      <c r="DI258" s="1189"/>
      <c r="DJ258" s="1189"/>
      <c r="DK258" s="1189"/>
      <c r="DL258" s="1192"/>
      <c r="DM258" s="1189"/>
      <c r="DN258" s="1189"/>
      <c r="DO258" s="1189"/>
      <c r="DP258" s="294"/>
      <c r="DQ258" s="667"/>
      <c r="DR258" s="1168"/>
      <c r="DS258" s="865" t="s">
        <v>24</v>
      </c>
      <c r="DT258" s="1230"/>
      <c r="DU258" s="16"/>
      <c r="DV258" s="16"/>
      <c r="DW258" s="16"/>
      <c r="DX258" s="1230"/>
      <c r="DY258" s="1189"/>
      <c r="DZ258" s="1189"/>
      <c r="EA258" s="1189"/>
      <c r="EB258" s="1216"/>
      <c r="EC258" s="1215"/>
      <c r="ED258" s="1230"/>
      <c r="EE258" s="16"/>
      <c r="EF258" s="16"/>
      <c r="EG258" s="16"/>
      <c r="EH258" s="1230"/>
      <c r="EI258" s="1189"/>
      <c r="EJ258" s="1189"/>
      <c r="EK258" s="1189"/>
      <c r="EL258" s="1231"/>
      <c r="EM258" s="1190"/>
      <c r="EN258" s="1168"/>
      <c r="EO258" s="1191"/>
      <c r="EP258" s="1230"/>
      <c r="EQ258" s="16"/>
      <c r="ER258" s="16"/>
      <c r="ES258" s="16"/>
      <c r="ET258" s="1230"/>
      <c r="EU258" s="1189"/>
      <c r="EV258" s="1189"/>
      <c r="EW258" s="1189"/>
      <c r="EX258" s="1231"/>
      <c r="EY258" s="1190"/>
      <c r="EZ258" s="1230"/>
      <c r="FA258" s="16"/>
      <c r="FB258" s="16"/>
      <c r="FC258" s="16"/>
      <c r="FD258" s="1230"/>
      <c r="FE258" s="1189"/>
      <c r="FF258" s="1189"/>
      <c r="FG258" s="1189"/>
      <c r="FH258" s="1231"/>
      <c r="FI258" s="1190"/>
      <c r="FJ258" s="1191"/>
    </row>
    <row r="259" spans="1:166" ht="15" hidden="1" customHeight="1">
      <c r="A259" s="79" t="s">
        <v>1057</v>
      </c>
      <c r="B259" s="617">
        <v>123</v>
      </c>
      <c r="C259" s="617"/>
      <c r="D259" s="617">
        <v>39</v>
      </c>
      <c r="E259" s="608" t="s">
        <v>2074</v>
      </c>
      <c r="F259" s="181" t="s">
        <v>2326</v>
      </c>
      <c r="G259" s="182">
        <v>2012</v>
      </c>
      <c r="H259" s="79">
        <v>22659471</v>
      </c>
      <c r="I259" s="79">
        <v>1</v>
      </c>
      <c r="J259" s="79"/>
      <c r="K259" s="79"/>
      <c r="L259" s="79">
        <v>1</v>
      </c>
      <c r="M259" s="79"/>
      <c r="N259" s="79">
        <v>1</v>
      </c>
      <c r="O259" s="128">
        <v>2</v>
      </c>
      <c r="P259" s="79" t="s">
        <v>1336</v>
      </c>
      <c r="Q259" s="79" t="s">
        <v>1224</v>
      </c>
      <c r="R259" s="79" t="s">
        <v>1127</v>
      </c>
      <c r="S259" s="79"/>
      <c r="T259" s="79" t="s">
        <v>1498</v>
      </c>
      <c r="U259" s="79" t="s">
        <v>803</v>
      </c>
      <c r="V259" s="79"/>
      <c r="W259" s="79" t="s">
        <v>1337</v>
      </c>
      <c r="X259" s="79" t="s">
        <v>1338</v>
      </c>
      <c r="Y259" s="79"/>
      <c r="Z259" s="79"/>
      <c r="AA259" s="79"/>
      <c r="AB259" s="79"/>
      <c r="AC259" s="506" t="s">
        <v>1227</v>
      </c>
      <c r="AD259" s="573">
        <v>1</v>
      </c>
      <c r="AE259" s="573">
        <v>1</v>
      </c>
      <c r="AF259" s="352">
        <v>1</v>
      </c>
      <c r="AG259" s="353" t="s">
        <v>7873</v>
      </c>
      <c r="AH259" s="704"/>
      <c r="AI259" s="346">
        <v>4</v>
      </c>
      <c r="AJ259" s="487"/>
      <c r="AK259" s="459" t="s">
        <v>6829</v>
      </c>
      <c r="AL259" s="348">
        <v>2</v>
      </c>
      <c r="AM259" s="349">
        <v>0</v>
      </c>
      <c r="AN259" s="346">
        <f>Table66[[#This Row],[Data_Subjects_n_ptsd]]+Table66[[#This Row],[Data_Subjects_n_control]]</f>
        <v>24</v>
      </c>
      <c r="AO259" s="346">
        <v>12</v>
      </c>
      <c r="AP259" s="346">
        <v>12</v>
      </c>
      <c r="AQ259" s="346" t="s">
        <v>803</v>
      </c>
      <c r="AR259" s="346" t="s">
        <v>803</v>
      </c>
      <c r="AS259" s="1602" t="s">
        <v>4544</v>
      </c>
      <c r="AT259" s="186" t="s">
        <v>24</v>
      </c>
      <c r="AU259" s="1602" t="s">
        <v>4544</v>
      </c>
      <c r="AV259" s="186" t="s">
        <v>24</v>
      </c>
      <c r="AW259" s="186" t="s">
        <v>6830</v>
      </c>
      <c r="AX259" s="346">
        <v>10</v>
      </c>
      <c r="AY259" s="346">
        <v>1</v>
      </c>
      <c r="AZ259" s="754" t="s">
        <v>1814</v>
      </c>
      <c r="BA259" s="346">
        <v>1</v>
      </c>
      <c r="BB259" s="346">
        <v>1</v>
      </c>
      <c r="BC259" s="346" t="s">
        <v>5662</v>
      </c>
      <c r="BD259" s="754" t="s">
        <v>7522</v>
      </c>
      <c r="BE259" s="754"/>
      <c r="BF259" s="346" t="s">
        <v>1130</v>
      </c>
      <c r="BG259" s="346" t="s">
        <v>6653</v>
      </c>
      <c r="BH259" s="598"/>
      <c r="BI259" s="598"/>
      <c r="BJ259" s="184">
        <v>1</v>
      </c>
      <c r="BK259" s="184"/>
      <c r="BL259" s="184"/>
      <c r="BM259" s="184"/>
      <c r="BN259" s="184"/>
      <c r="BO259" s="184"/>
      <c r="BP259" s="184">
        <v>1</v>
      </c>
      <c r="BQ259" s="184"/>
      <c r="BR259" s="184"/>
      <c r="BS259" s="184"/>
      <c r="BT259" s="184"/>
      <c r="BU259" s="184"/>
      <c r="BV259" s="184"/>
      <c r="BW259" s="600" t="s">
        <v>6866</v>
      </c>
      <c r="BX259" s="185" t="s">
        <v>7560</v>
      </c>
      <c r="BY259" s="797" t="s">
        <v>7613</v>
      </c>
      <c r="BZ259" s="791" t="s">
        <v>7609</v>
      </c>
      <c r="CA259" s="660">
        <v>1</v>
      </c>
      <c r="CB259" s="660" t="s">
        <v>7556</v>
      </c>
      <c r="CC259" s="660" t="s">
        <v>7384</v>
      </c>
      <c r="CD259" s="186" t="s">
        <v>1876</v>
      </c>
      <c r="CE259" s="186" t="s">
        <v>6833</v>
      </c>
      <c r="CF259" s="400" t="s">
        <v>7878</v>
      </c>
      <c r="CG259" s="186" t="s">
        <v>6836</v>
      </c>
      <c r="CH259" s="762" t="s">
        <v>7310</v>
      </c>
      <c r="CI259" s="186" t="s">
        <v>6839</v>
      </c>
      <c r="CJ259" s="186"/>
      <c r="CK259" s="467" t="s">
        <v>6840</v>
      </c>
      <c r="CL259" s="186" t="s">
        <v>6639</v>
      </c>
      <c r="CM259" s="261" t="s">
        <v>6874</v>
      </c>
      <c r="CN259" s="620" t="s">
        <v>6868</v>
      </c>
      <c r="CO259" s="830">
        <v>28</v>
      </c>
      <c r="CP259" s="830">
        <v>2</v>
      </c>
      <c r="CQ259" s="830">
        <v>6</v>
      </c>
      <c r="CR259" s="830">
        <v>1</v>
      </c>
      <c r="CS259" s="830">
        <v>1</v>
      </c>
      <c r="CT259" s="969"/>
      <c r="CU259" s="1289" t="s">
        <v>8104</v>
      </c>
      <c r="CV259" s="1296">
        <v>84</v>
      </c>
      <c r="CW259" s="1296">
        <v>76</v>
      </c>
      <c r="CX259" s="700" t="s">
        <v>6852</v>
      </c>
      <c r="CY259" s="506">
        <v>9.4809400000000004</v>
      </c>
      <c r="CZ259" s="506" t="s">
        <v>24</v>
      </c>
      <c r="DA259" s="506">
        <f>12.4439-Table66[[#This Row],[Data_Outcome1_M]]</f>
        <v>2.9629599999999989</v>
      </c>
      <c r="DB259" s="700" t="s">
        <v>6853</v>
      </c>
      <c r="DC259" s="186">
        <v>3.55592</v>
      </c>
      <c r="DD259" s="186" t="s">
        <v>24</v>
      </c>
      <c r="DE259" s="186">
        <f>6.51843-Table66[[#This Row],[Data_Outcome2_M]]</f>
        <v>2.9625100000000004</v>
      </c>
      <c r="DF259" s="671" t="s">
        <v>3229</v>
      </c>
      <c r="DG259" s="315" t="s">
        <v>6870</v>
      </c>
      <c r="DH259" s="1191" t="s">
        <v>24</v>
      </c>
      <c r="DI259" s="1189"/>
      <c r="DJ259" s="1189"/>
      <c r="DK259" s="1189"/>
      <c r="DL259" s="1192"/>
      <c r="DM259" s="1189"/>
      <c r="DN259" s="1189"/>
      <c r="DO259" s="1189"/>
      <c r="DP259" s="294"/>
      <c r="DQ259" s="667"/>
      <c r="DR259" s="1168"/>
      <c r="DS259" s="865" t="s">
        <v>24</v>
      </c>
      <c r="DT259" s="1230"/>
      <c r="DU259" s="16"/>
      <c r="DV259" s="16"/>
      <c r="DW259" s="16"/>
      <c r="DX259" s="1230"/>
      <c r="DY259" s="1189"/>
      <c r="DZ259" s="1189"/>
      <c r="EA259" s="1189"/>
      <c r="EB259" s="1216"/>
      <c r="EC259" s="1215"/>
      <c r="ED259" s="1230"/>
      <c r="EE259" s="16"/>
      <c r="EF259" s="16"/>
      <c r="EG259" s="16"/>
      <c r="EH259" s="1230"/>
      <c r="EI259" s="1189"/>
      <c r="EJ259" s="1189"/>
      <c r="EK259" s="1189"/>
      <c r="EL259" s="1231"/>
      <c r="EM259" s="1190"/>
      <c r="EN259" s="1168"/>
      <c r="EO259" s="1191"/>
      <c r="EP259" s="1230"/>
      <c r="EQ259" s="16"/>
      <c r="ER259" s="16"/>
      <c r="ES259" s="16"/>
      <c r="ET259" s="1230"/>
      <c r="EU259" s="1189"/>
      <c r="EV259" s="1189"/>
      <c r="EW259" s="1189"/>
      <c r="EX259" s="1231"/>
      <c r="EY259" s="1190"/>
      <c r="EZ259" s="1230"/>
      <c r="FA259" s="16"/>
      <c r="FB259" s="16"/>
      <c r="FC259" s="16"/>
      <c r="FD259" s="1230"/>
      <c r="FE259" s="1189"/>
      <c r="FF259" s="1189"/>
      <c r="FG259" s="1189"/>
      <c r="FH259" s="1231"/>
      <c r="FI259" s="1190"/>
      <c r="FJ259" s="1191"/>
    </row>
    <row r="260" spans="1:166" ht="15" hidden="1" customHeight="1">
      <c r="A260" s="79" t="s">
        <v>1057</v>
      </c>
      <c r="B260" s="617">
        <v>123</v>
      </c>
      <c r="C260" s="617"/>
      <c r="D260" s="617">
        <v>39</v>
      </c>
      <c r="E260" s="608" t="s">
        <v>2074</v>
      </c>
      <c r="F260" s="181" t="s">
        <v>2326</v>
      </c>
      <c r="G260" s="182">
        <v>2012</v>
      </c>
      <c r="H260" s="79">
        <v>22659471</v>
      </c>
      <c r="I260" s="79">
        <v>1</v>
      </c>
      <c r="J260" s="79"/>
      <c r="K260" s="79"/>
      <c r="L260" s="79">
        <v>1</v>
      </c>
      <c r="M260" s="79"/>
      <c r="N260" s="79">
        <v>1</v>
      </c>
      <c r="O260" s="128">
        <v>2</v>
      </c>
      <c r="P260" s="79" t="s">
        <v>1336</v>
      </c>
      <c r="Q260" s="79" t="s">
        <v>1224</v>
      </c>
      <c r="R260" s="79" t="s">
        <v>1127</v>
      </c>
      <c r="S260" s="79"/>
      <c r="T260" s="79" t="s">
        <v>1498</v>
      </c>
      <c r="U260" s="79" t="s">
        <v>803</v>
      </c>
      <c r="V260" s="79"/>
      <c r="W260" s="79" t="s">
        <v>1337</v>
      </c>
      <c r="X260" s="79" t="s">
        <v>1338</v>
      </c>
      <c r="Y260" s="79"/>
      <c r="Z260" s="79"/>
      <c r="AA260" s="79"/>
      <c r="AB260" s="79"/>
      <c r="AC260" s="506" t="s">
        <v>1227</v>
      </c>
      <c r="AD260" s="573">
        <v>1</v>
      </c>
      <c r="AE260" s="573">
        <v>1</v>
      </c>
      <c r="AF260" s="352">
        <v>1</v>
      </c>
      <c r="AG260" s="353" t="s">
        <v>7873</v>
      </c>
      <c r="AH260" s="704"/>
      <c r="AI260" s="346">
        <v>4</v>
      </c>
      <c r="AJ260" s="487"/>
      <c r="AK260" s="459" t="s">
        <v>6829</v>
      </c>
      <c r="AL260" s="348">
        <v>2</v>
      </c>
      <c r="AM260" s="349">
        <v>0</v>
      </c>
      <c r="AN260" s="346">
        <f>Table66[[#This Row],[Data_Subjects_n_ptsd]]+Table66[[#This Row],[Data_Subjects_n_control]]</f>
        <v>24</v>
      </c>
      <c r="AO260" s="346">
        <v>12</v>
      </c>
      <c r="AP260" s="346">
        <v>12</v>
      </c>
      <c r="AQ260" s="346" t="s">
        <v>803</v>
      </c>
      <c r="AR260" s="346" t="s">
        <v>803</v>
      </c>
      <c r="AS260" s="1602" t="s">
        <v>4544</v>
      </c>
      <c r="AT260" s="186" t="s">
        <v>24</v>
      </c>
      <c r="AU260" s="1602" t="s">
        <v>4544</v>
      </c>
      <c r="AV260" s="186" t="s">
        <v>24</v>
      </c>
      <c r="AW260" s="186" t="s">
        <v>6830</v>
      </c>
      <c r="AX260" s="346">
        <v>10</v>
      </c>
      <c r="AY260" s="346">
        <v>1</v>
      </c>
      <c r="AZ260" s="754" t="s">
        <v>1814</v>
      </c>
      <c r="BA260" s="346">
        <v>1</v>
      </c>
      <c r="BB260" s="346">
        <v>1</v>
      </c>
      <c r="BC260" s="346" t="s">
        <v>5662</v>
      </c>
      <c r="BD260" s="754" t="s">
        <v>7522</v>
      </c>
      <c r="BE260" s="754"/>
      <c r="BF260" s="346" t="s">
        <v>1130</v>
      </c>
      <c r="BG260" s="346" t="s">
        <v>6653</v>
      </c>
      <c r="BH260" s="598"/>
      <c r="BI260" s="598"/>
      <c r="BJ260" s="184">
        <v>1</v>
      </c>
      <c r="BK260" s="184"/>
      <c r="BL260" s="184"/>
      <c r="BM260" s="184"/>
      <c r="BN260" s="184"/>
      <c r="BO260" s="184"/>
      <c r="BP260" s="184">
        <v>1</v>
      </c>
      <c r="BQ260" s="184"/>
      <c r="BR260" s="184"/>
      <c r="BS260" s="184"/>
      <c r="BT260" s="184"/>
      <c r="BU260" s="184"/>
      <c r="BV260" s="184"/>
      <c r="BW260" s="600" t="s">
        <v>6866</v>
      </c>
      <c r="BX260" s="185" t="s">
        <v>7560</v>
      </c>
      <c r="BY260" s="797" t="s">
        <v>7613</v>
      </c>
      <c r="BZ260" s="791" t="s">
        <v>7609</v>
      </c>
      <c r="CA260" s="660">
        <v>1</v>
      </c>
      <c r="CB260" s="660" t="s">
        <v>7556</v>
      </c>
      <c r="CC260" s="660" t="s">
        <v>7384</v>
      </c>
      <c r="CD260" s="186" t="s">
        <v>1876</v>
      </c>
      <c r="CE260" s="186" t="s">
        <v>6833</v>
      </c>
      <c r="CF260" s="400" t="s">
        <v>7879</v>
      </c>
      <c r="CG260" s="186" t="s">
        <v>6836</v>
      </c>
      <c r="CH260" s="762" t="s">
        <v>7310</v>
      </c>
      <c r="CI260" s="186" t="s">
        <v>6839</v>
      </c>
      <c r="CJ260" s="186"/>
      <c r="CK260" s="467" t="s">
        <v>6840</v>
      </c>
      <c r="CL260" s="186" t="s">
        <v>6639</v>
      </c>
      <c r="CM260" s="261" t="s">
        <v>6874</v>
      </c>
      <c r="CN260" s="620" t="s">
        <v>6868</v>
      </c>
      <c r="CO260" s="830">
        <v>28</v>
      </c>
      <c r="CP260" s="830">
        <v>2</v>
      </c>
      <c r="CQ260" s="830">
        <v>7</v>
      </c>
      <c r="CR260" s="830">
        <v>1</v>
      </c>
      <c r="CS260" s="830">
        <v>1</v>
      </c>
      <c r="CT260" s="969"/>
      <c r="CU260" s="1289" t="s">
        <v>8104</v>
      </c>
      <c r="CV260" s="1296">
        <v>84</v>
      </c>
      <c r="CW260" s="1296">
        <v>76</v>
      </c>
      <c r="CX260" s="700" t="s">
        <v>6854</v>
      </c>
      <c r="CY260" s="506">
        <v>6.9250600000000002</v>
      </c>
      <c r="CZ260" s="506" t="s">
        <v>24</v>
      </c>
      <c r="DA260" s="506">
        <f>9.51811-Table66[[#This Row],[Data_Outcome1_M]]</f>
        <v>2.5930499999999999</v>
      </c>
      <c r="DB260" s="700" t="s">
        <v>6855</v>
      </c>
      <c r="DC260" s="186">
        <v>1.7407900000000001</v>
      </c>
      <c r="DD260" s="186" t="s">
        <v>24</v>
      </c>
      <c r="DE260" s="186">
        <f>4.33338-Table66[[#This Row],[Data_Outcome2_M]]</f>
        <v>2.59259</v>
      </c>
      <c r="DF260" s="701" t="s">
        <v>3229</v>
      </c>
      <c r="DG260" s="702" t="s">
        <v>6870</v>
      </c>
      <c r="DH260" s="1192"/>
      <c r="DI260" s="1189"/>
      <c r="DJ260" s="1189"/>
      <c r="DK260" s="1189"/>
      <c r="DL260" s="1192"/>
      <c r="DM260" s="1189"/>
      <c r="DN260" s="1189"/>
      <c r="DO260" s="1189"/>
      <c r="DP260" s="294"/>
      <c r="DQ260" s="667"/>
      <c r="DR260" s="1168"/>
      <c r="DS260" s="865" t="s">
        <v>24</v>
      </c>
      <c r="DT260" s="1230"/>
      <c r="DU260" s="16"/>
      <c r="DV260" s="16"/>
      <c r="DW260" s="16"/>
      <c r="DX260" s="1230"/>
      <c r="DY260" s="1189"/>
      <c r="DZ260" s="1189"/>
      <c r="EA260" s="1189"/>
      <c r="EB260" s="1216"/>
      <c r="EC260" s="1215"/>
      <c r="ED260" s="1230"/>
      <c r="EE260" s="16"/>
      <c r="EF260" s="16"/>
      <c r="EG260" s="16"/>
      <c r="EH260" s="1230"/>
      <c r="EI260" s="1189"/>
      <c r="EJ260" s="1189"/>
      <c r="EK260" s="1189"/>
      <c r="EL260" s="1231"/>
      <c r="EM260" s="1190"/>
      <c r="EN260" s="1168"/>
      <c r="EO260" s="1191"/>
      <c r="EP260" s="1230"/>
      <c r="EQ260" s="16"/>
      <c r="ER260" s="16"/>
      <c r="ES260" s="16"/>
      <c r="ET260" s="1230"/>
      <c r="EU260" s="1189"/>
      <c r="EV260" s="1189"/>
      <c r="EW260" s="1189"/>
      <c r="EX260" s="1231"/>
      <c r="EY260" s="1190"/>
      <c r="EZ260" s="1230"/>
      <c r="FA260" s="16"/>
      <c r="FB260" s="16"/>
      <c r="FC260" s="16"/>
      <c r="FD260" s="1230"/>
      <c r="FE260" s="1189"/>
      <c r="FF260" s="1189"/>
      <c r="FG260" s="1189"/>
      <c r="FH260" s="1231"/>
      <c r="FI260" s="1190"/>
      <c r="FJ260" s="1191"/>
    </row>
    <row r="261" spans="1:166" ht="15" hidden="1" customHeight="1">
      <c r="A261" s="876" t="s">
        <v>1057</v>
      </c>
      <c r="B261" s="877">
        <v>123</v>
      </c>
      <c r="C261" s="877"/>
      <c r="D261" s="877">
        <v>39</v>
      </c>
      <c r="E261" s="878" t="s">
        <v>2074</v>
      </c>
      <c r="F261" s="879" t="s">
        <v>2326</v>
      </c>
      <c r="G261" s="880">
        <v>2012</v>
      </c>
      <c r="H261" s="876">
        <v>22659471</v>
      </c>
      <c r="I261" s="876">
        <v>1</v>
      </c>
      <c r="J261" s="876"/>
      <c r="K261" s="876"/>
      <c r="L261" s="876">
        <v>1</v>
      </c>
      <c r="M261" s="876"/>
      <c r="N261" s="876">
        <v>1</v>
      </c>
      <c r="O261" s="882">
        <v>2</v>
      </c>
      <c r="P261" s="876" t="s">
        <v>1336</v>
      </c>
      <c r="Q261" s="876" t="s">
        <v>1224</v>
      </c>
      <c r="R261" s="876" t="s">
        <v>1127</v>
      </c>
      <c r="S261" s="876"/>
      <c r="T261" s="876" t="s">
        <v>1498</v>
      </c>
      <c r="U261" s="876" t="s">
        <v>803</v>
      </c>
      <c r="V261" s="876"/>
      <c r="W261" s="876" t="s">
        <v>1337</v>
      </c>
      <c r="X261" s="876" t="s">
        <v>1338</v>
      </c>
      <c r="Y261" s="876"/>
      <c r="Z261" s="876"/>
      <c r="AA261" s="876"/>
      <c r="AB261" s="876"/>
      <c r="AC261" s="883" t="s">
        <v>1227</v>
      </c>
      <c r="AD261" s="884">
        <v>1</v>
      </c>
      <c r="AE261" s="884">
        <v>1</v>
      </c>
      <c r="AF261" s="885">
        <v>1</v>
      </c>
      <c r="AG261" s="353" t="s">
        <v>7873</v>
      </c>
      <c r="AH261" s="887"/>
      <c r="AI261" s="883">
        <v>4</v>
      </c>
      <c r="AJ261" s="888"/>
      <c r="AK261" s="889" t="s">
        <v>6829</v>
      </c>
      <c r="AL261" s="890">
        <v>2</v>
      </c>
      <c r="AM261" s="891">
        <v>0</v>
      </c>
      <c r="AN261" s="883">
        <f>Table66[[#This Row],[Data_Subjects_n_ptsd]]+Table66[[#This Row],[Data_Subjects_n_control]]</f>
        <v>24</v>
      </c>
      <c r="AO261" s="883">
        <v>12</v>
      </c>
      <c r="AP261" s="883">
        <v>12</v>
      </c>
      <c r="AQ261" s="883" t="s">
        <v>803</v>
      </c>
      <c r="AR261" s="883" t="s">
        <v>803</v>
      </c>
      <c r="AS261" s="1603" t="s">
        <v>4544</v>
      </c>
      <c r="AT261" s="899" t="s">
        <v>24</v>
      </c>
      <c r="AU261" s="1603" t="s">
        <v>4544</v>
      </c>
      <c r="AV261" s="899" t="s">
        <v>24</v>
      </c>
      <c r="AW261" s="899" t="s">
        <v>6830</v>
      </c>
      <c r="AX261" s="883">
        <v>10</v>
      </c>
      <c r="AY261" s="883">
        <v>1</v>
      </c>
      <c r="AZ261" s="883" t="s">
        <v>1814</v>
      </c>
      <c r="BA261" s="883">
        <v>1</v>
      </c>
      <c r="BB261" s="883">
        <v>1</v>
      </c>
      <c r="BC261" s="883" t="s">
        <v>5662</v>
      </c>
      <c r="BD261" s="883" t="s">
        <v>7522</v>
      </c>
      <c r="BE261" s="883"/>
      <c r="BF261" s="883" t="s">
        <v>1130</v>
      </c>
      <c r="BG261" s="883" t="s">
        <v>6653</v>
      </c>
      <c r="BH261" s="892"/>
      <c r="BI261" s="892"/>
      <c r="BJ261" s="893">
        <v>1</v>
      </c>
      <c r="BK261" s="893"/>
      <c r="BL261" s="893"/>
      <c r="BM261" s="893"/>
      <c r="BN261" s="893"/>
      <c r="BO261" s="893"/>
      <c r="BP261" s="893">
        <v>1</v>
      </c>
      <c r="BQ261" s="893"/>
      <c r="BR261" s="893"/>
      <c r="BS261" s="893"/>
      <c r="BT261" s="893"/>
      <c r="BU261" s="893"/>
      <c r="BV261" s="893"/>
      <c r="BW261" s="894" t="s">
        <v>6866</v>
      </c>
      <c r="BX261" s="895" t="s">
        <v>7560</v>
      </c>
      <c r="BY261" s="896" t="s">
        <v>7613</v>
      </c>
      <c r="BZ261" s="897" t="s">
        <v>7609</v>
      </c>
      <c r="CA261" s="1001">
        <v>1</v>
      </c>
      <c r="CB261" s="1001" t="s">
        <v>7556</v>
      </c>
      <c r="CC261" s="1001" t="s">
        <v>7384</v>
      </c>
      <c r="CD261" s="899" t="s">
        <v>1876</v>
      </c>
      <c r="CE261" s="899" t="s">
        <v>6833</v>
      </c>
      <c r="CF261" s="899" t="s">
        <v>7880</v>
      </c>
      <c r="CG261" s="899" t="s">
        <v>6836</v>
      </c>
      <c r="CH261" s="960" t="s">
        <v>7310</v>
      </c>
      <c r="CI261" s="899" t="s">
        <v>6839</v>
      </c>
      <c r="CJ261" s="899"/>
      <c r="CK261" s="1002" t="s">
        <v>6840</v>
      </c>
      <c r="CL261" s="899" t="s">
        <v>6639</v>
      </c>
      <c r="CM261" s="900" t="s">
        <v>6874</v>
      </c>
      <c r="CN261" s="901" t="s">
        <v>6868</v>
      </c>
      <c r="CO261" s="902">
        <v>28</v>
      </c>
      <c r="CP261" s="902">
        <v>2</v>
      </c>
      <c r="CQ261" s="902">
        <v>8</v>
      </c>
      <c r="CR261" s="902">
        <v>1</v>
      </c>
      <c r="CS261" s="902">
        <v>1</v>
      </c>
      <c r="CT261" s="971"/>
      <c r="CU261" s="1289" t="s">
        <v>8104</v>
      </c>
      <c r="CV261" s="1296">
        <v>84</v>
      </c>
      <c r="CW261" s="1296">
        <v>76</v>
      </c>
      <c r="CX261" s="700" t="s">
        <v>6856</v>
      </c>
      <c r="CY261" s="506">
        <v>6.2214999999999998</v>
      </c>
      <c r="CZ261" s="506" t="s">
        <v>24</v>
      </c>
      <c r="DA261" s="506">
        <f>8.44327-Table66[[#This Row],[Data_Outcome1_M]]</f>
        <v>2.2217700000000002</v>
      </c>
      <c r="DB261" s="700" t="s">
        <v>6857</v>
      </c>
      <c r="DC261" s="186">
        <v>0.296931</v>
      </c>
      <c r="DD261" s="186" t="s">
        <v>24</v>
      </c>
      <c r="DE261" s="186">
        <f>2.5187-Table66[[#This Row],[Data_Outcome2_M]]</f>
        <v>2.2217690000000001</v>
      </c>
      <c r="DF261" s="701" t="s">
        <v>3229</v>
      </c>
      <c r="DG261" s="702" t="s">
        <v>6870</v>
      </c>
      <c r="DH261" s="1220"/>
      <c r="DI261" s="1218"/>
      <c r="DJ261" s="1218"/>
      <c r="DK261" s="1218"/>
      <c r="DL261" s="1220"/>
      <c r="DM261" s="1218"/>
      <c r="DN261" s="1218"/>
      <c r="DO261" s="1218"/>
      <c r="DP261" s="904"/>
      <c r="DQ261" s="1003"/>
      <c r="DR261" s="1223"/>
      <c r="DS261" s="1224" t="s">
        <v>24</v>
      </c>
      <c r="DT261" s="1220"/>
      <c r="DU261" s="883"/>
      <c r="DV261" s="1218"/>
      <c r="DW261" s="883"/>
      <c r="DX261" s="1220"/>
      <c r="DY261" s="883"/>
      <c r="DZ261" s="1218"/>
      <c r="EA261" s="883"/>
      <c r="EB261" s="1222"/>
      <c r="EC261" s="1221"/>
      <c r="ED261" s="1220"/>
      <c r="EE261" s="883"/>
      <c r="EF261" s="1218"/>
      <c r="EG261" s="883"/>
      <c r="EH261" s="1220"/>
      <c r="EI261" s="883"/>
      <c r="EJ261" s="1218"/>
      <c r="EK261" s="883"/>
      <c r="EL261" s="1228"/>
      <c r="EM261" s="1011"/>
      <c r="EN261" s="906"/>
      <c r="EO261" s="1219"/>
      <c r="EP261" s="1004"/>
      <c r="EQ261" s="883"/>
      <c r="ER261" s="883"/>
      <c r="ES261" s="883"/>
      <c r="ET261" s="1004"/>
      <c r="EU261" s="883"/>
      <c r="EV261" s="883"/>
      <c r="EW261" s="883"/>
      <c r="EX261" s="1007"/>
      <c r="EY261" s="907"/>
      <c r="EZ261" s="1220"/>
      <c r="FA261" s="1218"/>
      <c r="FB261" s="1218"/>
      <c r="FC261" s="1218"/>
      <c r="FD261" s="1220"/>
      <c r="FE261" s="1218"/>
      <c r="FF261" s="1218"/>
      <c r="FG261" s="1218"/>
      <c r="FH261" s="1228"/>
      <c r="FI261" s="1011"/>
      <c r="FJ261" s="1219"/>
    </row>
    <row r="262" spans="1:166" s="1019" customFormat="1" ht="15" hidden="1" customHeight="1">
      <c r="A262" s="876" t="s">
        <v>1057</v>
      </c>
      <c r="B262" s="877">
        <v>123</v>
      </c>
      <c r="C262" s="877"/>
      <c r="D262" s="877">
        <v>39</v>
      </c>
      <c r="E262" s="878" t="s">
        <v>2074</v>
      </c>
      <c r="F262" s="879" t="s">
        <v>2326</v>
      </c>
      <c r="G262" s="880">
        <v>2012</v>
      </c>
      <c r="H262" s="876">
        <v>22659471</v>
      </c>
      <c r="I262" s="876">
        <v>1</v>
      </c>
      <c r="J262" s="876"/>
      <c r="K262" s="876"/>
      <c r="L262" s="876">
        <v>1</v>
      </c>
      <c r="M262" s="876"/>
      <c r="N262" s="876">
        <v>1</v>
      </c>
      <c r="O262" s="882">
        <v>2</v>
      </c>
      <c r="P262" s="876" t="s">
        <v>1336</v>
      </c>
      <c r="Q262" s="876" t="s">
        <v>1224</v>
      </c>
      <c r="R262" s="876" t="s">
        <v>1127</v>
      </c>
      <c r="S262" s="876"/>
      <c r="T262" s="876" t="s">
        <v>1498</v>
      </c>
      <c r="U262" s="876" t="s">
        <v>803</v>
      </c>
      <c r="V262" s="876"/>
      <c r="W262" s="876" t="s">
        <v>1337</v>
      </c>
      <c r="X262" s="876" t="s">
        <v>1338</v>
      </c>
      <c r="Y262" s="876"/>
      <c r="Z262" s="876"/>
      <c r="AA262" s="876"/>
      <c r="AB262" s="876"/>
      <c r="AC262" s="883" t="s">
        <v>1227</v>
      </c>
      <c r="AD262" s="884">
        <v>1</v>
      </c>
      <c r="AE262" s="884">
        <v>1</v>
      </c>
      <c r="AF262" s="885">
        <v>1</v>
      </c>
      <c r="AG262" s="353" t="s">
        <v>7873</v>
      </c>
      <c r="AH262" s="887"/>
      <c r="AI262" s="883">
        <v>4</v>
      </c>
      <c r="AJ262" s="888"/>
      <c r="AK262" s="889" t="s">
        <v>6829</v>
      </c>
      <c r="AL262" s="890">
        <v>2</v>
      </c>
      <c r="AM262" s="891">
        <v>0</v>
      </c>
      <c r="AN262" s="883">
        <f>Table66[[#This Row],[Data_Subjects_n_ptsd]]+Table66[[#This Row],[Data_Subjects_n_control]]</f>
        <v>24</v>
      </c>
      <c r="AO262" s="883">
        <v>12</v>
      </c>
      <c r="AP262" s="883">
        <v>12</v>
      </c>
      <c r="AQ262" s="883" t="s">
        <v>803</v>
      </c>
      <c r="AR262" s="883" t="s">
        <v>803</v>
      </c>
      <c r="AS262" s="1603" t="s">
        <v>4544</v>
      </c>
      <c r="AT262" s="899" t="s">
        <v>24</v>
      </c>
      <c r="AU262" s="1603" t="s">
        <v>4544</v>
      </c>
      <c r="AV262" s="899" t="s">
        <v>24</v>
      </c>
      <c r="AW262" s="899" t="s">
        <v>6830</v>
      </c>
      <c r="AX262" s="883">
        <v>10</v>
      </c>
      <c r="AY262" s="883">
        <v>1</v>
      </c>
      <c r="AZ262" s="883" t="s">
        <v>1814</v>
      </c>
      <c r="BA262" s="883">
        <v>1</v>
      </c>
      <c r="BB262" s="883">
        <v>1</v>
      </c>
      <c r="BC262" s="883" t="s">
        <v>5662</v>
      </c>
      <c r="BD262" s="883" t="s">
        <v>7522</v>
      </c>
      <c r="BE262" s="883"/>
      <c r="BF262" s="883" t="s">
        <v>1130</v>
      </c>
      <c r="BG262" s="883" t="s">
        <v>6653</v>
      </c>
      <c r="BH262" s="892"/>
      <c r="BI262" s="892"/>
      <c r="BJ262" s="893">
        <v>1</v>
      </c>
      <c r="BK262" s="893"/>
      <c r="BL262" s="893"/>
      <c r="BM262" s="893"/>
      <c r="BN262" s="893"/>
      <c r="BO262" s="893"/>
      <c r="BP262" s="893">
        <v>1</v>
      </c>
      <c r="BQ262" s="893"/>
      <c r="BR262" s="893"/>
      <c r="BS262" s="893"/>
      <c r="BT262" s="893"/>
      <c r="BU262" s="893"/>
      <c r="BV262" s="893"/>
      <c r="BW262" s="894" t="s">
        <v>6866</v>
      </c>
      <c r="BX262" s="895" t="s">
        <v>7560</v>
      </c>
      <c r="BY262" s="896" t="s">
        <v>7613</v>
      </c>
      <c r="BZ262" s="897" t="s">
        <v>7609</v>
      </c>
      <c r="CA262" s="1001">
        <v>1</v>
      </c>
      <c r="CB262" s="1001" t="s">
        <v>7556</v>
      </c>
      <c r="CC262" s="1001" t="s">
        <v>7384</v>
      </c>
      <c r="CD262" s="899" t="s">
        <v>1876</v>
      </c>
      <c r="CE262" s="899" t="s">
        <v>6833</v>
      </c>
      <c r="CF262" s="899" t="s">
        <v>7881</v>
      </c>
      <c r="CG262" s="899" t="s">
        <v>6836</v>
      </c>
      <c r="CH262" s="960" t="s">
        <v>7310</v>
      </c>
      <c r="CI262" s="899" t="s">
        <v>6839</v>
      </c>
      <c r="CJ262" s="899"/>
      <c r="CK262" s="1002" t="s">
        <v>6840</v>
      </c>
      <c r="CL262" s="899" t="s">
        <v>6639</v>
      </c>
      <c r="CM262" s="900" t="s">
        <v>6874</v>
      </c>
      <c r="CN262" s="901" t="s">
        <v>6868</v>
      </c>
      <c r="CO262" s="902">
        <v>28</v>
      </c>
      <c r="CP262" s="902">
        <v>2</v>
      </c>
      <c r="CQ262" s="902">
        <v>9</v>
      </c>
      <c r="CR262" s="902">
        <v>1</v>
      </c>
      <c r="CS262" s="902">
        <v>1</v>
      </c>
      <c r="CT262" s="971"/>
      <c r="CU262" s="1289" t="s">
        <v>8104</v>
      </c>
      <c r="CV262" s="1296">
        <v>84</v>
      </c>
      <c r="CW262" s="1296">
        <v>76</v>
      </c>
      <c r="CX262" s="700" t="s">
        <v>6858</v>
      </c>
      <c r="CY262" s="506">
        <v>2.9248799999999999</v>
      </c>
      <c r="CZ262" s="506" t="s">
        <v>24</v>
      </c>
      <c r="DA262" s="506">
        <f>5.14801-Table66[[#This Row],[Data_Outcome1_M]]</f>
        <v>2.2231300000000003</v>
      </c>
      <c r="DB262" s="700" t="s">
        <v>6859</v>
      </c>
      <c r="DC262" s="186">
        <v>0.27675300000000003</v>
      </c>
      <c r="DD262" s="186" t="s">
        <v>24</v>
      </c>
      <c r="DE262" s="186">
        <f>3.32103-Table66[[#This Row],[Data_Outcome2_M]]</f>
        <v>3.0442770000000001</v>
      </c>
      <c r="DF262" s="701" t="s">
        <v>3229</v>
      </c>
      <c r="DG262" s="702" t="s">
        <v>6870</v>
      </c>
      <c r="DH262" s="1004"/>
      <c r="DI262" s="883"/>
      <c r="DJ262" s="1218"/>
      <c r="DK262" s="883"/>
      <c r="DL262" s="1220"/>
      <c r="DM262" s="883"/>
      <c r="DN262" s="1218"/>
      <c r="DO262" s="883"/>
      <c r="DP262" s="904"/>
      <c r="DQ262" s="1003"/>
      <c r="DR262" s="1223"/>
      <c r="DS262" s="1224" t="s">
        <v>24</v>
      </c>
      <c r="DT262" s="1220"/>
      <c r="DU262" s="1218"/>
      <c r="DV262" s="1218"/>
      <c r="DW262" s="1218"/>
      <c r="DX262" s="1220"/>
      <c r="DY262" s="1218"/>
      <c r="DZ262" s="1218"/>
      <c r="EA262" s="1218"/>
      <c r="EB262" s="1222"/>
      <c r="EC262" s="1221"/>
      <c r="ED262" s="1220"/>
      <c r="EE262" s="1218"/>
      <c r="EF262" s="1218"/>
      <c r="EG262" s="1218"/>
      <c r="EH262" s="1220"/>
      <c r="EI262" s="1218"/>
      <c r="EJ262" s="1218"/>
      <c r="EK262" s="1218"/>
      <c r="EL262" s="1228"/>
      <c r="EM262" s="1011"/>
      <c r="EN262" s="1223"/>
      <c r="EO262" s="1219"/>
      <c r="EP262" s="1220"/>
      <c r="EQ262" s="1218"/>
      <c r="ER262" s="1218"/>
      <c r="ES262" s="1218"/>
      <c r="ET262" s="1220"/>
      <c r="EU262" s="1218"/>
      <c r="EV262" s="1218"/>
      <c r="EW262" s="1218"/>
      <c r="EX262" s="1228"/>
      <c r="EY262" s="1011"/>
      <c r="EZ262" s="1220"/>
      <c r="FA262" s="1218"/>
      <c r="FB262" s="1218"/>
      <c r="FC262" s="1218"/>
      <c r="FD262" s="1220"/>
      <c r="FE262" s="1218"/>
      <c r="FF262" s="1218"/>
      <c r="FG262" s="1218"/>
      <c r="FH262" s="1228"/>
      <c r="FI262" s="1011"/>
      <c r="FJ262" s="1219"/>
    </row>
    <row r="263" spans="1:166" s="1019" customFormat="1" ht="15" hidden="1" customHeight="1">
      <c r="A263" s="876" t="s">
        <v>1057</v>
      </c>
      <c r="B263" s="877">
        <v>123</v>
      </c>
      <c r="C263" s="877"/>
      <c r="D263" s="877">
        <v>39</v>
      </c>
      <c r="E263" s="878" t="s">
        <v>2074</v>
      </c>
      <c r="F263" s="879" t="s">
        <v>2326</v>
      </c>
      <c r="G263" s="880">
        <v>2012</v>
      </c>
      <c r="H263" s="876">
        <v>22659471</v>
      </c>
      <c r="I263" s="876">
        <v>1</v>
      </c>
      <c r="J263" s="876"/>
      <c r="K263" s="876"/>
      <c r="L263" s="876">
        <v>1</v>
      </c>
      <c r="M263" s="876"/>
      <c r="N263" s="876">
        <v>1</v>
      </c>
      <c r="O263" s="882">
        <v>2</v>
      </c>
      <c r="P263" s="876" t="s">
        <v>1336</v>
      </c>
      <c r="Q263" s="876" t="s">
        <v>1224</v>
      </c>
      <c r="R263" s="876" t="s">
        <v>1127</v>
      </c>
      <c r="S263" s="876"/>
      <c r="T263" s="876" t="s">
        <v>1498</v>
      </c>
      <c r="U263" s="876" t="s">
        <v>803</v>
      </c>
      <c r="V263" s="876"/>
      <c r="W263" s="876" t="s">
        <v>1337</v>
      </c>
      <c r="X263" s="876" t="s">
        <v>1338</v>
      </c>
      <c r="Y263" s="876"/>
      <c r="Z263" s="876"/>
      <c r="AA263" s="876"/>
      <c r="AB263" s="876"/>
      <c r="AC263" s="883" t="s">
        <v>1227</v>
      </c>
      <c r="AD263" s="884">
        <v>1</v>
      </c>
      <c r="AE263" s="884">
        <v>1</v>
      </c>
      <c r="AF263" s="885">
        <v>1</v>
      </c>
      <c r="AG263" s="353" t="s">
        <v>7873</v>
      </c>
      <c r="AH263" s="887"/>
      <c r="AI263" s="883">
        <v>4</v>
      </c>
      <c r="AJ263" s="888"/>
      <c r="AK263" s="889" t="s">
        <v>6829</v>
      </c>
      <c r="AL263" s="890">
        <v>2</v>
      </c>
      <c r="AM263" s="891">
        <v>0</v>
      </c>
      <c r="AN263" s="883">
        <f>Table66[[#This Row],[Data_Subjects_n_ptsd]]+Table66[[#This Row],[Data_Subjects_n_control]]</f>
        <v>24</v>
      </c>
      <c r="AO263" s="883">
        <v>12</v>
      </c>
      <c r="AP263" s="883">
        <v>12</v>
      </c>
      <c r="AQ263" s="883" t="s">
        <v>803</v>
      </c>
      <c r="AR263" s="883" t="s">
        <v>803</v>
      </c>
      <c r="AS263" s="1000" t="s">
        <v>4544</v>
      </c>
      <c r="AT263" s="883" t="s">
        <v>24</v>
      </c>
      <c r="AU263" s="1000" t="s">
        <v>4544</v>
      </c>
      <c r="AV263" s="883" t="s">
        <v>24</v>
      </c>
      <c r="AW263" s="883" t="s">
        <v>6830</v>
      </c>
      <c r="AX263" s="883">
        <v>10</v>
      </c>
      <c r="AY263" s="883">
        <v>1</v>
      </c>
      <c r="AZ263" s="883" t="s">
        <v>1814</v>
      </c>
      <c r="BA263" s="883">
        <v>1</v>
      </c>
      <c r="BB263" s="883">
        <v>1</v>
      </c>
      <c r="BC263" s="883" t="s">
        <v>5662</v>
      </c>
      <c r="BD263" s="883" t="s">
        <v>7522</v>
      </c>
      <c r="BE263" s="883"/>
      <c r="BF263" s="883" t="s">
        <v>1130</v>
      </c>
      <c r="BG263" s="883" t="s">
        <v>6653</v>
      </c>
      <c r="BH263" s="892"/>
      <c r="BI263" s="892"/>
      <c r="BJ263" s="893">
        <v>1</v>
      </c>
      <c r="BK263" s="893"/>
      <c r="BL263" s="893"/>
      <c r="BM263" s="893"/>
      <c r="BN263" s="893"/>
      <c r="BO263" s="893"/>
      <c r="BP263" s="893">
        <v>1</v>
      </c>
      <c r="BQ263" s="893"/>
      <c r="BR263" s="893"/>
      <c r="BS263" s="893"/>
      <c r="BT263" s="893"/>
      <c r="BU263" s="893"/>
      <c r="BV263" s="893"/>
      <c r="BW263" s="894" t="s">
        <v>6866</v>
      </c>
      <c r="BX263" s="895" t="s">
        <v>7560</v>
      </c>
      <c r="BY263" s="896" t="s">
        <v>7613</v>
      </c>
      <c r="BZ263" s="897" t="s">
        <v>7609</v>
      </c>
      <c r="CA263" s="1001">
        <v>1</v>
      </c>
      <c r="CB263" s="1001" t="s">
        <v>7556</v>
      </c>
      <c r="CC263" s="1001" t="s">
        <v>7384</v>
      </c>
      <c r="CD263" s="899" t="s">
        <v>1876</v>
      </c>
      <c r="CE263" s="899" t="s">
        <v>6833</v>
      </c>
      <c r="CF263" s="899" t="s">
        <v>7882</v>
      </c>
      <c r="CG263" s="899" t="s">
        <v>6836</v>
      </c>
      <c r="CH263" s="960" t="s">
        <v>7310</v>
      </c>
      <c r="CI263" s="899" t="s">
        <v>6839</v>
      </c>
      <c r="CJ263" s="899"/>
      <c r="CK263" s="1002" t="s">
        <v>6840</v>
      </c>
      <c r="CL263" s="899" t="s">
        <v>6639</v>
      </c>
      <c r="CM263" s="900" t="s">
        <v>6874</v>
      </c>
      <c r="CN263" s="901" t="s">
        <v>6868</v>
      </c>
      <c r="CO263" s="902">
        <v>28</v>
      </c>
      <c r="CP263" s="902">
        <v>2</v>
      </c>
      <c r="CQ263" s="902">
        <v>10</v>
      </c>
      <c r="CR263" s="902">
        <v>1</v>
      </c>
      <c r="CS263" s="902">
        <v>1</v>
      </c>
      <c r="CT263" s="971"/>
      <c r="CU263" s="1289" t="s">
        <v>8104</v>
      </c>
      <c r="CV263" s="1296">
        <v>84</v>
      </c>
      <c r="CW263" s="1296">
        <v>76</v>
      </c>
      <c r="CX263" s="700" t="s">
        <v>6860</v>
      </c>
      <c r="CY263" s="506">
        <v>7.0356800000000002</v>
      </c>
      <c r="CZ263" s="506" t="s">
        <v>24</v>
      </c>
      <c r="DA263" s="506">
        <f>11.4801-Table66[[#This Row],[Data_Outcome1_M]]</f>
        <v>4.44442</v>
      </c>
      <c r="DB263" s="700" t="s">
        <v>6861</v>
      </c>
      <c r="DC263" s="186">
        <v>0.74028700000000003</v>
      </c>
      <c r="DD263" s="186" t="s">
        <v>24</v>
      </c>
      <c r="DE263" s="186">
        <f>3.33333-Table66[[#This Row],[Data_Outcome2_M]]</f>
        <v>2.5930430000000002</v>
      </c>
      <c r="DF263" s="701" t="s">
        <v>3229</v>
      </c>
      <c r="DG263" s="702" t="s">
        <v>6870</v>
      </c>
      <c r="DH263" s="1004"/>
      <c r="DI263" s="883"/>
      <c r="DJ263" s="1218"/>
      <c r="DK263" s="883"/>
      <c r="DL263" s="1220"/>
      <c r="DM263" s="883"/>
      <c r="DN263" s="1218"/>
      <c r="DO263" s="883"/>
      <c r="DP263" s="904"/>
      <c r="DQ263" s="1003"/>
      <c r="DR263" s="1223"/>
      <c r="DS263" s="1224" t="s">
        <v>24</v>
      </c>
      <c r="DT263" s="1220"/>
      <c r="DU263" s="1218"/>
      <c r="DV263" s="1218"/>
      <c r="DW263" s="1218"/>
      <c r="DX263" s="1220"/>
      <c r="DY263" s="1218"/>
      <c r="DZ263" s="1218"/>
      <c r="EA263" s="1218"/>
      <c r="EB263" s="1222"/>
      <c r="EC263" s="1221"/>
      <c r="ED263" s="1220"/>
      <c r="EE263" s="1218"/>
      <c r="EF263" s="1218"/>
      <c r="EG263" s="1218"/>
      <c r="EH263" s="1220"/>
      <c r="EI263" s="1218"/>
      <c r="EJ263" s="1218"/>
      <c r="EK263" s="1218"/>
      <c r="EL263" s="1228"/>
      <c r="EM263" s="1011"/>
      <c r="EN263" s="1223"/>
      <c r="EO263" s="1219"/>
      <c r="EP263" s="1220"/>
      <c r="EQ263" s="1218"/>
      <c r="ER263" s="1218"/>
      <c r="ES263" s="1218"/>
      <c r="ET263" s="1220"/>
      <c r="EU263" s="1218"/>
      <c r="EV263" s="1218"/>
      <c r="EW263" s="1218"/>
      <c r="EX263" s="1228"/>
      <c r="EY263" s="1011"/>
      <c r="EZ263" s="1220"/>
      <c r="FA263" s="1218"/>
      <c r="FB263" s="1218"/>
      <c r="FC263" s="1218"/>
      <c r="FD263" s="1220"/>
      <c r="FE263" s="1218"/>
      <c r="FF263" s="1218"/>
      <c r="FG263" s="1218"/>
      <c r="FH263" s="1228"/>
      <c r="FI263" s="1011"/>
      <c r="FJ263" s="1219"/>
    </row>
    <row r="264" spans="1:166" s="1019" customFormat="1" ht="15" hidden="1" customHeight="1">
      <c r="A264" s="1740" t="s">
        <v>1110</v>
      </c>
      <c r="B264" s="1741">
        <v>5</v>
      </c>
      <c r="C264" s="1741"/>
      <c r="D264" s="1741"/>
      <c r="E264" s="1742" t="s">
        <v>2053</v>
      </c>
      <c r="F264" s="1743" t="s">
        <v>2296</v>
      </c>
      <c r="G264" s="1744">
        <v>2014</v>
      </c>
      <c r="H264" s="1740">
        <v>24808840</v>
      </c>
      <c r="I264" s="1740">
        <v>1</v>
      </c>
      <c r="J264" s="1740">
        <v>1</v>
      </c>
      <c r="K264" s="1740"/>
      <c r="L264" s="1740">
        <v>1</v>
      </c>
      <c r="M264" s="1740"/>
      <c r="N264" s="1745">
        <v>1</v>
      </c>
      <c r="O264" s="1746">
        <v>2</v>
      </c>
      <c r="P264" s="1740" t="s">
        <v>1220</v>
      </c>
      <c r="Q264" s="1740" t="s">
        <v>1169</v>
      </c>
      <c r="R264" s="1740" t="s">
        <v>1127</v>
      </c>
      <c r="S264" s="1740"/>
      <c r="T264" s="1740" t="s">
        <v>1544</v>
      </c>
      <c r="U264" s="1740" t="s">
        <v>803</v>
      </c>
      <c r="V264" s="1740"/>
      <c r="W264" s="1740" t="s">
        <v>1140</v>
      </c>
      <c r="X264" s="1740" t="s">
        <v>24</v>
      </c>
      <c r="Y264" s="1740"/>
      <c r="Z264" s="1740"/>
      <c r="AA264" s="1740"/>
      <c r="AB264" s="1740" t="s">
        <v>1141</v>
      </c>
      <c r="AC264" s="1747"/>
      <c r="AD264" s="1748">
        <v>1</v>
      </c>
      <c r="AE264" s="1748">
        <v>2</v>
      </c>
      <c r="AF264" s="1786">
        <v>0</v>
      </c>
      <c r="AG264" s="1750" t="s">
        <v>8298</v>
      </c>
      <c r="AH264" s="1751" t="s">
        <v>7407</v>
      </c>
      <c r="AI264" s="1747">
        <v>4</v>
      </c>
      <c r="AJ264" s="1752"/>
      <c r="AK264" s="1753" t="s">
        <v>7420</v>
      </c>
      <c r="AL264" s="1754">
        <v>2</v>
      </c>
      <c r="AM264" s="1834">
        <v>0</v>
      </c>
      <c r="AN264" s="1756">
        <f>Table66[[#This Row],[Data_Subjects_n_ptsd]]+Table66[[#This Row],[Data_Subjects_n_control]]</f>
        <v>18</v>
      </c>
      <c r="AO264" s="1756">
        <v>9</v>
      </c>
      <c r="AP264" s="1756">
        <v>9</v>
      </c>
      <c r="AQ264" s="1756" t="s">
        <v>803</v>
      </c>
      <c r="AR264" s="1756" t="s">
        <v>803</v>
      </c>
      <c r="AS264" s="1756" t="s">
        <v>2494</v>
      </c>
      <c r="AT264" s="1756" t="s">
        <v>24</v>
      </c>
      <c r="AU264" s="1756" t="s">
        <v>2494</v>
      </c>
      <c r="AV264" s="1756" t="s">
        <v>24</v>
      </c>
      <c r="AW264" s="1756" t="s">
        <v>7398</v>
      </c>
      <c r="AX264" s="1756">
        <v>5</v>
      </c>
      <c r="AY264" s="1756">
        <v>0.8</v>
      </c>
      <c r="AZ264" s="1756" t="s">
        <v>1814</v>
      </c>
      <c r="BA264" s="1756">
        <v>1</v>
      </c>
      <c r="BB264" s="1756">
        <v>1</v>
      </c>
      <c r="BC264" s="1756" t="s">
        <v>7400</v>
      </c>
      <c r="BD264" s="1756" t="s">
        <v>7523</v>
      </c>
      <c r="BE264" s="1756"/>
      <c r="BF264" s="1756" t="s">
        <v>1130</v>
      </c>
      <c r="BG264" s="1756" t="s">
        <v>2554</v>
      </c>
      <c r="BH264" s="1757"/>
      <c r="BI264" s="1757"/>
      <c r="BJ264" s="1758">
        <v>1</v>
      </c>
      <c r="BK264" s="1758"/>
      <c r="BL264" s="1758"/>
      <c r="BM264" s="1758"/>
      <c r="BN264" s="1758"/>
      <c r="BO264" s="1758"/>
      <c r="BP264" s="1758"/>
      <c r="BQ264" s="1758"/>
      <c r="BR264" s="1758"/>
      <c r="BS264" s="1758"/>
      <c r="BT264" s="1758"/>
      <c r="BU264" s="1758"/>
      <c r="BV264" s="1758"/>
      <c r="BW264" s="1759" t="s">
        <v>7402</v>
      </c>
      <c r="BX264" s="1760" t="s">
        <v>6657</v>
      </c>
      <c r="BY264" s="1761" t="s">
        <v>7613</v>
      </c>
      <c r="BZ264" s="1762" t="s">
        <v>803</v>
      </c>
      <c r="CA264" s="1784">
        <v>1</v>
      </c>
      <c r="CB264" s="1784" t="s">
        <v>7556</v>
      </c>
      <c r="CC264" s="1784" t="s">
        <v>7384</v>
      </c>
      <c r="CD264" s="1756" t="s">
        <v>1876</v>
      </c>
      <c r="CE264" s="1756">
        <v>2</v>
      </c>
      <c r="CF264" s="1756" t="s">
        <v>7584</v>
      </c>
      <c r="CG264" s="1756" t="s">
        <v>7401</v>
      </c>
      <c r="CH264" s="1756" t="s">
        <v>7310</v>
      </c>
      <c r="CI264" s="1756" t="s">
        <v>2471</v>
      </c>
      <c r="CJ264" s="1756">
        <v>0</v>
      </c>
      <c r="CK264" s="1756" t="s">
        <v>2659</v>
      </c>
      <c r="CL264" s="150" t="s">
        <v>8296</v>
      </c>
      <c r="CM264" s="1764" t="s">
        <v>2598</v>
      </c>
      <c r="CN264" s="1765" t="s">
        <v>6627</v>
      </c>
      <c r="CO264" s="1766">
        <v>3</v>
      </c>
      <c r="CP264" s="1766">
        <v>1</v>
      </c>
      <c r="CQ264" s="1766">
        <v>1</v>
      </c>
      <c r="CR264" s="1766">
        <v>0</v>
      </c>
      <c r="CS264" s="1766">
        <v>1</v>
      </c>
      <c r="CT264" s="1767"/>
      <c r="CU264" s="1768" t="s">
        <v>8104</v>
      </c>
      <c r="CV264" s="1769">
        <v>56</v>
      </c>
      <c r="CW264" s="1769">
        <v>50</v>
      </c>
      <c r="CX264" s="1770" t="s">
        <v>2499</v>
      </c>
      <c r="CY264" s="1756">
        <v>47.677100000000003</v>
      </c>
      <c r="CZ264" s="1756" t="s">
        <v>24</v>
      </c>
      <c r="DA264" s="1756">
        <f>53.688-Table66[[#This Row],[Data_Outcome1_M]]</f>
        <v>6.0108999999999995</v>
      </c>
      <c r="DB264" s="1770" t="s">
        <v>2500</v>
      </c>
      <c r="DC264" s="1756">
        <v>3.9129200000000002</v>
      </c>
      <c r="DD264" s="1756" t="s">
        <v>24</v>
      </c>
      <c r="DE264" s="1756">
        <f>5.82549-Table66[[#This Row],[Data_Outcome2_M]]</f>
        <v>1.9125700000000001</v>
      </c>
      <c r="DF264" s="1785" t="s">
        <v>2561</v>
      </c>
      <c r="DG264" s="1836" t="s">
        <v>2588</v>
      </c>
      <c r="DH264" s="1773"/>
      <c r="DI264" s="1774"/>
      <c r="DJ264" s="1774"/>
      <c r="DK264" s="1774"/>
      <c r="DL264" s="1773"/>
      <c r="DM264" s="1774"/>
      <c r="DN264" s="1774"/>
      <c r="DO264" s="1774"/>
      <c r="DP264" s="1771"/>
      <c r="DQ264" s="1772"/>
      <c r="DR264" s="1775"/>
      <c r="DS264" s="1776"/>
      <c r="DT264" s="1773"/>
      <c r="DU264" s="1747"/>
      <c r="DV264" s="1774"/>
      <c r="DW264" s="1747"/>
      <c r="DX264" s="1773"/>
      <c r="DY264" s="1747"/>
      <c r="DZ264" s="1774"/>
      <c r="EA264" s="1747"/>
      <c r="EB264" s="1777"/>
      <c r="EC264" s="1778"/>
      <c r="ED264" s="1774"/>
      <c r="EE264" s="1774"/>
      <c r="EF264" s="1774"/>
      <c r="EG264" s="1774"/>
      <c r="EH264" s="1774"/>
      <c r="EI264" s="1774"/>
      <c r="EJ264" s="1774"/>
      <c r="EK264" s="1774"/>
      <c r="EL264" s="1777"/>
      <c r="EM264" s="1778"/>
      <c r="EN264" s="1775"/>
      <c r="EO264" s="1779"/>
      <c r="EP264" s="1774"/>
      <c r="EQ264" s="1774"/>
      <c r="ER264" s="1774"/>
      <c r="ES264" s="1774"/>
      <c r="ET264" s="1773"/>
      <c r="EU264" s="1774"/>
      <c r="EV264" s="1774"/>
      <c r="EW264" s="1774"/>
      <c r="EX264" s="1778"/>
      <c r="EY264" s="1778"/>
      <c r="EZ264" s="1773"/>
      <c r="FA264" s="1774"/>
      <c r="FB264" s="1774"/>
      <c r="FC264" s="1774"/>
      <c r="FD264" s="1773"/>
      <c r="FE264" s="1774"/>
      <c r="FF264" s="1774"/>
      <c r="FG264" s="1774"/>
      <c r="FH264" s="1778"/>
      <c r="FI264" s="1778"/>
      <c r="FJ264" s="1779"/>
    </row>
    <row r="265" spans="1:166" s="1019" customFormat="1" ht="15" hidden="1" customHeight="1">
      <c r="A265" s="118" t="s">
        <v>1092</v>
      </c>
      <c r="B265" s="616">
        <v>86</v>
      </c>
      <c r="C265" s="616"/>
      <c r="D265" s="616">
        <v>20</v>
      </c>
      <c r="E265" s="605" t="s">
        <v>1938</v>
      </c>
      <c r="F265" s="140" t="s">
        <v>2306</v>
      </c>
      <c r="G265" s="141">
        <v>2010</v>
      </c>
      <c r="H265" s="118">
        <v>20403087</v>
      </c>
      <c r="I265" s="118">
        <v>1</v>
      </c>
      <c r="J265" s="118" t="s">
        <v>1827</v>
      </c>
      <c r="K265" s="118"/>
      <c r="L265" s="118">
        <v>0</v>
      </c>
      <c r="M265" s="118"/>
      <c r="N265" s="118">
        <v>0</v>
      </c>
      <c r="O265" s="142">
        <v>2</v>
      </c>
      <c r="P265" s="118" t="s">
        <v>1247</v>
      </c>
      <c r="Q265" s="118" t="s">
        <v>1171</v>
      </c>
      <c r="R265" s="118" t="s">
        <v>1127</v>
      </c>
      <c r="S265" s="118"/>
      <c r="T265" s="118" t="s">
        <v>1495</v>
      </c>
      <c r="U265" s="118" t="s">
        <v>803</v>
      </c>
      <c r="V265" s="118" t="s">
        <v>23</v>
      </c>
      <c r="W265" s="118" t="s">
        <v>1826</v>
      </c>
      <c r="X265" s="118" t="s">
        <v>1245</v>
      </c>
      <c r="Y265" s="118" t="s">
        <v>1246</v>
      </c>
      <c r="Z265" s="118"/>
      <c r="AA265" s="118"/>
      <c r="AB265" s="118" t="s">
        <v>424</v>
      </c>
      <c r="AC265" s="145" t="s">
        <v>6187</v>
      </c>
      <c r="AD265" s="653">
        <v>1</v>
      </c>
      <c r="AE265" s="653">
        <v>1</v>
      </c>
      <c r="AF265" s="352">
        <v>1</v>
      </c>
      <c r="AG265" s="160" t="s">
        <v>6667</v>
      </c>
      <c r="AH265" s="704"/>
      <c r="AI265" s="122">
        <v>4</v>
      </c>
      <c r="AJ265" s="485"/>
      <c r="AK265" s="204" t="s">
        <v>6685</v>
      </c>
      <c r="AL265" s="192">
        <v>2</v>
      </c>
      <c r="AM265" s="227" t="s">
        <v>6668</v>
      </c>
      <c r="AN265" s="150">
        <f>Table66[[#This Row],[Data_Subjects_n_ptsd]]+Table66[[#This Row],[Data_Subjects_n_control]]</f>
        <v>20</v>
      </c>
      <c r="AO265" s="150">
        <v>10</v>
      </c>
      <c r="AP265" s="150">
        <v>10</v>
      </c>
      <c r="AQ265" s="150" t="s">
        <v>803</v>
      </c>
      <c r="AR265" s="150" t="s">
        <v>803</v>
      </c>
      <c r="AS265" s="150" t="s">
        <v>2687</v>
      </c>
      <c r="AT265" s="150" t="s">
        <v>24</v>
      </c>
      <c r="AU265" s="150" t="s">
        <v>2687</v>
      </c>
      <c r="AV265" s="150" t="s">
        <v>24</v>
      </c>
      <c r="AW265" s="150" t="s">
        <v>6670</v>
      </c>
      <c r="AX265" s="150"/>
      <c r="AY265" s="150"/>
      <c r="AZ265" s="753" t="s">
        <v>7317</v>
      </c>
      <c r="BA265" s="150">
        <v>1</v>
      </c>
      <c r="BB265" s="150">
        <v>1</v>
      </c>
      <c r="BC265" s="150" t="s">
        <v>6673</v>
      </c>
      <c r="BD265" s="753" t="s">
        <v>7523</v>
      </c>
      <c r="BE265" s="753"/>
      <c r="BF265" s="150" t="s">
        <v>1130</v>
      </c>
      <c r="BG265" s="150" t="s">
        <v>6653</v>
      </c>
      <c r="BH265" s="588"/>
      <c r="BI265" s="588"/>
      <c r="BJ265" s="161" t="s">
        <v>1917</v>
      </c>
      <c r="BK265" s="161"/>
      <c r="BL265" s="161"/>
      <c r="BM265" s="161"/>
      <c r="BN265" s="161"/>
      <c r="BO265" s="161"/>
      <c r="BP265" s="161">
        <v>1</v>
      </c>
      <c r="BQ265" s="161"/>
      <c r="BR265" s="161"/>
      <c r="BS265" s="161"/>
      <c r="BT265" s="161"/>
      <c r="BU265" s="161"/>
      <c r="BV265" s="161"/>
      <c r="BW265" s="596" t="s">
        <v>6688</v>
      </c>
      <c r="BX265" s="162" t="s">
        <v>6657</v>
      </c>
      <c r="BY265" s="797" t="s">
        <v>7613</v>
      </c>
      <c r="BZ265" s="790" t="s">
        <v>803</v>
      </c>
      <c r="CA265" s="660">
        <v>1</v>
      </c>
      <c r="CB265" s="660" t="s">
        <v>7556</v>
      </c>
      <c r="CC265" s="659" t="s">
        <v>7384</v>
      </c>
      <c r="CD265" s="150" t="s">
        <v>1876</v>
      </c>
      <c r="CE265" s="150" t="s">
        <v>6669</v>
      </c>
      <c r="CF265" s="400" t="s">
        <v>7581</v>
      </c>
      <c r="CG265" s="150" t="s">
        <v>6675</v>
      </c>
      <c r="CH265" s="753" t="s">
        <v>7310</v>
      </c>
      <c r="CI265" s="150" t="s">
        <v>1121</v>
      </c>
      <c r="CJ265" s="150"/>
      <c r="CK265" s="150" t="s">
        <v>6676</v>
      </c>
      <c r="CL265" s="150" t="s">
        <v>8296</v>
      </c>
      <c r="CM265" s="258" t="s">
        <v>6695</v>
      </c>
      <c r="CN265" s="257" t="s">
        <v>6627</v>
      </c>
      <c r="CO265" s="829">
        <v>9</v>
      </c>
      <c r="CP265" s="829">
        <v>1</v>
      </c>
      <c r="CQ265" s="829">
        <v>1</v>
      </c>
      <c r="CR265" s="829">
        <v>0</v>
      </c>
      <c r="CS265" s="829">
        <v>1</v>
      </c>
      <c r="CT265" s="968"/>
      <c r="CU265" s="1289" t="s">
        <v>8104</v>
      </c>
      <c r="CV265" s="1295">
        <v>61</v>
      </c>
      <c r="CW265" s="1295">
        <v>55</v>
      </c>
      <c r="CX265" s="151" t="s">
        <v>6680</v>
      </c>
      <c r="CY265" s="150">
        <v>43.2</v>
      </c>
      <c r="CZ265" s="150" t="s">
        <v>24</v>
      </c>
      <c r="DA265" s="150">
        <v>7.9</v>
      </c>
      <c r="DB265" s="151" t="s">
        <v>6681</v>
      </c>
      <c r="DC265" s="150">
        <v>16.8</v>
      </c>
      <c r="DD265" s="150" t="s">
        <v>24</v>
      </c>
      <c r="DE265" s="150">
        <v>3.1</v>
      </c>
      <c r="DF265" s="549" t="s">
        <v>6682</v>
      </c>
      <c r="DG265" s="551" t="s">
        <v>6683</v>
      </c>
      <c r="DH265" s="526" t="s">
        <v>24</v>
      </c>
      <c r="DI265" s="122"/>
      <c r="DJ265" s="1164"/>
      <c r="DK265" s="122"/>
      <c r="DL265" s="1166"/>
      <c r="DM265" s="122"/>
      <c r="DN265" s="1164"/>
      <c r="DO265" s="122"/>
      <c r="DP265" s="290"/>
      <c r="DQ265" s="291"/>
      <c r="DR265" s="1168"/>
      <c r="DS265" s="865"/>
      <c r="DT265" s="1166"/>
      <c r="DU265" s="122"/>
      <c r="DV265" s="1164"/>
      <c r="DW265" s="122"/>
      <c r="DX265" s="1164"/>
      <c r="DY265" s="122"/>
      <c r="DZ265" s="1164"/>
      <c r="EA265" s="122"/>
      <c r="EB265" s="311"/>
      <c r="EC265" s="313"/>
      <c r="ED265" s="1164"/>
      <c r="EE265" s="1164"/>
      <c r="EF265" s="1164"/>
      <c r="EG265" s="1164"/>
      <c r="EH265" s="1164"/>
      <c r="EI265" s="1164"/>
      <c r="EJ265" s="1164"/>
      <c r="EK265" s="1164"/>
      <c r="EL265" s="311"/>
      <c r="EM265" s="313"/>
      <c r="EN265" s="1167"/>
      <c r="EO265" s="1165"/>
      <c r="EP265" s="1164"/>
      <c r="EQ265" s="1164"/>
      <c r="ER265" s="1164"/>
      <c r="ES265" s="1164"/>
      <c r="ET265" s="1166"/>
      <c r="EU265" s="1164"/>
      <c r="EV265" s="1164"/>
      <c r="EW265" s="1164"/>
      <c r="EX265" s="313"/>
      <c r="EY265" s="313"/>
      <c r="EZ265" s="1166"/>
      <c r="FA265" s="1164"/>
      <c r="FB265" s="1164"/>
      <c r="FC265" s="1164"/>
      <c r="FD265" s="1166"/>
      <c r="FE265" s="1164"/>
      <c r="FF265" s="1164"/>
      <c r="FG265" s="1164"/>
      <c r="FH265" s="313"/>
      <c r="FI265" s="313"/>
      <c r="FJ265" s="1165"/>
    </row>
    <row r="266" spans="1:166" ht="15" hidden="1" customHeight="1">
      <c r="A266" s="118" t="s">
        <v>974</v>
      </c>
      <c r="B266" s="616">
        <v>216</v>
      </c>
      <c r="C266" s="616">
        <v>76</v>
      </c>
      <c r="D266" s="616"/>
      <c r="E266" s="605" t="s">
        <v>2116</v>
      </c>
      <c r="F266" s="140" t="s">
        <v>2375</v>
      </c>
      <c r="G266" s="141">
        <v>2007</v>
      </c>
      <c r="H266" s="118">
        <v>17027033</v>
      </c>
      <c r="I266" s="118">
        <v>1</v>
      </c>
      <c r="J266" s="118">
        <v>1</v>
      </c>
      <c r="K266" s="118"/>
      <c r="L266" s="118">
        <v>1</v>
      </c>
      <c r="M266" s="118"/>
      <c r="N266" s="118">
        <v>1</v>
      </c>
      <c r="O266" s="142">
        <v>2</v>
      </c>
      <c r="P266" s="118" t="s">
        <v>1569</v>
      </c>
      <c r="Q266" s="118" t="s">
        <v>1216</v>
      </c>
      <c r="R266" s="118" t="s">
        <v>1568</v>
      </c>
      <c r="S266" s="118"/>
      <c r="T266" s="118" t="s">
        <v>1541</v>
      </c>
      <c r="U266" s="118"/>
      <c r="V266" s="118"/>
      <c r="W266" s="118" t="s">
        <v>1570</v>
      </c>
      <c r="X266" s="118"/>
      <c r="Y266" s="118" t="s">
        <v>1132</v>
      </c>
      <c r="Z266" s="118"/>
      <c r="AA266" s="118"/>
      <c r="AB266" s="118"/>
      <c r="AC266" s="145"/>
      <c r="AD266" s="573">
        <v>1</v>
      </c>
      <c r="AE266" s="573">
        <v>2</v>
      </c>
      <c r="AF266" s="230">
        <v>1</v>
      </c>
      <c r="AG266" s="231" t="s">
        <v>8133</v>
      </c>
      <c r="AH266" s="704" t="s">
        <v>8134</v>
      </c>
      <c r="AI266" s="122">
        <v>5</v>
      </c>
      <c r="AJ266" s="485" t="s">
        <v>5602</v>
      </c>
      <c r="AK266" s="204" t="s">
        <v>5557</v>
      </c>
      <c r="AL266" s="192" t="s">
        <v>3099</v>
      </c>
      <c r="AM266" s="205">
        <v>0</v>
      </c>
      <c r="AN266" s="122">
        <f>Table66[[#This Row],[Data_Subjects_n_ptsd]]+Table66[[#This Row],[Data_Subjects_n_control]]</f>
        <v>21</v>
      </c>
      <c r="AO266" s="121">
        <v>7</v>
      </c>
      <c r="AP266" s="346">
        <v>14</v>
      </c>
      <c r="AQ266" s="122" t="s">
        <v>803</v>
      </c>
      <c r="AR266" s="122" t="s">
        <v>803</v>
      </c>
      <c r="AS266" s="122" t="s">
        <v>4544</v>
      </c>
      <c r="AT266" s="122" t="s">
        <v>24</v>
      </c>
      <c r="AU266" s="122" t="s">
        <v>4544</v>
      </c>
      <c r="AV266" s="122" t="s">
        <v>24</v>
      </c>
      <c r="AW266" s="122" t="s">
        <v>5549</v>
      </c>
      <c r="AX266" s="122">
        <v>1</v>
      </c>
      <c r="AY266" s="122">
        <v>1.5</v>
      </c>
      <c r="AZ266" s="754" t="s">
        <v>1814</v>
      </c>
      <c r="BA266" s="122">
        <v>1</v>
      </c>
      <c r="BB266" s="122" t="s">
        <v>5554</v>
      </c>
      <c r="BC266" s="122" t="s">
        <v>5546</v>
      </c>
      <c r="BD266" s="754" t="s">
        <v>7523</v>
      </c>
      <c r="BE266" s="754"/>
      <c r="BF266" s="122" t="s">
        <v>8131</v>
      </c>
      <c r="BG266" s="122" t="s">
        <v>4508</v>
      </c>
      <c r="BH266" s="588"/>
      <c r="BI266" s="588"/>
      <c r="BJ266" s="161">
        <v>1</v>
      </c>
      <c r="BK266" s="161" t="s">
        <v>5545</v>
      </c>
      <c r="BL266" s="161"/>
      <c r="BM266" s="161"/>
      <c r="BN266" s="161"/>
      <c r="BO266" s="161"/>
      <c r="BP266" s="161">
        <v>1</v>
      </c>
      <c r="BQ266" s="161"/>
      <c r="BR266" s="161"/>
      <c r="BS266" s="161"/>
      <c r="BT266" s="161"/>
      <c r="BU266" s="161"/>
      <c r="BV266" s="161"/>
      <c r="BW266" s="600" t="s">
        <v>7195</v>
      </c>
      <c r="BX266" s="185" t="s">
        <v>6657</v>
      </c>
      <c r="BY266" s="797" t="s">
        <v>7613</v>
      </c>
      <c r="BZ266" s="791" t="s">
        <v>803</v>
      </c>
      <c r="CA266" s="765">
        <v>1</v>
      </c>
      <c r="CB266" s="765" t="s">
        <v>7556</v>
      </c>
      <c r="CC266" s="765" t="s">
        <v>7384</v>
      </c>
      <c r="CD266" s="186" t="s">
        <v>23</v>
      </c>
      <c r="CE266" s="186" t="s">
        <v>5563</v>
      </c>
      <c r="CF266" s="400" t="s">
        <v>7581</v>
      </c>
      <c r="CG266" s="150" t="s">
        <v>5550</v>
      </c>
      <c r="CH266" s="753" t="s">
        <v>7310</v>
      </c>
      <c r="CI266" s="150" t="s">
        <v>5544</v>
      </c>
      <c r="CJ266" s="150"/>
      <c r="CK266" s="186" t="s">
        <v>5562</v>
      </c>
      <c r="CL266" s="150" t="s">
        <v>8296</v>
      </c>
      <c r="CM266" s="261" t="s">
        <v>5593</v>
      </c>
      <c r="CN266" s="620" t="s">
        <v>6627</v>
      </c>
      <c r="CO266" s="830">
        <v>68</v>
      </c>
      <c r="CP266" s="1357">
        <v>1</v>
      </c>
      <c r="CQ266" s="1357">
        <v>1</v>
      </c>
      <c r="CR266" s="1357">
        <v>1</v>
      </c>
      <c r="CS266" s="1357">
        <v>1</v>
      </c>
      <c r="CT266" s="1442" t="s">
        <v>8287</v>
      </c>
      <c r="CU266" s="1443" t="s">
        <v>8104</v>
      </c>
      <c r="CV266" s="1444">
        <v>153</v>
      </c>
      <c r="CW266" s="1444">
        <v>144</v>
      </c>
      <c r="CX266" s="1102" t="s">
        <v>5573</v>
      </c>
      <c r="CY266" s="186">
        <v>62.01</v>
      </c>
      <c r="CZ266" s="186">
        <v>10.59</v>
      </c>
      <c r="DA266" s="186" t="s">
        <v>24</v>
      </c>
      <c r="DB266" s="1102" t="s">
        <v>5580</v>
      </c>
      <c r="DC266" s="1103">
        <v>7.54</v>
      </c>
      <c r="DD266" s="1103">
        <v>11.1</v>
      </c>
      <c r="DE266" s="1103" t="s">
        <v>24</v>
      </c>
      <c r="DF266" s="294" t="s">
        <v>8036</v>
      </c>
      <c r="DG266" s="295" t="s">
        <v>24</v>
      </c>
      <c r="DH266" s="1179"/>
      <c r="DI266" s="417"/>
      <c r="DJ266" s="1169"/>
      <c r="DK266" s="417"/>
      <c r="DL266" s="1169"/>
      <c r="DM266" s="417"/>
      <c r="DN266" s="1169"/>
      <c r="DO266" s="1151"/>
      <c r="DP266" s="288"/>
      <c r="DQ266" s="441"/>
      <c r="DR266" s="1168"/>
      <c r="DS266" s="1168"/>
      <c r="DT266" s="1164"/>
      <c r="DU266" s="500"/>
      <c r="DV266" s="1164"/>
      <c r="DW266" s="500"/>
      <c r="DX266" s="1164"/>
      <c r="DY266" s="500"/>
      <c r="DZ266" s="1164"/>
      <c r="EA266" s="500"/>
      <c r="EB266" s="311"/>
      <c r="EC266" s="313"/>
      <c r="ED266" s="1164"/>
      <c r="EE266" s="122"/>
      <c r="EF266" s="1164"/>
      <c r="EG266" s="122"/>
      <c r="EH266" s="1164"/>
      <c r="EI266" s="122"/>
      <c r="EJ266" s="1164"/>
      <c r="EK266" s="122"/>
      <c r="EL266" s="311"/>
      <c r="EM266" s="313"/>
      <c r="EN266" s="1167"/>
      <c r="EO266" s="1165"/>
      <c r="EP266" s="122"/>
      <c r="EQ266" s="122"/>
      <c r="ER266" s="122"/>
      <c r="ES266" s="122"/>
      <c r="ET266" s="526"/>
      <c r="EU266" s="122"/>
      <c r="EV266" s="122"/>
      <c r="EW266" s="122"/>
      <c r="EX266" s="303"/>
      <c r="EY266" s="303"/>
      <c r="EZ266" s="526"/>
      <c r="FA266" s="122"/>
      <c r="FB266" s="122"/>
      <c r="FC266" s="122"/>
      <c r="FD266" s="526"/>
      <c r="FE266" s="122"/>
      <c r="FF266" s="122"/>
      <c r="FG266" s="122"/>
      <c r="FH266" s="303"/>
      <c r="FI266" s="303"/>
      <c r="FJ266" s="279"/>
    </row>
    <row r="267" spans="1:166" ht="15" hidden="1" customHeight="1">
      <c r="A267" s="153" t="s">
        <v>1055</v>
      </c>
      <c r="B267" s="618">
        <v>124</v>
      </c>
      <c r="C267" s="618">
        <v>32</v>
      </c>
      <c r="D267" s="618"/>
      <c r="E267" s="610" t="s">
        <v>2074</v>
      </c>
      <c r="F267" s="368" t="s">
        <v>2327</v>
      </c>
      <c r="G267" s="369">
        <v>2010</v>
      </c>
      <c r="H267" s="153">
        <v>20700523</v>
      </c>
      <c r="I267" s="153">
        <v>1</v>
      </c>
      <c r="J267" s="370"/>
      <c r="K267" s="371"/>
      <c r="L267" s="153">
        <v>1</v>
      </c>
      <c r="M267" s="153"/>
      <c r="N267" s="153">
        <v>1</v>
      </c>
      <c r="O267" s="153">
        <v>2</v>
      </c>
      <c r="P267" s="153" t="s">
        <v>1342</v>
      </c>
      <c r="Q267" s="153" t="s">
        <v>1224</v>
      </c>
      <c r="R267" s="153" t="s">
        <v>1127</v>
      </c>
      <c r="S267" s="153"/>
      <c r="T267" s="153" t="s">
        <v>1498</v>
      </c>
      <c r="U267" s="153" t="s">
        <v>803</v>
      </c>
      <c r="V267" s="153"/>
      <c r="W267" s="153" t="s">
        <v>1341</v>
      </c>
      <c r="X267" s="153"/>
      <c r="Y267" s="153"/>
      <c r="Z267" s="153"/>
      <c r="AA267" s="153"/>
      <c r="AB267" s="153"/>
      <c r="AC267" s="536"/>
      <c r="AD267" s="536">
        <v>1</v>
      </c>
      <c r="AE267" s="536">
        <v>2</v>
      </c>
      <c r="AF267" s="165">
        <v>0</v>
      </c>
      <c r="AG267" s="166" t="s">
        <v>8015</v>
      </c>
      <c r="AH267" s="509">
        <v>0</v>
      </c>
      <c r="AI267" s="120">
        <v>4</v>
      </c>
      <c r="AJ267" s="120"/>
      <c r="AK267" s="206" t="s">
        <v>4573</v>
      </c>
      <c r="AL267" s="372" t="s">
        <v>7448</v>
      </c>
      <c r="AM267" s="207" t="s">
        <v>4572</v>
      </c>
      <c r="AN267" s="120">
        <f>Table66[[#This Row],[Data_Subjects_n_ptsd]]+Table66[[#This Row],[Data_Subjects_n_control]]</f>
        <v>24</v>
      </c>
      <c r="AO267" s="120">
        <v>12</v>
      </c>
      <c r="AP267" s="120">
        <v>12</v>
      </c>
      <c r="AQ267" s="120" t="s">
        <v>803</v>
      </c>
      <c r="AR267" s="120" t="s">
        <v>803</v>
      </c>
      <c r="AS267" s="120" t="s">
        <v>4544</v>
      </c>
      <c r="AT267" s="120" t="s">
        <v>24</v>
      </c>
      <c r="AU267" s="120" t="s">
        <v>4544</v>
      </c>
      <c r="AV267" s="120" t="s">
        <v>24</v>
      </c>
      <c r="AW267" s="120" t="s">
        <v>4561</v>
      </c>
      <c r="AX267" s="120">
        <v>10</v>
      </c>
      <c r="AY267" s="120">
        <v>1</v>
      </c>
      <c r="AZ267" s="755" t="s">
        <v>1814</v>
      </c>
      <c r="BA267" s="120">
        <v>1</v>
      </c>
      <c r="BB267" s="120" t="s">
        <v>4545</v>
      </c>
      <c r="BC267" s="120" t="s">
        <v>4546</v>
      </c>
      <c r="BD267" s="755" t="s">
        <v>7522</v>
      </c>
      <c r="BE267" s="755"/>
      <c r="BF267" s="120" t="s">
        <v>1130</v>
      </c>
      <c r="BG267" s="120" t="s">
        <v>3279</v>
      </c>
      <c r="BH267" s="377"/>
      <c r="BI267" s="377"/>
      <c r="BJ267" s="373">
        <v>1</v>
      </c>
      <c r="BK267" s="373" t="s">
        <v>1917</v>
      </c>
      <c r="BL267" s="373"/>
      <c r="BM267" s="373"/>
      <c r="BN267" s="373"/>
      <c r="BO267" s="373"/>
      <c r="BP267" s="373"/>
      <c r="BQ267" s="373"/>
      <c r="BR267" s="373"/>
      <c r="BS267" s="373"/>
      <c r="BT267" s="373"/>
      <c r="BU267" s="373"/>
      <c r="BV267" s="373"/>
      <c r="BW267" s="599" t="s">
        <v>6701</v>
      </c>
      <c r="BX267" s="374" t="s">
        <v>6657</v>
      </c>
      <c r="BY267" s="799" t="s">
        <v>7613</v>
      </c>
      <c r="BZ267" s="374" t="s">
        <v>8014</v>
      </c>
      <c r="CA267" s="511">
        <v>1</v>
      </c>
      <c r="CB267" s="511" t="s">
        <v>7556</v>
      </c>
      <c r="CC267" s="511" t="s">
        <v>7384</v>
      </c>
      <c r="CD267" s="120" t="s">
        <v>1876</v>
      </c>
      <c r="CE267" s="120" t="s">
        <v>4547</v>
      </c>
      <c r="CF267" s="786" t="s">
        <v>7582</v>
      </c>
      <c r="CG267" s="120" t="s">
        <v>4562</v>
      </c>
      <c r="CH267" s="755" t="s">
        <v>7351</v>
      </c>
      <c r="CI267" s="120" t="s">
        <v>4549</v>
      </c>
      <c r="CJ267" s="120"/>
      <c r="CK267" s="120" t="s">
        <v>4548</v>
      </c>
      <c r="CL267" s="120" t="s">
        <v>6639</v>
      </c>
      <c r="CM267" s="375" t="s">
        <v>4560</v>
      </c>
      <c r="CN267" s="380" t="s">
        <v>24</v>
      </c>
      <c r="CO267" s="380"/>
      <c r="CP267" s="380"/>
      <c r="CQ267" s="380"/>
      <c r="CR267" s="380"/>
      <c r="CS267" s="380"/>
      <c r="CT267" s="380"/>
      <c r="CU267" s="380"/>
      <c r="CV267" s="380"/>
      <c r="CW267" s="380"/>
      <c r="CX267" s="376" t="s">
        <v>4554</v>
      </c>
      <c r="CY267" s="120">
        <v>2.9072200000000001</v>
      </c>
      <c r="CZ267" s="120" t="s">
        <v>24</v>
      </c>
      <c r="DA267" s="120">
        <f>3.29897-Table66[[#This Row],[Data_Outcome1_M]]</f>
        <v>0.39175000000000004</v>
      </c>
      <c r="DB267" s="376" t="s">
        <v>4555</v>
      </c>
      <c r="DC267" s="120">
        <v>5.1546399999999997</v>
      </c>
      <c r="DD267" s="120" t="s">
        <v>24</v>
      </c>
      <c r="DE267" s="120">
        <f>6.20619-Table66[[#This Row],[Data_Outcome2_M]]</f>
        <v>1.0515500000000007</v>
      </c>
      <c r="DF267" s="375" t="s">
        <v>4556</v>
      </c>
      <c r="DG267" s="377" t="s">
        <v>2480</v>
      </c>
      <c r="DH267" s="727"/>
      <c r="DI267" s="384"/>
      <c r="DJ267" s="384"/>
      <c r="DK267" s="384"/>
      <c r="DL267" s="727"/>
      <c r="DM267" s="384"/>
      <c r="DN267" s="384"/>
      <c r="DO267" s="384"/>
      <c r="DP267" s="375"/>
      <c r="DQ267" s="375"/>
      <c r="DR267" s="1182"/>
      <c r="DS267" s="956"/>
      <c r="DT267" s="727"/>
      <c r="DU267" s="384"/>
      <c r="DV267" s="384"/>
      <c r="DW267" s="384"/>
      <c r="DX267" s="727"/>
      <c r="DY267" s="384"/>
      <c r="DZ267" s="384"/>
      <c r="EA267" s="384"/>
      <c r="EB267" s="1012"/>
      <c r="EC267" s="384"/>
      <c r="ED267" s="384"/>
      <c r="EE267" s="384"/>
      <c r="EF267" s="384"/>
      <c r="EG267" s="384"/>
      <c r="EH267" s="384"/>
      <c r="EI267" s="384"/>
      <c r="EJ267" s="384"/>
      <c r="EK267" s="384"/>
      <c r="EL267" s="1012"/>
      <c r="EM267" s="384"/>
      <c r="EN267" s="1012"/>
      <c r="EO267" s="384"/>
      <c r="EP267" s="384"/>
      <c r="EQ267" s="384"/>
      <c r="ER267" s="384"/>
      <c r="ES267" s="384"/>
      <c r="ET267" s="727"/>
      <c r="EU267" s="384"/>
      <c r="EV267" s="384"/>
      <c r="EW267" s="384"/>
      <c r="EX267" s="384"/>
      <c r="EY267" s="384"/>
      <c r="EZ267" s="727"/>
      <c r="FA267" s="384"/>
      <c r="FB267" s="384"/>
      <c r="FC267" s="384"/>
      <c r="FD267" s="727"/>
      <c r="FE267" s="384"/>
      <c r="FF267" s="384"/>
      <c r="FG267" s="384"/>
      <c r="FH267" s="384"/>
      <c r="FI267" s="384"/>
      <c r="FJ267" s="384"/>
    </row>
    <row r="268" spans="1:166" ht="15" hidden="1" customHeight="1">
      <c r="A268" s="118" t="s">
        <v>1055</v>
      </c>
      <c r="B268" s="616">
        <v>124</v>
      </c>
      <c r="C268" s="616">
        <v>32</v>
      </c>
      <c r="D268" s="616"/>
      <c r="E268" s="605" t="s">
        <v>2074</v>
      </c>
      <c r="F268" s="140" t="s">
        <v>2327</v>
      </c>
      <c r="G268" s="141">
        <v>2010</v>
      </c>
      <c r="H268" s="118">
        <v>20700523</v>
      </c>
      <c r="I268" s="118">
        <v>1</v>
      </c>
      <c r="J268" s="118"/>
      <c r="K268" s="118"/>
      <c r="L268" s="118">
        <v>1</v>
      </c>
      <c r="M268" s="118"/>
      <c r="N268" s="118">
        <v>1</v>
      </c>
      <c r="O268" s="142">
        <v>2</v>
      </c>
      <c r="P268" s="79" t="s">
        <v>1342</v>
      </c>
      <c r="Q268" s="79" t="s">
        <v>1224</v>
      </c>
      <c r="R268" s="79" t="s">
        <v>1127</v>
      </c>
      <c r="S268" s="79"/>
      <c r="T268" s="79" t="s">
        <v>1498</v>
      </c>
      <c r="U268" s="79" t="s">
        <v>803</v>
      </c>
      <c r="V268" s="79"/>
      <c r="W268" s="79" t="s">
        <v>1341</v>
      </c>
      <c r="X268" s="79"/>
      <c r="Y268" s="79"/>
      <c r="Z268" s="79"/>
      <c r="AA268" s="79"/>
      <c r="AB268" s="79"/>
      <c r="AC268" s="145"/>
      <c r="AD268" s="653">
        <v>1</v>
      </c>
      <c r="AE268" s="653">
        <v>2</v>
      </c>
      <c r="AF268" s="909">
        <v>2</v>
      </c>
      <c r="AG268" s="910" t="s">
        <v>7635</v>
      </c>
      <c r="AH268" s="912" t="s">
        <v>7447</v>
      </c>
      <c r="AI268" s="912">
        <v>4</v>
      </c>
      <c r="AJ268" s="912"/>
      <c r="AK268" s="913" t="s">
        <v>4573</v>
      </c>
      <c r="AL268" s="588" t="s">
        <v>7448</v>
      </c>
      <c r="AM268" s="914" t="s">
        <v>4572</v>
      </c>
      <c r="AN268" s="912">
        <f>Table66[[#This Row],[Data_Subjects_n_ptsd]]+Table66[[#This Row],[Data_Subjects_n_control]]</f>
        <v>24</v>
      </c>
      <c r="AO268" s="912">
        <v>12</v>
      </c>
      <c r="AP268" s="912">
        <v>12</v>
      </c>
      <c r="AQ268" s="912" t="s">
        <v>803</v>
      </c>
      <c r="AR268" s="912" t="s">
        <v>803</v>
      </c>
      <c r="AS268" s="912" t="s">
        <v>4544</v>
      </c>
      <c r="AT268" s="912" t="s">
        <v>24</v>
      </c>
      <c r="AU268" s="912" t="s">
        <v>4544</v>
      </c>
      <c r="AV268" s="912" t="s">
        <v>24</v>
      </c>
      <c r="AW268" s="912" t="s">
        <v>4563</v>
      </c>
      <c r="AX268" s="912">
        <v>10</v>
      </c>
      <c r="AY268" s="912">
        <v>1</v>
      </c>
      <c r="AZ268" s="912" t="s">
        <v>1814</v>
      </c>
      <c r="BA268" s="912">
        <v>1</v>
      </c>
      <c r="BB268" s="912" t="s">
        <v>4564</v>
      </c>
      <c r="BC268" s="912" t="s">
        <v>4546</v>
      </c>
      <c r="BD268" s="915" t="s">
        <v>7522</v>
      </c>
      <c r="BE268" s="915"/>
      <c r="BF268" s="912" t="s">
        <v>1130</v>
      </c>
      <c r="BG268" s="912" t="s">
        <v>3279</v>
      </c>
      <c r="BH268" s="588"/>
      <c r="BI268" s="588"/>
      <c r="BJ268" s="588">
        <v>1</v>
      </c>
      <c r="BK268" s="161"/>
      <c r="BL268" s="161"/>
      <c r="BM268" s="161"/>
      <c r="BN268" s="161"/>
      <c r="BO268" s="161"/>
      <c r="BP268" s="161"/>
      <c r="BQ268" s="161"/>
      <c r="BR268" s="161"/>
      <c r="BS268" s="161"/>
      <c r="BT268" s="161"/>
      <c r="BU268" s="161"/>
      <c r="BV268" s="161"/>
      <c r="BW268" s="161" t="s">
        <v>7352</v>
      </c>
      <c r="BX268" s="916" t="s">
        <v>6595</v>
      </c>
      <c r="BY268" s="916"/>
      <c r="BZ268" s="916"/>
      <c r="CA268" s="161"/>
      <c r="CB268" s="161"/>
      <c r="CC268" s="161"/>
      <c r="CD268" s="912" t="s">
        <v>1876</v>
      </c>
      <c r="CE268" s="912" t="s">
        <v>4547</v>
      </c>
      <c r="CF268" s="912"/>
      <c r="CG268" s="912" t="s">
        <v>4565</v>
      </c>
      <c r="CH268" s="912" t="s">
        <v>7350</v>
      </c>
      <c r="CI268" s="912" t="s">
        <v>4549</v>
      </c>
      <c r="CJ268" s="912"/>
      <c r="CK268" s="912" t="s">
        <v>4566</v>
      </c>
      <c r="CL268" s="912" t="s">
        <v>2659</v>
      </c>
      <c r="CM268" s="948" t="s">
        <v>4571</v>
      </c>
      <c r="CN268" s="949" t="s">
        <v>6627</v>
      </c>
      <c r="CO268" s="949"/>
      <c r="CP268" s="949"/>
      <c r="CQ268" s="949"/>
      <c r="CR268" s="949"/>
      <c r="CS268" s="949"/>
      <c r="CT268" s="972"/>
      <c r="CU268" s="972"/>
      <c r="CV268" s="972"/>
      <c r="CW268" s="972"/>
      <c r="CX268" s="916" t="s">
        <v>4567</v>
      </c>
      <c r="CY268" s="912">
        <v>90.530299999999997</v>
      </c>
      <c r="CZ268" s="912" t="s">
        <v>24</v>
      </c>
      <c r="DA268" s="912">
        <f>98.8636-Table66[[#This Row],[Data_Outcome1_M]]</f>
        <v>8.3333000000000084</v>
      </c>
      <c r="DB268" s="916" t="s">
        <v>4568</v>
      </c>
      <c r="DC268" s="912">
        <v>40.909100000000002</v>
      </c>
      <c r="DD268" s="912" t="s">
        <v>24</v>
      </c>
      <c r="DE268" s="912">
        <f>46.2121-Table66[[#This Row],[Data_Outcome2_M]]</f>
        <v>5.3029999999999973</v>
      </c>
      <c r="DF268" s="922" t="s">
        <v>4569</v>
      </c>
      <c r="DG268" s="911" t="s">
        <v>4570</v>
      </c>
      <c r="DH268" s="1240" t="s">
        <v>24</v>
      </c>
      <c r="DI268" s="1240"/>
      <c r="DJ268" s="1240"/>
      <c r="DK268" s="1240"/>
      <c r="DL268" s="1240"/>
      <c r="DM268" s="1240"/>
      <c r="DN268" s="1240"/>
      <c r="DO268" s="1240"/>
      <c r="DP268" s="918"/>
      <c r="DQ268" s="588"/>
      <c r="DR268" s="1187"/>
      <c r="DS268" s="1186"/>
      <c r="DT268" s="1241"/>
      <c r="DU268" s="1240"/>
      <c r="DV268" s="1240"/>
      <c r="DW268" s="1240"/>
      <c r="DX268" s="1240"/>
      <c r="DY268" s="1240"/>
      <c r="DZ268" s="1240"/>
      <c r="EA268" s="1240"/>
      <c r="EB268" s="1242"/>
      <c r="EC268" s="1240"/>
      <c r="ED268" s="1240"/>
      <c r="EE268" s="1240"/>
      <c r="EF268" s="1240"/>
      <c r="EG268" s="1240"/>
      <c r="EH268" s="1240"/>
      <c r="EI268" s="1240"/>
      <c r="EJ268" s="1240"/>
      <c r="EK268" s="1240"/>
      <c r="EL268" s="1242"/>
      <c r="EM268" s="1240"/>
      <c r="EN268" s="1242"/>
      <c r="EO268" s="1240"/>
      <c r="EP268" s="912"/>
      <c r="EQ268" s="912"/>
      <c r="ER268" s="912"/>
      <c r="ES268" s="912"/>
      <c r="ET268" s="912"/>
      <c r="EU268" s="912"/>
      <c r="EV268" s="912"/>
      <c r="EW268" s="912"/>
      <c r="EX268" s="912"/>
      <c r="EY268" s="912"/>
      <c r="EZ268" s="1240"/>
      <c r="FA268" s="1240"/>
      <c r="FB268" s="1240"/>
      <c r="FC268" s="1240"/>
      <c r="FD268" s="1240"/>
      <c r="FE268" s="1240"/>
      <c r="FF268" s="1240"/>
      <c r="FG268" s="1240"/>
      <c r="FH268" s="1240"/>
      <c r="FI268" s="1240"/>
      <c r="FJ268" s="1240"/>
    </row>
    <row r="269" spans="1:166" ht="15" hidden="1" customHeight="1">
      <c r="A269" s="153" t="s">
        <v>170</v>
      </c>
      <c r="B269" s="618">
        <v>125</v>
      </c>
      <c r="C269" s="618"/>
      <c r="D269" s="618">
        <v>40</v>
      </c>
      <c r="E269" s="610" t="s">
        <v>1961</v>
      </c>
      <c r="F269" s="368" t="s">
        <v>2184</v>
      </c>
      <c r="G269" s="369">
        <v>2014</v>
      </c>
      <c r="H269" s="153">
        <v>24165904</v>
      </c>
      <c r="I269" s="153">
        <v>1</v>
      </c>
      <c r="J269" s="370"/>
      <c r="K269" s="371"/>
      <c r="L269" s="153">
        <v>1</v>
      </c>
      <c r="M269" s="153"/>
      <c r="N269" s="153">
        <v>1</v>
      </c>
      <c r="O269" s="153">
        <v>1</v>
      </c>
      <c r="P269" s="153" t="s">
        <v>497</v>
      </c>
      <c r="Q269" s="153" t="s">
        <v>1198</v>
      </c>
      <c r="R269" s="153" t="s">
        <v>498</v>
      </c>
      <c r="S269" s="153">
        <v>0</v>
      </c>
      <c r="T269" s="153"/>
      <c r="U269" s="153"/>
      <c r="V269" s="153"/>
      <c r="W269" s="153" t="s">
        <v>496</v>
      </c>
      <c r="X269" s="153" t="s">
        <v>499</v>
      </c>
      <c r="Y269" s="153"/>
      <c r="Z269" s="153"/>
      <c r="AA269" s="153"/>
      <c r="AB269" s="153"/>
      <c r="AC269" s="536" t="s">
        <v>6211</v>
      </c>
      <c r="AD269" s="536">
        <v>1</v>
      </c>
      <c r="AE269" s="536">
        <v>1</v>
      </c>
      <c r="AF269" s="165">
        <v>0</v>
      </c>
      <c r="AG269" s="166" t="s">
        <v>7246</v>
      </c>
      <c r="AH269" s="509">
        <v>0</v>
      </c>
      <c r="AI269" s="120"/>
      <c r="AJ269" s="120"/>
      <c r="AK269" s="206"/>
      <c r="AL269" s="372"/>
      <c r="AM269" s="207"/>
      <c r="AN269" s="120"/>
      <c r="AO269" s="120"/>
      <c r="AP269" s="120"/>
      <c r="AQ269" s="120"/>
      <c r="AR269" s="120"/>
      <c r="AS269" s="120"/>
      <c r="AT269" s="120"/>
      <c r="AU269" s="120"/>
      <c r="AV269" s="120"/>
      <c r="AW269" s="120"/>
      <c r="AX269" s="120"/>
      <c r="AY269" s="120"/>
      <c r="AZ269" s="755"/>
      <c r="BA269" s="120"/>
      <c r="BB269" s="120"/>
      <c r="BC269" s="120"/>
      <c r="BD269" s="755"/>
      <c r="BE269" s="755"/>
      <c r="BF269" s="120"/>
      <c r="BG269" s="120"/>
      <c r="BH269" s="377"/>
      <c r="BI269" s="377"/>
      <c r="BJ269" s="373"/>
      <c r="BK269" s="373"/>
      <c r="BL269" s="373" t="s">
        <v>6209</v>
      </c>
      <c r="BM269" s="373" t="s">
        <v>1917</v>
      </c>
      <c r="BN269" s="373"/>
      <c r="BO269" s="373" t="s">
        <v>4727</v>
      </c>
      <c r="BP269" s="373"/>
      <c r="BQ269" s="373"/>
      <c r="BR269" s="373" t="s">
        <v>5207</v>
      </c>
      <c r="BS269" s="373"/>
      <c r="BT269" s="373"/>
      <c r="BU269" s="373"/>
      <c r="BV269" s="373"/>
      <c r="BW269" s="599"/>
      <c r="BX269" s="374"/>
      <c r="BY269" s="374"/>
      <c r="BZ269" s="374"/>
      <c r="CA269" s="511"/>
      <c r="CB269" s="511"/>
      <c r="CC269" s="511"/>
      <c r="CD269" s="120"/>
      <c r="CE269" s="120"/>
      <c r="CF269" s="120"/>
      <c r="CG269" s="384"/>
      <c r="CH269" s="759"/>
      <c r="CI269" s="120"/>
      <c r="CJ269" s="120"/>
      <c r="CK269" s="120"/>
      <c r="CL269" s="120"/>
      <c r="CM269" s="375"/>
      <c r="CN269" s="380"/>
      <c r="CO269" s="380"/>
      <c r="CP269" s="380"/>
      <c r="CQ269" s="380"/>
      <c r="CR269" s="380"/>
      <c r="CS269" s="380"/>
      <c r="CT269" s="380"/>
      <c r="CU269" s="380"/>
      <c r="CV269" s="380"/>
      <c r="CW269" s="380"/>
      <c r="CX269" s="376"/>
      <c r="CY269" s="120"/>
      <c r="CZ269" s="120"/>
      <c r="DA269" s="120"/>
      <c r="DB269" s="376"/>
      <c r="DC269" s="120"/>
      <c r="DD269" s="120"/>
      <c r="DE269" s="120"/>
      <c r="DF269" s="515"/>
      <c r="DG269" s="513"/>
      <c r="DH269" s="727"/>
      <c r="DI269" s="384"/>
      <c r="DJ269" s="384"/>
      <c r="DK269" s="384"/>
      <c r="DL269" s="727"/>
      <c r="DM269" s="384"/>
      <c r="DN269" s="384"/>
      <c r="DO269" s="384"/>
      <c r="DP269" s="375"/>
      <c r="DQ269" s="377"/>
      <c r="DR269" s="1182"/>
      <c r="DS269" s="956"/>
      <c r="DT269" s="727"/>
      <c r="DU269" s="384"/>
      <c r="DV269" s="384"/>
      <c r="DW269" s="384"/>
      <c r="DX269" s="384"/>
      <c r="DY269" s="384"/>
      <c r="DZ269" s="384"/>
      <c r="EA269" s="384"/>
      <c r="EB269" s="1012"/>
      <c r="EC269" s="384"/>
      <c r="ED269" s="384"/>
      <c r="EE269" s="384"/>
      <c r="EF269" s="384"/>
      <c r="EG269" s="384"/>
      <c r="EH269" s="384"/>
      <c r="EI269" s="384"/>
      <c r="EJ269" s="384"/>
      <c r="EK269" s="384"/>
      <c r="EL269" s="1012"/>
      <c r="EM269" s="384"/>
      <c r="EN269" s="1012"/>
      <c r="EO269" s="384"/>
      <c r="EP269" s="384"/>
      <c r="EQ269" s="384"/>
      <c r="ER269" s="384"/>
      <c r="ES269" s="384"/>
      <c r="ET269" s="727"/>
      <c r="EU269" s="384"/>
      <c r="EV269" s="384"/>
      <c r="EW269" s="384"/>
      <c r="EX269" s="384"/>
      <c r="EY269" s="384"/>
      <c r="EZ269" s="727"/>
      <c r="FA269" s="384"/>
      <c r="FB269" s="384"/>
      <c r="FC269" s="384"/>
      <c r="FD269" s="727"/>
      <c r="FE269" s="384"/>
      <c r="FF269" s="384"/>
      <c r="FG269" s="384"/>
      <c r="FH269" s="384"/>
      <c r="FI269" s="384"/>
      <c r="FJ269" s="384"/>
    </row>
    <row r="270" spans="1:166" ht="15" hidden="1" customHeight="1">
      <c r="A270" s="79" t="s">
        <v>171</v>
      </c>
      <c r="B270" s="362">
        <v>126</v>
      </c>
      <c r="C270" s="362"/>
      <c r="D270" s="362">
        <v>41</v>
      </c>
      <c r="E270" s="604" t="s">
        <v>1962</v>
      </c>
      <c r="F270" s="124" t="s">
        <v>2185</v>
      </c>
      <c r="G270" s="125">
        <v>2008</v>
      </c>
      <c r="H270" s="79">
        <v>18068725</v>
      </c>
      <c r="I270" s="79">
        <v>1</v>
      </c>
      <c r="J270" s="126"/>
      <c r="K270" s="127"/>
      <c r="L270" s="79">
        <v>1</v>
      </c>
      <c r="M270" s="79"/>
      <c r="N270" s="79">
        <v>1</v>
      </c>
      <c r="O270" s="128">
        <v>1</v>
      </c>
      <c r="P270" s="79" t="s">
        <v>397</v>
      </c>
      <c r="Q270" s="79"/>
      <c r="R270" s="79" t="s">
        <v>500</v>
      </c>
      <c r="S270" s="79">
        <v>1</v>
      </c>
      <c r="T270" s="79"/>
      <c r="U270" s="79"/>
      <c r="V270" s="79"/>
      <c r="W270" s="79" t="s">
        <v>501</v>
      </c>
      <c r="X270" s="79"/>
      <c r="Y270" s="79"/>
      <c r="Z270" s="79"/>
      <c r="AA270" s="79"/>
      <c r="AB270" s="79"/>
      <c r="AC270" s="506" t="s">
        <v>6212</v>
      </c>
      <c r="AD270" s="573">
        <v>1</v>
      </c>
      <c r="AE270" s="573">
        <v>0</v>
      </c>
      <c r="AF270" s="924">
        <v>2</v>
      </c>
      <c r="AG270" s="925"/>
      <c r="AH270" s="911"/>
      <c r="AI270" s="923">
        <v>2</v>
      </c>
      <c r="AJ270" s="923"/>
      <c r="AK270" s="926"/>
      <c r="AL270" s="588"/>
      <c r="AM270" s="927"/>
      <c r="AN270" s="923"/>
      <c r="AO270" s="923"/>
      <c r="AP270" s="923"/>
      <c r="AQ270" s="923"/>
      <c r="AR270" s="923"/>
      <c r="AS270" s="923"/>
      <c r="AT270" s="923"/>
      <c r="AU270" s="923"/>
      <c r="AV270" s="923"/>
      <c r="AW270" s="923"/>
      <c r="AX270" s="923"/>
      <c r="AY270" s="923"/>
      <c r="AZ270" s="915"/>
      <c r="BA270" s="923"/>
      <c r="BB270" s="923"/>
      <c r="BC270" s="923"/>
      <c r="BD270" s="915"/>
      <c r="BE270" s="915"/>
      <c r="BF270" s="923"/>
      <c r="BG270" s="923"/>
      <c r="BH270" s="594"/>
      <c r="BI270" s="594"/>
      <c r="BJ270" s="156"/>
      <c r="BK270" s="156"/>
      <c r="BL270" s="156"/>
      <c r="BM270" s="156"/>
      <c r="BN270" s="156"/>
      <c r="BO270" s="156"/>
      <c r="BP270" s="156"/>
      <c r="BQ270" s="156"/>
      <c r="BR270" s="156"/>
      <c r="BS270" s="156" t="s">
        <v>6205</v>
      </c>
      <c r="BT270" s="156"/>
      <c r="BU270" s="156"/>
      <c r="BV270" s="156" t="s">
        <v>5545</v>
      </c>
      <c r="BW270" s="928"/>
      <c r="BX270" s="929"/>
      <c r="BY270" s="929"/>
      <c r="BZ270" s="929"/>
      <c r="CA270" s="184"/>
      <c r="CB270" s="184"/>
      <c r="CC270" s="184"/>
      <c r="CD270" s="923"/>
      <c r="CE270" s="923"/>
      <c r="CF270" s="923"/>
      <c r="CG270" s="923"/>
      <c r="CH270" s="915"/>
      <c r="CI270" s="923"/>
      <c r="CJ270" s="923"/>
      <c r="CK270" s="923"/>
      <c r="CL270" s="923"/>
      <c r="CM270" s="930"/>
      <c r="CN270" s="931"/>
      <c r="CO270" s="931"/>
      <c r="CP270" s="931"/>
      <c r="CQ270" s="931"/>
      <c r="CR270" s="931"/>
      <c r="CS270" s="931"/>
      <c r="CT270" s="967"/>
      <c r="CU270" s="967"/>
      <c r="CV270" s="967"/>
      <c r="CW270" s="967"/>
      <c r="CX270" s="932"/>
      <c r="CY270" s="923"/>
      <c r="CZ270" s="923"/>
      <c r="DA270" s="923"/>
      <c r="DB270" s="932"/>
      <c r="DC270" s="923"/>
      <c r="DD270" s="923"/>
      <c r="DE270" s="923"/>
      <c r="DF270" s="920"/>
      <c r="DG270" s="598"/>
      <c r="DH270" s="932"/>
      <c r="DI270" s="923"/>
      <c r="DJ270" s="951"/>
      <c r="DK270" s="923"/>
      <c r="DL270" s="950"/>
      <c r="DM270" s="923"/>
      <c r="DN270" s="951"/>
      <c r="DO270" s="923"/>
      <c r="DP270" s="930"/>
      <c r="DQ270" s="594"/>
      <c r="DR270" s="1187"/>
      <c r="DS270" s="1186"/>
      <c r="DT270" s="950"/>
      <c r="DU270" s="951"/>
      <c r="DV270" s="951"/>
      <c r="DW270" s="951"/>
      <c r="DX270" s="951"/>
      <c r="DY270" s="951"/>
      <c r="DZ270" s="951"/>
      <c r="EA270" s="951"/>
      <c r="EB270" s="1185"/>
      <c r="EC270" s="951"/>
      <c r="ED270" s="951"/>
      <c r="EE270" s="934"/>
      <c r="EF270" s="951"/>
      <c r="EG270" s="951"/>
      <c r="EH270" s="951"/>
      <c r="EI270" s="951"/>
      <c r="EJ270" s="951"/>
      <c r="EK270" s="951"/>
      <c r="EL270" s="1185"/>
      <c r="EM270" s="951"/>
      <c r="EN270" s="1185"/>
      <c r="EO270" s="951"/>
      <c r="EP270" s="1111"/>
      <c r="EQ270" s="934"/>
      <c r="ER270" s="951"/>
      <c r="ES270" s="951"/>
      <c r="ET270" s="1110"/>
      <c r="EU270" s="951"/>
      <c r="EV270" s="951"/>
      <c r="EW270" s="951"/>
      <c r="EX270" s="951"/>
      <c r="EY270" s="951"/>
      <c r="EZ270" s="1110"/>
      <c r="FA270" s="934"/>
      <c r="FB270" s="951"/>
      <c r="FC270" s="951"/>
      <c r="FD270" s="1110"/>
      <c r="FE270" s="951"/>
      <c r="FF270" s="951"/>
      <c r="FG270" s="934"/>
      <c r="FH270" s="951"/>
      <c r="FI270" s="951"/>
      <c r="FJ270" s="951"/>
    </row>
    <row r="271" spans="1:166" ht="15" hidden="1" customHeight="1">
      <c r="A271" s="153" t="s">
        <v>1053</v>
      </c>
      <c r="B271" s="618">
        <v>127</v>
      </c>
      <c r="C271" s="618">
        <v>33</v>
      </c>
      <c r="D271" s="618"/>
      <c r="E271" s="610" t="s">
        <v>2075</v>
      </c>
      <c r="F271" s="368" t="s">
        <v>2328</v>
      </c>
      <c r="G271" s="369">
        <v>2016</v>
      </c>
      <c r="H271" s="153">
        <v>26655446</v>
      </c>
      <c r="I271" s="153">
        <v>1</v>
      </c>
      <c r="J271" s="370" t="s">
        <v>1843</v>
      </c>
      <c r="K271" s="371"/>
      <c r="L271" s="153">
        <v>0</v>
      </c>
      <c r="M271" s="153"/>
      <c r="N271" s="153">
        <v>0</v>
      </c>
      <c r="O271" s="153">
        <v>2</v>
      </c>
      <c r="P271" s="153" t="s">
        <v>1346</v>
      </c>
      <c r="Q271" s="153"/>
      <c r="R271" s="153" t="s">
        <v>1138</v>
      </c>
      <c r="S271" s="153"/>
      <c r="T271" s="153" t="s">
        <v>1493</v>
      </c>
      <c r="U271" s="153" t="s">
        <v>23</v>
      </c>
      <c r="V271" s="153" t="s">
        <v>23</v>
      </c>
      <c r="W271" s="153"/>
      <c r="X271" s="153" t="s">
        <v>1345</v>
      </c>
      <c r="Y271" s="153"/>
      <c r="Z271" s="153"/>
      <c r="AA271" s="153"/>
      <c r="AB271" s="153" t="s">
        <v>1344</v>
      </c>
      <c r="AC271" s="536"/>
      <c r="AD271" s="536">
        <v>1</v>
      </c>
      <c r="AE271" s="536">
        <v>2</v>
      </c>
      <c r="AF271" s="165">
        <v>0</v>
      </c>
      <c r="AG271" s="166" t="s">
        <v>7297</v>
      </c>
      <c r="AH271" s="509" t="s">
        <v>7264</v>
      </c>
      <c r="AI271" s="120">
        <v>5</v>
      </c>
      <c r="AJ271" s="120"/>
      <c r="AK271" s="206" t="s">
        <v>4576</v>
      </c>
      <c r="AL271" s="372"/>
      <c r="AM271" s="207"/>
      <c r="AN271" s="120"/>
      <c r="AO271" s="120"/>
      <c r="AP271" s="120"/>
      <c r="AQ271" s="120"/>
      <c r="AR271" s="120"/>
      <c r="AS271" s="120"/>
      <c r="AT271" s="120"/>
      <c r="AU271" s="120"/>
      <c r="AV271" s="120"/>
      <c r="AW271" s="120" t="s">
        <v>4579</v>
      </c>
      <c r="AX271" s="120"/>
      <c r="AY271" s="120"/>
      <c r="AZ271" s="755" t="s">
        <v>7319</v>
      </c>
      <c r="BA271" s="120" t="s">
        <v>4574</v>
      </c>
      <c r="BB271" s="120" t="s">
        <v>4575</v>
      </c>
      <c r="BC271" s="120" t="s">
        <v>4577</v>
      </c>
      <c r="BD271" s="755"/>
      <c r="BE271" s="755"/>
      <c r="BF271" s="120" t="s">
        <v>789</v>
      </c>
      <c r="BG271" s="120" t="s">
        <v>4578</v>
      </c>
      <c r="BH271" s="377"/>
      <c r="BI271" s="377"/>
      <c r="BJ271" s="373"/>
      <c r="BK271" s="373"/>
      <c r="BL271" s="373"/>
      <c r="BM271" s="373"/>
      <c r="BN271" s="373"/>
      <c r="BO271" s="373"/>
      <c r="BP271" s="373">
        <v>1</v>
      </c>
      <c r="BQ271" s="373"/>
      <c r="BR271" s="373"/>
      <c r="BS271" s="373"/>
      <c r="BT271" s="373"/>
      <c r="BU271" s="373"/>
      <c r="BV271" s="373"/>
      <c r="BW271" s="599"/>
      <c r="BX271" s="374"/>
      <c r="BY271" s="374"/>
      <c r="BZ271" s="374"/>
      <c r="CA271" s="511"/>
      <c r="CB271" s="511"/>
      <c r="CC271" s="511"/>
      <c r="CD271" s="120"/>
      <c r="CE271" s="120"/>
      <c r="CF271" s="120"/>
      <c r="CG271" s="120"/>
      <c r="CH271" s="755"/>
      <c r="CI271" s="120"/>
      <c r="CJ271" s="120"/>
      <c r="CK271" s="120"/>
      <c r="CL271" s="120"/>
      <c r="CM271" s="375" t="s">
        <v>24</v>
      </c>
      <c r="CN271" s="380"/>
      <c r="CO271" s="380"/>
      <c r="CP271" s="380"/>
      <c r="CQ271" s="380"/>
      <c r="CR271" s="380"/>
      <c r="CS271" s="380"/>
      <c r="CT271" s="380"/>
      <c r="CU271" s="380"/>
      <c r="CV271" s="380"/>
      <c r="CW271" s="380"/>
      <c r="CX271" s="376"/>
      <c r="CY271" s="120"/>
      <c r="CZ271" s="120"/>
      <c r="DA271" s="120"/>
      <c r="DB271" s="376"/>
      <c r="DC271" s="120"/>
      <c r="DD271" s="120"/>
      <c r="DE271" s="120"/>
      <c r="DF271" s="621"/>
      <c r="DG271" s="509"/>
      <c r="DH271" s="727"/>
      <c r="DI271" s="120"/>
      <c r="DJ271" s="384"/>
      <c r="DK271" s="120"/>
      <c r="DL271" s="727"/>
      <c r="DM271" s="384"/>
      <c r="DN271" s="384"/>
      <c r="DO271" s="384"/>
      <c r="DP271" s="375"/>
      <c r="DQ271" s="377"/>
      <c r="DR271" s="1182"/>
      <c r="DS271" s="956"/>
      <c r="DT271" s="376"/>
      <c r="DU271" s="120"/>
      <c r="DV271" s="120"/>
      <c r="DW271" s="120"/>
      <c r="DX271" s="120"/>
      <c r="DY271" s="384"/>
      <c r="DZ271" s="384"/>
      <c r="EA271" s="384"/>
      <c r="EB271" s="380"/>
      <c r="EC271" s="120"/>
      <c r="ED271" s="120"/>
      <c r="EE271" s="120"/>
      <c r="EF271" s="120"/>
      <c r="EG271" s="120"/>
      <c r="EH271" s="120"/>
      <c r="EI271" s="384"/>
      <c r="EJ271" s="384"/>
      <c r="EK271" s="384"/>
      <c r="EL271" s="1012"/>
      <c r="EM271" s="384"/>
      <c r="EN271" s="1012"/>
      <c r="EO271" s="384"/>
      <c r="EP271" s="120"/>
      <c r="EQ271" s="120"/>
      <c r="ER271" s="120"/>
      <c r="ES271" s="120"/>
      <c r="ET271" s="376"/>
      <c r="EU271" s="384"/>
      <c r="EV271" s="384"/>
      <c r="EW271" s="384"/>
      <c r="EX271" s="384"/>
      <c r="EY271" s="384"/>
      <c r="EZ271" s="376"/>
      <c r="FA271" s="120"/>
      <c r="FB271" s="120"/>
      <c r="FC271" s="120"/>
      <c r="FD271" s="376"/>
      <c r="FE271" s="384"/>
      <c r="FF271" s="384"/>
      <c r="FG271" s="384"/>
      <c r="FH271" s="384"/>
      <c r="FI271" s="384"/>
      <c r="FJ271" s="384"/>
    </row>
    <row r="272" spans="1:166" s="1719" customFormat="1" ht="15" customHeight="1">
      <c r="A272" s="79" t="s">
        <v>225</v>
      </c>
      <c r="B272" s="614">
        <v>28</v>
      </c>
      <c r="C272" s="614"/>
      <c r="D272" s="614"/>
      <c r="E272" s="604" t="s">
        <v>1987</v>
      </c>
      <c r="F272" s="124" t="s">
        <v>2213</v>
      </c>
      <c r="G272" s="125">
        <v>2008</v>
      </c>
      <c r="H272" s="79">
        <v>18313695</v>
      </c>
      <c r="I272" s="79">
        <v>1</v>
      </c>
      <c r="J272" s="126"/>
      <c r="K272" s="127"/>
      <c r="L272" s="79">
        <v>1</v>
      </c>
      <c r="M272" s="79"/>
      <c r="N272" s="79">
        <v>1</v>
      </c>
      <c r="O272" s="128">
        <v>1</v>
      </c>
      <c r="P272" s="79" t="s">
        <v>627</v>
      </c>
      <c r="Q272" s="79" t="s">
        <v>1142</v>
      </c>
      <c r="R272" s="79" t="s">
        <v>628</v>
      </c>
      <c r="S272" s="79">
        <v>1</v>
      </c>
      <c r="T272" s="79"/>
      <c r="U272" s="79"/>
      <c r="V272" s="79"/>
      <c r="W272" s="79" t="s">
        <v>629</v>
      </c>
      <c r="X272" s="79" t="s">
        <v>24</v>
      </c>
      <c r="Y272" s="79" t="s">
        <v>630</v>
      </c>
      <c r="Z272" s="79"/>
      <c r="AA272" s="79"/>
      <c r="AB272" s="79" t="s">
        <v>631</v>
      </c>
      <c r="AC272" s="506"/>
      <c r="AD272" s="573">
        <v>1</v>
      </c>
      <c r="AE272" s="573">
        <v>2</v>
      </c>
      <c r="AF272" s="154">
        <v>1</v>
      </c>
      <c r="AG272" s="160" t="s">
        <v>7949</v>
      </c>
      <c r="AH272" s="704"/>
      <c r="AI272" s="121">
        <v>0</v>
      </c>
      <c r="AJ272" s="484"/>
      <c r="AK272" s="1739"/>
      <c r="AL272" s="192">
        <v>1</v>
      </c>
      <c r="AM272" s="203">
        <v>0</v>
      </c>
      <c r="AN272" s="122">
        <f>Table66[[#This Row],[Data_Subjects_n_ptsd]]+Table66[[#This Row],[Data_Subjects_n_control]]</f>
        <v>21</v>
      </c>
      <c r="AO272" s="122">
        <f>7</f>
        <v>7</v>
      </c>
      <c r="AP272" s="122">
        <v>14</v>
      </c>
      <c r="AQ272" s="122" t="s">
        <v>803</v>
      </c>
      <c r="AR272" s="150" t="s">
        <v>803</v>
      </c>
      <c r="AS272" s="150">
        <v>58.1</v>
      </c>
      <c r="AT272" s="150">
        <v>2.8</v>
      </c>
      <c r="AU272" s="150">
        <v>59.1</v>
      </c>
      <c r="AV272" s="150">
        <v>2.5</v>
      </c>
      <c r="AW272" s="150" t="s">
        <v>1874</v>
      </c>
      <c r="AX272" s="122"/>
      <c r="AY272" s="122"/>
      <c r="AZ272" s="754" t="s">
        <v>1874</v>
      </c>
      <c r="BA272" s="122" t="s">
        <v>24</v>
      </c>
      <c r="BB272" s="122" t="s">
        <v>24</v>
      </c>
      <c r="BC272" s="122" t="s">
        <v>7951</v>
      </c>
      <c r="BD272" s="754" t="s">
        <v>7522</v>
      </c>
      <c r="BE272" s="187">
        <v>1</v>
      </c>
      <c r="BF272" s="121" t="s">
        <v>2875</v>
      </c>
      <c r="BG272" s="121" t="s">
        <v>1875</v>
      </c>
      <c r="BH272" s="594"/>
      <c r="BI272" s="594"/>
      <c r="BJ272" s="156">
        <v>1</v>
      </c>
      <c r="BK272" s="156"/>
      <c r="BL272" s="156"/>
      <c r="BM272" s="156"/>
      <c r="BN272" s="156"/>
      <c r="BO272" s="156"/>
      <c r="BP272" s="156"/>
      <c r="BQ272" s="156"/>
      <c r="BR272" s="156"/>
      <c r="BS272" s="156"/>
      <c r="BT272" s="156"/>
      <c r="BU272" s="156"/>
      <c r="BV272" s="156"/>
      <c r="BW272" s="595" t="s">
        <v>1891</v>
      </c>
      <c r="BX272" s="157" t="s">
        <v>6596</v>
      </c>
      <c r="BY272" s="797" t="s">
        <v>7615</v>
      </c>
      <c r="BZ272" s="789" t="s">
        <v>7610</v>
      </c>
      <c r="CA272" s="660">
        <v>4</v>
      </c>
      <c r="CB272" s="660" t="s">
        <v>7556</v>
      </c>
      <c r="CC272" s="660" t="s">
        <v>7954</v>
      </c>
      <c r="CD272" s="134" t="s">
        <v>1876</v>
      </c>
      <c r="CE272" s="134" t="s">
        <v>3136</v>
      </c>
      <c r="CF272" s="400"/>
      <c r="CG272" s="134" t="s">
        <v>3137</v>
      </c>
      <c r="CH272" s="753" t="s">
        <v>1488</v>
      </c>
      <c r="CI272" s="134" t="s">
        <v>24</v>
      </c>
      <c r="CJ272" s="134">
        <v>1</v>
      </c>
      <c r="CK272" s="134" t="s">
        <v>3138</v>
      </c>
      <c r="CL272" s="134" t="s">
        <v>630</v>
      </c>
      <c r="CM272" s="259" t="s">
        <v>3166</v>
      </c>
      <c r="CN272" s="454">
        <v>0</v>
      </c>
      <c r="CO272" s="829">
        <v>51</v>
      </c>
      <c r="CP272" s="829">
        <v>1</v>
      </c>
      <c r="CQ272" s="829">
        <v>15</v>
      </c>
      <c r="CR272" s="829">
        <v>1</v>
      </c>
      <c r="CS272" s="829">
        <v>1</v>
      </c>
      <c r="CT272" s="968" t="s">
        <v>7836</v>
      </c>
      <c r="CU272" s="1291" t="s">
        <v>8102</v>
      </c>
      <c r="CV272" s="1295">
        <v>20</v>
      </c>
      <c r="CW272" s="1295">
        <v>22</v>
      </c>
      <c r="CX272" s="138" t="s">
        <v>3139</v>
      </c>
      <c r="CY272" s="134">
        <v>0.39906700000000001</v>
      </c>
      <c r="CZ272" s="134" t="s">
        <v>24</v>
      </c>
      <c r="DA272" s="134">
        <f>0.531716-Table66[[#This Row],[Data_Outcome1_M]]</f>
        <v>0.13264899999999996</v>
      </c>
      <c r="DB272" s="138" t="s">
        <v>3145</v>
      </c>
      <c r="DC272" s="134">
        <v>0.55018699999999998</v>
      </c>
      <c r="DD272" s="134" t="s">
        <v>24</v>
      </c>
      <c r="DE272" s="134">
        <f>0.627425-Table66[[#This Row],[Data_Outcome2_M]]</f>
        <v>7.7238000000000029E-2</v>
      </c>
      <c r="DF272" s="294"/>
      <c r="DG272" s="295"/>
      <c r="DH272" s="1175"/>
      <c r="DI272" s="417"/>
      <c r="DJ272" s="1169"/>
      <c r="DK272" s="417"/>
      <c r="DL272" s="1171"/>
      <c r="DM272" s="1169"/>
      <c r="DN272" s="1169"/>
      <c r="DO272" s="1169"/>
      <c r="DP272" s="288"/>
      <c r="DQ272" s="289"/>
      <c r="DR272" s="1168"/>
      <c r="DS272" s="865"/>
      <c r="DT272" s="1171"/>
      <c r="DU272" s="1169"/>
      <c r="DV272" s="1169"/>
      <c r="DW272" s="1169"/>
      <c r="DX272" s="1171"/>
      <c r="DY272" s="1169"/>
      <c r="DZ272" s="1169"/>
      <c r="EA272" s="1169"/>
      <c r="EB272" s="304"/>
      <c r="EC272" s="312"/>
      <c r="ED272" s="1171"/>
      <c r="EE272" s="1169"/>
      <c r="EF272" s="1169"/>
      <c r="EG272" s="417"/>
      <c r="EH272" s="1171"/>
      <c r="EI272" s="417"/>
      <c r="EJ272" s="1169"/>
      <c r="EK272" s="417"/>
      <c r="EL272" s="304"/>
      <c r="EM272" s="312"/>
      <c r="EN272" s="309"/>
      <c r="EO272" s="1170"/>
      <c r="EP272" s="1169"/>
      <c r="EQ272" s="1169"/>
      <c r="ER272" s="1169"/>
      <c r="ES272" s="1169"/>
      <c r="ET272" s="1171"/>
      <c r="EU272" s="1169"/>
      <c r="EV272" s="1169"/>
      <c r="EW272" s="1169"/>
      <c r="EX272" s="312"/>
      <c r="EY272" s="312"/>
      <c r="EZ272" s="1171"/>
      <c r="FA272" s="1169"/>
      <c r="FB272" s="1169"/>
      <c r="FC272" s="1169"/>
      <c r="FD272" s="1171"/>
      <c r="FE272" s="1169"/>
      <c r="FF272" s="1169"/>
      <c r="FG272" s="1169"/>
      <c r="FH272" s="312"/>
      <c r="FI272" s="312"/>
      <c r="FJ272" s="1170"/>
    </row>
    <row r="273" spans="1:166" s="1719" customFormat="1" ht="15" customHeight="1">
      <c r="A273" s="79" t="s">
        <v>225</v>
      </c>
      <c r="B273" s="614">
        <v>28</v>
      </c>
      <c r="C273" s="614"/>
      <c r="D273" s="614"/>
      <c r="E273" s="604" t="s">
        <v>1987</v>
      </c>
      <c r="F273" s="124" t="s">
        <v>2213</v>
      </c>
      <c r="G273" s="125">
        <v>2008</v>
      </c>
      <c r="H273" s="79">
        <v>18313695</v>
      </c>
      <c r="I273" s="79">
        <v>1</v>
      </c>
      <c r="J273" s="126"/>
      <c r="K273" s="127"/>
      <c r="L273" s="79">
        <v>1</v>
      </c>
      <c r="M273" s="79"/>
      <c r="N273" s="79">
        <v>1</v>
      </c>
      <c r="O273" s="128">
        <v>1</v>
      </c>
      <c r="P273" s="79" t="s">
        <v>627</v>
      </c>
      <c r="Q273" s="79" t="s">
        <v>1142</v>
      </c>
      <c r="R273" s="79" t="s">
        <v>628</v>
      </c>
      <c r="S273" s="79">
        <v>1</v>
      </c>
      <c r="T273" s="79"/>
      <c r="U273" s="79"/>
      <c r="V273" s="79"/>
      <c r="W273" s="79" t="s">
        <v>629</v>
      </c>
      <c r="X273" s="79" t="s">
        <v>24</v>
      </c>
      <c r="Y273" s="79" t="s">
        <v>630</v>
      </c>
      <c r="Z273" s="79"/>
      <c r="AA273" s="79"/>
      <c r="AB273" s="79" t="s">
        <v>631</v>
      </c>
      <c r="AC273" s="506"/>
      <c r="AD273" s="573">
        <v>1</v>
      </c>
      <c r="AE273" s="573">
        <v>2</v>
      </c>
      <c r="AF273" s="154">
        <v>1</v>
      </c>
      <c r="AG273" s="160" t="s">
        <v>7949</v>
      </c>
      <c r="AH273" s="704"/>
      <c r="AI273" s="121">
        <v>0</v>
      </c>
      <c r="AJ273" s="484"/>
      <c r="AK273" s="202"/>
      <c r="AL273" s="192">
        <v>1</v>
      </c>
      <c r="AM273" s="203">
        <v>0</v>
      </c>
      <c r="AN273" s="122">
        <f>Table66[[#This Row],[Data_Subjects_n_ptsd]]+Table66[[#This Row],[Data_Subjects_n_control]]</f>
        <v>21</v>
      </c>
      <c r="AO273" s="122">
        <f>7</f>
        <v>7</v>
      </c>
      <c r="AP273" s="122">
        <v>14</v>
      </c>
      <c r="AQ273" s="122" t="s">
        <v>803</v>
      </c>
      <c r="AR273" s="150" t="s">
        <v>803</v>
      </c>
      <c r="AS273" s="150">
        <v>58.1</v>
      </c>
      <c r="AT273" s="150">
        <v>2.8</v>
      </c>
      <c r="AU273" s="150">
        <v>58.1</v>
      </c>
      <c r="AV273" s="150">
        <v>2.8</v>
      </c>
      <c r="AW273" s="150" t="s">
        <v>1874</v>
      </c>
      <c r="AX273" s="122"/>
      <c r="AY273" s="122"/>
      <c r="AZ273" s="754" t="s">
        <v>1874</v>
      </c>
      <c r="BA273" s="122" t="s">
        <v>24</v>
      </c>
      <c r="BB273" s="122" t="s">
        <v>24</v>
      </c>
      <c r="BC273" s="122" t="s">
        <v>7950</v>
      </c>
      <c r="BD273" s="754" t="s">
        <v>7952</v>
      </c>
      <c r="BE273" s="187">
        <v>1</v>
      </c>
      <c r="BF273" s="121" t="s">
        <v>2875</v>
      </c>
      <c r="BG273" s="121" t="s">
        <v>1875</v>
      </c>
      <c r="BH273" s="594"/>
      <c r="BI273" s="594"/>
      <c r="BJ273" s="156">
        <v>1</v>
      </c>
      <c r="BK273" s="156"/>
      <c r="BL273" s="156"/>
      <c r="BM273" s="156"/>
      <c r="BN273" s="156"/>
      <c r="BO273" s="156"/>
      <c r="BP273" s="156"/>
      <c r="BQ273" s="156"/>
      <c r="BR273" s="156"/>
      <c r="BS273" s="156"/>
      <c r="BT273" s="156"/>
      <c r="BU273" s="156"/>
      <c r="BV273" s="156"/>
      <c r="BW273" s="595" t="s">
        <v>1891</v>
      </c>
      <c r="BX273" s="157" t="s">
        <v>6596</v>
      </c>
      <c r="BY273" s="797" t="s">
        <v>7615</v>
      </c>
      <c r="BZ273" s="789" t="s">
        <v>7610</v>
      </c>
      <c r="CA273" s="660">
        <v>4</v>
      </c>
      <c r="CB273" s="660" t="s">
        <v>7556</v>
      </c>
      <c r="CC273" s="660" t="s">
        <v>7955</v>
      </c>
      <c r="CD273" s="134" t="s">
        <v>1876</v>
      </c>
      <c r="CE273" s="134" t="s">
        <v>3136</v>
      </c>
      <c r="CF273" s="400"/>
      <c r="CG273" s="134" t="s">
        <v>3137</v>
      </c>
      <c r="CH273" s="753" t="s">
        <v>1488</v>
      </c>
      <c r="CI273" s="134" t="s">
        <v>24</v>
      </c>
      <c r="CJ273" s="134">
        <v>1</v>
      </c>
      <c r="CK273" s="134" t="s">
        <v>3138</v>
      </c>
      <c r="CL273" s="134" t="s">
        <v>630</v>
      </c>
      <c r="CM273" s="259" t="s">
        <v>3166</v>
      </c>
      <c r="CN273" s="454">
        <v>0</v>
      </c>
      <c r="CO273" s="829">
        <v>51</v>
      </c>
      <c r="CP273" s="829">
        <v>1</v>
      </c>
      <c r="CQ273" s="829">
        <v>16</v>
      </c>
      <c r="CR273" s="829">
        <v>1</v>
      </c>
      <c r="CS273" s="829">
        <v>-1</v>
      </c>
      <c r="CT273" s="968" t="s">
        <v>7837</v>
      </c>
      <c r="CU273" s="1291" t="s">
        <v>8102</v>
      </c>
      <c r="CV273" s="1295">
        <v>20</v>
      </c>
      <c r="CW273" s="1295">
        <v>20</v>
      </c>
      <c r="CX273" s="430" t="s">
        <v>3140</v>
      </c>
      <c r="CY273" s="134">
        <v>0.31679099999999999</v>
      </c>
      <c r="CZ273" s="134" t="s">
        <v>24</v>
      </c>
      <c r="DA273" s="134">
        <f>0.425933-Table66[[#This Row],[Data_Outcome1_M]]</f>
        <v>0.10914200000000002</v>
      </c>
      <c r="DB273" s="430" t="s">
        <v>3144</v>
      </c>
      <c r="DC273" s="134">
        <v>0.325187</v>
      </c>
      <c r="DD273" s="134" t="s">
        <v>24</v>
      </c>
      <c r="DE273" s="134">
        <f>0.419216-Table66[[#This Row],[Data_Outcome2_M]]</f>
        <v>9.4028999999999974E-2</v>
      </c>
      <c r="DF273" s="294"/>
      <c r="DG273" s="295"/>
      <c r="DH273" s="1175"/>
      <c r="DI273" s="417"/>
      <c r="DJ273" s="1169"/>
      <c r="DK273" s="417"/>
      <c r="DL273" s="1171"/>
      <c r="DM273" s="417"/>
      <c r="DN273" s="1169"/>
      <c r="DO273" s="1151"/>
      <c r="DP273" s="288"/>
      <c r="DQ273" s="441"/>
      <c r="DR273" s="1168"/>
      <c r="DS273" s="865"/>
      <c r="DT273" s="1171"/>
      <c r="DU273" s="1169"/>
      <c r="DV273" s="1169"/>
      <c r="DW273" s="1169"/>
      <c r="DX273" s="1171"/>
      <c r="DY273" s="1169"/>
      <c r="DZ273" s="1169"/>
      <c r="EA273" s="1169"/>
      <c r="EB273" s="304"/>
      <c r="EC273" s="312"/>
      <c r="ED273" s="1171"/>
      <c r="EE273" s="1169"/>
      <c r="EF273" s="1169"/>
      <c r="EG273" s="1169"/>
      <c r="EH273" s="1171"/>
      <c r="EI273" s="1169"/>
      <c r="EJ273" s="1169"/>
      <c r="EK273" s="1169"/>
      <c r="EL273" s="304"/>
      <c r="EM273" s="312"/>
      <c r="EN273" s="309"/>
      <c r="EO273" s="1170"/>
      <c r="EP273" s="1169"/>
      <c r="EQ273" s="1169"/>
      <c r="ER273" s="1169"/>
      <c r="ES273" s="1169"/>
      <c r="ET273" s="1171"/>
      <c r="EU273" s="1169"/>
      <c r="EV273" s="1169"/>
      <c r="EW273" s="1169"/>
      <c r="EX273" s="312"/>
      <c r="EY273" s="312"/>
      <c r="EZ273" s="1171"/>
      <c r="FA273" s="1169"/>
      <c r="FB273" s="1169"/>
      <c r="FC273" s="1169"/>
      <c r="FD273" s="1171"/>
      <c r="FE273" s="1169"/>
      <c r="FF273" s="1169"/>
      <c r="FG273" s="1169"/>
      <c r="FH273" s="312"/>
      <c r="FI273" s="312"/>
      <c r="FJ273" s="1170"/>
    </row>
    <row r="274" spans="1:166" ht="15" hidden="1" customHeight="1">
      <c r="A274" s="1476" t="s">
        <v>974</v>
      </c>
      <c r="B274" s="1477">
        <v>216</v>
      </c>
      <c r="C274" s="1477">
        <v>76</v>
      </c>
      <c r="D274" s="1477"/>
      <c r="E274" s="1478" t="s">
        <v>2116</v>
      </c>
      <c r="F274" s="1479" t="s">
        <v>2375</v>
      </c>
      <c r="G274" s="1480">
        <v>2007</v>
      </c>
      <c r="H274" s="1476">
        <v>17027033</v>
      </c>
      <c r="I274" s="1476">
        <v>1</v>
      </c>
      <c r="J274" s="1476">
        <v>1</v>
      </c>
      <c r="K274" s="1476"/>
      <c r="L274" s="1476">
        <v>1</v>
      </c>
      <c r="M274" s="1476"/>
      <c r="N274" s="1476">
        <v>1</v>
      </c>
      <c r="O274" s="1476">
        <v>2</v>
      </c>
      <c r="P274" s="1476" t="s">
        <v>1569</v>
      </c>
      <c r="Q274" s="1476" t="s">
        <v>1216</v>
      </c>
      <c r="R274" s="1476" t="s">
        <v>1568</v>
      </c>
      <c r="S274" s="1476"/>
      <c r="T274" s="1476" t="s">
        <v>1541</v>
      </c>
      <c r="U274" s="1476"/>
      <c r="V274" s="1476"/>
      <c r="W274" s="1476" t="s">
        <v>1570</v>
      </c>
      <c r="X274" s="1476"/>
      <c r="Y274" s="1476" t="s">
        <v>1132</v>
      </c>
      <c r="Z274" s="1476"/>
      <c r="AA274" s="1476"/>
      <c r="AB274" s="1476"/>
      <c r="AC274" s="1481"/>
      <c r="AD274" s="1482">
        <v>1</v>
      </c>
      <c r="AE274" s="1482">
        <v>2</v>
      </c>
      <c r="AF274" s="1483">
        <v>1</v>
      </c>
      <c r="AG274" s="231" t="s">
        <v>8133</v>
      </c>
      <c r="AH274" s="704" t="s">
        <v>8134</v>
      </c>
      <c r="AI274" s="1484">
        <v>5</v>
      </c>
      <c r="AJ274" s="1484" t="s">
        <v>5603</v>
      </c>
      <c r="AK274" s="1485" t="s">
        <v>5560</v>
      </c>
      <c r="AL274" s="1486" t="s">
        <v>3099</v>
      </c>
      <c r="AM274" s="227">
        <v>0</v>
      </c>
      <c r="AN274" s="150">
        <f>Table66[[#This Row],[Data_Subjects_n_ptsd]]+Table66[[#This Row],[Data_Subjects_n_control]]</f>
        <v>20</v>
      </c>
      <c r="AO274" s="134">
        <v>7</v>
      </c>
      <c r="AP274" s="186">
        <v>13</v>
      </c>
      <c r="AQ274" s="150" t="s">
        <v>803</v>
      </c>
      <c r="AR274" s="150" t="s">
        <v>803</v>
      </c>
      <c r="AS274" s="150" t="s">
        <v>4544</v>
      </c>
      <c r="AT274" s="150" t="s">
        <v>24</v>
      </c>
      <c r="AU274" s="150" t="s">
        <v>4544</v>
      </c>
      <c r="AV274" s="150" t="s">
        <v>24</v>
      </c>
      <c r="AW274" s="150" t="s">
        <v>5549</v>
      </c>
      <c r="AX274" s="150">
        <v>1</v>
      </c>
      <c r="AY274" s="150">
        <v>1.5</v>
      </c>
      <c r="AZ274" s="753" t="s">
        <v>1814</v>
      </c>
      <c r="BA274" s="150">
        <v>1</v>
      </c>
      <c r="BB274" s="150" t="s">
        <v>5554</v>
      </c>
      <c r="BC274" s="150" t="s">
        <v>5546</v>
      </c>
      <c r="BD274" s="753" t="s">
        <v>7523</v>
      </c>
      <c r="BE274" s="753"/>
      <c r="BF274" s="150" t="s">
        <v>8132</v>
      </c>
      <c r="BG274" s="150" t="s">
        <v>4508</v>
      </c>
      <c r="BH274" s="588"/>
      <c r="BI274" s="588"/>
      <c r="BJ274" s="161">
        <v>1</v>
      </c>
      <c r="BK274" s="161" t="s">
        <v>5545</v>
      </c>
      <c r="BL274" s="161"/>
      <c r="BM274" s="161"/>
      <c r="BN274" s="161"/>
      <c r="BO274" s="161"/>
      <c r="BP274" s="161">
        <v>1</v>
      </c>
      <c r="BQ274" s="161"/>
      <c r="BR274" s="161"/>
      <c r="BS274" s="161"/>
      <c r="BT274" s="161"/>
      <c r="BU274" s="161"/>
      <c r="BV274" s="161"/>
      <c r="BW274" s="600" t="s">
        <v>7195</v>
      </c>
      <c r="BX274" s="185" t="s">
        <v>6657</v>
      </c>
      <c r="BY274" s="797" t="s">
        <v>7613</v>
      </c>
      <c r="BZ274" s="791" t="s">
        <v>803</v>
      </c>
      <c r="CA274" s="660">
        <v>1</v>
      </c>
      <c r="CB274" s="660" t="s">
        <v>7556</v>
      </c>
      <c r="CC274" s="660" t="s">
        <v>7384</v>
      </c>
      <c r="CD274" s="186" t="s">
        <v>23</v>
      </c>
      <c r="CE274" s="186" t="s">
        <v>5563</v>
      </c>
      <c r="CF274" s="400" t="s">
        <v>7581</v>
      </c>
      <c r="CG274" s="150" t="s">
        <v>5550</v>
      </c>
      <c r="CH274" s="753" t="s">
        <v>7310</v>
      </c>
      <c r="CI274" s="150" t="s">
        <v>5544</v>
      </c>
      <c r="CJ274" s="150"/>
      <c r="CK274" s="186" t="s">
        <v>5562</v>
      </c>
      <c r="CL274" s="150" t="s">
        <v>8296</v>
      </c>
      <c r="CM274" s="1495" t="s">
        <v>5597</v>
      </c>
      <c r="CN274" s="1496" t="s">
        <v>6627</v>
      </c>
      <c r="CO274" s="1496">
        <v>68</v>
      </c>
      <c r="CP274" s="1496">
        <v>2</v>
      </c>
      <c r="CQ274" s="1496">
        <v>1</v>
      </c>
      <c r="CR274" s="1496">
        <v>1</v>
      </c>
      <c r="CS274" s="1496">
        <v>1</v>
      </c>
      <c r="CT274" s="1496"/>
      <c r="CU274" s="1497" t="s">
        <v>8104</v>
      </c>
      <c r="CV274" s="1495">
        <v>156</v>
      </c>
      <c r="CW274" s="1495">
        <v>145</v>
      </c>
      <c r="CX274" s="267" t="s">
        <v>5573</v>
      </c>
      <c r="CY274" s="186">
        <v>64.63</v>
      </c>
      <c r="CZ274" s="186">
        <v>6.58</v>
      </c>
      <c r="DA274" s="186" t="s">
        <v>24</v>
      </c>
      <c r="DB274" s="1606" t="s">
        <v>5580</v>
      </c>
      <c r="DC274" s="753">
        <v>1.1599999999999999</v>
      </c>
      <c r="DD274" s="753">
        <v>0.159</v>
      </c>
      <c r="DE274" s="753" t="s">
        <v>24</v>
      </c>
      <c r="DF274" s="1495" t="s">
        <v>8039</v>
      </c>
      <c r="DG274" s="1498" t="s">
        <v>24</v>
      </c>
      <c r="DH274" s="1826"/>
      <c r="DI274" s="1828"/>
      <c r="DJ274" s="1499"/>
      <c r="DK274" s="1828"/>
      <c r="DL274" s="1499"/>
      <c r="DM274" s="1847"/>
      <c r="DN274" s="1499"/>
      <c r="DO274" s="1847"/>
      <c r="DP274" s="1500"/>
      <c r="DQ274" s="1498"/>
      <c r="DR274" s="1501"/>
      <c r="DS274" s="1501"/>
      <c r="DT274" s="1502"/>
      <c r="DU274" s="1484"/>
      <c r="DV274" s="1502"/>
      <c r="DW274" s="1484"/>
      <c r="DX274" s="1502"/>
      <c r="DY274" s="1484"/>
      <c r="DZ274" s="1502"/>
      <c r="EA274" s="1484"/>
      <c r="EB274" s="1503"/>
      <c r="EC274" s="1502"/>
      <c r="ED274" s="1502"/>
      <c r="EE274" s="1484"/>
      <c r="EF274" s="1502"/>
      <c r="EG274" s="1484"/>
      <c r="EH274" s="1502"/>
      <c r="EI274" s="1502"/>
      <c r="EJ274" s="1502"/>
      <c r="EK274" s="1502"/>
      <c r="EL274" s="1503"/>
      <c r="EM274" s="1502"/>
      <c r="EN274" s="1503"/>
      <c r="EO274" s="1502"/>
      <c r="EP274" s="1484"/>
      <c r="EQ274" s="1484"/>
      <c r="ER274" s="1484"/>
      <c r="ES274" s="1484"/>
      <c r="ET274" s="1504"/>
      <c r="EU274" s="1484"/>
      <c r="EV274" s="1484"/>
      <c r="EW274" s="1484"/>
      <c r="EX274" s="1484"/>
      <c r="EY274" s="1484"/>
      <c r="EZ274" s="1505"/>
      <c r="FA274" s="1502"/>
      <c r="FB274" s="1502"/>
      <c r="FC274" s="1502"/>
      <c r="FD274" s="1505"/>
      <c r="FE274" s="1502"/>
      <c r="FF274" s="1502"/>
      <c r="FG274" s="1502"/>
      <c r="FH274" s="1502"/>
      <c r="FI274" s="1502"/>
      <c r="FJ274" s="1502"/>
    </row>
    <row r="275" spans="1:166" ht="15" hidden="1" customHeight="1">
      <c r="A275" s="153" t="s">
        <v>173</v>
      </c>
      <c r="B275" s="618">
        <v>128</v>
      </c>
      <c r="C275" s="618">
        <v>34</v>
      </c>
      <c r="D275" s="618"/>
      <c r="E275" s="610" t="s">
        <v>1963</v>
      </c>
      <c r="F275" s="368" t="s">
        <v>2186</v>
      </c>
      <c r="G275" s="369">
        <v>2010</v>
      </c>
      <c r="H275" s="153">
        <v>20494591</v>
      </c>
      <c r="I275" s="153">
        <v>1</v>
      </c>
      <c r="J275" s="370"/>
      <c r="K275" s="371"/>
      <c r="L275" s="153">
        <v>1</v>
      </c>
      <c r="M275" s="153"/>
      <c r="N275" s="153">
        <v>1</v>
      </c>
      <c r="O275" s="153">
        <v>1</v>
      </c>
      <c r="P275" s="153" t="s">
        <v>505</v>
      </c>
      <c r="Q275" s="153" t="s">
        <v>1147</v>
      </c>
      <c r="R275" s="153" t="s">
        <v>503</v>
      </c>
      <c r="S275" s="153">
        <v>0</v>
      </c>
      <c r="T275" s="153"/>
      <c r="U275" s="153"/>
      <c r="V275" s="153"/>
      <c r="W275" s="153"/>
      <c r="X275" s="153"/>
      <c r="Y275" s="153"/>
      <c r="Z275" s="153"/>
      <c r="AA275" s="153"/>
      <c r="AB275" s="153" t="s">
        <v>504</v>
      </c>
      <c r="AC275" s="536"/>
      <c r="AD275" s="536">
        <v>1</v>
      </c>
      <c r="AE275" s="536">
        <v>2</v>
      </c>
      <c r="AF275" s="165">
        <v>0</v>
      </c>
      <c r="AG275" s="166" t="s">
        <v>7482</v>
      </c>
      <c r="AH275" s="509">
        <v>0</v>
      </c>
      <c r="AI275" s="120">
        <v>2</v>
      </c>
      <c r="AJ275" s="120"/>
      <c r="AK275" s="206" t="s">
        <v>4645</v>
      </c>
      <c r="AL275" s="372">
        <v>1</v>
      </c>
      <c r="AM275" s="207">
        <v>0</v>
      </c>
      <c r="AN275" s="120">
        <f>30+56+28</f>
        <v>114</v>
      </c>
      <c r="AO275" s="120" t="s">
        <v>4581</v>
      </c>
      <c r="AP275" s="120" t="s">
        <v>4582</v>
      </c>
      <c r="AQ275" s="120" t="s">
        <v>4584</v>
      </c>
      <c r="AR275" s="120" t="s">
        <v>4584</v>
      </c>
      <c r="AS275" s="120">
        <v>67</v>
      </c>
      <c r="AT275" s="120">
        <v>9</v>
      </c>
      <c r="AU275" s="120" t="s">
        <v>4596</v>
      </c>
      <c r="AV275" s="120" t="s">
        <v>4585</v>
      </c>
      <c r="AW275" s="120" t="s">
        <v>4586</v>
      </c>
      <c r="AX275" s="120"/>
      <c r="AY275" s="120"/>
      <c r="AZ275" s="755" t="s">
        <v>7359</v>
      </c>
      <c r="BA275" s="120" t="s">
        <v>24</v>
      </c>
      <c r="BB275" s="120" t="s">
        <v>24</v>
      </c>
      <c r="BC275" s="120" t="s">
        <v>4597</v>
      </c>
      <c r="BD275" s="755"/>
      <c r="BE275" s="755"/>
      <c r="BF275" s="120" t="s">
        <v>4587</v>
      </c>
      <c r="BG275" s="120" t="s">
        <v>4588</v>
      </c>
      <c r="BH275" s="377"/>
      <c r="BI275" s="377"/>
      <c r="BJ275" s="373"/>
      <c r="BK275" s="373"/>
      <c r="BL275" s="373"/>
      <c r="BM275" s="373"/>
      <c r="BN275" s="373"/>
      <c r="BO275" s="373"/>
      <c r="BP275" s="373">
        <v>1</v>
      </c>
      <c r="BQ275" s="373"/>
      <c r="BR275" s="373"/>
      <c r="BS275" s="373"/>
      <c r="BT275" s="373"/>
      <c r="BU275" s="373"/>
      <c r="BV275" s="373"/>
      <c r="BW275" s="599" t="s">
        <v>4591</v>
      </c>
      <c r="BX275" s="374" t="s">
        <v>6609</v>
      </c>
      <c r="BY275" s="374"/>
      <c r="BZ275" s="374"/>
      <c r="CA275" s="816">
        <v>2</v>
      </c>
      <c r="CB275" s="816"/>
      <c r="CC275" s="816" t="s">
        <v>24</v>
      </c>
      <c r="CD275" s="120" t="s">
        <v>1876</v>
      </c>
      <c r="CE275" s="120" t="s">
        <v>4598</v>
      </c>
      <c r="CF275" s="120"/>
      <c r="CG275" s="120" t="s">
        <v>4594</v>
      </c>
      <c r="CH275" s="755"/>
      <c r="CI275" s="120" t="s">
        <v>24</v>
      </c>
      <c r="CJ275" s="120"/>
      <c r="CK275" s="120" t="s">
        <v>4642</v>
      </c>
      <c r="CL275" s="120"/>
      <c r="CM275" s="375" t="s">
        <v>4644</v>
      </c>
      <c r="CN275" s="380" t="s">
        <v>24</v>
      </c>
      <c r="CO275" s="380"/>
      <c r="CP275" s="380"/>
      <c r="CQ275" s="380"/>
      <c r="CR275" s="380"/>
      <c r="CS275" s="380"/>
      <c r="CT275" s="380"/>
      <c r="CU275" s="380"/>
      <c r="CV275" s="380"/>
      <c r="CW275" s="380"/>
      <c r="CX275" s="709" t="s">
        <v>4610</v>
      </c>
      <c r="CY275" s="120">
        <v>17</v>
      </c>
      <c r="CZ275" s="120">
        <v>5</v>
      </c>
      <c r="DA275" s="120" t="s">
        <v>24</v>
      </c>
      <c r="DB275" s="709" t="s">
        <v>4611</v>
      </c>
      <c r="DC275" s="120">
        <v>18</v>
      </c>
      <c r="DD275" s="120">
        <v>5</v>
      </c>
      <c r="DE275" s="120" t="s">
        <v>24</v>
      </c>
      <c r="DF275" s="515" t="s">
        <v>4612</v>
      </c>
      <c r="DG275" s="513" t="s">
        <v>4613</v>
      </c>
      <c r="DH275" s="709" t="s">
        <v>4614</v>
      </c>
      <c r="DI275" s="384">
        <v>14</v>
      </c>
      <c r="DJ275" s="384">
        <v>6</v>
      </c>
      <c r="DK275" s="384" t="s">
        <v>24</v>
      </c>
      <c r="DL275" s="709" t="s">
        <v>4615</v>
      </c>
      <c r="DM275" s="384">
        <v>18</v>
      </c>
      <c r="DN275" s="384">
        <v>5</v>
      </c>
      <c r="DO275" s="384" t="s">
        <v>24</v>
      </c>
      <c r="DP275" s="375"/>
      <c r="DQ275" s="377"/>
      <c r="DR275" s="1182"/>
      <c r="DS275" s="956"/>
      <c r="DT275" s="709" t="s">
        <v>4616</v>
      </c>
      <c r="DU275" s="384">
        <v>8</v>
      </c>
      <c r="DV275" s="384">
        <v>3</v>
      </c>
      <c r="DW275" s="384" t="s">
        <v>24</v>
      </c>
      <c r="DX275" s="709" t="s">
        <v>4617</v>
      </c>
      <c r="DY275" s="384">
        <v>9</v>
      </c>
      <c r="DZ275" s="384">
        <v>2</v>
      </c>
      <c r="EA275" s="384" t="s">
        <v>24</v>
      </c>
      <c r="EB275" s="1012" t="s">
        <v>4638</v>
      </c>
      <c r="EC275" s="384" t="s">
        <v>4639</v>
      </c>
      <c r="ED275" s="727" t="s">
        <v>4618</v>
      </c>
      <c r="EE275" s="384">
        <v>7</v>
      </c>
      <c r="EF275" s="384">
        <v>4</v>
      </c>
      <c r="EG275" s="384" t="s">
        <v>24</v>
      </c>
      <c r="EH275" s="727" t="s">
        <v>4619</v>
      </c>
      <c r="EI275" s="384">
        <v>9</v>
      </c>
      <c r="EJ275" s="384">
        <v>3</v>
      </c>
      <c r="EK275" s="384" t="s">
        <v>24</v>
      </c>
      <c r="EL275" s="1012"/>
      <c r="EM275" s="384"/>
      <c r="EN275" s="1012"/>
      <c r="EO275" s="384"/>
      <c r="EP275" s="727" t="s">
        <v>4620</v>
      </c>
      <c r="EQ275" s="384">
        <v>23</v>
      </c>
      <c r="ER275" s="384">
        <v>7</v>
      </c>
      <c r="ES275" s="384" t="s">
        <v>24</v>
      </c>
      <c r="ET275" s="727" t="s">
        <v>4621</v>
      </c>
      <c r="EU275" s="384">
        <v>27</v>
      </c>
      <c r="EV275" s="384">
        <v>7</v>
      </c>
      <c r="EW275" s="384" t="s">
        <v>24</v>
      </c>
      <c r="EX275" s="384" t="s">
        <v>4636</v>
      </c>
      <c r="EY275" s="384" t="s">
        <v>4637</v>
      </c>
      <c r="EZ275" s="384" t="s">
        <v>4622</v>
      </c>
      <c r="FA275" s="384">
        <v>20</v>
      </c>
      <c r="FB275" s="384">
        <v>7</v>
      </c>
      <c r="FC275" s="384" t="s">
        <v>24</v>
      </c>
      <c r="FD275" s="384" t="s">
        <v>4623</v>
      </c>
      <c r="FE275" s="384">
        <v>25</v>
      </c>
      <c r="FF275" s="384">
        <v>7</v>
      </c>
      <c r="FG275" s="384" t="s">
        <v>24</v>
      </c>
      <c r="FH275" s="384"/>
      <c r="FI275" s="384"/>
      <c r="FJ275" s="384"/>
    </row>
    <row r="276" spans="1:166" ht="15" hidden="1" customHeight="1">
      <c r="A276" s="153" t="s">
        <v>173</v>
      </c>
      <c r="B276" s="618">
        <v>128</v>
      </c>
      <c r="C276" s="618">
        <v>34</v>
      </c>
      <c r="D276" s="618"/>
      <c r="E276" s="610" t="s">
        <v>1963</v>
      </c>
      <c r="F276" s="368" t="s">
        <v>2186</v>
      </c>
      <c r="G276" s="369">
        <v>2010</v>
      </c>
      <c r="H276" s="153">
        <v>20494591</v>
      </c>
      <c r="I276" s="153">
        <v>1</v>
      </c>
      <c r="J276" s="370"/>
      <c r="K276" s="371"/>
      <c r="L276" s="153">
        <v>1</v>
      </c>
      <c r="M276" s="153"/>
      <c r="N276" s="153">
        <v>1</v>
      </c>
      <c r="O276" s="153">
        <v>1</v>
      </c>
      <c r="P276" s="153" t="s">
        <v>505</v>
      </c>
      <c r="Q276" s="153" t="s">
        <v>1147</v>
      </c>
      <c r="R276" s="153" t="s">
        <v>503</v>
      </c>
      <c r="S276" s="153">
        <v>0</v>
      </c>
      <c r="T276" s="153"/>
      <c r="U276" s="153"/>
      <c r="V276" s="153"/>
      <c r="W276" s="153"/>
      <c r="X276" s="153"/>
      <c r="Y276" s="153"/>
      <c r="Z276" s="153"/>
      <c r="AA276" s="153"/>
      <c r="AB276" s="153" t="s">
        <v>504</v>
      </c>
      <c r="AC276" s="536"/>
      <c r="AD276" s="536">
        <v>1</v>
      </c>
      <c r="AE276" s="536">
        <v>2</v>
      </c>
      <c r="AF276" s="165">
        <v>0</v>
      </c>
      <c r="AG276" s="166" t="s">
        <v>7482</v>
      </c>
      <c r="AH276" s="509">
        <v>0</v>
      </c>
      <c r="AI276" s="120">
        <v>2</v>
      </c>
      <c r="AJ276" s="120"/>
      <c r="AK276" s="206" t="s">
        <v>4645</v>
      </c>
      <c r="AL276" s="372">
        <v>1</v>
      </c>
      <c r="AM276" s="207">
        <v>0</v>
      </c>
      <c r="AN276" s="120">
        <f>30+56+28</f>
        <v>114</v>
      </c>
      <c r="AO276" s="120" t="s">
        <v>4581</v>
      </c>
      <c r="AP276" s="120" t="s">
        <v>4582</v>
      </c>
      <c r="AQ276" s="120" t="s">
        <v>4584</v>
      </c>
      <c r="AR276" s="120" t="s">
        <v>4584</v>
      </c>
      <c r="AS276" s="120">
        <v>67</v>
      </c>
      <c r="AT276" s="120">
        <v>9</v>
      </c>
      <c r="AU276" s="120" t="s">
        <v>4596</v>
      </c>
      <c r="AV276" s="120" t="s">
        <v>4585</v>
      </c>
      <c r="AW276" s="120" t="s">
        <v>4586</v>
      </c>
      <c r="AX276" s="120"/>
      <c r="AY276" s="120"/>
      <c r="AZ276" s="755" t="s">
        <v>7359</v>
      </c>
      <c r="BA276" s="120" t="s">
        <v>24</v>
      </c>
      <c r="BB276" s="120" t="s">
        <v>24</v>
      </c>
      <c r="BC276" s="120" t="s">
        <v>4597</v>
      </c>
      <c r="BD276" s="755"/>
      <c r="BE276" s="755"/>
      <c r="BF276" s="120" t="s">
        <v>4587</v>
      </c>
      <c r="BG276" s="120" t="s">
        <v>4588</v>
      </c>
      <c r="BH276" s="377"/>
      <c r="BI276" s="377"/>
      <c r="BJ276" s="373"/>
      <c r="BK276" s="373"/>
      <c r="BL276" s="373"/>
      <c r="BM276" s="373"/>
      <c r="BN276" s="373"/>
      <c r="BO276" s="373"/>
      <c r="BP276" s="373">
        <v>1</v>
      </c>
      <c r="BQ276" s="373"/>
      <c r="BR276" s="373"/>
      <c r="BS276" s="373"/>
      <c r="BT276" s="373"/>
      <c r="BU276" s="373"/>
      <c r="BV276" s="373"/>
      <c r="BW276" s="599" t="s">
        <v>4590</v>
      </c>
      <c r="BX276" s="374" t="s">
        <v>6612</v>
      </c>
      <c r="BY276" s="374"/>
      <c r="BZ276" s="374"/>
      <c r="CA276" s="775">
        <v>2</v>
      </c>
      <c r="CB276" s="775"/>
      <c r="CC276" s="775" t="s">
        <v>24</v>
      </c>
      <c r="CD276" s="120" t="s">
        <v>1876</v>
      </c>
      <c r="CE276" s="120" t="s">
        <v>4598</v>
      </c>
      <c r="CF276" s="120"/>
      <c r="CG276" s="633" t="s">
        <v>4595</v>
      </c>
      <c r="CH276" s="755"/>
      <c r="CI276" s="120" t="s">
        <v>24</v>
      </c>
      <c r="CJ276" s="120"/>
      <c r="CK276" s="120" t="s">
        <v>4641</v>
      </c>
      <c r="CL276" s="120"/>
      <c r="CM276" s="375" t="s">
        <v>4643</v>
      </c>
      <c r="CN276" s="380">
        <v>0</v>
      </c>
      <c r="CO276" s="380"/>
      <c r="CP276" s="380"/>
      <c r="CQ276" s="380"/>
      <c r="CR276" s="380"/>
      <c r="CS276" s="380"/>
      <c r="CT276" s="380"/>
      <c r="CU276" s="380"/>
      <c r="CV276" s="380"/>
      <c r="CW276" s="380"/>
      <c r="CX276" s="376" t="s">
        <v>4593</v>
      </c>
      <c r="CY276" s="120">
        <v>18</v>
      </c>
      <c r="CZ276" s="120">
        <v>7</v>
      </c>
      <c r="DA276" s="120" t="s">
        <v>24</v>
      </c>
      <c r="DB276" s="376" t="s">
        <v>4599</v>
      </c>
      <c r="DC276" s="120">
        <v>21</v>
      </c>
      <c r="DD276" s="120">
        <v>7</v>
      </c>
      <c r="DE276" s="120" t="s">
        <v>24</v>
      </c>
      <c r="DF276" s="515" t="s">
        <v>4602</v>
      </c>
      <c r="DG276" s="513" t="s">
        <v>4603</v>
      </c>
      <c r="DH276" s="727" t="s">
        <v>4600</v>
      </c>
      <c r="DI276" s="384">
        <v>15</v>
      </c>
      <c r="DJ276" s="384">
        <v>7</v>
      </c>
      <c r="DK276" s="384" t="s">
        <v>24</v>
      </c>
      <c r="DL276" s="727" t="s">
        <v>4601</v>
      </c>
      <c r="DM276" s="384">
        <v>18</v>
      </c>
      <c r="DN276" s="384">
        <v>6</v>
      </c>
      <c r="DO276" s="384" t="s">
        <v>24</v>
      </c>
      <c r="DP276" s="375"/>
      <c r="DQ276" s="377"/>
      <c r="DR276" s="1182"/>
      <c r="DS276" s="956"/>
      <c r="DT276" s="376" t="s">
        <v>4605</v>
      </c>
      <c r="DU276" s="384">
        <v>7</v>
      </c>
      <c r="DV276" s="384">
        <v>3</v>
      </c>
      <c r="DW276" s="384" t="s">
        <v>24</v>
      </c>
      <c r="DX276" s="376" t="s">
        <v>4606</v>
      </c>
      <c r="DY276" s="727">
        <v>8</v>
      </c>
      <c r="DZ276" s="384">
        <v>3</v>
      </c>
      <c r="EA276" s="384" t="s">
        <v>24</v>
      </c>
      <c r="EB276" s="1012" t="s">
        <v>4609</v>
      </c>
      <c r="EC276" s="384" t="s">
        <v>4603</v>
      </c>
      <c r="ED276" s="727" t="s">
        <v>4607</v>
      </c>
      <c r="EE276" s="384">
        <v>5</v>
      </c>
      <c r="EF276" s="384">
        <v>3</v>
      </c>
      <c r="EG276" s="384" t="s">
        <v>24</v>
      </c>
      <c r="EH276" s="727" t="s">
        <v>4608</v>
      </c>
      <c r="EI276" s="384">
        <v>7</v>
      </c>
      <c r="EJ276" s="384">
        <v>3</v>
      </c>
      <c r="EK276" s="384" t="s">
        <v>24</v>
      </c>
      <c r="EL276" s="1012"/>
      <c r="EM276" s="384"/>
      <c r="EN276" s="1012"/>
      <c r="EO276" s="384"/>
      <c r="EP276" s="384"/>
      <c r="EQ276" s="384"/>
      <c r="ER276" s="384"/>
      <c r="ES276" s="384"/>
      <c r="ET276" s="727"/>
      <c r="EU276" s="384"/>
      <c r="EV276" s="384"/>
      <c r="EW276" s="384"/>
      <c r="EX276" s="384"/>
      <c r="EY276" s="384"/>
      <c r="EZ276" s="727"/>
      <c r="FA276" s="384"/>
      <c r="FB276" s="384"/>
      <c r="FC276" s="384"/>
      <c r="FD276" s="727"/>
      <c r="FE276" s="384"/>
      <c r="FF276" s="384"/>
      <c r="FG276" s="384"/>
      <c r="FH276" s="384"/>
      <c r="FI276" s="384"/>
      <c r="FJ276" s="384"/>
    </row>
    <row r="277" spans="1:166" ht="15" hidden="1" customHeight="1">
      <c r="A277" s="158" t="s">
        <v>173</v>
      </c>
      <c r="B277" s="1094">
        <v>128</v>
      </c>
      <c r="C277" s="1094">
        <v>34</v>
      </c>
      <c r="D277" s="1094"/>
      <c r="E277" s="1095" t="s">
        <v>1963</v>
      </c>
      <c r="F277" s="711" t="s">
        <v>2186</v>
      </c>
      <c r="G277" s="1096">
        <v>2010</v>
      </c>
      <c r="H277" s="158">
        <v>20494591</v>
      </c>
      <c r="I277" s="158">
        <v>1</v>
      </c>
      <c r="J277" s="158"/>
      <c r="K277" s="158"/>
      <c r="L277" s="158">
        <v>1</v>
      </c>
      <c r="M277" s="158"/>
      <c r="N277" s="158">
        <v>1</v>
      </c>
      <c r="O277" s="158">
        <v>1</v>
      </c>
      <c r="P277" s="158" t="s">
        <v>505</v>
      </c>
      <c r="Q277" s="158" t="s">
        <v>1147</v>
      </c>
      <c r="R277" s="158" t="s">
        <v>503</v>
      </c>
      <c r="S277" s="158">
        <v>0</v>
      </c>
      <c r="T277" s="158"/>
      <c r="U277" s="158"/>
      <c r="V277" s="158"/>
      <c r="W277" s="158"/>
      <c r="X277" s="158"/>
      <c r="Y277" s="158"/>
      <c r="Z277" s="158"/>
      <c r="AA277" s="158"/>
      <c r="AB277" s="158" t="s">
        <v>504</v>
      </c>
      <c r="AC277" s="800"/>
      <c r="AD277" s="536">
        <v>1</v>
      </c>
      <c r="AE277" s="536">
        <v>2</v>
      </c>
      <c r="AF277" s="743">
        <v>0</v>
      </c>
      <c r="AG277" s="744" t="s">
        <v>7480</v>
      </c>
      <c r="AH277" s="509">
        <v>0</v>
      </c>
      <c r="AI277" s="734">
        <v>2</v>
      </c>
      <c r="AJ277" s="734"/>
      <c r="AK277" s="739" t="s">
        <v>4589</v>
      </c>
      <c r="AL277" s="372">
        <v>1</v>
      </c>
      <c r="AM277" s="724" t="s">
        <v>24</v>
      </c>
      <c r="AN277" s="734">
        <f>30+56+28</f>
        <v>114</v>
      </c>
      <c r="AO277" s="742" t="s">
        <v>4581</v>
      </c>
      <c r="AP277" s="734" t="s">
        <v>4582</v>
      </c>
      <c r="AQ277" s="734" t="s">
        <v>4584</v>
      </c>
      <c r="AR277" s="734" t="s">
        <v>4584</v>
      </c>
      <c r="AS277" s="734">
        <v>67</v>
      </c>
      <c r="AT277" s="734">
        <v>9</v>
      </c>
      <c r="AU277" s="120" t="s">
        <v>4596</v>
      </c>
      <c r="AV277" s="734" t="s">
        <v>4585</v>
      </c>
      <c r="AW277" s="734" t="s">
        <v>4586</v>
      </c>
      <c r="AX277" s="734"/>
      <c r="AY277" s="734"/>
      <c r="AZ277" s="755" t="s">
        <v>7359</v>
      </c>
      <c r="BA277" s="734" t="s">
        <v>24</v>
      </c>
      <c r="BB277" s="734" t="s">
        <v>24</v>
      </c>
      <c r="BC277" s="120" t="s">
        <v>4597</v>
      </c>
      <c r="BD277" s="755"/>
      <c r="BE277" s="755"/>
      <c r="BF277" s="734" t="s">
        <v>4587</v>
      </c>
      <c r="BG277" s="734" t="s">
        <v>4588</v>
      </c>
      <c r="BH277" s="372"/>
      <c r="BI277" s="372"/>
      <c r="BJ277" s="735"/>
      <c r="BK277" s="735"/>
      <c r="BL277" s="735"/>
      <c r="BM277" s="735"/>
      <c r="BN277" s="735"/>
      <c r="BO277" s="735">
        <v>1</v>
      </c>
      <c r="BP277" s="735"/>
      <c r="BQ277" s="735"/>
      <c r="BR277" s="735"/>
      <c r="BS277" s="735"/>
      <c r="BT277" s="735"/>
      <c r="BU277" s="735"/>
      <c r="BV277" s="735"/>
      <c r="BW277" s="735" t="s">
        <v>4640</v>
      </c>
      <c r="BX277" s="736"/>
      <c r="BY277" s="736"/>
      <c r="BZ277" s="736"/>
      <c r="CA277" s="511"/>
      <c r="CB277" s="511"/>
      <c r="CC277" s="511"/>
      <c r="CD277" s="734" t="s">
        <v>1876</v>
      </c>
      <c r="CE277" s="120" t="s">
        <v>4598</v>
      </c>
      <c r="CF277" s="120"/>
      <c r="CG277" s="633" t="s">
        <v>4592</v>
      </c>
      <c r="CH277" s="755"/>
      <c r="CI277" s="734" t="s">
        <v>24</v>
      </c>
      <c r="CJ277" s="734"/>
      <c r="CK277" s="734" t="s">
        <v>4604</v>
      </c>
      <c r="CL277" s="734"/>
      <c r="CM277" s="737"/>
      <c r="CN277" s="738"/>
      <c r="CO277" s="738"/>
      <c r="CP277" s="738"/>
      <c r="CQ277" s="738"/>
      <c r="CR277" s="738"/>
      <c r="CS277" s="738"/>
      <c r="CT277" s="738"/>
      <c r="CU277" s="738"/>
      <c r="CV277" s="738"/>
      <c r="CW277" s="738"/>
      <c r="CX277" s="798"/>
      <c r="CY277" s="734"/>
      <c r="CZ277" s="734"/>
      <c r="DA277" s="734"/>
      <c r="DB277" s="798"/>
      <c r="DC277" s="734"/>
      <c r="DD277" s="734"/>
      <c r="DE277" s="734"/>
      <c r="DF277" s="515"/>
      <c r="DG277" s="513"/>
      <c r="DH277" s="798"/>
      <c r="DI277" s="778"/>
      <c r="DJ277" s="778"/>
      <c r="DK277" s="778"/>
      <c r="DL277" s="798"/>
      <c r="DM277" s="778"/>
      <c r="DN277" s="778"/>
      <c r="DO277" s="778"/>
      <c r="DP277" s="737"/>
      <c r="DQ277" s="372"/>
      <c r="DR277" s="1182"/>
      <c r="DS277" s="956"/>
      <c r="DT277" s="736"/>
      <c r="DU277" s="778"/>
      <c r="DV277" s="778"/>
      <c r="DW277" s="778"/>
      <c r="DX277" s="734"/>
      <c r="DY277" s="778"/>
      <c r="DZ277" s="778"/>
      <c r="EA277" s="778"/>
      <c r="EB277" s="1181"/>
      <c r="EC277" s="778"/>
      <c r="ED277" s="778"/>
      <c r="EE277" s="778"/>
      <c r="EF277" s="778"/>
      <c r="EG277" s="778"/>
      <c r="EH277" s="778"/>
      <c r="EI277" s="778"/>
      <c r="EJ277" s="778"/>
      <c r="EK277" s="778"/>
      <c r="EL277" s="1181"/>
      <c r="EM277" s="778"/>
      <c r="EN277" s="1181"/>
      <c r="EO277" s="778"/>
      <c r="EP277" s="778"/>
      <c r="EQ277" s="778"/>
      <c r="ER277" s="778"/>
      <c r="ES277" s="778"/>
      <c r="ET277" s="1180"/>
      <c r="EU277" s="778"/>
      <c r="EV277" s="778"/>
      <c r="EW277" s="778"/>
      <c r="EX277" s="778"/>
      <c r="EY277" s="778"/>
      <c r="EZ277" s="1180"/>
      <c r="FA277" s="778"/>
      <c r="FB277" s="778"/>
      <c r="FC277" s="778"/>
      <c r="FD277" s="1180"/>
      <c r="FE277" s="778"/>
      <c r="FF277" s="778"/>
      <c r="FG277" s="778"/>
      <c r="FH277" s="778"/>
      <c r="FI277" s="778"/>
      <c r="FJ277" s="778"/>
    </row>
    <row r="278" spans="1:166" ht="15" customHeight="1">
      <c r="A278" s="79" t="s">
        <v>225</v>
      </c>
      <c r="B278" s="614">
        <v>28</v>
      </c>
      <c r="C278" s="614"/>
      <c r="D278" s="614"/>
      <c r="E278" s="604" t="s">
        <v>1987</v>
      </c>
      <c r="F278" s="124" t="s">
        <v>2213</v>
      </c>
      <c r="G278" s="125">
        <v>2008</v>
      </c>
      <c r="H278" s="79">
        <v>18313695</v>
      </c>
      <c r="I278" s="79">
        <v>1</v>
      </c>
      <c r="J278" s="126"/>
      <c r="K278" s="127"/>
      <c r="L278" s="79">
        <v>1</v>
      </c>
      <c r="M278" s="79"/>
      <c r="N278" s="79">
        <v>1</v>
      </c>
      <c r="O278" s="128">
        <v>1</v>
      </c>
      <c r="P278" s="79" t="s">
        <v>627</v>
      </c>
      <c r="Q278" s="79" t="s">
        <v>1142</v>
      </c>
      <c r="R278" s="79" t="s">
        <v>628</v>
      </c>
      <c r="S278" s="79">
        <v>1</v>
      </c>
      <c r="T278" s="79"/>
      <c r="U278" s="79"/>
      <c r="V278" s="79"/>
      <c r="W278" s="79" t="s">
        <v>629</v>
      </c>
      <c r="X278" s="79" t="s">
        <v>24</v>
      </c>
      <c r="Y278" s="79" t="s">
        <v>630</v>
      </c>
      <c r="Z278" s="79"/>
      <c r="AA278" s="79"/>
      <c r="AB278" s="79" t="s">
        <v>631</v>
      </c>
      <c r="AC278" s="506"/>
      <c r="AD278" s="573">
        <v>1</v>
      </c>
      <c r="AE278" s="573">
        <v>2</v>
      </c>
      <c r="AF278" s="154">
        <v>1</v>
      </c>
      <c r="AG278" s="160" t="s">
        <v>7949</v>
      </c>
      <c r="AH278" s="704"/>
      <c r="AI278" s="121">
        <v>2</v>
      </c>
      <c r="AJ278" s="484"/>
      <c r="AK278" s="202"/>
      <c r="AL278" s="192">
        <v>1</v>
      </c>
      <c r="AM278" s="203">
        <v>0</v>
      </c>
      <c r="AN278" s="122">
        <f>Table66[[#This Row],[Data_Subjects_n_ptsd]]+Table66[[#This Row],[Data_Subjects_n_control]]</f>
        <v>14</v>
      </c>
      <c r="AO278" s="500">
        <f>7</f>
        <v>7</v>
      </c>
      <c r="AP278" s="122">
        <v>7</v>
      </c>
      <c r="AQ278" s="122" t="s">
        <v>803</v>
      </c>
      <c r="AR278" s="150" t="s">
        <v>803</v>
      </c>
      <c r="AS278" s="150">
        <v>58.1</v>
      </c>
      <c r="AT278" s="150">
        <v>2.8</v>
      </c>
      <c r="AU278" s="150">
        <v>59.1</v>
      </c>
      <c r="AV278" s="150">
        <v>2.5</v>
      </c>
      <c r="AW278" s="150" t="s">
        <v>1874</v>
      </c>
      <c r="AX278" s="122"/>
      <c r="AY278" s="122"/>
      <c r="AZ278" s="754" t="s">
        <v>1874</v>
      </c>
      <c r="BA278" s="122" t="s">
        <v>24</v>
      </c>
      <c r="BB278" s="122" t="s">
        <v>24</v>
      </c>
      <c r="BC278" s="122" t="s">
        <v>4161</v>
      </c>
      <c r="BD278" s="754" t="s">
        <v>7521</v>
      </c>
      <c r="BE278" s="187">
        <v>1</v>
      </c>
      <c r="BF278" s="121" t="s">
        <v>2605</v>
      </c>
      <c r="BG278" s="121" t="s">
        <v>1875</v>
      </c>
      <c r="BH278" s="594"/>
      <c r="BI278" s="594"/>
      <c r="BJ278" s="156">
        <v>1</v>
      </c>
      <c r="BK278" s="156"/>
      <c r="BL278" s="156"/>
      <c r="BM278" s="156"/>
      <c r="BN278" s="156"/>
      <c r="BO278" s="156"/>
      <c r="BP278" s="156"/>
      <c r="BQ278" s="156"/>
      <c r="BR278" s="156"/>
      <c r="BS278" s="156"/>
      <c r="BT278" s="156"/>
      <c r="BU278" s="156"/>
      <c r="BV278" s="156"/>
      <c r="BW278" s="595" t="s">
        <v>1891</v>
      </c>
      <c r="BX278" s="157" t="s">
        <v>6596</v>
      </c>
      <c r="BY278" s="797" t="s">
        <v>7615</v>
      </c>
      <c r="BZ278" s="789" t="s">
        <v>7610</v>
      </c>
      <c r="CA278" s="660">
        <v>4</v>
      </c>
      <c r="CB278" s="660" t="s">
        <v>7556</v>
      </c>
      <c r="CC278" s="660" t="s">
        <v>7955</v>
      </c>
      <c r="CD278" s="134" t="s">
        <v>1876</v>
      </c>
      <c r="CE278" s="134" t="s">
        <v>3136</v>
      </c>
      <c r="CF278" s="400"/>
      <c r="CG278" s="426" t="s">
        <v>3137</v>
      </c>
      <c r="CH278" s="753" t="s">
        <v>1488</v>
      </c>
      <c r="CI278" s="134" t="s">
        <v>24</v>
      </c>
      <c r="CJ278" s="134">
        <v>1</v>
      </c>
      <c r="CK278" s="134" t="s">
        <v>3138</v>
      </c>
      <c r="CL278" s="134" t="s">
        <v>630</v>
      </c>
      <c r="CM278" s="259" t="s">
        <v>3166</v>
      </c>
      <c r="CN278" s="454">
        <v>0</v>
      </c>
      <c r="CO278" s="829">
        <v>51</v>
      </c>
      <c r="CP278" s="829">
        <v>1</v>
      </c>
      <c r="CQ278" s="829">
        <v>17</v>
      </c>
      <c r="CR278" s="829">
        <v>1</v>
      </c>
      <c r="CS278" s="829">
        <v>-1</v>
      </c>
      <c r="CT278" s="968" t="s">
        <v>7837</v>
      </c>
      <c r="CU278" s="1288" t="s">
        <v>8103</v>
      </c>
      <c r="CV278" s="1295">
        <v>20</v>
      </c>
      <c r="CW278" s="1294">
        <v>21</v>
      </c>
      <c r="CX278" s="430" t="s">
        <v>3140</v>
      </c>
      <c r="CY278" s="134">
        <v>0.31679099999999999</v>
      </c>
      <c r="CZ278" s="134" t="s">
        <v>24</v>
      </c>
      <c r="DA278" s="134">
        <f>0.425933-Table66[[#This Row],[Data_Outcome1_M]]</f>
        <v>0.10914200000000002</v>
      </c>
      <c r="DB278" s="430" t="s">
        <v>3142</v>
      </c>
      <c r="DC278" s="134">
        <v>0.34533599999999998</v>
      </c>
      <c r="DD278" s="134" t="s">
        <v>24</v>
      </c>
      <c r="DE278" s="134">
        <f>0.483022-Table66[[#This Row],[Data_Outcome2_M]]</f>
        <v>0.13768600000000003</v>
      </c>
      <c r="DF278" s="294"/>
      <c r="DG278" s="295"/>
      <c r="DH278" s="1154"/>
      <c r="DI278" s="1169"/>
      <c r="DJ278" s="1169"/>
      <c r="DK278" s="1169"/>
      <c r="DL278" s="1154"/>
      <c r="DM278" s="1169"/>
      <c r="DN278" s="1169"/>
      <c r="DO278" s="1169"/>
      <c r="DP278" s="288"/>
      <c r="DQ278" s="289"/>
      <c r="DR278" s="1168"/>
      <c r="DS278" s="865"/>
      <c r="DT278" s="1171"/>
      <c r="DU278" s="1169"/>
      <c r="DV278" s="1169"/>
      <c r="DW278" s="1169"/>
      <c r="DX278" s="1171"/>
      <c r="DY278" s="1169"/>
      <c r="DZ278" s="1169"/>
      <c r="EA278" s="1169"/>
      <c r="EB278" s="304"/>
      <c r="EC278" s="312"/>
      <c r="ED278" s="1171"/>
      <c r="EE278" s="1169"/>
      <c r="EF278" s="1169"/>
      <c r="EG278" s="1169"/>
      <c r="EH278" s="1171"/>
      <c r="EI278" s="1169"/>
      <c r="EJ278" s="1169"/>
      <c r="EK278" s="1169"/>
      <c r="EL278" s="304"/>
      <c r="EM278" s="312"/>
      <c r="EN278" s="309"/>
      <c r="EO278" s="1170"/>
      <c r="EP278" s="1169"/>
      <c r="EQ278" s="1169"/>
      <c r="ER278" s="1169"/>
      <c r="ES278" s="1169"/>
      <c r="ET278" s="1171"/>
      <c r="EU278" s="1169"/>
      <c r="EV278" s="1169"/>
      <c r="EW278" s="1169"/>
      <c r="EX278" s="312"/>
      <c r="EY278" s="312"/>
      <c r="EZ278" s="1171"/>
      <c r="FA278" s="1169"/>
      <c r="FB278" s="1169"/>
      <c r="FC278" s="1169"/>
      <c r="FD278" s="1171"/>
      <c r="FE278" s="1169"/>
      <c r="FF278" s="1169"/>
      <c r="FG278" s="1169"/>
      <c r="FH278" s="312"/>
      <c r="FI278" s="312"/>
      <c r="FJ278" s="1170"/>
    </row>
    <row r="279" spans="1:166" ht="15" customHeight="1">
      <c r="A279" s="79" t="s">
        <v>231</v>
      </c>
      <c r="B279" s="614">
        <v>32</v>
      </c>
      <c r="C279" s="614"/>
      <c r="D279" s="614"/>
      <c r="E279" s="604" t="s">
        <v>1990</v>
      </c>
      <c r="F279" s="124" t="s">
        <v>2218</v>
      </c>
      <c r="G279" s="125">
        <v>1995</v>
      </c>
      <c r="H279" s="79">
        <v>8547457</v>
      </c>
      <c r="I279" s="79">
        <v>1</v>
      </c>
      <c r="J279" s="126"/>
      <c r="K279" s="127"/>
      <c r="L279" s="79">
        <v>1</v>
      </c>
      <c r="M279" s="79"/>
      <c r="N279" s="79">
        <v>1</v>
      </c>
      <c r="O279" s="128">
        <v>1</v>
      </c>
      <c r="P279" s="79" t="s">
        <v>11</v>
      </c>
      <c r="Q279" s="79" t="s">
        <v>1142</v>
      </c>
      <c r="R279" s="79" t="s">
        <v>591</v>
      </c>
      <c r="S279" s="79">
        <v>1</v>
      </c>
      <c r="T279" s="79"/>
      <c r="U279" s="79"/>
      <c r="V279" s="79"/>
      <c r="W279" s="79" t="s">
        <v>11</v>
      </c>
      <c r="X279" s="79"/>
      <c r="Y279" s="79" t="s">
        <v>13</v>
      </c>
      <c r="Z279" s="79"/>
      <c r="AA279" s="79"/>
      <c r="AB279" s="79"/>
      <c r="AC279" s="506"/>
      <c r="AD279" s="573">
        <v>1</v>
      </c>
      <c r="AE279" s="573">
        <v>2</v>
      </c>
      <c r="AF279" s="154">
        <v>1</v>
      </c>
      <c r="AG279" s="155"/>
      <c r="AH279" s="704"/>
      <c r="AI279" s="121">
        <v>2</v>
      </c>
      <c r="AJ279" s="484"/>
      <c r="AK279" s="202"/>
      <c r="AL279" s="192">
        <v>0</v>
      </c>
      <c r="AM279" s="203">
        <v>0</v>
      </c>
      <c r="AN279" s="121">
        <f>Table66[[#This Row],[Data_Subjects_n_ptsd]]+Table66[[#This Row],[Data_Subjects_n_control]]</f>
        <v>19</v>
      </c>
      <c r="AO279" s="417">
        <v>9</v>
      </c>
      <c r="AP279" s="121">
        <v>10</v>
      </c>
      <c r="AQ279" s="121" t="s">
        <v>803</v>
      </c>
      <c r="AR279" s="134" t="s">
        <v>803</v>
      </c>
      <c r="AS279" s="134">
        <v>43</v>
      </c>
      <c r="AT279" s="134">
        <v>2</v>
      </c>
      <c r="AU279" s="134">
        <v>42</v>
      </c>
      <c r="AV279" s="134">
        <v>4</v>
      </c>
      <c r="AW279" s="134" t="s">
        <v>3206</v>
      </c>
      <c r="AX279" s="121"/>
      <c r="AY279" s="121"/>
      <c r="AZ279" s="754" t="s">
        <v>1874</v>
      </c>
      <c r="BA279" s="121" t="s">
        <v>24</v>
      </c>
      <c r="BB279" s="121" t="s">
        <v>24</v>
      </c>
      <c r="BC279" s="121" t="s">
        <v>3207</v>
      </c>
      <c r="BD279" s="754" t="s">
        <v>7522</v>
      </c>
      <c r="BE279" s="187">
        <v>0</v>
      </c>
      <c r="BF279" s="121" t="s">
        <v>2605</v>
      </c>
      <c r="BG279" s="121" t="s">
        <v>2876</v>
      </c>
      <c r="BH279" s="594"/>
      <c r="BI279" s="594"/>
      <c r="BJ279" s="156">
        <v>1</v>
      </c>
      <c r="BK279" s="156"/>
      <c r="BL279" s="156"/>
      <c r="BM279" s="156"/>
      <c r="BN279" s="156"/>
      <c r="BO279" s="156"/>
      <c r="BP279" s="156"/>
      <c r="BQ279" s="156"/>
      <c r="BR279" s="156"/>
      <c r="BS279" s="156"/>
      <c r="BT279" s="156"/>
      <c r="BU279" s="156"/>
      <c r="BV279" s="156"/>
      <c r="BW279" s="595" t="s">
        <v>1891</v>
      </c>
      <c r="BX279" s="157" t="s">
        <v>6596</v>
      </c>
      <c r="BY279" s="797" t="s">
        <v>7615</v>
      </c>
      <c r="BZ279" s="789" t="s">
        <v>7610</v>
      </c>
      <c r="CA279" s="765">
        <v>4</v>
      </c>
      <c r="CB279" s="772" t="s">
        <v>7556</v>
      </c>
      <c r="CC279" s="772" t="s">
        <v>7380</v>
      </c>
      <c r="CD279" s="134" t="s">
        <v>1876</v>
      </c>
      <c r="CE279" s="134">
        <v>2</v>
      </c>
      <c r="CF279" s="400"/>
      <c r="CG279" s="426" t="s">
        <v>7940</v>
      </c>
      <c r="CH279" s="753" t="s">
        <v>1488</v>
      </c>
      <c r="CI279" s="134" t="s">
        <v>24</v>
      </c>
      <c r="CJ279" s="134"/>
      <c r="CK279" s="134" t="s">
        <v>2400</v>
      </c>
      <c r="CL279" s="134" t="s">
        <v>6638</v>
      </c>
      <c r="CM279" s="259" t="s">
        <v>3218</v>
      </c>
      <c r="CN279" s="454" t="s">
        <v>6627</v>
      </c>
      <c r="CO279" s="828">
        <v>53</v>
      </c>
      <c r="CP279" s="828">
        <v>1</v>
      </c>
      <c r="CQ279" s="828">
        <v>1</v>
      </c>
      <c r="CR279" s="828">
        <v>1</v>
      </c>
      <c r="CS279" s="828">
        <v>1</v>
      </c>
      <c r="CT279" s="967" t="s">
        <v>7836</v>
      </c>
      <c r="CU279" s="1291" t="s">
        <v>8102</v>
      </c>
      <c r="CV279" s="1295">
        <v>21</v>
      </c>
      <c r="CW279" s="1295">
        <v>23</v>
      </c>
      <c r="CX279" s="430" t="s">
        <v>3210</v>
      </c>
      <c r="CY279" s="134">
        <v>241.339</v>
      </c>
      <c r="CZ279" s="134" t="s">
        <v>24</v>
      </c>
      <c r="DA279" s="134">
        <f>297.972-Table66[[#This Row],[Data_Outcome1_M]]</f>
        <v>56.632999999999981</v>
      </c>
      <c r="DB279" s="430" t="s">
        <v>3211</v>
      </c>
      <c r="DC279" s="134">
        <v>102.61</v>
      </c>
      <c r="DD279" s="134" t="s">
        <v>24</v>
      </c>
      <c r="DE279" s="134">
        <f>122.246-Table66[[#This Row],[Data_Outcome2_M]]</f>
        <v>19.635999999999996</v>
      </c>
      <c r="DF279" s="294" t="s">
        <v>3214</v>
      </c>
      <c r="DG279" s="1113" t="s">
        <v>7939</v>
      </c>
      <c r="DH279" s="448"/>
      <c r="DI279" s="121"/>
      <c r="DJ279" s="1169"/>
      <c r="DK279" s="121"/>
      <c r="DL279" s="448"/>
      <c r="DM279" s="121"/>
      <c r="DN279" s="1169"/>
      <c r="DO279" s="121"/>
      <c r="DP279" s="288"/>
      <c r="DQ279" s="289"/>
      <c r="DR279" s="1168"/>
      <c r="DS279" s="865"/>
      <c r="DT279" s="1171"/>
      <c r="DU279" s="1169"/>
      <c r="DV279" s="1169"/>
      <c r="DW279" s="1169"/>
      <c r="DX279" s="1169"/>
      <c r="DY279" s="1169"/>
      <c r="DZ279" s="1169"/>
      <c r="EA279" s="1169"/>
      <c r="EB279" s="304"/>
      <c r="EC279" s="312"/>
      <c r="ED279" s="1169"/>
      <c r="EE279" s="1169"/>
      <c r="EF279" s="1169"/>
      <c r="EG279" s="1169"/>
      <c r="EH279" s="1169"/>
      <c r="EI279" s="1169"/>
      <c r="EJ279" s="1169"/>
      <c r="EK279" s="1169"/>
      <c r="EL279" s="304"/>
      <c r="EM279" s="312"/>
      <c r="EN279" s="309"/>
      <c r="EO279" s="1170"/>
      <c r="EP279" s="1169"/>
      <c r="EQ279" s="1169"/>
      <c r="ER279" s="1169"/>
      <c r="ES279" s="1169"/>
      <c r="ET279" s="1171"/>
      <c r="EU279" s="1169"/>
      <c r="EV279" s="1169"/>
      <c r="EW279" s="1169"/>
      <c r="EX279" s="312"/>
      <c r="EY279" s="312"/>
      <c r="EZ279" s="1171"/>
      <c r="FA279" s="1169"/>
      <c r="FB279" s="1169"/>
      <c r="FC279" s="1169"/>
      <c r="FD279" s="1171"/>
      <c r="FE279" s="1169"/>
      <c r="FF279" s="1169"/>
      <c r="FG279" s="1169"/>
      <c r="FH279" s="312"/>
      <c r="FI279" s="312"/>
      <c r="FJ279" s="1170"/>
    </row>
    <row r="280" spans="1:166" ht="15" hidden="1" customHeight="1">
      <c r="A280" s="158" t="s">
        <v>1049</v>
      </c>
      <c r="B280" s="1535">
        <v>21</v>
      </c>
      <c r="C280" s="1535"/>
      <c r="D280" s="1535"/>
      <c r="E280" s="1095" t="s">
        <v>2078</v>
      </c>
      <c r="F280" s="711" t="s">
        <v>2332</v>
      </c>
      <c r="G280" s="1096">
        <v>2016</v>
      </c>
      <c r="H280" s="158">
        <v>27740964</v>
      </c>
      <c r="I280" s="158">
        <v>1</v>
      </c>
      <c r="J280" s="158"/>
      <c r="K280" s="158"/>
      <c r="L280" s="158">
        <v>1</v>
      </c>
      <c r="M280" s="158"/>
      <c r="N280" s="158">
        <v>1</v>
      </c>
      <c r="O280" s="158">
        <v>2</v>
      </c>
      <c r="P280" s="158" t="s">
        <v>1327</v>
      </c>
      <c r="Q280" s="158" t="s">
        <v>1224</v>
      </c>
      <c r="R280" s="158" t="s">
        <v>1225</v>
      </c>
      <c r="S280" s="158"/>
      <c r="T280" s="158" t="s">
        <v>1541</v>
      </c>
      <c r="U280" s="158"/>
      <c r="V280" s="158"/>
      <c r="W280" s="158" t="s">
        <v>1355</v>
      </c>
      <c r="X280" s="158"/>
      <c r="Y280" s="158"/>
      <c r="Z280" s="158"/>
      <c r="AA280" s="158" t="s">
        <v>1356</v>
      </c>
      <c r="AB280" s="158"/>
      <c r="AC280" s="800"/>
      <c r="AD280" s="536">
        <v>1</v>
      </c>
      <c r="AE280" s="536">
        <v>2</v>
      </c>
      <c r="AF280" s="743">
        <v>0</v>
      </c>
      <c r="AG280" s="166" t="s">
        <v>7572</v>
      </c>
      <c r="AH280" s="509">
        <v>0</v>
      </c>
      <c r="AI280" s="734">
        <v>4</v>
      </c>
      <c r="AJ280" s="734"/>
      <c r="AK280" s="206" t="s">
        <v>2973</v>
      </c>
      <c r="AL280" s="372" t="s">
        <v>7627</v>
      </c>
      <c r="AM280" s="207">
        <v>0</v>
      </c>
      <c r="AN280" s="120">
        <f>Table66[[#This Row],[Data_Subjects_n_ptsd]]+Table66[[#This Row],[Data_Subjects_n_control]]</f>
        <v>22</v>
      </c>
      <c r="AO280" s="742">
        <v>13</v>
      </c>
      <c r="AP280" s="734">
        <v>9</v>
      </c>
      <c r="AQ280" s="734" t="s">
        <v>803</v>
      </c>
      <c r="AR280" s="734" t="s">
        <v>803</v>
      </c>
      <c r="AS280" s="734" t="s">
        <v>2468</v>
      </c>
      <c r="AT280" s="734" t="s">
        <v>24</v>
      </c>
      <c r="AU280" s="734" t="s">
        <v>2468</v>
      </c>
      <c r="AV280" s="734" t="s">
        <v>24</v>
      </c>
      <c r="AW280" s="509" t="s">
        <v>2974</v>
      </c>
      <c r="AX280" s="734">
        <v>1</v>
      </c>
      <c r="AY280" s="734">
        <v>2</v>
      </c>
      <c r="AZ280" s="755" t="s">
        <v>1814</v>
      </c>
      <c r="BA280" s="734">
        <v>1</v>
      </c>
      <c r="BB280" s="734" t="s">
        <v>3329</v>
      </c>
      <c r="BC280" s="734" t="s">
        <v>2975</v>
      </c>
      <c r="BD280" s="755" t="s">
        <v>7523</v>
      </c>
      <c r="BE280" s="755"/>
      <c r="BF280" s="734" t="s">
        <v>1130</v>
      </c>
      <c r="BG280" s="734" t="s">
        <v>2554</v>
      </c>
      <c r="BH280" s="372">
        <v>1</v>
      </c>
      <c r="BI280" s="372"/>
      <c r="BJ280" s="735"/>
      <c r="BK280" s="735"/>
      <c r="BL280" s="735"/>
      <c r="BM280" s="735"/>
      <c r="BN280" s="735"/>
      <c r="BO280" s="735"/>
      <c r="BP280" s="735"/>
      <c r="BQ280" s="735"/>
      <c r="BR280" s="735"/>
      <c r="BS280" s="735"/>
      <c r="BT280" s="735"/>
      <c r="BU280" s="735"/>
      <c r="BV280" s="735"/>
      <c r="BW280" s="735" t="s">
        <v>7458</v>
      </c>
      <c r="BX280" s="374" t="s">
        <v>7571</v>
      </c>
      <c r="BY280" s="374"/>
      <c r="BZ280" s="374"/>
      <c r="CA280" s="803" t="s">
        <v>7570</v>
      </c>
      <c r="CB280" s="781" t="s">
        <v>7556</v>
      </c>
      <c r="CC280" s="781" t="s">
        <v>7384</v>
      </c>
      <c r="CD280" s="734" t="s">
        <v>1876</v>
      </c>
      <c r="CE280" s="734">
        <v>2</v>
      </c>
      <c r="CF280" s="734"/>
      <c r="CG280" s="782" t="s">
        <v>3327</v>
      </c>
      <c r="CH280" s="755"/>
      <c r="CI280" s="734" t="s">
        <v>1121</v>
      </c>
      <c r="CJ280" s="734"/>
      <c r="CK280" s="734" t="s">
        <v>2993</v>
      </c>
      <c r="CL280" s="120" t="s">
        <v>6639</v>
      </c>
      <c r="CM280" s="737" t="s">
        <v>3325</v>
      </c>
      <c r="CN280" s="738" t="s">
        <v>6627</v>
      </c>
      <c r="CO280" s="738"/>
      <c r="CP280" s="738"/>
      <c r="CQ280" s="738"/>
      <c r="CR280" s="738"/>
      <c r="CS280" s="738"/>
      <c r="CT280" s="738"/>
      <c r="CU280" s="738"/>
      <c r="CV280" s="738"/>
      <c r="CW280" s="738"/>
      <c r="CX280" s="798" t="s">
        <v>2994</v>
      </c>
      <c r="CY280" s="734">
        <v>7.1981599999999997</v>
      </c>
      <c r="CZ280" s="734" t="s">
        <v>24</v>
      </c>
      <c r="DA280" s="734">
        <f>9.38507-Table66[[#This Row],[Data_Outcome1_M]]</f>
        <v>2.186910000000001</v>
      </c>
      <c r="DB280" s="798" t="s">
        <v>2995</v>
      </c>
      <c r="DC280" s="734">
        <v>23.608599999999999</v>
      </c>
      <c r="DD280" s="734" t="s">
        <v>24</v>
      </c>
      <c r="DE280" s="734">
        <f>32.9704-Table66[[#This Row],[Data_Outcome2_M]]</f>
        <v>9.3617999999999988</v>
      </c>
      <c r="DF280" s="515" t="s">
        <v>2997</v>
      </c>
      <c r="DG280" s="513" t="s">
        <v>2996</v>
      </c>
      <c r="DH280" s="798" t="s">
        <v>24</v>
      </c>
      <c r="DI280" s="742" t="s">
        <v>24</v>
      </c>
      <c r="DJ280" s="778"/>
      <c r="DK280" s="742"/>
      <c r="DL280" s="1180"/>
      <c r="DM280" s="778"/>
      <c r="DN280" s="778"/>
      <c r="DO280" s="778"/>
      <c r="DP280" s="737"/>
      <c r="DQ280" s="372"/>
      <c r="DR280" s="1182"/>
      <c r="DS280" s="956"/>
      <c r="DT280" s="1180"/>
      <c r="DU280" s="778"/>
      <c r="DV280" s="778"/>
      <c r="DW280" s="778"/>
      <c r="DX280" s="778"/>
      <c r="DY280" s="778"/>
      <c r="DZ280" s="778"/>
      <c r="EA280" s="778"/>
      <c r="EB280" s="1181"/>
      <c r="EC280" s="778"/>
      <c r="ED280" s="778"/>
      <c r="EE280" s="778"/>
      <c r="EF280" s="778"/>
      <c r="EG280" s="778"/>
      <c r="EH280" s="778"/>
      <c r="EI280" s="778"/>
      <c r="EJ280" s="778"/>
      <c r="EK280" s="778"/>
      <c r="EL280" s="1181"/>
      <c r="EM280" s="778"/>
      <c r="EN280" s="1181"/>
      <c r="EO280" s="778"/>
      <c r="EP280" s="778"/>
      <c r="EQ280" s="778"/>
      <c r="ER280" s="778"/>
      <c r="ES280" s="778"/>
      <c r="ET280" s="1180"/>
      <c r="EU280" s="778"/>
      <c r="EV280" s="778"/>
      <c r="EW280" s="778"/>
      <c r="EX280" s="778"/>
      <c r="EY280" s="778"/>
      <c r="EZ280" s="1180"/>
      <c r="FA280" s="778"/>
      <c r="FB280" s="778"/>
      <c r="FC280" s="778"/>
      <c r="FD280" s="1180"/>
      <c r="FE280" s="778"/>
      <c r="FF280" s="778"/>
      <c r="FG280" s="778"/>
      <c r="FH280" s="778"/>
      <c r="FI280" s="778"/>
      <c r="FJ280" s="778"/>
    </row>
    <row r="281" spans="1:166" ht="15" hidden="1" customHeight="1">
      <c r="A281" s="153" t="s">
        <v>1049</v>
      </c>
      <c r="B281" s="1535">
        <v>21</v>
      </c>
      <c r="C281" s="1535"/>
      <c r="D281" s="1535"/>
      <c r="E281" s="610" t="s">
        <v>2078</v>
      </c>
      <c r="F281" s="368" t="s">
        <v>2332</v>
      </c>
      <c r="G281" s="369">
        <v>2016</v>
      </c>
      <c r="H281" s="153">
        <v>27740964</v>
      </c>
      <c r="I281" s="153">
        <v>1</v>
      </c>
      <c r="J281" s="370"/>
      <c r="K281" s="371"/>
      <c r="L281" s="153">
        <v>1</v>
      </c>
      <c r="M281" s="153"/>
      <c r="N281" s="153">
        <v>1</v>
      </c>
      <c r="O281" s="153">
        <v>2</v>
      </c>
      <c r="P281" s="153" t="s">
        <v>1327</v>
      </c>
      <c r="Q281" s="153" t="s">
        <v>1224</v>
      </c>
      <c r="R281" s="153" t="s">
        <v>1225</v>
      </c>
      <c r="S281" s="153"/>
      <c r="T281" s="153" t="s">
        <v>1541</v>
      </c>
      <c r="U281" s="153"/>
      <c r="V281" s="153"/>
      <c r="W281" s="153" t="s">
        <v>1355</v>
      </c>
      <c r="X281" s="153"/>
      <c r="Y281" s="153"/>
      <c r="Z281" s="153"/>
      <c r="AA281" s="153" t="s">
        <v>1356</v>
      </c>
      <c r="AB281" s="153"/>
      <c r="AC281" s="536"/>
      <c r="AD281" s="536">
        <v>1</v>
      </c>
      <c r="AE281" s="536">
        <v>2</v>
      </c>
      <c r="AF281" s="165">
        <v>0</v>
      </c>
      <c r="AG281" s="166" t="s">
        <v>7849</v>
      </c>
      <c r="AH281" s="509" t="s">
        <v>7459</v>
      </c>
      <c r="AI281" s="120">
        <v>4</v>
      </c>
      <c r="AJ281" s="120"/>
      <c r="AK281" s="206" t="s">
        <v>3310</v>
      </c>
      <c r="AL281" s="372" t="s">
        <v>7627</v>
      </c>
      <c r="AM281" s="207">
        <v>0</v>
      </c>
      <c r="AN281" s="120">
        <f>Table66[[#This Row],[Data_Subjects_n_ptsd]]+Table66[[#This Row],[Data_Subjects_n_control]]</f>
        <v>24</v>
      </c>
      <c r="AO281" s="120">
        <v>14</v>
      </c>
      <c r="AP281" s="120">
        <v>10</v>
      </c>
      <c r="AQ281" s="120" t="s">
        <v>803</v>
      </c>
      <c r="AR281" s="120" t="s">
        <v>803</v>
      </c>
      <c r="AS281" s="120" t="s">
        <v>2468</v>
      </c>
      <c r="AT281" s="120" t="s">
        <v>24</v>
      </c>
      <c r="AU281" s="120" t="s">
        <v>2468</v>
      </c>
      <c r="AV281" s="120" t="s">
        <v>24</v>
      </c>
      <c r="AW281" s="120" t="s">
        <v>2974</v>
      </c>
      <c r="AX281" s="120">
        <v>1</v>
      </c>
      <c r="AY281" s="120">
        <v>2</v>
      </c>
      <c r="AZ281" s="755" t="s">
        <v>1814</v>
      </c>
      <c r="BA281" s="120">
        <v>1</v>
      </c>
      <c r="BB281" s="120" t="s">
        <v>3328</v>
      </c>
      <c r="BC281" s="120" t="s">
        <v>2975</v>
      </c>
      <c r="BD281" s="755" t="s">
        <v>7523</v>
      </c>
      <c r="BE281" s="755"/>
      <c r="BF281" s="120" t="s">
        <v>1130</v>
      </c>
      <c r="BG281" s="120" t="s">
        <v>2554</v>
      </c>
      <c r="BH281" s="377"/>
      <c r="BI281" s="377"/>
      <c r="BJ281" s="373">
        <v>1</v>
      </c>
      <c r="BK281" s="373"/>
      <c r="BL281" s="373"/>
      <c r="BM281" s="373"/>
      <c r="BN281" s="373"/>
      <c r="BO281" s="373"/>
      <c r="BP281" s="373"/>
      <c r="BQ281" s="373"/>
      <c r="BR281" s="373"/>
      <c r="BS281" s="373"/>
      <c r="BT281" s="373"/>
      <c r="BU281" s="373"/>
      <c r="BV281" s="373"/>
      <c r="BW281" s="599" t="s">
        <v>6701</v>
      </c>
      <c r="BX281" s="374" t="s">
        <v>6657</v>
      </c>
      <c r="BY281" s="799" t="s">
        <v>7613</v>
      </c>
      <c r="BZ281" s="374" t="s">
        <v>803</v>
      </c>
      <c r="CA281" s="511">
        <v>1</v>
      </c>
      <c r="CB281" s="511" t="s">
        <v>7556</v>
      </c>
      <c r="CC281" s="511" t="s">
        <v>7384</v>
      </c>
      <c r="CD281" s="120" t="s">
        <v>1876</v>
      </c>
      <c r="CE281" s="120">
        <v>2</v>
      </c>
      <c r="CF281" s="786" t="s">
        <v>7846</v>
      </c>
      <c r="CG281" s="633" t="s">
        <v>7843</v>
      </c>
      <c r="CH281" s="755" t="s">
        <v>7310</v>
      </c>
      <c r="CI281" s="120" t="s">
        <v>1121</v>
      </c>
      <c r="CJ281" s="120"/>
      <c r="CK281" s="120" t="s">
        <v>2989</v>
      </c>
      <c r="CL281" s="120"/>
      <c r="CM281" s="375" t="s">
        <v>3326</v>
      </c>
      <c r="CN281" s="380" t="s">
        <v>6627</v>
      </c>
      <c r="CO281" s="380"/>
      <c r="CP281" s="380"/>
      <c r="CQ281" s="380"/>
      <c r="CR281" s="380"/>
      <c r="CS281" s="380"/>
      <c r="CT281" s="380"/>
      <c r="CU281" s="380"/>
      <c r="CV281" s="380"/>
      <c r="CW281" s="380"/>
      <c r="CX281" s="709" t="s">
        <v>8018</v>
      </c>
      <c r="CY281" s="120">
        <v>1.85799</v>
      </c>
      <c r="CZ281" s="120" t="s">
        <v>24</v>
      </c>
      <c r="DA281" s="120">
        <f>2.16665-Table66[[#This Row],[Data_Outcome1_M]]</f>
        <v>0.30866000000000016</v>
      </c>
      <c r="DB281" s="709" t="s">
        <v>8021</v>
      </c>
      <c r="DC281" s="120">
        <v>5.5387599999999999</v>
      </c>
      <c r="DD281" s="120" t="s">
        <v>24</v>
      </c>
      <c r="DE281" s="120">
        <f>6.2663-Table66[[#This Row],[Data_Outcome2_M]]</f>
        <v>0.7275400000000003</v>
      </c>
      <c r="DF281" s="515" t="s">
        <v>2986</v>
      </c>
      <c r="DG281" s="513" t="s">
        <v>2990</v>
      </c>
      <c r="DH281" s="378"/>
      <c r="DI281" s="683"/>
      <c r="DJ281" s="384"/>
      <c r="DK281" s="683"/>
      <c r="DL281" s="384"/>
      <c r="DM281" s="683"/>
      <c r="DN281" s="384"/>
      <c r="DO281" s="815"/>
      <c r="DP281" s="375"/>
      <c r="DQ281" s="379"/>
      <c r="DR281" s="1182"/>
      <c r="DS281" s="956"/>
      <c r="DT281" s="727"/>
      <c r="DU281" s="683"/>
      <c r="DV281" s="384"/>
      <c r="DW281" s="683"/>
      <c r="DX281" s="384"/>
      <c r="DY281" s="683"/>
      <c r="DZ281" s="384"/>
      <c r="EA281" s="683"/>
      <c r="EB281" s="1012"/>
      <c r="EC281" s="384"/>
      <c r="ED281" s="633"/>
      <c r="EE281" s="384"/>
      <c r="EF281" s="384"/>
      <c r="EG281" s="384"/>
      <c r="EH281" s="633"/>
      <c r="EI281" s="384"/>
      <c r="EJ281" s="384"/>
      <c r="EK281" s="384"/>
      <c r="EL281" s="375"/>
      <c r="EM281" s="377"/>
      <c r="EN281" s="1012"/>
      <c r="EO281" s="384"/>
      <c r="EP281" s="384"/>
      <c r="EQ281" s="384"/>
      <c r="ER281" s="384"/>
      <c r="ES281" s="384"/>
      <c r="ET281" s="727"/>
      <c r="EU281" s="384"/>
      <c r="EV281" s="384"/>
      <c r="EW281" s="384"/>
      <c r="EX281" s="384"/>
      <c r="EY281" s="384"/>
      <c r="EZ281" s="727"/>
      <c r="FA281" s="384"/>
      <c r="FB281" s="384"/>
      <c r="FC281" s="384"/>
      <c r="FD281" s="727"/>
      <c r="FE281" s="384"/>
      <c r="FF281" s="384"/>
      <c r="FG281" s="384"/>
      <c r="FH281" s="384"/>
      <c r="FI281" s="384"/>
      <c r="FJ281" s="384"/>
    </row>
    <row r="282" spans="1:166" ht="15" hidden="1" customHeight="1">
      <c r="A282" s="79" t="s">
        <v>946</v>
      </c>
      <c r="B282" s="362">
        <v>53</v>
      </c>
      <c r="C282" s="362"/>
      <c r="D282" s="362"/>
      <c r="E282" s="604" t="s">
        <v>2129</v>
      </c>
      <c r="F282" s="124" t="s">
        <v>2393</v>
      </c>
      <c r="G282" s="125">
        <v>2012</v>
      </c>
      <c r="H282" s="79">
        <v>22927935</v>
      </c>
      <c r="I282" s="79">
        <v>1</v>
      </c>
      <c r="J282" s="126">
        <v>1</v>
      </c>
      <c r="K282" s="127"/>
      <c r="L282" s="79">
        <v>1</v>
      </c>
      <c r="M282" s="79"/>
      <c r="N282" s="79">
        <v>1</v>
      </c>
      <c r="O282" s="128">
        <v>2</v>
      </c>
      <c r="P282" s="79" t="s">
        <v>1220</v>
      </c>
      <c r="Q282" s="79" t="s">
        <v>1216</v>
      </c>
      <c r="R282" s="79" t="s">
        <v>1138</v>
      </c>
      <c r="S282" s="79"/>
      <c r="T282" s="79" t="s">
        <v>1541</v>
      </c>
      <c r="U282" s="79" t="s">
        <v>1638</v>
      </c>
      <c r="V282" s="79"/>
      <c r="W282" s="79" t="s">
        <v>1501</v>
      </c>
      <c r="X282" s="79"/>
      <c r="Y282" s="79" t="s">
        <v>1637</v>
      </c>
      <c r="Z282" s="79"/>
      <c r="AA282" s="79"/>
      <c r="AB282" s="79"/>
      <c r="AC282" s="506"/>
      <c r="AD282" s="573">
        <v>1</v>
      </c>
      <c r="AE282" s="573">
        <v>2</v>
      </c>
      <c r="AF282" s="154">
        <v>1</v>
      </c>
      <c r="AG282" s="155"/>
      <c r="AH282" s="704"/>
      <c r="AI282" s="121">
        <v>5</v>
      </c>
      <c r="AJ282" s="484"/>
      <c r="AK282" s="202"/>
      <c r="AL282" s="192">
        <v>1</v>
      </c>
      <c r="AM282" s="203">
        <v>0</v>
      </c>
      <c r="AN282" s="121">
        <f>Table66[[#This Row],[Data_Subjects_n_ptsd]]+Table66[[#This Row],[Data_Subjects_n_control]]</f>
        <v>36</v>
      </c>
      <c r="AO282" s="121">
        <v>24</v>
      </c>
      <c r="AP282" s="121">
        <v>12</v>
      </c>
      <c r="AQ282" s="121" t="s">
        <v>1878</v>
      </c>
      <c r="AR282" s="121" t="s">
        <v>1878</v>
      </c>
      <c r="AS282" s="121" t="s">
        <v>3723</v>
      </c>
      <c r="AT282" s="121" t="s">
        <v>24</v>
      </c>
      <c r="AU282" s="121" t="s">
        <v>3723</v>
      </c>
      <c r="AV282" s="121" t="s">
        <v>24</v>
      </c>
      <c r="AW282" s="121" t="s">
        <v>3724</v>
      </c>
      <c r="AX282" s="121">
        <v>3</v>
      </c>
      <c r="AY282" s="121">
        <v>1.5</v>
      </c>
      <c r="AZ282" s="754" t="s">
        <v>1814</v>
      </c>
      <c r="BA282" s="121">
        <v>1</v>
      </c>
      <c r="BB282" s="121" t="s">
        <v>3731</v>
      </c>
      <c r="BC282" s="121" t="s">
        <v>7550</v>
      </c>
      <c r="BD282" s="754" t="s">
        <v>7523</v>
      </c>
      <c r="BE282" s="754"/>
      <c r="BF282" s="121" t="s">
        <v>3725</v>
      </c>
      <c r="BG282" s="121" t="s">
        <v>3279</v>
      </c>
      <c r="BH282" s="594"/>
      <c r="BI282" s="594"/>
      <c r="BJ282" s="156">
        <v>1</v>
      </c>
      <c r="BK282" s="156"/>
      <c r="BL282" s="156"/>
      <c r="BM282" s="156"/>
      <c r="BN282" s="156"/>
      <c r="BO282" s="156"/>
      <c r="BP282" s="156"/>
      <c r="BQ282" s="156"/>
      <c r="BR282" s="156"/>
      <c r="BS282" s="156"/>
      <c r="BT282" s="156"/>
      <c r="BU282" s="156"/>
      <c r="BV282" s="156"/>
      <c r="BW282" s="595" t="s">
        <v>7376</v>
      </c>
      <c r="BX282" s="157" t="s">
        <v>6657</v>
      </c>
      <c r="BY282" s="797" t="s">
        <v>7613</v>
      </c>
      <c r="BZ282" s="789" t="s">
        <v>803</v>
      </c>
      <c r="CA282" s="765">
        <v>1</v>
      </c>
      <c r="CB282" s="765" t="s">
        <v>7556</v>
      </c>
      <c r="CC282" s="765" t="s">
        <v>7384</v>
      </c>
      <c r="CD282" s="134" t="s">
        <v>1876</v>
      </c>
      <c r="CE282" s="134">
        <v>2</v>
      </c>
      <c r="CF282" s="400" t="s">
        <v>7581</v>
      </c>
      <c r="CG282" s="426" t="s">
        <v>7375</v>
      </c>
      <c r="CH282" s="753" t="s">
        <v>7310</v>
      </c>
      <c r="CI282" s="134" t="s">
        <v>3726</v>
      </c>
      <c r="CJ282" s="134" t="s">
        <v>7374</v>
      </c>
      <c r="CK282" s="134" t="s">
        <v>3722</v>
      </c>
      <c r="CL282" s="150" t="s">
        <v>8296</v>
      </c>
      <c r="CM282" s="259" t="s">
        <v>3758</v>
      </c>
      <c r="CN282" s="454" t="s">
        <v>6627</v>
      </c>
      <c r="CO282" s="828">
        <v>90</v>
      </c>
      <c r="CP282" s="828">
        <v>1</v>
      </c>
      <c r="CQ282" s="828">
        <v>2</v>
      </c>
      <c r="CR282" s="828">
        <v>1</v>
      </c>
      <c r="CS282" s="828">
        <v>1</v>
      </c>
      <c r="CT282" s="967"/>
      <c r="CU282" s="1289" t="s">
        <v>8104</v>
      </c>
      <c r="CV282" s="1295">
        <v>159</v>
      </c>
      <c r="CW282" s="1295">
        <v>146</v>
      </c>
      <c r="CX282" s="430" t="s">
        <v>3740</v>
      </c>
      <c r="CY282" s="134">
        <v>4.13</v>
      </c>
      <c r="CZ282" s="134" t="s">
        <v>24</v>
      </c>
      <c r="DA282" s="134">
        <v>0.35</v>
      </c>
      <c r="DB282" s="430" t="s">
        <v>3741</v>
      </c>
      <c r="DC282" s="134">
        <v>1.56</v>
      </c>
      <c r="DD282" s="134" t="s">
        <v>24</v>
      </c>
      <c r="DE282" s="134">
        <v>0.4</v>
      </c>
      <c r="DF282" s="288" t="s">
        <v>3745</v>
      </c>
      <c r="DG282" s="289" t="s">
        <v>2588</v>
      </c>
      <c r="DH282" s="1154"/>
      <c r="DI282" s="121"/>
      <c r="DJ282" s="1169"/>
      <c r="DK282" s="121"/>
      <c r="DL282" s="1154"/>
      <c r="DM282" s="121"/>
      <c r="DN282" s="1169"/>
      <c r="DO282" s="121"/>
      <c r="DP282" s="288"/>
      <c r="DQ282" s="289"/>
      <c r="DR282" s="1168"/>
      <c r="DS282" s="865"/>
      <c r="DT282" s="340"/>
      <c r="DU282" s="427"/>
      <c r="DV282" s="1169"/>
      <c r="DW282" s="121"/>
      <c r="DX282" s="1154"/>
      <c r="DY282" s="121"/>
      <c r="DZ282" s="1169"/>
      <c r="EA282" s="121"/>
      <c r="EB282" s="341"/>
      <c r="EC282" s="1124"/>
      <c r="ED282" s="448"/>
      <c r="EE282" s="121"/>
      <c r="EF282" s="1169"/>
      <c r="EG282" s="121"/>
      <c r="EH282" s="448"/>
      <c r="EI282" s="121"/>
      <c r="EJ282" s="1169"/>
      <c r="EK282" s="121"/>
      <c r="EL282" s="434"/>
      <c r="EM282" s="436"/>
      <c r="EN282" s="309"/>
      <c r="EO282" s="1170"/>
      <c r="EP282" s="121"/>
      <c r="EQ282" s="121"/>
      <c r="ER282" s="121"/>
      <c r="ES282" s="121"/>
      <c r="ET282" s="1276"/>
      <c r="EU282" s="121"/>
      <c r="EV282" s="121"/>
      <c r="EW282" s="121"/>
      <c r="EX282" s="301"/>
      <c r="EY282" s="301"/>
      <c r="EZ282" s="1276"/>
      <c r="FA282" s="121"/>
      <c r="FB282" s="121"/>
      <c r="FC282" s="121"/>
      <c r="FD282" s="1276"/>
      <c r="FE282" s="121"/>
      <c r="FF282" s="121"/>
      <c r="FG282" s="121"/>
      <c r="FH282" s="301"/>
      <c r="FI282" s="301"/>
      <c r="FJ282" s="1170"/>
    </row>
    <row r="283" spans="1:166" ht="15" hidden="1" customHeight="1">
      <c r="A283" s="118" t="s">
        <v>974</v>
      </c>
      <c r="B283" s="616">
        <v>216</v>
      </c>
      <c r="C283" s="616">
        <v>76</v>
      </c>
      <c r="D283" s="616"/>
      <c r="E283" s="605" t="s">
        <v>2116</v>
      </c>
      <c r="F283" s="140" t="s">
        <v>2375</v>
      </c>
      <c r="G283" s="141">
        <v>2007</v>
      </c>
      <c r="H283" s="118">
        <v>17027033</v>
      </c>
      <c r="I283" s="118">
        <v>1</v>
      </c>
      <c r="J283" s="118">
        <v>1</v>
      </c>
      <c r="K283" s="118"/>
      <c r="L283" s="118">
        <v>1</v>
      </c>
      <c r="M283" s="118"/>
      <c r="N283" s="118">
        <v>1</v>
      </c>
      <c r="O283" s="142">
        <v>2</v>
      </c>
      <c r="P283" s="118" t="s">
        <v>1569</v>
      </c>
      <c r="Q283" s="118" t="s">
        <v>1216</v>
      </c>
      <c r="R283" s="118" t="s">
        <v>1568</v>
      </c>
      <c r="S283" s="118"/>
      <c r="T283" s="118" t="s">
        <v>1541</v>
      </c>
      <c r="U283" s="118"/>
      <c r="V283" s="118"/>
      <c r="W283" s="118" t="s">
        <v>1570</v>
      </c>
      <c r="X283" s="118"/>
      <c r="Y283" s="118" t="s">
        <v>1132</v>
      </c>
      <c r="Z283" s="118"/>
      <c r="AA283" s="118"/>
      <c r="AB283" s="118"/>
      <c r="AC283" s="145"/>
      <c r="AD283" s="573">
        <v>1</v>
      </c>
      <c r="AE283" s="573">
        <v>2</v>
      </c>
      <c r="AF283" s="230">
        <v>1</v>
      </c>
      <c r="AG283" s="231" t="s">
        <v>8133</v>
      </c>
      <c r="AH283" s="704" t="s">
        <v>8134</v>
      </c>
      <c r="AI283" s="122">
        <v>5</v>
      </c>
      <c r="AJ283" s="485" t="s">
        <v>5602</v>
      </c>
      <c r="AK283" s="204" t="s">
        <v>5557</v>
      </c>
      <c r="AL283" s="192" t="s">
        <v>3099</v>
      </c>
      <c r="AM283" s="205">
        <v>0</v>
      </c>
      <c r="AN283" s="122">
        <f>Table66[[#This Row],[Data_Subjects_n_ptsd]]+Table66[[#This Row],[Data_Subjects_n_control]]</f>
        <v>21</v>
      </c>
      <c r="AO283" s="121">
        <v>7</v>
      </c>
      <c r="AP283" s="346">
        <v>14</v>
      </c>
      <c r="AQ283" s="122" t="s">
        <v>803</v>
      </c>
      <c r="AR283" s="122" t="s">
        <v>803</v>
      </c>
      <c r="AS283" s="122" t="s">
        <v>4544</v>
      </c>
      <c r="AT283" s="122" t="s">
        <v>24</v>
      </c>
      <c r="AU283" s="122" t="s">
        <v>4544</v>
      </c>
      <c r="AV283" s="122" t="s">
        <v>24</v>
      </c>
      <c r="AW283" s="122" t="s">
        <v>5549</v>
      </c>
      <c r="AX283" s="122">
        <v>1</v>
      </c>
      <c r="AY283" s="122">
        <v>1.5</v>
      </c>
      <c r="AZ283" s="754" t="s">
        <v>1814</v>
      </c>
      <c r="BA283" s="122">
        <v>1</v>
      </c>
      <c r="BB283" s="122" t="s">
        <v>5554</v>
      </c>
      <c r="BC283" s="122" t="s">
        <v>5546</v>
      </c>
      <c r="BD283" s="754" t="s">
        <v>7523</v>
      </c>
      <c r="BE283" s="754"/>
      <c r="BF283" s="122" t="s">
        <v>8131</v>
      </c>
      <c r="BG283" s="122" t="s">
        <v>4508</v>
      </c>
      <c r="BH283" s="588"/>
      <c r="BI283" s="588"/>
      <c r="BJ283" s="161">
        <v>1</v>
      </c>
      <c r="BK283" s="161" t="s">
        <v>5545</v>
      </c>
      <c r="BL283" s="161"/>
      <c r="BM283" s="161"/>
      <c r="BN283" s="161"/>
      <c r="BO283" s="161"/>
      <c r="BP283" s="161">
        <v>1</v>
      </c>
      <c r="BQ283" s="161"/>
      <c r="BR283" s="161"/>
      <c r="BS283" s="161"/>
      <c r="BT283" s="161"/>
      <c r="BU283" s="161"/>
      <c r="BV283" s="161"/>
      <c r="BW283" s="600" t="s">
        <v>7195</v>
      </c>
      <c r="BX283" s="185" t="s">
        <v>6657</v>
      </c>
      <c r="BY283" s="797" t="s">
        <v>7613</v>
      </c>
      <c r="BZ283" s="791" t="s">
        <v>803</v>
      </c>
      <c r="CA283" s="765">
        <v>1</v>
      </c>
      <c r="CB283" s="765" t="s">
        <v>7556</v>
      </c>
      <c r="CC283" s="765" t="s">
        <v>7384</v>
      </c>
      <c r="CD283" s="186" t="s">
        <v>23</v>
      </c>
      <c r="CE283" s="186" t="s">
        <v>5563</v>
      </c>
      <c r="CF283" s="400" t="s">
        <v>8048</v>
      </c>
      <c r="CG283" s="425" t="s">
        <v>5550</v>
      </c>
      <c r="CH283" s="753" t="s">
        <v>7310</v>
      </c>
      <c r="CI283" s="150" t="s">
        <v>5544</v>
      </c>
      <c r="CJ283" s="150"/>
      <c r="CK283" s="186" t="s">
        <v>5562</v>
      </c>
      <c r="CL283" s="150" t="s">
        <v>8296</v>
      </c>
      <c r="CM283" s="261" t="s">
        <v>5593</v>
      </c>
      <c r="CN283" s="620" t="s">
        <v>6627</v>
      </c>
      <c r="CO283" s="830">
        <v>68</v>
      </c>
      <c r="CP283" s="1357">
        <v>1</v>
      </c>
      <c r="CQ283" s="1357">
        <v>2</v>
      </c>
      <c r="CR283" s="1357">
        <v>1</v>
      </c>
      <c r="CS283" s="1357">
        <v>1</v>
      </c>
      <c r="CT283" s="1442"/>
      <c r="CU283" s="1443" t="s">
        <v>8104</v>
      </c>
      <c r="CV283" s="1444">
        <v>153</v>
      </c>
      <c r="CW283" s="1444">
        <v>144</v>
      </c>
      <c r="CX283" s="1856" t="s">
        <v>5574</v>
      </c>
      <c r="CY283" s="186">
        <v>28.68</v>
      </c>
      <c r="CZ283" s="186">
        <v>10.85</v>
      </c>
      <c r="DA283" s="186" t="s">
        <v>24</v>
      </c>
      <c r="DB283" s="1857" t="s">
        <v>5582</v>
      </c>
      <c r="DC283" s="1105">
        <v>10.49</v>
      </c>
      <c r="DD283" s="1105">
        <v>11.92</v>
      </c>
      <c r="DE283" s="1105" t="s">
        <v>24</v>
      </c>
      <c r="DF283" s="294" t="s">
        <v>8037</v>
      </c>
      <c r="DG283" s="295" t="s">
        <v>24</v>
      </c>
      <c r="DH283" s="1157"/>
      <c r="DI283" s="346"/>
      <c r="DJ283" s="1189"/>
      <c r="DK283" s="346"/>
      <c r="DL283" s="1157"/>
      <c r="DM283" s="1189"/>
      <c r="DN283" s="1164"/>
      <c r="DO283" s="1164"/>
      <c r="DP283" s="294"/>
      <c r="DQ283" s="295"/>
      <c r="DR283" s="1168"/>
      <c r="DS283" s="1168"/>
      <c r="DT283" s="689"/>
      <c r="DU283" s="1164"/>
      <c r="DV283" s="1164"/>
      <c r="DW283" s="1164"/>
      <c r="DX283" s="689"/>
      <c r="DY283" s="1164"/>
      <c r="DZ283" s="1164"/>
      <c r="EA283" s="1164"/>
      <c r="EB283" s="543"/>
      <c r="EC283" s="545"/>
      <c r="ED283" s="689"/>
      <c r="EE283" s="1164"/>
      <c r="EF283" s="1164"/>
      <c r="EG283" s="1164"/>
      <c r="EH283" s="689"/>
      <c r="EI283" s="1164"/>
      <c r="EJ283" s="1164"/>
      <c r="EK283" s="1164"/>
      <c r="EL283" s="543"/>
      <c r="EM283" s="545"/>
      <c r="EN283" s="1167"/>
      <c r="EO283" s="1165"/>
      <c r="EP283" s="122"/>
      <c r="EQ283" s="122"/>
      <c r="ER283" s="122"/>
      <c r="ES283" s="122"/>
      <c r="ET283" s="526"/>
      <c r="EU283" s="122"/>
      <c r="EV283" s="122"/>
      <c r="EW283" s="122"/>
      <c r="EX283" s="303"/>
      <c r="EY283" s="303"/>
      <c r="EZ283" s="1166"/>
      <c r="FA283" s="1164"/>
      <c r="FB283" s="1164"/>
      <c r="FC283" s="1164"/>
      <c r="FD283" s="1166"/>
      <c r="FE283" s="1164"/>
      <c r="FF283" s="1164"/>
      <c r="FG283" s="1164"/>
      <c r="FH283" s="313"/>
      <c r="FI283" s="313"/>
      <c r="FJ283" s="1165"/>
    </row>
    <row r="284" spans="1:166" ht="15" hidden="1" customHeight="1">
      <c r="A284" s="153" t="s">
        <v>176</v>
      </c>
      <c r="B284" s="618">
        <v>130</v>
      </c>
      <c r="C284" s="618">
        <v>36</v>
      </c>
      <c r="D284" s="618"/>
      <c r="E284" s="610" t="s">
        <v>1964</v>
      </c>
      <c r="F284" s="368" t="s">
        <v>2187</v>
      </c>
      <c r="G284" s="369">
        <v>1998</v>
      </c>
      <c r="H284" s="153">
        <v>9464211</v>
      </c>
      <c r="I284" s="153">
        <v>1</v>
      </c>
      <c r="J284" s="370"/>
      <c r="K284" s="371"/>
      <c r="L284" s="153">
        <v>1</v>
      </c>
      <c r="M284" s="153"/>
      <c r="N284" s="153">
        <v>1</v>
      </c>
      <c r="O284" s="153">
        <v>1</v>
      </c>
      <c r="P284" s="153" t="s">
        <v>73</v>
      </c>
      <c r="Q284" s="153" t="s">
        <v>1147</v>
      </c>
      <c r="R284" s="153" t="s">
        <v>518</v>
      </c>
      <c r="S284" s="153">
        <v>0</v>
      </c>
      <c r="T284" s="153"/>
      <c r="U284" s="153"/>
      <c r="V284" s="153"/>
      <c r="W284" s="153" t="s">
        <v>519</v>
      </c>
      <c r="X284" s="153"/>
      <c r="Y284" s="153"/>
      <c r="Z284" s="153" t="s">
        <v>520</v>
      </c>
      <c r="AA284" s="153"/>
      <c r="AB284" s="153"/>
      <c r="AC284" s="536"/>
      <c r="AD284" s="536">
        <v>1</v>
      </c>
      <c r="AE284" s="536">
        <v>2</v>
      </c>
      <c r="AF284" s="165">
        <v>0</v>
      </c>
      <c r="AG284" s="166" t="s">
        <v>4675</v>
      </c>
      <c r="AH284" s="509" t="s">
        <v>7262</v>
      </c>
      <c r="AI284" s="120">
        <v>3</v>
      </c>
      <c r="AJ284" s="120"/>
      <c r="AK284" s="206" t="s">
        <v>4666</v>
      </c>
      <c r="AL284" s="372">
        <v>0</v>
      </c>
      <c r="AM284" s="207">
        <v>0</v>
      </c>
      <c r="AN284" s="120">
        <f>15+16+16</f>
        <v>47</v>
      </c>
      <c r="AO284" s="120">
        <v>15</v>
      </c>
      <c r="AP284" s="120" t="s">
        <v>4663</v>
      </c>
      <c r="AQ284" s="120" t="s">
        <v>4667</v>
      </c>
      <c r="AR284" s="120" t="s">
        <v>4667</v>
      </c>
      <c r="AS284" s="120" t="s">
        <v>4669</v>
      </c>
      <c r="AT284" s="120" t="s">
        <v>4668</v>
      </c>
      <c r="AU284" s="120" t="s">
        <v>4669</v>
      </c>
      <c r="AV284" s="120" t="s">
        <v>4668</v>
      </c>
      <c r="AW284" s="120" t="s">
        <v>4673</v>
      </c>
      <c r="AX284" s="120"/>
      <c r="AY284" s="120"/>
      <c r="AZ284" s="755" t="s">
        <v>7360</v>
      </c>
      <c r="BA284" s="120" t="s">
        <v>24</v>
      </c>
      <c r="BB284" s="120" t="s">
        <v>24</v>
      </c>
      <c r="BC284" s="120" t="s">
        <v>4665</v>
      </c>
      <c r="BD284" s="755" t="s">
        <v>7524</v>
      </c>
      <c r="BE284" s="755"/>
      <c r="BF284" s="120" t="s">
        <v>7551</v>
      </c>
      <c r="BG284" s="120" t="s">
        <v>4664</v>
      </c>
      <c r="BH284" s="377"/>
      <c r="BI284" s="377"/>
      <c r="BJ284" s="373"/>
      <c r="BK284" s="373"/>
      <c r="BL284" s="373"/>
      <c r="BM284" s="373"/>
      <c r="BN284" s="373"/>
      <c r="BO284" s="373"/>
      <c r="BP284" s="373">
        <v>1</v>
      </c>
      <c r="BQ284" s="373"/>
      <c r="BR284" s="373"/>
      <c r="BS284" s="373"/>
      <c r="BT284" s="373"/>
      <c r="BU284" s="373"/>
      <c r="BV284" s="373"/>
      <c r="BW284" s="599" t="s">
        <v>4208</v>
      </c>
      <c r="BX284" s="374" t="s">
        <v>6611</v>
      </c>
      <c r="BY284" s="799" t="s">
        <v>7616</v>
      </c>
      <c r="BZ284" s="374" t="s">
        <v>7611</v>
      </c>
      <c r="CA284" s="775">
        <v>2</v>
      </c>
      <c r="CB284" s="511" t="s">
        <v>7556</v>
      </c>
      <c r="CC284" s="775" t="s">
        <v>24</v>
      </c>
      <c r="CD284" s="120" t="s">
        <v>1876</v>
      </c>
      <c r="CE284" s="120" t="s">
        <v>4670</v>
      </c>
      <c r="CF284" s="786" t="s">
        <v>7622</v>
      </c>
      <c r="CG284" s="633" t="s">
        <v>4671</v>
      </c>
      <c r="CH284" s="755" t="s">
        <v>7313</v>
      </c>
      <c r="CI284" s="120" t="s">
        <v>24</v>
      </c>
      <c r="CJ284" s="120"/>
      <c r="CK284" s="120" t="s">
        <v>4672</v>
      </c>
      <c r="CL284" s="120"/>
      <c r="CM284" s="375" t="s">
        <v>4674</v>
      </c>
      <c r="CN284" s="380" t="s">
        <v>24</v>
      </c>
      <c r="CO284" s="380"/>
      <c r="CP284" s="380"/>
      <c r="CQ284" s="380"/>
      <c r="CR284" s="380"/>
      <c r="CS284" s="380"/>
      <c r="CT284" s="380"/>
      <c r="CU284" s="1537" t="s">
        <v>8103</v>
      </c>
      <c r="CV284" s="1101"/>
      <c r="CW284" s="1101"/>
      <c r="CX284" s="709"/>
      <c r="CY284" s="120"/>
      <c r="CZ284" s="120"/>
      <c r="DA284" s="120"/>
      <c r="DB284" s="709"/>
      <c r="DC284" s="120"/>
      <c r="DD284" s="120"/>
      <c r="DE284" s="120"/>
      <c r="DF284" s="515"/>
      <c r="DG284" s="513"/>
      <c r="DH284" s="709"/>
      <c r="DI284" s="120"/>
      <c r="DJ284" s="384"/>
      <c r="DK284" s="120"/>
      <c r="DL284" s="709"/>
      <c r="DM284" s="120"/>
      <c r="DN284" s="384"/>
      <c r="DO284" s="120"/>
      <c r="DP284" s="375"/>
      <c r="DQ284" s="377"/>
      <c r="DR284" s="1182"/>
      <c r="DS284" s="956"/>
      <c r="DT284" s="709"/>
      <c r="DU284" s="120"/>
      <c r="DV284" s="384"/>
      <c r="DW284" s="120"/>
      <c r="DX284" s="633"/>
      <c r="DY284" s="120"/>
      <c r="DZ284" s="384"/>
      <c r="EA284" s="120"/>
      <c r="EB284" s="375"/>
      <c r="EC284" s="377"/>
      <c r="ED284" s="633"/>
      <c r="EE284" s="384"/>
      <c r="EF284" s="384"/>
      <c r="EG284" s="384"/>
      <c r="EH284" s="633"/>
      <c r="EI284" s="384"/>
      <c r="EJ284" s="384"/>
      <c r="EK284" s="384"/>
      <c r="EL284" s="375"/>
      <c r="EM284" s="377"/>
      <c r="EN284" s="1012"/>
      <c r="EO284" s="384"/>
      <c r="EP284" s="384"/>
      <c r="EQ284" s="384"/>
      <c r="ER284" s="384"/>
      <c r="ES284" s="384"/>
      <c r="ET284" s="727"/>
      <c r="EU284" s="384"/>
      <c r="EV284" s="384"/>
      <c r="EW284" s="384"/>
      <c r="EX284" s="384"/>
      <c r="EY284" s="384"/>
      <c r="EZ284" s="727"/>
      <c r="FA284" s="384"/>
      <c r="FB284" s="384"/>
      <c r="FC284" s="384"/>
      <c r="FD284" s="727"/>
      <c r="FE284" s="384"/>
      <c r="FF284" s="384"/>
      <c r="FG284" s="384"/>
      <c r="FH284" s="384"/>
      <c r="FI284" s="384"/>
      <c r="FJ284" s="384"/>
    </row>
    <row r="285" spans="1:166" ht="15" hidden="1" customHeight="1">
      <c r="A285" s="153" t="s">
        <v>1047</v>
      </c>
      <c r="B285" s="618">
        <v>131</v>
      </c>
      <c r="C285" s="618"/>
      <c r="D285" s="618">
        <v>42</v>
      </c>
      <c r="E285" s="610" t="s">
        <v>2079</v>
      </c>
      <c r="F285" s="368" t="s">
        <v>2333</v>
      </c>
      <c r="G285" s="369">
        <v>2016</v>
      </c>
      <c r="H285" s="153">
        <v>27275520</v>
      </c>
      <c r="I285" s="153">
        <v>1</v>
      </c>
      <c r="J285" s="370"/>
      <c r="K285" s="371"/>
      <c r="L285" s="153">
        <v>1</v>
      </c>
      <c r="M285" s="153"/>
      <c r="N285" s="153">
        <v>1</v>
      </c>
      <c r="O285" s="153">
        <v>2</v>
      </c>
      <c r="P285" s="153" t="s">
        <v>1361</v>
      </c>
      <c r="Q285" s="153" t="s">
        <v>1216</v>
      </c>
      <c r="R285" s="153" t="s">
        <v>1127</v>
      </c>
      <c r="S285" s="153"/>
      <c r="T285" s="153" t="s">
        <v>1487</v>
      </c>
      <c r="U285" s="153"/>
      <c r="V285" s="153"/>
      <c r="W285" s="153" t="s">
        <v>1360</v>
      </c>
      <c r="X285" s="153" t="s">
        <v>24</v>
      </c>
      <c r="Y285" s="153" t="s">
        <v>24</v>
      </c>
      <c r="Z285" s="153"/>
      <c r="AA285" s="153"/>
      <c r="AB285" s="153"/>
      <c r="AC285" s="536" t="s">
        <v>6213</v>
      </c>
      <c r="AD285" s="536">
        <v>1</v>
      </c>
      <c r="AE285" s="536">
        <v>1</v>
      </c>
      <c r="AF285" s="165">
        <v>0</v>
      </c>
      <c r="AG285" s="166" t="s">
        <v>7851</v>
      </c>
      <c r="AH285" s="509"/>
      <c r="AI285" s="120">
        <v>4</v>
      </c>
      <c r="AJ285" s="120" t="s">
        <v>6889</v>
      </c>
      <c r="AK285" s="206" t="s">
        <v>6883</v>
      </c>
      <c r="AL285" s="372">
        <v>1</v>
      </c>
      <c r="AM285" s="207">
        <v>1</v>
      </c>
      <c r="AN285" s="120">
        <f>Table66[[#This Row],[Data_Subjects_n_ptsd]]+Table66[[#This Row],[Data_Subjects_n_control]]</f>
        <v>20</v>
      </c>
      <c r="AO285" s="120">
        <v>10</v>
      </c>
      <c r="AP285" s="120">
        <v>10</v>
      </c>
      <c r="AQ285" s="120" t="s">
        <v>803</v>
      </c>
      <c r="AR285" s="120" t="s">
        <v>803</v>
      </c>
      <c r="AS285" s="120" t="s">
        <v>2687</v>
      </c>
      <c r="AT285" s="120" t="s">
        <v>24</v>
      </c>
      <c r="AU285" s="120" t="s">
        <v>2687</v>
      </c>
      <c r="AV285" s="120" t="s">
        <v>24</v>
      </c>
      <c r="AW285" s="120" t="s">
        <v>6876</v>
      </c>
      <c r="AX285" s="120"/>
      <c r="AY285" s="120"/>
      <c r="AZ285" s="755" t="s">
        <v>7328</v>
      </c>
      <c r="BA285" s="120">
        <v>1</v>
      </c>
      <c r="BB285" s="120" t="s">
        <v>6877</v>
      </c>
      <c r="BC285" s="120" t="s">
        <v>6888</v>
      </c>
      <c r="BD285" s="755" t="s">
        <v>7523</v>
      </c>
      <c r="BE285" s="755"/>
      <c r="BF285" s="120" t="s">
        <v>1130</v>
      </c>
      <c r="BG285" s="120" t="s">
        <v>6653</v>
      </c>
      <c r="BH285" s="377" t="s">
        <v>5207</v>
      </c>
      <c r="BI285" s="377"/>
      <c r="BJ285" s="373"/>
      <c r="BK285" s="373"/>
      <c r="BL285" s="373"/>
      <c r="BM285" s="373"/>
      <c r="BN285" s="373"/>
      <c r="BO285" s="373"/>
      <c r="BP285" s="373">
        <v>1</v>
      </c>
      <c r="BQ285" s="373"/>
      <c r="BR285" s="373"/>
      <c r="BS285" s="373"/>
      <c r="BT285" s="373"/>
      <c r="BU285" s="373"/>
      <c r="BV285" s="373"/>
      <c r="BW285" s="599" t="s">
        <v>6764</v>
      </c>
      <c r="BX285" s="374" t="s">
        <v>6763</v>
      </c>
      <c r="BY285" s="799" t="s">
        <v>7614</v>
      </c>
      <c r="BZ285" s="374" t="s">
        <v>7850</v>
      </c>
      <c r="CA285" s="775">
        <v>2</v>
      </c>
      <c r="CB285" s="775" t="s">
        <v>7556</v>
      </c>
      <c r="CC285" s="775" t="s">
        <v>24</v>
      </c>
      <c r="CD285" s="120" t="s">
        <v>1876</v>
      </c>
      <c r="CE285" s="384" t="s">
        <v>6884</v>
      </c>
      <c r="CF285" s="1254"/>
      <c r="CG285" s="1563" t="s">
        <v>6879</v>
      </c>
      <c r="CH285" s="1108" t="s">
        <v>1512</v>
      </c>
      <c r="CI285" s="120" t="s">
        <v>6885</v>
      </c>
      <c r="CJ285" s="120"/>
      <c r="CK285" s="120" t="s">
        <v>6878</v>
      </c>
      <c r="CL285" s="120" t="s">
        <v>6639</v>
      </c>
      <c r="CM285" s="375" t="s">
        <v>6902</v>
      </c>
      <c r="CN285" s="380" t="s">
        <v>24</v>
      </c>
      <c r="CO285" s="380">
        <v>33</v>
      </c>
      <c r="CP285" s="380">
        <v>1</v>
      </c>
      <c r="CQ285" s="380">
        <v>1</v>
      </c>
      <c r="CR285" s="380">
        <v>1</v>
      </c>
      <c r="CS285" s="380">
        <v>-1</v>
      </c>
      <c r="CT285" s="380"/>
      <c r="CU285" s="380"/>
      <c r="CV285" s="515"/>
      <c r="CW285" s="515"/>
      <c r="CX285" s="376" t="s">
        <v>6891</v>
      </c>
      <c r="CY285" s="120">
        <v>59.203800000000001</v>
      </c>
      <c r="CZ285" s="120" t="s">
        <v>24</v>
      </c>
      <c r="DA285" s="120">
        <f>62.32-Table66[[#This Row],[Data_Outcome1_M]]</f>
        <v>3.1161999999999992</v>
      </c>
      <c r="DB285" s="376" t="s">
        <v>6892</v>
      </c>
      <c r="DC285" s="120">
        <v>56.765500000000003</v>
      </c>
      <c r="DD285" s="120" t="s">
        <v>24</v>
      </c>
      <c r="DE285" s="120">
        <f>58.7295-Table66[[#This Row],[Data_Outcome2_M]]</f>
        <v>1.9639999999999986</v>
      </c>
      <c r="DF285" s="515" t="s">
        <v>5379</v>
      </c>
      <c r="DG285" s="513" t="s">
        <v>3790</v>
      </c>
      <c r="DH285" s="120"/>
      <c r="DI285" s="120"/>
      <c r="DJ285" s="384"/>
      <c r="DK285" s="120"/>
      <c r="DL285" s="384"/>
      <c r="DM285" s="120"/>
      <c r="DN285" s="384"/>
      <c r="DO285" s="120"/>
      <c r="DP285" s="375"/>
      <c r="DQ285" s="377"/>
      <c r="DR285" s="1182"/>
      <c r="DS285" s="956"/>
      <c r="DT285" s="727"/>
      <c r="DU285" s="384"/>
      <c r="DV285" s="384"/>
      <c r="DW285" s="384"/>
      <c r="DX285" s="384"/>
      <c r="DY285" s="384"/>
      <c r="DZ285" s="384"/>
      <c r="EA285" s="384"/>
      <c r="EB285" s="1012"/>
      <c r="EC285" s="384"/>
      <c r="ED285" s="384"/>
      <c r="EE285" s="384"/>
      <c r="EF285" s="384"/>
      <c r="EG285" s="384"/>
      <c r="EH285" s="384"/>
      <c r="EI285" s="384"/>
      <c r="EJ285" s="384"/>
      <c r="EK285" s="384"/>
      <c r="EL285" s="1012"/>
      <c r="EM285" s="384"/>
      <c r="EN285" s="1012"/>
      <c r="EO285" s="384"/>
      <c r="EP285" s="384"/>
      <c r="EQ285" s="384"/>
      <c r="ER285" s="384"/>
      <c r="ES285" s="384"/>
      <c r="ET285" s="384"/>
      <c r="EU285" s="384"/>
      <c r="EV285" s="384"/>
      <c r="EW285" s="384"/>
      <c r="EX285" s="384"/>
      <c r="EY285" s="384"/>
      <c r="EZ285" s="727"/>
      <c r="FA285" s="384"/>
      <c r="FB285" s="384"/>
      <c r="FC285" s="384"/>
      <c r="FD285" s="727"/>
      <c r="FE285" s="384"/>
      <c r="FF285" s="384"/>
      <c r="FG285" s="384"/>
      <c r="FH285" s="384"/>
      <c r="FI285" s="384"/>
      <c r="FJ285" s="384"/>
    </row>
    <row r="286" spans="1:166" ht="15" hidden="1" customHeight="1">
      <c r="A286" s="79" t="s">
        <v>1047</v>
      </c>
      <c r="B286" s="362">
        <v>131</v>
      </c>
      <c r="C286" s="362"/>
      <c r="D286" s="362">
        <v>42</v>
      </c>
      <c r="E286" s="604" t="s">
        <v>2079</v>
      </c>
      <c r="F286" s="124" t="s">
        <v>2333</v>
      </c>
      <c r="G286" s="125">
        <v>2016</v>
      </c>
      <c r="H286" s="79">
        <v>27275520</v>
      </c>
      <c r="I286" s="79">
        <v>1</v>
      </c>
      <c r="J286" s="126"/>
      <c r="K286" s="127"/>
      <c r="L286" s="79">
        <v>1</v>
      </c>
      <c r="M286" s="79"/>
      <c r="N286" s="79">
        <v>1</v>
      </c>
      <c r="O286" s="128">
        <v>2</v>
      </c>
      <c r="P286" s="79" t="s">
        <v>1361</v>
      </c>
      <c r="Q286" s="79" t="s">
        <v>1216</v>
      </c>
      <c r="R286" s="79" t="s">
        <v>1127</v>
      </c>
      <c r="S286" s="79"/>
      <c r="T286" s="79" t="s">
        <v>1487</v>
      </c>
      <c r="U286" s="79"/>
      <c r="V286" s="79"/>
      <c r="W286" s="79" t="s">
        <v>1360</v>
      </c>
      <c r="X286" s="79" t="s">
        <v>24</v>
      </c>
      <c r="Y286" s="79" t="s">
        <v>24</v>
      </c>
      <c r="Z286" s="79"/>
      <c r="AA286" s="79"/>
      <c r="AB286" s="79"/>
      <c r="AC286" s="506" t="s">
        <v>6213</v>
      </c>
      <c r="AD286" s="573">
        <v>1</v>
      </c>
      <c r="AE286" s="573">
        <v>1</v>
      </c>
      <c r="AF286" s="154">
        <v>1</v>
      </c>
      <c r="AG286" s="155" t="s">
        <v>7625</v>
      </c>
      <c r="AH286" s="704"/>
      <c r="AI286" s="121">
        <v>4</v>
      </c>
      <c r="AJ286" s="484" t="s">
        <v>6889</v>
      </c>
      <c r="AK286" s="202" t="s">
        <v>6883</v>
      </c>
      <c r="AL286" s="192">
        <v>1</v>
      </c>
      <c r="AM286" s="203">
        <v>1</v>
      </c>
      <c r="AN286" s="121">
        <f>Table66[[#This Row],[Data_Subjects_n_ptsd]]+Table66[[#This Row],[Data_Subjects_n_control]]</f>
        <v>20</v>
      </c>
      <c r="AO286" s="121">
        <v>10</v>
      </c>
      <c r="AP286" s="121">
        <v>10</v>
      </c>
      <c r="AQ286" s="121" t="s">
        <v>803</v>
      </c>
      <c r="AR286" s="121" t="s">
        <v>803</v>
      </c>
      <c r="AS286" s="121" t="s">
        <v>2687</v>
      </c>
      <c r="AT286" s="121" t="s">
        <v>24</v>
      </c>
      <c r="AU286" s="121" t="s">
        <v>2687</v>
      </c>
      <c r="AV286" s="121" t="s">
        <v>24</v>
      </c>
      <c r="AW286" s="121" t="s">
        <v>6876</v>
      </c>
      <c r="AX286" s="121"/>
      <c r="AY286" s="121"/>
      <c r="AZ286" s="754" t="s">
        <v>7328</v>
      </c>
      <c r="BA286" s="121">
        <v>1</v>
      </c>
      <c r="BB286" s="121" t="s">
        <v>6877</v>
      </c>
      <c r="BC286" s="121" t="s">
        <v>6888</v>
      </c>
      <c r="BD286" s="754" t="s">
        <v>7523</v>
      </c>
      <c r="BE286" s="754"/>
      <c r="BF286" s="121" t="s">
        <v>1130</v>
      </c>
      <c r="BG286" s="121" t="s">
        <v>6653</v>
      </c>
      <c r="BH286" s="594" t="s">
        <v>5207</v>
      </c>
      <c r="BI286" s="594"/>
      <c r="BJ286" s="156"/>
      <c r="BK286" s="156"/>
      <c r="BL286" s="156"/>
      <c r="BM286" s="156"/>
      <c r="BN286" s="156"/>
      <c r="BO286" s="156"/>
      <c r="BP286" s="156">
        <v>1</v>
      </c>
      <c r="BQ286" s="156"/>
      <c r="BR286" s="156"/>
      <c r="BS286" s="156"/>
      <c r="BT286" s="156"/>
      <c r="BU286" s="156"/>
      <c r="BV286" s="156"/>
      <c r="BW286" s="595" t="s">
        <v>6764</v>
      </c>
      <c r="BX286" s="157" t="s">
        <v>6763</v>
      </c>
      <c r="BY286" s="797" t="s">
        <v>7614</v>
      </c>
      <c r="BZ286" s="789" t="s">
        <v>7610</v>
      </c>
      <c r="CA286" s="769">
        <v>2</v>
      </c>
      <c r="CB286" s="769" t="s">
        <v>7556</v>
      </c>
      <c r="CC286" s="769" t="s">
        <v>7384</v>
      </c>
      <c r="CD286" s="134" t="s">
        <v>1876</v>
      </c>
      <c r="CE286" s="168" t="s">
        <v>6884</v>
      </c>
      <c r="CF286" s="415"/>
      <c r="CG286" s="818" t="s">
        <v>6879</v>
      </c>
      <c r="CH286" s="763" t="s">
        <v>1512</v>
      </c>
      <c r="CI286" s="134" t="s">
        <v>6885</v>
      </c>
      <c r="CJ286" s="134"/>
      <c r="CK286" s="134" t="s">
        <v>6878</v>
      </c>
      <c r="CL286" s="134" t="s">
        <v>8226</v>
      </c>
      <c r="CM286" s="259" t="s">
        <v>6902</v>
      </c>
      <c r="CN286" s="454" t="s">
        <v>24</v>
      </c>
      <c r="CO286" s="828">
        <v>33</v>
      </c>
      <c r="CP286" s="828">
        <v>1</v>
      </c>
      <c r="CQ286" s="828">
        <v>5</v>
      </c>
      <c r="CR286" s="828">
        <v>1</v>
      </c>
      <c r="CS286" s="828">
        <v>-1</v>
      </c>
      <c r="CT286" s="967"/>
      <c r="CU286" s="1289" t="s">
        <v>8104</v>
      </c>
      <c r="CV286" s="1295">
        <v>89</v>
      </c>
      <c r="CW286" s="1295">
        <v>81</v>
      </c>
      <c r="CX286" s="138" t="s">
        <v>6899</v>
      </c>
      <c r="CY286" s="190">
        <v>13.783300000000001</v>
      </c>
      <c r="CZ286" s="134" t="s">
        <v>24</v>
      </c>
      <c r="DA286" s="190">
        <f>16.2215-Table66[[#This Row],[Data_Outcome1_M]]</f>
        <v>2.4381999999999984</v>
      </c>
      <c r="DB286" s="138" t="s">
        <v>6900</v>
      </c>
      <c r="DC286" s="134">
        <v>8.7709100000000007</v>
      </c>
      <c r="DD286" s="134" t="s">
        <v>24</v>
      </c>
      <c r="DE286" s="134">
        <f>10.3966-Table66[[#This Row],[Data_Outcome2_M]]</f>
        <v>1.6256899999999987</v>
      </c>
      <c r="DF286" s="288" t="s">
        <v>6901</v>
      </c>
      <c r="DG286" s="289" t="s">
        <v>2555</v>
      </c>
      <c r="DH286" s="1175"/>
      <c r="DI286" s="417"/>
      <c r="DJ286" s="1169"/>
      <c r="DK286" s="417"/>
      <c r="DL286" s="1171"/>
      <c r="DM286" s="417"/>
      <c r="DN286" s="1169"/>
      <c r="DO286" s="1151"/>
      <c r="DP286" s="288"/>
      <c r="DQ286" s="441"/>
      <c r="DR286" s="1168"/>
      <c r="DS286" s="865"/>
      <c r="DT286" s="1171"/>
      <c r="DU286" s="417"/>
      <c r="DV286" s="1169"/>
      <c r="DW286" s="417"/>
      <c r="DX286" s="1171"/>
      <c r="DY286" s="417"/>
      <c r="DZ286" s="1169"/>
      <c r="EA286" s="417"/>
      <c r="EB286" s="1226"/>
      <c r="EC286" s="1225"/>
      <c r="ED286" s="1171"/>
      <c r="EE286" s="417"/>
      <c r="EF286" s="1169"/>
      <c r="EG286" s="417"/>
      <c r="EH286" s="1171"/>
      <c r="EI286" s="417"/>
      <c r="EJ286" s="1169"/>
      <c r="EK286" s="417"/>
      <c r="EL286" s="1226"/>
      <c r="EM286" s="1225"/>
      <c r="EN286" s="309"/>
      <c r="EO286" s="1170"/>
      <c r="EP286" s="1155"/>
      <c r="EQ286" s="417"/>
      <c r="ER286" s="417"/>
      <c r="ES286" s="417"/>
      <c r="ET286" s="1155"/>
      <c r="EU286" s="417"/>
      <c r="EV286" s="417"/>
      <c r="EW286" s="417"/>
      <c r="EX286" s="1146"/>
      <c r="EY286" s="1147"/>
      <c r="EZ286" s="1276"/>
      <c r="FA286" s="121"/>
      <c r="FB286" s="121"/>
      <c r="FC286" s="121"/>
      <c r="FD286" s="1276"/>
      <c r="FE286" s="121"/>
      <c r="FF286" s="121"/>
      <c r="FG286" s="121"/>
      <c r="FH286" s="301"/>
      <c r="FI286" s="301"/>
      <c r="FJ286" s="1170"/>
    </row>
    <row r="287" spans="1:166" ht="15" hidden="1" customHeight="1">
      <c r="A287" s="79" t="s">
        <v>1028</v>
      </c>
      <c r="B287" s="362">
        <v>152</v>
      </c>
      <c r="C287" s="362">
        <v>48</v>
      </c>
      <c r="D287" s="362"/>
      <c r="E287" s="604" t="s">
        <v>2086</v>
      </c>
      <c r="F287" s="124" t="s">
        <v>2341</v>
      </c>
      <c r="G287" s="125">
        <v>2015</v>
      </c>
      <c r="H287" s="79">
        <v>25976074</v>
      </c>
      <c r="I287" s="79">
        <v>1</v>
      </c>
      <c r="J287" s="126"/>
      <c r="K287" s="127"/>
      <c r="L287" s="79">
        <v>1</v>
      </c>
      <c r="M287" s="79"/>
      <c r="N287" s="79">
        <v>1</v>
      </c>
      <c r="O287" s="128">
        <v>2</v>
      </c>
      <c r="P287" s="79" t="s">
        <v>1399</v>
      </c>
      <c r="Q287" s="79" t="s">
        <v>1216</v>
      </c>
      <c r="R287" s="79" t="s">
        <v>1127</v>
      </c>
      <c r="S287" s="79"/>
      <c r="T287" s="79" t="s">
        <v>1487</v>
      </c>
      <c r="U287" s="79" t="s">
        <v>803</v>
      </c>
      <c r="V287" s="79" t="s">
        <v>23</v>
      </c>
      <c r="W287" s="79" t="s">
        <v>1677</v>
      </c>
      <c r="X287" s="79" t="s">
        <v>1400</v>
      </c>
      <c r="Y287" s="79"/>
      <c r="Z287" s="79"/>
      <c r="AA287" s="79"/>
      <c r="AB287" s="79"/>
      <c r="AC287" s="506"/>
      <c r="AD287" s="573">
        <v>1</v>
      </c>
      <c r="AE287" s="573">
        <v>2</v>
      </c>
      <c r="AF287" s="154">
        <v>1</v>
      </c>
      <c r="AG287" s="155"/>
      <c r="AH287" s="704"/>
      <c r="AI287" s="121">
        <v>4</v>
      </c>
      <c r="AJ287" s="484"/>
      <c r="AK287" s="202" t="s">
        <v>4922</v>
      </c>
      <c r="AL287" s="192">
        <v>1</v>
      </c>
      <c r="AM287" s="215">
        <v>0</v>
      </c>
      <c r="AN287" s="134" t="s">
        <v>4899</v>
      </c>
      <c r="AO287" s="134">
        <f>120/5</f>
        <v>24</v>
      </c>
      <c r="AP287" s="134">
        <f>120/5</f>
        <v>24</v>
      </c>
      <c r="AQ287" s="134" t="s">
        <v>803</v>
      </c>
      <c r="AR287" s="134" t="s">
        <v>803</v>
      </c>
      <c r="AS287" s="134" t="s">
        <v>3633</v>
      </c>
      <c r="AT287" s="134" t="s">
        <v>24</v>
      </c>
      <c r="AU287" s="134" t="s">
        <v>3633</v>
      </c>
      <c r="AV287" s="134" t="s">
        <v>24</v>
      </c>
      <c r="AW287" s="134" t="s">
        <v>4900</v>
      </c>
      <c r="AX287" s="134"/>
      <c r="AY287" s="134"/>
      <c r="AZ287" s="753" t="s">
        <v>1487</v>
      </c>
      <c r="BA287" s="134">
        <v>1</v>
      </c>
      <c r="BB287" s="134">
        <v>1</v>
      </c>
      <c r="BC287" s="134" t="s">
        <v>4901</v>
      </c>
      <c r="BD287" s="753" t="s">
        <v>7522</v>
      </c>
      <c r="BE287" s="753"/>
      <c r="BF287" s="134" t="s">
        <v>2912</v>
      </c>
      <c r="BG287" s="134" t="s">
        <v>4508</v>
      </c>
      <c r="BH287" s="594"/>
      <c r="BI287" s="594"/>
      <c r="BJ287" s="156"/>
      <c r="BK287" s="156"/>
      <c r="BL287" s="156"/>
      <c r="BM287" s="156"/>
      <c r="BN287" s="156"/>
      <c r="BO287" s="156"/>
      <c r="BP287" s="156">
        <v>1</v>
      </c>
      <c r="BQ287" s="156"/>
      <c r="BR287" s="156"/>
      <c r="BS287" s="156"/>
      <c r="BT287" s="156"/>
      <c r="BU287" s="156"/>
      <c r="BV287" s="156"/>
      <c r="BW287" s="595" t="s">
        <v>4906</v>
      </c>
      <c r="BX287" s="157" t="s">
        <v>6617</v>
      </c>
      <c r="BY287" s="797" t="s">
        <v>7614</v>
      </c>
      <c r="BZ287" s="789" t="s">
        <v>7610</v>
      </c>
      <c r="CA287" s="765">
        <v>2</v>
      </c>
      <c r="CB287" s="765" t="s">
        <v>7556</v>
      </c>
      <c r="CC287" s="1735" t="s">
        <v>7384</v>
      </c>
      <c r="CD287" s="134" t="s">
        <v>1876</v>
      </c>
      <c r="CE287" s="134" t="s">
        <v>4904</v>
      </c>
      <c r="CF287" s="400" t="s">
        <v>7595</v>
      </c>
      <c r="CG287" s="426" t="s">
        <v>4902</v>
      </c>
      <c r="CH287" s="753" t="s">
        <v>1512</v>
      </c>
      <c r="CI287" s="134" t="s">
        <v>4905</v>
      </c>
      <c r="CJ287" s="134"/>
      <c r="CK287" s="134" t="s">
        <v>4903</v>
      </c>
      <c r="CL287" s="134" t="s">
        <v>8226</v>
      </c>
      <c r="CM287" s="259" t="s">
        <v>4921</v>
      </c>
      <c r="CN287" s="454" t="s">
        <v>24</v>
      </c>
      <c r="CO287" s="828">
        <v>40</v>
      </c>
      <c r="CP287" s="828">
        <v>1</v>
      </c>
      <c r="CQ287" s="828">
        <v>1</v>
      </c>
      <c r="CR287" s="828">
        <v>1</v>
      </c>
      <c r="CS287" s="828">
        <v>-1</v>
      </c>
      <c r="CT287" s="967"/>
      <c r="CU287" s="1289" t="s">
        <v>8104</v>
      </c>
      <c r="CV287" s="1295">
        <v>93</v>
      </c>
      <c r="CW287" s="1295">
        <v>85</v>
      </c>
      <c r="CX287" s="138" t="s">
        <v>4907</v>
      </c>
      <c r="CY287" s="190">
        <v>48.7059</v>
      </c>
      <c r="CZ287" s="134">
        <f>50.6184-Table66[[#This Row],[Data_Outcome1_M]]</f>
        <v>1.9125000000000014</v>
      </c>
      <c r="DA287" s="134" t="s">
        <v>24</v>
      </c>
      <c r="DB287" s="138" t="s">
        <v>4908</v>
      </c>
      <c r="DC287" s="134">
        <v>52.088200000000001</v>
      </c>
      <c r="DD287" s="134">
        <f>53.4118-Table66[[#This Row],[Data_Outcome2_M]]</f>
        <v>1.323599999999999</v>
      </c>
      <c r="DE287" s="134" t="s">
        <v>24</v>
      </c>
      <c r="DF287" s="873" t="s">
        <v>4919</v>
      </c>
      <c r="DG287" s="873" t="s">
        <v>2555</v>
      </c>
      <c r="DH287" s="1169"/>
      <c r="DI287" s="417"/>
      <c r="DJ287" s="1169"/>
      <c r="DK287" s="1169"/>
      <c r="DL287" s="1169"/>
      <c r="DM287" s="1169"/>
      <c r="DN287" s="1169"/>
      <c r="DO287" s="1169"/>
      <c r="DP287" s="288"/>
      <c r="DQ287" s="289"/>
      <c r="DR287" s="1168"/>
      <c r="DS287" s="865"/>
      <c r="DT287" s="1171"/>
      <c r="DU287" s="1169"/>
      <c r="DV287" s="1169"/>
      <c r="DW287" s="1169"/>
      <c r="DX287" s="1169"/>
      <c r="DY287" s="1169"/>
      <c r="DZ287" s="1169"/>
      <c r="EA287" s="1169"/>
      <c r="EB287" s="304"/>
      <c r="EC287" s="312"/>
      <c r="ED287" s="1169"/>
      <c r="EE287" s="121"/>
      <c r="EF287" s="1169"/>
      <c r="EG287" s="1169"/>
      <c r="EH287" s="1169"/>
      <c r="EI287" s="1169"/>
      <c r="EJ287" s="1169"/>
      <c r="EK287" s="1169"/>
      <c r="EL287" s="304"/>
      <c r="EM287" s="312"/>
      <c r="EN287" s="309"/>
      <c r="EO287" s="1170"/>
      <c r="EP287" s="1169"/>
      <c r="EQ287" s="121"/>
      <c r="ER287" s="1169"/>
      <c r="ES287" s="1169"/>
      <c r="ET287" s="1169"/>
      <c r="EU287" s="1169"/>
      <c r="EV287" s="1169"/>
      <c r="EW287" s="1169"/>
      <c r="EX287" s="312"/>
      <c r="EY287" s="312"/>
      <c r="EZ287" s="1169"/>
      <c r="FA287" s="121"/>
      <c r="FB287" s="1169"/>
      <c r="FC287" s="1169"/>
      <c r="FD287" s="1169"/>
      <c r="FE287" s="1169"/>
      <c r="FF287" s="1169"/>
      <c r="FG287" s="1169"/>
      <c r="FH287" s="312"/>
      <c r="FI287" s="312"/>
      <c r="FJ287" s="1170"/>
    </row>
    <row r="288" spans="1:166" ht="15" hidden="1" customHeight="1">
      <c r="A288" s="79" t="s">
        <v>1028</v>
      </c>
      <c r="B288" s="362">
        <v>152</v>
      </c>
      <c r="C288" s="362">
        <v>48</v>
      </c>
      <c r="D288" s="362"/>
      <c r="E288" s="604" t="s">
        <v>2086</v>
      </c>
      <c r="F288" s="124" t="s">
        <v>2341</v>
      </c>
      <c r="G288" s="125">
        <v>2015</v>
      </c>
      <c r="H288" s="79">
        <v>25976074</v>
      </c>
      <c r="I288" s="79">
        <v>1</v>
      </c>
      <c r="J288" s="126"/>
      <c r="K288" s="127"/>
      <c r="L288" s="79">
        <v>1</v>
      </c>
      <c r="M288" s="79"/>
      <c r="N288" s="79">
        <v>1</v>
      </c>
      <c r="O288" s="128">
        <v>2</v>
      </c>
      <c r="P288" s="79" t="s">
        <v>1399</v>
      </c>
      <c r="Q288" s="79" t="s">
        <v>1216</v>
      </c>
      <c r="R288" s="79" t="s">
        <v>1127</v>
      </c>
      <c r="S288" s="79"/>
      <c r="T288" s="79" t="s">
        <v>1487</v>
      </c>
      <c r="U288" s="79" t="s">
        <v>803</v>
      </c>
      <c r="V288" s="79" t="s">
        <v>23</v>
      </c>
      <c r="W288" s="79" t="s">
        <v>1677</v>
      </c>
      <c r="X288" s="79" t="s">
        <v>1400</v>
      </c>
      <c r="Y288" s="79"/>
      <c r="Z288" s="79"/>
      <c r="AA288" s="79"/>
      <c r="AB288" s="79"/>
      <c r="AC288" s="506"/>
      <c r="AD288" s="573">
        <v>1</v>
      </c>
      <c r="AE288" s="573">
        <v>2</v>
      </c>
      <c r="AF288" s="154">
        <v>1</v>
      </c>
      <c r="AG288" s="155"/>
      <c r="AH288" s="704"/>
      <c r="AI288" s="121">
        <v>4</v>
      </c>
      <c r="AJ288" s="484"/>
      <c r="AK288" s="202" t="s">
        <v>4922</v>
      </c>
      <c r="AL288" s="192">
        <v>1</v>
      </c>
      <c r="AM288" s="215">
        <v>0</v>
      </c>
      <c r="AN288" s="134" t="s">
        <v>4899</v>
      </c>
      <c r="AO288" s="134">
        <f>120/5</f>
        <v>24</v>
      </c>
      <c r="AP288" s="134">
        <f>120/5</f>
        <v>24</v>
      </c>
      <c r="AQ288" s="134" t="s">
        <v>803</v>
      </c>
      <c r="AR288" s="134" t="s">
        <v>803</v>
      </c>
      <c r="AS288" s="134" t="s">
        <v>3633</v>
      </c>
      <c r="AT288" s="134" t="s">
        <v>24</v>
      </c>
      <c r="AU288" s="134" t="s">
        <v>3633</v>
      </c>
      <c r="AV288" s="134" t="s">
        <v>24</v>
      </c>
      <c r="AW288" s="134" t="s">
        <v>4900</v>
      </c>
      <c r="AX288" s="134"/>
      <c r="AY288" s="134"/>
      <c r="AZ288" s="753" t="s">
        <v>1487</v>
      </c>
      <c r="BA288" s="134">
        <v>1</v>
      </c>
      <c r="BB288" s="134">
        <v>1</v>
      </c>
      <c r="BC288" s="134" t="s">
        <v>4901</v>
      </c>
      <c r="BD288" s="753" t="s">
        <v>7522</v>
      </c>
      <c r="BE288" s="753"/>
      <c r="BF288" s="134" t="s">
        <v>2912</v>
      </c>
      <c r="BG288" s="134" t="s">
        <v>4508</v>
      </c>
      <c r="BH288" s="594"/>
      <c r="BI288" s="594"/>
      <c r="BJ288" s="156"/>
      <c r="BK288" s="156"/>
      <c r="BL288" s="156"/>
      <c r="BM288" s="156"/>
      <c r="BN288" s="156"/>
      <c r="BO288" s="156"/>
      <c r="BP288" s="156">
        <v>1</v>
      </c>
      <c r="BQ288" s="156"/>
      <c r="BR288" s="156"/>
      <c r="BS288" s="156"/>
      <c r="BT288" s="156"/>
      <c r="BU288" s="156"/>
      <c r="BV288" s="156"/>
      <c r="BW288" s="595" t="s">
        <v>4906</v>
      </c>
      <c r="BX288" s="157" t="s">
        <v>6617</v>
      </c>
      <c r="BY288" s="797" t="s">
        <v>7614</v>
      </c>
      <c r="BZ288" s="789" t="s">
        <v>7610</v>
      </c>
      <c r="CA288" s="765">
        <v>2</v>
      </c>
      <c r="CB288" s="765" t="s">
        <v>7556</v>
      </c>
      <c r="CC288" s="1735" t="s">
        <v>7384</v>
      </c>
      <c r="CD288" s="134" t="s">
        <v>1876</v>
      </c>
      <c r="CE288" s="134" t="s">
        <v>4904</v>
      </c>
      <c r="CF288" s="400" t="s">
        <v>7595</v>
      </c>
      <c r="CG288" s="426" t="s">
        <v>4902</v>
      </c>
      <c r="CH288" s="753" t="s">
        <v>1512</v>
      </c>
      <c r="CI288" s="134" t="s">
        <v>4905</v>
      </c>
      <c r="CJ288" s="134"/>
      <c r="CK288" s="134" t="s">
        <v>4903</v>
      </c>
      <c r="CL288" s="134" t="s">
        <v>8226</v>
      </c>
      <c r="CM288" s="259" t="s">
        <v>4921</v>
      </c>
      <c r="CN288" s="454" t="s">
        <v>24</v>
      </c>
      <c r="CO288" s="828">
        <v>40</v>
      </c>
      <c r="CP288" s="828">
        <v>1</v>
      </c>
      <c r="CQ288" s="828">
        <v>2</v>
      </c>
      <c r="CR288" s="828">
        <v>1</v>
      </c>
      <c r="CS288" s="828">
        <v>-1</v>
      </c>
      <c r="CT288" s="967"/>
      <c r="CU288" s="1289" t="s">
        <v>8104</v>
      </c>
      <c r="CV288" s="1295">
        <v>93</v>
      </c>
      <c r="CW288" s="1295">
        <v>85</v>
      </c>
      <c r="CX288" s="138" t="s">
        <v>4909</v>
      </c>
      <c r="CY288" s="134">
        <v>33.808700000000002</v>
      </c>
      <c r="CZ288" s="134">
        <f>36.0146-Table66[[#This Row],[Data_Outcome1_M]]</f>
        <v>2.2058999999999997</v>
      </c>
      <c r="DA288" s="134" t="s">
        <v>24</v>
      </c>
      <c r="DB288" s="138" t="s">
        <v>4910</v>
      </c>
      <c r="DC288" s="134">
        <v>48.808599999999998</v>
      </c>
      <c r="DD288" s="134">
        <f>50.1321-Table66[[#This Row],[Data_Outcome2_M]]</f>
        <v>1.3235000000000028</v>
      </c>
      <c r="DE288" s="134" t="s">
        <v>24</v>
      </c>
      <c r="DF288" s="550" t="s">
        <v>4919</v>
      </c>
      <c r="DG288" s="550" t="s">
        <v>2588</v>
      </c>
      <c r="DH288" s="1276"/>
      <c r="DI288" s="417"/>
      <c r="DJ288" s="1169"/>
      <c r="DK288" s="121"/>
      <c r="DL288" s="1171"/>
      <c r="DM288" s="121"/>
      <c r="DN288" s="1169"/>
      <c r="DO288" s="121"/>
      <c r="DP288" s="544"/>
      <c r="DQ288" s="544"/>
      <c r="DR288" s="1168"/>
      <c r="DS288" s="865"/>
      <c r="DT288" s="1171"/>
      <c r="DU288" s="121"/>
      <c r="DV288" s="1169"/>
      <c r="DW288" s="121"/>
      <c r="DX288" s="1171"/>
      <c r="DY288" s="121"/>
      <c r="DZ288" s="1169"/>
      <c r="EA288" s="121"/>
      <c r="EB288" s="1227"/>
      <c r="EC288" s="1227"/>
      <c r="ED288" s="1171"/>
      <c r="EE288" s="121"/>
      <c r="EF288" s="1169"/>
      <c r="EG288" s="121"/>
      <c r="EH288" s="1171"/>
      <c r="EI288" s="121"/>
      <c r="EJ288" s="1169"/>
      <c r="EK288" s="121"/>
      <c r="EL288" s="312"/>
      <c r="EM288" s="312"/>
      <c r="EN288" s="309"/>
      <c r="EO288" s="1170"/>
      <c r="EP288" s="1276"/>
      <c r="EQ288" s="121"/>
      <c r="ER288" s="121"/>
      <c r="ES288" s="121"/>
      <c r="ET288" s="1276"/>
      <c r="EU288" s="121"/>
      <c r="EV288" s="121"/>
      <c r="EW288" s="121"/>
      <c r="EX288" s="301"/>
      <c r="EY288" s="301"/>
      <c r="EZ288" s="1276"/>
      <c r="FA288" s="121"/>
      <c r="FB288" s="121"/>
      <c r="FC288" s="121"/>
      <c r="FD288" s="1276"/>
      <c r="FE288" s="121"/>
      <c r="FF288" s="121"/>
      <c r="FG288" s="121"/>
      <c r="FH288" s="301"/>
      <c r="FI288" s="301"/>
      <c r="FJ288" s="1170"/>
    </row>
    <row r="289" spans="1:166" ht="15" hidden="1" customHeight="1">
      <c r="A289" s="79" t="s">
        <v>1028</v>
      </c>
      <c r="B289" s="362">
        <v>152</v>
      </c>
      <c r="C289" s="362">
        <v>48</v>
      </c>
      <c r="D289" s="362"/>
      <c r="E289" s="604" t="s">
        <v>2086</v>
      </c>
      <c r="F289" s="124" t="s">
        <v>2341</v>
      </c>
      <c r="G289" s="125">
        <v>2015</v>
      </c>
      <c r="H289" s="79">
        <v>25976074</v>
      </c>
      <c r="I289" s="79">
        <v>1</v>
      </c>
      <c r="J289" s="126"/>
      <c r="K289" s="127"/>
      <c r="L289" s="79">
        <v>1</v>
      </c>
      <c r="M289" s="79"/>
      <c r="N289" s="79">
        <v>1</v>
      </c>
      <c r="O289" s="128">
        <v>2</v>
      </c>
      <c r="P289" s="79" t="s">
        <v>1399</v>
      </c>
      <c r="Q289" s="79" t="s">
        <v>1216</v>
      </c>
      <c r="R289" s="79" t="s">
        <v>1127</v>
      </c>
      <c r="S289" s="79"/>
      <c r="T289" s="79" t="s">
        <v>1487</v>
      </c>
      <c r="U289" s="79" t="s">
        <v>803</v>
      </c>
      <c r="V289" s="79" t="s">
        <v>23</v>
      </c>
      <c r="W289" s="79" t="s">
        <v>1677</v>
      </c>
      <c r="X289" s="79" t="s">
        <v>1400</v>
      </c>
      <c r="Y289" s="79"/>
      <c r="Z289" s="79"/>
      <c r="AA289" s="79"/>
      <c r="AB289" s="79"/>
      <c r="AC289" s="506"/>
      <c r="AD289" s="573">
        <v>1</v>
      </c>
      <c r="AE289" s="573">
        <v>2</v>
      </c>
      <c r="AF289" s="154">
        <v>1</v>
      </c>
      <c r="AG289" s="155"/>
      <c r="AH289" s="704"/>
      <c r="AI289" s="121">
        <v>4</v>
      </c>
      <c r="AJ289" s="484"/>
      <c r="AK289" s="202" t="s">
        <v>4922</v>
      </c>
      <c r="AL289" s="192">
        <v>1</v>
      </c>
      <c r="AM289" s="215">
        <v>0</v>
      </c>
      <c r="AN289" s="134" t="s">
        <v>4899</v>
      </c>
      <c r="AO289" s="134">
        <f>120/5</f>
        <v>24</v>
      </c>
      <c r="AP289" s="134">
        <f>120/5</f>
        <v>24</v>
      </c>
      <c r="AQ289" s="134" t="s">
        <v>803</v>
      </c>
      <c r="AR289" s="134" t="s">
        <v>803</v>
      </c>
      <c r="AS289" s="134" t="s">
        <v>3633</v>
      </c>
      <c r="AT289" s="134" t="s">
        <v>24</v>
      </c>
      <c r="AU289" s="134" t="s">
        <v>3633</v>
      </c>
      <c r="AV289" s="134" t="s">
        <v>24</v>
      </c>
      <c r="AW289" s="134" t="s">
        <v>4900</v>
      </c>
      <c r="AX289" s="134"/>
      <c r="AY289" s="134"/>
      <c r="AZ289" s="753" t="s">
        <v>1487</v>
      </c>
      <c r="BA289" s="134">
        <v>1</v>
      </c>
      <c r="BB289" s="134">
        <v>1</v>
      </c>
      <c r="BC289" s="134" t="s">
        <v>4901</v>
      </c>
      <c r="BD289" s="753" t="s">
        <v>7522</v>
      </c>
      <c r="BE289" s="753"/>
      <c r="BF289" s="134" t="s">
        <v>2912</v>
      </c>
      <c r="BG289" s="134" t="s">
        <v>4508</v>
      </c>
      <c r="BH289" s="594"/>
      <c r="BI289" s="594"/>
      <c r="BJ289" s="156"/>
      <c r="BK289" s="156"/>
      <c r="BL289" s="156"/>
      <c r="BM289" s="156"/>
      <c r="BN289" s="156"/>
      <c r="BO289" s="156"/>
      <c r="BP289" s="156">
        <v>1</v>
      </c>
      <c r="BQ289" s="156"/>
      <c r="BR289" s="156"/>
      <c r="BS289" s="156"/>
      <c r="BT289" s="156"/>
      <c r="BU289" s="156"/>
      <c r="BV289" s="156"/>
      <c r="BW289" s="595" t="s">
        <v>4906</v>
      </c>
      <c r="BX289" s="157" t="s">
        <v>6617</v>
      </c>
      <c r="BY289" s="797" t="s">
        <v>7614</v>
      </c>
      <c r="BZ289" s="789" t="s">
        <v>7610</v>
      </c>
      <c r="CA289" s="765">
        <v>2</v>
      </c>
      <c r="CB289" s="765" t="s">
        <v>7556</v>
      </c>
      <c r="CC289" s="1735" t="s">
        <v>7384</v>
      </c>
      <c r="CD289" s="134" t="s">
        <v>1876</v>
      </c>
      <c r="CE289" s="134" t="s">
        <v>4904</v>
      </c>
      <c r="CF289" s="400" t="s">
        <v>7595</v>
      </c>
      <c r="CG289" s="426" t="s">
        <v>4902</v>
      </c>
      <c r="CH289" s="753" t="s">
        <v>1512</v>
      </c>
      <c r="CI289" s="134" t="s">
        <v>4905</v>
      </c>
      <c r="CJ289" s="134"/>
      <c r="CK289" s="134" t="s">
        <v>4903</v>
      </c>
      <c r="CL289" s="134" t="s">
        <v>8226</v>
      </c>
      <c r="CM289" s="259" t="s">
        <v>4921</v>
      </c>
      <c r="CN289" s="454" t="s">
        <v>24</v>
      </c>
      <c r="CO289" s="828">
        <v>40</v>
      </c>
      <c r="CP289" s="828">
        <v>1</v>
      </c>
      <c r="CQ289" s="828">
        <v>3</v>
      </c>
      <c r="CR289" s="828">
        <v>1</v>
      </c>
      <c r="CS289" s="828">
        <v>-1</v>
      </c>
      <c r="CT289" s="967"/>
      <c r="CU289" s="1289" t="s">
        <v>8104</v>
      </c>
      <c r="CV289" s="1295">
        <v>93</v>
      </c>
      <c r="CW289" s="1295">
        <v>85</v>
      </c>
      <c r="CX289" s="138" t="s">
        <v>4911</v>
      </c>
      <c r="CY289" s="134">
        <v>24.647200000000002</v>
      </c>
      <c r="CZ289" s="134">
        <f>26.2648-Table66[[#This Row],[Data_Outcome1_M]]</f>
        <v>1.6175999999999995</v>
      </c>
      <c r="DA289" s="134" t="s">
        <v>24</v>
      </c>
      <c r="DB289" s="138" t="s">
        <v>4912</v>
      </c>
      <c r="DC289" s="134">
        <v>44.058399999999999</v>
      </c>
      <c r="DD289" s="134">
        <f>45.3819-Table66[[#This Row],[Data_Outcome2_M]]</f>
        <v>1.3235000000000028</v>
      </c>
      <c r="DE289" s="134" t="s">
        <v>24</v>
      </c>
      <c r="DF289" s="550" t="s">
        <v>4919</v>
      </c>
      <c r="DG289" s="550" t="s">
        <v>2588</v>
      </c>
      <c r="DH289" s="1171"/>
      <c r="DI289" s="417"/>
      <c r="DJ289" s="1169"/>
      <c r="DK289" s="1169"/>
      <c r="DL289" s="1171"/>
      <c r="DM289" s="1169"/>
      <c r="DN289" s="1169"/>
      <c r="DO289" s="1169"/>
      <c r="DP289" s="544"/>
      <c r="DQ289" s="544"/>
      <c r="DR289" s="1168"/>
      <c r="DS289" s="865"/>
      <c r="DT289" s="1171"/>
      <c r="DU289" s="1169"/>
      <c r="DV289" s="1169"/>
      <c r="DW289" s="1169"/>
      <c r="DX289" s="1171"/>
      <c r="DY289" s="1169"/>
      <c r="DZ289" s="1169"/>
      <c r="EA289" s="1169"/>
      <c r="EB289" s="1227"/>
      <c r="EC289" s="1227"/>
      <c r="ED289" s="1171"/>
      <c r="EE289" s="1169"/>
      <c r="EF289" s="1169"/>
      <c r="EG289" s="1169"/>
      <c r="EH289" s="1171"/>
      <c r="EI289" s="1169"/>
      <c r="EJ289" s="1169"/>
      <c r="EK289" s="1169"/>
      <c r="EL289" s="312"/>
      <c r="EM289" s="312"/>
      <c r="EN289" s="309"/>
      <c r="EO289" s="1170"/>
      <c r="EP289" s="1171"/>
      <c r="EQ289" s="1169"/>
      <c r="ER289" s="1169"/>
      <c r="ES289" s="1169"/>
      <c r="ET289" s="1171"/>
      <c r="EU289" s="1169"/>
      <c r="EV289" s="1169"/>
      <c r="EW289" s="1169"/>
      <c r="EX289" s="312"/>
      <c r="EY289" s="312"/>
      <c r="EZ289" s="1171"/>
      <c r="FA289" s="1169"/>
      <c r="FB289" s="1169"/>
      <c r="FC289" s="1169"/>
      <c r="FD289" s="1171"/>
      <c r="FE289" s="1169"/>
      <c r="FF289" s="1169"/>
      <c r="FG289" s="1169"/>
      <c r="FH289" s="312"/>
      <c r="FI289" s="312"/>
      <c r="FJ289" s="1170"/>
    </row>
    <row r="290" spans="1:166" ht="15" hidden="1" customHeight="1">
      <c r="A290" s="79" t="s">
        <v>1028</v>
      </c>
      <c r="B290" s="362">
        <v>152</v>
      </c>
      <c r="C290" s="362">
        <v>48</v>
      </c>
      <c r="D290" s="362"/>
      <c r="E290" s="604" t="s">
        <v>2086</v>
      </c>
      <c r="F290" s="124" t="s">
        <v>2341</v>
      </c>
      <c r="G290" s="125">
        <v>2015</v>
      </c>
      <c r="H290" s="79">
        <v>25976074</v>
      </c>
      <c r="I290" s="79">
        <v>1</v>
      </c>
      <c r="J290" s="126"/>
      <c r="K290" s="127"/>
      <c r="L290" s="79">
        <v>1</v>
      </c>
      <c r="M290" s="79"/>
      <c r="N290" s="79">
        <v>1</v>
      </c>
      <c r="O290" s="128">
        <v>2</v>
      </c>
      <c r="P290" s="79" t="s">
        <v>1399</v>
      </c>
      <c r="Q290" s="79" t="s">
        <v>1216</v>
      </c>
      <c r="R290" s="79" t="s">
        <v>1127</v>
      </c>
      <c r="S290" s="79"/>
      <c r="T290" s="79" t="s">
        <v>1487</v>
      </c>
      <c r="U290" s="79" t="s">
        <v>803</v>
      </c>
      <c r="V290" s="79" t="s">
        <v>23</v>
      </c>
      <c r="W290" s="79" t="s">
        <v>1677</v>
      </c>
      <c r="X290" s="79" t="s">
        <v>1400</v>
      </c>
      <c r="Y290" s="79"/>
      <c r="Z290" s="79"/>
      <c r="AA290" s="79"/>
      <c r="AB290" s="79"/>
      <c r="AC290" s="506"/>
      <c r="AD290" s="573">
        <v>1</v>
      </c>
      <c r="AE290" s="573">
        <v>2</v>
      </c>
      <c r="AF290" s="154">
        <v>1</v>
      </c>
      <c r="AG290" s="155"/>
      <c r="AH290" s="704"/>
      <c r="AI290" s="121">
        <v>4</v>
      </c>
      <c r="AJ290" s="484"/>
      <c r="AK290" s="202" t="s">
        <v>4922</v>
      </c>
      <c r="AL290" s="192">
        <v>1</v>
      </c>
      <c r="AM290" s="215">
        <v>0</v>
      </c>
      <c r="AN290" s="134" t="s">
        <v>4899</v>
      </c>
      <c r="AO290" s="134">
        <f>120/5</f>
        <v>24</v>
      </c>
      <c r="AP290" s="134">
        <f>120/5</f>
        <v>24</v>
      </c>
      <c r="AQ290" s="134" t="s">
        <v>803</v>
      </c>
      <c r="AR290" s="134" t="s">
        <v>803</v>
      </c>
      <c r="AS290" s="134" t="s">
        <v>3633</v>
      </c>
      <c r="AT290" s="134" t="s">
        <v>24</v>
      </c>
      <c r="AU290" s="134" t="s">
        <v>3633</v>
      </c>
      <c r="AV290" s="134" t="s">
        <v>24</v>
      </c>
      <c r="AW290" s="134" t="s">
        <v>4900</v>
      </c>
      <c r="AX290" s="134"/>
      <c r="AY290" s="134"/>
      <c r="AZ290" s="753" t="s">
        <v>1487</v>
      </c>
      <c r="BA290" s="134">
        <v>1</v>
      </c>
      <c r="BB290" s="134">
        <v>1</v>
      </c>
      <c r="BC290" s="134" t="s">
        <v>4901</v>
      </c>
      <c r="BD290" s="753" t="s">
        <v>7522</v>
      </c>
      <c r="BE290" s="753"/>
      <c r="BF290" s="134" t="s">
        <v>2912</v>
      </c>
      <c r="BG290" s="134" t="s">
        <v>4508</v>
      </c>
      <c r="BH290" s="594"/>
      <c r="BI290" s="594"/>
      <c r="BJ290" s="156"/>
      <c r="BK290" s="156"/>
      <c r="BL290" s="156"/>
      <c r="BM290" s="156"/>
      <c r="BN290" s="156"/>
      <c r="BO290" s="156"/>
      <c r="BP290" s="156">
        <v>1</v>
      </c>
      <c r="BQ290" s="156"/>
      <c r="BR290" s="156"/>
      <c r="BS290" s="156"/>
      <c r="BT290" s="156"/>
      <c r="BU290" s="156"/>
      <c r="BV290" s="156"/>
      <c r="BW290" s="595" t="s">
        <v>4906</v>
      </c>
      <c r="BX290" s="157" t="s">
        <v>6617</v>
      </c>
      <c r="BY290" s="797" t="s">
        <v>7614</v>
      </c>
      <c r="BZ290" s="789" t="s">
        <v>7610</v>
      </c>
      <c r="CA290" s="765">
        <v>2</v>
      </c>
      <c r="CB290" s="765" t="s">
        <v>7556</v>
      </c>
      <c r="CC290" s="1735" t="s">
        <v>7384</v>
      </c>
      <c r="CD290" s="134" t="s">
        <v>1876</v>
      </c>
      <c r="CE290" s="134" t="s">
        <v>4904</v>
      </c>
      <c r="CF290" s="400" t="s">
        <v>7595</v>
      </c>
      <c r="CG290" s="426" t="s">
        <v>4902</v>
      </c>
      <c r="CH290" s="753" t="s">
        <v>1512</v>
      </c>
      <c r="CI290" s="134" t="s">
        <v>4905</v>
      </c>
      <c r="CJ290" s="134"/>
      <c r="CK290" s="134" t="s">
        <v>4903</v>
      </c>
      <c r="CL290" s="134" t="s">
        <v>8226</v>
      </c>
      <c r="CM290" s="259" t="s">
        <v>4921</v>
      </c>
      <c r="CN290" s="454" t="s">
        <v>24</v>
      </c>
      <c r="CO290" s="828">
        <v>40</v>
      </c>
      <c r="CP290" s="828">
        <v>1</v>
      </c>
      <c r="CQ290" s="828">
        <v>4</v>
      </c>
      <c r="CR290" s="828">
        <v>1</v>
      </c>
      <c r="CS290" s="828">
        <v>-1</v>
      </c>
      <c r="CT290" s="967"/>
      <c r="CU290" s="1289" t="s">
        <v>8104</v>
      </c>
      <c r="CV290" s="1295">
        <v>93</v>
      </c>
      <c r="CW290" s="1295">
        <v>85</v>
      </c>
      <c r="CX290" s="138" t="s">
        <v>4913</v>
      </c>
      <c r="CY290" s="134">
        <v>16.809100000000001</v>
      </c>
      <c r="CZ290" s="134">
        <f>17.8381-Table66[[#This Row],[Data_Outcome1_M]]</f>
        <v>1.0289999999999999</v>
      </c>
      <c r="DA290" s="134" t="s">
        <v>24</v>
      </c>
      <c r="DB290" s="138" t="s">
        <v>4914</v>
      </c>
      <c r="DC290" s="134">
        <v>37.543900000000001</v>
      </c>
      <c r="DD290" s="134">
        <f>38.8674-Table66[[#This Row],[Data_Outcome2_M]]</f>
        <v>1.3235000000000028</v>
      </c>
      <c r="DE290" s="134" t="s">
        <v>24</v>
      </c>
      <c r="DF290" s="301" t="s">
        <v>4919</v>
      </c>
      <c r="DG290" s="301" t="s">
        <v>2588</v>
      </c>
      <c r="DH290" s="1171"/>
      <c r="DI290" s="417"/>
      <c r="DJ290" s="1169"/>
      <c r="DK290" s="1169"/>
      <c r="DL290" s="1171"/>
      <c r="DM290" s="1169"/>
      <c r="DN290" s="1169"/>
      <c r="DO290" s="1169"/>
      <c r="DP290" s="544"/>
      <c r="DQ290" s="544"/>
      <c r="DR290" s="1168"/>
      <c r="DS290" s="865"/>
      <c r="DT290" s="1171"/>
      <c r="DU290" s="1169"/>
      <c r="DV290" s="1169"/>
      <c r="DW290" s="1169"/>
      <c r="DX290" s="1171"/>
      <c r="DY290" s="1169"/>
      <c r="DZ290" s="1169"/>
      <c r="EA290" s="1169"/>
      <c r="EB290" s="1227"/>
      <c r="EC290" s="1227"/>
      <c r="ED290" s="1171"/>
      <c r="EE290" s="1169"/>
      <c r="EF290" s="1169"/>
      <c r="EG290" s="1169"/>
      <c r="EH290" s="1171"/>
      <c r="EI290" s="1169"/>
      <c r="EJ290" s="1169"/>
      <c r="EK290" s="1169"/>
      <c r="EL290" s="312"/>
      <c r="EM290" s="312"/>
      <c r="EN290" s="309"/>
      <c r="EO290" s="1170"/>
      <c r="EP290" s="1171"/>
      <c r="EQ290" s="1169"/>
      <c r="ER290" s="1169"/>
      <c r="ES290" s="1169"/>
      <c r="ET290" s="1171"/>
      <c r="EU290" s="1169"/>
      <c r="EV290" s="1169"/>
      <c r="EW290" s="1169"/>
      <c r="EX290" s="312"/>
      <c r="EY290" s="312"/>
      <c r="EZ290" s="1171"/>
      <c r="FA290" s="1169"/>
      <c r="FB290" s="1169"/>
      <c r="FC290" s="1169"/>
      <c r="FD290" s="1171"/>
      <c r="FE290" s="1169"/>
      <c r="FF290" s="1169"/>
      <c r="FG290" s="1169"/>
      <c r="FH290" s="312"/>
      <c r="FI290" s="312"/>
      <c r="FJ290" s="1170"/>
    </row>
    <row r="291" spans="1:166" ht="15" hidden="1" customHeight="1">
      <c r="A291" s="1476" t="s">
        <v>974</v>
      </c>
      <c r="B291" s="1477">
        <v>216</v>
      </c>
      <c r="C291" s="1477">
        <v>76</v>
      </c>
      <c r="D291" s="1477"/>
      <c r="E291" s="1478" t="s">
        <v>2116</v>
      </c>
      <c r="F291" s="1479" t="s">
        <v>2375</v>
      </c>
      <c r="G291" s="1480">
        <v>2007</v>
      </c>
      <c r="H291" s="1476">
        <v>17027033</v>
      </c>
      <c r="I291" s="1476">
        <v>1</v>
      </c>
      <c r="J291" s="1476">
        <v>1</v>
      </c>
      <c r="K291" s="1476"/>
      <c r="L291" s="1476">
        <v>1</v>
      </c>
      <c r="M291" s="1476"/>
      <c r="N291" s="1476">
        <v>1</v>
      </c>
      <c r="O291" s="1476">
        <v>2</v>
      </c>
      <c r="P291" s="1476" t="s">
        <v>1569</v>
      </c>
      <c r="Q291" s="1476" t="s">
        <v>1216</v>
      </c>
      <c r="R291" s="1476" t="s">
        <v>1568</v>
      </c>
      <c r="S291" s="1476"/>
      <c r="T291" s="1476" t="s">
        <v>1541</v>
      </c>
      <c r="U291" s="1476"/>
      <c r="V291" s="1476"/>
      <c r="W291" s="1476" t="s">
        <v>1570</v>
      </c>
      <c r="X291" s="1476"/>
      <c r="Y291" s="1476" t="s">
        <v>1132</v>
      </c>
      <c r="Z291" s="1476"/>
      <c r="AA291" s="1476"/>
      <c r="AB291" s="1476"/>
      <c r="AC291" s="1481"/>
      <c r="AD291" s="1482">
        <v>1</v>
      </c>
      <c r="AE291" s="1482">
        <v>2</v>
      </c>
      <c r="AF291" s="1483">
        <v>1</v>
      </c>
      <c r="AG291" s="231" t="s">
        <v>8133</v>
      </c>
      <c r="AH291" s="704" t="s">
        <v>8134</v>
      </c>
      <c r="AI291" s="1484">
        <v>5</v>
      </c>
      <c r="AJ291" s="1484" t="s">
        <v>5603</v>
      </c>
      <c r="AK291" s="1485" t="s">
        <v>5560</v>
      </c>
      <c r="AL291" s="1486" t="s">
        <v>3099</v>
      </c>
      <c r="AM291" s="227">
        <v>0</v>
      </c>
      <c r="AN291" s="150">
        <f>Table66[[#This Row],[Data_Subjects_n_ptsd]]+Table66[[#This Row],[Data_Subjects_n_control]]</f>
        <v>20</v>
      </c>
      <c r="AO291" s="134">
        <v>7</v>
      </c>
      <c r="AP291" s="186">
        <v>13</v>
      </c>
      <c r="AQ291" s="150" t="s">
        <v>803</v>
      </c>
      <c r="AR291" s="150" t="s">
        <v>803</v>
      </c>
      <c r="AS291" s="150" t="s">
        <v>4544</v>
      </c>
      <c r="AT291" s="150" t="s">
        <v>24</v>
      </c>
      <c r="AU291" s="150" t="s">
        <v>4544</v>
      </c>
      <c r="AV291" s="150" t="s">
        <v>24</v>
      </c>
      <c r="AW291" s="150" t="s">
        <v>5549</v>
      </c>
      <c r="AX291" s="150">
        <v>1</v>
      </c>
      <c r="AY291" s="150">
        <v>1.5</v>
      </c>
      <c r="AZ291" s="753" t="s">
        <v>1814</v>
      </c>
      <c r="BA291" s="150">
        <v>1</v>
      </c>
      <c r="BB291" s="150" t="s">
        <v>5554</v>
      </c>
      <c r="BC291" s="150" t="s">
        <v>5546</v>
      </c>
      <c r="BD291" s="753" t="s">
        <v>7523</v>
      </c>
      <c r="BE291" s="753"/>
      <c r="BF291" s="150" t="s">
        <v>8132</v>
      </c>
      <c r="BG291" s="150" t="s">
        <v>4508</v>
      </c>
      <c r="BH291" s="588"/>
      <c r="BI291" s="588"/>
      <c r="BJ291" s="161">
        <v>1</v>
      </c>
      <c r="BK291" s="161" t="s">
        <v>5545</v>
      </c>
      <c r="BL291" s="161"/>
      <c r="BM291" s="161"/>
      <c r="BN291" s="161"/>
      <c r="BO291" s="161"/>
      <c r="BP291" s="161">
        <v>1</v>
      </c>
      <c r="BQ291" s="161"/>
      <c r="BR291" s="161"/>
      <c r="BS291" s="161"/>
      <c r="BT291" s="161"/>
      <c r="BU291" s="161"/>
      <c r="BV291" s="161"/>
      <c r="BW291" s="600" t="s">
        <v>7195</v>
      </c>
      <c r="BX291" s="185" t="s">
        <v>6657</v>
      </c>
      <c r="BY291" s="797" t="s">
        <v>7613</v>
      </c>
      <c r="BZ291" s="791" t="s">
        <v>803</v>
      </c>
      <c r="CA291" s="765">
        <v>1</v>
      </c>
      <c r="CB291" s="772" t="s">
        <v>7556</v>
      </c>
      <c r="CC291" s="765" t="s">
        <v>7384</v>
      </c>
      <c r="CD291" s="186" t="s">
        <v>23</v>
      </c>
      <c r="CE291" s="186" t="s">
        <v>5563</v>
      </c>
      <c r="CF291" s="400" t="s">
        <v>8048</v>
      </c>
      <c r="CG291" s="150" t="s">
        <v>5550</v>
      </c>
      <c r="CH291" s="753" t="s">
        <v>7310</v>
      </c>
      <c r="CI291" s="150" t="s">
        <v>5544</v>
      </c>
      <c r="CJ291" s="150"/>
      <c r="CK291" s="186" t="s">
        <v>5562</v>
      </c>
      <c r="CL291" s="150" t="s">
        <v>8296</v>
      </c>
      <c r="CM291" s="1495" t="s">
        <v>5597</v>
      </c>
      <c r="CN291" s="1496" t="s">
        <v>6627</v>
      </c>
      <c r="CO291" s="1496">
        <v>68</v>
      </c>
      <c r="CP291" s="1496">
        <v>2</v>
      </c>
      <c r="CQ291" s="1496">
        <v>2</v>
      </c>
      <c r="CR291" s="1496">
        <v>1</v>
      </c>
      <c r="CS291" s="1496">
        <v>1</v>
      </c>
      <c r="CT291" s="1496"/>
      <c r="CU291" s="1497" t="s">
        <v>8104</v>
      </c>
      <c r="CV291" s="1495">
        <v>156</v>
      </c>
      <c r="CW291" s="1495">
        <v>145</v>
      </c>
      <c r="CX291" s="267" t="s">
        <v>5574</v>
      </c>
      <c r="CY291" s="186">
        <v>33.53</v>
      </c>
      <c r="CZ291" s="186">
        <v>17.71</v>
      </c>
      <c r="DA291" s="186" t="s">
        <v>24</v>
      </c>
      <c r="DB291" s="1106" t="s">
        <v>5582</v>
      </c>
      <c r="DC291" s="1107">
        <v>4.4400000000000004</v>
      </c>
      <c r="DD291" s="1107">
        <v>3.93</v>
      </c>
      <c r="DE291" s="1107" t="s">
        <v>24</v>
      </c>
      <c r="DF291" s="1495" t="s">
        <v>8040</v>
      </c>
      <c r="DG291" s="1498"/>
      <c r="DH291" s="1824"/>
      <c r="DI291" s="1827"/>
      <c r="DJ291" s="1507"/>
      <c r="DK291" s="1827"/>
      <c r="DL291" s="1508"/>
      <c r="DM291" s="1484"/>
      <c r="DN291" s="1502"/>
      <c r="DO291" s="1484"/>
      <c r="DP291" s="1495"/>
      <c r="DQ291" s="1498"/>
      <c r="DR291" s="1496"/>
      <c r="DS291" s="1501"/>
      <c r="DT291" s="1502"/>
      <c r="DU291" s="1484"/>
      <c r="DV291" s="1502"/>
      <c r="DW291" s="1484"/>
      <c r="DX291" s="1502"/>
      <c r="DY291" s="1484"/>
      <c r="DZ291" s="1502"/>
      <c r="EA291" s="1484"/>
      <c r="EB291" s="1503"/>
      <c r="EC291" s="1502"/>
      <c r="ED291" s="1502"/>
      <c r="EE291" s="1484"/>
      <c r="EF291" s="1502"/>
      <c r="EG291" s="1484"/>
      <c r="EH291" s="1502"/>
      <c r="EI291" s="1502"/>
      <c r="EJ291" s="1502"/>
      <c r="EK291" s="1502"/>
      <c r="EL291" s="1503"/>
      <c r="EM291" s="1502"/>
      <c r="EN291" s="1503"/>
      <c r="EO291" s="1502"/>
      <c r="EP291" s="1484"/>
      <c r="EQ291" s="1484"/>
      <c r="ER291" s="1484"/>
      <c r="ES291" s="1484"/>
      <c r="ET291" s="1504"/>
      <c r="EU291" s="1484"/>
      <c r="EV291" s="1484"/>
      <c r="EW291" s="1484"/>
      <c r="EX291" s="1484"/>
      <c r="EY291" s="1484"/>
      <c r="EZ291" s="1505"/>
      <c r="FA291" s="1502"/>
      <c r="FB291" s="1502"/>
      <c r="FC291" s="1502"/>
      <c r="FD291" s="1505"/>
      <c r="FE291" s="1502"/>
      <c r="FF291" s="1502"/>
      <c r="FG291" s="1502"/>
      <c r="FH291" s="1502"/>
      <c r="FI291" s="1502"/>
      <c r="FJ291" s="1502"/>
    </row>
    <row r="292" spans="1:166" ht="15" hidden="1" customHeight="1">
      <c r="A292" s="153" t="s">
        <v>180</v>
      </c>
      <c r="B292" s="618">
        <v>133</v>
      </c>
      <c r="C292" s="618">
        <v>37</v>
      </c>
      <c r="D292" s="618"/>
      <c r="E292" s="610" t="s">
        <v>1965</v>
      </c>
      <c r="F292" s="368" t="s">
        <v>2188</v>
      </c>
      <c r="G292" s="369">
        <v>2013</v>
      </c>
      <c r="H292" s="153">
        <v>24005546</v>
      </c>
      <c r="I292" s="153">
        <v>1</v>
      </c>
      <c r="J292" s="370"/>
      <c r="K292" s="371"/>
      <c r="L292" s="153">
        <v>1</v>
      </c>
      <c r="M292" s="153"/>
      <c r="N292" s="153">
        <v>1</v>
      </c>
      <c r="O292" s="153">
        <v>1</v>
      </c>
      <c r="P292" s="153" t="s">
        <v>528</v>
      </c>
      <c r="Q292" s="153" t="s">
        <v>1176</v>
      </c>
      <c r="R292" s="153" t="s">
        <v>25</v>
      </c>
      <c r="S292" s="153">
        <v>1</v>
      </c>
      <c r="T292" s="153"/>
      <c r="U292" s="153"/>
      <c r="V292" s="153"/>
      <c r="W292" s="153" t="s">
        <v>529</v>
      </c>
      <c r="X292" s="153" t="s">
        <v>24</v>
      </c>
      <c r="Y292" s="153" t="s">
        <v>530</v>
      </c>
      <c r="Z292" s="153"/>
      <c r="AA292" s="153"/>
      <c r="AB292" s="153" t="s">
        <v>531</v>
      </c>
      <c r="AC292" s="536"/>
      <c r="AD292" s="536">
        <v>1</v>
      </c>
      <c r="AE292" s="536">
        <v>2</v>
      </c>
      <c r="AF292" s="165">
        <v>0</v>
      </c>
      <c r="AG292" s="166" t="s">
        <v>7234</v>
      </c>
      <c r="AH292" s="509">
        <v>0</v>
      </c>
      <c r="AI292" s="120">
        <v>2</v>
      </c>
      <c r="AJ292" s="120"/>
      <c r="AK292" s="206" t="s">
        <v>4676</v>
      </c>
      <c r="AL292" s="372" t="s">
        <v>24</v>
      </c>
      <c r="AM292" s="207"/>
      <c r="AN292" s="120"/>
      <c r="AO292" s="120"/>
      <c r="AP292" s="120"/>
      <c r="AQ292" s="120"/>
      <c r="AR292" s="120"/>
      <c r="AS292" s="120"/>
      <c r="AT292" s="120"/>
      <c r="AU292" s="120"/>
      <c r="AV292" s="120"/>
      <c r="AW292" s="120"/>
      <c r="AX292" s="120"/>
      <c r="AY292" s="120"/>
      <c r="AZ292" s="755"/>
      <c r="BA292" s="120"/>
      <c r="BB292" s="120"/>
      <c r="BC292" s="120" t="s">
        <v>24</v>
      </c>
      <c r="BD292" s="755"/>
      <c r="BE292" s="755"/>
      <c r="BF292" s="120"/>
      <c r="BG292" s="120"/>
      <c r="BH292" s="377"/>
      <c r="BI292" s="377"/>
      <c r="BJ292" s="373"/>
      <c r="BK292" s="373"/>
      <c r="BL292" s="373"/>
      <c r="BM292" s="373">
        <v>1</v>
      </c>
      <c r="BN292" s="373"/>
      <c r="BO292" s="373"/>
      <c r="BP292" s="373">
        <v>1</v>
      </c>
      <c r="BQ292" s="373"/>
      <c r="BR292" s="373">
        <v>1</v>
      </c>
      <c r="BS292" s="373"/>
      <c r="BT292" s="373"/>
      <c r="BU292" s="373"/>
      <c r="BV292" s="373"/>
      <c r="BW292" s="599"/>
      <c r="BX292" s="374"/>
      <c r="BY292" s="374"/>
      <c r="BZ292" s="374"/>
      <c r="CA292" s="511"/>
      <c r="CB292" s="781"/>
      <c r="CC292" s="781"/>
      <c r="CD292" s="120"/>
      <c r="CE292" s="120"/>
      <c r="CF292" s="120"/>
      <c r="CG292" s="120" t="s">
        <v>24</v>
      </c>
      <c r="CH292" s="755"/>
      <c r="CI292" s="120"/>
      <c r="CJ292" s="120"/>
      <c r="CK292" s="120" t="s">
        <v>24</v>
      </c>
      <c r="CL292" s="120"/>
      <c r="CM292" s="375" t="s">
        <v>24</v>
      </c>
      <c r="CN292" s="380"/>
      <c r="CO292" s="380"/>
      <c r="CP292" s="380"/>
      <c r="CQ292" s="380"/>
      <c r="CR292" s="380"/>
      <c r="CS292" s="380"/>
      <c r="CT292" s="380"/>
      <c r="CU292" s="380"/>
      <c r="CV292" s="380"/>
      <c r="CW292" s="380"/>
      <c r="CX292" s="376"/>
      <c r="CY292" s="120"/>
      <c r="CZ292" s="120"/>
      <c r="DA292" s="120"/>
      <c r="DB292" s="376"/>
      <c r="DC292" s="683"/>
      <c r="DD292" s="120"/>
      <c r="DE292" s="120"/>
      <c r="DF292" s="515"/>
      <c r="DG292" s="513"/>
      <c r="DH292" s="727"/>
      <c r="DI292" s="384"/>
      <c r="DJ292" s="384"/>
      <c r="DK292" s="384"/>
      <c r="DL292" s="727"/>
      <c r="DM292" s="384"/>
      <c r="DN292" s="384"/>
      <c r="DO292" s="384"/>
      <c r="DP292" s="375"/>
      <c r="DQ292" s="377"/>
      <c r="DR292" s="1182"/>
      <c r="DS292" s="956"/>
      <c r="DT292" s="727"/>
      <c r="DU292" s="384"/>
      <c r="DV292" s="384"/>
      <c r="DW292" s="384"/>
      <c r="DX292" s="384"/>
      <c r="DY292" s="384"/>
      <c r="DZ292" s="384"/>
      <c r="EA292" s="384"/>
      <c r="EB292" s="1012"/>
      <c r="EC292" s="384"/>
      <c r="ED292" s="384"/>
      <c r="EE292" s="384"/>
      <c r="EF292" s="384"/>
      <c r="EG292" s="384"/>
      <c r="EH292" s="384"/>
      <c r="EI292" s="384"/>
      <c r="EJ292" s="384"/>
      <c r="EK292" s="384"/>
      <c r="EL292" s="1012"/>
      <c r="EM292" s="384"/>
      <c r="EN292" s="1012"/>
      <c r="EO292" s="384"/>
      <c r="EP292" s="384"/>
      <c r="EQ292" s="384"/>
      <c r="ER292" s="384"/>
      <c r="ES292" s="384"/>
      <c r="ET292" s="727"/>
      <c r="EU292" s="384"/>
      <c r="EV292" s="384"/>
      <c r="EW292" s="384"/>
      <c r="EX292" s="384"/>
      <c r="EY292" s="384"/>
      <c r="EZ292" s="727"/>
      <c r="FA292" s="384"/>
      <c r="FB292" s="384"/>
      <c r="FC292" s="384"/>
      <c r="FD292" s="727"/>
      <c r="FE292" s="384"/>
      <c r="FF292" s="384"/>
      <c r="FG292" s="384"/>
      <c r="FH292" s="384"/>
      <c r="FI292" s="384"/>
      <c r="FJ292" s="384"/>
    </row>
    <row r="293" spans="1:166" ht="15" hidden="1" customHeight="1">
      <c r="A293" s="153" t="s">
        <v>181</v>
      </c>
      <c r="B293" s="618">
        <v>134</v>
      </c>
      <c r="C293" s="618">
        <v>38</v>
      </c>
      <c r="D293" s="618"/>
      <c r="E293" s="610" t="s">
        <v>1965</v>
      </c>
      <c r="F293" s="368" t="s">
        <v>2189</v>
      </c>
      <c r="G293" s="369">
        <v>2014</v>
      </c>
      <c r="H293" s="153">
        <v>24717141</v>
      </c>
      <c r="I293" s="153">
        <v>1</v>
      </c>
      <c r="J293" s="370"/>
      <c r="K293" s="371"/>
      <c r="L293" s="153">
        <v>1</v>
      </c>
      <c r="M293" s="153"/>
      <c r="N293" s="153">
        <v>1</v>
      </c>
      <c r="O293" s="153">
        <v>1</v>
      </c>
      <c r="P293" s="153" t="s">
        <v>528</v>
      </c>
      <c r="Q293" s="153" t="s">
        <v>1175</v>
      </c>
      <c r="R293" s="153" t="s">
        <v>25</v>
      </c>
      <c r="S293" s="153">
        <v>1</v>
      </c>
      <c r="T293" s="153"/>
      <c r="U293" s="153"/>
      <c r="V293" s="153"/>
      <c r="W293" s="153" t="s">
        <v>532</v>
      </c>
      <c r="X293" s="153" t="s">
        <v>24</v>
      </c>
      <c r="Y293" s="153" t="s">
        <v>530</v>
      </c>
      <c r="Z293" s="153"/>
      <c r="AA293" s="153"/>
      <c r="AB293" s="153" t="s">
        <v>533</v>
      </c>
      <c r="AC293" s="536"/>
      <c r="AD293" s="536">
        <v>1</v>
      </c>
      <c r="AE293" s="536">
        <v>2</v>
      </c>
      <c r="AF293" s="165">
        <v>0</v>
      </c>
      <c r="AG293" s="166" t="s">
        <v>7235</v>
      </c>
      <c r="AH293" s="509">
        <v>0</v>
      </c>
      <c r="AI293" s="120">
        <v>2</v>
      </c>
      <c r="AJ293" s="120"/>
      <c r="AK293" s="120" t="s">
        <v>4677</v>
      </c>
      <c r="AL293" s="372" t="s">
        <v>24</v>
      </c>
      <c r="AM293" s="207"/>
      <c r="AN293" s="683"/>
      <c r="AO293" s="120"/>
      <c r="AP293" s="120"/>
      <c r="AQ293" s="120"/>
      <c r="AR293" s="120"/>
      <c r="AS293" s="120"/>
      <c r="AT293" s="120"/>
      <c r="AU293" s="120"/>
      <c r="AV293" s="120"/>
      <c r="AW293" s="120"/>
      <c r="AX293" s="120"/>
      <c r="AY293" s="120"/>
      <c r="AZ293" s="755"/>
      <c r="BA293" s="120"/>
      <c r="BB293" s="120"/>
      <c r="BC293" s="120" t="s">
        <v>24</v>
      </c>
      <c r="BD293" s="755"/>
      <c r="BE293" s="755"/>
      <c r="BF293" s="120"/>
      <c r="BG293" s="120"/>
      <c r="BH293" s="377"/>
      <c r="BI293" s="377"/>
      <c r="BJ293" s="373"/>
      <c r="BK293" s="373"/>
      <c r="BL293" s="373"/>
      <c r="BM293" s="373">
        <v>1</v>
      </c>
      <c r="BN293" s="373"/>
      <c r="BO293" s="373"/>
      <c r="BP293" s="373">
        <v>1</v>
      </c>
      <c r="BQ293" s="373"/>
      <c r="BR293" s="373"/>
      <c r="BS293" s="373"/>
      <c r="BT293" s="373"/>
      <c r="BU293" s="373"/>
      <c r="BV293" s="373"/>
      <c r="BW293" s="599"/>
      <c r="BX293" s="374"/>
      <c r="BY293" s="374"/>
      <c r="BZ293" s="374"/>
      <c r="CA293" s="511"/>
      <c r="CB293" s="511"/>
      <c r="CC293" s="781"/>
      <c r="CD293" s="120"/>
      <c r="CE293" s="120"/>
      <c r="CF293" s="120"/>
      <c r="CG293" s="120" t="s">
        <v>24</v>
      </c>
      <c r="CH293" s="755"/>
      <c r="CI293" s="120"/>
      <c r="CJ293" s="120"/>
      <c r="CK293" s="120" t="s">
        <v>24</v>
      </c>
      <c r="CL293" s="120"/>
      <c r="CM293" s="375" t="s">
        <v>24</v>
      </c>
      <c r="CN293" s="380"/>
      <c r="CO293" s="380"/>
      <c r="CP293" s="380"/>
      <c r="CQ293" s="380"/>
      <c r="CR293" s="380"/>
      <c r="CS293" s="380"/>
      <c r="CT293" s="380"/>
      <c r="CU293" s="380"/>
      <c r="CV293" s="380"/>
      <c r="CW293" s="380"/>
      <c r="CX293" s="376"/>
      <c r="CY293" s="683"/>
      <c r="CZ293" s="120"/>
      <c r="DA293" s="683"/>
      <c r="DB293" s="376"/>
      <c r="DC293" s="683"/>
      <c r="DD293" s="120"/>
      <c r="DE293" s="815"/>
      <c r="DF293" s="515"/>
      <c r="DG293" s="513"/>
      <c r="DH293" s="727"/>
      <c r="DI293" s="384"/>
      <c r="DJ293" s="384"/>
      <c r="DK293" s="384"/>
      <c r="DL293" s="727"/>
      <c r="DM293" s="384"/>
      <c r="DN293" s="384"/>
      <c r="DO293" s="384"/>
      <c r="DP293" s="375"/>
      <c r="DQ293" s="377"/>
      <c r="DR293" s="1182"/>
      <c r="DS293" s="956"/>
      <c r="DT293" s="727"/>
      <c r="DU293" s="683"/>
      <c r="DV293" s="384"/>
      <c r="DW293" s="683"/>
      <c r="DX293" s="384"/>
      <c r="DY293" s="384"/>
      <c r="DZ293" s="384"/>
      <c r="EA293" s="384"/>
      <c r="EB293" s="1012"/>
      <c r="EC293" s="384"/>
      <c r="ED293" s="384"/>
      <c r="EE293" s="683"/>
      <c r="EF293" s="384"/>
      <c r="EG293" s="683"/>
      <c r="EH293" s="384"/>
      <c r="EI293" s="384"/>
      <c r="EJ293" s="384"/>
      <c r="EK293" s="384"/>
      <c r="EL293" s="1012"/>
      <c r="EM293" s="384"/>
      <c r="EN293" s="1012"/>
      <c r="EO293" s="384"/>
      <c r="EP293" s="384"/>
      <c r="EQ293" s="683"/>
      <c r="ER293" s="384"/>
      <c r="ES293" s="683"/>
      <c r="ET293" s="727"/>
      <c r="EU293" s="384"/>
      <c r="EV293" s="384"/>
      <c r="EW293" s="384"/>
      <c r="EX293" s="384"/>
      <c r="EY293" s="384"/>
      <c r="EZ293" s="709"/>
      <c r="FA293" s="814"/>
      <c r="FB293" s="633"/>
      <c r="FC293" s="814"/>
      <c r="FD293" s="709"/>
      <c r="FE293" s="384"/>
      <c r="FF293" s="384"/>
      <c r="FG293" s="384"/>
      <c r="FH293" s="384"/>
      <c r="FI293" s="384"/>
      <c r="FJ293" s="384"/>
    </row>
    <row r="294" spans="1:166" ht="15" hidden="1" customHeight="1">
      <c r="A294" s="153" t="s">
        <v>186</v>
      </c>
      <c r="B294" s="618">
        <v>135</v>
      </c>
      <c r="C294" s="618"/>
      <c r="D294" s="618">
        <v>44</v>
      </c>
      <c r="E294" s="610" t="s">
        <v>1966</v>
      </c>
      <c r="F294" s="368" t="s">
        <v>2190</v>
      </c>
      <c r="G294" s="369">
        <v>2015</v>
      </c>
      <c r="H294" s="153">
        <v>24156759</v>
      </c>
      <c r="I294" s="153">
        <v>1</v>
      </c>
      <c r="J294" s="370"/>
      <c r="K294" s="371"/>
      <c r="L294" s="153">
        <v>1</v>
      </c>
      <c r="M294" s="153"/>
      <c r="N294" s="153">
        <v>1</v>
      </c>
      <c r="O294" s="153">
        <v>1</v>
      </c>
      <c r="P294" s="153" t="s">
        <v>541</v>
      </c>
      <c r="Q294" s="153"/>
      <c r="R294" s="153" t="s">
        <v>542</v>
      </c>
      <c r="S294" s="153">
        <v>0</v>
      </c>
      <c r="T294" s="153"/>
      <c r="U294" s="153"/>
      <c r="V294" s="153"/>
      <c r="W294" s="153" t="s">
        <v>492</v>
      </c>
      <c r="X294" s="153"/>
      <c r="Y294" s="153"/>
      <c r="Z294" s="153"/>
      <c r="AA294" s="153"/>
      <c r="AB294" s="153" t="s">
        <v>543</v>
      </c>
      <c r="AC294" s="536" t="s">
        <v>6215</v>
      </c>
      <c r="AD294" s="536">
        <v>1</v>
      </c>
      <c r="AE294" s="536">
        <v>0</v>
      </c>
      <c r="AF294" s="165">
        <v>0</v>
      </c>
      <c r="AG294" s="166" t="s">
        <v>7265</v>
      </c>
      <c r="AH294" s="509" t="s">
        <v>7266</v>
      </c>
      <c r="AI294" s="120"/>
      <c r="AJ294" s="120"/>
      <c r="AK294" s="120"/>
      <c r="AL294" s="372"/>
      <c r="AM294" s="207"/>
      <c r="AN294" s="683"/>
      <c r="AO294" s="120"/>
      <c r="AP294" s="120"/>
      <c r="AQ294" s="120"/>
      <c r="AR294" s="120"/>
      <c r="AS294" s="120"/>
      <c r="AT294" s="120"/>
      <c r="AU294" s="120"/>
      <c r="AV294" s="120"/>
      <c r="AW294" s="120"/>
      <c r="AX294" s="120"/>
      <c r="AY294" s="120"/>
      <c r="AZ294" s="755"/>
      <c r="BA294" s="120"/>
      <c r="BB294" s="120"/>
      <c r="BC294" s="120"/>
      <c r="BD294" s="755"/>
      <c r="BE294" s="755"/>
      <c r="BF294" s="120"/>
      <c r="BG294" s="120"/>
      <c r="BH294" s="377"/>
      <c r="BI294" s="377"/>
      <c r="BJ294" s="373"/>
      <c r="BK294" s="373"/>
      <c r="BL294" s="373" t="s">
        <v>5207</v>
      </c>
      <c r="BM294" s="373" t="s">
        <v>6175</v>
      </c>
      <c r="BN294" s="373" t="s">
        <v>6205</v>
      </c>
      <c r="BO294" s="373" t="s">
        <v>5207</v>
      </c>
      <c r="BP294" s="373"/>
      <c r="BQ294" s="373"/>
      <c r="BR294" s="373" t="s">
        <v>5207</v>
      </c>
      <c r="BS294" s="373"/>
      <c r="BT294" s="373" t="s">
        <v>5207</v>
      </c>
      <c r="BU294" s="373" t="s">
        <v>5207</v>
      </c>
      <c r="BV294" s="373"/>
      <c r="BW294" s="599"/>
      <c r="BX294" s="374"/>
      <c r="BY294" s="374"/>
      <c r="BZ294" s="374"/>
      <c r="CA294" s="511"/>
      <c r="CB294" s="511"/>
      <c r="CC294" s="511"/>
      <c r="CD294" s="120"/>
      <c r="CE294" s="120"/>
      <c r="CF294" s="120"/>
      <c r="CG294" s="120"/>
      <c r="CH294" s="755"/>
      <c r="CI294" s="120"/>
      <c r="CJ294" s="120"/>
      <c r="CK294" s="120"/>
      <c r="CL294" s="120"/>
      <c r="CM294" s="375"/>
      <c r="CN294" s="380"/>
      <c r="CO294" s="380"/>
      <c r="CP294" s="380"/>
      <c r="CQ294" s="380"/>
      <c r="CR294" s="380"/>
      <c r="CS294" s="380"/>
      <c r="CT294" s="380"/>
      <c r="CU294" s="380"/>
      <c r="CV294" s="380"/>
      <c r="CW294" s="380"/>
      <c r="CX294" s="376"/>
      <c r="CY294" s="683"/>
      <c r="CZ294" s="120"/>
      <c r="DA294" s="683"/>
      <c r="DB294" s="376"/>
      <c r="DC294" s="683"/>
      <c r="DD294" s="120"/>
      <c r="DE294" s="120"/>
      <c r="DF294" s="515"/>
      <c r="DG294" s="513"/>
      <c r="DH294" s="727"/>
      <c r="DI294" s="683"/>
      <c r="DJ294" s="384"/>
      <c r="DK294" s="683"/>
      <c r="DL294" s="727"/>
      <c r="DM294" s="384"/>
      <c r="DN294" s="384"/>
      <c r="DO294" s="384"/>
      <c r="DP294" s="375"/>
      <c r="DQ294" s="377"/>
      <c r="DR294" s="621"/>
      <c r="DS294" s="956"/>
      <c r="DT294" s="727"/>
      <c r="DU294" s="384"/>
      <c r="DV294" s="384"/>
      <c r="DW294" s="384"/>
      <c r="DX294" s="384"/>
      <c r="DY294" s="384"/>
      <c r="DZ294" s="384"/>
      <c r="EA294" s="384"/>
      <c r="EB294" s="380"/>
      <c r="EC294" s="120"/>
      <c r="ED294" s="384"/>
      <c r="EE294" s="384"/>
      <c r="EF294" s="384"/>
      <c r="EG294" s="384"/>
      <c r="EH294" s="384"/>
      <c r="EI294" s="384"/>
      <c r="EJ294" s="384"/>
      <c r="EK294" s="384"/>
      <c r="EL294" s="380"/>
      <c r="EM294" s="120"/>
      <c r="EN294" s="1012"/>
      <c r="EO294" s="384"/>
      <c r="EP294" s="120"/>
      <c r="EQ294" s="120"/>
      <c r="ER294" s="120"/>
      <c r="ES294" s="120"/>
      <c r="ET294" s="376"/>
      <c r="EU294" s="384"/>
      <c r="EV294" s="384"/>
      <c r="EW294" s="384"/>
      <c r="EX294" s="120"/>
      <c r="EY294" s="120"/>
      <c r="EZ294" s="727"/>
      <c r="FA294" s="384"/>
      <c r="FB294" s="384"/>
      <c r="FC294" s="384"/>
      <c r="FD294" s="727"/>
      <c r="FE294" s="384"/>
      <c r="FF294" s="384"/>
      <c r="FG294" s="384"/>
      <c r="FH294" s="384"/>
      <c r="FI294" s="384"/>
      <c r="FJ294" s="384"/>
    </row>
    <row r="295" spans="1:166" ht="15" hidden="1" customHeight="1">
      <c r="A295" s="153" t="s">
        <v>190</v>
      </c>
      <c r="B295" s="618">
        <v>136</v>
      </c>
      <c r="C295" s="618">
        <v>39</v>
      </c>
      <c r="D295" s="618"/>
      <c r="E295" s="610" t="s">
        <v>1967</v>
      </c>
      <c r="F295" s="368" t="s">
        <v>2191</v>
      </c>
      <c r="G295" s="369">
        <v>2011</v>
      </c>
      <c r="H295" s="153">
        <v>21898603</v>
      </c>
      <c r="I295" s="153">
        <v>1</v>
      </c>
      <c r="J295" s="370"/>
      <c r="K295" s="371"/>
      <c r="L295" s="153">
        <v>1</v>
      </c>
      <c r="M295" s="153"/>
      <c r="N295" s="153">
        <v>1</v>
      </c>
      <c r="O295" s="153">
        <v>1</v>
      </c>
      <c r="P295" s="153" t="s">
        <v>551</v>
      </c>
      <c r="Q295" s="153" t="s">
        <v>1172</v>
      </c>
      <c r="R295" s="153" t="s">
        <v>25</v>
      </c>
      <c r="S295" s="153">
        <v>1</v>
      </c>
      <c r="T295" s="153"/>
      <c r="U295" s="153"/>
      <c r="V295" s="153"/>
      <c r="W295" s="153" t="s">
        <v>492</v>
      </c>
      <c r="X295" s="153" t="s">
        <v>24</v>
      </c>
      <c r="Y295" s="153" t="s">
        <v>24</v>
      </c>
      <c r="Z295" s="153" t="s">
        <v>552</v>
      </c>
      <c r="AA295" s="153"/>
      <c r="AB295" s="153" t="s">
        <v>553</v>
      </c>
      <c r="AC295" s="536"/>
      <c r="AD295" s="536">
        <v>1</v>
      </c>
      <c r="AE295" s="536">
        <v>2</v>
      </c>
      <c r="AF295" s="165">
        <v>0</v>
      </c>
      <c r="AG295" s="166" t="s">
        <v>7267</v>
      </c>
      <c r="AH295" s="509">
        <v>0</v>
      </c>
      <c r="AI295" s="120">
        <v>2</v>
      </c>
      <c r="AJ295" s="120"/>
      <c r="AK295" s="206" t="s">
        <v>4681</v>
      </c>
      <c r="AL295" s="372" t="s">
        <v>24</v>
      </c>
      <c r="AM295" s="207"/>
      <c r="AN295" s="120"/>
      <c r="AO295" s="120"/>
      <c r="AP295" s="120"/>
      <c r="AQ295" s="120"/>
      <c r="AR295" s="120"/>
      <c r="AS295" s="120"/>
      <c r="AT295" s="120"/>
      <c r="AU295" s="120"/>
      <c r="AV295" s="120"/>
      <c r="AW295" s="120"/>
      <c r="AX295" s="120"/>
      <c r="AY295" s="120"/>
      <c r="AZ295" s="755"/>
      <c r="BA295" s="120"/>
      <c r="BB295" s="120"/>
      <c r="BC295" s="120" t="s">
        <v>24</v>
      </c>
      <c r="BD295" s="755"/>
      <c r="BE295" s="755"/>
      <c r="BF295" s="120"/>
      <c r="BG295" s="120"/>
      <c r="BH295" s="377"/>
      <c r="BI295" s="377"/>
      <c r="BJ295" s="373"/>
      <c r="BK295" s="373"/>
      <c r="BL295" s="373"/>
      <c r="BM295" s="373"/>
      <c r="BN295" s="373"/>
      <c r="BO295" s="373"/>
      <c r="BP295" s="373">
        <v>1</v>
      </c>
      <c r="BQ295" s="373"/>
      <c r="BR295" s="373"/>
      <c r="BS295" s="373"/>
      <c r="BT295" s="373"/>
      <c r="BU295" s="373"/>
      <c r="BV295" s="373"/>
      <c r="BW295" s="599"/>
      <c r="BX295" s="374"/>
      <c r="BY295" s="374"/>
      <c r="BZ295" s="374"/>
      <c r="CA295" s="510"/>
      <c r="CB295" s="510"/>
      <c r="CC295" s="510"/>
      <c r="CD295" s="120"/>
      <c r="CE295" s="120"/>
      <c r="CF295" s="120"/>
      <c r="CG295" s="120" t="s">
        <v>24</v>
      </c>
      <c r="CH295" s="755"/>
      <c r="CI295" s="120"/>
      <c r="CJ295" s="120"/>
      <c r="CK295" s="120" t="s">
        <v>24</v>
      </c>
      <c r="CL295" s="120"/>
      <c r="CM295" s="375" t="s">
        <v>24</v>
      </c>
      <c r="CN295" s="380"/>
      <c r="CO295" s="380"/>
      <c r="CP295" s="380"/>
      <c r="CQ295" s="380"/>
      <c r="CR295" s="380"/>
      <c r="CS295" s="380"/>
      <c r="CT295" s="380"/>
      <c r="CU295" s="380"/>
      <c r="CV295" s="380"/>
      <c r="CW295" s="380"/>
      <c r="CX295" s="376"/>
      <c r="CY295" s="120"/>
      <c r="CZ295" s="120"/>
      <c r="DA295" s="120"/>
      <c r="DB295" s="376"/>
      <c r="DC295" s="120"/>
      <c r="DD295" s="120"/>
      <c r="DE295" s="120"/>
      <c r="DF295" s="515"/>
      <c r="DG295" s="513"/>
      <c r="DH295" s="376"/>
      <c r="DI295" s="120"/>
      <c r="DJ295" s="384"/>
      <c r="DK295" s="120"/>
      <c r="DL295" s="727"/>
      <c r="DM295" s="120"/>
      <c r="DN295" s="384"/>
      <c r="DO295" s="120"/>
      <c r="DP295" s="375"/>
      <c r="DQ295" s="377"/>
      <c r="DR295" s="1182"/>
      <c r="DS295" s="956"/>
      <c r="DT295" s="727"/>
      <c r="DU295" s="384"/>
      <c r="DV295" s="384"/>
      <c r="DW295" s="384"/>
      <c r="DX295" s="384"/>
      <c r="DY295" s="384"/>
      <c r="DZ295" s="384"/>
      <c r="EA295" s="384"/>
      <c r="EB295" s="1012"/>
      <c r="EC295" s="384"/>
      <c r="ED295" s="384"/>
      <c r="EE295" s="384"/>
      <c r="EF295" s="384"/>
      <c r="EG295" s="384"/>
      <c r="EH295" s="384"/>
      <c r="EI295" s="384"/>
      <c r="EJ295" s="384"/>
      <c r="EK295" s="384"/>
      <c r="EL295" s="1012"/>
      <c r="EM295" s="384"/>
      <c r="EN295" s="1012"/>
      <c r="EO295" s="384"/>
      <c r="EP295" s="384"/>
      <c r="EQ295" s="384"/>
      <c r="ER295" s="384"/>
      <c r="ES295" s="384"/>
      <c r="ET295" s="727"/>
      <c r="EU295" s="384"/>
      <c r="EV295" s="384"/>
      <c r="EW295" s="384"/>
      <c r="EX295" s="384"/>
      <c r="EY295" s="384"/>
      <c r="EZ295" s="727"/>
      <c r="FA295" s="384"/>
      <c r="FB295" s="384"/>
      <c r="FC295" s="384"/>
      <c r="FD295" s="727"/>
      <c r="FE295" s="384"/>
      <c r="FF295" s="384"/>
      <c r="FG295" s="384"/>
      <c r="FH295" s="384"/>
      <c r="FI295" s="384"/>
      <c r="FJ295" s="384"/>
    </row>
    <row r="296" spans="1:166" ht="15" hidden="1" customHeight="1">
      <c r="A296" s="153" t="s">
        <v>191</v>
      </c>
      <c r="B296" s="618">
        <v>137</v>
      </c>
      <c r="C296" s="618"/>
      <c r="D296" s="618">
        <v>45</v>
      </c>
      <c r="E296" s="610" t="s">
        <v>1968</v>
      </c>
      <c r="F296" s="368" t="s">
        <v>2192</v>
      </c>
      <c r="G296" s="369">
        <v>2004</v>
      </c>
      <c r="H296" s="153">
        <v>15027789</v>
      </c>
      <c r="I296" s="153">
        <v>1</v>
      </c>
      <c r="J296" s="370"/>
      <c r="K296" s="371"/>
      <c r="L296" s="153">
        <v>1</v>
      </c>
      <c r="M296" s="153"/>
      <c r="N296" s="153">
        <v>1</v>
      </c>
      <c r="O296" s="153">
        <v>1</v>
      </c>
      <c r="P296" s="153" t="s">
        <v>554</v>
      </c>
      <c r="Q296" s="153" t="s">
        <v>555</v>
      </c>
      <c r="R296" s="153" t="s">
        <v>25</v>
      </c>
      <c r="S296" s="153">
        <v>1</v>
      </c>
      <c r="T296" s="153"/>
      <c r="U296" s="153"/>
      <c r="V296" s="153"/>
      <c r="W296" s="153" t="s">
        <v>555</v>
      </c>
      <c r="X296" s="153" t="s">
        <v>24</v>
      </c>
      <c r="Y296" s="153" t="s">
        <v>556</v>
      </c>
      <c r="Z296" s="153" t="s">
        <v>510</v>
      </c>
      <c r="AA296" s="153"/>
      <c r="AB296" s="153"/>
      <c r="AC296" s="536" t="s">
        <v>6217</v>
      </c>
      <c r="AD296" s="536">
        <v>1</v>
      </c>
      <c r="AE296" s="536">
        <v>0</v>
      </c>
      <c r="AF296" s="165">
        <v>0</v>
      </c>
      <c r="AG296" s="166" t="s">
        <v>7268</v>
      </c>
      <c r="AH296" s="509">
        <v>0</v>
      </c>
      <c r="AI296" s="120">
        <v>2</v>
      </c>
      <c r="AJ296" s="120"/>
      <c r="AK296" s="206"/>
      <c r="AL296" s="372"/>
      <c r="AM296" s="207"/>
      <c r="AN296" s="120"/>
      <c r="AO296" s="120"/>
      <c r="AP296" s="120"/>
      <c r="AQ296" s="120"/>
      <c r="AR296" s="120"/>
      <c r="AS296" s="120"/>
      <c r="AT296" s="120"/>
      <c r="AU296" s="120"/>
      <c r="AV296" s="120"/>
      <c r="AW296" s="120"/>
      <c r="AX296" s="120"/>
      <c r="AY296" s="120"/>
      <c r="AZ296" s="755"/>
      <c r="BA296" s="120"/>
      <c r="BB296" s="120"/>
      <c r="BC296" s="120"/>
      <c r="BD296" s="755"/>
      <c r="BE296" s="755"/>
      <c r="BF296" s="120"/>
      <c r="BG296" s="120"/>
      <c r="BH296" s="377"/>
      <c r="BI296" s="377"/>
      <c r="BJ296" s="373" t="s">
        <v>6219</v>
      </c>
      <c r="BK296" s="373"/>
      <c r="BL296" s="373"/>
      <c r="BM296" s="373"/>
      <c r="BN296" s="373"/>
      <c r="BO296" s="373"/>
      <c r="BP296" s="373"/>
      <c r="BQ296" s="373"/>
      <c r="BR296" s="373"/>
      <c r="BS296" s="373"/>
      <c r="BT296" s="373"/>
      <c r="BU296" s="373"/>
      <c r="BV296" s="373" t="s">
        <v>6219</v>
      </c>
      <c r="BW296" s="599"/>
      <c r="BX296" s="374"/>
      <c r="BY296" s="374"/>
      <c r="BZ296" s="374"/>
      <c r="CA296" s="510"/>
      <c r="CB296" s="510"/>
      <c r="CC296" s="510"/>
      <c r="CD296" s="120"/>
      <c r="CE296" s="120"/>
      <c r="CF296" s="120"/>
      <c r="CG296" s="120"/>
      <c r="CH296" s="755"/>
      <c r="CI296" s="120"/>
      <c r="CJ296" s="120"/>
      <c r="CK296" s="120"/>
      <c r="CL296" s="120"/>
      <c r="CM296" s="375"/>
      <c r="CN296" s="380"/>
      <c r="CO296" s="380"/>
      <c r="CP296" s="380"/>
      <c r="CQ296" s="380"/>
      <c r="CR296" s="380"/>
      <c r="CS296" s="380"/>
      <c r="CT296" s="380"/>
      <c r="CU296" s="380"/>
      <c r="CV296" s="380"/>
      <c r="CW296" s="380"/>
      <c r="CX296" s="376"/>
      <c r="CY296" s="683"/>
      <c r="CZ296" s="120"/>
      <c r="DA296" s="683"/>
      <c r="DB296" s="376"/>
      <c r="DC296" s="120"/>
      <c r="DD296" s="120"/>
      <c r="DE296" s="683"/>
      <c r="DF296" s="515"/>
      <c r="DG296" s="513"/>
      <c r="DH296" s="727"/>
      <c r="DI296" s="384"/>
      <c r="DJ296" s="384"/>
      <c r="DK296" s="384"/>
      <c r="DL296" s="727"/>
      <c r="DM296" s="384"/>
      <c r="DN296" s="384"/>
      <c r="DO296" s="384"/>
      <c r="DP296" s="375"/>
      <c r="DQ296" s="377"/>
      <c r="DR296" s="1182"/>
      <c r="DS296" s="956"/>
      <c r="DT296" s="727"/>
      <c r="DU296" s="384"/>
      <c r="DV296" s="384"/>
      <c r="DW296" s="384"/>
      <c r="DX296" s="384"/>
      <c r="DY296" s="384"/>
      <c r="DZ296" s="384"/>
      <c r="EA296" s="384"/>
      <c r="EB296" s="1012"/>
      <c r="EC296" s="384"/>
      <c r="ED296" s="384"/>
      <c r="EE296" s="384"/>
      <c r="EF296" s="384"/>
      <c r="EG296" s="384"/>
      <c r="EH296" s="384"/>
      <c r="EI296" s="384"/>
      <c r="EJ296" s="384"/>
      <c r="EK296" s="384"/>
      <c r="EL296" s="1012"/>
      <c r="EM296" s="384"/>
      <c r="EN296" s="1012"/>
      <c r="EO296" s="384"/>
      <c r="EP296" s="384"/>
      <c r="EQ296" s="384"/>
      <c r="ER296" s="384"/>
      <c r="ES296" s="384"/>
      <c r="ET296" s="727"/>
      <c r="EU296" s="384"/>
      <c r="EV296" s="384"/>
      <c r="EW296" s="384"/>
      <c r="EX296" s="384"/>
      <c r="EY296" s="384"/>
      <c r="EZ296" s="727"/>
      <c r="FA296" s="384"/>
      <c r="FB296" s="384"/>
      <c r="FC296" s="384"/>
      <c r="FD296" s="727"/>
      <c r="FE296" s="384"/>
      <c r="FF296" s="384"/>
      <c r="FG296" s="384"/>
      <c r="FH296" s="384"/>
      <c r="FI296" s="384"/>
      <c r="FJ296" s="384"/>
    </row>
    <row r="297" spans="1:166" ht="15" hidden="1" customHeight="1">
      <c r="A297" s="79" t="s">
        <v>192</v>
      </c>
      <c r="B297" s="362">
        <v>138</v>
      </c>
      <c r="C297" s="362"/>
      <c r="D297" s="362">
        <v>46</v>
      </c>
      <c r="E297" s="604" t="s">
        <v>1969</v>
      </c>
      <c r="F297" s="124" t="s">
        <v>2193</v>
      </c>
      <c r="G297" s="125">
        <v>2000</v>
      </c>
      <c r="H297" s="79">
        <v>10807961</v>
      </c>
      <c r="I297" s="79">
        <v>1</v>
      </c>
      <c r="J297" s="126"/>
      <c r="K297" s="127"/>
      <c r="L297" s="79">
        <v>1</v>
      </c>
      <c r="M297" s="79"/>
      <c r="N297" s="79">
        <v>1</v>
      </c>
      <c r="O297" s="128">
        <v>1</v>
      </c>
      <c r="P297" s="79" t="s">
        <v>31</v>
      </c>
      <c r="Q297" s="79" t="s">
        <v>1157</v>
      </c>
      <c r="R297" s="79" t="s">
        <v>25</v>
      </c>
      <c r="S297" s="79">
        <v>1</v>
      </c>
      <c r="T297" s="79"/>
      <c r="U297" s="79"/>
      <c r="V297" s="79"/>
      <c r="W297" s="79" t="s">
        <v>557</v>
      </c>
      <c r="X297" s="79" t="s">
        <v>33</v>
      </c>
      <c r="Y297" s="79"/>
      <c r="Z297" s="79"/>
      <c r="AA297" s="79"/>
      <c r="AB297" s="79"/>
      <c r="AC297" s="506" t="s">
        <v>6220</v>
      </c>
      <c r="AD297" s="573">
        <v>1</v>
      </c>
      <c r="AE297" s="573">
        <v>0</v>
      </c>
      <c r="AF297" s="924">
        <v>2</v>
      </c>
      <c r="AG297" s="925"/>
      <c r="AH297" s="911"/>
      <c r="AI297" s="923">
        <v>2</v>
      </c>
      <c r="AJ297" s="923"/>
      <c r="AK297" s="926"/>
      <c r="AL297" s="588"/>
      <c r="AM297" s="927"/>
      <c r="AN297" s="923"/>
      <c r="AO297" s="923"/>
      <c r="AP297" s="923"/>
      <c r="AQ297" s="923"/>
      <c r="AR297" s="923"/>
      <c r="AS297" s="923"/>
      <c r="AT297" s="923"/>
      <c r="AU297" s="923"/>
      <c r="AV297" s="923"/>
      <c r="AW297" s="923"/>
      <c r="AX297" s="923"/>
      <c r="AY297" s="923"/>
      <c r="AZ297" s="915"/>
      <c r="BA297" s="923"/>
      <c r="BB297" s="923"/>
      <c r="BC297" s="923"/>
      <c r="BD297" s="915"/>
      <c r="BE297" s="915"/>
      <c r="BF297" s="923"/>
      <c r="BG297" s="923"/>
      <c r="BH297" s="594"/>
      <c r="BI297" s="594"/>
      <c r="BJ297" s="156"/>
      <c r="BK297" s="156"/>
      <c r="BL297" s="156" t="s">
        <v>5207</v>
      </c>
      <c r="BM297" s="156"/>
      <c r="BN297" s="156"/>
      <c r="BO297" s="156"/>
      <c r="BP297" s="156"/>
      <c r="BQ297" s="156"/>
      <c r="BR297" s="156"/>
      <c r="BS297" s="156"/>
      <c r="BT297" s="156"/>
      <c r="BU297" s="156"/>
      <c r="BV297" s="156"/>
      <c r="BW297" s="928" t="s">
        <v>31</v>
      </c>
      <c r="BX297" s="929"/>
      <c r="BY297" s="929"/>
      <c r="BZ297" s="929"/>
      <c r="CA297" s="917"/>
      <c r="CB297" s="917"/>
      <c r="CC297" s="917"/>
      <c r="CD297" s="923"/>
      <c r="CE297" s="923"/>
      <c r="CF297" s="923"/>
      <c r="CG297" s="923"/>
      <c r="CH297" s="915"/>
      <c r="CI297" s="923"/>
      <c r="CJ297" s="923"/>
      <c r="CK297" s="923"/>
      <c r="CL297" s="923"/>
      <c r="CM297" s="930"/>
      <c r="CN297" s="931"/>
      <c r="CO297" s="931"/>
      <c r="CP297" s="931"/>
      <c r="CQ297" s="931"/>
      <c r="CR297" s="931"/>
      <c r="CS297" s="931"/>
      <c r="CT297" s="967"/>
      <c r="CU297" s="967"/>
      <c r="CV297" s="967"/>
      <c r="CW297" s="967"/>
      <c r="CX297" s="932"/>
      <c r="CY297" s="923"/>
      <c r="CZ297" s="923"/>
      <c r="DA297" s="923"/>
      <c r="DB297" s="932"/>
      <c r="DC297" s="923"/>
      <c r="DD297" s="923"/>
      <c r="DE297" s="923"/>
      <c r="DF297" s="920"/>
      <c r="DG297" s="598"/>
      <c r="DH297" s="950"/>
      <c r="DI297" s="951"/>
      <c r="DJ297" s="951"/>
      <c r="DK297" s="951"/>
      <c r="DL297" s="950"/>
      <c r="DM297" s="951"/>
      <c r="DN297" s="951"/>
      <c r="DO297" s="951"/>
      <c r="DP297" s="930"/>
      <c r="DQ297" s="594"/>
      <c r="DR297" s="1187"/>
      <c r="DS297" s="1186"/>
      <c r="DT297" s="950"/>
      <c r="DU297" s="951"/>
      <c r="DV297" s="951"/>
      <c r="DW297" s="951"/>
      <c r="DX297" s="951"/>
      <c r="DY297" s="951"/>
      <c r="DZ297" s="951"/>
      <c r="EA297" s="951"/>
      <c r="EB297" s="1185"/>
      <c r="EC297" s="951"/>
      <c r="ED297" s="951"/>
      <c r="EE297" s="951"/>
      <c r="EF297" s="951"/>
      <c r="EG297" s="951"/>
      <c r="EH297" s="951"/>
      <c r="EI297" s="951"/>
      <c r="EJ297" s="951"/>
      <c r="EK297" s="951"/>
      <c r="EL297" s="1185"/>
      <c r="EM297" s="951"/>
      <c r="EN297" s="1185"/>
      <c r="EO297" s="951"/>
      <c r="EP297" s="951"/>
      <c r="EQ297" s="951"/>
      <c r="ER297" s="951"/>
      <c r="ES297" s="951"/>
      <c r="ET297" s="950"/>
      <c r="EU297" s="951"/>
      <c r="EV297" s="951"/>
      <c r="EW297" s="951"/>
      <c r="EX297" s="951"/>
      <c r="EY297" s="951"/>
      <c r="EZ297" s="950"/>
      <c r="FA297" s="951"/>
      <c r="FB297" s="951"/>
      <c r="FC297" s="951"/>
      <c r="FD297" s="950"/>
      <c r="FE297" s="951"/>
      <c r="FF297" s="951"/>
      <c r="FG297" s="951"/>
      <c r="FH297" s="951"/>
      <c r="FI297" s="951"/>
      <c r="FJ297" s="951"/>
    </row>
    <row r="298" spans="1:166" ht="15" hidden="1" customHeight="1">
      <c r="A298" s="153" t="s">
        <v>193</v>
      </c>
      <c r="B298" s="618">
        <v>139</v>
      </c>
      <c r="C298" s="618">
        <v>40</v>
      </c>
      <c r="D298" s="618"/>
      <c r="E298" s="610" t="s">
        <v>1970</v>
      </c>
      <c r="F298" s="368" t="s">
        <v>2194</v>
      </c>
      <c r="G298" s="369">
        <v>2012</v>
      </c>
      <c r="H298" s="153">
        <v>22193972</v>
      </c>
      <c r="I298" s="153">
        <v>1</v>
      </c>
      <c r="J298" s="370"/>
      <c r="K298" s="371"/>
      <c r="L298" s="153">
        <v>1</v>
      </c>
      <c r="M298" s="153"/>
      <c r="N298" s="153">
        <v>1</v>
      </c>
      <c r="O298" s="153">
        <v>1</v>
      </c>
      <c r="P298" s="153" t="s">
        <v>558</v>
      </c>
      <c r="Q298" s="153" t="s">
        <v>1165</v>
      </c>
      <c r="R298" s="153" t="s">
        <v>25</v>
      </c>
      <c r="S298" s="153">
        <v>1</v>
      </c>
      <c r="T298" s="153"/>
      <c r="U298" s="153"/>
      <c r="V298" s="153"/>
      <c r="W298" s="153" t="s">
        <v>1187</v>
      </c>
      <c r="X298" s="153" t="s">
        <v>24</v>
      </c>
      <c r="Y298" s="153" t="s">
        <v>559</v>
      </c>
      <c r="Z298" s="153"/>
      <c r="AA298" s="153"/>
      <c r="AB298" s="153"/>
      <c r="AC298" s="536"/>
      <c r="AD298" s="536">
        <v>1</v>
      </c>
      <c r="AE298" s="536">
        <v>2</v>
      </c>
      <c r="AF298" s="165">
        <v>0</v>
      </c>
      <c r="AG298" s="166" t="s">
        <v>7269</v>
      </c>
      <c r="AH298" s="509">
        <v>0</v>
      </c>
      <c r="AI298" s="120">
        <v>2</v>
      </c>
      <c r="AJ298" s="120"/>
      <c r="AK298" s="206" t="s">
        <v>4685</v>
      </c>
      <c r="AL298" s="372" t="s">
        <v>24</v>
      </c>
      <c r="AM298" s="207"/>
      <c r="AN298" s="120"/>
      <c r="AO298" s="120"/>
      <c r="AP298" s="120"/>
      <c r="AQ298" s="120"/>
      <c r="AR298" s="120"/>
      <c r="AS298" s="120"/>
      <c r="AT298" s="120"/>
      <c r="AU298" s="120"/>
      <c r="AV298" s="120"/>
      <c r="AW298" s="120"/>
      <c r="AX298" s="120"/>
      <c r="AY298" s="120"/>
      <c r="AZ298" s="755"/>
      <c r="BA298" s="120"/>
      <c r="BB298" s="120"/>
      <c r="BC298" s="120" t="s">
        <v>24</v>
      </c>
      <c r="BD298" s="755"/>
      <c r="BE298" s="755"/>
      <c r="BF298" s="120"/>
      <c r="BG298" s="120"/>
      <c r="BH298" s="377"/>
      <c r="BI298" s="377"/>
      <c r="BJ298" s="373"/>
      <c r="BK298" s="373"/>
      <c r="BL298" s="373"/>
      <c r="BM298" s="373">
        <v>1</v>
      </c>
      <c r="BN298" s="373"/>
      <c r="BO298" s="373"/>
      <c r="BP298" s="373">
        <v>1</v>
      </c>
      <c r="BQ298" s="373"/>
      <c r="BR298" s="373"/>
      <c r="BS298" s="373"/>
      <c r="BT298" s="373"/>
      <c r="BU298" s="373"/>
      <c r="BV298" s="373"/>
      <c r="BW298" s="599"/>
      <c r="BX298" s="374"/>
      <c r="BY298" s="374"/>
      <c r="BZ298" s="374"/>
      <c r="CA298" s="510"/>
      <c r="CB298" s="510"/>
      <c r="CC298" s="510"/>
      <c r="CD298" s="120"/>
      <c r="CE298" s="120"/>
      <c r="CF298" s="120"/>
      <c r="CG298" s="633" t="s">
        <v>24</v>
      </c>
      <c r="CH298" s="755"/>
      <c r="CI298" s="120"/>
      <c r="CJ298" s="120"/>
      <c r="CK298" s="120" t="s">
        <v>24</v>
      </c>
      <c r="CL298" s="120"/>
      <c r="CM298" s="375" t="s">
        <v>24</v>
      </c>
      <c r="CN298" s="380"/>
      <c r="CO298" s="380"/>
      <c r="CP298" s="380"/>
      <c r="CQ298" s="380"/>
      <c r="CR298" s="380"/>
      <c r="CS298" s="380"/>
      <c r="CT298" s="380"/>
      <c r="CU298" s="380"/>
      <c r="CV298" s="380"/>
      <c r="CW298" s="380"/>
      <c r="CX298" s="709"/>
      <c r="CY298" s="120"/>
      <c r="CZ298" s="120"/>
      <c r="DA298" s="120"/>
      <c r="DB298" s="709"/>
      <c r="DC298" s="120"/>
      <c r="DD298" s="120"/>
      <c r="DE298" s="120"/>
      <c r="DF298" s="515"/>
      <c r="DG298" s="513"/>
      <c r="DH298" s="709"/>
      <c r="DI298" s="384"/>
      <c r="DJ298" s="384"/>
      <c r="DK298" s="384"/>
      <c r="DL298" s="709"/>
      <c r="DM298" s="384"/>
      <c r="DN298" s="384"/>
      <c r="DO298" s="384"/>
      <c r="DP298" s="375"/>
      <c r="DQ298" s="377"/>
      <c r="DR298" s="1182"/>
      <c r="DS298" s="956"/>
      <c r="DT298" s="727"/>
      <c r="DU298" s="384"/>
      <c r="DV298" s="384"/>
      <c r="DW298" s="384"/>
      <c r="DX298" s="384"/>
      <c r="DY298" s="384"/>
      <c r="DZ298" s="384"/>
      <c r="EA298" s="384"/>
      <c r="EB298" s="1012"/>
      <c r="EC298" s="384"/>
      <c r="ED298" s="384"/>
      <c r="EE298" s="384"/>
      <c r="EF298" s="384"/>
      <c r="EG298" s="384"/>
      <c r="EH298" s="384"/>
      <c r="EI298" s="384"/>
      <c r="EJ298" s="384"/>
      <c r="EK298" s="384"/>
      <c r="EL298" s="1012"/>
      <c r="EM298" s="384"/>
      <c r="EN298" s="1012"/>
      <c r="EO298" s="384"/>
      <c r="EP298" s="384"/>
      <c r="EQ298" s="384"/>
      <c r="ER298" s="384"/>
      <c r="ES298" s="384"/>
      <c r="ET298" s="727"/>
      <c r="EU298" s="384"/>
      <c r="EV298" s="384"/>
      <c r="EW298" s="384"/>
      <c r="EX298" s="384"/>
      <c r="EY298" s="384"/>
      <c r="EZ298" s="727"/>
      <c r="FA298" s="384"/>
      <c r="FB298" s="384"/>
      <c r="FC298" s="384"/>
      <c r="FD298" s="727"/>
      <c r="FE298" s="384"/>
      <c r="FF298" s="384"/>
      <c r="FG298" s="384"/>
      <c r="FH298" s="384"/>
      <c r="FI298" s="384"/>
      <c r="FJ298" s="384"/>
    </row>
    <row r="299" spans="1:166" ht="15" hidden="1" customHeight="1">
      <c r="A299" s="79" t="s">
        <v>194</v>
      </c>
      <c r="B299" s="362">
        <v>140</v>
      </c>
      <c r="C299" s="362">
        <v>41</v>
      </c>
      <c r="D299" s="362"/>
      <c r="E299" s="604" t="s">
        <v>1971</v>
      </c>
      <c r="F299" s="124" t="s">
        <v>2195</v>
      </c>
      <c r="G299" s="125">
        <v>2003</v>
      </c>
      <c r="H299" s="79">
        <v>12775293</v>
      </c>
      <c r="I299" s="79">
        <v>1</v>
      </c>
      <c r="J299" s="126"/>
      <c r="K299" s="127"/>
      <c r="L299" s="79">
        <v>1</v>
      </c>
      <c r="M299" s="79"/>
      <c r="N299" s="79">
        <v>1</v>
      </c>
      <c r="O299" s="128">
        <v>1</v>
      </c>
      <c r="P299" s="79" t="s">
        <v>562</v>
      </c>
      <c r="Q299" s="79" t="s">
        <v>1147</v>
      </c>
      <c r="R299" s="79" t="s">
        <v>560</v>
      </c>
      <c r="S299" s="79">
        <v>0</v>
      </c>
      <c r="T299" s="79"/>
      <c r="U299" s="79"/>
      <c r="V299" s="79"/>
      <c r="W299" s="79" t="s">
        <v>561</v>
      </c>
      <c r="X299" s="79" t="s">
        <v>24</v>
      </c>
      <c r="Y299" s="79"/>
      <c r="Z299" s="79"/>
      <c r="AA299" s="79"/>
      <c r="AB299" s="79"/>
      <c r="AC299" s="506"/>
      <c r="AD299" s="573">
        <v>1</v>
      </c>
      <c r="AE299" s="573">
        <v>2</v>
      </c>
      <c r="AF299" s="154">
        <v>1</v>
      </c>
      <c r="AG299" s="155" t="s">
        <v>8087</v>
      </c>
      <c r="AH299" s="704"/>
      <c r="AI299" s="121">
        <v>3</v>
      </c>
      <c r="AJ299" s="484" t="s">
        <v>4710</v>
      </c>
      <c r="AK299" s="202" t="s">
        <v>4706</v>
      </c>
      <c r="AL299" s="192">
        <v>1</v>
      </c>
      <c r="AM299" s="215">
        <v>0</v>
      </c>
      <c r="AN299" s="134">
        <v>34</v>
      </c>
      <c r="AO299" s="134">
        <v>21</v>
      </c>
      <c r="AP299" s="134">
        <v>13</v>
      </c>
      <c r="AQ299" s="1604" t="s">
        <v>4694</v>
      </c>
      <c r="AR299" s="1604" t="s">
        <v>4694</v>
      </c>
      <c r="AS299" s="1604" t="s">
        <v>4694</v>
      </c>
      <c r="AT299" s="134" t="s">
        <v>24</v>
      </c>
      <c r="AU299" s="1604" t="s">
        <v>4694</v>
      </c>
      <c r="AV299" s="134" t="s">
        <v>24</v>
      </c>
      <c r="AW299" s="134" t="s">
        <v>7475</v>
      </c>
      <c r="AX299" s="134"/>
      <c r="AY299" s="134"/>
      <c r="AZ299" s="753" t="s">
        <v>7361</v>
      </c>
      <c r="BA299" s="134" t="s">
        <v>24</v>
      </c>
      <c r="BB299" s="134" t="s">
        <v>24</v>
      </c>
      <c r="BC299" s="134" t="s">
        <v>4689</v>
      </c>
      <c r="BD299" s="753" t="s">
        <v>7521</v>
      </c>
      <c r="BE299" s="1624">
        <v>0</v>
      </c>
      <c r="BF299" s="134" t="s">
        <v>4688</v>
      </c>
      <c r="BG299" s="134" t="s">
        <v>4687</v>
      </c>
      <c r="BH299" s="594"/>
      <c r="BI299" s="594"/>
      <c r="BJ299" s="156"/>
      <c r="BK299" s="156"/>
      <c r="BL299" s="156"/>
      <c r="BM299" s="156"/>
      <c r="BN299" s="156"/>
      <c r="BO299" s="156" t="s">
        <v>4696</v>
      </c>
      <c r="BP299" s="156">
        <v>1</v>
      </c>
      <c r="BQ299" s="156"/>
      <c r="BR299" s="156"/>
      <c r="BS299" s="156"/>
      <c r="BT299" s="156"/>
      <c r="BU299" s="156"/>
      <c r="BV299" s="156" t="s">
        <v>4696</v>
      </c>
      <c r="BW299" s="595" t="s">
        <v>4691</v>
      </c>
      <c r="BX299" s="157" t="s">
        <v>6612</v>
      </c>
      <c r="BY299" s="797" t="s">
        <v>7617</v>
      </c>
      <c r="BZ299" s="789" t="s">
        <v>803</v>
      </c>
      <c r="CA299" s="811">
        <v>2</v>
      </c>
      <c r="CB299" s="660" t="s">
        <v>7556</v>
      </c>
      <c r="CC299" s="811" t="s">
        <v>24</v>
      </c>
      <c r="CD299" s="134" t="s">
        <v>1876</v>
      </c>
      <c r="CE299" s="134">
        <v>2</v>
      </c>
      <c r="CF299" s="400"/>
      <c r="CG299" s="426" t="s">
        <v>7852</v>
      </c>
      <c r="CH299" s="753" t="s">
        <v>8211</v>
      </c>
      <c r="CI299" s="134" t="s">
        <v>24</v>
      </c>
      <c r="CJ299" s="134"/>
      <c r="CK299" s="134" t="s">
        <v>7854</v>
      </c>
      <c r="CL299" s="134" t="s">
        <v>8212</v>
      </c>
      <c r="CM299" s="259" t="s">
        <v>4709</v>
      </c>
      <c r="CN299" s="454">
        <v>0</v>
      </c>
      <c r="CO299" s="828">
        <v>35</v>
      </c>
      <c r="CP299" s="828">
        <v>1</v>
      </c>
      <c r="CQ299" s="828">
        <v>1</v>
      </c>
      <c r="CR299" s="828">
        <v>1</v>
      </c>
      <c r="CS299" s="828">
        <v>1</v>
      </c>
      <c r="CT299" s="967"/>
      <c r="CU299" s="1288" t="s">
        <v>8103</v>
      </c>
      <c r="CV299" s="1294">
        <v>45</v>
      </c>
      <c r="CW299" s="1294">
        <v>39</v>
      </c>
      <c r="CX299" s="430" t="s">
        <v>4697</v>
      </c>
      <c r="CY299" s="134">
        <v>6.3</v>
      </c>
      <c r="CZ299" s="134">
        <v>1.9</v>
      </c>
      <c r="DA299" s="134" t="s">
        <v>24</v>
      </c>
      <c r="DB299" s="430" t="s">
        <v>4698</v>
      </c>
      <c r="DC299" s="134">
        <v>7.2</v>
      </c>
      <c r="DD299" s="134">
        <v>1.4</v>
      </c>
      <c r="DE299" s="134" t="s">
        <v>24</v>
      </c>
      <c r="DF299" s="294" t="s">
        <v>4707</v>
      </c>
      <c r="DG299" s="295" t="s">
        <v>4703</v>
      </c>
      <c r="DH299" s="448"/>
      <c r="DI299" s="1169"/>
      <c r="DJ299" s="1169"/>
      <c r="DK299" s="1169"/>
      <c r="DL299" s="448"/>
      <c r="DM299" s="1169"/>
      <c r="DN299" s="1169"/>
      <c r="DO299" s="1169"/>
      <c r="DP299" s="288"/>
      <c r="DQ299" s="289"/>
      <c r="DR299" s="1168"/>
      <c r="DS299" s="865"/>
      <c r="DT299" s="1154"/>
      <c r="DU299" s="1169"/>
      <c r="DV299" s="1169"/>
      <c r="DW299" s="1169"/>
      <c r="DX299" s="448"/>
      <c r="DY299" s="1169"/>
      <c r="DZ299" s="1169"/>
      <c r="EA299" s="1169"/>
      <c r="EB299" s="304"/>
      <c r="EC299" s="312"/>
      <c r="ED299" s="1169"/>
      <c r="EE299" s="1169"/>
      <c r="EF299" s="1169"/>
      <c r="EG299" s="1169"/>
      <c r="EH299" s="1169"/>
      <c r="EI299" s="1169"/>
      <c r="EJ299" s="1169"/>
      <c r="EK299" s="1169"/>
      <c r="EL299" s="304"/>
      <c r="EM299" s="312"/>
      <c r="EN299" s="309"/>
      <c r="EO299" s="1170"/>
      <c r="EP299" s="1169"/>
      <c r="EQ299" s="1169"/>
      <c r="ER299" s="1169"/>
      <c r="ES299" s="1169"/>
      <c r="ET299" s="1171"/>
      <c r="EU299" s="1169"/>
      <c r="EV299" s="1169"/>
      <c r="EW299" s="1169"/>
      <c r="EX299" s="312"/>
      <c r="EY299" s="312"/>
      <c r="EZ299" s="1171"/>
      <c r="FA299" s="1169"/>
      <c r="FB299" s="1169"/>
      <c r="FC299" s="1169"/>
      <c r="FD299" s="1171"/>
      <c r="FE299" s="1169"/>
      <c r="FF299" s="1169"/>
      <c r="FG299" s="1169"/>
      <c r="FH299" s="312"/>
      <c r="FI299" s="312"/>
      <c r="FJ299" s="1170"/>
    </row>
    <row r="300" spans="1:166" ht="15" hidden="1" customHeight="1">
      <c r="A300" s="79" t="s">
        <v>194</v>
      </c>
      <c r="B300" s="362">
        <v>140</v>
      </c>
      <c r="C300" s="362">
        <v>41</v>
      </c>
      <c r="D300" s="362"/>
      <c r="E300" s="604" t="s">
        <v>1971</v>
      </c>
      <c r="F300" s="124" t="s">
        <v>2195</v>
      </c>
      <c r="G300" s="125">
        <v>2003</v>
      </c>
      <c r="H300" s="79">
        <v>12775293</v>
      </c>
      <c r="I300" s="79">
        <v>1</v>
      </c>
      <c r="J300" s="126"/>
      <c r="K300" s="127"/>
      <c r="L300" s="79">
        <v>1</v>
      </c>
      <c r="M300" s="79"/>
      <c r="N300" s="79">
        <v>1</v>
      </c>
      <c r="O300" s="128">
        <v>1</v>
      </c>
      <c r="P300" s="79" t="s">
        <v>562</v>
      </c>
      <c r="Q300" s="79" t="s">
        <v>1147</v>
      </c>
      <c r="R300" s="79" t="s">
        <v>560</v>
      </c>
      <c r="S300" s="79">
        <v>0</v>
      </c>
      <c r="T300" s="79"/>
      <c r="U300" s="79"/>
      <c r="V300" s="79"/>
      <c r="W300" s="79" t="s">
        <v>561</v>
      </c>
      <c r="X300" s="79" t="s">
        <v>24</v>
      </c>
      <c r="Y300" s="79"/>
      <c r="Z300" s="79"/>
      <c r="AA300" s="79"/>
      <c r="AB300" s="79"/>
      <c r="AC300" s="506"/>
      <c r="AD300" s="573">
        <v>1</v>
      </c>
      <c r="AE300" s="573">
        <v>2</v>
      </c>
      <c r="AF300" s="154">
        <v>1</v>
      </c>
      <c r="AG300" s="155" t="s">
        <v>8087</v>
      </c>
      <c r="AH300" s="704"/>
      <c r="AI300" s="121">
        <v>3</v>
      </c>
      <c r="AJ300" s="484" t="s">
        <v>4710</v>
      </c>
      <c r="AK300" s="202" t="s">
        <v>4706</v>
      </c>
      <c r="AL300" s="192">
        <v>1</v>
      </c>
      <c r="AM300" s="215">
        <v>0</v>
      </c>
      <c r="AN300" s="134">
        <v>34</v>
      </c>
      <c r="AO300" s="134">
        <v>21</v>
      </c>
      <c r="AP300" s="134">
        <v>13</v>
      </c>
      <c r="AQ300" s="1604" t="s">
        <v>4694</v>
      </c>
      <c r="AR300" s="1604" t="s">
        <v>4694</v>
      </c>
      <c r="AS300" s="1604" t="s">
        <v>4694</v>
      </c>
      <c r="AT300" s="134" t="s">
        <v>24</v>
      </c>
      <c r="AU300" s="1604" t="s">
        <v>4694</v>
      </c>
      <c r="AV300" s="134" t="s">
        <v>24</v>
      </c>
      <c r="AW300" s="134" t="s">
        <v>7475</v>
      </c>
      <c r="AX300" s="134"/>
      <c r="AY300" s="134"/>
      <c r="AZ300" s="753" t="s">
        <v>7361</v>
      </c>
      <c r="BA300" s="134" t="s">
        <v>24</v>
      </c>
      <c r="BB300" s="134" t="s">
        <v>24</v>
      </c>
      <c r="BC300" s="134" t="s">
        <v>4689</v>
      </c>
      <c r="BD300" s="753" t="s">
        <v>7521</v>
      </c>
      <c r="BE300" s="1624">
        <v>0</v>
      </c>
      <c r="BF300" s="134" t="s">
        <v>4688</v>
      </c>
      <c r="BG300" s="134" t="s">
        <v>4687</v>
      </c>
      <c r="BH300" s="594"/>
      <c r="BI300" s="594"/>
      <c r="BJ300" s="156"/>
      <c r="BK300" s="156"/>
      <c r="BL300" s="156"/>
      <c r="BM300" s="156"/>
      <c r="BN300" s="156"/>
      <c r="BO300" s="156" t="s">
        <v>4696</v>
      </c>
      <c r="BP300" s="156">
        <v>1</v>
      </c>
      <c r="BQ300" s="156"/>
      <c r="BR300" s="156"/>
      <c r="BS300" s="156"/>
      <c r="BT300" s="156"/>
      <c r="BU300" s="156"/>
      <c r="BV300" s="156" t="s">
        <v>4696</v>
      </c>
      <c r="BW300" s="595" t="s">
        <v>4691</v>
      </c>
      <c r="BX300" s="157" t="s">
        <v>6612</v>
      </c>
      <c r="BY300" s="797" t="s">
        <v>7617</v>
      </c>
      <c r="BZ300" s="789" t="s">
        <v>803</v>
      </c>
      <c r="CA300" s="811">
        <v>2</v>
      </c>
      <c r="CB300" s="660" t="s">
        <v>7556</v>
      </c>
      <c r="CC300" s="811" t="s">
        <v>24</v>
      </c>
      <c r="CD300" s="134" t="s">
        <v>1876</v>
      </c>
      <c r="CE300" s="134">
        <v>2</v>
      </c>
      <c r="CF300" s="400"/>
      <c r="CG300" s="426" t="s">
        <v>7853</v>
      </c>
      <c r="CH300" s="753" t="s">
        <v>8249</v>
      </c>
      <c r="CI300" s="134" t="s">
        <v>24</v>
      </c>
      <c r="CJ300" s="134"/>
      <c r="CK300" s="134" t="s">
        <v>7855</v>
      </c>
      <c r="CL300" s="134" t="s">
        <v>469</v>
      </c>
      <c r="CM300" s="259" t="s">
        <v>4709</v>
      </c>
      <c r="CN300" s="454">
        <v>0</v>
      </c>
      <c r="CO300" s="828">
        <v>35</v>
      </c>
      <c r="CP300" s="828">
        <v>1</v>
      </c>
      <c r="CQ300" s="828">
        <v>2</v>
      </c>
      <c r="CR300" s="828">
        <v>1</v>
      </c>
      <c r="CS300" s="828">
        <v>1</v>
      </c>
      <c r="CT300" s="967"/>
      <c r="CU300" s="1288" t="s">
        <v>8103</v>
      </c>
      <c r="CV300" s="1294">
        <v>45</v>
      </c>
      <c r="CW300" s="1294">
        <v>39</v>
      </c>
      <c r="CX300" s="430" t="s">
        <v>4699</v>
      </c>
      <c r="CY300" s="134">
        <v>20</v>
      </c>
      <c r="CZ300" s="134">
        <v>5.7</v>
      </c>
      <c r="DA300" s="134" t="s">
        <v>24</v>
      </c>
      <c r="DB300" s="430" t="s">
        <v>4700</v>
      </c>
      <c r="DC300" s="190">
        <v>22.6</v>
      </c>
      <c r="DD300" s="134">
        <v>3.6</v>
      </c>
      <c r="DE300" s="389" t="s">
        <v>24</v>
      </c>
      <c r="DF300" s="288" t="s">
        <v>4708</v>
      </c>
      <c r="DG300" s="289" t="s">
        <v>4701</v>
      </c>
      <c r="DH300" s="1175"/>
      <c r="DI300" s="417"/>
      <c r="DJ300" s="1169"/>
      <c r="DK300" s="417"/>
      <c r="DL300" s="1171"/>
      <c r="DM300" s="417"/>
      <c r="DN300" s="1169"/>
      <c r="DO300" s="1151"/>
      <c r="DP300" s="288"/>
      <c r="DQ300" s="289"/>
      <c r="DR300" s="1168"/>
      <c r="DS300" s="865"/>
      <c r="DT300" s="1154"/>
      <c r="DU300" s="1169"/>
      <c r="DV300" s="1169"/>
      <c r="DW300" s="1169"/>
      <c r="DX300" s="448"/>
      <c r="DY300" s="1169"/>
      <c r="DZ300" s="1169"/>
      <c r="EA300" s="1169"/>
      <c r="EB300" s="304"/>
      <c r="EC300" s="312"/>
      <c r="ED300" s="1169"/>
      <c r="EE300" s="1169"/>
      <c r="EF300" s="1169"/>
      <c r="EG300" s="1169"/>
      <c r="EH300" s="1169"/>
      <c r="EI300" s="1169"/>
      <c r="EJ300" s="1169"/>
      <c r="EK300" s="1169"/>
      <c r="EL300" s="304"/>
      <c r="EM300" s="312"/>
      <c r="EN300" s="309"/>
      <c r="EO300" s="1170"/>
      <c r="EP300" s="1169"/>
      <c r="EQ300" s="1169"/>
      <c r="ER300" s="1169"/>
      <c r="ES300" s="1169"/>
      <c r="ET300" s="1171"/>
      <c r="EU300" s="1169"/>
      <c r="EV300" s="1169"/>
      <c r="EW300" s="1169"/>
      <c r="EX300" s="312"/>
      <c r="EY300" s="312"/>
      <c r="EZ300" s="1171"/>
      <c r="FA300" s="1169"/>
      <c r="FB300" s="1169"/>
      <c r="FC300" s="1169"/>
      <c r="FD300" s="1171"/>
      <c r="FE300" s="1169"/>
      <c r="FF300" s="1169"/>
      <c r="FG300" s="1169"/>
      <c r="FH300" s="312"/>
      <c r="FI300" s="312"/>
      <c r="FJ300" s="1170"/>
    </row>
    <row r="301" spans="1:166" ht="15" hidden="1" customHeight="1">
      <c r="A301" s="153" t="s">
        <v>1039</v>
      </c>
      <c r="B301" s="618">
        <v>141</v>
      </c>
      <c r="C301" s="618"/>
      <c r="D301" s="618">
        <v>47</v>
      </c>
      <c r="E301" s="610" t="s">
        <v>2081</v>
      </c>
      <c r="F301" s="368" t="s">
        <v>2335</v>
      </c>
      <c r="G301" s="369">
        <v>2001</v>
      </c>
      <c r="H301" s="153">
        <v>12587183</v>
      </c>
      <c r="I301" s="153">
        <v>1</v>
      </c>
      <c r="J301" s="370">
        <v>1</v>
      </c>
      <c r="K301" s="371"/>
      <c r="L301" s="153">
        <v>1</v>
      </c>
      <c r="M301" s="153"/>
      <c r="N301" s="153">
        <v>1</v>
      </c>
      <c r="O301" s="153">
        <v>2</v>
      </c>
      <c r="P301" s="153" t="s">
        <v>1376</v>
      </c>
      <c r="Q301" s="153" t="s">
        <v>1377</v>
      </c>
      <c r="R301" s="153"/>
      <c r="S301" s="153"/>
      <c r="T301" s="153" t="s">
        <v>1498</v>
      </c>
      <c r="U301" s="153"/>
      <c r="V301" s="153"/>
      <c r="W301" s="153" t="s">
        <v>1682</v>
      </c>
      <c r="X301" s="153"/>
      <c r="Y301" s="153"/>
      <c r="Z301" s="153"/>
      <c r="AA301" s="153"/>
      <c r="AB301" s="153"/>
      <c r="AC301" s="536" t="s">
        <v>6221</v>
      </c>
      <c r="AD301" s="536">
        <v>1</v>
      </c>
      <c r="AE301" s="536">
        <v>1</v>
      </c>
      <c r="AF301" s="165">
        <v>0</v>
      </c>
      <c r="AG301" s="166" t="s">
        <v>6915</v>
      </c>
      <c r="AH301" s="509"/>
      <c r="AI301" s="120">
        <v>4</v>
      </c>
      <c r="AJ301" s="120"/>
      <c r="AK301" s="206"/>
      <c r="AL301" s="372"/>
      <c r="AM301" s="207"/>
      <c r="AN301" s="120">
        <v>24</v>
      </c>
      <c r="AO301" s="120">
        <v>12</v>
      </c>
      <c r="AP301" s="120">
        <v>12</v>
      </c>
      <c r="AQ301" s="120"/>
      <c r="AR301" s="120"/>
      <c r="AS301" s="120"/>
      <c r="AT301" s="120"/>
      <c r="AU301" s="120"/>
      <c r="AV301" s="120"/>
      <c r="AW301" s="120"/>
      <c r="AX301" s="120"/>
      <c r="AY301" s="120"/>
      <c r="AZ301" s="755"/>
      <c r="BA301" s="120"/>
      <c r="BB301" s="120"/>
      <c r="BC301" s="120"/>
      <c r="BD301" s="755"/>
      <c r="BE301" s="755"/>
      <c r="BF301" s="120"/>
      <c r="BG301" s="120"/>
      <c r="BH301" s="377"/>
      <c r="BI301" s="377"/>
      <c r="BJ301" s="373" t="s">
        <v>5207</v>
      </c>
      <c r="BK301" s="373" t="s">
        <v>6205</v>
      </c>
      <c r="BL301" s="373"/>
      <c r="BM301" s="373"/>
      <c r="BN301" s="373"/>
      <c r="BO301" s="373"/>
      <c r="BP301" s="373" t="s">
        <v>6174</v>
      </c>
      <c r="BQ301" s="373"/>
      <c r="BR301" s="373"/>
      <c r="BS301" s="373"/>
      <c r="BT301" s="373"/>
      <c r="BU301" s="373"/>
      <c r="BV301" s="373"/>
      <c r="BW301" s="599"/>
      <c r="BX301" s="374"/>
      <c r="BY301" s="799"/>
      <c r="BZ301" s="374"/>
      <c r="CA301" s="510"/>
      <c r="CB301" s="510"/>
      <c r="CC301" s="510"/>
      <c r="CD301" s="120"/>
      <c r="CE301" s="120"/>
      <c r="CF301" s="786"/>
      <c r="CG301" s="633"/>
      <c r="CH301" s="755"/>
      <c r="CI301" s="120"/>
      <c r="CJ301" s="120"/>
      <c r="CK301" s="120"/>
      <c r="CL301" s="120"/>
      <c r="CM301" s="375"/>
      <c r="CN301" s="380"/>
      <c r="CO301" s="380"/>
      <c r="CP301" s="380"/>
      <c r="CQ301" s="380"/>
      <c r="CR301" s="380"/>
      <c r="CS301" s="380"/>
      <c r="CT301" s="380"/>
      <c r="CU301" s="380"/>
      <c r="CV301" s="515"/>
      <c r="CW301" s="515"/>
      <c r="CX301" s="709"/>
      <c r="CY301" s="120"/>
      <c r="CZ301" s="120"/>
      <c r="DA301" s="120"/>
      <c r="DB301" s="709"/>
      <c r="DC301" s="120"/>
      <c r="DD301" s="120"/>
      <c r="DE301" s="120"/>
      <c r="DF301" s="515"/>
      <c r="DG301" s="513"/>
      <c r="DH301" s="709"/>
      <c r="DI301" s="384"/>
      <c r="DJ301" s="384"/>
      <c r="DK301" s="384"/>
      <c r="DL301" s="709"/>
      <c r="DM301" s="384"/>
      <c r="DN301" s="384"/>
      <c r="DO301" s="384"/>
      <c r="DP301" s="375"/>
      <c r="DQ301" s="379"/>
      <c r="DR301" s="1182"/>
      <c r="DS301" s="956"/>
      <c r="DT301" s="709"/>
      <c r="DU301" s="384"/>
      <c r="DV301" s="384"/>
      <c r="DW301" s="384"/>
      <c r="DX301" s="633"/>
      <c r="DY301" s="384"/>
      <c r="DZ301" s="384"/>
      <c r="EA301" s="384"/>
      <c r="EB301" s="1012"/>
      <c r="EC301" s="384"/>
      <c r="ED301" s="384"/>
      <c r="EE301" s="384"/>
      <c r="EF301" s="384"/>
      <c r="EG301" s="384"/>
      <c r="EH301" s="384"/>
      <c r="EI301" s="384"/>
      <c r="EJ301" s="384"/>
      <c r="EK301" s="384"/>
      <c r="EL301" s="1012"/>
      <c r="EM301" s="384"/>
      <c r="EN301" s="1012"/>
      <c r="EO301" s="384"/>
      <c r="EP301" s="384"/>
      <c r="EQ301" s="384"/>
      <c r="ER301" s="384"/>
      <c r="ES301" s="384"/>
      <c r="ET301" s="727"/>
      <c r="EU301" s="384"/>
      <c r="EV301" s="384"/>
      <c r="EW301" s="384"/>
      <c r="EX301" s="384"/>
      <c r="EY301" s="384"/>
      <c r="EZ301" s="727"/>
      <c r="FA301" s="384"/>
      <c r="FB301" s="384"/>
      <c r="FC301" s="384"/>
      <c r="FD301" s="727"/>
      <c r="FE301" s="384"/>
      <c r="FF301" s="384"/>
      <c r="FG301" s="384"/>
      <c r="FH301" s="384"/>
      <c r="FI301" s="384"/>
      <c r="FJ301" s="384"/>
    </row>
    <row r="302" spans="1:166" ht="15" hidden="1" customHeight="1">
      <c r="A302" s="153" t="s">
        <v>196</v>
      </c>
      <c r="B302" s="618">
        <v>142</v>
      </c>
      <c r="C302" s="618"/>
      <c r="D302" s="618">
        <v>48</v>
      </c>
      <c r="E302" s="610" t="s">
        <v>1972</v>
      </c>
      <c r="F302" s="368" t="s">
        <v>2196</v>
      </c>
      <c r="G302" s="369">
        <v>2007</v>
      </c>
      <c r="H302" s="153">
        <v>17916253</v>
      </c>
      <c r="I302" s="153">
        <v>1</v>
      </c>
      <c r="J302" s="370"/>
      <c r="K302" s="371"/>
      <c r="L302" s="153">
        <v>1</v>
      </c>
      <c r="M302" s="153"/>
      <c r="N302" s="153">
        <v>1</v>
      </c>
      <c r="O302" s="153">
        <v>1</v>
      </c>
      <c r="P302" s="153"/>
      <c r="Q302" s="153" t="s">
        <v>1157</v>
      </c>
      <c r="R302" s="153" t="s">
        <v>560</v>
      </c>
      <c r="S302" s="153">
        <v>0</v>
      </c>
      <c r="T302" s="153"/>
      <c r="U302" s="153"/>
      <c r="V302" s="153"/>
      <c r="W302" s="153" t="s">
        <v>564</v>
      </c>
      <c r="X302" s="153" t="s">
        <v>24</v>
      </c>
      <c r="Y302" s="153" t="s">
        <v>565</v>
      </c>
      <c r="Z302" s="153"/>
      <c r="AA302" s="153"/>
      <c r="AB302" s="153"/>
      <c r="AC302" s="536" t="s">
        <v>6222</v>
      </c>
      <c r="AD302" s="536">
        <v>1</v>
      </c>
      <c r="AE302" s="536">
        <v>0</v>
      </c>
      <c r="AF302" s="165">
        <v>0</v>
      </c>
      <c r="AG302" s="166" t="s">
        <v>7212</v>
      </c>
      <c r="AH302" s="509">
        <v>0</v>
      </c>
      <c r="AI302" s="120"/>
      <c r="AJ302" s="120"/>
      <c r="AK302" s="206"/>
      <c r="AL302" s="372"/>
      <c r="AM302" s="207"/>
      <c r="AN302" s="120"/>
      <c r="AO302" s="120"/>
      <c r="AP302" s="120"/>
      <c r="AQ302" s="120"/>
      <c r="AR302" s="120"/>
      <c r="AS302" s="120"/>
      <c r="AT302" s="120"/>
      <c r="AU302" s="120"/>
      <c r="AV302" s="120"/>
      <c r="AW302" s="120"/>
      <c r="AX302" s="120"/>
      <c r="AY302" s="120"/>
      <c r="AZ302" s="755"/>
      <c r="BA302" s="120"/>
      <c r="BB302" s="120"/>
      <c r="BC302" s="120"/>
      <c r="BD302" s="755"/>
      <c r="BE302" s="755"/>
      <c r="BF302" s="120"/>
      <c r="BG302" s="120"/>
      <c r="BH302" s="377"/>
      <c r="BI302" s="377"/>
      <c r="BJ302" s="373"/>
      <c r="BK302" s="373"/>
      <c r="BL302" s="373"/>
      <c r="BM302" s="373"/>
      <c r="BN302" s="373"/>
      <c r="BO302" s="373"/>
      <c r="BP302" s="373" t="s">
        <v>6174</v>
      </c>
      <c r="BQ302" s="373"/>
      <c r="BR302" s="373"/>
      <c r="BS302" s="373"/>
      <c r="BT302" s="373"/>
      <c r="BU302" s="373"/>
      <c r="BV302" s="373"/>
      <c r="BW302" s="599"/>
      <c r="BX302" s="374"/>
      <c r="BY302" s="374"/>
      <c r="BZ302" s="374"/>
      <c r="CA302" s="510"/>
      <c r="CB302" s="510"/>
      <c r="CC302" s="510"/>
      <c r="CD302" s="120"/>
      <c r="CE302" s="120"/>
      <c r="CF302" s="120"/>
      <c r="CG302" s="633"/>
      <c r="CH302" s="755"/>
      <c r="CI302" s="120"/>
      <c r="CJ302" s="120"/>
      <c r="CK302" s="120"/>
      <c r="CL302" s="120"/>
      <c r="CM302" s="375"/>
      <c r="CN302" s="380"/>
      <c r="CO302" s="380"/>
      <c r="CP302" s="380"/>
      <c r="CQ302" s="380"/>
      <c r="CR302" s="380"/>
      <c r="CS302" s="380"/>
      <c r="CT302" s="380"/>
      <c r="CU302" s="380"/>
      <c r="CV302" s="380"/>
      <c r="CW302" s="380"/>
      <c r="CX302" s="709"/>
      <c r="CY302" s="683"/>
      <c r="CZ302" s="120"/>
      <c r="DA302" s="120"/>
      <c r="DB302" s="709"/>
      <c r="DC302" s="683"/>
      <c r="DD302" s="120"/>
      <c r="DE302" s="120"/>
      <c r="DF302" s="515"/>
      <c r="DG302" s="513"/>
      <c r="DH302" s="709"/>
      <c r="DI302" s="384"/>
      <c r="DJ302" s="384"/>
      <c r="DK302" s="384"/>
      <c r="DL302" s="709"/>
      <c r="DM302" s="384"/>
      <c r="DN302" s="384"/>
      <c r="DO302" s="384"/>
      <c r="DP302" s="375"/>
      <c r="DQ302" s="377"/>
      <c r="DR302" s="1182"/>
      <c r="DS302" s="956"/>
      <c r="DT302" s="709"/>
      <c r="DU302" s="683"/>
      <c r="DV302" s="384"/>
      <c r="DW302" s="633"/>
      <c r="DX302" s="633"/>
      <c r="DY302" s="384"/>
      <c r="DZ302" s="384"/>
      <c r="EA302" s="384"/>
      <c r="EB302" s="375"/>
      <c r="EC302" s="377"/>
      <c r="ED302" s="633"/>
      <c r="EE302" s="633"/>
      <c r="EF302" s="633"/>
      <c r="EG302" s="633"/>
      <c r="EH302" s="633"/>
      <c r="EI302" s="384"/>
      <c r="EJ302" s="384"/>
      <c r="EK302" s="384"/>
      <c r="EL302" s="375"/>
      <c r="EM302" s="377"/>
      <c r="EN302" s="1012"/>
      <c r="EO302" s="384"/>
      <c r="EP302" s="633"/>
      <c r="EQ302" s="633"/>
      <c r="ER302" s="633"/>
      <c r="ES302" s="633"/>
      <c r="ET302" s="709"/>
      <c r="EU302" s="384"/>
      <c r="EV302" s="384"/>
      <c r="EW302" s="384"/>
      <c r="EX302" s="377"/>
      <c r="EY302" s="377"/>
      <c r="EZ302" s="709"/>
      <c r="FA302" s="633"/>
      <c r="FB302" s="633"/>
      <c r="FC302" s="633"/>
      <c r="FD302" s="709"/>
      <c r="FE302" s="384"/>
      <c r="FF302" s="384"/>
      <c r="FG302" s="384"/>
      <c r="FH302" s="377"/>
      <c r="FI302" s="377"/>
      <c r="FJ302" s="384"/>
    </row>
    <row r="303" spans="1:166" ht="15" hidden="1" customHeight="1">
      <c r="A303" s="79" t="s">
        <v>197</v>
      </c>
      <c r="B303" s="362">
        <v>143</v>
      </c>
      <c r="C303" s="362">
        <v>42</v>
      </c>
      <c r="D303" s="362"/>
      <c r="E303" s="604" t="s">
        <v>1973</v>
      </c>
      <c r="F303" s="124" t="s">
        <v>2197</v>
      </c>
      <c r="G303" s="125">
        <v>2006</v>
      </c>
      <c r="H303" s="79">
        <v>16139487</v>
      </c>
      <c r="I303" s="79">
        <v>1</v>
      </c>
      <c r="J303" s="126"/>
      <c r="K303" s="127"/>
      <c r="L303" s="79">
        <v>1</v>
      </c>
      <c r="M303" s="79"/>
      <c r="N303" s="79">
        <v>1</v>
      </c>
      <c r="O303" s="128">
        <v>1</v>
      </c>
      <c r="P303" s="79" t="s">
        <v>566</v>
      </c>
      <c r="Q303" s="79" t="s">
        <v>569</v>
      </c>
      <c r="R303" s="79" t="s">
        <v>567</v>
      </c>
      <c r="S303" s="79">
        <v>1</v>
      </c>
      <c r="T303" s="79"/>
      <c r="U303" s="79"/>
      <c r="V303" s="79"/>
      <c r="W303" s="79" t="s">
        <v>568</v>
      </c>
      <c r="X303" s="79" t="s">
        <v>24</v>
      </c>
      <c r="Y303" s="79"/>
      <c r="Z303" s="79"/>
      <c r="AA303" s="79"/>
      <c r="AB303" s="79"/>
      <c r="AC303" s="506"/>
      <c r="AD303" s="573">
        <v>1</v>
      </c>
      <c r="AE303" s="573">
        <v>2</v>
      </c>
      <c r="AF303" s="154">
        <v>1</v>
      </c>
      <c r="AG303" s="155" t="s">
        <v>7863</v>
      </c>
      <c r="AH303" s="704"/>
      <c r="AI303" s="121">
        <v>2</v>
      </c>
      <c r="AJ303" s="484" t="s">
        <v>4716</v>
      </c>
      <c r="AK303" s="202"/>
      <c r="AL303" s="192">
        <v>1</v>
      </c>
      <c r="AM303" s="215">
        <v>0</v>
      </c>
      <c r="AN303" s="134">
        <v>40</v>
      </c>
      <c r="AO303" s="134">
        <v>20</v>
      </c>
      <c r="AP303" s="134">
        <v>20</v>
      </c>
      <c r="AQ303" s="134" t="s">
        <v>803</v>
      </c>
      <c r="AR303" s="134" t="s">
        <v>803</v>
      </c>
      <c r="AS303" s="134">
        <v>47</v>
      </c>
      <c r="AT303" s="134">
        <v>4</v>
      </c>
      <c r="AU303" s="134">
        <v>47</v>
      </c>
      <c r="AV303" s="134">
        <v>5</v>
      </c>
      <c r="AW303" s="134" t="s">
        <v>4711</v>
      </c>
      <c r="AX303" s="134"/>
      <c r="AY303" s="134"/>
      <c r="AZ303" s="753" t="s">
        <v>1874</v>
      </c>
      <c r="BA303" s="134" t="s">
        <v>24</v>
      </c>
      <c r="BB303" s="134" t="s">
        <v>24</v>
      </c>
      <c r="BC303" s="134" t="s">
        <v>4713</v>
      </c>
      <c r="BD303" s="753" t="s">
        <v>7521</v>
      </c>
      <c r="BE303" s="1624">
        <v>0</v>
      </c>
      <c r="BF303" s="134" t="s">
        <v>5116</v>
      </c>
      <c r="BG303" s="134" t="s">
        <v>4712</v>
      </c>
      <c r="BH303" s="594"/>
      <c r="BI303" s="594"/>
      <c r="BJ303" s="156"/>
      <c r="BK303" s="156"/>
      <c r="BL303" s="156" t="s">
        <v>4727</v>
      </c>
      <c r="BM303" s="156"/>
      <c r="BN303" s="156"/>
      <c r="BO303" s="156" t="s">
        <v>4727</v>
      </c>
      <c r="BP303" s="156">
        <v>1</v>
      </c>
      <c r="BQ303" s="156"/>
      <c r="BR303" s="491" t="s">
        <v>4727</v>
      </c>
      <c r="BS303" s="156"/>
      <c r="BT303" s="491" t="s">
        <v>4727</v>
      </c>
      <c r="BU303" s="156"/>
      <c r="BV303" s="156"/>
      <c r="BW303" s="595" t="s">
        <v>4721</v>
      </c>
      <c r="BX303" s="157" t="s">
        <v>6615</v>
      </c>
      <c r="BY303" s="797" t="s">
        <v>7856</v>
      </c>
      <c r="BZ303" s="789" t="s">
        <v>803</v>
      </c>
      <c r="CA303" s="769">
        <v>2</v>
      </c>
      <c r="CB303" s="772" t="s">
        <v>7556</v>
      </c>
      <c r="CC303" s="810" t="s">
        <v>7380</v>
      </c>
      <c r="CD303" s="134" t="s">
        <v>1876</v>
      </c>
      <c r="CE303" s="134">
        <v>2</v>
      </c>
      <c r="CF303" s="400"/>
      <c r="CG303" s="134" t="s">
        <v>4720</v>
      </c>
      <c r="CH303" s="753" t="s">
        <v>7314</v>
      </c>
      <c r="CI303" s="134" t="s">
        <v>24</v>
      </c>
      <c r="CJ303" s="134"/>
      <c r="CK303" s="134" t="s">
        <v>4722</v>
      </c>
      <c r="CL303" s="134" t="s">
        <v>469</v>
      </c>
      <c r="CM303" s="259" t="s">
        <v>4717</v>
      </c>
      <c r="CN303" s="454" t="s">
        <v>24</v>
      </c>
      <c r="CO303" s="828">
        <v>36</v>
      </c>
      <c r="CP303" s="828">
        <v>1</v>
      </c>
      <c r="CQ303" s="828">
        <v>1</v>
      </c>
      <c r="CR303" s="828">
        <v>1</v>
      </c>
      <c r="CS303" s="828">
        <v>1</v>
      </c>
      <c r="CT303" s="967"/>
      <c r="CU303" s="1288" t="s">
        <v>8103</v>
      </c>
      <c r="CV303" s="1294">
        <v>16</v>
      </c>
      <c r="CW303" s="1294">
        <v>16</v>
      </c>
      <c r="CX303" s="430" t="s">
        <v>4714</v>
      </c>
      <c r="CY303" s="426">
        <v>13.1</v>
      </c>
      <c r="CZ303" s="426">
        <v>5.4</v>
      </c>
      <c r="DA303" s="134"/>
      <c r="DB303" s="430" t="s">
        <v>4715</v>
      </c>
      <c r="DC303" s="134">
        <v>22.7</v>
      </c>
      <c r="DD303" s="134">
        <v>1.3</v>
      </c>
      <c r="DE303" s="134"/>
      <c r="DF303" s="294" t="s">
        <v>8094</v>
      </c>
      <c r="DG303" s="872" t="s">
        <v>7729</v>
      </c>
      <c r="DH303" s="1154"/>
      <c r="DI303" s="1169"/>
      <c r="DJ303" s="1169"/>
      <c r="DK303" s="1169"/>
      <c r="DL303" s="1154"/>
      <c r="DM303" s="1169"/>
      <c r="DN303" s="1169"/>
      <c r="DO303" s="1169"/>
      <c r="DP303" s="288"/>
      <c r="DQ303" s="289"/>
      <c r="DR303" s="1168"/>
      <c r="DS303" s="865"/>
      <c r="DT303" s="1171"/>
      <c r="DU303" s="1169"/>
      <c r="DV303" s="1169"/>
      <c r="DW303" s="1169"/>
      <c r="DX303" s="1169"/>
      <c r="DY303" s="1169"/>
      <c r="DZ303" s="1169"/>
      <c r="EA303" s="1169"/>
      <c r="EB303" s="304"/>
      <c r="EC303" s="312"/>
      <c r="ED303" s="1169"/>
      <c r="EE303" s="1169"/>
      <c r="EF303" s="1169"/>
      <c r="EG303" s="1169"/>
      <c r="EH303" s="1169"/>
      <c r="EI303" s="1169"/>
      <c r="EJ303" s="1169"/>
      <c r="EK303" s="1169"/>
      <c r="EL303" s="304"/>
      <c r="EM303" s="312"/>
      <c r="EN303" s="309"/>
      <c r="EO303" s="1170"/>
      <c r="EP303" s="1169"/>
      <c r="EQ303" s="1169"/>
      <c r="ER303" s="1169"/>
      <c r="ES303" s="1169"/>
      <c r="ET303" s="1171"/>
      <c r="EU303" s="1169"/>
      <c r="EV303" s="1169"/>
      <c r="EW303" s="1169"/>
      <c r="EX303" s="312"/>
      <c r="EY303" s="312"/>
      <c r="EZ303" s="1171"/>
      <c r="FA303" s="1169"/>
      <c r="FB303" s="1169"/>
      <c r="FC303" s="1169"/>
      <c r="FD303" s="1171"/>
      <c r="FE303" s="1169"/>
      <c r="FF303" s="1169"/>
      <c r="FG303" s="1169"/>
      <c r="FH303" s="312"/>
      <c r="FI303" s="312"/>
      <c r="FJ303" s="1170"/>
    </row>
    <row r="304" spans="1:166" ht="15" hidden="1" customHeight="1">
      <c r="A304" s="118" t="s">
        <v>197</v>
      </c>
      <c r="B304" s="616">
        <v>143</v>
      </c>
      <c r="C304" s="616">
        <v>42</v>
      </c>
      <c r="D304" s="616"/>
      <c r="E304" s="605" t="s">
        <v>1973</v>
      </c>
      <c r="F304" s="140" t="s">
        <v>2197</v>
      </c>
      <c r="G304" s="141">
        <v>2006</v>
      </c>
      <c r="H304" s="118">
        <v>16139487</v>
      </c>
      <c r="I304" s="118">
        <v>1</v>
      </c>
      <c r="J304" s="118"/>
      <c r="K304" s="118"/>
      <c r="L304" s="118">
        <v>1</v>
      </c>
      <c r="M304" s="118"/>
      <c r="N304" s="118">
        <v>1</v>
      </c>
      <c r="O304" s="142">
        <v>1</v>
      </c>
      <c r="P304" s="118" t="s">
        <v>566</v>
      </c>
      <c r="Q304" s="118" t="s">
        <v>569</v>
      </c>
      <c r="R304" s="118" t="s">
        <v>567</v>
      </c>
      <c r="S304" s="118">
        <v>1</v>
      </c>
      <c r="T304" s="118"/>
      <c r="U304" s="118"/>
      <c r="V304" s="118"/>
      <c r="W304" s="118" t="s">
        <v>568</v>
      </c>
      <c r="X304" s="118" t="s">
        <v>24</v>
      </c>
      <c r="Y304" s="118"/>
      <c r="Z304" s="118"/>
      <c r="AA304" s="118"/>
      <c r="AB304" s="118"/>
      <c r="AC304" s="145"/>
      <c r="AD304" s="573">
        <v>1</v>
      </c>
      <c r="AE304" s="573">
        <v>2</v>
      </c>
      <c r="AF304" s="159">
        <v>1</v>
      </c>
      <c r="AG304" s="160"/>
      <c r="AH304" s="704"/>
      <c r="AI304" s="122">
        <v>2</v>
      </c>
      <c r="AJ304" s="485" t="s">
        <v>4726</v>
      </c>
      <c r="AK304" s="204"/>
      <c r="AL304" s="192">
        <v>1</v>
      </c>
      <c r="AM304" s="227">
        <v>0</v>
      </c>
      <c r="AN304" s="150">
        <v>40</v>
      </c>
      <c r="AO304" s="150">
        <v>20</v>
      </c>
      <c r="AP304" s="150">
        <v>20</v>
      </c>
      <c r="AQ304" s="150" t="s">
        <v>803</v>
      </c>
      <c r="AR304" s="150" t="s">
        <v>803</v>
      </c>
      <c r="AS304" s="150">
        <v>47</v>
      </c>
      <c r="AT304" s="150">
        <v>4</v>
      </c>
      <c r="AU304" s="150">
        <v>47</v>
      </c>
      <c r="AV304" s="150">
        <v>5</v>
      </c>
      <c r="AW304" s="150" t="s">
        <v>4711</v>
      </c>
      <c r="AX304" s="150"/>
      <c r="AY304" s="150"/>
      <c r="AZ304" s="753" t="s">
        <v>1874</v>
      </c>
      <c r="BA304" s="150" t="s">
        <v>24</v>
      </c>
      <c r="BB304" s="150" t="s">
        <v>24</v>
      </c>
      <c r="BC304" s="150" t="s">
        <v>4713</v>
      </c>
      <c r="BD304" s="753" t="s">
        <v>7521</v>
      </c>
      <c r="BE304" s="1624">
        <v>0</v>
      </c>
      <c r="BF304" s="134" t="s">
        <v>5116</v>
      </c>
      <c r="BG304" s="150" t="s">
        <v>4712</v>
      </c>
      <c r="BH304" s="588"/>
      <c r="BI304" s="588"/>
      <c r="BJ304" s="161"/>
      <c r="BK304" s="161"/>
      <c r="BL304" s="161" t="s">
        <v>4727</v>
      </c>
      <c r="BM304" s="161"/>
      <c r="BN304" s="161"/>
      <c r="BO304" s="492" t="s">
        <v>4727</v>
      </c>
      <c r="BP304" s="161">
        <v>1</v>
      </c>
      <c r="BQ304" s="161"/>
      <c r="BR304" s="492" t="s">
        <v>4727</v>
      </c>
      <c r="BS304" s="161"/>
      <c r="BT304" s="492" t="s">
        <v>4727</v>
      </c>
      <c r="BU304" s="161"/>
      <c r="BV304" s="161"/>
      <c r="BW304" s="596" t="s">
        <v>4755</v>
      </c>
      <c r="BX304" s="162" t="s">
        <v>6612</v>
      </c>
      <c r="BY304" s="797" t="s">
        <v>7617</v>
      </c>
      <c r="BZ304" s="790" t="s">
        <v>803</v>
      </c>
      <c r="CA304" s="769">
        <v>2</v>
      </c>
      <c r="CB304" s="765" t="s">
        <v>7556</v>
      </c>
      <c r="CC304" s="810" t="s">
        <v>7380</v>
      </c>
      <c r="CD304" s="150" t="s">
        <v>1876</v>
      </c>
      <c r="CE304" s="150">
        <v>2</v>
      </c>
      <c r="CF304" s="400"/>
      <c r="CG304" s="150" t="s">
        <v>4724</v>
      </c>
      <c r="CH304" s="753" t="s">
        <v>7314</v>
      </c>
      <c r="CI304" s="150" t="s">
        <v>24</v>
      </c>
      <c r="CJ304" s="150"/>
      <c r="CK304" s="150" t="s">
        <v>7857</v>
      </c>
      <c r="CL304" s="753" t="s">
        <v>7334</v>
      </c>
      <c r="CM304" s="258" t="s">
        <v>4771</v>
      </c>
      <c r="CN304" s="257" t="s">
        <v>24</v>
      </c>
      <c r="CO304" s="829">
        <v>36</v>
      </c>
      <c r="CP304" s="829">
        <v>1</v>
      </c>
      <c r="CQ304" s="829">
        <v>2</v>
      </c>
      <c r="CR304" s="829">
        <v>1</v>
      </c>
      <c r="CS304" s="829">
        <v>1</v>
      </c>
      <c r="CT304" s="968"/>
      <c r="CU304" s="1288" t="s">
        <v>8103</v>
      </c>
      <c r="CV304" s="1294">
        <v>16</v>
      </c>
      <c r="CW304" s="1294">
        <v>16</v>
      </c>
      <c r="CX304" s="428" t="s">
        <v>4751</v>
      </c>
      <c r="CY304" s="425">
        <v>0.9</v>
      </c>
      <c r="CZ304" s="425">
        <v>0.9</v>
      </c>
      <c r="DA304" s="150" t="s">
        <v>24</v>
      </c>
      <c r="DB304" s="151" t="s">
        <v>4752</v>
      </c>
      <c r="DC304" s="150">
        <v>2</v>
      </c>
      <c r="DD304" s="150">
        <v>0</v>
      </c>
      <c r="DE304" s="150" t="s">
        <v>24</v>
      </c>
      <c r="DF304" s="294" t="s">
        <v>4742</v>
      </c>
      <c r="DG304" s="295" t="s">
        <v>4753</v>
      </c>
      <c r="DH304" s="448"/>
      <c r="DI304" s="1169"/>
      <c r="DJ304" s="1169"/>
      <c r="DK304" s="1169"/>
      <c r="DL304" s="448"/>
      <c r="DM304" s="1169"/>
      <c r="DN304" s="1169"/>
      <c r="DO304" s="1169"/>
      <c r="DP304" s="288"/>
      <c r="DQ304" s="289"/>
      <c r="DR304" s="1168"/>
      <c r="DS304" s="865"/>
      <c r="DT304" s="1171"/>
      <c r="DU304" s="1169"/>
      <c r="DV304" s="1169"/>
      <c r="DW304" s="1169"/>
      <c r="DX304" s="1169"/>
      <c r="DY304" s="1169"/>
      <c r="DZ304" s="1169"/>
      <c r="EA304" s="1169"/>
      <c r="EB304" s="304"/>
      <c r="EC304" s="312"/>
      <c r="ED304" s="1169"/>
      <c r="EE304" s="1169"/>
      <c r="EF304" s="1169"/>
      <c r="EG304" s="1169"/>
      <c r="EH304" s="1169"/>
      <c r="EI304" s="1169"/>
      <c r="EJ304" s="1169"/>
      <c r="EK304" s="1169"/>
      <c r="EL304" s="304"/>
      <c r="EM304" s="312"/>
      <c r="EN304" s="1167"/>
      <c r="EO304" s="1165"/>
      <c r="EP304" s="1169"/>
      <c r="EQ304" s="1169"/>
      <c r="ER304" s="1169"/>
      <c r="ES304" s="1169"/>
      <c r="ET304" s="1169"/>
      <c r="EU304" s="1169"/>
      <c r="EV304" s="1169"/>
      <c r="EW304" s="1169"/>
      <c r="EX304" s="312"/>
      <c r="EY304" s="312"/>
      <c r="EZ304" s="1169"/>
      <c r="FA304" s="1169"/>
      <c r="FB304" s="1169"/>
      <c r="FC304" s="1169"/>
      <c r="FD304" s="1169"/>
      <c r="FE304" s="1169"/>
      <c r="FF304" s="1169"/>
      <c r="FG304" s="1169"/>
      <c r="FH304" s="312"/>
      <c r="FI304" s="312"/>
      <c r="FJ304" s="1165"/>
    </row>
    <row r="305" spans="1:166" ht="15" hidden="1" customHeight="1">
      <c r="A305" s="118" t="s">
        <v>197</v>
      </c>
      <c r="B305" s="616">
        <v>143</v>
      </c>
      <c r="C305" s="616">
        <v>42</v>
      </c>
      <c r="D305" s="616"/>
      <c r="E305" s="605" t="s">
        <v>1973</v>
      </c>
      <c r="F305" s="140" t="s">
        <v>2197</v>
      </c>
      <c r="G305" s="141">
        <v>2006</v>
      </c>
      <c r="H305" s="118">
        <v>16139487</v>
      </c>
      <c r="I305" s="118">
        <v>1</v>
      </c>
      <c r="J305" s="118"/>
      <c r="K305" s="118"/>
      <c r="L305" s="118">
        <v>1</v>
      </c>
      <c r="M305" s="118"/>
      <c r="N305" s="118">
        <v>1</v>
      </c>
      <c r="O305" s="142">
        <v>1</v>
      </c>
      <c r="P305" s="118" t="s">
        <v>566</v>
      </c>
      <c r="Q305" s="118" t="s">
        <v>569</v>
      </c>
      <c r="R305" s="118" t="s">
        <v>567</v>
      </c>
      <c r="S305" s="118">
        <v>1</v>
      </c>
      <c r="T305" s="118"/>
      <c r="U305" s="118"/>
      <c r="V305" s="118"/>
      <c r="W305" s="118" t="s">
        <v>568</v>
      </c>
      <c r="X305" s="118" t="s">
        <v>24</v>
      </c>
      <c r="Y305" s="118"/>
      <c r="Z305" s="118"/>
      <c r="AA305" s="118"/>
      <c r="AB305" s="118"/>
      <c r="AC305" s="145"/>
      <c r="AD305" s="573">
        <v>1</v>
      </c>
      <c r="AE305" s="573">
        <v>2</v>
      </c>
      <c r="AF305" s="159">
        <v>1</v>
      </c>
      <c r="AG305" s="160"/>
      <c r="AH305" s="704"/>
      <c r="AI305" s="122">
        <v>2</v>
      </c>
      <c r="AJ305" s="485" t="s">
        <v>4726</v>
      </c>
      <c r="AK305" s="204"/>
      <c r="AL305" s="192">
        <v>1</v>
      </c>
      <c r="AM305" s="227">
        <v>0</v>
      </c>
      <c r="AN305" s="150">
        <v>40</v>
      </c>
      <c r="AO305" s="150">
        <v>20</v>
      </c>
      <c r="AP305" s="150">
        <v>20</v>
      </c>
      <c r="AQ305" s="150" t="s">
        <v>803</v>
      </c>
      <c r="AR305" s="150" t="s">
        <v>803</v>
      </c>
      <c r="AS305" s="150">
        <v>47</v>
      </c>
      <c r="AT305" s="150">
        <v>4</v>
      </c>
      <c r="AU305" s="150">
        <v>47</v>
      </c>
      <c r="AV305" s="150">
        <v>5</v>
      </c>
      <c r="AW305" s="150" t="s">
        <v>4711</v>
      </c>
      <c r="AX305" s="150"/>
      <c r="AY305" s="150"/>
      <c r="AZ305" s="753" t="s">
        <v>1874</v>
      </c>
      <c r="BA305" s="150" t="s">
        <v>24</v>
      </c>
      <c r="BB305" s="150" t="s">
        <v>24</v>
      </c>
      <c r="BC305" s="150" t="s">
        <v>4713</v>
      </c>
      <c r="BD305" s="753" t="s">
        <v>7521</v>
      </c>
      <c r="BE305" s="1624">
        <v>0</v>
      </c>
      <c r="BF305" s="134" t="s">
        <v>5116</v>
      </c>
      <c r="BG305" s="150" t="s">
        <v>4712</v>
      </c>
      <c r="BH305" s="588"/>
      <c r="BI305" s="588"/>
      <c r="BJ305" s="161"/>
      <c r="BK305" s="161"/>
      <c r="BL305" s="161" t="s">
        <v>4727</v>
      </c>
      <c r="BM305" s="161"/>
      <c r="BN305" s="161"/>
      <c r="BO305" s="492" t="s">
        <v>4727</v>
      </c>
      <c r="BP305" s="161">
        <v>1</v>
      </c>
      <c r="BQ305" s="161"/>
      <c r="BR305" s="492" t="s">
        <v>4727</v>
      </c>
      <c r="BS305" s="161"/>
      <c r="BT305" s="492" t="s">
        <v>4727</v>
      </c>
      <c r="BU305" s="161"/>
      <c r="BV305" s="161"/>
      <c r="BW305" s="596" t="s">
        <v>4755</v>
      </c>
      <c r="BX305" s="162" t="s">
        <v>6612</v>
      </c>
      <c r="BY305" s="797" t="s">
        <v>7617</v>
      </c>
      <c r="BZ305" s="790" t="s">
        <v>803</v>
      </c>
      <c r="CA305" s="811">
        <v>2</v>
      </c>
      <c r="CB305" s="660" t="s">
        <v>7556</v>
      </c>
      <c r="CC305" s="810" t="s">
        <v>7380</v>
      </c>
      <c r="CD305" s="150" t="s">
        <v>1876</v>
      </c>
      <c r="CE305" s="150">
        <v>2</v>
      </c>
      <c r="CF305" s="400"/>
      <c r="CG305" s="150" t="s">
        <v>4724</v>
      </c>
      <c r="CH305" s="753" t="s">
        <v>7314</v>
      </c>
      <c r="CI305" s="150" t="s">
        <v>24</v>
      </c>
      <c r="CJ305" s="150"/>
      <c r="CK305" s="150" t="s">
        <v>7858</v>
      </c>
      <c r="CL305" s="753" t="s">
        <v>7334</v>
      </c>
      <c r="CM305" s="258" t="s">
        <v>4771</v>
      </c>
      <c r="CN305" s="257" t="s">
        <v>24</v>
      </c>
      <c r="CO305" s="829">
        <v>36</v>
      </c>
      <c r="CP305" s="829">
        <v>1</v>
      </c>
      <c r="CQ305" s="829">
        <v>3</v>
      </c>
      <c r="CR305" s="829">
        <v>1</v>
      </c>
      <c r="CS305" s="829">
        <v>1</v>
      </c>
      <c r="CT305" s="968"/>
      <c r="CU305" s="1288" t="s">
        <v>8103</v>
      </c>
      <c r="CV305" s="1294">
        <v>16</v>
      </c>
      <c r="CW305" s="1294">
        <v>16</v>
      </c>
      <c r="CX305" s="151" t="s">
        <v>4754</v>
      </c>
      <c r="CY305" s="150">
        <v>1.25</v>
      </c>
      <c r="CZ305" s="150">
        <v>0.9</v>
      </c>
      <c r="DA305" s="266" t="s">
        <v>24</v>
      </c>
      <c r="DB305" s="151" t="s">
        <v>4756</v>
      </c>
      <c r="DC305" s="150">
        <v>2</v>
      </c>
      <c r="DD305" s="150">
        <v>0</v>
      </c>
      <c r="DE305" s="150" t="s">
        <v>24</v>
      </c>
      <c r="DF305" s="290" t="s">
        <v>4744</v>
      </c>
      <c r="DG305" s="291" t="s">
        <v>4759</v>
      </c>
      <c r="DH305" s="1178"/>
      <c r="DI305" s="500"/>
      <c r="DJ305" s="1164"/>
      <c r="DK305" s="500"/>
      <c r="DL305" s="1166"/>
      <c r="DM305" s="500"/>
      <c r="DN305" s="1164"/>
      <c r="DO305" s="1150"/>
      <c r="DP305" s="290"/>
      <c r="DQ305" s="388"/>
      <c r="DR305" s="1168"/>
      <c r="DS305" s="865"/>
      <c r="DT305" s="1166"/>
      <c r="DU305" s="500"/>
      <c r="DV305" s="1164"/>
      <c r="DW305" s="500"/>
      <c r="DX305" s="1166"/>
      <c r="DY305" s="500"/>
      <c r="DZ305" s="1164"/>
      <c r="EA305" s="500"/>
      <c r="EB305" s="311"/>
      <c r="EC305" s="313"/>
      <c r="ED305" s="1164"/>
      <c r="EE305" s="500"/>
      <c r="EF305" s="1164"/>
      <c r="EG305" s="500"/>
      <c r="EH305" s="1164"/>
      <c r="EI305" s="500"/>
      <c r="EJ305" s="1164"/>
      <c r="EK305" s="500"/>
      <c r="EL305" s="311"/>
      <c r="EM305" s="313"/>
      <c r="EN305" s="1167"/>
      <c r="EO305" s="1165"/>
      <c r="EP305" s="500"/>
      <c r="EQ305" s="500"/>
      <c r="ER305" s="500"/>
      <c r="ES305" s="500"/>
      <c r="ET305" s="500"/>
      <c r="EU305" s="500"/>
      <c r="EV305" s="500"/>
      <c r="EW305" s="500"/>
      <c r="EX305" s="665"/>
      <c r="EY305" s="665"/>
      <c r="EZ305" s="1153"/>
      <c r="FA305" s="500"/>
      <c r="FB305" s="500"/>
      <c r="FC305" s="500"/>
      <c r="FD305" s="1153"/>
      <c r="FE305" s="500"/>
      <c r="FF305" s="500"/>
      <c r="FG305" s="500"/>
      <c r="FH305" s="665"/>
      <c r="FI305" s="665"/>
      <c r="FJ305" s="1165"/>
    </row>
    <row r="306" spans="1:166" ht="15" hidden="1" customHeight="1">
      <c r="A306" s="118" t="s">
        <v>197</v>
      </c>
      <c r="B306" s="616">
        <v>143</v>
      </c>
      <c r="C306" s="616">
        <v>42</v>
      </c>
      <c r="D306" s="616"/>
      <c r="E306" s="605" t="s">
        <v>1973</v>
      </c>
      <c r="F306" s="140" t="s">
        <v>2197</v>
      </c>
      <c r="G306" s="141">
        <v>2006</v>
      </c>
      <c r="H306" s="118">
        <v>16139487</v>
      </c>
      <c r="I306" s="118">
        <v>1</v>
      </c>
      <c r="J306" s="118"/>
      <c r="K306" s="118"/>
      <c r="L306" s="118">
        <v>1</v>
      </c>
      <c r="M306" s="118"/>
      <c r="N306" s="118">
        <v>1</v>
      </c>
      <c r="O306" s="142">
        <v>1</v>
      </c>
      <c r="P306" s="118" t="s">
        <v>566</v>
      </c>
      <c r="Q306" s="118" t="s">
        <v>569</v>
      </c>
      <c r="R306" s="118" t="s">
        <v>567</v>
      </c>
      <c r="S306" s="118">
        <v>1</v>
      </c>
      <c r="T306" s="118"/>
      <c r="U306" s="118"/>
      <c r="V306" s="118"/>
      <c r="W306" s="118" t="s">
        <v>568</v>
      </c>
      <c r="X306" s="118" t="s">
        <v>24</v>
      </c>
      <c r="Y306" s="118"/>
      <c r="Z306" s="118"/>
      <c r="AA306" s="118"/>
      <c r="AB306" s="118"/>
      <c r="AC306" s="145"/>
      <c r="AD306" s="573">
        <v>1</v>
      </c>
      <c r="AE306" s="573">
        <v>2</v>
      </c>
      <c r="AF306" s="159">
        <v>1</v>
      </c>
      <c r="AG306" s="160"/>
      <c r="AH306" s="704"/>
      <c r="AI306" s="122">
        <v>2</v>
      </c>
      <c r="AJ306" s="485" t="s">
        <v>4726</v>
      </c>
      <c r="AK306" s="204"/>
      <c r="AL306" s="192">
        <v>1</v>
      </c>
      <c r="AM306" s="227">
        <v>0</v>
      </c>
      <c r="AN306" s="150">
        <v>40</v>
      </c>
      <c r="AO306" s="150">
        <v>20</v>
      </c>
      <c r="AP306" s="150">
        <v>20</v>
      </c>
      <c r="AQ306" s="150" t="s">
        <v>803</v>
      </c>
      <c r="AR306" s="150" t="s">
        <v>803</v>
      </c>
      <c r="AS306" s="150">
        <v>47</v>
      </c>
      <c r="AT306" s="150">
        <v>4</v>
      </c>
      <c r="AU306" s="150">
        <v>47</v>
      </c>
      <c r="AV306" s="150">
        <v>5</v>
      </c>
      <c r="AW306" s="150" t="s">
        <v>4711</v>
      </c>
      <c r="AX306" s="150"/>
      <c r="AY306" s="150"/>
      <c r="AZ306" s="753" t="s">
        <v>1874</v>
      </c>
      <c r="BA306" s="150" t="s">
        <v>24</v>
      </c>
      <c r="BB306" s="150" t="s">
        <v>24</v>
      </c>
      <c r="BC306" s="150" t="s">
        <v>4713</v>
      </c>
      <c r="BD306" s="753" t="s">
        <v>7521</v>
      </c>
      <c r="BE306" s="1624">
        <v>0</v>
      </c>
      <c r="BF306" s="134" t="s">
        <v>5116</v>
      </c>
      <c r="BG306" s="150" t="s">
        <v>4712</v>
      </c>
      <c r="BH306" s="588"/>
      <c r="BI306" s="588"/>
      <c r="BJ306" s="161"/>
      <c r="BK306" s="161"/>
      <c r="BL306" s="161" t="s">
        <v>4727</v>
      </c>
      <c r="BM306" s="161"/>
      <c r="BN306" s="161"/>
      <c r="BO306" s="492" t="s">
        <v>4727</v>
      </c>
      <c r="BP306" s="161">
        <v>1</v>
      </c>
      <c r="BQ306" s="161"/>
      <c r="BR306" s="492" t="s">
        <v>4727</v>
      </c>
      <c r="BS306" s="161"/>
      <c r="BT306" s="492" t="s">
        <v>4727</v>
      </c>
      <c r="BU306" s="161"/>
      <c r="BV306" s="161"/>
      <c r="BW306" s="596" t="s">
        <v>4755</v>
      </c>
      <c r="BX306" s="162" t="s">
        <v>6612</v>
      </c>
      <c r="BY306" s="797" t="s">
        <v>7617</v>
      </c>
      <c r="BZ306" s="790" t="s">
        <v>803</v>
      </c>
      <c r="CA306" s="811">
        <v>2</v>
      </c>
      <c r="CB306" s="660" t="s">
        <v>7556</v>
      </c>
      <c r="CC306" s="810" t="s">
        <v>7380</v>
      </c>
      <c r="CD306" s="150" t="s">
        <v>1876</v>
      </c>
      <c r="CE306" s="150">
        <v>2</v>
      </c>
      <c r="CF306" s="400"/>
      <c r="CG306" s="150" t="s">
        <v>4724</v>
      </c>
      <c r="CH306" s="753" t="s">
        <v>7314</v>
      </c>
      <c r="CI306" s="150" t="s">
        <v>24</v>
      </c>
      <c r="CJ306" s="150"/>
      <c r="CK306" s="150" t="s">
        <v>7859</v>
      </c>
      <c r="CL306" s="753" t="s">
        <v>7334</v>
      </c>
      <c r="CM306" s="258" t="s">
        <v>4771</v>
      </c>
      <c r="CN306" s="257" t="s">
        <v>24</v>
      </c>
      <c r="CO306" s="829">
        <v>36</v>
      </c>
      <c r="CP306" s="829">
        <v>1</v>
      </c>
      <c r="CQ306" s="829">
        <v>4</v>
      </c>
      <c r="CR306" s="829">
        <v>1</v>
      </c>
      <c r="CS306" s="829">
        <v>1</v>
      </c>
      <c r="CT306" s="968"/>
      <c r="CU306" s="1288" t="s">
        <v>8103</v>
      </c>
      <c r="CV306" s="1294">
        <v>16</v>
      </c>
      <c r="CW306" s="1294">
        <v>16</v>
      </c>
      <c r="CX306" s="151" t="s">
        <v>4757</v>
      </c>
      <c r="CY306" s="266">
        <v>1</v>
      </c>
      <c r="CZ306" s="150">
        <v>0.8</v>
      </c>
      <c r="DA306" s="266" t="s">
        <v>24</v>
      </c>
      <c r="DB306" s="151" t="s">
        <v>4758</v>
      </c>
      <c r="DC306" s="150">
        <v>1.6</v>
      </c>
      <c r="DD306" s="150">
        <v>0.5</v>
      </c>
      <c r="DE306" s="150" t="s">
        <v>24</v>
      </c>
      <c r="DF306" s="543" t="s">
        <v>4742</v>
      </c>
      <c r="DG306" s="545" t="s">
        <v>4760</v>
      </c>
      <c r="DH306" s="1178"/>
      <c r="DI306" s="500"/>
      <c r="DJ306" s="1164"/>
      <c r="DK306" s="500"/>
      <c r="DL306" s="1166"/>
      <c r="DM306" s="1164"/>
      <c r="DN306" s="1164"/>
      <c r="DO306" s="1164"/>
      <c r="DP306" s="290"/>
      <c r="DQ306" s="291"/>
      <c r="DR306" s="1168"/>
      <c r="DS306" s="865"/>
      <c r="DT306" s="1166"/>
      <c r="DU306" s="1164"/>
      <c r="DV306" s="1164"/>
      <c r="DW306" s="1164"/>
      <c r="DX306" s="1166"/>
      <c r="DY306" s="1164"/>
      <c r="DZ306" s="1164"/>
      <c r="EA306" s="1164"/>
      <c r="EB306" s="311"/>
      <c r="EC306" s="313"/>
      <c r="ED306" s="1164"/>
      <c r="EE306" s="1164"/>
      <c r="EF306" s="1164"/>
      <c r="EG306" s="1164"/>
      <c r="EH306" s="1164"/>
      <c r="EI306" s="1164"/>
      <c r="EJ306" s="1164"/>
      <c r="EK306" s="1164"/>
      <c r="EL306" s="311"/>
      <c r="EM306" s="313"/>
      <c r="EN306" s="1167"/>
      <c r="EO306" s="1165"/>
      <c r="EP306" s="1164"/>
      <c r="EQ306" s="1164"/>
      <c r="ER306" s="1164"/>
      <c r="ES306" s="1164"/>
      <c r="ET306" s="1164"/>
      <c r="EU306" s="1164"/>
      <c r="EV306" s="1164"/>
      <c r="EW306" s="1164"/>
      <c r="EX306" s="313"/>
      <c r="EY306" s="313"/>
      <c r="EZ306" s="1166"/>
      <c r="FA306" s="1164"/>
      <c r="FB306" s="1164"/>
      <c r="FC306" s="1164"/>
      <c r="FD306" s="1166"/>
      <c r="FE306" s="1164"/>
      <c r="FF306" s="1164"/>
      <c r="FG306" s="1164"/>
      <c r="FH306" s="313"/>
      <c r="FI306" s="313"/>
      <c r="FJ306" s="1165"/>
    </row>
    <row r="307" spans="1:166" ht="15" hidden="1" customHeight="1">
      <c r="A307" s="118" t="s">
        <v>197</v>
      </c>
      <c r="B307" s="616">
        <v>143</v>
      </c>
      <c r="C307" s="616">
        <v>42</v>
      </c>
      <c r="D307" s="616"/>
      <c r="E307" s="605" t="s">
        <v>1973</v>
      </c>
      <c r="F307" s="140" t="s">
        <v>2197</v>
      </c>
      <c r="G307" s="141">
        <v>2006</v>
      </c>
      <c r="H307" s="118">
        <v>16139487</v>
      </c>
      <c r="I307" s="118">
        <v>1</v>
      </c>
      <c r="J307" s="118"/>
      <c r="K307" s="118"/>
      <c r="L307" s="118">
        <v>1</v>
      </c>
      <c r="M307" s="118"/>
      <c r="N307" s="118">
        <v>1</v>
      </c>
      <c r="O307" s="142">
        <v>1</v>
      </c>
      <c r="P307" s="118" t="s">
        <v>566</v>
      </c>
      <c r="Q307" s="118" t="s">
        <v>569</v>
      </c>
      <c r="R307" s="118" t="s">
        <v>567</v>
      </c>
      <c r="S307" s="118">
        <v>1</v>
      </c>
      <c r="T307" s="118"/>
      <c r="U307" s="118"/>
      <c r="V307" s="118"/>
      <c r="W307" s="118" t="s">
        <v>568</v>
      </c>
      <c r="X307" s="118" t="s">
        <v>24</v>
      </c>
      <c r="Y307" s="118"/>
      <c r="Z307" s="118"/>
      <c r="AA307" s="118"/>
      <c r="AB307" s="118"/>
      <c r="AC307" s="145"/>
      <c r="AD307" s="573">
        <v>1</v>
      </c>
      <c r="AE307" s="573">
        <v>2</v>
      </c>
      <c r="AF307" s="159">
        <v>1</v>
      </c>
      <c r="AG307" s="160"/>
      <c r="AH307" s="704"/>
      <c r="AI307" s="122">
        <v>2</v>
      </c>
      <c r="AJ307" s="485" t="s">
        <v>4726</v>
      </c>
      <c r="AK307" s="204"/>
      <c r="AL307" s="192">
        <v>1</v>
      </c>
      <c r="AM307" s="227">
        <v>0</v>
      </c>
      <c r="AN307" s="150">
        <v>40</v>
      </c>
      <c r="AO307" s="150">
        <v>20</v>
      </c>
      <c r="AP307" s="150">
        <v>20</v>
      </c>
      <c r="AQ307" s="150" t="s">
        <v>803</v>
      </c>
      <c r="AR307" s="150" t="s">
        <v>803</v>
      </c>
      <c r="AS307" s="150">
        <v>47</v>
      </c>
      <c r="AT307" s="150">
        <v>4</v>
      </c>
      <c r="AU307" s="150">
        <v>47</v>
      </c>
      <c r="AV307" s="150">
        <v>5</v>
      </c>
      <c r="AW307" s="150" t="s">
        <v>4711</v>
      </c>
      <c r="AX307" s="150"/>
      <c r="AY307" s="150"/>
      <c r="AZ307" s="753" t="s">
        <v>1874</v>
      </c>
      <c r="BA307" s="150" t="s">
        <v>24</v>
      </c>
      <c r="BB307" s="150" t="s">
        <v>24</v>
      </c>
      <c r="BC307" s="150" t="s">
        <v>4713</v>
      </c>
      <c r="BD307" s="753" t="s">
        <v>7521</v>
      </c>
      <c r="BE307" s="1624">
        <v>0</v>
      </c>
      <c r="BF307" s="134" t="s">
        <v>5116</v>
      </c>
      <c r="BG307" s="150" t="s">
        <v>4712</v>
      </c>
      <c r="BH307" s="588"/>
      <c r="BI307" s="588"/>
      <c r="BJ307" s="161"/>
      <c r="BK307" s="161"/>
      <c r="BL307" s="161" t="s">
        <v>4727</v>
      </c>
      <c r="BM307" s="161"/>
      <c r="BN307" s="161"/>
      <c r="BO307" s="492" t="s">
        <v>4727</v>
      </c>
      <c r="BP307" s="161">
        <v>1</v>
      </c>
      <c r="BQ307" s="161"/>
      <c r="BR307" s="492" t="s">
        <v>4727</v>
      </c>
      <c r="BS307" s="161"/>
      <c r="BT307" s="492" t="s">
        <v>4727</v>
      </c>
      <c r="BU307" s="161"/>
      <c r="BV307" s="161"/>
      <c r="BW307" s="596" t="s">
        <v>4755</v>
      </c>
      <c r="BX307" s="162" t="s">
        <v>6612</v>
      </c>
      <c r="BY307" s="797" t="s">
        <v>7617</v>
      </c>
      <c r="BZ307" s="790" t="s">
        <v>803</v>
      </c>
      <c r="CA307" s="811">
        <v>2</v>
      </c>
      <c r="CB307" s="660" t="s">
        <v>7556</v>
      </c>
      <c r="CC307" s="810" t="s">
        <v>7380</v>
      </c>
      <c r="CD307" s="150" t="s">
        <v>1876</v>
      </c>
      <c r="CE307" s="150">
        <v>2</v>
      </c>
      <c r="CF307" s="400"/>
      <c r="CG307" s="150" t="s">
        <v>4724</v>
      </c>
      <c r="CH307" s="753" t="s">
        <v>7314</v>
      </c>
      <c r="CI307" s="150" t="s">
        <v>24</v>
      </c>
      <c r="CJ307" s="150"/>
      <c r="CK307" s="150" t="s">
        <v>7860</v>
      </c>
      <c r="CL307" s="753" t="s">
        <v>7334</v>
      </c>
      <c r="CM307" s="258" t="s">
        <v>4771</v>
      </c>
      <c r="CN307" s="257" t="s">
        <v>24</v>
      </c>
      <c r="CO307" s="829">
        <v>36</v>
      </c>
      <c r="CP307" s="829">
        <v>1</v>
      </c>
      <c r="CQ307" s="829">
        <v>5</v>
      </c>
      <c r="CR307" s="829">
        <v>1</v>
      </c>
      <c r="CS307" s="829">
        <v>1</v>
      </c>
      <c r="CT307" s="968"/>
      <c r="CU307" s="1288" t="s">
        <v>8103</v>
      </c>
      <c r="CV307" s="1294">
        <v>16</v>
      </c>
      <c r="CW307" s="1294">
        <v>16</v>
      </c>
      <c r="CX307" s="150" t="s">
        <v>4762</v>
      </c>
      <c r="CY307" s="150">
        <v>1.3</v>
      </c>
      <c r="CZ307" s="150">
        <v>0.7</v>
      </c>
      <c r="DA307" s="150" t="s">
        <v>24</v>
      </c>
      <c r="DB307" s="150" t="s">
        <v>4763</v>
      </c>
      <c r="DC307" s="150">
        <v>2</v>
      </c>
      <c r="DD307" s="150">
        <v>0</v>
      </c>
      <c r="DE307" s="150" t="s">
        <v>24</v>
      </c>
      <c r="DF307" s="302" t="s">
        <v>4744</v>
      </c>
      <c r="DG307" s="303" t="s">
        <v>4766</v>
      </c>
      <c r="DH307" s="1178"/>
      <c r="DI307" s="500"/>
      <c r="DJ307" s="1164"/>
      <c r="DK307" s="500"/>
      <c r="DL307" s="1166"/>
      <c r="DM307" s="1164"/>
      <c r="DN307" s="1164"/>
      <c r="DO307" s="1164"/>
      <c r="DP307" s="290"/>
      <c r="DQ307" s="291"/>
      <c r="DR307" s="1168"/>
      <c r="DS307" s="865"/>
      <c r="DT307" s="1166"/>
      <c r="DU307" s="1164"/>
      <c r="DV307" s="1164"/>
      <c r="DW307" s="1164"/>
      <c r="DX307" s="1166"/>
      <c r="DY307" s="1164"/>
      <c r="DZ307" s="1164"/>
      <c r="EA307" s="1164"/>
      <c r="EB307" s="311"/>
      <c r="EC307" s="313"/>
      <c r="ED307" s="1164"/>
      <c r="EE307" s="1164"/>
      <c r="EF307" s="1164"/>
      <c r="EG307" s="1164"/>
      <c r="EH307" s="1164"/>
      <c r="EI307" s="1164"/>
      <c r="EJ307" s="1164"/>
      <c r="EK307" s="1164"/>
      <c r="EL307" s="311"/>
      <c r="EM307" s="313"/>
      <c r="EN307" s="1167"/>
      <c r="EO307" s="1165"/>
      <c r="EP307" s="1164"/>
      <c r="EQ307" s="1164"/>
      <c r="ER307" s="1164"/>
      <c r="ES307" s="1164"/>
      <c r="ET307" s="1164"/>
      <c r="EU307" s="1164"/>
      <c r="EV307" s="1164"/>
      <c r="EW307" s="1164"/>
      <c r="EX307" s="313"/>
      <c r="EY307" s="313"/>
      <c r="EZ307" s="1166"/>
      <c r="FA307" s="1164"/>
      <c r="FB307" s="1164"/>
      <c r="FC307" s="1164"/>
      <c r="FD307" s="1166"/>
      <c r="FE307" s="1164"/>
      <c r="FF307" s="1164"/>
      <c r="FG307" s="1164"/>
      <c r="FH307" s="313"/>
      <c r="FI307" s="313"/>
      <c r="FJ307" s="1165"/>
    </row>
    <row r="308" spans="1:166" ht="15" hidden="1" customHeight="1">
      <c r="A308" s="118" t="s">
        <v>197</v>
      </c>
      <c r="B308" s="616">
        <v>143</v>
      </c>
      <c r="C308" s="616">
        <v>42</v>
      </c>
      <c r="D308" s="616"/>
      <c r="E308" s="605" t="s">
        <v>1973</v>
      </c>
      <c r="F308" s="140" t="s">
        <v>2197</v>
      </c>
      <c r="G308" s="141">
        <v>2006</v>
      </c>
      <c r="H308" s="118">
        <v>16139487</v>
      </c>
      <c r="I308" s="118">
        <v>1</v>
      </c>
      <c r="J308" s="118"/>
      <c r="K308" s="118"/>
      <c r="L308" s="118">
        <v>1</v>
      </c>
      <c r="M308" s="118"/>
      <c r="N308" s="118">
        <v>1</v>
      </c>
      <c r="O308" s="142">
        <v>1</v>
      </c>
      <c r="P308" s="118" t="s">
        <v>566</v>
      </c>
      <c r="Q308" s="118" t="s">
        <v>569</v>
      </c>
      <c r="R308" s="118" t="s">
        <v>567</v>
      </c>
      <c r="S308" s="118">
        <v>1</v>
      </c>
      <c r="T308" s="118"/>
      <c r="U308" s="118"/>
      <c r="V308" s="118"/>
      <c r="W308" s="118" t="s">
        <v>568</v>
      </c>
      <c r="X308" s="118" t="s">
        <v>24</v>
      </c>
      <c r="Y308" s="118"/>
      <c r="Z308" s="118"/>
      <c r="AA308" s="118"/>
      <c r="AB308" s="118"/>
      <c r="AC308" s="145"/>
      <c r="AD308" s="573">
        <v>1</v>
      </c>
      <c r="AE308" s="573">
        <v>2</v>
      </c>
      <c r="AF308" s="159">
        <v>1</v>
      </c>
      <c r="AG308" s="160"/>
      <c r="AH308" s="704"/>
      <c r="AI308" s="122">
        <v>2</v>
      </c>
      <c r="AJ308" s="485" t="s">
        <v>4726</v>
      </c>
      <c r="AK308" s="204"/>
      <c r="AL308" s="192">
        <v>1</v>
      </c>
      <c r="AM308" s="227">
        <v>0</v>
      </c>
      <c r="AN308" s="150">
        <v>40</v>
      </c>
      <c r="AO308" s="150">
        <v>20</v>
      </c>
      <c r="AP308" s="150">
        <v>20</v>
      </c>
      <c r="AQ308" s="150" t="s">
        <v>803</v>
      </c>
      <c r="AR308" s="150" t="s">
        <v>803</v>
      </c>
      <c r="AS308" s="150">
        <v>47</v>
      </c>
      <c r="AT308" s="150">
        <v>4</v>
      </c>
      <c r="AU308" s="150">
        <v>47</v>
      </c>
      <c r="AV308" s="150">
        <v>5</v>
      </c>
      <c r="AW308" s="150" t="s">
        <v>4711</v>
      </c>
      <c r="AX308" s="150"/>
      <c r="AY308" s="150"/>
      <c r="AZ308" s="753" t="s">
        <v>1874</v>
      </c>
      <c r="BA308" s="150" t="s">
        <v>24</v>
      </c>
      <c r="BB308" s="150" t="s">
        <v>24</v>
      </c>
      <c r="BC308" s="150" t="s">
        <v>4713</v>
      </c>
      <c r="BD308" s="753" t="s">
        <v>7521</v>
      </c>
      <c r="BE308" s="1624">
        <v>0</v>
      </c>
      <c r="BF308" s="134" t="s">
        <v>5116</v>
      </c>
      <c r="BG308" s="150" t="s">
        <v>4712</v>
      </c>
      <c r="BH308" s="588"/>
      <c r="BI308" s="588"/>
      <c r="BJ308" s="161"/>
      <c r="BK308" s="161"/>
      <c r="BL308" s="161" t="s">
        <v>4727</v>
      </c>
      <c r="BM308" s="161"/>
      <c r="BN308" s="161"/>
      <c r="BO308" s="492" t="s">
        <v>4727</v>
      </c>
      <c r="BP308" s="161">
        <v>1</v>
      </c>
      <c r="BQ308" s="161"/>
      <c r="BR308" s="492" t="s">
        <v>4727</v>
      </c>
      <c r="BS308" s="161"/>
      <c r="BT308" s="492" t="s">
        <v>4727</v>
      </c>
      <c r="BU308" s="161"/>
      <c r="BV308" s="161"/>
      <c r="BW308" s="596" t="s">
        <v>4755</v>
      </c>
      <c r="BX308" s="162" t="s">
        <v>6612</v>
      </c>
      <c r="BY308" s="797" t="s">
        <v>7617</v>
      </c>
      <c r="BZ308" s="790" t="s">
        <v>803</v>
      </c>
      <c r="CA308" s="811">
        <v>2</v>
      </c>
      <c r="CB308" s="660" t="s">
        <v>7556</v>
      </c>
      <c r="CC308" s="810" t="s">
        <v>7380</v>
      </c>
      <c r="CD308" s="150" t="s">
        <v>1876</v>
      </c>
      <c r="CE308" s="150">
        <v>2</v>
      </c>
      <c r="CF308" s="400"/>
      <c r="CG308" s="150" t="s">
        <v>4724</v>
      </c>
      <c r="CH308" s="753" t="s">
        <v>7314</v>
      </c>
      <c r="CI308" s="150" t="s">
        <v>24</v>
      </c>
      <c r="CJ308" s="150"/>
      <c r="CK308" s="150" t="s">
        <v>7861</v>
      </c>
      <c r="CL308" s="753" t="s">
        <v>7334</v>
      </c>
      <c r="CM308" s="258" t="s">
        <v>4771</v>
      </c>
      <c r="CN308" s="257" t="s">
        <v>24</v>
      </c>
      <c r="CO308" s="829">
        <v>36</v>
      </c>
      <c r="CP308" s="829">
        <v>1</v>
      </c>
      <c r="CQ308" s="829">
        <v>6</v>
      </c>
      <c r="CR308" s="829">
        <v>1</v>
      </c>
      <c r="CS308" s="829">
        <v>1</v>
      </c>
      <c r="CT308" s="968"/>
      <c r="CU308" s="1288" t="s">
        <v>8103</v>
      </c>
      <c r="CV308" s="1294">
        <v>16</v>
      </c>
      <c r="CW308" s="1294">
        <v>16</v>
      </c>
      <c r="CX308" s="150" t="s">
        <v>4764</v>
      </c>
      <c r="CY308" s="150">
        <v>1.1000000000000001</v>
      </c>
      <c r="CZ308" s="150">
        <v>0.7</v>
      </c>
      <c r="DA308" s="150" t="s">
        <v>24</v>
      </c>
      <c r="DB308" s="150" t="s">
        <v>4765</v>
      </c>
      <c r="DC308" s="150">
        <v>1.9</v>
      </c>
      <c r="DD308" s="150">
        <v>0.2</v>
      </c>
      <c r="DE308" s="150" t="s">
        <v>24</v>
      </c>
      <c r="DF308" s="303" t="s">
        <v>4742</v>
      </c>
      <c r="DG308" s="303" t="s">
        <v>4767</v>
      </c>
      <c r="DH308" s="1178"/>
      <c r="DI308" s="500"/>
      <c r="DJ308" s="1164"/>
      <c r="DK308" s="500"/>
      <c r="DL308" s="1166"/>
      <c r="DM308" s="1164"/>
      <c r="DN308" s="1164"/>
      <c r="DO308" s="1164"/>
      <c r="DP308" s="290"/>
      <c r="DQ308" s="291"/>
      <c r="DR308" s="1168"/>
      <c r="DS308" s="865"/>
      <c r="DT308" s="1166"/>
      <c r="DU308" s="1164"/>
      <c r="DV308" s="1164"/>
      <c r="DW308" s="1164"/>
      <c r="DX308" s="1166"/>
      <c r="DY308" s="1164"/>
      <c r="DZ308" s="1164"/>
      <c r="EA308" s="1164"/>
      <c r="EB308" s="311"/>
      <c r="EC308" s="313"/>
      <c r="ED308" s="1164"/>
      <c r="EE308" s="1164"/>
      <c r="EF308" s="1164"/>
      <c r="EG308" s="1164"/>
      <c r="EH308" s="1164"/>
      <c r="EI308" s="1164"/>
      <c r="EJ308" s="1164"/>
      <c r="EK308" s="1164"/>
      <c r="EL308" s="311"/>
      <c r="EM308" s="313"/>
      <c r="EN308" s="1167"/>
      <c r="EO308" s="1165"/>
      <c r="EP308" s="1164"/>
      <c r="EQ308" s="1164"/>
      <c r="ER308" s="1164"/>
      <c r="ES308" s="1164"/>
      <c r="ET308" s="1164"/>
      <c r="EU308" s="1164"/>
      <c r="EV308" s="1164"/>
      <c r="EW308" s="1164"/>
      <c r="EX308" s="313"/>
      <c r="EY308" s="313"/>
      <c r="EZ308" s="1166"/>
      <c r="FA308" s="1164"/>
      <c r="FB308" s="1164"/>
      <c r="FC308" s="1164"/>
      <c r="FD308" s="1166"/>
      <c r="FE308" s="1164"/>
      <c r="FF308" s="1164"/>
      <c r="FG308" s="1164"/>
      <c r="FH308" s="313"/>
      <c r="FI308" s="313"/>
      <c r="FJ308" s="1165"/>
    </row>
    <row r="309" spans="1:166" ht="15" hidden="1" customHeight="1">
      <c r="A309" s="118" t="s">
        <v>197</v>
      </c>
      <c r="B309" s="616">
        <v>143</v>
      </c>
      <c r="C309" s="616">
        <v>42</v>
      </c>
      <c r="D309" s="616"/>
      <c r="E309" s="605" t="s">
        <v>1973</v>
      </c>
      <c r="F309" s="140" t="s">
        <v>2197</v>
      </c>
      <c r="G309" s="141">
        <v>2006</v>
      </c>
      <c r="H309" s="118">
        <v>16139487</v>
      </c>
      <c r="I309" s="118">
        <v>1</v>
      </c>
      <c r="J309" s="118"/>
      <c r="K309" s="118"/>
      <c r="L309" s="118">
        <v>1</v>
      </c>
      <c r="M309" s="118"/>
      <c r="N309" s="118">
        <v>1</v>
      </c>
      <c r="O309" s="142">
        <v>1</v>
      </c>
      <c r="P309" s="118" t="s">
        <v>566</v>
      </c>
      <c r="Q309" s="118" t="s">
        <v>569</v>
      </c>
      <c r="R309" s="118" t="s">
        <v>567</v>
      </c>
      <c r="S309" s="118">
        <v>1</v>
      </c>
      <c r="T309" s="118"/>
      <c r="U309" s="118"/>
      <c r="V309" s="118"/>
      <c r="W309" s="118" t="s">
        <v>568</v>
      </c>
      <c r="X309" s="118" t="s">
        <v>24</v>
      </c>
      <c r="Y309" s="118"/>
      <c r="Z309" s="118"/>
      <c r="AA309" s="118"/>
      <c r="AB309" s="118"/>
      <c r="AC309" s="145"/>
      <c r="AD309" s="573">
        <v>1</v>
      </c>
      <c r="AE309" s="573">
        <v>2</v>
      </c>
      <c r="AF309" s="159">
        <v>1</v>
      </c>
      <c r="AG309" s="160"/>
      <c r="AH309" s="704"/>
      <c r="AI309" s="122">
        <v>2</v>
      </c>
      <c r="AJ309" s="485" t="s">
        <v>4726</v>
      </c>
      <c r="AK309" s="204"/>
      <c r="AL309" s="192">
        <v>1</v>
      </c>
      <c r="AM309" s="227">
        <v>0</v>
      </c>
      <c r="AN309" s="150">
        <v>40</v>
      </c>
      <c r="AO309" s="150">
        <v>20</v>
      </c>
      <c r="AP309" s="150">
        <v>20</v>
      </c>
      <c r="AQ309" s="150" t="s">
        <v>803</v>
      </c>
      <c r="AR309" s="150" t="s">
        <v>803</v>
      </c>
      <c r="AS309" s="150">
        <v>47</v>
      </c>
      <c r="AT309" s="150">
        <v>4</v>
      </c>
      <c r="AU309" s="150">
        <v>47</v>
      </c>
      <c r="AV309" s="150">
        <v>5</v>
      </c>
      <c r="AW309" s="150" t="s">
        <v>4711</v>
      </c>
      <c r="AX309" s="150"/>
      <c r="AY309" s="150"/>
      <c r="AZ309" s="753" t="s">
        <v>1874</v>
      </c>
      <c r="BA309" s="150" t="s">
        <v>24</v>
      </c>
      <c r="BB309" s="150" t="s">
        <v>24</v>
      </c>
      <c r="BC309" s="150" t="s">
        <v>4713</v>
      </c>
      <c r="BD309" s="753" t="s">
        <v>7521</v>
      </c>
      <c r="BE309" s="1624">
        <v>0</v>
      </c>
      <c r="BF309" s="134" t="s">
        <v>5116</v>
      </c>
      <c r="BG309" s="150" t="s">
        <v>4712</v>
      </c>
      <c r="BH309" s="588"/>
      <c r="BI309" s="588"/>
      <c r="BJ309" s="161"/>
      <c r="BK309" s="161"/>
      <c r="BL309" s="161" t="s">
        <v>4727</v>
      </c>
      <c r="BM309" s="161"/>
      <c r="BN309" s="161"/>
      <c r="BO309" s="492" t="s">
        <v>4727</v>
      </c>
      <c r="BP309" s="161">
        <v>1</v>
      </c>
      <c r="BQ309" s="161"/>
      <c r="BR309" s="492" t="s">
        <v>4727</v>
      </c>
      <c r="BS309" s="161"/>
      <c r="BT309" s="492" t="s">
        <v>4727</v>
      </c>
      <c r="BU309" s="161"/>
      <c r="BV309" s="161"/>
      <c r="BW309" s="596" t="s">
        <v>4755</v>
      </c>
      <c r="BX309" s="162" t="s">
        <v>6612</v>
      </c>
      <c r="BY309" s="797" t="s">
        <v>7617</v>
      </c>
      <c r="BZ309" s="790" t="s">
        <v>803</v>
      </c>
      <c r="CA309" s="811">
        <v>2</v>
      </c>
      <c r="CB309" s="660" t="s">
        <v>7556</v>
      </c>
      <c r="CC309" s="810" t="s">
        <v>7380</v>
      </c>
      <c r="CD309" s="150" t="s">
        <v>1876</v>
      </c>
      <c r="CE309" s="150">
        <v>2</v>
      </c>
      <c r="CF309" s="400"/>
      <c r="CG309" s="150" t="s">
        <v>4724</v>
      </c>
      <c r="CH309" s="753" t="s">
        <v>7314</v>
      </c>
      <c r="CI309" s="150" t="s">
        <v>24</v>
      </c>
      <c r="CJ309" s="150"/>
      <c r="CK309" s="150" t="s">
        <v>7862</v>
      </c>
      <c r="CL309" s="753" t="s">
        <v>7334</v>
      </c>
      <c r="CM309" s="258" t="s">
        <v>4771</v>
      </c>
      <c r="CN309" s="257" t="s">
        <v>24</v>
      </c>
      <c r="CO309" s="829">
        <v>36</v>
      </c>
      <c r="CP309" s="829">
        <v>1</v>
      </c>
      <c r="CQ309" s="829">
        <v>7</v>
      </c>
      <c r="CR309" s="829">
        <v>1</v>
      </c>
      <c r="CS309" s="829">
        <v>1</v>
      </c>
      <c r="CT309" s="968"/>
      <c r="CU309" s="1288" t="s">
        <v>8103</v>
      </c>
      <c r="CV309" s="1294">
        <v>16</v>
      </c>
      <c r="CW309" s="1294">
        <v>16</v>
      </c>
      <c r="CX309" s="151" t="s">
        <v>4768</v>
      </c>
      <c r="CY309" s="150">
        <v>1.1000000000000001</v>
      </c>
      <c r="CZ309" s="150">
        <v>0.9</v>
      </c>
      <c r="DA309" s="150" t="s">
        <v>24</v>
      </c>
      <c r="DB309" s="151" t="s">
        <v>4769</v>
      </c>
      <c r="DC309" s="150">
        <v>1.9</v>
      </c>
      <c r="DD309" s="150">
        <v>0.4</v>
      </c>
      <c r="DE309" s="150" t="s">
        <v>24</v>
      </c>
      <c r="DF309" s="303" t="s">
        <v>4742</v>
      </c>
      <c r="DG309" s="303" t="s">
        <v>4770</v>
      </c>
      <c r="DH309" s="1178"/>
      <c r="DI309" s="500"/>
      <c r="DJ309" s="1164"/>
      <c r="DK309" s="500"/>
      <c r="DL309" s="1166"/>
      <c r="DM309" s="1164"/>
      <c r="DN309" s="1164"/>
      <c r="DO309" s="1164"/>
      <c r="DP309" s="290"/>
      <c r="DQ309" s="291"/>
      <c r="DR309" s="1168"/>
      <c r="DS309" s="865"/>
      <c r="DT309" s="1166"/>
      <c r="DU309" s="1164"/>
      <c r="DV309" s="1164"/>
      <c r="DW309" s="1164"/>
      <c r="DX309" s="1166"/>
      <c r="DY309" s="1164"/>
      <c r="DZ309" s="1164"/>
      <c r="EA309" s="1164"/>
      <c r="EB309" s="311"/>
      <c r="EC309" s="313"/>
      <c r="ED309" s="1164"/>
      <c r="EE309" s="1164"/>
      <c r="EF309" s="1164"/>
      <c r="EG309" s="1164"/>
      <c r="EH309" s="1164"/>
      <c r="EI309" s="1164"/>
      <c r="EJ309" s="1164"/>
      <c r="EK309" s="1164"/>
      <c r="EL309" s="311"/>
      <c r="EM309" s="313"/>
      <c r="EN309" s="1167"/>
      <c r="EO309" s="1165"/>
      <c r="EP309" s="1164"/>
      <c r="EQ309" s="1164"/>
      <c r="ER309" s="1164"/>
      <c r="ES309" s="1164"/>
      <c r="ET309" s="1164"/>
      <c r="EU309" s="1164"/>
      <c r="EV309" s="1164"/>
      <c r="EW309" s="1164"/>
      <c r="EX309" s="313"/>
      <c r="EY309" s="313"/>
      <c r="EZ309" s="1166"/>
      <c r="FA309" s="1164"/>
      <c r="FB309" s="1164"/>
      <c r="FC309" s="1164"/>
      <c r="FD309" s="1166"/>
      <c r="FE309" s="1164"/>
      <c r="FF309" s="1164"/>
      <c r="FG309" s="1164"/>
      <c r="FH309" s="313"/>
      <c r="FI309" s="313"/>
      <c r="FJ309" s="1165"/>
    </row>
    <row r="310" spans="1:166" ht="15" hidden="1" customHeight="1">
      <c r="A310" s="118" t="s">
        <v>197</v>
      </c>
      <c r="B310" s="616">
        <v>143</v>
      </c>
      <c r="C310" s="616">
        <v>42</v>
      </c>
      <c r="D310" s="616"/>
      <c r="E310" s="605" t="s">
        <v>1973</v>
      </c>
      <c r="F310" s="140" t="s">
        <v>2197</v>
      </c>
      <c r="G310" s="141">
        <v>2006</v>
      </c>
      <c r="H310" s="118">
        <v>16139487</v>
      </c>
      <c r="I310" s="118">
        <v>1</v>
      </c>
      <c r="J310" s="118"/>
      <c r="K310" s="118"/>
      <c r="L310" s="118">
        <v>1</v>
      </c>
      <c r="M310" s="118"/>
      <c r="N310" s="118">
        <v>1</v>
      </c>
      <c r="O310" s="142">
        <v>1</v>
      </c>
      <c r="P310" s="118" t="s">
        <v>566</v>
      </c>
      <c r="Q310" s="118" t="s">
        <v>569</v>
      </c>
      <c r="R310" s="118" t="s">
        <v>567</v>
      </c>
      <c r="S310" s="118">
        <v>1</v>
      </c>
      <c r="T310" s="118"/>
      <c r="U310" s="118"/>
      <c r="V310" s="118"/>
      <c r="W310" s="118" t="s">
        <v>568</v>
      </c>
      <c r="X310" s="118" t="s">
        <v>24</v>
      </c>
      <c r="Y310" s="118"/>
      <c r="Z310" s="118"/>
      <c r="AA310" s="118"/>
      <c r="AB310" s="118"/>
      <c r="AC310" s="145"/>
      <c r="AD310" s="573">
        <v>1</v>
      </c>
      <c r="AE310" s="573">
        <v>2</v>
      </c>
      <c r="AF310" s="159">
        <v>1</v>
      </c>
      <c r="AG310" s="160"/>
      <c r="AH310" s="704"/>
      <c r="AI310" s="122">
        <v>2</v>
      </c>
      <c r="AJ310" s="485" t="s">
        <v>4726</v>
      </c>
      <c r="AK310" s="204"/>
      <c r="AL310" s="192">
        <v>1</v>
      </c>
      <c r="AM310" s="227">
        <v>0</v>
      </c>
      <c r="AN310" s="150">
        <v>40</v>
      </c>
      <c r="AO310" s="150">
        <v>20</v>
      </c>
      <c r="AP310" s="150">
        <v>20</v>
      </c>
      <c r="AQ310" s="150" t="s">
        <v>803</v>
      </c>
      <c r="AR310" s="150" t="s">
        <v>803</v>
      </c>
      <c r="AS310" s="150">
        <v>47</v>
      </c>
      <c r="AT310" s="150">
        <v>4</v>
      </c>
      <c r="AU310" s="150">
        <v>47</v>
      </c>
      <c r="AV310" s="150">
        <v>5</v>
      </c>
      <c r="AW310" s="150" t="s">
        <v>4711</v>
      </c>
      <c r="AX310" s="150"/>
      <c r="AY310" s="150"/>
      <c r="AZ310" s="753" t="s">
        <v>1874</v>
      </c>
      <c r="BA310" s="150" t="s">
        <v>24</v>
      </c>
      <c r="BB310" s="150" t="s">
        <v>24</v>
      </c>
      <c r="BC310" s="150" t="s">
        <v>4713</v>
      </c>
      <c r="BD310" s="753" t="s">
        <v>7521</v>
      </c>
      <c r="BE310" s="1624">
        <v>0</v>
      </c>
      <c r="BF310" s="134" t="s">
        <v>5116</v>
      </c>
      <c r="BG310" s="150" t="s">
        <v>4712</v>
      </c>
      <c r="BH310" s="588"/>
      <c r="BI310" s="588"/>
      <c r="BJ310" s="161"/>
      <c r="BK310" s="161"/>
      <c r="BL310" s="161" t="s">
        <v>4727</v>
      </c>
      <c r="BM310" s="161"/>
      <c r="BN310" s="161"/>
      <c r="BO310" s="492" t="s">
        <v>4727</v>
      </c>
      <c r="BP310" s="161">
        <v>1</v>
      </c>
      <c r="BQ310" s="161"/>
      <c r="BR310" s="492" t="s">
        <v>4727</v>
      </c>
      <c r="BS310" s="161"/>
      <c r="BT310" s="492" t="s">
        <v>4727</v>
      </c>
      <c r="BU310" s="161"/>
      <c r="BV310" s="161"/>
      <c r="BW310" s="596" t="s">
        <v>4723</v>
      </c>
      <c r="BX310" s="162" t="s">
        <v>6609</v>
      </c>
      <c r="BY310" s="797" t="s">
        <v>7616</v>
      </c>
      <c r="BZ310" s="789" t="s">
        <v>803</v>
      </c>
      <c r="CA310" s="811">
        <v>2</v>
      </c>
      <c r="CB310" s="660" t="s">
        <v>7556</v>
      </c>
      <c r="CC310" s="810" t="s">
        <v>7380</v>
      </c>
      <c r="CD310" s="150" t="s">
        <v>1876</v>
      </c>
      <c r="CE310" s="150">
        <v>2</v>
      </c>
      <c r="CF310" s="400"/>
      <c r="CG310" s="150" t="s">
        <v>4725</v>
      </c>
      <c r="CH310" s="753" t="s">
        <v>7314</v>
      </c>
      <c r="CI310" s="150" t="s">
        <v>24</v>
      </c>
      <c r="CJ310" s="150"/>
      <c r="CK310" s="150" t="s">
        <v>7864</v>
      </c>
      <c r="CL310" s="753" t="s">
        <v>7335</v>
      </c>
      <c r="CM310" s="258" t="s">
        <v>4750</v>
      </c>
      <c r="CN310" s="257" t="s">
        <v>24</v>
      </c>
      <c r="CO310" s="829">
        <v>36</v>
      </c>
      <c r="CP310" s="829">
        <v>1</v>
      </c>
      <c r="CQ310" s="829">
        <v>8</v>
      </c>
      <c r="CR310" s="829">
        <v>1</v>
      </c>
      <c r="CS310" s="829">
        <v>1</v>
      </c>
      <c r="CT310" s="968"/>
      <c r="CU310" s="1288" t="s">
        <v>8103</v>
      </c>
      <c r="CV310" s="1294">
        <v>16</v>
      </c>
      <c r="CW310" s="1294">
        <v>16</v>
      </c>
      <c r="CX310" s="151" t="s">
        <v>4730</v>
      </c>
      <c r="CY310" s="150">
        <v>0.6</v>
      </c>
      <c r="CZ310" s="150">
        <v>0.9</v>
      </c>
      <c r="DA310" s="150" t="s">
        <v>24</v>
      </c>
      <c r="DB310" s="151" t="s">
        <v>4731</v>
      </c>
      <c r="DC310" s="150">
        <v>1.8</v>
      </c>
      <c r="DD310" s="150">
        <v>0.6</v>
      </c>
      <c r="DE310" s="150" t="s">
        <v>24</v>
      </c>
      <c r="DF310" s="549" t="s">
        <v>4742</v>
      </c>
      <c r="DG310" s="551" t="s">
        <v>4743</v>
      </c>
      <c r="DH310" s="1178"/>
      <c r="DI310" s="500"/>
      <c r="DJ310" s="1164"/>
      <c r="DK310" s="500"/>
      <c r="DL310" s="1166"/>
      <c r="DM310" s="1164"/>
      <c r="DN310" s="1164"/>
      <c r="DO310" s="1164"/>
      <c r="DP310" s="290"/>
      <c r="DQ310" s="291"/>
      <c r="DR310" s="1168"/>
      <c r="DS310" s="865"/>
      <c r="DT310" s="1171"/>
      <c r="DU310" s="1169"/>
      <c r="DV310" s="1169"/>
      <c r="DW310" s="1169"/>
      <c r="DX310" s="1169"/>
      <c r="DY310" s="1169"/>
      <c r="DZ310" s="1169"/>
      <c r="EA310" s="1169"/>
      <c r="EB310" s="304"/>
      <c r="EC310" s="312"/>
      <c r="ED310" s="1169"/>
      <c r="EE310" s="1169"/>
      <c r="EF310" s="1169"/>
      <c r="EG310" s="1169"/>
      <c r="EH310" s="1169"/>
      <c r="EI310" s="1169"/>
      <c r="EJ310" s="1169"/>
      <c r="EK310" s="1169"/>
      <c r="EL310" s="304"/>
      <c r="EM310" s="312"/>
      <c r="EN310" s="1167"/>
      <c r="EO310" s="1165"/>
      <c r="EP310" s="1169"/>
      <c r="EQ310" s="1169"/>
      <c r="ER310" s="1169"/>
      <c r="ES310" s="1169"/>
      <c r="ET310" s="1169"/>
      <c r="EU310" s="1169"/>
      <c r="EV310" s="1169"/>
      <c r="EW310" s="1169"/>
      <c r="EX310" s="312"/>
      <c r="EY310" s="312"/>
      <c r="EZ310" s="1169"/>
      <c r="FA310" s="1169"/>
      <c r="FB310" s="1169"/>
      <c r="FC310" s="1169"/>
      <c r="FD310" s="1169"/>
      <c r="FE310" s="1169"/>
      <c r="FF310" s="1169"/>
      <c r="FG310" s="1169"/>
      <c r="FH310" s="312"/>
      <c r="FI310" s="312"/>
      <c r="FJ310" s="1165"/>
    </row>
    <row r="311" spans="1:166" ht="15" hidden="1" customHeight="1">
      <c r="A311" s="118" t="s">
        <v>197</v>
      </c>
      <c r="B311" s="616">
        <v>143</v>
      </c>
      <c r="C311" s="616">
        <v>42</v>
      </c>
      <c r="D311" s="616"/>
      <c r="E311" s="605" t="s">
        <v>1973</v>
      </c>
      <c r="F311" s="140" t="s">
        <v>2197</v>
      </c>
      <c r="G311" s="141">
        <v>2006</v>
      </c>
      <c r="H311" s="118">
        <v>16139487</v>
      </c>
      <c r="I311" s="118">
        <v>1</v>
      </c>
      <c r="J311" s="118"/>
      <c r="K311" s="118"/>
      <c r="L311" s="118">
        <v>1</v>
      </c>
      <c r="M311" s="118"/>
      <c r="N311" s="118">
        <v>1</v>
      </c>
      <c r="O311" s="142">
        <v>1</v>
      </c>
      <c r="P311" s="118" t="s">
        <v>566</v>
      </c>
      <c r="Q311" s="118" t="s">
        <v>569</v>
      </c>
      <c r="R311" s="118" t="s">
        <v>567</v>
      </c>
      <c r="S311" s="118">
        <v>1</v>
      </c>
      <c r="T311" s="118"/>
      <c r="U311" s="118"/>
      <c r="V311" s="118"/>
      <c r="W311" s="118" t="s">
        <v>568</v>
      </c>
      <c r="X311" s="118" t="s">
        <v>24</v>
      </c>
      <c r="Y311" s="118"/>
      <c r="Z311" s="118"/>
      <c r="AA311" s="118"/>
      <c r="AB311" s="118"/>
      <c r="AC311" s="145"/>
      <c r="AD311" s="573">
        <v>1</v>
      </c>
      <c r="AE311" s="573">
        <v>2</v>
      </c>
      <c r="AF311" s="159">
        <v>1</v>
      </c>
      <c r="AG311" s="160"/>
      <c r="AH311" s="704"/>
      <c r="AI311" s="122">
        <v>2</v>
      </c>
      <c r="AJ311" s="485" t="s">
        <v>4726</v>
      </c>
      <c r="AK311" s="204"/>
      <c r="AL311" s="192">
        <v>1</v>
      </c>
      <c r="AM311" s="227">
        <v>0</v>
      </c>
      <c r="AN311" s="150">
        <v>40</v>
      </c>
      <c r="AO311" s="150">
        <v>20</v>
      </c>
      <c r="AP311" s="150">
        <v>20</v>
      </c>
      <c r="AQ311" s="150" t="s">
        <v>803</v>
      </c>
      <c r="AR311" s="150" t="s">
        <v>803</v>
      </c>
      <c r="AS311" s="150">
        <v>47</v>
      </c>
      <c r="AT311" s="150">
        <v>4</v>
      </c>
      <c r="AU311" s="150">
        <v>47</v>
      </c>
      <c r="AV311" s="150">
        <v>5</v>
      </c>
      <c r="AW311" s="150" t="s">
        <v>4711</v>
      </c>
      <c r="AX311" s="150"/>
      <c r="AY311" s="150"/>
      <c r="AZ311" s="753" t="s">
        <v>1874</v>
      </c>
      <c r="BA311" s="150" t="s">
        <v>24</v>
      </c>
      <c r="BB311" s="150" t="s">
        <v>24</v>
      </c>
      <c r="BC311" s="150" t="s">
        <v>4713</v>
      </c>
      <c r="BD311" s="753" t="s">
        <v>7521</v>
      </c>
      <c r="BE311" s="1624">
        <v>0</v>
      </c>
      <c r="BF311" s="134" t="s">
        <v>5116</v>
      </c>
      <c r="BG311" s="150" t="s">
        <v>4712</v>
      </c>
      <c r="BH311" s="588"/>
      <c r="BI311" s="588"/>
      <c r="BJ311" s="161"/>
      <c r="BK311" s="161"/>
      <c r="BL311" s="161" t="s">
        <v>4727</v>
      </c>
      <c r="BM311" s="161"/>
      <c r="BN311" s="161"/>
      <c r="BO311" s="492" t="s">
        <v>4727</v>
      </c>
      <c r="BP311" s="161">
        <v>1</v>
      </c>
      <c r="BQ311" s="161"/>
      <c r="BR311" s="492" t="s">
        <v>4727</v>
      </c>
      <c r="BS311" s="161"/>
      <c r="BT311" s="492" t="s">
        <v>4727</v>
      </c>
      <c r="BU311" s="161"/>
      <c r="BV311" s="161"/>
      <c r="BW311" s="596" t="s">
        <v>4723</v>
      </c>
      <c r="BX311" s="162" t="s">
        <v>6609</v>
      </c>
      <c r="BY311" s="797" t="s">
        <v>7616</v>
      </c>
      <c r="BZ311" s="789" t="s">
        <v>803</v>
      </c>
      <c r="CA311" s="769">
        <v>2</v>
      </c>
      <c r="CB311" s="765" t="s">
        <v>7556</v>
      </c>
      <c r="CC311" s="810" t="s">
        <v>7380</v>
      </c>
      <c r="CD311" s="150" t="s">
        <v>1876</v>
      </c>
      <c r="CE311" s="150">
        <v>2</v>
      </c>
      <c r="CF311" s="400"/>
      <c r="CG311" s="150" t="s">
        <v>4725</v>
      </c>
      <c r="CH311" s="753" t="s">
        <v>7314</v>
      </c>
      <c r="CI311" s="150" t="s">
        <v>24</v>
      </c>
      <c r="CJ311" s="150"/>
      <c r="CK311" s="150" t="s">
        <v>7865</v>
      </c>
      <c r="CL311" s="753" t="s">
        <v>7335</v>
      </c>
      <c r="CM311" s="258" t="s">
        <v>4750</v>
      </c>
      <c r="CN311" s="257" t="s">
        <v>24</v>
      </c>
      <c r="CO311" s="829">
        <v>36</v>
      </c>
      <c r="CP311" s="829">
        <v>1</v>
      </c>
      <c r="CQ311" s="829">
        <v>9</v>
      </c>
      <c r="CR311" s="829">
        <v>1</v>
      </c>
      <c r="CS311" s="829">
        <v>1</v>
      </c>
      <c r="CT311" s="968"/>
      <c r="CU311" s="1288" t="s">
        <v>8103</v>
      </c>
      <c r="CV311" s="1294">
        <v>16</v>
      </c>
      <c r="CW311" s="1294">
        <v>16</v>
      </c>
      <c r="CX311" s="151" t="s">
        <v>4732</v>
      </c>
      <c r="CY311" s="150">
        <v>0.8</v>
      </c>
      <c r="CZ311" s="150">
        <v>0.8</v>
      </c>
      <c r="DA311" s="150" t="s">
        <v>24</v>
      </c>
      <c r="DB311" s="151" t="s">
        <v>4733</v>
      </c>
      <c r="DC311" s="150">
        <v>1.9</v>
      </c>
      <c r="DD311" s="150">
        <v>0.3</v>
      </c>
      <c r="DE311" s="150" t="s">
        <v>24</v>
      </c>
      <c r="DF311" s="290" t="s">
        <v>4744</v>
      </c>
      <c r="DG311" s="291" t="s">
        <v>4745</v>
      </c>
      <c r="DH311" s="1169"/>
      <c r="DI311" s="1169"/>
      <c r="DJ311" s="1169"/>
      <c r="DK311" s="1169"/>
      <c r="DL311" s="1169"/>
      <c r="DM311" s="1169"/>
      <c r="DN311" s="1169"/>
      <c r="DO311" s="1169"/>
      <c r="DP311" s="288"/>
      <c r="DQ311" s="289"/>
      <c r="DR311" s="1168"/>
      <c r="DS311" s="865"/>
      <c r="DT311" s="1166"/>
      <c r="DU311" s="500"/>
      <c r="DV311" s="1164"/>
      <c r="DW311" s="500"/>
      <c r="DX311" s="1166"/>
      <c r="DY311" s="500"/>
      <c r="DZ311" s="1164"/>
      <c r="EA311" s="500"/>
      <c r="EB311" s="311"/>
      <c r="EC311" s="313"/>
      <c r="ED311" s="1166"/>
      <c r="EE311" s="500"/>
      <c r="EF311" s="1164"/>
      <c r="EG311" s="500"/>
      <c r="EH311" s="1166"/>
      <c r="EI311" s="500"/>
      <c r="EJ311" s="1164"/>
      <c r="EK311" s="500"/>
      <c r="EL311" s="311"/>
      <c r="EM311" s="313"/>
      <c r="EN311" s="1167"/>
      <c r="EO311" s="1165"/>
      <c r="EP311" s="500"/>
      <c r="EQ311" s="500"/>
      <c r="ER311" s="500"/>
      <c r="ES311" s="500"/>
      <c r="ET311" s="500"/>
      <c r="EU311" s="500"/>
      <c r="EV311" s="500"/>
      <c r="EW311" s="500"/>
      <c r="EX311" s="665"/>
      <c r="EY311" s="665"/>
      <c r="EZ311" s="1153"/>
      <c r="FA311" s="500"/>
      <c r="FB311" s="500"/>
      <c r="FC311" s="500"/>
      <c r="FD311" s="1153"/>
      <c r="FE311" s="500"/>
      <c r="FF311" s="500"/>
      <c r="FG311" s="500"/>
      <c r="FH311" s="665"/>
      <c r="FI311" s="665"/>
      <c r="FJ311" s="1165"/>
    </row>
    <row r="312" spans="1:166" ht="15" hidden="1" customHeight="1">
      <c r="A312" s="118" t="s">
        <v>197</v>
      </c>
      <c r="B312" s="616">
        <v>143</v>
      </c>
      <c r="C312" s="616">
        <v>42</v>
      </c>
      <c r="D312" s="616"/>
      <c r="E312" s="605" t="s">
        <v>1973</v>
      </c>
      <c r="F312" s="140" t="s">
        <v>2197</v>
      </c>
      <c r="G312" s="141">
        <v>2006</v>
      </c>
      <c r="H312" s="118">
        <v>16139487</v>
      </c>
      <c r="I312" s="118">
        <v>1</v>
      </c>
      <c r="J312" s="118"/>
      <c r="K312" s="118"/>
      <c r="L312" s="118">
        <v>1</v>
      </c>
      <c r="M312" s="118"/>
      <c r="N312" s="118">
        <v>1</v>
      </c>
      <c r="O312" s="142">
        <v>1</v>
      </c>
      <c r="P312" s="118" t="s">
        <v>566</v>
      </c>
      <c r="Q312" s="118" t="s">
        <v>569</v>
      </c>
      <c r="R312" s="118" t="s">
        <v>567</v>
      </c>
      <c r="S312" s="118">
        <v>1</v>
      </c>
      <c r="T312" s="118"/>
      <c r="U312" s="118"/>
      <c r="V312" s="118"/>
      <c r="W312" s="118" t="s">
        <v>568</v>
      </c>
      <c r="X312" s="118" t="s">
        <v>24</v>
      </c>
      <c r="Y312" s="118"/>
      <c r="Z312" s="118"/>
      <c r="AA312" s="118"/>
      <c r="AB312" s="118"/>
      <c r="AC312" s="145"/>
      <c r="AD312" s="573">
        <v>1</v>
      </c>
      <c r="AE312" s="573">
        <v>2</v>
      </c>
      <c r="AF312" s="159">
        <v>1</v>
      </c>
      <c r="AG312" s="160"/>
      <c r="AH312" s="704"/>
      <c r="AI312" s="122">
        <v>2</v>
      </c>
      <c r="AJ312" s="485" t="s">
        <v>4726</v>
      </c>
      <c r="AK312" s="204"/>
      <c r="AL312" s="192">
        <v>1</v>
      </c>
      <c r="AM312" s="227">
        <v>0</v>
      </c>
      <c r="AN312" s="150">
        <v>40</v>
      </c>
      <c r="AO312" s="150">
        <v>20</v>
      </c>
      <c r="AP312" s="150">
        <v>20</v>
      </c>
      <c r="AQ312" s="150" t="s">
        <v>803</v>
      </c>
      <c r="AR312" s="150" t="s">
        <v>803</v>
      </c>
      <c r="AS312" s="150">
        <v>47</v>
      </c>
      <c r="AT312" s="150">
        <v>4</v>
      </c>
      <c r="AU312" s="150">
        <v>47</v>
      </c>
      <c r="AV312" s="150">
        <v>5</v>
      </c>
      <c r="AW312" s="150" t="s">
        <v>4711</v>
      </c>
      <c r="AX312" s="150"/>
      <c r="AY312" s="150"/>
      <c r="AZ312" s="753" t="s">
        <v>1874</v>
      </c>
      <c r="BA312" s="150" t="s">
        <v>24</v>
      </c>
      <c r="BB312" s="150" t="s">
        <v>24</v>
      </c>
      <c r="BC312" s="150" t="s">
        <v>4713</v>
      </c>
      <c r="BD312" s="753" t="s">
        <v>7521</v>
      </c>
      <c r="BE312" s="1624">
        <v>0</v>
      </c>
      <c r="BF312" s="134" t="s">
        <v>5116</v>
      </c>
      <c r="BG312" s="150" t="s">
        <v>4712</v>
      </c>
      <c r="BH312" s="588"/>
      <c r="BI312" s="588"/>
      <c r="BJ312" s="161"/>
      <c r="BK312" s="161"/>
      <c r="BL312" s="161" t="s">
        <v>4727</v>
      </c>
      <c r="BM312" s="161"/>
      <c r="BN312" s="161"/>
      <c r="BO312" s="492" t="s">
        <v>4727</v>
      </c>
      <c r="BP312" s="161">
        <v>1</v>
      </c>
      <c r="BQ312" s="161"/>
      <c r="BR312" s="492" t="s">
        <v>4727</v>
      </c>
      <c r="BS312" s="161"/>
      <c r="BT312" s="492" t="s">
        <v>4727</v>
      </c>
      <c r="BU312" s="161"/>
      <c r="BV312" s="161"/>
      <c r="BW312" s="596" t="s">
        <v>4723</v>
      </c>
      <c r="BX312" s="162" t="s">
        <v>6609</v>
      </c>
      <c r="BY312" s="797" t="s">
        <v>7616</v>
      </c>
      <c r="BZ312" s="789" t="s">
        <v>803</v>
      </c>
      <c r="CA312" s="769">
        <v>2</v>
      </c>
      <c r="CB312" s="765" t="s">
        <v>7556</v>
      </c>
      <c r="CC312" s="810" t="s">
        <v>7380</v>
      </c>
      <c r="CD312" s="150" t="s">
        <v>1876</v>
      </c>
      <c r="CE312" s="150">
        <v>2</v>
      </c>
      <c r="CF312" s="400"/>
      <c r="CG312" s="150" t="s">
        <v>4725</v>
      </c>
      <c r="CH312" s="753" t="s">
        <v>7314</v>
      </c>
      <c r="CI312" s="150" t="s">
        <v>24</v>
      </c>
      <c r="CJ312" s="150"/>
      <c r="CK312" s="150" t="s">
        <v>7866</v>
      </c>
      <c r="CL312" s="753" t="s">
        <v>7335</v>
      </c>
      <c r="CM312" s="258" t="s">
        <v>4750</v>
      </c>
      <c r="CN312" s="257" t="s">
        <v>24</v>
      </c>
      <c r="CO312" s="829">
        <v>36</v>
      </c>
      <c r="CP312" s="829">
        <v>1</v>
      </c>
      <c r="CQ312" s="829">
        <v>10</v>
      </c>
      <c r="CR312" s="829">
        <v>1</v>
      </c>
      <c r="CS312" s="829">
        <v>1</v>
      </c>
      <c r="CT312" s="968"/>
      <c r="CU312" s="1288" t="s">
        <v>8103</v>
      </c>
      <c r="CV312" s="1294">
        <v>16</v>
      </c>
      <c r="CW312" s="1294">
        <v>16</v>
      </c>
      <c r="CX312" s="151" t="s">
        <v>4734</v>
      </c>
      <c r="CY312" s="150">
        <v>1</v>
      </c>
      <c r="CZ312" s="150">
        <v>0.8</v>
      </c>
      <c r="DA312" s="150" t="s">
        <v>24</v>
      </c>
      <c r="DB312" s="151" t="s">
        <v>4735</v>
      </c>
      <c r="DC312" s="150">
        <v>1.9</v>
      </c>
      <c r="DD312" s="150">
        <v>0.3</v>
      </c>
      <c r="DE312" s="150" t="s">
        <v>24</v>
      </c>
      <c r="DF312" s="543" t="s">
        <v>4742</v>
      </c>
      <c r="DG312" s="545" t="s">
        <v>4761</v>
      </c>
      <c r="DH312" s="1178"/>
      <c r="DI312" s="500"/>
      <c r="DJ312" s="1164"/>
      <c r="DK312" s="500"/>
      <c r="DL312" s="1166"/>
      <c r="DM312" s="500"/>
      <c r="DN312" s="1164"/>
      <c r="DO312" s="1150"/>
      <c r="DP312" s="290"/>
      <c r="DQ312" s="388"/>
      <c r="DR312" s="1168"/>
      <c r="DS312" s="865"/>
      <c r="DT312" s="1166"/>
      <c r="DU312" s="500"/>
      <c r="DV312" s="1164"/>
      <c r="DW312" s="500"/>
      <c r="DX312" s="1166"/>
      <c r="DY312" s="1164"/>
      <c r="DZ312" s="1164"/>
      <c r="EA312" s="1164"/>
      <c r="EB312" s="311"/>
      <c r="EC312" s="313"/>
      <c r="ED312" s="1156"/>
      <c r="EE312" s="1162"/>
      <c r="EF312" s="689"/>
      <c r="EG312" s="1162"/>
      <c r="EH312" s="1156"/>
      <c r="EI312" s="1164"/>
      <c r="EJ312" s="1164"/>
      <c r="EK312" s="1164"/>
      <c r="EL312" s="311"/>
      <c r="EM312" s="313"/>
      <c r="EN312" s="1167"/>
      <c r="EO312" s="1165"/>
      <c r="EP312" s="689"/>
      <c r="EQ312" s="1162"/>
      <c r="ER312" s="689"/>
      <c r="ES312" s="1162"/>
      <c r="ET312" s="689"/>
      <c r="EU312" s="1164"/>
      <c r="EV312" s="1164"/>
      <c r="EW312" s="1164"/>
      <c r="EX312" s="313"/>
      <c r="EY312" s="313"/>
      <c r="EZ312" s="1166"/>
      <c r="FA312" s="1164"/>
      <c r="FB312" s="1164"/>
      <c r="FC312" s="1164"/>
      <c r="FD312" s="1166"/>
      <c r="FE312" s="1164"/>
      <c r="FF312" s="1164"/>
      <c r="FG312" s="1164"/>
      <c r="FH312" s="313"/>
      <c r="FI312" s="313"/>
      <c r="FJ312" s="1165"/>
    </row>
    <row r="313" spans="1:166" ht="15" hidden="1" customHeight="1">
      <c r="A313" s="118" t="s">
        <v>197</v>
      </c>
      <c r="B313" s="616">
        <v>143</v>
      </c>
      <c r="C313" s="616">
        <v>42</v>
      </c>
      <c r="D313" s="616"/>
      <c r="E313" s="605" t="s">
        <v>1973</v>
      </c>
      <c r="F313" s="140" t="s">
        <v>2197</v>
      </c>
      <c r="G313" s="141">
        <v>2006</v>
      </c>
      <c r="H313" s="118">
        <v>16139487</v>
      </c>
      <c r="I313" s="118">
        <v>1</v>
      </c>
      <c r="J313" s="118"/>
      <c r="K313" s="118"/>
      <c r="L313" s="118">
        <v>1</v>
      </c>
      <c r="M313" s="118"/>
      <c r="N313" s="118">
        <v>1</v>
      </c>
      <c r="O313" s="142">
        <v>1</v>
      </c>
      <c r="P313" s="118" t="s">
        <v>566</v>
      </c>
      <c r="Q313" s="118" t="s">
        <v>569</v>
      </c>
      <c r="R313" s="118" t="s">
        <v>567</v>
      </c>
      <c r="S313" s="118">
        <v>1</v>
      </c>
      <c r="T313" s="118"/>
      <c r="U313" s="118"/>
      <c r="V313" s="118"/>
      <c r="W313" s="118" t="s">
        <v>568</v>
      </c>
      <c r="X313" s="118" t="s">
        <v>24</v>
      </c>
      <c r="Y313" s="118"/>
      <c r="Z313" s="118"/>
      <c r="AA313" s="118"/>
      <c r="AB313" s="118"/>
      <c r="AC313" s="145"/>
      <c r="AD313" s="573">
        <v>1</v>
      </c>
      <c r="AE313" s="573">
        <v>2</v>
      </c>
      <c r="AF313" s="159">
        <v>1</v>
      </c>
      <c r="AG313" s="160"/>
      <c r="AH313" s="704"/>
      <c r="AI313" s="122">
        <v>2</v>
      </c>
      <c r="AJ313" s="485" t="s">
        <v>4726</v>
      </c>
      <c r="AK313" s="204"/>
      <c r="AL313" s="192">
        <v>1</v>
      </c>
      <c r="AM313" s="227">
        <v>0</v>
      </c>
      <c r="AN313" s="150">
        <v>40</v>
      </c>
      <c r="AO313" s="150">
        <v>20</v>
      </c>
      <c r="AP313" s="150">
        <v>20</v>
      </c>
      <c r="AQ313" s="150" t="s">
        <v>803</v>
      </c>
      <c r="AR313" s="150" t="s">
        <v>803</v>
      </c>
      <c r="AS313" s="150">
        <v>47</v>
      </c>
      <c r="AT313" s="150">
        <v>4</v>
      </c>
      <c r="AU313" s="150">
        <v>47</v>
      </c>
      <c r="AV313" s="150">
        <v>5</v>
      </c>
      <c r="AW313" s="150" t="s">
        <v>4711</v>
      </c>
      <c r="AX313" s="150"/>
      <c r="AY313" s="150"/>
      <c r="AZ313" s="753" t="s">
        <v>1874</v>
      </c>
      <c r="BA313" s="150" t="s">
        <v>24</v>
      </c>
      <c r="BB313" s="150" t="s">
        <v>24</v>
      </c>
      <c r="BC313" s="150" t="s">
        <v>4713</v>
      </c>
      <c r="BD313" s="753" t="s">
        <v>7521</v>
      </c>
      <c r="BE313" s="1624">
        <v>0</v>
      </c>
      <c r="BF313" s="134" t="s">
        <v>5116</v>
      </c>
      <c r="BG313" s="150" t="s">
        <v>4712</v>
      </c>
      <c r="BH313" s="588"/>
      <c r="BI313" s="588"/>
      <c r="BJ313" s="161"/>
      <c r="BK313" s="161"/>
      <c r="BL313" s="161" t="s">
        <v>4727</v>
      </c>
      <c r="BM313" s="161"/>
      <c r="BN313" s="161"/>
      <c r="BO313" s="492" t="s">
        <v>4727</v>
      </c>
      <c r="BP313" s="161">
        <v>1</v>
      </c>
      <c r="BQ313" s="161"/>
      <c r="BR313" s="492" t="s">
        <v>4727</v>
      </c>
      <c r="BS313" s="161"/>
      <c r="BT313" s="492" t="s">
        <v>4727</v>
      </c>
      <c r="BU313" s="161"/>
      <c r="BV313" s="161"/>
      <c r="BW313" s="596" t="s">
        <v>4723</v>
      </c>
      <c r="BX313" s="162" t="s">
        <v>6609</v>
      </c>
      <c r="BY313" s="797" t="s">
        <v>7616</v>
      </c>
      <c r="BZ313" s="789" t="s">
        <v>803</v>
      </c>
      <c r="CA313" s="769">
        <v>2</v>
      </c>
      <c r="CB313" s="765" t="s">
        <v>7556</v>
      </c>
      <c r="CC313" s="810" t="s">
        <v>7380</v>
      </c>
      <c r="CD313" s="150" t="s">
        <v>1876</v>
      </c>
      <c r="CE313" s="150">
        <v>2</v>
      </c>
      <c r="CF313" s="400"/>
      <c r="CG313" s="150" t="s">
        <v>4725</v>
      </c>
      <c r="CH313" s="753" t="s">
        <v>7314</v>
      </c>
      <c r="CI313" s="150" t="s">
        <v>24</v>
      </c>
      <c r="CJ313" s="150"/>
      <c r="CK313" s="150" t="s">
        <v>7867</v>
      </c>
      <c r="CL313" s="753" t="s">
        <v>7335</v>
      </c>
      <c r="CM313" s="258" t="s">
        <v>4750</v>
      </c>
      <c r="CN313" s="257" t="s">
        <v>24</v>
      </c>
      <c r="CO313" s="829">
        <v>36</v>
      </c>
      <c r="CP313" s="829">
        <v>1</v>
      </c>
      <c r="CQ313" s="829">
        <v>11</v>
      </c>
      <c r="CR313" s="829">
        <v>1</v>
      </c>
      <c r="CS313" s="829">
        <v>1</v>
      </c>
      <c r="CT313" s="968"/>
      <c r="CU313" s="1288" t="s">
        <v>8103</v>
      </c>
      <c r="CV313" s="1294">
        <v>16</v>
      </c>
      <c r="CW313" s="1294">
        <v>16</v>
      </c>
      <c r="CX313" s="151" t="s">
        <v>4736</v>
      </c>
      <c r="CY313" s="266">
        <v>1.3</v>
      </c>
      <c r="CZ313" s="150">
        <v>0.7</v>
      </c>
      <c r="DA313" s="266" t="s">
        <v>24</v>
      </c>
      <c r="DB313" s="151" t="s">
        <v>4737</v>
      </c>
      <c r="DC313" s="150">
        <v>1.9</v>
      </c>
      <c r="DD313" s="150">
        <v>0.2</v>
      </c>
      <c r="DE313" s="150" t="s">
        <v>24</v>
      </c>
      <c r="DF313" s="302" t="s">
        <v>4746</v>
      </c>
      <c r="DG313" s="303" t="s">
        <v>4747</v>
      </c>
      <c r="DH313" s="1166"/>
      <c r="DI313" s="1164"/>
      <c r="DJ313" s="1164"/>
      <c r="DK313" s="1164"/>
      <c r="DL313" s="1166"/>
      <c r="DM313" s="1164"/>
      <c r="DN313" s="1164"/>
      <c r="DO313" s="1164"/>
      <c r="DP313" s="290"/>
      <c r="DQ313" s="291"/>
      <c r="DR313" s="1168"/>
      <c r="DS313" s="865"/>
      <c r="DT313" s="1166"/>
      <c r="DU313" s="500"/>
      <c r="DV313" s="1164"/>
      <c r="DW313" s="500"/>
      <c r="DX313" s="1166"/>
      <c r="DY313" s="1164"/>
      <c r="DZ313" s="1164"/>
      <c r="EA313" s="1164"/>
      <c r="EB313" s="311"/>
      <c r="EC313" s="313"/>
      <c r="ED313" s="1156"/>
      <c r="EE313" s="1162"/>
      <c r="EF313" s="689"/>
      <c r="EG313" s="1162"/>
      <c r="EH313" s="1156"/>
      <c r="EI313" s="1164"/>
      <c r="EJ313" s="1164"/>
      <c r="EK313" s="1164"/>
      <c r="EL313" s="311"/>
      <c r="EM313" s="313"/>
      <c r="EN313" s="1167"/>
      <c r="EO313" s="1165"/>
      <c r="EP313" s="689"/>
      <c r="EQ313" s="1162"/>
      <c r="ER313" s="689"/>
      <c r="ES313" s="1162"/>
      <c r="ET313" s="689"/>
      <c r="EU313" s="1164"/>
      <c r="EV313" s="1164"/>
      <c r="EW313" s="1164"/>
      <c r="EX313" s="313"/>
      <c r="EY313" s="313"/>
      <c r="EZ313" s="1166"/>
      <c r="FA313" s="1164"/>
      <c r="FB313" s="1164"/>
      <c r="FC313" s="1164"/>
      <c r="FD313" s="1166"/>
      <c r="FE313" s="1164"/>
      <c r="FF313" s="1164"/>
      <c r="FG313" s="1164"/>
      <c r="FH313" s="313"/>
      <c r="FI313" s="313"/>
      <c r="FJ313" s="1165"/>
    </row>
    <row r="314" spans="1:166" ht="15" hidden="1" customHeight="1">
      <c r="A314" s="118" t="s">
        <v>197</v>
      </c>
      <c r="B314" s="616">
        <v>143</v>
      </c>
      <c r="C314" s="616">
        <v>42</v>
      </c>
      <c r="D314" s="616"/>
      <c r="E314" s="605" t="s">
        <v>1973</v>
      </c>
      <c r="F314" s="140" t="s">
        <v>2197</v>
      </c>
      <c r="G314" s="141">
        <v>2006</v>
      </c>
      <c r="H314" s="118">
        <v>16139487</v>
      </c>
      <c r="I314" s="118">
        <v>1</v>
      </c>
      <c r="J314" s="118"/>
      <c r="K314" s="118"/>
      <c r="L314" s="118">
        <v>1</v>
      </c>
      <c r="M314" s="118"/>
      <c r="N314" s="118">
        <v>1</v>
      </c>
      <c r="O314" s="142">
        <v>1</v>
      </c>
      <c r="P314" s="118" t="s">
        <v>566</v>
      </c>
      <c r="Q314" s="118" t="s">
        <v>569</v>
      </c>
      <c r="R314" s="118" t="s">
        <v>567</v>
      </c>
      <c r="S314" s="118">
        <v>1</v>
      </c>
      <c r="T314" s="118"/>
      <c r="U314" s="118"/>
      <c r="V314" s="118"/>
      <c r="W314" s="118" t="s">
        <v>568</v>
      </c>
      <c r="X314" s="118" t="s">
        <v>24</v>
      </c>
      <c r="Y314" s="118"/>
      <c r="Z314" s="118"/>
      <c r="AA314" s="118"/>
      <c r="AB314" s="118"/>
      <c r="AC314" s="145"/>
      <c r="AD314" s="573">
        <v>1</v>
      </c>
      <c r="AE314" s="573">
        <v>2</v>
      </c>
      <c r="AF314" s="159">
        <v>1</v>
      </c>
      <c r="AG314" s="160"/>
      <c r="AH314" s="704"/>
      <c r="AI314" s="122">
        <v>2</v>
      </c>
      <c r="AJ314" s="485" t="s">
        <v>4726</v>
      </c>
      <c r="AK314" s="204"/>
      <c r="AL314" s="192">
        <v>1</v>
      </c>
      <c r="AM314" s="227">
        <v>0</v>
      </c>
      <c r="AN314" s="150">
        <v>40</v>
      </c>
      <c r="AO314" s="150">
        <v>20</v>
      </c>
      <c r="AP314" s="150">
        <v>20</v>
      </c>
      <c r="AQ314" s="150" t="s">
        <v>803</v>
      </c>
      <c r="AR314" s="150" t="s">
        <v>803</v>
      </c>
      <c r="AS314" s="150">
        <v>47</v>
      </c>
      <c r="AT314" s="150">
        <v>4</v>
      </c>
      <c r="AU314" s="150">
        <v>47</v>
      </c>
      <c r="AV314" s="150">
        <v>5</v>
      </c>
      <c r="AW314" s="150" t="s">
        <v>4711</v>
      </c>
      <c r="AX314" s="150"/>
      <c r="AY314" s="150"/>
      <c r="AZ314" s="753" t="s">
        <v>1874</v>
      </c>
      <c r="BA314" s="150" t="s">
        <v>24</v>
      </c>
      <c r="BB314" s="150" t="s">
        <v>24</v>
      </c>
      <c r="BC314" s="150" t="s">
        <v>4713</v>
      </c>
      <c r="BD314" s="753" t="s">
        <v>7521</v>
      </c>
      <c r="BE314" s="1624">
        <v>0</v>
      </c>
      <c r="BF314" s="134" t="s">
        <v>5116</v>
      </c>
      <c r="BG314" s="150" t="s">
        <v>4712</v>
      </c>
      <c r="BH314" s="588"/>
      <c r="BI314" s="588"/>
      <c r="BJ314" s="161"/>
      <c r="BK314" s="161"/>
      <c r="BL314" s="161" t="s">
        <v>4727</v>
      </c>
      <c r="BM314" s="161"/>
      <c r="BN314" s="161"/>
      <c r="BO314" s="492" t="s">
        <v>4727</v>
      </c>
      <c r="BP314" s="161">
        <v>1</v>
      </c>
      <c r="BQ314" s="161"/>
      <c r="BR314" s="492" t="s">
        <v>4727</v>
      </c>
      <c r="BS314" s="161"/>
      <c r="BT314" s="492" t="s">
        <v>4727</v>
      </c>
      <c r="BU314" s="161"/>
      <c r="BV314" s="161"/>
      <c r="BW314" s="596" t="s">
        <v>4723</v>
      </c>
      <c r="BX314" s="162" t="s">
        <v>6609</v>
      </c>
      <c r="BY314" s="797" t="s">
        <v>7616</v>
      </c>
      <c r="BZ314" s="789" t="s">
        <v>803</v>
      </c>
      <c r="CA314" s="769">
        <v>2</v>
      </c>
      <c r="CB314" s="765" t="s">
        <v>7556</v>
      </c>
      <c r="CC314" s="810" t="s">
        <v>7380</v>
      </c>
      <c r="CD314" s="150" t="s">
        <v>1876</v>
      </c>
      <c r="CE314" s="150">
        <v>2</v>
      </c>
      <c r="CF314" s="400"/>
      <c r="CG314" s="150" t="s">
        <v>4725</v>
      </c>
      <c r="CH314" s="753" t="s">
        <v>7314</v>
      </c>
      <c r="CI314" s="150" t="s">
        <v>24</v>
      </c>
      <c r="CJ314" s="150"/>
      <c r="CK314" s="150" t="s">
        <v>7868</v>
      </c>
      <c r="CL314" s="753" t="s">
        <v>7335</v>
      </c>
      <c r="CM314" s="258" t="s">
        <v>4750</v>
      </c>
      <c r="CN314" s="257" t="s">
        <v>24</v>
      </c>
      <c r="CO314" s="829">
        <v>36</v>
      </c>
      <c r="CP314" s="829">
        <v>1</v>
      </c>
      <c r="CQ314" s="829">
        <v>12</v>
      </c>
      <c r="CR314" s="829">
        <v>1</v>
      </c>
      <c r="CS314" s="829">
        <v>1</v>
      </c>
      <c r="CT314" s="968"/>
      <c r="CU314" s="1288" t="s">
        <v>8103</v>
      </c>
      <c r="CV314" s="1294">
        <v>16</v>
      </c>
      <c r="CW314" s="1294">
        <v>16</v>
      </c>
      <c r="CX314" s="425" t="s">
        <v>4738</v>
      </c>
      <c r="CY314" s="805">
        <v>1.6</v>
      </c>
      <c r="CZ314" s="425">
        <v>0.8</v>
      </c>
      <c r="DA314" s="805" t="s">
        <v>24</v>
      </c>
      <c r="DB314" s="425" t="s">
        <v>4739</v>
      </c>
      <c r="DC314" s="150">
        <v>1.9</v>
      </c>
      <c r="DD314" s="150">
        <v>0.2</v>
      </c>
      <c r="DE314" s="150" t="s">
        <v>24</v>
      </c>
      <c r="DF314" s="303" t="s">
        <v>4742</v>
      </c>
      <c r="DG314" s="303" t="s">
        <v>4748</v>
      </c>
      <c r="DH314" s="1166"/>
      <c r="DI314" s="1164"/>
      <c r="DJ314" s="1164"/>
      <c r="DK314" s="1164"/>
      <c r="DL314" s="1166"/>
      <c r="DM314" s="1164"/>
      <c r="DN314" s="1164"/>
      <c r="DO314" s="1164"/>
      <c r="DP314" s="290"/>
      <c r="DQ314" s="291"/>
      <c r="DR314" s="1168"/>
      <c r="DS314" s="865"/>
      <c r="DT314" s="1166"/>
      <c r="DU314" s="500"/>
      <c r="DV314" s="1164"/>
      <c r="DW314" s="500"/>
      <c r="DX314" s="1166"/>
      <c r="DY314" s="1164"/>
      <c r="DZ314" s="1164"/>
      <c r="EA314" s="1164"/>
      <c r="EB314" s="311"/>
      <c r="EC314" s="313"/>
      <c r="ED314" s="1156"/>
      <c r="EE314" s="1162"/>
      <c r="EF314" s="689"/>
      <c r="EG314" s="1162"/>
      <c r="EH314" s="1156"/>
      <c r="EI314" s="1164"/>
      <c r="EJ314" s="1164"/>
      <c r="EK314" s="1164"/>
      <c r="EL314" s="311"/>
      <c r="EM314" s="313"/>
      <c r="EN314" s="1167"/>
      <c r="EO314" s="1165"/>
      <c r="EP314" s="689"/>
      <c r="EQ314" s="1162"/>
      <c r="ER314" s="689"/>
      <c r="ES314" s="1162"/>
      <c r="ET314" s="689"/>
      <c r="EU314" s="1164"/>
      <c r="EV314" s="1164"/>
      <c r="EW314" s="1164"/>
      <c r="EX314" s="313"/>
      <c r="EY314" s="313"/>
      <c r="EZ314" s="1166"/>
      <c r="FA314" s="1164"/>
      <c r="FB314" s="1164"/>
      <c r="FC314" s="1164"/>
      <c r="FD314" s="1166"/>
      <c r="FE314" s="1164"/>
      <c r="FF314" s="1164"/>
      <c r="FG314" s="1164"/>
      <c r="FH314" s="313"/>
      <c r="FI314" s="313"/>
      <c r="FJ314" s="1165"/>
    </row>
    <row r="315" spans="1:166" ht="15" hidden="1" customHeight="1">
      <c r="A315" s="118" t="s">
        <v>197</v>
      </c>
      <c r="B315" s="616">
        <v>143</v>
      </c>
      <c r="C315" s="616">
        <v>42</v>
      </c>
      <c r="D315" s="616"/>
      <c r="E315" s="605" t="s">
        <v>1973</v>
      </c>
      <c r="F315" s="140" t="s">
        <v>2197</v>
      </c>
      <c r="G315" s="141">
        <v>2006</v>
      </c>
      <c r="H315" s="118">
        <v>16139487</v>
      </c>
      <c r="I315" s="118">
        <v>1</v>
      </c>
      <c r="J315" s="118"/>
      <c r="K315" s="118"/>
      <c r="L315" s="118">
        <v>1</v>
      </c>
      <c r="M315" s="118"/>
      <c r="N315" s="118">
        <v>1</v>
      </c>
      <c r="O315" s="142">
        <v>1</v>
      </c>
      <c r="P315" s="118" t="s">
        <v>566</v>
      </c>
      <c r="Q315" s="118" t="s">
        <v>569</v>
      </c>
      <c r="R315" s="118" t="s">
        <v>567</v>
      </c>
      <c r="S315" s="118">
        <v>1</v>
      </c>
      <c r="T315" s="118"/>
      <c r="U315" s="118"/>
      <c r="V315" s="118"/>
      <c r="W315" s="118" t="s">
        <v>568</v>
      </c>
      <c r="X315" s="118" t="s">
        <v>24</v>
      </c>
      <c r="Y315" s="118"/>
      <c r="Z315" s="118"/>
      <c r="AA315" s="118"/>
      <c r="AB315" s="118"/>
      <c r="AC315" s="145"/>
      <c r="AD315" s="573">
        <v>1</v>
      </c>
      <c r="AE315" s="573">
        <v>2</v>
      </c>
      <c r="AF315" s="159">
        <v>1</v>
      </c>
      <c r="AG315" s="160"/>
      <c r="AH315" s="704"/>
      <c r="AI315" s="122">
        <v>2</v>
      </c>
      <c r="AJ315" s="485" t="s">
        <v>4726</v>
      </c>
      <c r="AK315" s="204"/>
      <c r="AL315" s="192">
        <v>1</v>
      </c>
      <c r="AM315" s="227">
        <v>0</v>
      </c>
      <c r="AN315" s="150">
        <v>40</v>
      </c>
      <c r="AO315" s="150">
        <v>20</v>
      </c>
      <c r="AP315" s="150">
        <v>20</v>
      </c>
      <c r="AQ315" s="150" t="s">
        <v>803</v>
      </c>
      <c r="AR315" s="150" t="s">
        <v>803</v>
      </c>
      <c r="AS315" s="150">
        <v>47</v>
      </c>
      <c r="AT315" s="150">
        <v>4</v>
      </c>
      <c r="AU315" s="150">
        <v>47</v>
      </c>
      <c r="AV315" s="150">
        <v>5</v>
      </c>
      <c r="AW315" s="150" t="s">
        <v>4711</v>
      </c>
      <c r="AX315" s="150"/>
      <c r="AY315" s="150"/>
      <c r="AZ315" s="753" t="s">
        <v>1874</v>
      </c>
      <c r="BA315" s="150" t="s">
        <v>24</v>
      </c>
      <c r="BB315" s="150" t="s">
        <v>24</v>
      </c>
      <c r="BC315" s="150" t="s">
        <v>4713</v>
      </c>
      <c r="BD315" s="753" t="s">
        <v>7521</v>
      </c>
      <c r="BE315" s="1624">
        <v>0</v>
      </c>
      <c r="BF315" s="134" t="s">
        <v>5116</v>
      </c>
      <c r="BG315" s="150" t="s">
        <v>4712</v>
      </c>
      <c r="BH315" s="588"/>
      <c r="BI315" s="588"/>
      <c r="BJ315" s="161"/>
      <c r="BK315" s="161"/>
      <c r="BL315" s="161" t="s">
        <v>4727</v>
      </c>
      <c r="BM315" s="161"/>
      <c r="BN315" s="161"/>
      <c r="BO315" s="492" t="s">
        <v>4727</v>
      </c>
      <c r="BP315" s="161">
        <v>1</v>
      </c>
      <c r="BQ315" s="161"/>
      <c r="BR315" s="492" t="s">
        <v>4727</v>
      </c>
      <c r="BS315" s="161"/>
      <c r="BT315" s="492" t="s">
        <v>4727</v>
      </c>
      <c r="BU315" s="161"/>
      <c r="BV315" s="161"/>
      <c r="BW315" s="596" t="s">
        <v>4723</v>
      </c>
      <c r="BX315" s="162" t="s">
        <v>6609</v>
      </c>
      <c r="BY315" s="797" t="s">
        <v>7616</v>
      </c>
      <c r="BZ315" s="789" t="s">
        <v>803</v>
      </c>
      <c r="CA315" s="769">
        <v>2</v>
      </c>
      <c r="CB315" s="765" t="s">
        <v>7556</v>
      </c>
      <c r="CC315" s="810" t="s">
        <v>7380</v>
      </c>
      <c r="CD315" s="150" t="s">
        <v>1876</v>
      </c>
      <c r="CE315" s="150">
        <v>2</v>
      </c>
      <c r="CF315" s="400"/>
      <c r="CG315" s="150" t="s">
        <v>4725</v>
      </c>
      <c r="CH315" s="753" t="s">
        <v>7314</v>
      </c>
      <c r="CI315" s="150" t="s">
        <v>24</v>
      </c>
      <c r="CJ315" s="150"/>
      <c r="CK315" s="150" t="s">
        <v>7869</v>
      </c>
      <c r="CL315" s="753" t="s">
        <v>7335</v>
      </c>
      <c r="CM315" s="258" t="s">
        <v>4750</v>
      </c>
      <c r="CN315" s="257" t="s">
        <v>24</v>
      </c>
      <c r="CO315" s="829">
        <v>36</v>
      </c>
      <c r="CP315" s="829">
        <v>1</v>
      </c>
      <c r="CQ315" s="829">
        <v>13</v>
      </c>
      <c r="CR315" s="829">
        <v>1</v>
      </c>
      <c r="CS315" s="829">
        <v>1</v>
      </c>
      <c r="CT315" s="968"/>
      <c r="CU315" s="1288" t="s">
        <v>8103</v>
      </c>
      <c r="CV315" s="1294">
        <v>16</v>
      </c>
      <c r="CW315" s="1294">
        <v>16</v>
      </c>
      <c r="CX315" s="428" t="s">
        <v>4740</v>
      </c>
      <c r="CY315" s="805">
        <v>1.4</v>
      </c>
      <c r="CZ315" s="425">
        <v>0.8</v>
      </c>
      <c r="DA315" s="805" t="s">
        <v>24</v>
      </c>
      <c r="DB315" s="428" t="s">
        <v>4741</v>
      </c>
      <c r="DC315" s="150">
        <v>1.9</v>
      </c>
      <c r="DD315" s="150">
        <v>0.5</v>
      </c>
      <c r="DE315" s="150" t="s">
        <v>24</v>
      </c>
      <c r="DF315" s="303" t="s">
        <v>4742</v>
      </c>
      <c r="DG315" s="303" t="s">
        <v>4749</v>
      </c>
      <c r="DH315" s="1166"/>
      <c r="DI315" s="1164"/>
      <c r="DJ315" s="1164"/>
      <c r="DK315" s="1164"/>
      <c r="DL315" s="1166"/>
      <c r="DM315" s="1164"/>
      <c r="DN315" s="1164"/>
      <c r="DO315" s="1164"/>
      <c r="DP315" s="290"/>
      <c r="DQ315" s="291"/>
      <c r="DR315" s="1168"/>
      <c r="DS315" s="865"/>
      <c r="DT315" s="1166"/>
      <c r="DU315" s="500"/>
      <c r="DV315" s="1164"/>
      <c r="DW315" s="500"/>
      <c r="DX315" s="1166"/>
      <c r="DY315" s="1164"/>
      <c r="DZ315" s="1164"/>
      <c r="EA315" s="1164"/>
      <c r="EB315" s="311"/>
      <c r="EC315" s="313"/>
      <c r="ED315" s="1156"/>
      <c r="EE315" s="1162"/>
      <c r="EF315" s="689"/>
      <c r="EG315" s="1162"/>
      <c r="EH315" s="1156"/>
      <c r="EI315" s="1164"/>
      <c r="EJ315" s="1164"/>
      <c r="EK315" s="1164"/>
      <c r="EL315" s="311"/>
      <c r="EM315" s="313"/>
      <c r="EN315" s="1167"/>
      <c r="EO315" s="1165"/>
      <c r="EP315" s="689"/>
      <c r="EQ315" s="1162"/>
      <c r="ER315" s="689"/>
      <c r="ES315" s="1162"/>
      <c r="ET315" s="689"/>
      <c r="EU315" s="1164"/>
      <c r="EV315" s="1164"/>
      <c r="EW315" s="1164"/>
      <c r="EX315" s="313"/>
      <c r="EY315" s="313"/>
      <c r="EZ315" s="1166"/>
      <c r="FA315" s="1164"/>
      <c r="FB315" s="1164"/>
      <c r="FC315" s="1164"/>
      <c r="FD315" s="1166"/>
      <c r="FE315" s="1164"/>
      <c r="FF315" s="1164"/>
      <c r="FG315" s="1164"/>
      <c r="FH315" s="313"/>
      <c r="FI315" s="313"/>
      <c r="FJ315" s="1165"/>
    </row>
    <row r="316" spans="1:166" ht="15" hidden="1" customHeight="1">
      <c r="A316" s="153" t="s">
        <v>198</v>
      </c>
      <c r="B316" s="618">
        <v>144</v>
      </c>
      <c r="C316" s="618">
        <v>43</v>
      </c>
      <c r="D316" s="618"/>
      <c r="E316" s="610" t="s">
        <v>1974</v>
      </c>
      <c r="F316" s="368" t="s">
        <v>2198</v>
      </c>
      <c r="G316" s="369">
        <v>2014</v>
      </c>
      <c r="H316" s="153">
        <v>25470729</v>
      </c>
      <c r="I316" s="153">
        <v>1</v>
      </c>
      <c r="J316" s="370"/>
      <c r="K316" s="371"/>
      <c r="L316" s="153">
        <v>1</v>
      </c>
      <c r="M316" s="153"/>
      <c r="N316" s="153">
        <v>1</v>
      </c>
      <c r="O316" s="153">
        <v>1</v>
      </c>
      <c r="P316" s="153" t="s">
        <v>570</v>
      </c>
      <c r="Q316" s="153" t="s">
        <v>1147</v>
      </c>
      <c r="R316" s="153" t="s">
        <v>25</v>
      </c>
      <c r="S316" s="153">
        <v>1</v>
      </c>
      <c r="T316" s="153"/>
      <c r="U316" s="153"/>
      <c r="V316" s="153"/>
      <c r="W316" s="153"/>
      <c r="X316" s="153"/>
      <c r="Y316" s="153"/>
      <c r="Z316" s="153"/>
      <c r="AA316" s="153"/>
      <c r="AB316" s="153"/>
      <c r="AC316" s="536"/>
      <c r="AD316" s="536">
        <v>1</v>
      </c>
      <c r="AE316" s="536">
        <v>2</v>
      </c>
      <c r="AF316" s="165">
        <v>0</v>
      </c>
      <c r="AG316" s="166" t="s">
        <v>7284</v>
      </c>
      <c r="AH316" s="509">
        <v>0</v>
      </c>
      <c r="AI316" s="120">
        <v>2</v>
      </c>
      <c r="AJ316" s="120"/>
      <c r="AK316" s="206" t="s">
        <v>4772</v>
      </c>
      <c r="AL316" s="372"/>
      <c r="AM316" s="207"/>
      <c r="AN316" s="120"/>
      <c r="AO316" s="120"/>
      <c r="AP316" s="120"/>
      <c r="AQ316" s="120"/>
      <c r="AR316" s="120"/>
      <c r="AS316" s="120"/>
      <c r="AT316" s="120"/>
      <c r="AU316" s="120"/>
      <c r="AV316" s="120"/>
      <c r="AW316" s="120"/>
      <c r="AX316" s="120"/>
      <c r="AY316" s="120"/>
      <c r="AZ316" s="755"/>
      <c r="BA316" s="120"/>
      <c r="BB316" s="120"/>
      <c r="BC316" s="120"/>
      <c r="BD316" s="755"/>
      <c r="BE316" s="755"/>
      <c r="BF316" s="120"/>
      <c r="BG316" s="120"/>
      <c r="BH316" s="377"/>
      <c r="BI316" s="377"/>
      <c r="BJ316" s="373"/>
      <c r="BK316" s="373"/>
      <c r="BL316" s="373"/>
      <c r="BM316" s="373"/>
      <c r="BN316" s="373"/>
      <c r="BO316" s="373"/>
      <c r="BP316" s="373">
        <v>1</v>
      </c>
      <c r="BQ316" s="373"/>
      <c r="BR316" s="373"/>
      <c r="BS316" s="373"/>
      <c r="BT316" s="373"/>
      <c r="BU316" s="373"/>
      <c r="BV316" s="373"/>
      <c r="BW316" s="599"/>
      <c r="BX316" s="374"/>
      <c r="BY316" s="374"/>
      <c r="BZ316" s="374"/>
      <c r="CA316" s="511"/>
      <c r="CB316" s="511"/>
      <c r="CC316" s="781"/>
      <c r="CD316" s="120"/>
      <c r="CE316" s="120"/>
      <c r="CF316" s="120"/>
      <c r="CG316" s="120"/>
      <c r="CH316" s="755"/>
      <c r="CI316" s="120"/>
      <c r="CJ316" s="120"/>
      <c r="CK316" s="120"/>
      <c r="CL316" s="120"/>
      <c r="CM316" s="375" t="s">
        <v>24</v>
      </c>
      <c r="CN316" s="380"/>
      <c r="CO316" s="380"/>
      <c r="CP316" s="380"/>
      <c r="CQ316" s="380"/>
      <c r="CR316" s="380"/>
      <c r="CS316" s="380"/>
      <c r="CT316" s="380"/>
      <c r="CU316" s="380"/>
      <c r="CV316" s="380"/>
      <c r="CW316" s="380"/>
      <c r="CX316" s="376"/>
      <c r="CY316" s="120"/>
      <c r="CZ316" s="120"/>
      <c r="DA316" s="120"/>
      <c r="DB316" s="376"/>
      <c r="DC316" s="120"/>
      <c r="DD316" s="120"/>
      <c r="DE316" s="120"/>
      <c r="DF316" s="621"/>
      <c r="DG316" s="509"/>
      <c r="DH316" s="727"/>
      <c r="DI316" s="120"/>
      <c r="DJ316" s="384"/>
      <c r="DK316" s="120"/>
      <c r="DL316" s="727"/>
      <c r="DM316" s="384"/>
      <c r="DN316" s="384"/>
      <c r="DO316" s="384"/>
      <c r="DP316" s="375"/>
      <c r="DQ316" s="377"/>
      <c r="DR316" s="1182"/>
      <c r="DS316" s="956"/>
      <c r="DT316" s="727"/>
      <c r="DU316" s="683"/>
      <c r="DV316" s="384"/>
      <c r="DW316" s="683"/>
      <c r="DX316" s="384"/>
      <c r="DY316" s="384"/>
      <c r="DZ316" s="384"/>
      <c r="EA316" s="384"/>
      <c r="EB316" s="1012"/>
      <c r="EC316" s="384"/>
      <c r="ED316" s="633"/>
      <c r="EE316" s="814"/>
      <c r="EF316" s="633"/>
      <c r="EG316" s="814"/>
      <c r="EH316" s="633"/>
      <c r="EI316" s="384"/>
      <c r="EJ316" s="384"/>
      <c r="EK316" s="384"/>
      <c r="EL316" s="1012"/>
      <c r="EM316" s="384"/>
      <c r="EN316" s="1012"/>
      <c r="EO316" s="384"/>
      <c r="EP316" s="633"/>
      <c r="EQ316" s="814"/>
      <c r="ER316" s="633"/>
      <c r="ES316" s="814"/>
      <c r="ET316" s="709"/>
      <c r="EU316" s="384"/>
      <c r="EV316" s="384"/>
      <c r="EW316" s="384"/>
      <c r="EX316" s="384"/>
      <c r="EY316" s="384"/>
      <c r="EZ316" s="727"/>
      <c r="FA316" s="384"/>
      <c r="FB316" s="384"/>
      <c r="FC316" s="384"/>
      <c r="FD316" s="727"/>
      <c r="FE316" s="384"/>
      <c r="FF316" s="384"/>
      <c r="FG316" s="384"/>
      <c r="FH316" s="384"/>
      <c r="FI316" s="384"/>
      <c r="FJ316" s="384"/>
    </row>
    <row r="317" spans="1:166" ht="15" hidden="1" customHeight="1">
      <c r="A317" s="118" t="s">
        <v>1110</v>
      </c>
      <c r="B317" s="767">
        <v>5</v>
      </c>
      <c r="C317" s="767"/>
      <c r="D317" s="767"/>
      <c r="E317" s="605" t="s">
        <v>2053</v>
      </c>
      <c r="F317" s="140" t="s">
        <v>2296</v>
      </c>
      <c r="G317" s="141">
        <v>2014</v>
      </c>
      <c r="H317" s="118">
        <v>24808840</v>
      </c>
      <c r="I317" s="118">
        <v>1</v>
      </c>
      <c r="J317" s="118">
        <v>1</v>
      </c>
      <c r="K317" s="118"/>
      <c r="L317" s="118">
        <v>1</v>
      </c>
      <c r="M317" s="118"/>
      <c r="N317" s="158">
        <v>1</v>
      </c>
      <c r="O317" s="142">
        <v>2</v>
      </c>
      <c r="P317" s="127" t="s">
        <v>1220</v>
      </c>
      <c r="Q317" s="127" t="s">
        <v>1169</v>
      </c>
      <c r="R317" s="127" t="s">
        <v>1127</v>
      </c>
      <c r="S317" s="127"/>
      <c r="T317" s="127" t="s">
        <v>1544</v>
      </c>
      <c r="U317" s="127" t="s">
        <v>803</v>
      </c>
      <c r="V317" s="127"/>
      <c r="W317" s="127" t="s">
        <v>1140</v>
      </c>
      <c r="X317" s="127" t="s">
        <v>24</v>
      </c>
      <c r="Y317" s="127"/>
      <c r="Z317" s="127"/>
      <c r="AA317" s="127"/>
      <c r="AB317" s="127" t="s">
        <v>1141</v>
      </c>
      <c r="AC317" s="145"/>
      <c r="AD317" s="653">
        <v>1</v>
      </c>
      <c r="AE317" s="653">
        <v>2</v>
      </c>
      <c r="AF317" s="352">
        <v>1</v>
      </c>
      <c r="AG317" s="160" t="s">
        <v>24</v>
      </c>
      <c r="AH317" s="732">
        <v>0</v>
      </c>
      <c r="AI317" s="122">
        <v>4</v>
      </c>
      <c r="AJ317" s="485"/>
      <c r="AK317" s="204" t="s">
        <v>7420</v>
      </c>
      <c r="AL317" s="192">
        <v>2</v>
      </c>
      <c r="AM317" s="227">
        <v>0</v>
      </c>
      <c r="AN317" s="150">
        <f>Table66[[#This Row],[Data_Subjects_n_ptsd]]+Table66[[#This Row],[Data_Subjects_n_control]]</f>
        <v>20</v>
      </c>
      <c r="AO317" s="150">
        <v>10</v>
      </c>
      <c r="AP317" s="150">
        <v>10</v>
      </c>
      <c r="AQ317" s="150" t="s">
        <v>803</v>
      </c>
      <c r="AR317" s="150" t="s">
        <v>803</v>
      </c>
      <c r="AS317" s="150" t="s">
        <v>2494</v>
      </c>
      <c r="AT317" s="150" t="s">
        <v>24</v>
      </c>
      <c r="AU317" s="150" t="s">
        <v>2494</v>
      </c>
      <c r="AV317" s="150" t="s">
        <v>24</v>
      </c>
      <c r="AW317" s="150" t="s">
        <v>7399</v>
      </c>
      <c r="AX317" s="150">
        <v>5</v>
      </c>
      <c r="AY317" s="150">
        <v>0.8</v>
      </c>
      <c r="AZ317" s="150" t="s">
        <v>1814</v>
      </c>
      <c r="BA317" s="150">
        <v>1</v>
      </c>
      <c r="BB317" s="150">
        <v>1</v>
      </c>
      <c r="BC317" s="150" t="s">
        <v>7400</v>
      </c>
      <c r="BD317" s="753" t="s">
        <v>7523</v>
      </c>
      <c r="BE317" s="753"/>
      <c r="BF317" s="150" t="s">
        <v>1130</v>
      </c>
      <c r="BG317" s="150" t="s">
        <v>2554</v>
      </c>
      <c r="BH317" s="588"/>
      <c r="BI317" s="588"/>
      <c r="BJ317" s="161">
        <v>1</v>
      </c>
      <c r="BK317" s="161"/>
      <c r="BL317" s="161"/>
      <c r="BM317" s="161"/>
      <c r="BN317" s="161"/>
      <c r="BO317" s="161"/>
      <c r="BP317" s="161"/>
      <c r="BQ317" s="161"/>
      <c r="BR317" s="161"/>
      <c r="BS317" s="161"/>
      <c r="BT317" s="161"/>
      <c r="BU317" s="161"/>
      <c r="BV317" s="161"/>
      <c r="BW317" s="596" t="s">
        <v>7418</v>
      </c>
      <c r="BX317" s="162" t="s">
        <v>6657</v>
      </c>
      <c r="BY317" s="797" t="s">
        <v>7613</v>
      </c>
      <c r="BZ317" s="790" t="s">
        <v>803</v>
      </c>
      <c r="CA317" s="766">
        <v>1</v>
      </c>
      <c r="CB317" s="765" t="s">
        <v>7556</v>
      </c>
      <c r="CC317" s="766" t="s">
        <v>7384</v>
      </c>
      <c r="CD317" s="150" t="s">
        <v>1876</v>
      </c>
      <c r="CE317" s="150">
        <v>2</v>
      </c>
      <c r="CF317" s="400" t="s">
        <v>7582</v>
      </c>
      <c r="CG317" s="150" t="s">
        <v>7413</v>
      </c>
      <c r="CH317" s="150" t="s">
        <v>7310</v>
      </c>
      <c r="CI317" s="150" t="s">
        <v>2471</v>
      </c>
      <c r="CJ317" s="150">
        <v>0</v>
      </c>
      <c r="CK317" s="150" t="s">
        <v>2659</v>
      </c>
      <c r="CL317" s="150" t="s">
        <v>8296</v>
      </c>
      <c r="CM317" s="258" t="s">
        <v>2597</v>
      </c>
      <c r="CN317" s="257" t="s">
        <v>6627</v>
      </c>
      <c r="CO317" s="829">
        <v>3</v>
      </c>
      <c r="CP317" s="829">
        <v>7</v>
      </c>
      <c r="CQ317" s="829">
        <v>1</v>
      </c>
      <c r="CR317" s="829">
        <v>0</v>
      </c>
      <c r="CS317" s="829">
        <v>1</v>
      </c>
      <c r="CT317" s="968"/>
      <c r="CU317" s="1289" t="s">
        <v>8104</v>
      </c>
      <c r="CV317" s="1295">
        <v>48</v>
      </c>
      <c r="CW317" s="1295">
        <v>42</v>
      </c>
      <c r="CX317" s="151" t="s">
        <v>2574</v>
      </c>
      <c r="CY317" s="150">
        <v>25</v>
      </c>
      <c r="CZ317" s="150" t="s">
        <v>24</v>
      </c>
      <c r="DA317" s="150">
        <f>27.4725-Table66[[#This Row],[Data_Outcome1_M]]</f>
        <v>2.4725000000000001</v>
      </c>
      <c r="DB317" s="151" t="s">
        <v>2575</v>
      </c>
      <c r="DC317" s="150">
        <v>6.5934100000000004</v>
      </c>
      <c r="DD317" s="150" t="s">
        <v>24</v>
      </c>
      <c r="DE317" s="150">
        <f>10.4396-Table66[[#This Row],[Data_Outcome2_M]]</f>
        <v>3.84619</v>
      </c>
      <c r="DF317" s="642" t="s">
        <v>2592</v>
      </c>
      <c r="DG317" s="821" t="s">
        <v>2593</v>
      </c>
      <c r="DH317" s="1166"/>
      <c r="DI317" s="1164"/>
      <c r="DJ317" s="1164"/>
      <c r="DK317" s="1164"/>
      <c r="DL317" s="1166"/>
      <c r="DM317" s="1164"/>
      <c r="DN317" s="1164"/>
      <c r="DO317" s="1164"/>
      <c r="DP317" s="290"/>
      <c r="DQ317" s="291"/>
      <c r="DR317" s="280"/>
      <c r="DS317" s="310"/>
      <c r="DT317" s="1166"/>
      <c r="DU317" s="1164"/>
      <c r="DV317" s="1164"/>
      <c r="DW317" s="1164"/>
      <c r="DX317" s="1166"/>
      <c r="DY317" s="1164"/>
      <c r="DZ317" s="1164"/>
      <c r="EA317" s="1164"/>
      <c r="EB317" s="311"/>
      <c r="EC317" s="313"/>
      <c r="ED317" s="1164"/>
      <c r="EE317" s="122"/>
      <c r="EF317" s="122"/>
      <c r="EG317" s="122"/>
      <c r="EH317" s="1164"/>
      <c r="EI317" s="122"/>
      <c r="EJ317" s="1164"/>
      <c r="EK317" s="122"/>
      <c r="EL317" s="311"/>
      <c r="EM317" s="313"/>
      <c r="EN317" s="1167"/>
      <c r="EO317" s="1165"/>
      <c r="EP317" s="1166"/>
      <c r="EQ317" s="1164"/>
      <c r="ER317" s="1164"/>
      <c r="ES317" s="1164"/>
      <c r="ET317" s="1166"/>
      <c r="EU317" s="122"/>
      <c r="EV317" s="122"/>
      <c r="EW317" s="122"/>
      <c r="EX317" s="313"/>
      <c r="EY317" s="313"/>
      <c r="EZ317" s="1166"/>
      <c r="FA317" s="1164"/>
      <c r="FB317" s="1164"/>
      <c r="FC317" s="1164"/>
      <c r="FD317" s="1166"/>
      <c r="FE317" s="1164"/>
      <c r="FF317" s="1164"/>
      <c r="FG317" s="1164"/>
      <c r="FH317" s="313"/>
      <c r="FI317" s="313"/>
      <c r="FJ317" s="1165"/>
    </row>
    <row r="318" spans="1:166" ht="15" hidden="1" customHeight="1">
      <c r="A318" s="153" t="s">
        <v>200</v>
      </c>
      <c r="B318" s="618">
        <v>146</v>
      </c>
      <c r="C318" s="618">
        <v>44</v>
      </c>
      <c r="D318" s="618"/>
      <c r="E318" s="610" t="s">
        <v>1975</v>
      </c>
      <c r="F318" s="368" t="s">
        <v>2199</v>
      </c>
      <c r="G318" s="369">
        <v>2012</v>
      </c>
      <c r="H318" s="153">
        <v>21443892</v>
      </c>
      <c r="I318" s="153">
        <v>1</v>
      </c>
      <c r="J318" s="370"/>
      <c r="K318" s="371"/>
      <c r="L318" s="153">
        <v>1</v>
      </c>
      <c r="M318" s="153"/>
      <c r="N318" s="153">
        <v>1</v>
      </c>
      <c r="O318" s="153">
        <v>1</v>
      </c>
      <c r="P318" s="153" t="s">
        <v>574</v>
      </c>
      <c r="Q318" s="153" t="s">
        <v>1147</v>
      </c>
      <c r="R318" s="153" t="s">
        <v>575</v>
      </c>
      <c r="S318" s="153">
        <v>0</v>
      </c>
      <c r="T318" s="153"/>
      <c r="U318" s="153"/>
      <c r="V318" s="153"/>
      <c r="W318" s="153" t="s">
        <v>23</v>
      </c>
      <c r="X318" s="153" t="s">
        <v>573</v>
      </c>
      <c r="Y318" s="153"/>
      <c r="Z318" s="153"/>
      <c r="AA318" s="153"/>
      <c r="AB318" s="153" t="s">
        <v>576</v>
      </c>
      <c r="AC318" s="536"/>
      <c r="AD318" s="536">
        <v>1</v>
      </c>
      <c r="AE318" s="536">
        <v>2</v>
      </c>
      <c r="AF318" s="165">
        <v>0</v>
      </c>
      <c r="AG318" s="166" t="s">
        <v>7226</v>
      </c>
      <c r="AH318" s="509">
        <v>0</v>
      </c>
      <c r="AI318" s="120"/>
      <c r="AJ318" s="120"/>
      <c r="AK318" s="206"/>
      <c r="AL318" s="372"/>
      <c r="AM318" s="207"/>
      <c r="AN318" s="120"/>
      <c r="AO318" s="120"/>
      <c r="AP318" s="120"/>
      <c r="AQ318" s="120"/>
      <c r="AR318" s="120"/>
      <c r="AS318" s="120"/>
      <c r="AT318" s="120"/>
      <c r="AU318" s="120"/>
      <c r="AV318" s="120"/>
      <c r="AW318" s="120"/>
      <c r="AX318" s="120"/>
      <c r="AY318" s="120"/>
      <c r="AZ318" s="755"/>
      <c r="BA318" s="120"/>
      <c r="BB318" s="120"/>
      <c r="BC318" s="120"/>
      <c r="BD318" s="755"/>
      <c r="BE318" s="755"/>
      <c r="BF318" s="120"/>
      <c r="BG318" s="120"/>
      <c r="BH318" s="377"/>
      <c r="BI318" s="377"/>
      <c r="BJ318" s="373"/>
      <c r="BK318" s="373"/>
      <c r="BL318" s="373"/>
      <c r="BM318" s="373"/>
      <c r="BN318" s="373"/>
      <c r="BO318" s="373"/>
      <c r="BP318" s="373">
        <v>1</v>
      </c>
      <c r="BQ318" s="373"/>
      <c r="BR318" s="373"/>
      <c r="BS318" s="373"/>
      <c r="BT318" s="373"/>
      <c r="BU318" s="373"/>
      <c r="BV318" s="373"/>
      <c r="BW318" s="599"/>
      <c r="BX318" s="374"/>
      <c r="BY318" s="374"/>
      <c r="BZ318" s="374"/>
      <c r="CA318" s="511"/>
      <c r="CB318" s="511"/>
      <c r="CC318" s="781"/>
      <c r="CD318" s="120"/>
      <c r="CE318" s="120"/>
      <c r="CF318" s="120"/>
      <c r="CG318" s="120"/>
      <c r="CH318" s="755"/>
      <c r="CI318" s="120"/>
      <c r="CJ318" s="120"/>
      <c r="CK318" s="120"/>
      <c r="CL318" s="120"/>
      <c r="CM318" s="375" t="s">
        <v>24</v>
      </c>
      <c r="CN318" s="380"/>
      <c r="CO318" s="380"/>
      <c r="CP318" s="380"/>
      <c r="CQ318" s="380"/>
      <c r="CR318" s="380"/>
      <c r="CS318" s="380"/>
      <c r="CT318" s="380"/>
      <c r="CU318" s="380"/>
      <c r="CV318" s="380"/>
      <c r="CW318" s="380"/>
      <c r="CX318" s="376"/>
      <c r="CY318" s="120"/>
      <c r="CZ318" s="120"/>
      <c r="DA318" s="120"/>
      <c r="DB318" s="376"/>
      <c r="DC318" s="120"/>
      <c r="DD318" s="120"/>
      <c r="DE318" s="120"/>
      <c r="DF318" s="515"/>
      <c r="DG318" s="513"/>
      <c r="DH318" s="718"/>
      <c r="DI318" s="683"/>
      <c r="DJ318" s="384"/>
      <c r="DK318" s="683"/>
      <c r="DL318" s="718"/>
      <c r="DM318" s="384"/>
      <c r="DN318" s="384"/>
      <c r="DO318" s="384"/>
      <c r="DP318" s="375"/>
      <c r="DQ318" s="377"/>
      <c r="DR318" s="1182"/>
      <c r="DS318" s="956"/>
      <c r="DT318" s="727"/>
      <c r="DU318" s="384"/>
      <c r="DV318" s="384"/>
      <c r="DW318" s="384"/>
      <c r="DX318" s="384"/>
      <c r="DY318" s="384"/>
      <c r="DZ318" s="384"/>
      <c r="EA318" s="384"/>
      <c r="EB318" s="1012"/>
      <c r="EC318" s="384"/>
      <c r="ED318" s="384"/>
      <c r="EE318" s="384"/>
      <c r="EF318" s="384"/>
      <c r="EG318" s="384"/>
      <c r="EH318" s="384"/>
      <c r="EI318" s="384"/>
      <c r="EJ318" s="384"/>
      <c r="EK318" s="384"/>
      <c r="EL318" s="1012"/>
      <c r="EM318" s="384"/>
      <c r="EN318" s="1012"/>
      <c r="EO318" s="384"/>
      <c r="EP318" s="384"/>
      <c r="EQ318" s="384"/>
      <c r="ER318" s="384"/>
      <c r="ES318" s="384"/>
      <c r="ET318" s="727"/>
      <c r="EU318" s="384"/>
      <c r="EV318" s="384"/>
      <c r="EW318" s="384"/>
      <c r="EX318" s="384"/>
      <c r="EY318" s="384"/>
      <c r="EZ318" s="727"/>
      <c r="FA318" s="384"/>
      <c r="FB318" s="384"/>
      <c r="FC318" s="384"/>
      <c r="FD318" s="727"/>
      <c r="FE318" s="384"/>
      <c r="FF318" s="384"/>
      <c r="FG318" s="384"/>
      <c r="FH318" s="384"/>
      <c r="FI318" s="384"/>
      <c r="FJ318" s="384"/>
    </row>
    <row r="319" spans="1:166" ht="15" hidden="1" customHeight="1">
      <c r="A319" s="153" t="s">
        <v>1036</v>
      </c>
      <c r="B319" s="618">
        <v>147</v>
      </c>
      <c r="C319" s="618">
        <v>45</v>
      </c>
      <c r="D319" s="618"/>
      <c r="E319" s="610" t="s">
        <v>2083</v>
      </c>
      <c r="F319" s="368" t="s">
        <v>2337</v>
      </c>
      <c r="G319" s="369">
        <v>2013</v>
      </c>
      <c r="H319" s="153">
        <v>23891637</v>
      </c>
      <c r="I319" s="153">
        <v>1</v>
      </c>
      <c r="J319" s="370">
        <v>1</v>
      </c>
      <c r="K319" s="371"/>
      <c r="L319" s="153">
        <v>1</v>
      </c>
      <c r="M319" s="153"/>
      <c r="N319" s="153">
        <v>1</v>
      </c>
      <c r="O319" s="153">
        <v>2</v>
      </c>
      <c r="P319" s="153" t="s">
        <v>1347</v>
      </c>
      <c r="Q319" s="153" t="s">
        <v>1216</v>
      </c>
      <c r="R319" s="153" t="s">
        <v>1127</v>
      </c>
      <c r="S319" s="153"/>
      <c r="T319" s="153" t="s">
        <v>1714</v>
      </c>
      <c r="U319" s="153" t="s">
        <v>803</v>
      </c>
      <c r="V319" s="153"/>
      <c r="W319" s="153" t="s">
        <v>1383</v>
      </c>
      <c r="X319" s="153" t="s">
        <v>1384</v>
      </c>
      <c r="Y319" s="153" t="s">
        <v>1385</v>
      </c>
      <c r="Z319" s="153"/>
      <c r="AA319" s="153"/>
      <c r="AB319" s="153"/>
      <c r="AC319" s="536"/>
      <c r="AD319" s="536">
        <v>1</v>
      </c>
      <c r="AE319" s="536">
        <v>2</v>
      </c>
      <c r="AF319" s="165">
        <v>0</v>
      </c>
      <c r="AG319" s="166" t="s">
        <v>7889</v>
      </c>
      <c r="AH319" s="509"/>
      <c r="AI319" s="120">
        <v>4</v>
      </c>
      <c r="AJ319" s="120" t="s">
        <v>4897</v>
      </c>
      <c r="AK319" s="206" t="s">
        <v>4859</v>
      </c>
      <c r="AL319" s="372">
        <v>1</v>
      </c>
      <c r="AM319" s="207">
        <v>0</v>
      </c>
      <c r="AN319" s="120" t="s">
        <v>4147</v>
      </c>
      <c r="AO319" s="120">
        <v>5</v>
      </c>
      <c r="AP319" s="120">
        <v>5</v>
      </c>
      <c r="AQ319" s="120" t="s">
        <v>803</v>
      </c>
      <c r="AR319" s="120" t="s">
        <v>803</v>
      </c>
      <c r="AS319" s="120" t="s">
        <v>4775</v>
      </c>
      <c r="AT319" s="120" t="s">
        <v>24</v>
      </c>
      <c r="AU319" s="120" t="s">
        <v>4775</v>
      </c>
      <c r="AV319" s="120" t="s">
        <v>24</v>
      </c>
      <c r="AW319" s="120" t="s">
        <v>7330</v>
      </c>
      <c r="AX319" s="120"/>
      <c r="AY319" s="120"/>
      <c r="AZ319" s="755" t="s">
        <v>7331</v>
      </c>
      <c r="BA319" s="120" t="s">
        <v>4777</v>
      </c>
      <c r="BB319" s="120" t="s">
        <v>4776</v>
      </c>
      <c r="BC319" s="120" t="s">
        <v>7540</v>
      </c>
      <c r="BD319" s="755" t="s">
        <v>7522</v>
      </c>
      <c r="BE319" s="755"/>
      <c r="BF319" s="120" t="s">
        <v>4780</v>
      </c>
      <c r="BG319" s="120" t="s">
        <v>4781</v>
      </c>
      <c r="BH319" s="377"/>
      <c r="BI319" s="377"/>
      <c r="BJ319" s="373"/>
      <c r="BK319" s="373"/>
      <c r="BL319" s="373"/>
      <c r="BM319" s="373"/>
      <c r="BN319" s="373"/>
      <c r="BO319" s="373"/>
      <c r="BP319" s="373">
        <v>1</v>
      </c>
      <c r="BQ319" s="373"/>
      <c r="BR319" s="373"/>
      <c r="BS319" s="373"/>
      <c r="BT319" s="373"/>
      <c r="BU319" s="373"/>
      <c r="BV319" s="373"/>
      <c r="BW319" s="599" t="s">
        <v>3563</v>
      </c>
      <c r="BX319" s="374" t="s">
        <v>6613</v>
      </c>
      <c r="BY319" s="799" t="s">
        <v>7614</v>
      </c>
      <c r="BZ319" s="374" t="s">
        <v>803</v>
      </c>
      <c r="CA319" s="510">
        <v>2</v>
      </c>
      <c r="CB319" s="510" t="s">
        <v>7556</v>
      </c>
      <c r="CC319" s="510" t="s">
        <v>24</v>
      </c>
      <c r="CD319" s="120" t="s">
        <v>1876</v>
      </c>
      <c r="CE319" s="120" t="s">
        <v>4782</v>
      </c>
      <c r="CF319" s="786" t="s">
        <v>7890</v>
      </c>
      <c r="CG319" s="120" t="s">
        <v>4785</v>
      </c>
      <c r="CH319" s="755" t="s">
        <v>7353</v>
      </c>
      <c r="CI319" s="120" t="s">
        <v>4783</v>
      </c>
      <c r="CJ319" s="120"/>
      <c r="CK319" s="120" t="s">
        <v>4784</v>
      </c>
      <c r="CL319" s="120"/>
      <c r="CM319" s="375" t="s">
        <v>4858</v>
      </c>
      <c r="CN319" s="380" t="s">
        <v>24</v>
      </c>
      <c r="CO319" s="380">
        <v>38</v>
      </c>
      <c r="CP319" s="380">
        <v>1</v>
      </c>
      <c r="CQ319" s="380">
        <v>1</v>
      </c>
      <c r="CR319" s="380">
        <v>1</v>
      </c>
      <c r="CS319" s="380">
        <v>-1</v>
      </c>
      <c r="CT319" s="380"/>
      <c r="CU319" s="380"/>
      <c r="CV319" s="515"/>
      <c r="CW319" s="515"/>
      <c r="CX319" s="376" t="s">
        <v>7886</v>
      </c>
      <c r="CY319" s="120">
        <v>31.865300000000001</v>
      </c>
      <c r="CZ319" s="120" t="s">
        <v>24</v>
      </c>
      <c r="DA319" s="120">
        <f>35.3627-Table66[[#This Row],[Data_Outcome1_M]]</f>
        <v>3.4973999999999954</v>
      </c>
      <c r="DB319" s="376" t="s">
        <v>7887</v>
      </c>
      <c r="DC319" s="120">
        <v>28.238299999999999</v>
      </c>
      <c r="DD319" s="120" t="s">
        <v>24</v>
      </c>
      <c r="DE319" s="120">
        <f>30.5699-Table66[[#This Row],[Data_Outcome2_M]]</f>
        <v>2.3316000000000017</v>
      </c>
      <c r="DF319" s="515" t="s">
        <v>7884</v>
      </c>
      <c r="DG319" s="513"/>
      <c r="DH319" s="378"/>
      <c r="DI319" s="683"/>
      <c r="DJ319" s="384"/>
      <c r="DK319" s="683"/>
      <c r="DL319" s="384"/>
      <c r="DM319" s="384"/>
      <c r="DN319" s="384"/>
      <c r="DO319" s="384"/>
      <c r="DP319" s="375"/>
      <c r="DQ319" s="377"/>
      <c r="DR319" s="1182"/>
      <c r="DS319" s="956"/>
      <c r="DT319" s="727"/>
      <c r="DU319" s="384"/>
      <c r="DV319" s="384"/>
      <c r="DW319" s="384"/>
      <c r="DX319" s="384"/>
      <c r="DY319" s="384"/>
      <c r="DZ319" s="384"/>
      <c r="EA319" s="384"/>
      <c r="EB319" s="1012"/>
      <c r="EC319" s="384"/>
      <c r="ED319" s="384"/>
      <c r="EE319" s="384"/>
      <c r="EF319" s="384"/>
      <c r="EG319" s="384"/>
      <c r="EH319" s="384"/>
      <c r="EI319" s="384"/>
      <c r="EJ319" s="384"/>
      <c r="EK319" s="384"/>
      <c r="EL319" s="1012"/>
      <c r="EM319" s="384"/>
      <c r="EN319" s="1012"/>
      <c r="EO319" s="384"/>
      <c r="EP319" s="384"/>
      <c r="EQ319" s="384"/>
      <c r="ER319" s="384"/>
      <c r="ES319" s="384"/>
      <c r="ET319" s="384"/>
      <c r="EU319" s="384"/>
      <c r="EV319" s="384"/>
      <c r="EW319" s="384"/>
      <c r="EX319" s="384"/>
      <c r="EY319" s="384"/>
      <c r="EZ319" s="384"/>
      <c r="FA319" s="384"/>
      <c r="FB319" s="384"/>
      <c r="FC319" s="384"/>
      <c r="FD319" s="384"/>
      <c r="FE319" s="384"/>
      <c r="FF319" s="384"/>
      <c r="FG319" s="384"/>
      <c r="FH319" s="384"/>
      <c r="FI319" s="384"/>
      <c r="FJ319" s="384"/>
    </row>
    <row r="320" spans="1:166" ht="15" hidden="1" customHeight="1">
      <c r="A320" s="153" t="s">
        <v>1036</v>
      </c>
      <c r="B320" s="618">
        <v>147</v>
      </c>
      <c r="C320" s="618">
        <v>45</v>
      </c>
      <c r="D320" s="618"/>
      <c r="E320" s="610" t="s">
        <v>2083</v>
      </c>
      <c r="F320" s="368" t="s">
        <v>2337</v>
      </c>
      <c r="G320" s="369">
        <v>2013</v>
      </c>
      <c r="H320" s="153">
        <v>23891637</v>
      </c>
      <c r="I320" s="153">
        <v>1</v>
      </c>
      <c r="J320" s="370">
        <v>1</v>
      </c>
      <c r="K320" s="371"/>
      <c r="L320" s="153">
        <v>1</v>
      </c>
      <c r="M320" s="153"/>
      <c r="N320" s="153">
        <v>1</v>
      </c>
      <c r="O320" s="153">
        <v>2</v>
      </c>
      <c r="P320" s="153" t="s">
        <v>1347</v>
      </c>
      <c r="Q320" s="153" t="s">
        <v>1216</v>
      </c>
      <c r="R320" s="153" t="s">
        <v>1127</v>
      </c>
      <c r="S320" s="153"/>
      <c r="T320" s="153" t="s">
        <v>1714</v>
      </c>
      <c r="U320" s="153" t="s">
        <v>803</v>
      </c>
      <c r="V320" s="153"/>
      <c r="W320" s="153" t="s">
        <v>1383</v>
      </c>
      <c r="X320" s="153" t="s">
        <v>1384</v>
      </c>
      <c r="Y320" s="153" t="s">
        <v>1385</v>
      </c>
      <c r="Z320" s="153"/>
      <c r="AA320" s="153"/>
      <c r="AB320" s="153"/>
      <c r="AC320" s="536"/>
      <c r="AD320" s="536">
        <v>1</v>
      </c>
      <c r="AE320" s="536">
        <v>2</v>
      </c>
      <c r="AF320" s="165">
        <v>0</v>
      </c>
      <c r="AG320" s="166" t="s">
        <v>7889</v>
      </c>
      <c r="AH320" s="509"/>
      <c r="AI320" s="120">
        <v>4</v>
      </c>
      <c r="AJ320" s="120" t="s">
        <v>4897</v>
      </c>
      <c r="AK320" s="206" t="s">
        <v>4859</v>
      </c>
      <c r="AL320" s="372">
        <v>1</v>
      </c>
      <c r="AM320" s="207">
        <v>0</v>
      </c>
      <c r="AN320" s="120" t="s">
        <v>4147</v>
      </c>
      <c r="AO320" s="120">
        <v>5</v>
      </c>
      <c r="AP320" s="120">
        <v>5</v>
      </c>
      <c r="AQ320" s="120" t="s">
        <v>803</v>
      </c>
      <c r="AR320" s="120" t="s">
        <v>803</v>
      </c>
      <c r="AS320" s="120" t="s">
        <v>4775</v>
      </c>
      <c r="AT320" s="120" t="s">
        <v>24</v>
      </c>
      <c r="AU320" s="120" t="s">
        <v>4775</v>
      </c>
      <c r="AV320" s="120" t="s">
        <v>24</v>
      </c>
      <c r="AW320" s="120" t="s">
        <v>7330</v>
      </c>
      <c r="AX320" s="120"/>
      <c r="AY320" s="120"/>
      <c r="AZ320" s="755" t="s">
        <v>7331</v>
      </c>
      <c r="BA320" s="120" t="s">
        <v>4777</v>
      </c>
      <c r="BB320" s="120" t="s">
        <v>4776</v>
      </c>
      <c r="BC320" s="120" t="s">
        <v>7540</v>
      </c>
      <c r="BD320" s="755" t="s">
        <v>7522</v>
      </c>
      <c r="BE320" s="755"/>
      <c r="BF320" s="120" t="s">
        <v>4780</v>
      </c>
      <c r="BG320" s="120" t="s">
        <v>4781</v>
      </c>
      <c r="BH320" s="377"/>
      <c r="BI320" s="377"/>
      <c r="BJ320" s="373"/>
      <c r="BK320" s="373"/>
      <c r="BL320" s="373"/>
      <c r="BM320" s="373"/>
      <c r="BN320" s="373"/>
      <c r="BO320" s="373"/>
      <c r="BP320" s="373">
        <v>1</v>
      </c>
      <c r="BQ320" s="373"/>
      <c r="BR320" s="373"/>
      <c r="BS320" s="373"/>
      <c r="BT320" s="373"/>
      <c r="BU320" s="373"/>
      <c r="BV320" s="373"/>
      <c r="BW320" s="599" t="s">
        <v>3563</v>
      </c>
      <c r="BX320" s="374" t="s">
        <v>6613</v>
      </c>
      <c r="BY320" s="799" t="s">
        <v>7614</v>
      </c>
      <c r="BZ320" s="374" t="s">
        <v>803</v>
      </c>
      <c r="CA320" s="511">
        <v>2</v>
      </c>
      <c r="CB320" s="511" t="s">
        <v>7556</v>
      </c>
      <c r="CC320" s="511" t="s">
        <v>24</v>
      </c>
      <c r="CD320" s="120" t="s">
        <v>1876</v>
      </c>
      <c r="CE320" s="120" t="s">
        <v>4782</v>
      </c>
      <c r="CF320" s="786" t="s">
        <v>7890</v>
      </c>
      <c r="CG320" s="120" t="s">
        <v>4785</v>
      </c>
      <c r="CH320" s="755" t="s">
        <v>7353</v>
      </c>
      <c r="CI320" s="120" t="s">
        <v>4783</v>
      </c>
      <c r="CJ320" s="120"/>
      <c r="CK320" s="120" t="s">
        <v>4784</v>
      </c>
      <c r="CL320" s="120"/>
      <c r="CM320" s="375" t="s">
        <v>4858</v>
      </c>
      <c r="CN320" s="380" t="s">
        <v>24</v>
      </c>
      <c r="CO320" s="380">
        <v>38</v>
      </c>
      <c r="CP320" s="380">
        <v>1</v>
      </c>
      <c r="CQ320" s="380">
        <v>2</v>
      </c>
      <c r="CR320" s="380">
        <v>1</v>
      </c>
      <c r="CS320" s="380">
        <v>1</v>
      </c>
      <c r="CT320" s="380"/>
      <c r="CU320" s="380"/>
      <c r="CV320" s="515"/>
      <c r="CW320" s="515"/>
      <c r="CX320" s="376" t="s">
        <v>7885</v>
      </c>
      <c r="CY320" s="120">
        <v>35.233199999999997</v>
      </c>
      <c r="CZ320" s="120" t="s">
        <v>24</v>
      </c>
      <c r="DA320" s="120">
        <f>37.0466-Table66[[#This Row],[Data_Outcome1_M]]</f>
        <v>1.8134000000000015</v>
      </c>
      <c r="DB320" s="718" t="s">
        <v>7888</v>
      </c>
      <c r="DC320" s="683">
        <v>46.373100000000001</v>
      </c>
      <c r="DD320" s="120" t="s">
        <v>24</v>
      </c>
      <c r="DE320" s="683">
        <f>48.4456-Table66[[#This Row],[Data_Outcome2_M]]</f>
        <v>2.072499999999998</v>
      </c>
      <c r="DF320" s="515" t="s">
        <v>7884</v>
      </c>
      <c r="DG320" s="377"/>
      <c r="DH320" s="718"/>
      <c r="DI320" s="683"/>
      <c r="DJ320" s="384"/>
      <c r="DK320" s="683"/>
      <c r="DL320" s="727"/>
      <c r="DM320" s="683"/>
      <c r="DN320" s="384"/>
      <c r="DO320" s="815"/>
      <c r="DP320" s="375"/>
      <c r="DQ320" s="377"/>
      <c r="DR320" s="1182"/>
      <c r="DS320" s="956"/>
      <c r="DT320" s="727"/>
      <c r="DU320" s="683"/>
      <c r="DV320" s="384"/>
      <c r="DW320" s="683"/>
      <c r="DX320" s="727"/>
      <c r="DY320" s="683"/>
      <c r="DZ320" s="384"/>
      <c r="EA320" s="683"/>
      <c r="EB320" s="1012"/>
      <c r="EC320" s="384"/>
      <c r="ED320" s="727"/>
      <c r="EE320" s="683"/>
      <c r="EF320" s="384"/>
      <c r="EG320" s="683"/>
      <c r="EH320" s="727"/>
      <c r="EI320" s="683"/>
      <c r="EJ320" s="384"/>
      <c r="EK320" s="683"/>
      <c r="EL320" s="1012"/>
      <c r="EM320" s="384"/>
      <c r="EN320" s="1012"/>
      <c r="EO320" s="384"/>
      <c r="EP320" s="719"/>
      <c r="EQ320" s="683"/>
      <c r="ER320" s="683"/>
      <c r="ES320" s="683"/>
      <c r="ET320" s="719"/>
      <c r="EU320" s="683"/>
      <c r="EV320" s="683"/>
      <c r="EW320" s="683"/>
      <c r="EX320" s="683"/>
      <c r="EY320" s="683"/>
      <c r="EZ320" s="719"/>
      <c r="FA320" s="683"/>
      <c r="FB320" s="683"/>
      <c r="FC320" s="683"/>
      <c r="FD320" s="719"/>
      <c r="FE320" s="683"/>
      <c r="FF320" s="683"/>
      <c r="FG320" s="683"/>
      <c r="FH320" s="683"/>
      <c r="FI320" s="683"/>
      <c r="FJ320" s="384"/>
    </row>
    <row r="321" spans="1:166" ht="15" hidden="1" customHeight="1">
      <c r="A321" s="79" t="s">
        <v>1036</v>
      </c>
      <c r="B321" s="362">
        <v>147</v>
      </c>
      <c r="C321" s="362">
        <v>45</v>
      </c>
      <c r="D321" s="362"/>
      <c r="E321" s="604" t="s">
        <v>2083</v>
      </c>
      <c r="F321" s="124" t="s">
        <v>2337</v>
      </c>
      <c r="G321" s="125">
        <v>2013</v>
      </c>
      <c r="H321" s="79">
        <v>23891637</v>
      </c>
      <c r="I321" s="79">
        <v>1</v>
      </c>
      <c r="J321" s="126">
        <v>1</v>
      </c>
      <c r="K321" s="127"/>
      <c r="L321" s="79">
        <v>1</v>
      </c>
      <c r="M321" s="79"/>
      <c r="N321" s="79">
        <v>1</v>
      </c>
      <c r="O321" s="128">
        <v>2</v>
      </c>
      <c r="P321" s="79" t="s">
        <v>1347</v>
      </c>
      <c r="Q321" s="79" t="s">
        <v>1216</v>
      </c>
      <c r="R321" s="79" t="s">
        <v>1127</v>
      </c>
      <c r="S321" s="79"/>
      <c r="T321" s="79" t="s">
        <v>1714</v>
      </c>
      <c r="U321" s="79" t="s">
        <v>803</v>
      </c>
      <c r="V321" s="79"/>
      <c r="W321" s="79" t="s">
        <v>1383</v>
      </c>
      <c r="X321" s="79" t="s">
        <v>1384</v>
      </c>
      <c r="Y321" s="79" t="s">
        <v>1385</v>
      </c>
      <c r="Z321" s="79"/>
      <c r="AA321" s="79"/>
      <c r="AB321" s="79"/>
      <c r="AC321" s="506"/>
      <c r="AD321" s="573">
        <v>1</v>
      </c>
      <c r="AE321" s="573">
        <v>2</v>
      </c>
      <c r="AF321" s="154">
        <v>1</v>
      </c>
      <c r="AG321" s="155" t="s">
        <v>7625</v>
      </c>
      <c r="AH321" s="704"/>
      <c r="AI321" s="121">
        <v>4</v>
      </c>
      <c r="AJ321" s="484" t="s">
        <v>4897</v>
      </c>
      <c r="AK321" s="202" t="s">
        <v>4859</v>
      </c>
      <c r="AL321" s="192">
        <v>1</v>
      </c>
      <c r="AM321" s="215">
        <v>0</v>
      </c>
      <c r="AN321" s="134" t="s">
        <v>4147</v>
      </c>
      <c r="AO321" s="134">
        <v>5</v>
      </c>
      <c r="AP321" s="134">
        <v>5</v>
      </c>
      <c r="AQ321" s="134" t="s">
        <v>803</v>
      </c>
      <c r="AR321" s="134" t="s">
        <v>803</v>
      </c>
      <c r="AS321" s="134" t="s">
        <v>4775</v>
      </c>
      <c r="AT321" s="134" t="s">
        <v>24</v>
      </c>
      <c r="AU321" s="134" t="s">
        <v>4775</v>
      </c>
      <c r="AV321" s="134" t="s">
        <v>24</v>
      </c>
      <c r="AW321" s="134" t="s">
        <v>7330</v>
      </c>
      <c r="AX321" s="134"/>
      <c r="AY321" s="134"/>
      <c r="AZ321" s="753" t="s">
        <v>7331</v>
      </c>
      <c r="BA321" s="134" t="s">
        <v>4777</v>
      </c>
      <c r="BB321" s="134" t="s">
        <v>4776</v>
      </c>
      <c r="BC321" s="134" t="s">
        <v>7540</v>
      </c>
      <c r="BD321" s="753" t="s">
        <v>7522</v>
      </c>
      <c r="BE321" s="753"/>
      <c r="BF321" s="134" t="s">
        <v>4780</v>
      </c>
      <c r="BG321" s="134" t="s">
        <v>4781</v>
      </c>
      <c r="BH321" s="594"/>
      <c r="BI321" s="594"/>
      <c r="BJ321" s="156"/>
      <c r="BK321" s="156"/>
      <c r="BL321" s="156"/>
      <c r="BM321" s="156"/>
      <c r="BN321" s="156"/>
      <c r="BO321" s="156"/>
      <c r="BP321" s="156">
        <v>1</v>
      </c>
      <c r="BQ321" s="156"/>
      <c r="BR321" s="156"/>
      <c r="BS321" s="156"/>
      <c r="BT321" s="156"/>
      <c r="BU321" s="156"/>
      <c r="BV321" s="156"/>
      <c r="BW321" s="595" t="s">
        <v>3563</v>
      </c>
      <c r="BX321" s="157" t="s">
        <v>6613</v>
      </c>
      <c r="BY321" s="797" t="s">
        <v>7614</v>
      </c>
      <c r="BZ321" s="789" t="s">
        <v>803</v>
      </c>
      <c r="CA321" s="765">
        <v>2</v>
      </c>
      <c r="CB321" s="765" t="s">
        <v>7556</v>
      </c>
      <c r="CC321" s="660" t="s">
        <v>7384</v>
      </c>
      <c r="CD321" s="134" t="s">
        <v>1876</v>
      </c>
      <c r="CE321" s="134" t="s">
        <v>4782</v>
      </c>
      <c r="CF321" s="400" t="s">
        <v>7891</v>
      </c>
      <c r="CG321" s="134" t="s">
        <v>4785</v>
      </c>
      <c r="CH321" s="753" t="s">
        <v>7353</v>
      </c>
      <c r="CI321" s="134" t="s">
        <v>4783</v>
      </c>
      <c r="CJ321" s="134"/>
      <c r="CK321" s="134" t="s">
        <v>4784</v>
      </c>
      <c r="CL321" s="134" t="s">
        <v>8273</v>
      </c>
      <c r="CM321" s="259" t="s">
        <v>4858</v>
      </c>
      <c r="CN321" s="454" t="s">
        <v>24</v>
      </c>
      <c r="CO321" s="828">
        <v>38</v>
      </c>
      <c r="CP321" s="828">
        <v>1</v>
      </c>
      <c r="CQ321" s="828">
        <v>3</v>
      </c>
      <c r="CR321" s="828">
        <v>1</v>
      </c>
      <c r="CS321" s="828">
        <v>-1</v>
      </c>
      <c r="CT321" s="967">
        <v>1</v>
      </c>
      <c r="CU321" s="1289" t="s">
        <v>8104</v>
      </c>
      <c r="CV321" s="1295">
        <v>92</v>
      </c>
      <c r="CW321" s="1295">
        <v>84</v>
      </c>
      <c r="CX321" s="138" t="s">
        <v>4793</v>
      </c>
      <c r="CY321" s="134">
        <v>45.930700000000002</v>
      </c>
      <c r="CZ321" s="134" t="s">
        <v>24</v>
      </c>
      <c r="DA321" s="134">
        <f>52.4857-Table66[[#This Row],[Data_Outcome1_M]]</f>
        <v>6.5549999999999997</v>
      </c>
      <c r="DB321" s="138" t="s">
        <v>4795</v>
      </c>
      <c r="DC321" s="134">
        <v>26.9087</v>
      </c>
      <c r="DD321" s="134" t="s">
        <v>24</v>
      </c>
      <c r="DE321" s="134">
        <f>29.331-Table66[[#This Row],[Data_Outcome2_M]]</f>
        <v>2.4222999999999999</v>
      </c>
      <c r="DF321" s="434" t="s">
        <v>4853</v>
      </c>
      <c r="DG321" s="436" t="s">
        <v>2555</v>
      </c>
      <c r="DH321" s="1175"/>
      <c r="DI321" s="417"/>
      <c r="DJ321" s="1169"/>
      <c r="DK321" s="417"/>
      <c r="DL321" s="1171"/>
      <c r="DM321" s="1169"/>
      <c r="DN321" s="1169"/>
      <c r="DO321" s="1169"/>
      <c r="DP321" s="288"/>
      <c r="DQ321" s="441"/>
      <c r="DR321" s="1168"/>
      <c r="DS321" s="865"/>
      <c r="DT321" s="1171"/>
      <c r="DU321" s="1169"/>
      <c r="DV321" s="1169"/>
      <c r="DW321" s="1169"/>
      <c r="DX321" s="1171"/>
      <c r="DY321" s="1169"/>
      <c r="DZ321" s="1169"/>
      <c r="EA321" s="1169"/>
      <c r="EB321" s="304"/>
      <c r="EC321" s="312"/>
      <c r="ED321" s="1171"/>
      <c r="EE321" s="1169"/>
      <c r="EF321" s="1169"/>
      <c r="EG321" s="1169"/>
      <c r="EH321" s="1171"/>
      <c r="EI321" s="1169"/>
      <c r="EJ321" s="1169"/>
      <c r="EK321" s="1169"/>
      <c r="EL321" s="304"/>
      <c r="EM321" s="312"/>
      <c r="EN321" s="309"/>
      <c r="EO321" s="1170"/>
      <c r="EP321" s="1171"/>
      <c r="EQ321" s="1169"/>
      <c r="ER321" s="1169"/>
      <c r="ES321" s="1169"/>
      <c r="ET321" s="1171"/>
      <c r="EU321" s="1169"/>
      <c r="EV321" s="1169"/>
      <c r="EW321" s="1169"/>
      <c r="EX321" s="312"/>
      <c r="EY321" s="312"/>
      <c r="EZ321" s="1171"/>
      <c r="FA321" s="1169"/>
      <c r="FB321" s="1169"/>
      <c r="FC321" s="1169"/>
      <c r="FD321" s="1171"/>
      <c r="FE321" s="1169"/>
      <c r="FF321" s="1169"/>
      <c r="FG321" s="1169"/>
      <c r="FH321" s="312"/>
      <c r="FI321" s="312"/>
      <c r="FJ321" s="1170"/>
    </row>
    <row r="322" spans="1:166" ht="15" hidden="1" customHeight="1">
      <c r="A322" s="79" t="s">
        <v>1036</v>
      </c>
      <c r="B322" s="362">
        <v>147</v>
      </c>
      <c r="C322" s="362">
        <v>45</v>
      </c>
      <c r="D322" s="362"/>
      <c r="E322" s="604" t="s">
        <v>2083</v>
      </c>
      <c r="F322" s="124" t="s">
        <v>2337</v>
      </c>
      <c r="G322" s="125">
        <v>2013</v>
      </c>
      <c r="H322" s="79">
        <v>23891637</v>
      </c>
      <c r="I322" s="79">
        <v>1</v>
      </c>
      <c r="J322" s="126">
        <v>1</v>
      </c>
      <c r="K322" s="127"/>
      <c r="L322" s="79">
        <v>1</v>
      </c>
      <c r="M322" s="79"/>
      <c r="N322" s="79">
        <v>1</v>
      </c>
      <c r="O322" s="128">
        <v>2</v>
      </c>
      <c r="P322" s="79" t="s">
        <v>1347</v>
      </c>
      <c r="Q322" s="79" t="s">
        <v>1216</v>
      </c>
      <c r="R322" s="79" t="s">
        <v>1127</v>
      </c>
      <c r="S322" s="79"/>
      <c r="T322" s="79" t="s">
        <v>1714</v>
      </c>
      <c r="U322" s="79" t="s">
        <v>803</v>
      </c>
      <c r="V322" s="79"/>
      <c r="W322" s="79" t="s">
        <v>1383</v>
      </c>
      <c r="X322" s="79" t="s">
        <v>1384</v>
      </c>
      <c r="Y322" s="79" t="s">
        <v>1385</v>
      </c>
      <c r="Z322" s="79"/>
      <c r="AA322" s="79"/>
      <c r="AB322" s="79"/>
      <c r="AC322" s="506"/>
      <c r="AD322" s="573">
        <v>1</v>
      </c>
      <c r="AE322" s="573">
        <v>2</v>
      </c>
      <c r="AF322" s="154">
        <v>1</v>
      </c>
      <c r="AG322" s="155" t="s">
        <v>7625</v>
      </c>
      <c r="AH322" s="704"/>
      <c r="AI322" s="121">
        <v>4</v>
      </c>
      <c r="AJ322" s="484" t="s">
        <v>4897</v>
      </c>
      <c r="AK322" s="202" t="s">
        <v>4859</v>
      </c>
      <c r="AL322" s="192">
        <v>1</v>
      </c>
      <c r="AM322" s="215">
        <v>0</v>
      </c>
      <c r="AN322" s="134" t="s">
        <v>4147</v>
      </c>
      <c r="AO322" s="134">
        <v>5</v>
      </c>
      <c r="AP322" s="134">
        <v>5</v>
      </c>
      <c r="AQ322" s="134" t="s">
        <v>803</v>
      </c>
      <c r="AR322" s="134" t="s">
        <v>803</v>
      </c>
      <c r="AS322" s="134" t="s">
        <v>4775</v>
      </c>
      <c r="AT322" s="134" t="s">
        <v>24</v>
      </c>
      <c r="AU322" s="134" t="s">
        <v>4775</v>
      </c>
      <c r="AV322" s="134" t="s">
        <v>24</v>
      </c>
      <c r="AW322" s="134" t="s">
        <v>7330</v>
      </c>
      <c r="AX322" s="134"/>
      <c r="AY322" s="134"/>
      <c r="AZ322" s="753" t="s">
        <v>7331</v>
      </c>
      <c r="BA322" s="134" t="s">
        <v>4777</v>
      </c>
      <c r="BB322" s="134" t="s">
        <v>4776</v>
      </c>
      <c r="BC322" s="134" t="s">
        <v>7540</v>
      </c>
      <c r="BD322" s="753" t="s">
        <v>7522</v>
      </c>
      <c r="BE322" s="753"/>
      <c r="BF322" s="134" t="s">
        <v>4780</v>
      </c>
      <c r="BG322" s="134" t="s">
        <v>4781</v>
      </c>
      <c r="BH322" s="594"/>
      <c r="BI322" s="594"/>
      <c r="BJ322" s="156"/>
      <c r="BK322" s="156"/>
      <c r="BL322" s="156"/>
      <c r="BM322" s="156"/>
      <c r="BN322" s="156"/>
      <c r="BO322" s="156"/>
      <c r="BP322" s="156">
        <v>1</v>
      </c>
      <c r="BQ322" s="156"/>
      <c r="BR322" s="156"/>
      <c r="BS322" s="156"/>
      <c r="BT322" s="156"/>
      <c r="BU322" s="156"/>
      <c r="BV322" s="156"/>
      <c r="BW322" s="595" t="s">
        <v>3563</v>
      </c>
      <c r="BX322" s="157" t="s">
        <v>6613</v>
      </c>
      <c r="BY322" s="797" t="s">
        <v>7614</v>
      </c>
      <c r="BZ322" s="789" t="s">
        <v>803</v>
      </c>
      <c r="CA322" s="765">
        <v>2</v>
      </c>
      <c r="CB322" s="765" t="s">
        <v>7556</v>
      </c>
      <c r="CC322" s="660" t="s">
        <v>7384</v>
      </c>
      <c r="CD322" s="134" t="s">
        <v>1876</v>
      </c>
      <c r="CE322" s="134" t="s">
        <v>4782</v>
      </c>
      <c r="CF322" s="400" t="s">
        <v>7891</v>
      </c>
      <c r="CG322" s="134" t="s">
        <v>4785</v>
      </c>
      <c r="CH322" s="753" t="s">
        <v>7353</v>
      </c>
      <c r="CI322" s="134" t="s">
        <v>4783</v>
      </c>
      <c r="CJ322" s="134"/>
      <c r="CK322" s="134" t="s">
        <v>4784</v>
      </c>
      <c r="CL322" s="134" t="s">
        <v>8274</v>
      </c>
      <c r="CM322" s="259" t="s">
        <v>4858</v>
      </c>
      <c r="CN322" s="454" t="s">
        <v>24</v>
      </c>
      <c r="CO322" s="828">
        <v>38</v>
      </c>
      <c r="CP322" s="828">
        <v>1</v>
      </c>
      <c r="CQ322" s="828">
        <v>4</v>
      </c>
      <c r="CR322" s="828">
        <v>1</v>
      </c>
      <c r="CS322" s="828">
        <v>1</v>
      </c>
      <c r="CT322" s="967">
        <v>1</v>
      </c>
      <c r="CU322" s="1289" t="s">
        <v>8104</v>
      </c>
      <c r="CV322" s="1295">
        <v>92</v>
      </c>
      <c r="CW322" s="1295">
        <v>84</v>
      </c>
      <c r="CX322" s="138" t="s">
        <v>4794</v>
      </c>
      <c r="CY322" s="134">
        <v>24.104700000000001</v>
      </c>
      <c r="CZ322" s="134" t="s">
        <v>24</v>
      </c>
      <c r="DA322" s="134">
        <f>26.2414-Table66[[#This Row],[Data_Outcome1_M]]</f>
        <v>2.1366999999999976</v>
      </c>
      <c r="DB322" s="138" t="s">
        <v>4796</v>
      </c>
      <c r="DC322" s="134">
        <v>43.4099</v>
      </c>
      <c r="DD322" s="134" t="s">
        <v>24</v>
      </c>
      <c r="DE322" s="134">
        <f>44.1223-Table66[[#This Row],[Data_Outcome2_M]]</f>
        <v>0.71240000000000236</v>
      </c>
      <c r="DF322" s="300" t="s">
        <v>4855</v>
      </c>
      <c r="DG322" s="301" t="s">
        <v>2555</v>
      </c>
      <c r="DH322" s="1175"/>
      <c r="DI322" s="417"/>
      <c r="DJ322" s="1169"/>
      <c r="DK322" s="417"/>
      <c r="DL322" s="1171"/>
      <c r="DM322" s="1169"/>
      <c r="DN322" s="1169"/>
      <c r="DO322" s="1169"/>
      <c r="DP322" s="288"/>
      <c r="DQ322" s="289"/>
      <c r="DR322" s="1168"/>
      <c r="DS322" s="865"/>
      <c r="DT322" s="1171"/>
      <c r="DU322" s="1169"/>
      <c r="DV322" s="1169"/>
      <c r="DW322" s="1169"/>
      <c r="DX322" s="1171"/>
      <c r="DY322" s="1169"/>
      <c r="DZ322" s="1169"/>
      <c r="EA322" s="1169"/>
      <c r="EB322" s="304"/>
      <c r="EC322" s="312"/>
      <c r="ED322" s="1171"/>
      <c r="EE322" s="1169"/>
      <c r="EF322" s="1169"/>
      <c r="EG322" s="1169"/>
      <c r="EH322" s="1171"/>
      <c r="EI322" s="1169"/>
      <c r="EJ322" s="1169"/>
      <c r="EK322" s="1169"/>
      <c r="EL322" s="304"/>
      <c r="EM322" s="312"/>
      <c r="EN322" s="309"/>
      <c r="EO322" s="1170"/>
      <c r="EP322" s="1171"/>
      <c r="EQ322" s="1169"/>
      <c r="ER322" s="1169"/>
      <c r="ES322" s="1169"/>
      <c r="ET322" s="1171"/>
      <c r="EU322" s="1169"/>
      <c r="EV322" s="1169"/>
      <c r="EW322" s="1169"/>
      <c r="EX322" s="312"/>
      <c r="EY322" s="312"/>
      <c r="EZ322" s="1171"/>
      <c r="FA322" s="1169"/>
      <c r="FB322" s="1169"/>
      <c r="FC322" s="1169"/>
      <c r="FD322" s="1171"/>
      <c r="FE322" s="1169"/>
      <c r="FF322" s="1169"/>
      <c r="FG322" s="1169"/>
      <c r="FH322" s="312"/>
      <c r="FI322" s="312"/>
      <c r="FJ322" s="1170"/>
    </row>
    <row r="323" spans="1:166" s="1475" customFormat="1" ht="15" hidden="1" customHeight="1">
      <c r="A323" s="1445" t="s">
        <v>1036</v>
      </c>
      <c r="B323" s="1446">
        <v>147</v>
      </c>
      <c r="C323" s="1446">
        <v>45</v>
      </c>
      <c r="D323" s="1446"/>
      <c r="E323" s="1447" t="s">
        <v>2083</v>
      </c>
      <c r="F323" s="1448" t="s">
        <v>2337</v>
      </c>
      <c r="G323" s="1449">
        <v>2013</v>
      </c>
      <c r="H323" s="1445">
        <v>23891637</v>
      </c>
      <c r="I323" s="1445">
        <v>1</v>
      </c>
      <c r="J323" s="1445">
        <v>1</v>
      </c>
      <c r="K323" s="1445"/>
      <c r="L323" s="1445">
        <v>1</v>
      </c>
      <c r="M323" s="1445"/>
      <c r="N323" s="1445">
        <v>1</v>
      </c>
      <c r="O323" s="1450">
        <v>2</v>
      </c>
      <c r="P323" s="1445" t="s">
        <v>1347</v>
      </c>
      <c r="Q323" s="1445" t="s">
        <v>1216</v>
      </c>
      <c r="R323" s="1445" t="s">
        <v>1127</v>
      </c>
      <c r="S323" s="1445"/>
      <c r="T323" s="1445" t="s">
        <v>1714</v>
      </c>
      <c r="U323" s="1445" t="s">
        <v>803</v>
      </c>
      <c r="V323" s="1445"/>
      <c r="W323" s="1445" t="s">
        <v>1383</v>
      </c>
      <c r="X323" s="1445" t="s">
        <v>1384</v>
      </c>
      <c r="Y323" s="1445" t="s">
        <v>1385</v>
      </c>
      <c r="Z323" s="1445"/>
      <c r="AA323" s="1445"/>
      <c r="AB323" s="1445"/>
      <c r="AC323" s="1451"/>
      <c r="AD323" s="1452">
        <v>1</v>
      </c>
      <c r="AE323" s="1452">
        <v>2</v>
      </c>
      <c r="AF323" s="1609">
        <v>0</v>
      </c>
      <c r="AG323" s="1610" t="s">
        <v>8142</v>
      </c>
      <c r="AH323" s="1611"/>
      <c r="AI323" s="1451">
        <v>4</v>
      </c>
      <c r="AJ323" s="1454" t="s">
        <v>4897</v>
      </c>
      <c r="AK323" s="1455" t="s">
        <v>4859</v>
      </c>
      <c r="AL323" s="1456">
        <v>1</v>
      </c>
      <c r="AM323" s="1590">
        <v>0</v>
      </c>
      <c r="AN323" s="1457" t="s">
        <v>4147</v>
      </c>
      <c r="AO323" s="1457">
        <v>5</v>
      </c>
      <c r="AP323" s="1457">
        <v>5</v>
      </c>
      <c r="AQ323" s="1457" t="s">
        <v>803</v>
      </c>
      <c r="AR323" s="1457" t="s">
        <v>803</v>
      </c>
      <c r="AS323" s="1457" t="s">
        <v>4775</v>
      </c>
      <c r="AT323" s="1457" t="s">
        <v>24</v>
      </c>
      <c r="AU323" s="1457" t="s">
        <v>4775</v>
      </c>
      <c r="AV323" s="1457" t="s">
        <v>24</v>
      </c>
      <c r="AW323" s="1457" t="s">
        <v>7330</v>
      </c>
      <c r="AX323" s="1457"/>
      <c r="AY323" s="1457"/>
      <c r="AZ323" s="1457" t="s">
        <v>7331</v>
      </c>
      <c r="BA323" s="1457" t="s">
        <v>4777</v>
      </c>
      <c r="BB323" s="1457" t="s">
        <v>4776</v>
      </c>
      <c r="BC323" s="1457" t="s">
        <v>7540</v>
      </c>
      <c r="BD323" s="1457" t="s">
        <v>7522</v>
      </c>
      <c r="BE323" s="1457"/>
      <c r="BF323" s="1457" t="s">
        <v>4780</v>
      </c>
      <c r="BG323" s="1457" t="s">
        <v>4781</v>
      </c>
      <c r="BH323" s="1612"/>
      <c r="BI323" s="1612"/>
      <c r="BJ323" s="1613"/>
      <c r="BK323" s="1613"/>
      <c r="BL323" s="1613"/>
      <c r="BM323" s="1613"/>
      <c r="BN323" s="1613"/>
      <c r="BO323" s="1613"/>
      <c r="BP323" s="1613">
        <v>1</v>
      </c>
      <c r="BQ323" s="1613"/>
      <c r="BR323" s="1613"/>
      <c r="BS323" s="1613"/>
      <c r="BT323" s="1613"/>
      <c r="BU323" s="1613"/>
      <c r="BV323" s="1613"/>
      <c r="BW323" s="1614" t="s">
        <v>3563</v>
      </c>
      <c r="BX323" s="1615" t="s">
        <v>6613</v>
      </c>
      <c r="BY323" s="1616" t="s">
        <v>7614</v>
      </c>
      <c r="BZ323" s="1617" t="s">
        <v>803</v>
      </c>
      <c r="CA323" s="1618">
        <v>2</v>
      </c>
      <c r="CB323" s="1618" t="s">
        <v>7556</v>
      </c>
      <c r="CC323" s="1618" t="s">
        <v>24</v>
      </c>
      <c r="CD323" s="1457" t="s">
        <v>1876</v>
      </c>
      <c r="CE323" s="1457" t="s">
        <v>4782</v>
      </c>
      <c r="CF323" s="1457" t="s">
        <v>7891</v>
      </c>
      <c r="CG323" s="1457" t="s">
        <v>4785</v>
      </c>
      <c r="CH323" s="1457" t="s">
        <v>7353</v>
      </c>
      <c r="CI323" s="1457" t="s">
        <v>4783</v>
      </c>
      <c r="CJ323" s="1457"/>
      <c r="CK323" s="1457" t="s">
        <v>4784</v>
      </c>
      <c r="CL323" s="1457"/>
      <c r="CM323" s="1458" t="s">
        <v>4858</v>
      </c>
      <c r="CN323" s="1459" t="s">
        <v>24</v>
      </c>
      <c r="CO323" s="1460"/>
      <c r="CP323" s="1460"/>
      <c r="CQ323" s="1460"/>
      <c r="CR323" s="1460"/>
      <c r="CS323" s="1460">
        <v>1</v>
      </c>
      <c r="CT323" s="1461" t="s">
        <v>8142</v>
      </c>
      <c r="CU323" s="1462" t="s">
        <v>8104</v>
      </c>
      <c r="CV323" s="1463">
        <v>92</v>
      </c>
      <c r="CW323" s="1463">
        <v>84</v>
      </c>
      <c r="CX323" s="1464" t="s">
        <v>8143</v>
      </c>
      <c r="CY323" s="1457">
        <f>CY322/(CY322+CY321)</f>
        <v>0.34417880100634818</v>
      </c>
      <c r="CZ323" s="1457"/>
      <c r="DA323" s="1457"/>
      <c r="DB323" s="1464" t="s">
        <v>8144</v>
      </c>
      <c r="DC323" s="1457">
        <f>DC322/(DC322+DC321)</f>
        <v>0.61733168749093414</v>
      </c>
      <c r="DD323" s="1457"/>
      <c r="DE323" s="1457"/>
      <c r="DF323" s="1619"/>
      <c r="DG323" s="1474"/>
      <c r="DH323" s="1620"/>
      <c r="DI323" s="1445"/>
      <c r="DJ323" s="1467"/>
      <c r="DK323" s="1445"/>
      <c r="DL323" s="1468"/>
      <c r="DM323" s="1467"/>
      <c r="DN323" s="1467"/>
      <c r="DO323" s="1467"/>
      <c r="DP323" s="1469"/>
      <c r="DQ323" s="1465"/>
      <c r="DR323" s="1470"/>
      <c r="DS323" s="1621"/>
      <c r="DT323" s="1468"/>
      <c r="DU323" s="1467"/>
      <c r="DV323" s="1467"/>
      <c r="DW323" s="1467"/>
      <c r="DX323" s="1468"/>
      <c r="DY323" s="1467"/>
      <c r="DZ323" s="1467"/>
      <c r="EA323" s="1467"/>
      <c r="EB323" s="1471"/>
      <c r="EC323" s="1472"/>
      <c r="ED323" s="1468"/>
      <c r="EE323" s="1467"/>
      <c r="EF323" s="1467"/>
      <c r="EG323" s="1467"/>
      <c r="EH323" s="1468"/>
      <c r="EI323" s="1467"/>
      <c r="EJ323" s="1467"/>
      <c r="EK323" s="1467"/>
      <c r="EL323" s="1471"/>
      <c r="EM323" s="1472"/>
      <c r="EN323" s="1470"/>
      <c r="EO323" s="1473"/>
      <c r="EP323" s="1468"/>
      <c r="EQ323" s="1467"/>
      <c r="ER323" s="1467"/>
      <c r="ES323" s="1467"/>
      <c r="ET323" s="1468"/>
      <c r="EU323" s="1467"/>
      <c r="EV323" s="1467"/>
      <c r="EW323" s="1467"/>
      <c r="EX323" s="1472"/>
      <c r="EY323" s="1472"/>
      <c r="EZ323" s="1468"/>
      <c r="FA323" s="1467"/>
      <c r="FB323" s="1467"/>
      <c r="FC323" s="1467"/>
      <c r="FD323" s="1468"/>
      <c r="FE323" s="1467"/>
      <c r="FF323" s="1467"/>
      <c r="FG323" s="1467"/>
      <c r="FH323" s="1472"/>
      <c r="FI323" s="1472"/>
      <c r="FJ323" s="1473"/>
    </row>
    <row r="324" spans="1:166" ht="15" hidden="1" customHeight="1">
      <c r="A324" s="79" t="s">
        <v>1036</v>
      </c>
      <c r="B324" s="362">
        <v>147</v>
      </c>
      <c r="C324" s="362">
        <v>45</v>
      </c>
      <c r="D324" s="362"/>
      <c r="E324" s="604" t="s">
        <v>2083</v>
      </c>
      <c r="F324" s="124" t="s">
        <v>2337</v>
      </c>
      <c r="G324" s="125">
        <v>2013</v>
      </c>
      <c r="H324" s="79">
        <v>23891637</v>
      </c>
      <c r="I324" s="79">
        <v>1</v>
      </c>
      <c r="J324" s="126">
        <v>1</v>
      </c>
      <c r="K324" s="127"/>
      <c r="L324" s="79">
        <v>1</v>
      </c>
      <c r="M324" s="79"/>
      <c r="N324" s="79">
        <v>1</v>
      </c>
      <c r="O324" s="128">
        <v>2</v>
      </c>
      <c r="P324" s="79" t="s">
        <v>1347</v>
      </c>
      <c r="Q324" s="79" t="s">
        <v>1216</v>
      </c>
      <c r="R324" s="79" t="s">
        <v>1127</v>
      </c>
      <c r="S324" s="79"/>
      <c r="T324" s="79" t="s">
        <v>1714</v>
      </c>
      <c r="U324" s="79" t="s">
        <v>803</v>
      </c>
      <c r="V324" s="79"/>
      <c r="W324" s="79" t="s">
        <v>1383</v>
      </c>
      <c r="X324" s="79" t="s">
        <v>1384</v>
      </c>
      <c r="Y324" s="79" t="s">
        <v>1385</v>
      </c>
      <c r="Z324" s="79"/>
      <c r="AA324" s="79"/>
      <c r="AB324" s="79"/>
      <c r="AC324" s="506"/>
      <c r="AD324" s="573">
        <v>1</v>
      </c>
      <c r="AE324" s="573">
        <v>2</v>
      </c>
      <c r="AF324" s="154">
        <v>1</v>
      </c>
      <c r="AG324" s="155" t="s">
        <v>7625</v>
      </c>
      <c r="AH324" s="704"/>
      <c r="AI324" s="121">
        <v>4</v>
      </c>
      <c r="AJ324" s="484" t="s">
        <v>4897</v>
      </c>
      <c r="AK324" s="202" t="s">
        <v>4859</v>
      </c>
      <c r="AL324" s="192">
        <v>1</v>
      </c>
      <c r="AM324" s="215">
        <v>0</v>
      </c>
      <c r="AN324" s="134" t="s">
        <v>4147</v>
      </c>
      <c r="AO324" s="134">
        <v>5</v>
      </c>
      <c r="AP324" s="134">
        <v>5</v>
      </c>
      <c r="AQ324" s="134" t="s">
        <v>803</v>
      </c>
      <c r="AR324" s="134" t="s">
        <v>803</v>
      </c>
      <c r="AS324" s="134" t="s">
        <v>4775</v>
      </c>
      <c r="AT324" s="134" t="s">
        <v>24</v>
      </c>
      <c r="AU324" s="134" t="s">
        <v>4775</v>
      </c>
      <c r="AV324" s="134" t="s">
        <v>24</v>
      </c>
      <c r="AW324" s="134" t="s">
        <v>7330</v>
      </c>
      <c r="AX324" s="134"/>
      <c r="AY324" s="134"/>
      <c r="AZ324" s="753" t="s">
        <v>7331</v>
      </c>
      <c r="BA324" s="134" t="s">
        <v>4777</v>
      </c>
      <c r="BB324" s="134" t="s">
        <v>4776</v>
      </c>
      <c r="BC324" s="134" t="s">
        <v>7540</v>
      </c>
      <c r="BD324" s="753" t="s">
        <v>7522</v>
      </c>
      <c r="BE324" s="753"/>
      <c r="BF324" s="134" t="s">
        <v>4780</v>
      </c>
      <c r="BG324" s="134" t="s">
        <v>4781</v>
      </c>
      <c r="BH324" s="594"/>
      <c r="BI324" s="594"/>
      <c r="BJ324" s="156"/>
      <c r="BK324" s="156"/>
      <c r="BL324" s="156"/>
      <c r="BM324" s="156"/>
      <c r="BN324" s="156"/>
      <c r="BO324" s="156"/>
      <c r="BP324" s="156">
        <v>1</v>
      </c>
      <c r="BQ324" s="156"/>
      <c r="BR324" s="156"/>
      <c r="BS324" s="156"/>
      <c r="BT324" s="156"/>
      <c r="BU324" s="156"/>
      <c r="BV324" s="156"/>
      <c r="BW324" s="595" t="s">
        <v>3563</v>
      </c>
      <c r="BX324" s="157" t="s">
        <v>6613</v>
      </c>
      <c r="BY324" s="797" t="s">
        <v>7614</v>
      </c>
      <c r="BZ324" s="789" t="s">
        <v>803</v>
      </c>
      <c r="CA324" s="765">
        <v>2</v>
      </c>
      <c r="CB324" s="765" t="s">
        <v>7556</v>
      </c>
      <c r="CC324" s="660" t="s">
        <v>7384</v>
      </c>
      <c r="CD324" s="134" t="s">
        <v>1876</v>
      </c>
      <c r="CE324" s="134" t="s">
        <v>4782</v>
      </c>
      <c r="CF324" s="400" t="s">
        <v>7892</v>
      </c>
      <c r="CG324" s="134" t="s">
        <v>4785</v>
      </c>
      <c r="CH324" s="753" t="s">
        <v>7353</v>
      </c>
      <c r="CI324" s="134" t="s">
        <v>4783</v>
      </c>
      <c r="CJ324" s="134"/>
      <c r="CK324" s="134" t="s">
        <v>4784</v>
      </c>
      <c r="CL324" s="134" t="s">
        <v>8273</v>
      </c>
      <c r="CM324" s="259" t="s">
        <v>4858</v>
      </c>
      <c r="CN324" s="454" t="s">
        <v>24</v>
      </c>
      <c r="CO324" s="828">
        <v>38</v>
      </c>
      <c r="CP324" s="828">
        <v>1</v>
      </c>
      <c r="CQ324" s="828">
        <v>5</v>
      </c>
      <c r="CR324" s="828">
        <v>1</v>
      </c>
      <c r="CS324" s="828">
        <v>-1</v>
      </c>
      <c r="CT324" s="967">
        <v>1</v>
      </c>
      <c r="CU324" s="1289" t="s">
        <v>8104</v>
      </c>
      <c r="CV324" s="1295">
        <v>92</v>
      </c>
      <c r="CW324" s="1295">
        <v>84</v>
      </c>
      <c r="CX324" s="138" t="s">
        <v>4797</v>
      </c>
      <c r="CY324" s="134">
        <v>45.478000000000002</v>
      </c>
      <c r="CZ324" s="134" t="s">
        <v>24</v>
      </c>
      <c r="DA324" s="134">
        <f>52.1576-Table66[[#This Row],[Data_Outcome1_M]]</f>
        <v>6.6796000000000006</v>
      </c>
      <c r="DB324" s="138" t="s">
        <v>4799</v>
      </c>
      <c r="DC324" s="134">
        <v>24.444400000000002</v>
      </c>
      <c r="DD324" s="134" t="s">
        <v>24</v>
      </c>
      <c r="DE324" s="134">
        <f>27.4289-Table66[[#This Row],[Data_Outcome2_M]]</f>
        <v>2.984499999999997</v>
      </c>
      <c r="DF324" s="301" t="s">
        <v>4853</v>
      </c>
      <c r="DG324" s="301" t="s">
        <v>2555</v>
      </c>
      <c r="DH324" s="1179"/>
      <c r="DI324" s="417"/>
      <c r="DJ324" s="1169"/>
      <c r="DK324" s="417"/>
      <c r="DL324" s="1171"/>
      <c r="DM324" s="1169"/>
      <c r="DN324" s="1169"/>
      <c r="DO324" s="1169"/>
      <c r="DP324" s="288"/>
      <c r="DQ324" s="289"/>
      <c r="DR324" s="1168"/>
      <c r="DS324" s="865"/>
      <c r="DT324" s="1171"/>
      <c r="DU324" s="1169"/>
      <c r="DV324" s="1169"/>
      <c r="DW324" s="1169"/>
      <c r="DX324" s="1171"/>
      <c r="DY324" s="1169"/>
      <c r="DZ324" s="1169"/>
      <c r="EA324" s="1169"/>
      <c r="EB324" s="304"/>
      <c r="EC324" s="312"/>
      <c r="ED324" s="1171"/>
      <c r="EE324" s="1169"/>
      <c r="EF324" s="1169"/>
      <c r="EG324" s="1169"/>
      <c r="EH324" s="1171"/>
      <c r="EI324" s="1169"/>
      <c r="EJ324" s="1169"/>
      <c r="EK324" s="1169"/>
      <c r="EL324" s="304"/>
      <c r="EM324" s="312"/>
      <c r="EN324" s="309"/>
      <c r="EO324" s="1170"/>
      <c r="EP324" s="1171"/>
      <c r="EQ324" s="1169"/>
      <c r="ER324" s="1169"/>
      <c r="ES324" s="1169"/>
      <c r="ET324" s="1171"/>
      <c r="EU324" s="1169"/>
      <c r="EV324" s="1169"/>
      <c r="EW324" s="1169"/>
      <c r="EX324" s="312"/>
      <c r="EY324" s="312"/>
      <c r="EZ324" s="1171"/>
      <c r="FA324" s="1169"/>
      <c r="FB324" s="1169"/>
      <c r="FC324" s="1169"/>
      <c r="FD324" s="1171"/>
      <c r="FE324" s="1169"/>
      <c r="FF324" s="1169"/>
      <c r="FG324" s="1169"/>
      <c r="FH324" s="312"/>
      <c r="FI324" s="312"/>
      <c r="FJ324" s="1170"/>
    </row>
    <row r="325" spans="1:166" ht="15" hidden="1" customHeight="1">
      <c r="A325" s="79" t="s">
        <v>1036</v>
      </c>
      <c r="B325" s="362">
        <v>147</v>
      </c>
      <c r="C325" s="362">
        <v>45</v>
      </c>
      <c r="D325" s="362"/>
      <c r="E325" s="604" t="s">
        <v>2083</v>
      </c>
      <c r="F325" s="124" t="s">
        <v>2337</v>
      </c>
      <c r="G325" s="125">
        <v>2013</v>
      </c>
      <c r="H325" s="79">
        <v>23891637</v>
      </c>
      <c r="I325" s="79">
        <v>1</v>
      </c>
      <c r="J325" s="126">
        <v>1</v>
      </c>
      <c r="K325" s="127"/>
      <c r="L325" s="79">
        <v>1</v>
      </c>
      <c r="M325" s="79"/>
      <c r="N325" s="79">
        <v>1</v>
      </c>
      <c r="O325" s="128">
        <v>2</v>
      </c>
      <c r="P325" s="79" t="s">
        <v>1347</v>
      </c>
      <c r="Q325" s="79" t="s">
        <v>1216</v>
      </c>
      <c r="R325" s="79" t="s">
        <v>1127</v>
      </c>
      <c r="S325" s="79"/>
      <c r="T325" s="79" t="s">
        <v>1714</v>
      </c>
      <c r="U325" s="79" t="s">
        <v>803</v>
      </c>
      <c r="V325" s="79"/>
      <c r="W325" s="79" t="s">
        <v>1383</v>
      </c>
      <c r="X325" s="79" t="s">
        <v>1384</v>
      </c>
      <c r="Y325" s="79" t="s">
        <v>1385</v>
      </c>
      <c r="Z325" s="79"/>
      <c r="AA325" s="79"/>
      <c r="AB325" s="79"/>
      <c r="AC325" s="506"/>
      <c r="AD325" s="573">
        <v>1</v>
      </c>
      <c r="AE325" s="573">
        <v>2</v>
      </c>
      <c r="AF325" s="154">
        <v>1</v>
      </c>
      <c r="AG325" s="155" t="s">
        <v>7625</v>
      </c>
      <c r="AH325" s="704"/>
      <c r="AI325" s="121">
        <v>4</v>
      </c>
      <c r="AJ325" s="484" t="s">
        <v>4897</v>
      </c>
      <c r="AK325" s="202" t="s">
        <v>4859</v>
      </c>
      <c r="AL325" s="192">
        <v>1</v>
      </c>
      <c r="AM325" s="215">
        <v>0</v>
      </c>
      <c r="AN325" s="134" t="s">
        <v>4147</v>
      </c>
      <c r="AO325" s="134">
        <v>5</v>
      </c>
      <c r="AP325" s="134">
        <v>5</v>
      </c>
      <c r="AQ325" s="134" t="s">
        <v>803</v>
      </c>
      <c r="AR325" s="134" t="s">
        <v>803</v>
      </c>
      <c r="AS325" s="134" t="s">
        <v>4775</v>
      </c>
      <c r="AT325" s="134" t="s">
        <v>24</v>
      </c>
      <c r="AU325" s="134" t="s">
        <v>4775</v>
      </c>
      <c r="AV325" s="134" t="s">
        <v>24</v>
      </c>
      <c r="AW325" s="134" t="s">
        <v>7330</v>
      </c>
      <c r="AX325" s="134"/>
      <c r="AY325" s="134"/>
      <c r="AZ325" s="753" t="s">
        <v>7331</v>
      </c>
      <c r="BA325" s="134" t="s">
        <v>4777</v>
      </c>
      <c r="BB325" s="134" t="s">
        <v>4776</v>
      </c>
      <c r="BC325" s="134" t="s">
        <v>7540</v>
      </c>
      <c r="BD325" s="753" t="s">
        <v>7522</v>
      </c>
      <c r="BE325" s="753"/>
      <c r="BF325" s="134" t="s">
        <v>4780</v>
      </c>
      <c r="BG325" s="134" t="s">
        <v>4781</v>
      </c>
      <c r="BH325" s="594"/>
      <c r="BI325" s="594"/>
      <c r="BJ325" s="156"/>
      <c r="BK325" s="156"/>
      <c r="BL325" s="156"/>
      <c r="BM325" s="156"/>
      <c r="BN325" s="156"/>
      <c r="BO325" s="156"/>
      <c r="BP325" s="156">
        <v>1</v>
      </c>
      <c r="BQ325" s="156"/>
      <c r="BR325" s="156"/>
      <c r="BS325" s="156"/>
      <c r="BT325" s="156"/>
      <c r="BU325" s="156"/>
      <c r="BV325" s="156"/>
      <c r="BW325" s="595" t="s">
        <v>3563</v>
      </c>
      <c r="BX325" s="157" t="s">
        <v>6613</v>
      </c>
      <c r="BY325" s="797" t="s">
        <v>7614</v>
      </c>
      <c r="BZ325" s="789" t="s">
        <v>803</v>
      </c>
      <c r="CA325" s="765">
        <v>2</v>
      </c>
      <c r="CB325" s="765" t="s">
        <v>7556</v>
      </c>
      <c r="CC325" s="660" t="s">
        <v>7384</v>
      </c>
      <c r="CD325" s="134" t="s">
        <v>1876</v>
      </c>
      <c r="CE325" s="134" t="s">
        <v>4782</v>
      </c>
      <c r="CF325" s="400" t="s">
        <v>7892</v>
      </c>
      <c r="CG325" s="134" t="s">
        <v>4785</v>
      </c>
      <c r="CH325" s="753" t="s">
        <v>7353</v>
      </c>
      <c r="CI325" s="134" t="s">
        <v>4783</v>
      </c>
      <c r="CJ325" s="134"/>
      <c r="CK325" s="134" t="s">
        <v>4784</v>
      </c>
      <c r="CL325" s="134" t="s">
        <v>8274</v>
      </c>
      <c r="CM325" s="259" t="s">
        <v>4858</v>
      </c>
      <c r="CN325" s="454" t="s">
        <v>24</v>
      </c>
      <c r="CO325" s="828">
        <v>38</v>
      </c>
      <c r="CP325" s="828">
        <v>1</v>
      </c>
      <c r="CQ325" s="828">
        <v>6</v>
      </c>
      <c r="CR325" s="828">
        <v>1</v>
      </c>
      <c r="CS325" s="828">
        <v>1</v>
      </c>
      <c r="CT325" s="967">
        <v>1</v>
      </c>
      <c r="CU325" s="1289" t="s">
        <v>8104</v>
      </c>
      <c r="CV325" s="1295">
        <v>92</v>
      </c>
      <c r="CW325" s="1295">
        <v>84</v>
      </c>
      <c r="CX325" s="138" t="s">
        <v>4798</v>
      </c>
      <c r="CY325" s="134">
        <v>24.1602</v>
      </c>
      <c r="CZ325" s="134" t="s">
        <v>24</v>
      </c>
      <c r="DA325" s="134">
        <f>26.292-Table66[[#This Row],[Data_Outcome1_M]]</f>
        <v>2.1318000000000019</v>
      </c>
      <c r="DB325" s="138" t="s">
        <v>4800</v>
      </c>
      <c r="DC325" s="134">
        <v>39.366900000000001</v>
      </c>
      <c r="DD325" s="134" t="s">
        <v>24</v>
      </c>
      <c r="DE325" s="134">
        <f>40.3618-Table66[[#This Row],[Data_Outcome2_M]]</f>
        <v>0.99490000000000123</v>
      </c>
      <c r="DF325" s="301" t="s">
        <v>4854</v>
      </c>
      <c r="DG325" s="301" t="s">
        <v>2555</v>
      </c>
      <c r="DH325" s="1155"/>
      <c r="DI325" s="417"/>
      <c r="DJ325" s="417"/>
      <c r="DK325" s="417"/>
      <c r="DL325" s="1171"/>
      <c r="DM325" s="1169"/>
      <c r="DN325" s="1169"/>
      <c r="DO325" s="1169"/>
      <c r="DP325" s="288"/>
      <c r="DQ325" s="289"/>
      <c r="DR325" s="1168"/>
      <c r="DS325" s="865"/>
      <c r="DT325" s="1171"/>
      <c r="DU325" s="1169"/>
      <c r="DV325" s="1169"/>
      <c r="DW325" s="1169"/>
      <c r="DX325" s="1171"/>
      <c r="DY325" s="1169"/>
      <c r="DZ325" s="1169"/>
      <c r="EA325" s="1169"/>
      <c r="EB325" s="304"/>
      <c r="EC325" s="312"/>
      <c r="ED325" s="1171"/>
      <c r="EE325" s="1169"/>
      <c r="EF325" s="1169"/>
      <c r="EG325" s="1169"/>
      <c r="EH325" s="1171"/>
      <c r="EI325" s="1169"/>
      <c r="EJ325" s="1169"/>
      <c r="EK325" s="1169"/>
      <c r="EL325" s="304"/>
      <c r="EM325" s="312"/>
      <c r="EN325" s="309"/>
      <c r="EO325" s="1170"/>
      <c r="EP325" s="1171"/>
      <c r="EQ325" s="1169"/>
      <c r="ER325" s="1169"/>
      <c r="ES325" s="1169"/>
      <c r="ET325" s="1171"/>
      <c r="EU325" s="1169"/>
      <c r="EV325" s="1169"/>
      <c r="EW325" s="1169"/>
      <c r="EX325" s="312"/>
      <c r="EY325" s="312"/>
      <c r="EZ325" s="1171"/>
      <c r="FA325" s="1169"/>
      <c r="FB325" s="1169"/>
      <c r="FC325" s="1169"/>
      <c r="FD325" s="1171"/>
      <c r="FE325" s="1169"/>
      <c r="FF325" s="1169"/>
      <c r="FG325" s="1169"/>
      <c r="FH325" s="312"/>
      <c r="FI325" s="312"/>
      <c r="FJ325" s="1170"/>
    </row>
    <row r="326" spans="1:166" s="1475" customFormat="1" ht="15" hidden="1" customHeight="1">
      <c r="A326" s="1445" t="s">
        <v>1036</v>
      </c>
      <c r="B326" s="1446">
        <v>147</v>
      </c>
      <c r="C326" s="1446">
        <v>45</v>
      </c>
      <c r="D326" s="1446"/>
      <c r="E326" s="1447" t="s">
        <v>2083</v>
      </c>
      <c r="F326" s="1448" t="s">
        <v>2337</v>
      </c>
      <c r="G326" s="1449">
        <v>2013</v>
      </c>
      <c r="H326" s="1445">
        <v>23891637</v>
      </c>
      <c r="I326" s="1445">
        <v>1</v>
      </c>
      <c r="J326" s="1445">
        <v>1</v>
      </c>
      <c r="K326" s="1445"/>
      <c r="L326" s="1445">
        <v>1</v>
      </c>
      <c r="M326" s="1445"/>
      <c r="N326" s="1445">
        <v>1</v>
      </c>
      <c r="O326" s="1450">
        <v>2</v>
      </c>
      <c r="P326" s="1445" t="s">
        <v>1347</v>
      </c>
      <c r="Q326" s="1445" t="s">
        <v>1216</v>
      </c>
      <c r="R326" s="1445" t="s">
        <v>1127</v>
      </c>
      <c r="S326" s="1445"/>
      <c r="T326" s="1445" t="s">
        <v>1714</v>
      </c>
      <c r="U326" s="1445" t="s">
        <v>803</v>
      </c>
      <c r="V326" s="1445"/>
      <c r="W326" s="1445" t="s">
        <v>1383</v>
      </c>
      <c r="X326" s="1445" t="s">
        <v>1384</v>
      </c>
      <c r="Y326" s="1445" t="s">
        <v>1385</v>
      </c>
      <c r="Z326" s="1445"/>
      <c r="AA326" s="1445"/>
      <c r="AB326" s="1445"/>
      <c r="AC326" s="1451"/>
      <c r="AD326" s="1452">
        <v>1</v>
      </c>
      <c r="AE326" s="1452">
        <v>2</v>
      </c>
      <c r="AF326" s="1609">
        <v>0</v>
      </c>
      <c r="AG326" s="1610" t="s">
        <v>8142</v>
      </c>
      <c r="AH326" s="1611"/>
      <c r="AI326" s="1451">
        <v>4</v>
      </c>
      <c r="AJ326" s="1454" t="s">
        <v>4897</v>
      </c>
      <c r="AK326" s="1455" t="s">
        <v>4859</v>
      </c>
      <c r="AL326" s="1456">
        <v>1</v>
      </c>
      <c r="AM326" s="1590">
        <v>0</v>
      </c>
      <c r="AN326" s="1457" t="s">
        <v>4147</v>
      </c>
      <c r="AO326" s="1457">
        <v>5</v>
      </c>
      <c r="AP326" s="1457">
        <v>5</v>
      </c>
      <c r="AQ326" s="1457" t="s">
        <v>803</v>
      </c>
      <c r="AR326" s="1457" t="s">
        <v>803</v>
      </c>
      <c r="AS326" s="1457" t="s">
        <v>4775</v>
      </c>
      <c r="AT326" s="1457" t="s">
        <v>24</v>
      </c>
      <c r="AU326" s="1457" t="s">
        <v>4775</v>
      </c>
      <c r="AV326" s="1457" t="s">
        <v>24</v>
      </c>
      <c r="AW326" s="1457" t="s">
        <v>7330</v>
      </c>
      <c r="AX326" s="1457"/>
      <c r="AY326" s="1457"/>
      <c r="AZ326" s="1457" t="s">
        <v>7331</v>
      </c>
      <c r="BA326" s="1457" t="s">
        <v>4777</v>
      </c>
      <c r="BB326" s="1457" t="s">
        <v>4776</v>
      </c>
      <c r="BC326" s="1457" t="s">
        <v>7540</v>
      </c>
      <c r="BD326" s="1457" t="s">
        <v>7522</v>
      </c>
      <c r="BE326" s="1457"/>
      <c r="BF326" s="1457" t="s">
        <v>4780</v>
      </c>
      <c r="BG326" s="1457" t="s">
        <v>4781</v>
      </c>
      <c r="BH326" s="1612"/>
      <c r="BI326" s="1612"/>
      <c r="BJ326" s="1613"/>
      <c r="BK326" s="1613"/>
      <c r="BL326" s="1613"/>
      <c r="BM326" s="1613"/>
      <c r="BN326" s="1613"/>
      <c r="BO326" s="1613"/>
      <c r="BP326" s="1613">
        <v>1</v>
      </c>
      <c r="BQ326" s="1613"/>
      <c r="BR326" s="1613"/>
      <c r="BS326" s="1613"/>
      <c r="BT326" s="1613"/>
      <c r="BU326" s="1613"/>
      <c r="BV326" s="1613"/>
      <c r="BW326" s="1614" t="s">
        <v>3563</v>
      </c>
      <c r="BX326" s="1615" t="s">
        <v>6613</v>
      </c>
      <c r="BY326" s="1616" t="s">
        <v>7614</v>
      </c>
      <c r="BZ326" s="1617" t="s">
        <v>803</v>
      </c>
      <c r="CA326" s="1618">
        <v>2</v>
      </c>
      <c r="CB326" s="1618" t="s">
        <v>7556</v>
      </c>
      <c r="CC326" s="1618" t="s">
        <v>24</v>
      </c>
      <c r="CD326" s="1457" t="s">
        <v>1876</v>
      </c>
      <c r="CE326" s="1457" t="s">
        <v>4782</v>
      </c>
      <c r="CF326" s="1457" t="s">
        <v>7891</v>
      </c>
      <c r="CG326" s="1457" t="s">
        <v>4785</v>
      </c>
      <c r="CH326" s="1457" t="s">
        <v>7353</v>
      </c>
      <c r="CI326" s="1457" t="s">
        <v>4783</v>
      </c>
      <c r="CJ326" s="1457"/>
      <c r="CK326" s="1457" t="s">
        <v>4784</v>
      </c>
      <c r="CL326" s="1457"/>
      <c r="CM326" s="1458" t="s">
        <v>4858</v>
      </c>
      <c r="CN326" s="1459" t="s">
        <v>24</v>
      </c>
      <c r="CO326" s="1460"/>
      <c r="CP326" s="1460"/>
      <c r="CQ326" s="1460"/>
      <c r="CR326" s="1460"/>
      <c r="CS326" s="1460">
        <v>1</v>
      </c>
      <c r="CT326" s="1461" t="s">
        <v>8142</v>
      </c>
      <c r="CU326" s="1462" t="s">
        <v>8104</v>
      </c>
      <c r="CV326" s="1463">
        <v>92</v>
      </c>
      <c r="CW326" s="1463">
        <v>84</v>
      </c>
      <c r="CX326" s="1464" t="s">
        <v>8145</v>
      </c>
      <c r="CY326" s="1457">
        <f>CY325/(CY325+CY324)</f>
        <v>0.34693889273416029</v>
      </c>
      <c r="CZ326" s="1457"/>
      <c r="DA326" s="1457"/>
      <c r="DB326" s="1464" t="s">
        <v>8148</v>
      </c>
      <c r="DC326" s="1457">
        <f>DC325/(DC325+DC324)</f>
        <v>0.61692678256045563</v>
      </c>
      <c r="DD326" s="1457"/>
      <c r="DE326" s="1457"/>
      <c r="DF326" s="1619"/>
      <c r="DG326" s="1474"/>
      <c r="DH326" s="1620"/>
      <c r="DI326" s="1445"/>
      <c r="DJ326" s="1467"/>
      <c r="DK326" s="1445"/>
      <c r="DL326" s="1468"/>
      <c r="DM326" s="1467"/>
      <c r="DN326" s="1467"/>
      <c r="DO326" s="1467"/>
      <c r="DP326" s="1469"/>
      <c r="DQ326" s="1465"/>
      <c r="DR326" s="1470"/>
      <c r="DS326" s="1621"/>
      <c r="DT326" s="1468"/>
      <c r="DU326" s="1467"/>
      <c r="DV326" s="1467"/>
      <c r="DW326" s="1467"/>
      <c r="DX326" s="1468"/>
      <c r="DY326" s="1467"/>
      <c r="DZ326" s="1467"/>
      <c r="EA326" s="1467"/>
      <c r="EB326" s="1471"/>
      <c r="EC326" s="1472"/>
      <c r="ED326" s="1468"/>
      <c r="EE326" s="1467"/>
      <c r="EF326" s="1467"/>
      <c r="EG326" s="1467"/>
      <c r="EH326" s="1468"/>
      <c r="EI326" s="1467"/>
      <c r="EJ326" s="1467"/>
      <c r="EK326" s="1467"/>
      <c r="EL326" s="1471"/>
      <c r="EM326" s="1472"/>
      <c r="EN326" s="1470"/>
      <c r="EO326" s="1473"/>
      <c r="EP326" s="1468"/>
      <c r="EQ326" s="1467"/>
      <c r="ER326" s="1467"/>
      <c r="ES326" s="1467"/>
      <c r="ET326" s="1468"/>
      <c r="EU326" s="1467"/>
      <c r="EV326" s="1467"/>
      <c r="EW326" s="1467"/>
      <c r="EX326" s="1472"/>
      <c r="EY326" s="1472"/>
      <c r="EZ326" s="1468"/>
      <c r="FA326" s="1467"/>
      <c r="FB326" s="1467"/>
      <c r="FC326" s="1467"/>
      <c r="FD326" s="1468"/>
      <c r="FE326" s="1467"/>
      <c r="FF326" s="1467"/>
      <c r="FG326" s="1467"/>
      <c r="FH326" s="1472"/>
      <c r="FI326" s="1472"/>
      <c r="FJ326" s="1473"/>
    </row>
    <row r="327" spans="1:166" ht="15" hidden="1" customHeight="1">
      <c r="A327" s="79" t="s">
        <v>1036</v>
      </c>
      <c r="B327" s="362">
        <v>147</v>
      </c>
      <c r="C327" s="362">
        <v>45</v>
      </c>
      <c r="D327" s="362"/>
      <c r="E327" s="604" t="s">
        <v>2083</v>
      </c>
      <c r="F327" s="124" t="s">
        <v>2337</v>
      </c>
      <c r="G327" s="125">
        <v>2013</v>
      </c>
      <c r="H327" s="79">
        <v>23891637</v>
      </c>
      <c r="I327" s="79">
        <v>1</v>
      </c>
      <c r="J327" s="126">
        <v>1</v>
      </c>
      <c r="K327" s="127"/>
      <c r="L327" s="79">
        <v>1</v>
      </c>
      <c r="M327" s="79"/>
      <c r="N327" s="79">
        <v>1</v>
      </c>
      <c r="O327" s="128">
        <v>2</v>
      </c>
      <c r="P327" s="79" t="s">
        <v>1347</v>
      </c>
      <c r="Q327" s="79" t="s">
        <v>1216</v>
      </c>
      <c r="R327" s="79" t="s">
        <v>1127</v>
      </c>
      <c r="S327" s="79"/>
      <c r="T327" s="79" t="s">
        <v>1714</v>
      </c>
      <c r="U327" s="79" t="s">
        <v>803</v>
      </c>
      <c r="V327" s="79"/>
      <c r="W327" s="79" t="s">
        <v>1383</v>
      </c>
      <c r="X327" s="79" t="s">
        <v>1384</v>
      </c>
      <c r="Y327" s="79" t="s">
        <v>1385</v>
      </c>
      <c r="Z327" s="79"/>
      <c r="AA327" s="79"/>
      <c r="AB327" s="79"/>
      <c r="AC327" s="506"/>
      <c r="AD327" s="573">
        <v>1</v>
      </c>
      <c r="AE327" s="573">
        <v>2</v>
      </c>
      <c r="AF327" s="154">
        <v>1</v>
      </c>
      <c r="AG327" s="155" t="s">
        <v>7625</v>
      </c>
      <c r="AH327" s="704"/>
      <c r="AI327" s="121">
        <v>4</v>
      </c>
      <c r="AJ327" s="484" t="s">
        <v>4897</v>
      </c>
      <c r="AK327" s="202" t="s">
        <v>4859</v>
      </c>
      <c r="AL327" s="192">
        <v>1</v>
      </c>
      <c r="AM327" s="215">
        <v>0</v>
      </c>
      <c r="AN327" s="134" t="s">
        <v>4147</v>
      </c>
      <c r="AO327" s="134">
        <v>5</v>
      </c>
      <c r="AP327" s="134">
        <v>5</v>
      </c>
      <c r="AQ327" s="134" t="s">
        <v>803</v>
      </c>
      <c r="AR327" s="134" t="s">
        <v>803</v>
      </c>
      <c r="AS327" s="134" t="s">
        <v>4775</v>
      </c>
      <c r="AT327" s="134" t="s">
        <v>24</v>
      </c>
      <c r="AU327" s="134" t="s">
        <v>4775</v>
      </c>
      <c r="AV327" s="134" t="s">
        <v>24</v>
      </c>
      <c r="AW327" s="134" t="s">
        <v>7330</v>
      </c>
      <c r="AX327" s="134"/>
      <c r="AY327" s="134"/>
      <c r="AZ327" s="753" t="s">
        <v>7331</v>
      </c>
      <c r="BA327" s="134" t="s">
        <v>4777</v>
      </c>
      <c r="BB327" s="134" t="s">
        <v>4776</v>
      </c>
      <c r="BC327" s="134" t="s">
        <v>7540</v>
      </c>
      <c r="BD327" s="753" t="s">
        <v>7522</v>
      </c>
      <c r="BE327" s="753"/>
      <c r="BF327" s="134" t="s">
        <v>4780</v>
      </c>
      <c r="BG327" s="134" t="s">
        <v>4781</v>
      </c>
      <c r="BH327" s="594"/>
      <c r="BI327" s="594"/>
      <c r="BJ327" s="156"/>
      <c r="BK327" s="156"/>
      <c r="BL327" s="156"/>
      <c r="BM327" s="156"/>
      <c r="BN327" s="156"/>
      <c r="BO327" s="156"/>
      <c r="BP327" s="156">
        <v>1</v>
      </c>
      <c r="BQ327" s="156"/>
      <c r="BR327" s="156"/>
      <c r="BS327" s="156"/>
      <c r="BT327" s="156"/>
      <c r="BU327" s="156"/>
      <c r="BV327" s="156"/>
      <c r="BW327" s="595" t="s">
        <v>3563</v>
      </c>
      <c r="BX327" s="157" t="s">
        <v>6613</v>
      </c>
      <c r="BY327" s="797" t="s">
        <v>7614</v>
      </c>
      <c r="BZ327" s="789" t="s">
        <v>803</v>
      </c>
      <c r="CA327" s="765">
        <v>2</v>
      </c>
      <c r="CB327" s="765" t="s">
        <v>7556</v>
      </c>
      <c r="CC327" s="660" t="s">
        <v>7384</v>
      </c>
      <c r="CD327" s="134" t="s">
        <v>1876</v>
      </c>
      <c r="CE327" s="134" t="s">
        <v>4782</v>
      </c>
      <c r="CF327" s="400" t="s">
        <v>7893</v>
      </c>
      <c r="CG327" s="134" t="s">
        <v>4785</v>
      </c>
      <c r="CH327" s="753" t="s">
        <v>7353</v>
      </c>
      <c r="CI327" s="134" t="s">
        <v>4783</v>
      </c>
      <c r="CJ327" s="134"/>
      <c r="CK327" s="134" t="s">
        <v>4784</v>
      </c>
      <c r="CL327" s="134" t="s">
        <v>8273</v>
      </c>
      <c r="CM327" s="259" t="s">
        <v>4858</v>
      </c>
      <c r="CN327" s="454" t="s">
        <v>24</v>
      </c>
      <c r="CO327" s="828">
        <v>38</v>
      </c>
      <c r="CP327" s="828">
        <v>1</v>
      </c>
      <c r="CQ327" s="828">
        <v>7</v>
      </c>
      <c r="CR327" s="828">
        <v>1</v>
      </c>
      <c r="CS327" s="828">
        <v>-1</v>
      </c>
      <c r="CT327" s="967">
        <v>1</v>
      </c>
      <c r="CU327" s="1289" t="s">
        <v>8104</v>
      </c>
      <c r="CV327" s="1295">
        <v>92</v>
      </c>
      <c r="CW327" s="1295">
        <v>84</v>
      </c>
      <c r="CX327" s="138" t="s">
        <v>4801</v>
      </c>
      <c r="CY327" s="134">
        <v>47.826599999999999</v>
      </c>
      <c r="CZ327" s="134" t="s">
        <v>24</v>
      </c>
      <c r="DA327" s="134">
        <f>54.6661-Table66[[#This Row],[Data_Outcome1_M]]</f>
        <v>6.839500000000001</v>
      </c>
      <c r="DB327" s="138" t="s">
        <v>4803</v>
      </c>
      <c r="DC327" s="134">
        <v>27.521799999999999</v>
      </c>
      <c r="DD327" s="134" t="s">
        <v>24</v>
      </c>
      <c r="DE327" s="134">
        <f>29.3742-Table66[[#This Row],[Data_Outcome2_M]]</f>
        <v>1.8523999999999994</v>
      </c>
      <c r="DF327" s="301" t="s">
        <v>4853</v>
      </c>
      <c r="DG327" s="301" t="s">
        <v>2555</v>
      </c>
      <c r="DH327" s="1175"/>
      <c r="DI327" s="417"/>
      <c r="DJ327" s="1169"/>
      <c r="DK327" s="417"/>
      <c r="DL327" s="1171"/>
      <c r="DM327" s="1169"/>
      <c r="DN327" s="1169"/>
      <c r="DO327" s="1169"/>
      <c r="DP327" s="288"/>
      <c r="DQ327" s="289"/>
      <c r="DR327" s="1168"/>
      <c r="DS327" s="865"/>
      <c r="DT327" s="1171"/>
      <c r="DU327" s="1169"/>
      <c r="DV327" s="1169"/>
      <c r="DW327" s="1169"/>
      <c r="DX327" s="1171"/>
      <c r="DY327" s="1169"/>
      <c r="DZ327" s="1169"/>
      <c r="EA327" s="1169"/>
      <c r="EB327" s="304"/>
      <c r="EC327" s="312"/>
      <c r="ED327" s="1171"/>
      <c r="EE327" s="1169"/>
      <c r="EF327" s="1169"/>
      <c r="EG327" s="1169"/>
      <c r="EH327" s="1171"/>
      <c r="EI327" s="1169"/>
      <c r="EJ327" s="1169"/>
      <c r="EK327" s="1169"/>
      <c r="EL327" s="304"/>
      <c r="EM327" s="312"/>
      <c r="EN327" s="309"/>
      <c r="EO327" s="1170"/>
      <c r="EP327" s="1171"/>
      <c r="EQ327" s="1169"/>
      <c r="ER327" s="1169"/>
      <c r="ES327" s="1169"/>
      <c r="ET327" s="1171"/>
      <c r="EU327" s="1169"/>
      <c r="EV327" s="1169"/>
      <c r="EW327" s="1169"/>
      <c r="EX327" s="312"/>
      <c r="EY327" s="312"/>
      <c r="EZ327" s="1171"/>
      <c r="FA327" s="1169"/>
      <c r="FB327" s="1169"/>
      <c r="FC327" s="1169"/>
      <c r="FD327" s="1171"/>
      <c r="FE327" s="1169"/>
      <c r="FF327" s="1169"/>
      <c r="FG327" s="1169"/>
      <c r="FH327" s="312"/>
      <c r="FI327" s="312"/>
      <c r="FJ327" s="1170"/>
    </row>
    <row r="328" spans="1:166" ht="16" hidden="1" customHeight="1">
      <c r="A328" s="79" t="s">
        <v>1036</v>
      </c>
      <c r="B328" s="362">
        <v>147</v>
      </c>
      <c r="C328" s="362">
        <v>45</v>
      </c>
      <c r="D328" s="362"/>
      <c r="E328" s="604" t="s">
        <v>2083</v>
      </c>
      <c r="F328" s="124" t="s">
        <v>2337</v>
      </c>
      <c r="G328" s="125">
        <v>2013</v>
      </c>
      <c r="H328" s="79">
        <v>23891637</v>
      </c>
      <c r="I328" s="79">
        <v>1</v>
      </c>
      <c r="J328" s="126">
        <v>1</v>
      </c>
      <c r="K328" s="127"/>
      <c r="L328" s="79">
        <v>1</v>
      </c>
      <c r="M328" s="79"/>
      <c r="N328" s="79">
        <v>1</v>
      </c>
      <c r="O328" s="128">
        <v>2</v>
      </c>
      <c r="P328" s="79" t="s">
        <v>1347</v>
      </c>
      <c r="Q328" s="79" t="s">
        <v>1216</v>
      </c>
      <c r="R328" s="79" t="s">
        <v>1127</v>
      </c>
      <c r="S328" s="79"/>
      <c r="T328" s="79" t="s">
        <v>1714</v>
      </c>
      <c r="U328" s="79" t="s">
        <v>803</v>
      </c>
      <c r="V328" s="79"/>
      <c r="W328" s="79" t="s">
        <v>1383</v>
      </c>
      <c r="X328" s="79" t="s">
        <v>1384</v>
      </c>
      <c r="Y328" s="79" t="s">
        <v>1385</v>
      </c>
      <c r="Z328" s="79"/>
      <c r="AA328" s="79"/>
      <c r="AB328" s="79"/>
      <c r="AC328" s="506"/>
      <c r="AD328" s="573">
        <v>1</v>
      </c>
      <c r="AE328" s="573">
        <v>2</v>
      </c>
      <c r="AF328" s="154">
        <v>1</v>
      </c>
      <c r="AG328" s="155" t="s">
        <v>7625</v>
      </c>
      <c r="AH328" s="704"/>
      <c r="AI328" s="121">
        <v>4</v>
      </c>
      <c r="AJ328" s="484" t="s">
        <v>4897</v>
      </c>
      <c r="AK328" s="202" t="s">
        <v>4859</v>
      </c>
      <c r="AL328" s="192">
        <v>1</v>
      </c>
      <c r="AM328" s="215">
        <v>0</v>
      </c>
      <c r="AN328" s="134" t="s">
        <v>4147</v>
      </c>
      <c r="AO328" s="134">
        <v>5</v>
      </c>
      <c r="AP328" s="134">
        <v>5</v>
      </c>
      <c r="AQ328" s="134" t="s">
        <v>803</v>
      </c>
      <c r="AR328" s="134" t="s">
        <v>803</v>
      </c>
      <c r="AS328" s="134" t="s">
        <v>4775</v>
      </c>
      <c r="AT328" s="134" t="s">
        <v>24</v>
      </c>
      <c r="AU328" s="134" t="s">
        <v>4775</v>
      </c>
      <c r="AV328" s="134" t="s">
        <v>24</v>
      </c>
      <c r="AW328" s="134" t="s">
        <v>7330</v>
      </c>
      <c r="AX328" s="134"/>
      <c r="AY328" s="134"/>
      <c r="AZ328" s="753" t="s">
        <v>7331</v>
      </c>
      <c r="BA328" s="134" t="s">
        <v>4777</v>
      </c>
      <c r="BB328" s="134" t="s">
        <v>4776</v>
      </c>
      <c r="BC328" s="134" t="s">
        <v>7540</v>
      </c>
      <c r="BD328" s="753" t="s">
        <v>7522</v>
      </c>
      <c r="BE328" s="753"/>
      <c r="BF328" s="134" t="s">
        <v>4780</v>
      </c>
      <c r="BG328" s="134" t="s">
        <v>4781</v>
      </c>
      <c r="BH328" s="594"/>
      <c r="BI328" s="594"/>
      <c r="BJ328" s="156"/>
      <c r="BK328" s="156"/>
      <c r="BL328" s="156"/>
      <c r="BM328" s="156"/>
      <c r="BN328" s="156"/>
      <c r="BO328" s="156"/>
      <c r="BP328" s="156">
        <v>1</v>
      </c>
      <c r="BQ328" s="156"/>
      <c r="BR328" s="156"/>
      <c r="BS328" s="156"/>
      <c r="BT328" s="156"/>
      <c r="BU328" s="156"/>
      <c r="BV328" s="156"/>
      <c r="BW328" s="595" t="s">
        <v>3563</v>
      </c>
      <c r="BX328" s="157" t="s">
        <v>6613</v>
      </c>
      <c r="BY328" s="797" t="s">
        <v>7614</v>
      </c>
      <c r="BZ328" s="789" t="s">
        <v>803</v>
      </c>
      <c r="CA328" s="765">
        <v>2</v>
      </c>
      <c r="CB328" s="765" t="s">
        <v>7556</v>
      </c>
      <c r="CC328" s="660" t="s">
        <v>7384</v>
      </c>
      <c r="CD328" s="134" t="s">
        <v>1876</v>
      </c>
      <c r="CE328" s="134" t="s">
        <v>4782</v>
      </c>
      <c r="CF328" s="400" t="s">
        <v>7893</v>
      </c>
      <c r="CG328" s="134" t="s">
        <v>4785</v>
      </c>
      <c r="CH328" s="753" t="s">
        <v>7353</v>
      </c>
      <c r="CI328" s="134" t="s">
        <v>4783</v>
      </c>
      <c r="CJ328" s="134"/>
      <c r="CK328" s="134" t="s">
        <v>4784</v>
      </c>
      <c r="CL328" s="134" t="s">
        <v>8274</v>
      </c>
      <c r="CM328" s="259" t="s">
        <v>4858</v>
      </c>
      <c r="CN328" s="454" t="s">
        <v>24</v>
      </c>
      <c r="CO328" s="828">
        <v>38</v>
      </c>
      <c r="CP328" s="828">
        <v>1</v>
      </c>
      <c r="CQ328" s="828">
        <v>8</v>
      </c>
      <c r="CR328" s="828">
        <v>1</v>
      </c>
      <c r="CS328" s="828">
        <v>1</v>
      </c>
      <c r="CT328" s="967">
        <v>1</v>
      </c>
      <c r="CU328" s="1289" t="s">
        <v>8104</v>
      </c>
      <c r="CV328" s="1295">
        <v>92</v>
      </c>
      <c r="CW328" s="1295">
        <v>84</v>
      </c>
      <c r="CX328" s="138" t="s">
        <v>4802</v>
      </c>
      <c r="CY328" s="134">
        <v>23.629200000000001</v>
      </c>
      <c r="CZ328" s="134" t="s">
        <v>24</v>
      </c>
      <c r="DA328" s="134">
        <f>25.9091-Table66[[#This Row],[Data_Outcome1_M]]</f>
        <v>2.2798999999999978</v>
      </c>
      <c r="DB328" s="138" t="s">
        <v>4804</v>
      </c>
      <c r="DC328" s="134">
        <v>44.647100000000002</v>
      </c>
      <c r="DD328" s="134" t="s">
        <v>24</v>
      </c>
      <c r="DE328" s="134">
        <f>45.2171-Table66[[#This Row],[Data_Outcome2_M]]</f>
        <v>0.57000000000000028</v>
      </c>
      <c r="DF328" s="135" t="s">
        <v>4855</v>
      </c>
      <c r="DG328" s="135" t="s">
        <v>2555</v>
      </c>
      <c r="DH328" s="1175"/>
      <c r="DI328" s="417"/>
      <c r="DJ328" s="1169"/>
      <c r="DK328" s="417"/>
      <c r="DL328" s="1171"/>
      <c r="DM328" s="1169"/>
      <c r="DN328" s="1169"/>
      <c r="DO328" s="1169"/>
      <c r="DP328" s="288"/>
      <c r="DQ328" s="289"/>
      <c r="DR328" s="1168"/>
      <c r="DS328" s="865"/>
      <c r="DT328" s="1171"/>
      <c r="DU328" s="1169"/>
      <c r="DV328" s="1169"/>
      <c r="DW328" s="1169"/>
      <c r="DX328" s="1171"/>
      <c r="DY328" s="1169"/>
      <c r="DZ328" s="1169"/>
      <c r="EA328" s="1169"/>
      <c r="EB328" s="304"/>
      <c r="EC328" s="312"/>
      <c r="ED328" s="1171"/>
      <c r="EE328" s="1169"/>
      <c r="EF328" s="1169"/>
      <c r="EG328" s="1169"/>
      <c r="EH328" s="1171"/>
      <c r="EI328" s="1169"/>
      <c r="EJ328" s="1169"/>
      <c r="EK328" s="1169"/>
      <c r="EL328" s="304"/>
      <c r="EM328" s="312"/>
      <c r="EN328" s="309"/>
      <c r="EO328" s="1170"/>
      <c r="EP328" s="1171"/>
      <c r="EQ328" s="1169"/>
      <c r="ER328" s="1169"/>
      <c r="ES328" s="1169"/>
      <c r="ET328" s="1171"/>
      <c r="EU328" s="1169"/>
      <c r="EV328" s="1169"/>
      <c r="EW328" s="1169"/>
      <c r="EX328" s="312"/>
      <c r="EY328" s="312"/>
      <c r="EZ328" s="1171"/>
      <c r="FA328" s="1169"/>
      <c r="FB328" s="1169"/>
      <c r="FC328" s="1169"/>
      <c r="FD328" s="1171"/>
      <c r="FE328" s="1169"/>
      <c r="FF328" s="1169"/>
      <c r="FG328" s="1169"/>
      <c r="FH328" s="312"/>
      <c r="FI328" s="312"/>
      <c r="FJ328" s="1170"/>
    </row>
    <row r="329" spans="1:166" s="1475" customFormat="1" ht="15" hidden="1" customHeight="1">
      <c r="A329" s="1445" t="s">
        <v>1036</v>
      </c>
      <c r="B329" s="1446">
        <v>147</v>
      </c>
      <c r="C329" s="1446">
        <v>45</v>
      </c>
      <c r="D329" s="1446"/>
      <c r="E329" s="1447" t="s">
        <v>2083</v>
      </c>
      <c r="F329" s="1448" t="s">
        <v>2337</v>
      </c>
      <c r="G329" s="1449">
        <v>2013</v>
      </c>
      <c r="H329" s="1445">
        <v>23891637</v>
      </c>
      <c r="I329" s="1445">
        <v>1</v>
      </c>
      <c r="J329" s="1445">
        <v>1</v>
      </c>
      <c r="K329" s="1445"/>
      <c r="L329" s="1445">
        <v>1</v>
      </c>
      <c r="M329" s="1445"/>
      <c r="N329" s="1445">
        <v>1</v>
      </c>
      <c r="O329" s="1450">
        <v>2</v>
      </c>
      <c r="P329" s="1445" t="s">
        <v>1347</v>
      </c>
      <c r="Q329" s="1445" t="s">
        <v>1216</v>
      </c>
      <c r="R329" s="1445" t="s">
        <v>1127</v>
      </c>
      <c r="S329" s="1445"/>
      <c r="T329" s="1445" t="s">
        <v>1714</v>
      </c>
      <c r="U329" s="1445" t="s">
        <v>803</v>
      </c>
      <c r="V329" s="1445"/>
      <c r="W329" s="1445" t="s">
        <v>1383</v>
      </c>
      <c r="X329" s="1445" t="s">
        <v>1384</v>
      </c>
      <c r="Y329" s="1445" t="s">
        <v>1385</v>
      </c>
      <c r="Z329" s="1445"/>
      <c r="AA329" s="1445"/>
      <c r="AB329" s="1445"/>
      <c r="AC329" s="1451"/>
      <c r="AD329" s="1452">
        <v>1</v>
      </c>
      <c r="AE329" s="1452">
        <v>2</v>
      </c>
      <c r="AF329" s="1609">
        <v>0</v>
      </c>
      <c r="AG329" s="1610" t="s">
        <v>8142</v>
      </c>
      <c r="AH329" s="1611"/>
      <c r="AI329" s="1451">
        <v>4</v>
      </c>
      <c r="AJ329" s="1454" t="s">
        <v>4897</v>
      </c>
      <c r="AK329" s="1455" t="s">
        <v>4859</v>
      </c>
      <c r="AL329" s="1456">
        <v>1</v>
      </c>
      <c r="AM329" s="1590">
        <v>0</v>
      </c>
      <c r="AN329" s="1457" t="s">
        <v>4147</v>
      </c>
      <c r="AO329" s="1457">
        <v>5</v>
      </c>
      <c r="AP329" s="1457">
        <v>5</v>
      </c>
      <c r="AQ329" s="1457" t="s">
        <v>803</v>
      </c>
      <c r="AR329" s="1457" t="s">
        <v>803</v>
      </c>
      <c r="AS329" s="1457" t="s">
        <v>4775</v>
      </c>
      <c r="AT329" s="1457" t="s">
        <v>24</v>
      </c>
      <c r="AU329" s="1457" t="s">
        <v>4775</v>
      </c>
      <c r="AV329" s="1457" t="s">
        <v>24</v>
      </c>
      <c r="AW329" s="1457" t="s">
        <v>7330</v>
      </c>
      <c r="AX329" s="1457"/>
      <c r="AY329" s="1457"/>
      <c r="AZ329" s="1457" t="s">
        <v>7331</v>
      </c>
      <c r="BA329" s="1457" t="s">
        <v>4777</v>
      </c>
      <c r="BB329" s="1457" t="s">
        <v>4776</v>
      </c>
      <c r="BC329" s="1457" t="s">
        <v>7540</v>
      </c>
      <c r="BD329" s="1457" t="s">
        <v>7522</v>
      </c>
      <c r="BE329" s="1457"/>
      <c r="BF329" s="1457" t="s">
        <v>4780</v>
      </c>
      <c r="BG329" s="1457" t="s">
        <v>4781</v>
      </c>
      <c r="BH329" s="1612"/>
      <c r="BI329" s="1612"/>
      <c r="BJ329" s="1613"/>
      <c r="BK329" s="1613"/>
      <c r="BL329" s="1613"/>
      <c r="BM329" s="1613"/>
      <c r="BN329" s="1613"/>
      <c r="BO329" s="1613"/>
      <c r="BP329" s="1613">
        <v>1</v>
      </c>
      <c r="BQ329" s="1613"/>
      <c r="BR329" s="1613"/>
      <c r="BS329" s="1613"/>
      <c r="BT329" s="1613"/>
      <c r="BU329" s="1613"/>
      <c r="BV329" s="1613"/>
      <c r="BW329" s="1614" t="s">
        <v>3563</v>
      </c>
      <c r="BX329" s="1615" t="s">
        <v>6613</v>
      </c>
      <c r="BY329" s="1616" t="s">
        <v>7614</v>
      </c>
      <c r="BZ329" s="1617" t="s">
        <v>803</v>
      </c>
      <c r="CA329" s="1618">
        <v>2</v>
      </c>
      <c r="CB329" s="1618" t="s">
        <v>7556</v>
      </c>
      <c r="CC329" s="1618" t="s">
        <v>24</v>
      </c>
      <c r="CD329" s="1457" t="s">
        <v>1876</v>
      </c>
      <c r="CE329" s="1457" t="s">
        <v>4782</v>
      </c>
      <c r="CF329" s="1457" t="s">
        <v>7891</v>
      </c>
      <c r="CG329" s="1457" t="s">
        <v>4785</v>
      </c>
      <c r="CH329" s="1457" t="s">
        <v>7353</v>
      </c>
      <c r="CI329" s="1457" t="s">
        <v>4783</v>
      </c>
      <c r="CJ329" s="1457"/>
      <c r="CK329" s="1457" t="s">
        <v>4784</v>
      </c>
      <c r="CL329" s="1457"/>
      <c r="CM329" s="1458" t="s">
        <v>4858</v>
      </c>
      <c r="CN329" s="1459" t="s">
        <v>24</v>
      </c>
      <c r="CO329" s="1460"/>
      <c r="CP329" s="1460"/>
      <c r="CQ329" s="1460"/>
      <c r="CR329" s="1460"/>
      <c r="CS329" s="1460">
        <v>1</v>
      </c>
      <c r="CT329" s="1461" t="s">
        <v>8142</v>
      </c>
      <c r="CU329" s="1462" t="s">
        <v>8104</v>
      </c>
      <c r="CV329" s="1463">
        <v>92</v>
      </c>
      <c r="CW329" s="1463">
        <v>84</v>
      </c>
      <c r="CX329" s="1464" t="s">
        <v>8146</v>
      </c>
      <c r="CY329" s="1457">
        <f>CY328/(CY328+CY327)</f>
        <v>0.33068274373808709</v>
      </c>
      <c r="CZ329" s="1457"/>
      <c r="DA329" s="1457"/>
      <c r="DB329" s="1464" t="s">
        <v>8149</v>
      </c>
      <c r="DC329" s="1457">
        <f>DC328/(DC328+DC327)</f>
        <v>0.61864736749486271</v>
      </c>
      <c r="DD329" s="1457"/>
      <c r="DE329" s="1457"/>
      <c r="DF329" s="1619"/>
      <c r="DG329" s="1474"/>
      <c r="DH329" s="1620"/>
      <c r="DI329" s="1445"/>
      <c r="DJ329" s="1467"/>
      <c r="DK329" s="1445"/>
      <c r="DL329" s="1468"/>
      <c r="DM329" s="1467"/>
      <c r="DN329" s="1467"/>
      <c r="DO329" s="1467"/>
      <c r="DP329" s="1469"/>
      <c r="DQ329" s="1465"/>
      <c r="DR329" s="1470"/>
      <c r="DS329" s="1621"/>
      <c r="DT329" s="1468"/>
      <c r="DU329" s="1467"/>
      <c r="DV329" s="1467"/>
      <c r="DW329" s="1467"/>
      <c r="DX329" s="1468"/>
      <c r="DY329" s="1467"/>
      <c r="DZ329" s="1467"/>
      <c r="EA329" s="1467"/>
      <c r="EB329" s="1471"/>
      <c r="EC329" s="1472"/>
      <c r="ED329" s="1468"/>
      <c r="EE329" s="1467"/>
      <c r="EF329" s="1467"/>
      <c r="EG329" s="1467"/>
      <c r="EH329" s="1468"/>
      <c r="EI329" s="1467"/>
      <c r="EJ329" s="1467"/>
      <c r="EK329" s="1467"/>
      <c r="EL329" s="1471"/>
      <c r="EM329" s="1472"/>
      <c r="EN329" s="1470"/>
      <c r="EO329" s="1473"/>
      <c r="EP329" s="1468"/>
      <c r="EQ329" s="1467"/>
      <c r="ER329" s="1467"/>
      <c r="ES329" s="1467"/>
      <c r="ET329" s="1468"/>
      <c r="EU329" s="1467"/>
      <c r="EV329" s="1467"/>
      <c r="EW329" s="1467"/>
      <c r="EX329" s="1472"/>
      <c r="EY329" s="1472"/>
      <c r="EZ329" s="1468"/>
      <c r="FA329" s="1467"/>
      <c r="FB329" s="1467"/>
      <c r="FC329" s="1467"/>
      <c r="FD329" s="1468"/>
      <c r="FE329" s="1467"/>
      <c r="FF329" s="1467"/>
      <c r="FG329" s="1467"/>
      <c r="FH329" s="1472"/>
      <c r="FI329" s="1472"/>
      <c r="FJ329" s="1473"/>
    </row>
    <row r="330" spans="1:166" ht="15" hidden="1" customHeight="1">
      <c r="A330" s="79" t="s">
        <v>1036</v>
      </c>
      <c r="B330" s="362">
        <v>147</v>
      </c>
      <c r="C330" s="362">
        <v>45</v>
      </c>
      <c r="D330" s="362"/>
      <c r="E330" s="604" t="s">
        <v>2083</v>
      </c>
      <c r="F330" s="124" t="s">
        <v>2337</v>
      </c>
      <c r="G330" s="125">
        <v>2013</v>
      </c>
      <c r="H330" s="79">
        <v>23891637</v>
      </c>
      <c r="I330" s="79">
        <v>1</v>
      </c>
      <c r="J330" s="126">
        <v>1</v>
      </c>
      <c r="K330" s="127"/>
      <c r="L330" s="79">
        <v>1</v>
      </c>
      <c r="M330" s="79"/>
      <c r="N330" s="79">
        <v>1</v>
      </c>
      <c r="O330" s="128">
        <v>2</v>
      </c>
      <c r="P330" s="79" t="s">
        <v>1347</v>
      </c>
      <c r="Q330" s="79" t="s">
        <v>1216</v>
      </c>
      <c r="R330" s="79" t="s">
        <v>1127</v>
      </c>
      <c r="S330" s="79"/>
      <c r="T330" s="79" t="s">
        <v>1714</v>
      </c>
      <c r="U330" s="79" t="s">
        <v>803</v>
      </c>
      <c r="V330" s="79"/>
      <c r="W330" s="79" t="s">
        <v>1383</v>
      </c>
      <c r="X330" s="79" t="s">
        <v>1384</v>
      </c>
      <c r="Y330" s="79" t="s">
        <v>1385</v>
      </c>
      <c r="Z330" s="79"/>
      <c r="AA330" s="79"/>
      <c r="AB330" s="79"/>
      <c r="AC330" s="506"/>
      <c r="AD330" s="573">
        <v>1</v>
      </c>
      <c r="AE330" s="573">
        <v>2</v>
      </c>
      <c r="AF330" s="154">
        <v>1</v>
      </c>
      <c r="AG330" s="155" t="s">
        <v>7625</v>
      </c>
      <c r="AH330" s="704"/>
      <c r="AI330" s="121">
        <v>4</v>
      </c>
      <c r="AJ330" s="484" t="s">
        <v>4897</v>
      </c>
      <c r="AK330" s="202" t="s">
        <v>4859</v>
      </c>
      <c r="AL330" s="192">
        <v>1</v>
      </c>
      <c r="AM330" s="215">
        <v>0</v>
      </c>
      <c r="AN330" s="134" t="s">
        <v>4147</v>
      </c>
      <c r="AO330" s="134">
        <v>5</v>
      </c>
      <c r="AP330" s="134">
        <v>5</v>
      </c>
      <c r="AQ330" s="134" t="s">
        <v>803</v>
      </c>
      <c r="AR330" s="134" t="s">
        <v>803</v>
      </c>
      <c r="AS330" s="134" t="s">
        <v>4775</v>
      </c>
      <c r="AT330" s="134" t="s">
        <v>24</v>
      </c>
      <c r="AU330" s="134" t="s">
        <v>4775</v>
      </c>
      <c r="AV330" s="134" t="s">
        <v>24</v>
      </c>
      <c r="AW330" s="134" t="s">
        <v>7330</v>
      </c>
      <c r="AX330" s="134"/>
      <c r="AY330" s="134"/>
      <c r="AZ330" s="753" t="s">
        <v>7331</v>
      </c>
      <c r="BA330" s="134" t="s">
        <v>4777</v>
      </c>
      <c r="BB330" s="134" t="s">
        <v>4776</v>
      </c>
      <c r="BC330" s="134" t="s">
        <v>7540</v>
      </c>
      <c r="BD330" s="753" t="s">
        <v>7522</v>
      </c>
      <c r="BE330" s="753"/>
      <c r="BF330" s="134" t="s">
        <v>4780</v>
      </c>
      <c r="BG330" s="134" t="s">
        <v>4781</v>
      </c>
      <c r="BH330" s="594"/>
      <c r="BI330" s="594"/>
      <c r="BJ330" s="156"/>
      <c r="BK330" s="156"/>
      <c r="BL330" s="156"/>
      <c r="BM330" s="156"/>
      <c r="BN330" s="156"/>
      <c r="BO330" s="156"/>
      <c r="BP330" s="156">
        <v>1</v>
      </c>
      <c r="BQ330" s="156"/>
      <c r="BR330" s="156"/>
      <c r="BS330" s="156"/>
      <c r="BT330" s="156"/>
      <c r="BU330" s="156"/>
      <c r="BV330" s="156"/>
      <c r="BW330" s="595" t="s">
        <v>3563</v>
      </c>
      <c r="BX330" s="157" t="s">
        <v>6613</v>
      </c>
      <c r="BY330" s="797" t="s">
        <v>7614</v>
      </c>
      <c r="BZ330" s="789" t="s">
        <v>803</v>
      </c>
      <c r="CA330" s="765">
        <v>2</v>
      </c>
      <c r="CB330" s="765" t="s">
        <v>7556</v>
      </c>
      <c r="CC330" s="660" t="s">
        <v>7384</v>
      </c>
      <c r="CD330" s="134" t="s">
        <v>1876</v>
      </c>
      <c r="CE330" s="134" t="s">
        <v>4782</v>
      </c>
      <c r="CF330" s="400" t="s">
        <v>7894</v>
      </c>
      <c r="CG330" s="134" t="s">
        <v>4785</v>
      </c>
      <c r="CH330" s="753" t="s">
        <v>7353</v>
      </c>
      <c r="CI330" s="134" t="s">
        <v>4783</v>
      </c>
      <c r="CJ330" s="134"/>
      <c r="CK330" s="134" t="s">
        <v>4784</v>
      </c>
      <c r="CL330" s="134" t="s">
        <v>8273</v>
      </c>
      <c r="CM330" s="259" t="s">
        <v>4858</v>
      </c>
      <c r="CN330" s="454" t="s">
        <v>24</v>
      </c>
      <c r="CO330" s="828">
        <v>38</v>
      </c>
      <c r="CP330" s="828">
        <v>1</v>
      </c>
      <c r="CQ330" s="828">
        <v>9</v>
      </c>
      <c r="CR330" s="828">
        <v>1</v>
      </c>
      <c r="CS330" s="828">
        <v>-1</v>
      </c>
      <c r="CT330" s="967">
        <v>1</v>
      </c>
      <c r="CU330" s="1289" t="s">
        <v>8104</v>
      </c>
      <c r="CV330" s="1295">
        <v>92</v>
      </c>
      <c r="CW330" s="1295">
        <v>84</v>
      </c>
      <c r="CX330" s="138" t="s">
        <v>4805</v>
      </c>
      <c r="CY330" s="134">
        <v>45.787799999999997</v>
      </c>
      <c r="CZ330" s="134" t="s">
        <v>24</v>
      </c>
      <c r="DA330" s="134">
        <f>51.9153-Table66[[#This Row],[Data_Outcome1_M]]</f>
        <v>6.1275000000000048</v>
      </c>
      <c r="DB330" s="138" t="s">
        <v>4807</v>
      </c>
      <c r="DC330" s="134">
        <v>26.909400000000002</v>
      </c>
      <c r="DD330" s="134" t="s">
        <v>24</v>
      </c>
      <c r="DE330" s="134">
        <f>29.3323-Table66[[#This Row],[Data_Outcome2_M]]</f>
        <v>2.4228999999999985</v>
      </c>
      <c r="DF330" s="135" t="s">
        <v>4856</v>
      </c>
      <c r="DG330" s="135" t="s">
        <v>2555</v>
      </c>
      <c r="DH330" s="1175"/>
      <c r="DI330" s="417"/>
      <c r="DJ330" s="1169"/>
      <c r="DK330" s="417"/>
      <c r="DL330" s="1171"/>
      <c r="DM330" s="1169"/>
      <c r="DN330" s="1169"/>
      <c r="DO330" s="1169"/>
      <c r="DP330" s="288"/>
      <c r="DQ330" s="289"/>
      <c r="DR330" s="1168"/>
      <c r="DS330" s="865"/>
      <c r="DT330" s="1171"/>
      <c r="DU330" s="1169"/>
      <c r="DV330" s="1169"/>
      <c r="DW330" s="1169"/>
      <c r="DX330" s="1171"/>
      <c r="DY330" s="1169"/>
      <c r="DZ330" s="1169"/>
      <c r="EA330" s="1169"/>
      <c r="EB330" s="304"/>
      <c r="EC330" s="312"/>
      <c r="ED330" s="1171"/>
      <c r="EE330" s="1169"/>
      <c r="EF330" s="1169"/>
      <c r="EG330" s="1169"/>
      <c r="EH330" s="1171"/>
      <c r="EI330" s="1169"/>
      <c r="EJ330" s="1169"/>
      <c r="EK330" s="1169"/>
      <c r="EL330" s="304"/>
      <c r="EM330" s="312"/>
      <c r="EN330" s="309"/>
      <c r="EO330" s="1170"/>
      <c r="EP330" s="1171"/>
      <c r="EQ330" s="1169"/>
      <c r="ER330" s="1169"/>
      <c r="ES330" s="1169"/>
      <c r="ET330" s="1171"/>
      <c r="EU330" s="1169"/>
      <c r="EV330" s="1169"/>
      <c r="EW330" s="1169"/>
      <c r="EX330" s="312"/>
      <c r="EY330" s="312"/>
      <c r="EZ330" s="1171"/>
      <c r="FA330" s="1169"/>
      <c r="FB330" s="1169"/>
      <c r="FC330" s="1169"/>
      <c r="FD330" s="1171"/>
      <c r="FE330" s="1169"/>
      <c r="FF330" s="1169"/>
      <c r="FG330" s="1169"/>
      <c r="FH330" s="312"/>
      <c r="FI330" s="312"/>
      <c r="FJ330" s="1170"/>
    </row>
    <row r="331" spans="1:166" ht="15" hidden="1" customHeight="1">
      <c r="A331" s="79" t="s">
        <v>1036</v>
      </c>
      <c r="B331" s="362">
        <v>147</v>
      </c>
      <c r="C331" s="362">
        <v>45</v>
      </c>
      <c r="D331" s="362"/>
      <c r="E331" s="604" t="s">
        <v>2083</v>
      </c>
      <c r="F331" s="124" t="s">
        <v>2337</v>
      </c>
      <c r="G331" s="125">
        <v>2013</v>
      </c>
      <c r="H331" s="79">
        <v>23891637</v>
      </c>
      <c r="I331" s="79">
        <v>1</v>
      </c>
      <c r="J331" s="126">
        <v>1</v>
      </c>
      <c r="K331" s="127"/>
      <c r="L331" s="79">
        <v>1</v>
      </c>
      <c r="M331" s="79"/>
      <c r="N331" s="79">
        <v>1</v>
      </c>
      <c r="O331" s="128">
        <v>2</v>
      </c>
      <c r="P331" s="79" t="s">
        <v>1347</v>
      </c>
      <c r="Q331" s="79" t="s">
        <v>1216</v>
      </c>
      <c r="R331" s="79" t="s">
        <v>1127</v>
      </c>
      <c r="S331" s="79"/>
      <c r="T331" s="79" t="s">
        <v>1714</v>
      </c>
      <c r="U331" s="79" t="s">
        <v>803</v>
      </c>
      <c r="V331" s="79"/>
      <c r="W331" s="79" t="s">
        <v>1383</v>
      </c>
      <c r="X331" s="79" t="s">
        <v>1384</v>
      </c>
      <c r="Y331" s="79" t="s">
        <v>1385</v>
      </c>
      <c r="Z331" s="79"/>
      <c r="AA331" s="79"/>
      <c r="AB331" s="79"/>
      <c r="AC331" s="506"/>
      <c r="AD331" s="573">
        <v>1</v>
      </c>
      <c r="AE331" s="573">
        <v>2</v>
      </c>
      <c r="AF331" s="154">
        <v>1</v>
      </c>
      <c r="AG331" s="155" t="s">
        <v>7625</v>
      </c>
      <c r="AH331" s="704"/>
      <c r="AI331" s="121">
        <v>4</v>
      </c>
      <c r="AJ331" s="484" t="s">
        <v>4897</v>
      </c>
      <c r="AK331" s="202" t="s">
        <v>4859</v>
      </c>
      <c r="AL331" s="192">
        <v>1</v>
      </c>
      <c r="AM331" s="215">
        <v>0</v>
      </c>
      <c r="AN331" s="134" t="s">
        <v>4147</v>
      </c>
      <c r="AO331" s="134">
        <v>5</v>
      </c>
      <c r="AP331" s="134">
        <v>5</v>
      </c>
      <c r="AQ331" s="134" t="s">
        <v>803</v>
      </c>
      <c r="AR331" s="134" t="s">
        <v>803</v>
      </c>
      <c r="AS331" s="134" t="s">
        <v>4775</v>
      </c>
      <c r="AT331" s="134" t="s">
        <v>24</v>
      </c>
      <c r="AU331" s="134" t="s">
        <v>4775</v>
      </c>
      <c r="AV331" s="134" t="s">
        <v>24</v>
      </c>
      <c r="AW331" s="134" t="s">
        <v>7330</v>
      </c>
      <c r="AX331" s="134"/>
      <c r="AY331" s="134"/>
      <c r="AZ331" s="753" t="s">
        <v>7331</v>
      </c>
      <c r="BA331" s="134" t="s">
        <v>4777</v>
      </c>
      <c r="BB331" s="134" t="s">
        <v>4776</v>
      </c>
      <c r="BC331" s="134" t="s">
        <v>7540</v>
      </c>
      <c r="BD331" s="753" t="s">
        <v>7522</v>
      </c>
      <c r="BE331" s="753"/>
      <c r="BF331" s="134" t="s">
        <v>4780</v>
      </c>
      <c r="BG331" s="134" t="s">
        <v>4781</v>
      </c>
      <c r="BH331" s="594"/>
      <c r="BI331" s="594"/>
      <c r="BJ331" s="156"/>
      <c r="BK331" s="156"/>
      <c r="BL331" s="156"/>
      <c r="BM331" s="156"/>
      <c r="BN331" s="156"/>
      <c r="BO331" s="156"/>
      <c r="BP331" s="156">
        <v>1</v>
      </c>
      <c r="BQ331" s="156"/>
      <c r="BR331" s="156"/>
      <c r="BS331" s="156"/>
      <c r="BT331" s="156"/>
      <c r="BU331" s="156"/>
      <c r="BV331" s="156"/>
      <c r="BW331" s="595" t="s">
        <v>3563</v>
      </c>
      <c r="BX331" s="157" t="s">
        <v>6613</v>
      </c>
      <c r="BY331" s="797" t="s">
        <v>7614</v>
      </c>
      <c r="BZ331" s="789" t="s">
        <v>803</v>
      </c>
      <c r="CA331" s="765">
        <v>2</v>
      </c>
      <c r="CB331" s="765" t="s">
        <v>7556</v>
      </c>
      <c r="CC331" s="660" t="s">
        <v>7384</v>
      </c>
      <c r="CD331" s="134" t="s">
        <v>1876</v>
      </c>
      <c r="CE331" s="134" t="s">
        <v>4782</v>
      </c>
      <c r="CF331" s="400" t="s">
        <v>7894</v>
      </c>
      <c r="CG331" s="134" t="s">
        <v>4785</v>
      </c>
      <c r="CH331" s="753" t="s">
        <v>7353</v>
      </c>
      <c r="CI331" s="134" t="s">
        <v>4783</v>
      </c>
      <c r="CJ331" s="134"/>
      <c r="CK331" s="134" t="s">
        <v>4784</v>
      </c>
      <c r="CL331" s="134" t="s">
        <v>8274</v>
      </c>
      <c r="CM331" s="259" t="s">
        <v>4858</v>
      </c>
      <c r="CN331" s="454" t="s">
        <v>24</v>
      </c>
      <c r="CO331" s="828">
        <v>38</v>
      </c>
      <c r="CP331" s="828">
        <v>1</v>
      </c>
      <c r="CQ331" s="828">
        <v>10</v>
      </c>
      <c r="CR331" s="828">
        <v>1</v>
      </c>
      <c r="CS331" s="828">
        <v>1</v>
      </c>
      <c r="CT331" s="967">
        <v>1</v>
      </c>
      <c r="CU331" s="1289" t="s">
        <v>8104</v>
      </c>
      <c r="CV331" s="1295">
        <v>92</v>
      </c>
      <c r="CW331" s="1295">
        <v>84</v>
      </c>
      <c r="CX331" s="138" t="s">
        <v>4806</v>
      </c>
      <c r="CY331" s="134">
        <v>24.673200000000001</v>
      </c>
      <c r="CZ331" s="134" t="s">
        <v>24</v>
      </c>
      <c r="DA331" s="134">
        <f>26.5244-Table66[[#This Row],[Data_Outcome1_M]]</f>
        <v>1.8511999999999986</v>
      </c>
      <c r="DB331" s="138" t="s">
        <v>4808</v>
      </c>
      <c r="DC331" s="134">
        <v>40.417999999999999</v>
      </c>
      <c r="DD331" s="134" t="s">
        <v>24</v>
      </c>
      <c r="DE331" s="134">
        <f>41.701-Table66[[#This Row],[Data_Outcome2_M]]</f>
        <v>1.2830000000000013</v>
      </c>
      <c r="DF331" s="135" t="s">
        <v>4857</v>
      </c>
      <c r="DG331" s="135" t="s">
        <v>2555</v>
      </c>
      <c r="DH331" s="1175"/>
      <c r="DI331" s="417"/>
      <c r="DJ331" s="1169"/>
      <c r="DK331" s="417"/>
      <c r="DL331" s="1171"/>
      <c r="DM331" s="1169"/>
      <c r="DN331" s="1169"/>
      <c r="DO331" s="1169"/>
      <c r="DP331" s="288"/>
      <c r="DQ331" s="289"/>
      <c r="DR331" s="1168"/>
      <c r="DS331" s="865"/>
      <c r="DT331" s="1171"/>
      <c r="DU331" s="1169"/>
      <c r="DV331" s="1169"/>
      <c r="DW331" s="1169"/>
      <c r="DX331" s="1171"/>
      <c r="DY331" s="1169"/>
      <c r="DZ331" s="1169"/>
      <c r="EA331" s="1169"/>
      <c r="EB331" s="304"/>
      <c r="EC331" s="312"/>
      <c r="ED331" s="1171"/>
      <c r="EE331" s="1169"/>
      <c r="EF331" s="1169"/>
      <c r="EG331" s="1169"/>
      <c r="EH331" s="1171"/>
      <c r="EI331" s="1169"/>
      <c r="EJ331" s="1169"/>
      <c r="EK331" s="1169"/>
      <c r="EL331" s="304"/>
      <c r="EM331" s="312"/>
      <c r="EN331" s="309"/>
      <c r="EO331" s="1170"/>
      <c r="EP331" s="1171"/>
      <c r="EQ331" s="1169"/>
      <c r="ER331" s="1169"/>
      <c r="ES331" s="1169"/>
      <c r="ET331" s="1171"/>
      <c r="EU331" s="1169"/>
      <c r="EV331" s="1169"/>
      <c r="EW331" s="1169"/>
      <c r="EX331" s="312"/>
      <c r="EY331" s="312"/>
      <c r="EZ331" s="1171"/>
      <c r="FA331" s="1169"/>
      <c r="FB331" s="1169"/>
      <c r="FC331" s="1169"/>
      <c r="FD331" s="1171"/>
      <c r="FE331" s="1169"/>
      <c r="FF331" s="1169"/>
      <c r="FG331" s="1169"/>
      <c r="FH331" s="312"/>
      <c r="FI331" s="312"/>
      <c r="FJ331" s="1170"/>
    </row>
    <row r="332" spans="1:166" s="1475" customFormat="1" ht="15" hidden="1" customHeight="1">
      <c r="A332" s="1445" t="s">
        <v>1036</v>
      </c>
      <c r="B332" s="1446">
        <v>147</v>
      </c>
      <c r="C332" s="1446">
        <v>45</v>
      </c>
      <c r="D332" s="1446"/>
      <c r="E332" s="1447" t="s">
        <v>2083</v>
      </c>
      <c r="F332" s="1448" t="s">
        <v>2337</v>
      </c>
      <c r="G332" s="1449">
        <v>2013</v>
      </c>
      <c r="H332" s="1445">
        <v>23891637</v>
      </c>
      <c r="I332" s="1445">
        <v>1</v>
      </c>
      <c r="J332" s="1445">
        <v>1</v>
      </c>
      <c r="K332" s="1445"/>
      <c r="L332" s="1445">
        <v>1</v>
      </c>
      <c r="M332" s="1445"/>
      <c r="N332" s="1445">
        <v>1</v>
      </c>
      <c r="O332" s="1450">
        <v>2</v>
      </c>
      <c r="P332" s="1445" t="s">
        <v>1347</v>
      </c>
      <c r="Q332" s="1445" t="s">
        <v>1216</v>
      </c>
      <c r="R332" s="1445" t="s">
        <v>1127</v>
      </c>
      <c r="S332" s="1445"/>
      <c r="T332" s="1445" t="s">
        <v>1714</v>
      </c>
      <c r="U332" s="1445" t="s">
        <v>803</v>
      </c>
      <c r="V332" s="1445"/>
      <c r="W332" s="1445" t="s">
        <v>1383</v>
      </c>
      <c r="X332" s="1445" t="s">
        <v>1384</v>
      </c>
      <c r="Y332" s="1445" t="s">
        <v>1385</v>
      </c>
      <c r="Z332" s="1445"/>
      <c r="AA332" s="1445"/>
      <c r="AB332" s="1445"/>
      <c r="AC332" s="1451"/>
      <c r="AD332" s="1452">
        <v>1</v>
      </c>
      <c r="AE332" s="1452">
        <v>2</v>
      </c>
      <c r="AF332" s="1609">
        <v>0</v>
      </c>
      <c r="AG332" s="1610" t="s">
        <v>8142</v>
      </c>
      <c r="AH332" s="1611"/>
      <c r="AI332" s="1451">
        <v>4</v>
      </c>
      <c r="AJ332" s="1454" t="s">
        <v>4897</v>
      </c>
      <c r="AK332" s="1455" t="s">
        <v>4859</v>
      </c>
      <c r="AL332" s="1456">
        <v>1</v>
      </c>
      <c r="AM332" s="1590">
        <v>0</v>
      </c>
      <c r="AN332" s="1457" t="s">
        <v>4147</v>
      </c>
      <c r="AO332" s="1457">
        <v>5</v>
      </c>
      <c r="AP332" s="1457">
        <v>5</v>
      </c>
      <c r="AQ332" s="1457" t="s">
        <v>803</v>
      </c>
      <c r="AR332" s="1457" t="s">
        <v>803</v>
      </c>
      <c r="AS332" s="1457" t="s">
        <v>4775</v>
      </c>
      <c r="AT332" s="1457" t="s">
        <v>24</v>
      </c>
      <c r="AU332" s="1457" t="s">
        <v>4775</v>
      </c>
      <c r="AV332" s="1457" t="s">
        <v>24</v>
      </c>
      <c r="AW332" s="1457" t="s">
        <v>7330</v>
      </c>
      <c r="AX332" s="1457"/>
      <c r="AY332" s="1457"/>
      <c r="AZ332" s="1457" t="s">
        <v>7331</v>
      </c>
      <c r="BA332" s="1457" t="s">
        <v>4777</v>
      </c>
      <c r="BB332" s="1457" t="s">
        <v>4776</v>
      </c>
      <c r="BC332" s="1457" t="s">
        <v>7540</v>
      </c>
      <c r="BD332" s="1457" t="s">
        <v>7522</v>
      </c>
      <c r="BE332" s="1457"/>
      <c r="BF332" s="1457" t="s">
        <v>4780</v>
      </c>
      <c r="BG332" s="1457" t="s">
        <v>4781</v>
      </c>
      <c r="BH332" s="1612"/>
      <c r="BI332" s="1612"/>
      <c r="BJ332" s="1613"/>
      <c r="BK332" s="1613"/>
      <c r="BL332" s="1613"/>
      <c r="BM332" s="1613"/>
      <c r="BN332" s="1613"/>
      <c r="BO332" s="1613"/>
      <c r="BP332" s="1613">
        <v>1</v>
      </c>
      <c r="BQ332" s="1613"/>
      <c r="BR332" s="1613"/>
      <c r="BS332" s="1613"/>
      <c r="BT332" s="1613"/>
      <c r="BU332" s="1613"/>
      <c r="BV332" s="1613"/>
      <c r="BW332" s="1614" t="s">
        <v>3563</v>
      </c>
      <c r="BX332" s="1615" t="s">
        <v>6613</v>
      </c>
      <c r="BY332" s="1616" t="s">
        <v>7614</v>
      </c>
      <c r="BZ332" s="1617" t="s">
        <v>803</v>
      </c>
      <c r="CA332" s="1618">
        <v>2</v>
      </c>
      <c r="CB332" s="1618" t="s">
        <v>7556</v>
      </c>
      <c r="CC332" s="1618" t="s">
        <v>24</v>
      </c>
      <c r="CD332" s="1457" t="s">
        <v>1876</v>
      </c>
      <c r="CE332" s="1457" t="s">
        <v>4782</v>
      </c>
      <c r="CF332" s="1457" t="s">
        <v>7891</v>
      </c>
      <c r="CG332" s="1457" t="s">
        <v>4785</v>
      </c>
      <c r="CH332" s="1457" t="s">
        <v>7353</v>
      </c>
      <c r="CI332" s="1457" t="s">
        <v>4783</v>
      </c>
      <c r="CJ332" s="1457"/>
      <c r="CK332" s="1457" t="s">
        <v>4784</v>
      </c>
      <c r="CL332" s="1457"/>
      <c r="CM332" s="1458" t="s">
        <v>4858</v>
      </c>
      <c r="CN332" s="1459" t="s">
        <v>24</v>
      </c>
      <c r="CO332" s="1460"/>
      <c r="CP332" s="1460"/>
      <c r="CQ332" s="1460"/>
      <c r="CR332" s="1460"/>
      <c r="CS332" s="1460">
        <v>1</v>
      </c>
      <c r="CT332" s="1461" t="s">
        <v>8142</v>
      </c>
      <c r="CU332" s="1462" t="s">
        <v>8104</v>
      </c>
      <c r="CV332" s="1463">
        <v>92</v>
      </c>
      <c r="CW332" s="1463">
        <v>84</v>
      </c>
      <c r="CX332" s="1464" t="s">
        <v>8147</v>
      </c>
      <c r="CY332" s="1457">
        <f>CY331/(CY331+CY330)</f>
        <v>0.35016817814109935</v>
      </c>
      <c r="CZ332" s="1457"/>
      <c r="DA332" s="1457"/>
      <c r="DB332" s="1464" t="s">
        <v>8150</v>
      </c>
      <c r="DC332" s="1457">
        <f>DC331/(DC331+DC330)</f>
        <v>0.6003202262377576</v>
      </c>
      <c r="DD332" s="1457"/>
      <c r="DE332" s="1457"/>
      <c r="DF332" s="1619"/>
      <c r="DG332" s="1474"/>
      <c r="DH332" s="1620"/>
      <c r="DI332" s="1445"/>
      <c r="DJ332" s="1467"/>
      <c r="DK332" s="1445"/>
      <c r="DL332" s="1468"/>
      <c r="DM332" s="1467"/>
      <c r="DN332" s="1467"/>
      <c r="DO332" s="1467"/>
      <c r="DP332" s="1469"/>
      <c r="DQ332" s="1465"/>
      <c r="DR332" s="1470"/>
      <c r="DS332" s="1621"/>
      <c r="DT332" s="1468"/>
      <c r="DU332" s="1467"/>
      <c r="DV332" s="1467"/>
      <c r="DW332" s="1467"/>
      <c r="DX332" s="1468"/>
      <c r="DY332" s="1467"/>
      <c r="DZ332" s="1467"/>
      <c r="EA332" s="1467"/>
      <c r="EB332" s="1471"/>
      <c r="EC332" s="1472"/>
      <c r="ED332" s="1468"/>
      <c r="EE332" s="1467"/>
      <c r="EF332" s="1467"/>
      <c r="EG332" s="1467"/>
      <c r="EH332" s="1468"/>
      <c r="EI332" s="1467"/>
      <c r="EJ332" s="1467"/>
      <c r="EK332" s="1467"/>
      <c r="EL332" s="1471"/>
      <c r="EM332" s="1472"/>
      <c r="EN332" s="1470"/>
      <c r="EO332" s="1473"/>
      <c r="EP332" s="1468"/>
      <c r="EQ332" s="1467"/>
      <c r="ER332" s="1467"/>
      <c r="ES332" s="1467"/>
      <c r="ET332" s="1468"/>
      <c r="EU332" s="1467"/>
      <c r="EV332" s="1467"/>
      <c r="EW332" s="1467"/>
      <c r="EX332" s="1472"/>
      <c r="EY332" s="1472"/>
      <c r="EZ332" s="1468"/>
      <c r="FA332" s="1467"/>
      <c r="FB332" s="1467"/>
      <c r="FC332" s="1467"/>
      <c r="FD332" s="1468"/>
      <c r="FE332" s="1467"/>
      <c r="FF332" s="1467"/>
      <c r="FG332" s="1467"/>
      <c r="FH332" s="1472"/>
      <c r="FI332" s="1472"/>
      <c r="FJ332" s="1473"/>
    </row>
    <row r="333" spans="1:166" ht="15" hidden="1" customHeight="1">
      <c r="A333" s="79" t="s">
        <v>1036</v>
      </c>
      <c r="B333" s="362">
        <v>147</v>
      </c>
      <c r="C333" s="362">
        <v>45</v>
      </c>
      <c r="D333" s="362"/>
      <c r="E333" s="604" t="s">
        <v>2083</v>
      </c>
      <c r="F333" s="124" t="s">
        <v>2337</v>
      </c>
      <c r="G333" s="125">
        <v>2013</v>
      </c>
      <c r="H333" s="79">
        <v>23891637</v>
      </c>
      <c r="I333" s="79">
        <v>1</v>
      </c>
      <c r="J333" s="126">
        <v>1</v>
      </c>
      <c r="K333" s="127"/>
      <c r="L333" s="79">
        <v>1</v>
      </c>
      <c r="M333" s="79"/>
      <c r="N333" s="79">
        <v>1</v>
      </c>
      <c r="O333" s="128">
        <v>2</v>
      </c>
      <c r="P333" s="79" t="s">
        <v>1347</v>
      </c>
      <c r="Q333" s="79" t="s">
        <v>1216</v>
      </c>
      <c r="R333" s="79" t="s">
        <v>1127</v>
      </c>
      <c r="S333" s="79"/>
      <c r="T333" s="79" t="s">
        <v>1714</v>
      </c>
      <c r="U333" s="79" t="s">
        <v>803</v>
      </c>
      <c r="V333" s="79"/>
      <c r="W333" s="79" t="s">
        <v>1383</v>
      </c>
      <c r="X333" s="79" t="s">
        <v>1384</v>
      </c>
      <c r="Y333" s="79" t="s">
        <v>1385</v>
      </c>
      <c r="Z333" s="79"/>
      <c r="AA333" s="79"/>
      <c r="AB333" s="79"/>
      <c r="AC333" s="506"/>
      <c r="AD333" s="573">
        <v>1</v>
      </c>
      <c r="AE333" s="573">
        <v>2</v>
      </c>
      <c r="AF333" s="154">
        <v>1</v>
      </c>
      <c r="AG333" s="155" t="s">
        <v>7625</v>
      </c>
      <c r="AH333" s="704"/>
      <c r="AI333" s="121">
        <v>4</v>
      </c>
      <c r="AJ333" s="484" t="s">
        <v>4897</v>
      </c>
      <c r="AK333" s="202" t="s">
        <v>4859</v>
      </c>
      <c r="AL333" s="192">
        <v>1</v>
      </c>
      <c r="AM333" s="215">
        <v>0</v>
      </c>
      <c r="AN333" s="134" t="s">
        <v>4147</v>
      </c>
      <c r="AO333" s="134">
        <v>5</v>
      </c>
      <c r="AP333" s="134">
        <v>5</v>
      </c>
      <c r="AQ333" s="134" t="s">
        <v>803</v>
      </c>
      <c r="AR333" s="134" t="s">
        <v>803</v>
      </c>
      <c r="AS333" s="134" t="s">
        <v>4775</v>
      </c>
      <c r="AT333" s="134" t="s">
        <v>24</v>
      </c>
      <c r="AU333" s="134" t="s">
        <v>4775</v>
      </c>
      <c r="AV333" s="134" t="s">
        <v>24</v>
      </c>
      <c r="AW333" s="134" t="s">
        <v>7330</v>
      </c>
      <c r="AX333" s="134"/>
      <c r="AY333" s="134"/>
      <c r="AZ333" s="753" t="s">
        <v>7331</v>
      </c>
      <c r="BA333" s="134" t="s">
        <v>4777</v>
      </c>
      <c r="BB333" s="134" t="s">
        <v>4776</v>
      </c>
      <c r="BC333" s="134" t="s">
        <v>7540</v>
      </c>
      <c r="BD333" s="753" t="s">
        <v>7522</v>
      </c>
      <c r="BE333" s="753"/>
      <c r="BF333" s="134" t="s">
        <v>4780</v>
      </c>
      <c r="BG333" s="134" t="s">
        <v>4781</v>
      </c>
      <c r="BH333" s="594"/>
      <c r="BI333" s="594"/>
      <c r="BJ333" s="156"/>
      <c r="BK333" s="156"/>
      <c r="BL333" s="156"/>
      <c r="BM333" s="156"/>
      <c r="BN333" s="156"/>
      <c r="BO333" s="156"/>
      <c r="BP333" s="156">
        <v>1</v>
      </c>
      <c r="BQ333" s="156"/>
      <c r="BR333" s="156"/>
      <c r="BS333" s="156"/>
      <c r="BT333" s="156"/>
      <c r="BU333" s="156"/>
      <c r="BV333" s="156"/>
      <c r="BW333" s="595" t="s">
        <v>3563</v>
      </c>
      <c r="BX333" s="157" t="s">
        <v>6613</v>
      </c>
      <c r="BY333" s="797" t="s">
        <v>7614</v>
      </c>
      <c r="BZ333" s="789" t="s">
        <v>803</v>
      </c>
      <c r="CA333" s="765">
        <v>2</v>
      </c>
      <c r="CB333" s="765" t="s">
        <v>7556</v>
      </c>
      <c r="CC333" s="660" t="s">
        <v>7384</v>
      </c>
      <c r="CD333" s="134" t="s">
        <v>1876</v>
      </c>
      <c r="CE333" s="134" t="s">
        <v>4782</v>
      </c>
      <c r="CF333" s="400" t="s">
        <v>7895</v>
      </c>
      <c r="CG333" s="134" t="s">
        <v>4785</v>
      </c>
      <c r="CH333" s="753" t="s">
        <v>7353</v>
      </c>
      <c r="CI333" s="134" t="s">
        <v>4783</v>
      </c>
      <c r="CJ333" s="134"/>
      <c r="CK333" s="134" t="s">
        <v>4784</v>
      </c>
      <c r="CL333" s="134" t="s">
        <v>8273</v>
      </c>
      <c r="CM333" s="259" t="s">
        <v>4858</v>
      </c>
      <c r="CN333" s="454" t="s">
        <v>24</v>
      </c>
      <c r="CO333" s="828">
        <v>38</v>
      </c>
      <c r="CP333" s="828">
        <v>1</v>
      </c>
      <c r="CQ333" s="828">
        <v>11</v>
      </c>
      <c r="CR333" s="828">
        <v>1</v>
      </c>
      <c r="CS333" s="828">
        <v>-1</v>
      </c>
      <c r="CT333" s="967">
        <v>1</v>
      </c>
      <c r="CU333" s="1289" t="s">
        <v>8104</v>
      </c>
      <c r="CV333" s="1295">
        <v>92</v>
      </c>
      <c r="CW333" s="1295">
        <v>84</v>
      </c>
      <c r="CX333" s="138" t="s">
        <v>4809</v>
      </c>
      <c r="CY333" s="134">
        <v>46.45</v>
      </c>
      <c r="CZ333" s="134" t="s">
        <v>24</v>
      </c>
      <c r="DA333" s="134">
        <f>52.7521-Table66[[#This Row],[Data_Outcome1_M]]</f>
        <v>6.3020999999999958</v>
      </c>
      <c r="DB333" s="138" t="s">
        <v>4811</v>
      </c>
      <c r="DC333" s="134">
        <v>26.5412</v>
      </c>
      <c r="DD333" s="134" t="s">
        <v>24</v>
      </c>
      <c r="DE333" s="134">
        <f>28.6896-Table66[[#This Row],[Data_Outcome2_M]]</f>
        <v>2.1483999999999988</v>
      </c>
      <c r="DF333" s="135" t="s">
        <v>4853</v>
      </c>
      <c r="DG333" s="135" t="s">
        <v>2555</v>
      </c>
      <c r="DH333" s="1175"/>
      <c r="DI333" s="417"/>
      <c r="DJ333" s="1169"/>
      <c r="DK333" s="417"/>
      <c r="DL333" s="1171"/>
      <c r="DM333" s="1169"/>
      <c r="DN333" s="1169"/>
      <c r="DO333" s="1169"/>
      <c r="DP333" s="288"/>
      <c r="DQ333" s="289"/>
      <c r="DR333" s="1168"/>
      <c r="DS333" s="865"/>
      <c r="DT333" s="1171"/>
      <c r="DU333" s="1169"/>
      <c r="DV333" s="1169"/>
      <c r="DW333" s="1169"/>
      <c r="DX333" s="1171"/>
      <c r="DY333" s="1169"/>
      <c r="DZ333" s="1169"/>
      <c r="EA333" s="1169"/>
      <c r="EB333" s="304"/>
      <c r="EC333" s="312"/>
      <c r="ED333" s="1171"/>
      <c r="EE333" s="1169"/>
      <c r="EF333" s="1169"/>
      <c r="EG333" s="1169"/>
      <c r="EH333" s="1171"/>
      <c r="EI333" s="1169"/>
      <c r="EJ333" s="1169"/>
      <c r="EK333" s="1169"/>
      <c r="EL333" s="304"/>
      <c r="EM333" s="312"/>
      <c r="EN333" s="309"/>
      <c r="EO333" s="1170"/>
      <c r="EP333" s="1171"/>
      <c r="EQ333" s="1169"/>
      <c r="ER333" s="1169"/>
      <c r="ES333" s="1169"/>
      <c r="ET333" s="1171"/>
      <c r="EU333" s="1169"/>
      <c r="EV333" s="1169"/>
      <c r="EW333" s="1169"/>
      <c r="EX333" s="312"/>
      <c r="EY333" s="312"/>
      <c r="EZ333" s="1171"/>
      <c r="FA333" s="1169"/>
      <c r="FB333" s="1169"/>
      <c r="FC333" s="1169"/>
      <c r="FD333" s="1171"/>
      <c r="FE333" s="1169"/>
      <c r="FF333" s="1169"/>
      <c r="FG333" s="1169"/>
      <c r="FH333" s="312"/>
      <c r="FI333" s="312"/>
      <c r="FJ333" s="1170"/>
    </row>
    <row r="334" spans="1:166" ht="15" hidden="1" customHeight="1">
      <c r="A334" s="876" t="s">
        <v>1036</v>
      </c>
      <c r="B334" s="877">
        <v>147</v>
      </c>
      <c r="C334" s="877">
        <v>45</v>
      </c>
      <c r="D334" s="877"/>
      <c r="E334" s="878" t="s">
        <v>2083</v>
      </c>
      <c r="F334" s="879" t="s">
        <v>2337</v>
      </c>
      <c r="G334" s="880">
        <v>2013</v>
      </c>
      <c r="H334" s="876">
        <v>23891637</v>
      </c>
      <c r="I334" s="876">
        <v>1</v>
      </c>
      <c r="J334" s="876">
        <v>1</v>
      </c>
      <c r="K334" s="876"/>
      <c r="L334" s="876">
        <v>1</v>
      </c>
      <c r="M334" s="876"/>
      <c r="N334" s="876">
        <v>1</v>
      </c>
      <c r="O334" s="882">
        <v>2</v>
      </c>
      <c r="P334" s="876" t="s">
        <v>1347</v>
      </c>
      <c r="Q334" s="876" t="s">
        <v>1216</v>
      </c>
      <c r="R334" s="876" t="s">
        <v>1127</v>
      </c>
      <c r="S334" s="876"/>
      <c r="T334" s="876" t="s">
        <v>1714</v>
      </c>
      <c r="U334" s="876" t="s">
        <v>803</v>
      </c>
      <c r="V334" s="876"/>
      <c r="W334" s="876" t="s">
        <v>1383</v>
      </c>
      <c r="X334" s="876" t="s">
        <v>1384</v>
      </c>
      <c r="Y334" s="876" t="s">
        <v>1385</v>
      </c>
      <c r="Z334" s="876"/>
      <c r="AA334" s="876"/>
      <c r="AB334" s="876"/>
      <c r="AC334" s="883"/>
      <c r="AD334" s="884">
        <v>1</v>
      </c>
      <c r="AE334" s="884">
        <v>2</v>
      </c>
      <c r="AF334" s="885">
        <v>1</v>
      </c>
      <c r="AG334" s="886" t="s">
        <v>7625</v>
      </c>
      <c r="AH334" s="887"/>
      <c r="AI334" s="883">
        <v>4</v>
      </c>
      <c r="AJ334" s="888" t="s">
        <v>4897</v>
      </c>
      <c r="AK334" s="889" t="s">
        <v>4859</v>
      </c>
      <c r="AL334" s="192">
        <v>1</v>
      </c>
      <c r="AM334" s="1598">
        <v>0</v>
      </c>
      <c r="AN334" s="899" t="s">
        <v>4147</v>
      </c>
      <c r="AO334" s="899">
        <v>5</v>
      </c>
      <c r="AP334" s="899">
        <v>5</v>
      </c>
      <c r="AQ334" s="899" t="s">
        <v>803</v>
      </c>
      <c r="AR334" s="899" t="s">
        <v>803</v>
      </c>
      <c r="AS334" s="899" t="s">
        <v>4775</v>
      </c>
      <c r="AT334" s="899" t="s">
        <v>24</v>
      </c>
      <c r="AU334" s="899" t="s">
        <v>4775</v>
      </c>
      <c r="AV334" s="899" t="s">
        <v>24</v>
      </c>
      <c r="AW334" s="899" t="s">
        <v>7330</v>
      </c>
      <c r="AX334" s="899"/>
      <c r="AY334" s="899"/>
      <c r="AZ334" s="899" t="s">
        <v>7331</v>
      </c>
      <c r="BA334" s="899" t="s">
        <v>4777</v>
      </c>
      <c r="BB334" s="899" t="s">
        <v>4776</v>
      </c>
      <c r="BC334" s="899" t="s">
        <v>7540</v>
      </c>
      <c r="BD334" s="899" t="s">
        <v>7522</v>
      </c>
      <c r="BE334" s="899"/>
      <c r="BF334" s="899" t="s">
        <v>4780</v>
      </c>
      <c r="BG334" s="899" t="s">
        <v>4781</v>
      </c>
      <c r="BH334" s="892"/>
      <c r="BI334" s="892"/>
      <c r="BJ334" s="893"/>
      <c r="BK334" s="893"/>
      <c r="BL334" s="893"/>
      <c r="BM334" s="893"/>
      <c r="BN334" s="893"/>
      <c r="BO334" s="893"/>
      <c r="BP334" s="893">
        <v>1</v>
      </c>
      <c r="BQ334" s="893"/>
      <c r="BR334" s="893"/>
      <c r="BS334" s="893"/>
      <c r="BT334" s="893"/>
      <c r="BU334" s="893"/>
      <c r="BV334" s="893"/>
      <c r="BW334" s="894" t="s">
        <v>3563</v>
      </c>
      <c r="BX334" s="895" t="s">
        <v>6613</v>
      </c>
      <c r="BY334" s="896" t="s">
        <v>7614</v>
      </c>
      <c r="BZ334" s="897" t="s">
        <v>803</v>
      </c>
      <c r="CA334" s="898">
        <v>2</v>
      </c>
      <c r="CB334" s="898" t="s">
        <v>7556</v>
      </c>
      <c r="CC334" s="660" t="s">
        <v>7384</v>
      </c>
      <c r="CD334" s="899" t="s">
        <v>1876</v>
      </c>
      <c r="CE334" s="899" t="s">
        <v>4782</v>
      </c>
      <c r="CF334" s="400" t="s">
        <v>7895</v>
      </c>
      <c r="CG334" s="899" t="s">
        <v>4785</v>
      </c>
      <c r="CH334" s="899" t="s">
        <v>7353</v>
      </c>
      <c r="CI334" s="899" t="s">
        <v>4783</v>
      </c>
      <c r="CJ334" s="899"/>
      <c r="CK334" s="899" t="s">
        <v>4784</v>
      </c>
      <c r="CL334" s="134" t="s">
        <v>8274</v>
      </c>
      <c r="CM334" s="900" t="s">
        <v>4858</v>
      </c>
      <c r="CN334" s="901" t="s">
        <v>24</v>
      </c>
      <c r="CO334" s="902">
        <v>38</v>
      </c>
      <c r="CP334" s="902">
        <v>1</v>
      </c>
      <c r="CQ334" s="902">
        <v>12</v>
      </c>
      <c r="CR334" s="902">
        <v>1</v>
      </c>
      <c r="CS334" s="902">
        <v>1</v>
      </c>
      <c r="CT334" s="971">
        <v>1</v>
      </c>
      <c r="CU334" s="1289" t="s">
        <v>8104</v>
      </c>
      <c r="CV334" s="1295">
        <v>92</v>
      </c>
      <c r="CW334" s="1295">
        <v>84</v>
      </c>
      <c r="CX334" s="138" t="s">
        <v>4810</v>
      </c>
      <c r="CY334" s="134">
        <v>24.874500000000001</v>
      </c>
      <c r="CZ334" s="134" t="s">
        <v>24</v>
      </c>
      <c r="DA334" s="134">
        <f>26.5945-Table66[[#This Row],[Data_Outcome1_M]]</f>
        <v>1.7199999999999989</v>
      </c>
      <c r="DB334" s="138" t="s">
        <v>4812</v>
      </c>
      <c r="DC334" s="134">
        <v>42.206400000000002</v>
      </c>
      <c r="DD334" s="134" t="s">
        <v>24</v>
      </c>
      <c r="DE334" s="134">
        <f>43.4955-Table66[[#This Row],[Data_Outcome2_M]]</f>
        <v>1.2890999999999977</v>
      </c>
      <c r="DF334" s="135" t="s">
        <v>4855</v>
      </c>
      <c r="DG334" s="135" t="s">
        <v>2555</v>
      </c>
      <c r="DH334" s="1229"/>
      <c r="DI334" s="876"/>
      <c r="DJ334" s="1218"/>
      <c r="DK334" s="876"/>
      <c r="DL334" s="1220"/>
      <c r="DM334" s="1218"/>
      <c r="DN334" s="1218"/>
      <c r="DO334" s="1218"/>
      <c r="DP334" s="904"/>
      <c r="DQ334" s="905"/>
      <c r="DR334" s="1223"/>
      <c r="DS334" s="1224"/>
      <c r="DT334" s="1220"/>
      <c r="DU334" s="1218"/>
      <c r="DV334" s="1218"/>
      <c r="DW334" s="1218"/>
      <c r="DX334" s="1220"/>
      <c r="DY334" s="1218"/>
      <c r="DZ334" s="1218"/>
      <c r="EA334" s="1218"/>
      <c r="EB334" s="1010"/>
      <c r="EC334" s="1011"/>
      <c r="ED334" s="1220"/>
      <c r="EE334" s="1218"/>
      <c r="EF334" s="1218"/>
      <c r="EG334" s="1218"/>
      <c r="EH334" s="1220"/>
      <c r="EI334" s="1218"/>
      <c r="EJ334" s="1218"/>
      <c r="EK334" s="1218"/>
      <c r="EL334" s="1010"/>
      <c r="EM334" s="1011"/>
      <c r="EN334" s="1223"/>
      <c r="EO334" s="1219"/>
      <c r="EP334" s="1220"/>
      <c r="EQ334" s="1218"/>
      <c r="ER334" s="1218"/>
      <c r="ES334" s="1218"/>
      <c r="ET334" s="1220"/>
      <c r="EU334" s="1218"/>
      <c r="EV334" s="1218"/>
      <c r="EW334" s="1218"/>
      <c r="EX334" s="1011"/>
      <c r="EY334" s="1011"/>
      <c r="EZ334" s="1220"/>
      <c r="FA334" s="1218"/>
      <c r="FB334" s="1218"/>
      <c r="FC334" s="1218"/>
      <c r="FD334" s="1220"/>
      <c r="FE334" s="1218"/>
      <c r="FF334" s="1218"/>
      <c r="FG334" s="1218"/>
      <c r="FH334" s="1011"/>
      <c r="FI334" s="1011"/>
      <c r="FJ334" s="1219"/>
    </row>
    <row r="335" spans="1:166" s="1475" customFormat="1" ht="15" hidden="1" customHeight="1">
      <c r="A335" s="1445" t="s">
        <v>1036</v>
      </c>
      <c r="B335" s="1446">
        <v>147</v>
      </c>
      <c r="C335" s="1446">
        <v>45</v>
      </c>
      <c r="D335" s="1446"/>
      <c r="E335" s="1447" t="s">
        <v>2083</v>
      </c>
      <c r="F335" s="1448" t="s">
        <v>2337</v>
      </c>
      <c r="G335" s="1449">
        <v>2013</v>
      </c>
      <c r="H335" s="1445">
        <v>23891637</v>
      </c>
      <c r="I335" s="1445">
        <v>1</v>
      </c>
      <c r="J335" s="1445">
        <v>1</v>
      </c>
      <c r="K335" s="1445"/>
      <c r="L335" s="1445">
        <v>1</v>
      </c>
      <c r="M335" s="1445"/>
      <c r="N335" s="1445">
        <v>1</v>
      </c>
      <c r="O335" s="1450">
        <v>2</v>
      </c>
      <c r="P335" s="1445" t="s">
        <v>1347</v>
      </c>
      <c r="Q335" s="1445" t="s">
        <v>1216</v>
      </c>
      <c r="R335" s="1445" t="s">
        <v>1127</v>
      </c>
      <c r="S335" s="1445"/>
      <c r="T335" s="1445" t="s">
        <v>1714</v>
      </c>
      <c r="U335" s="1445" t="s">
        <v>803</v>
      </c>
      <c r="V335" s="1445"/>
      <c r="W335" s="1445" t="s">
        <v>1383</v>
      </c>
      <c r="X335" s="1445" t="s">
        <v>1384</v>
      </c>
      <c r="Y335" s="1445" t="s">
        <v>1385</v>
      </c>
      <c r="Z335" s="1445"/>
      <c r="AA335" s="1445"/>
      <c r="AB335" s="1445"/>
      <c r="AC335" s="1451"/>
      <c r="AD335" s="1452">
        <v>1</v>
      </c>
      <c r="AE335" s="1452">
        <v>2</v>
      </c>
      <c r="AF335" s="1609">
        <v>0</v>
      </c>
      <c r="AG335" s="1610" t="s">
        <v>8142</v>
      </c>
      <c r="AH335" s="1611"/>
      <c r="AI335" s="1451">
        <v>4</v>
      </c>
      <c r="AJ335" s="1454" t="s">
        <v>4897</v>
      </c>
      <c r="AK335" s="1455" t="s">
        <v>4859</v>
      </c>
      <c r="AL335" s="1456">
        <v>1</v>
      </c>
      <c r="AM335" s="1590">
        <v>0</v>
      </c>
      <c r="AN335" s="1457" t="s">
        <v>4147</v>
      </c>
      <c r="AO335" s="1457">
        <v>5</v>
      </c>
      <c r="AP335" s="1457">
        <v>5</v>
      </c>
      <c r="AQ335" s="1457" t="s">
        <v>803</v>
      </c>
      <c r="AR335" s="1457" t="s">
        <v>803</v>
      </c>
      <c r="AS335" s="1457" t="s">
        <v>4775</v>
      </c>
      <c r="AT335" s="1457" t="s">
        <v>24</v>
      </c>
      <c r="AU335" s="1457" t="s">
        <v>4775</v>
      </c>
      <c r="AV335" s="1457" t="s">
        <v>24</v>
      </c>
      <c r="AW335" s="1457" t="s">
        <v>7330</v>
      </c>
      <c r="AX335" s="1457"/>
      <c r="AY335" s="1457"/>
      <c r="AZ335" s="1457" t="s">
        <v>7331</v>
      </c>
      <c r="BA335" s="1457" t="s">
        <v>4777</v>
      </c>
      <c r="BB335" s="1457" t="s">
        <v>4776</v>
      </c>
      <c r="BC335" s="1457" t="s">
        <v>7540</v>
      </c>
      <c r="BD335" s="1457" t="s">
        <v>7522</v>
      </c>
      <c r="BE335" s="1457"/>
      <c r="BF335" s="1457" t="s">
        <v>4780</v>
      </c>
      <c r="BG335" s="1457" t="s">
        <v>4781</v>
      </c>
      <c r="BH335" s="1612"/>
      <c r="BI335" s="1612"/>
      <c r="BJ335" s="1613"/>
      <c r="BK335" s="1613"/>
      <c r="BL335" s="1613"/>
      <c r="BM335" s="1613"/>
      <c r="BN335" s="1613"/>
      <c r="BO335" s="1613"/>
      <c r="BP335" s="1613">
        <v>1</v>
      </c>
      <c r="BQ335" s="1613"/>
      <c r="BR335" s="1613"/>
      <c r="BS335" s="1613"/>
      <c r="BT335" s="1613"/>
      <c r="BU335" s="1613"/>
      <c r="BV335" s="1613"/>
      <c r="BW335" s="1614" t="s">
        <v>3563</v>
      </c>
      <c r="BX335" s="1615" t="s">
        <v>6613</v>
      </c>
      <c r="BY335" s="1616" t="s">
        <v>7614</v>
      </c>
      <c r="BZ335" s="1617" t="s">
        <v>803</v>
      </c>
      <c r="CA335" s="1618">
        <v>2</v>
      </c>
      <c r="CB335" s="1618" t="s">
        <v>7556</v>
      </c>
      <c r="CC335" s="1618" t="s">
        <v>24</v>
      </c>
      <c r="CD335" s="1457" t="s">
        <v>1876</v>
      </c>
      <c r="CE335" s="1457" t="s">
        <v>4782</v>
      </c>
      <c r="CF335" s="1457" t="s">
        <v>7891</v>
      </c>
      <c r="CG335" s="1457" t="s">
        <v>4785</v>
      </c>
      <c r="CH335" s="1457" t="s">
        <v>7353</v>
      </c>
      <c r="CI335" s="1457" t="s">
        <v>4783</v>
      </c>
      <c r="CJ335" s="1457"/>
      <c r="CK335" s="1457" t="s">
        <v>4784</v>
      </c>
      <c r="CL335" s="1457"/>
      <c r="CM335" s="1458" t="s">
        <v>4858</v>
      </c>
      <c r="CN335" s="1459" t="s">
        <v>24</v>
      </c>
      <c r="CO335" s="1460"/>
      <c r="CP335" s="1460"/>
      <c r="CQ335" s="1460"/>
      <c r="CR335" s="1460"/>
      <c r="CS335" s="1460">
        <v>1</v>
      </c>
      <c r="CT335" s="1461" t="s">
        <v>8142</v>
      </c>
      <c r="CU335" s="1462" t="s">
        <v>8104</v>
      </c>
      <c r="CV335" s="1463">
        <v>92</v>
      </c>
      <c r="CW335" s="1463">
        <v>84</v>
      </c>
      <c r="CX335" s="1464" t="s">
        <v>8151</v>
      </c>
      <c r="CY335" s="1457">
        <f>CY334/(CY334+CY333)</f>
        <v>0.34875113039698841</v>
      </c>
      <c r="CZ335" s="1457"/>
      <c r="DA335" s="1457"/>
      <c r="DB335" s="1464" t="s">
        <v>8152</v>
      </c>
      <c r="DC335" s="1457">
        <f>DC334/(DC334+DC333)</f>
        <v>0.61393270455986826</v>
      </c>
      <c r="DD335" s="1457"/>
      <c r="DE335" s="1457"/>
      <c r="DF335" s="1619"/>
      <c r="DG335" s="1474"/>
      <c r="DH335" s="1620"/>
      <c r="DI335" s="1445"/>
      <c r="DJ335" s="1467"/>
      <c r="DK335" s="1445"/>
      <c r="DL335" s="1468"/>
      <c r="DM335" s="1467"/>
      <c r="DN335" s="1467"/>
      <c r="DO335" s="1467"/>
      <c r="DP335" s="1469"/>
      <c r="DQ335" s="1465"/>
      <c r="DR335" s="1470"/>
      <c r="DS335" s="1621"/>
      <c r="DT335" s="1468"/>
      <c r="DU335" s="1467"/>
      <c r="DV335" s="1467"/>
      <c r="DW335" s="1467"/>
      <c r="DX335" s="1468"/>
      <c r="DY335" s="1467"/>
      <c r="DZ335" s="1467"/>
      <c r="EA335" s="1467"/>
      <c r="EB335" s="1471"/>
      <c r="EC335" s="1472"/>
      <c r="ED335" s="1468"/>
      <c r="EE335" s="1467"/>
      <c r="EF335" s="1467"/>
      <c r="EG335" s="1467"/>
      <c r="EH335" s="1468"/>
      <c r="EI335" s="1467"/>
      <c r="EJ335" s="1467"/>
      <c r="EK335" s="1467"/>
      <c r="EL335" s="1471"/>
      <c r="EM335" s="1472"/>
      <c r="EN335" s="1470"/>
      <c r="EO335" s="1473"/>
      <c r="EP335" s="1468"/>
      <c r="EQ335" s="1467"/>
      <c r="ER335" s="1467"/>
      <c r="ES335" s="1467"/>
      <c r="ET335" s="1468"/>
      <c r="EU335" s="1467"/>
      <c r="EV335" s="1467"/>
      <c r="EW335" s="1467"/>
      <c r="EX335" s="1472"/>
      <c r="EY335" s="1472"/>
      <c r="EZ335" s="1468"/>
      <c r="FA335" s="1467"/>
      <c r="FB335" s="1467"/>
      <c r="FC335" s="1467"/>
      <c r="FD335" s="1468"/>
      <c r="FE335" s="1467"/>
      <c r="FF335" s="1467"/>
      <c r="FG335" s="1467"/>
      <c r="FH335" s="1472"/>
      <c r="FI335" s="1472"/>
      <c r="FJ335" s="1473"/>
    </row>
    <row r="336" spans="1:166" s="1019" customFormat="1" ht="15" hidden="1" customHeight="1">
      <c r="A336" s="79" t="s">
        <v>203</v>
      </c>
      <c r="B336" s="362">
        <v>148</v>
      </c>
      <c r="C336" s="362">
        <v>46</v>
      </c>
      <c r="D336" s="362"/>
      <c r="E336" s="604" t="s">
        <v>1976</v>
      </c>
      <c r="F336" s="124" t="s">
        <v>2200</v>
      </c>
      <c r="G336" s="125">
        <v>2013</v>
      </c>
      <c r="H336" s="79">
        <v>23978082</v>
      </c>
      <c r="I336" s="79">
        <v>1</v>
      </c>
      <c r="J336" s="126"/>
      <c r="K336" s="127"/>
      <c r="L336" s="79">
        <v>1</v>
      </c>
      <c r="M336" s="79"/>
      <c r="N336" s="79">
        <v>1</v>
      </c>
      <c r="O336" s="128">
        <v>1</v>
      </c>
      <c r="P336" s="79" t="s">
        <v>581</v>
      </c>
      <c r="Q336" s="79" t="s">
        <v>1147</v>
      </c>
      <c r="R336" s="79" t="s">
        <v>567</v>
      </c>
      <c r="S336" s="79">
        <v>1</v>
      </c>
      <c r="T336" s="79"/>
      <c r="U336" s="79"/>
      <c r="V336" s="79"/>
      <c r="W336" s="79" t="s">
        <v>580</v>
      </c>
      <c r="X336" s="79"/>
      <c r="Y336" s="79"/>
      <c r="Z336" s="79"/>
      <c r="AA336" s="79"/>
      <c r="AB336" s="79"/>
      <c r="AC336" s="506"/>
      <c r="AD336" s="573">
        <v>1</v>
      </c>
      <c r="AE336" s="573">
        <v>2</v>
      </c>
      <c r="AF336" s="154">
        <v>1</v>
      </c>
      <c r="AG336" s="155"/>
      <c r="AH336" s="704"/>
      <c r="AI336" s="121">
        <v>2</v>
      </c>
      <c r="AJ336" s="484" t="s">
        <v>4870</v>
      </c>
      <c r="AK336" s="202" t="s">
        <v>4869</v>
      </c>
      <c r="AL336" s="192">
        <v>0</v>
      </c>
      <c r="AM336" s="215">
        <v>0</v>
      </c>
      <c r="AN336" s="134">
        <v>205</v>
      </c>
      <c r="AO336" s="134">
        <v>68</v>
      </c>
      <c r="AP336" s="134">
        <v>137</v>
      </c>
      <c r="AQ336" s="134" t="s">
        <v>4862</v>
      </c>
      <c r="AR336" s="134" t="s">
        <v>4863</v>
      </c>
      <c r="AS336" s="134">
        <v>49.6</v>
      </c>
      <c r="AT336" s="134">
        <v>10.3</v>
      </c>
      <c r="AU336" s="134">
        <v>52</v>
      </c>
      <c r="AV336" s="134">
        <v>13.1</v>
      </c>
      <c r="AW336" s="134" t="s">
        <v>1874</v>
      </c>
      <c r="AX336" s="134"/>
      <c r="AY336" s="134"/>
      <c r="AZ336" s="753" t="s">
        <v>1874</v>
      </c>
      <c r="BA336" s="134" t="s">
        <v>24</v>
      </c>
      <c r="BB336" s="134" t="s">
        <v>24</v>
      </c>
      <c r="BC336" s="134" t="s">
        <v>2423</v>
      </c>
      <c r="BD336" s="753" t="s">
        <v>7521</v>
      </c>
      <c r="BE336" s="1624">
        <v>0</v>
      </c>
      <c r="BF336" s="134" t="s">
        <v>5116</v>
      </c>
      <c r="BG336" s="134" t="s">
        <v>4860</v>
      </c>
      <c r="BH336" s="594"/>
      <c r="BI336" s="594"/>
      <c r="BJ336" s="156"/>
      <c r="BK336" s="156"/>
      <c r="BL336" s="156" t="s">
        <v>4727</v>
      </c>
      <c r="BM336" s="156"/>
      <c r="BN336" s="156"/>
      <c r="BO336" s="156" t="s">
        <v>4727</v>
      </c>
      <c r="BP336" s="156">
        <v>1</v>
      </c>
      <c r="BQ336" s="156"/>
      <c r="BR336" s="156"/>
      <c r="BS336" s="156"/>
      <c r="BT336" s="156" t="s">
        <v>4727</v>
      </c>
      <c r="BU336" s="156" t="s">
        <v>4727</v>
      </c>
      <c r="BV336" s="156"/>
      <c r="BW336" s="595" t="s">
        <v>1893</v>
      </c>
      <c r="BX336" s="157" t="s">
        <v>6615</v>
      </c>
      <c r="BY336" s="797" t="s">
        <v>7620</v>
      </c>
      <c r="BZ336" s="789" t="s">
        <v>803</v>
      </c>
      <c r="CA336" s="769">
        <v>2</v>
      </c>
      <c r="CB336" s="765" t="s">
        <v>7556</v>
      </c>
      <c r="CC336" s="769" t="s">
        <v>7380</v>
      </c>
      <c r="CD336" s="134" t="s">
        <v>1876</v>
      </c>
      <c r="CE336" s="134" t="s">
        <v>4864</v>
      </c>
      <c r="CF336" s="400"/>
      <c r="CG336" s="134" t="s">
        <v>4861</v>
      </c>
      <c r="CH336" s="753" t="s">
        <v>7337</v>
      </c>
      <c r="CI336" s="134" t="s">
        <v>24</v>
      </c>
      <c r="CJ336" s="134"/>
      <c r="CK336" s="134" t="s">
        <v>4868</v>
      </c>
      <c r="CL336" s="134" t="s">
        <v>8233</v>
      </c>
      <c r="CM336" s="259" t="s">
        <v>4896</v>
      </c>
      <c r="CN336" s="454" t="s">
        <v>24</v>
      </c>
      <c r="CO336" s="828">
        <v>39</v>
      </c>
      <c r="CP336" s="828">
        <v>1</v>
      </c>
      <c r="CQ336" s="828">
        <v>1</v>
      </c>
      <c r="CR336" s="828">
        <v>0</v>
      </c>
      <c r="CS336" s="828">
        <v>1</v>
      </c>
      <c r="CT336" s="967"/>
      <c r="CU336" s="1288" t="s">
        <v>8103</v>
      </c>
      <c r="CV336" s="1294">
        <v>17</v>
      </c>
      <c r="CW336" s="1294">
        <v>17</v>
      </c>
      <c r="CX336" s="138" t="s">
        <v>4866</v>
      </c>
      <c r="CY336" s="134">
        <v>39.5</v>
      </c>
      <c r="CZ336" s="134">
        <v>10</v>
      </c>
      <c r="DA336" s="134" t="s">
        <v>24</v>
      </c>
      <c r="DB336" s="138" t="s">
        <v>4865</v>
      </c>
      <c r="DC336" s="134">
        <v>43</v>
      </c>
      <c r="DD336" s="134">
        <v>10.3</v>
      </c>
      <c r="DE336" s="134" t="s">
        <v>24</v>
      </c>
      <c r="DF336" s="549" t="s">
        <v>4297</v>
      </c>
      <c r="DG336" s="551" t="s">
        <v>4867</v>
      </c>
      <c r="DH336" s="1175"/>
      <c r="DI336" s="417"/>
      <c r="DJ336" s="1169"/>
      <c r="DK336" s="417"/>
      <c r="DL336" s="1171"/>
      <c r="DM336" s="1169"/>
      <c r="DN336" s="1169"/>
      <c r="DO336" s="1169"/>
      <c r="DP336" s="288"/>
      <c r="DQ336" s="289"/>
      <c r="DR336" s="1168"/>
      <c r="DS336" s="865"/>
      <c r="DT336" s="1171"/>
      <c r="DU336" s="1169"/>
      <c r="DV336" s="1169"/>
      <c r="DW336" s="1169"/>
      <c r="DX336" s="1169"/>
      <c r="DY336" s="1169"/>
      <c r="DZ336" s="1169"/>
      <c r="EA336" s="1169"/>
      <c r="EB336" s="304"/>
      <c r="EC336" s="312"/>
      <c r="ED336" s="1169"/>
      <c r="EE336" s="1169"/>
      <c r="EF336" s="1169"/>
      <c r="EG336" s="1169"/>
      <c r="EH336" s="1169"/>
      <c r="EI336" s="1169"/>
      <c r="EJ336" s="1169"/>
      <c r="EK336" s="1169"/>
      <c r="EL336" s="304"/>
      <c r="EM336" s="312"/>
      <c r="EN336" s="309"/>
      <c r="EO336" s="1170"/>
      <c r="EP336" s="1169"/>
      <c r="EQ336" s="1169"/>
      <c r="ER336" s="1169"/>
      <c r="ES336" s="1169"/>
      <c r="ET336" s="1171"/>
      <c r="EU336" s="1169"/>
      <c r="EV336" s="1169"/>
      <c r="EW336" s="1169"/>
      <c r="EX336" s="312"/>
      <c r="EY336" s="312"/>
      <c r="EZ336" s="1171"/>
      <c r="FA336" s="1169"/>
      <c r="FB336" s="1169"/>
      <c r="FC336" s="1169"/>
      <c r="FD336" s="1171"/>
      <c r="FE336" s="1169"/>
      <c r="FF336" s="1169"/>
      <c r="FG336" s="1169"/>
      <c r="FH336" s="312"/>
      <c r="FI336" s="312"/>
      <c r="FJ336" s="1170"/>
    </row>
    <row r="337" spans="1:166" ht="15" hidden="1" customHeight="1">
      <c r="A337" s="153" t="s">
        <v>1032</v>
      </c>
      <c r="B337" s="1535">
        <v>22</v>
      </c>
      <c r="C337" s="1535"/>
      <c r="D337" s="1535"/>
      <c r="E337" s="610" t="s">
        <v>2084</v>
      </c>
      <c r="F337" s="368" t="s">
        <v>2338</v>
      </c>
      <c r="G337" s="369">
        <v>2016</v>
      </c>
      <c r="H337" s="153">
        <v>26642920</v>
      </c>
      <c r="I337" s="153">
        <v>1</v>
      </c>
      <c r="J337" s="370">
        <v>1</v>
      </c>
      <c r="K337" s="371"/>
      <c r="L337" s="153">
        <v>1</v>
      </c>
      <c r="M337" s="153"/>
      <c r="N337" s="153">
        <v>1</v>
      </c>
      <c r="O337" s="153">
        <v>2</v>
      </c>
      <c r="P337" s="153" t="s">
        <v>1220</v>
      </c>
      <c r="Q337" s="153" t="s">
        <v>1216</v>
      </c>
      <c r="R337" s="153" t="s">
        <v>1389</v>
      </c>
      <c r="S337" s="153"/>
      <c r="T337" s="153" t="s">
        <v>1488</v>
      </c>
      <c r="U337" s="153"/>
      <c r="V337" s="153"/>
      <c r="W337" s="153" t="s">
        <v>1715</v>
      </c>
      <c r="X337" s="153"/>
      <c r="Y337" s="153"/>
      <c r="Z337" s="153"/>
      <c r="AA337" s="153"/>
      <c r="AB337" s="153"/>
      <c r="AC337" s="536"/>
      <c r="AD337" s="536">
        <v>1</v>
      </c>
      <c r="AE337" s="536">
        <v>2</v>
      </c>
      <c r="AF337" s="165">
        <v>0</v>
      </c>
      <c r="AG337" s="166" t="s">
        <v>7678</v>
      </c>
      <c r="AH337" s="509">
        <v>0</v>
      </c>
      <c r="AI337" s="120">
        <v>5</v>
      </c>
      <c r="AJ337" s="120"/>
      <c r="AK337" s="206"/>
      <c r="AL337" s="372">
        <v>0</v>
      </c>
      <c r="AM337" s="207"/>
      <c r="AN337" s="120"/>
      <c r="AO337" s="120"/>
      <c r="AP337" s="120"/>
      <c r="AQ337" s="120" t="s">
        <v>803</v>
      </c>
      <c r="AR337" s="120" t="s">
        <v>803</v>
      </c>
      <c r="AS337" s="120" t="s">
        <v>2998</v>
      </c>
      <c r="AT337" s="120" t="s">
        <v>24</v>
      </c>
      <c r="AU337" s="120" t="s">
        <v>2998</v>
      </c>
      <c r="AV337" s="120"/>
      <c r="AW337" s="120" t="s">
        <v>3000</v>
      </c>
      <c r="AX337" s="120">
        <v>1</v>
      </c>
      <c r="AY337" s="120">
        <v>0.7</v>
      </c>
      <c r="AZ337" s="755" t="s">
        <v>1814</v>
      </c>
      <c r="BA337" s="120">
        <v>1</v>
      </c>
      <c r="BB337" s="120" t="s">
        <v>3330</v>
      </c>
      <c r="BC337" s="120" t="s">
        <v>24</v>
      </c>
      <c r="BD337" s="755"/>
      <c r="BE337" s="755"/>
      <c r="BF337" s="120" t="s">
        <v>3001</v>
      </c>
      <c r="BG337" s="120"/>
      <c r="BH337" s="377"/>
      <c r="BI337" s="377"/>
      <c r="BJ337" s="373">
        <v>1</v>
      </c>
      <c r="BK337" s="373"/>
      <c r="BL337" s="373"/>
      <c r="BM337" s="373"/>
      <c r="BN337" s="373"/>
      <c r="BO337" s="373"/>
      <c r="BP337" s="373"/>
      <c r="BQ337" s="373"/>
      <c r="BR337" s="373"/>
      <c r="BS337" s="373"/>
      <c r="BT337" s="373"/>
      <c r="BU337" s="373"/>
      <c r="BV337" s="373"/>
      <c r="BW337" s="599" t="s">
        <v>2999</v>
      </c>
      <c r="BX337" s="374" t="s">
        <v>6604</v>
      </c>
      <c r="BY337" s="799" t="s">
        <v>7615</v>
      </c>
      <c r="BZ337" s="374" t="s">
        <v>803</v>
      </c>
      <c r="CA337" s="510"/>
      <c r="CB337" s="510"/>
      <c r="CC337" s="510" t="s">
        <v>7454</v>
      </c>
      <c r="CD337" s="120" t="s">
        <v>1876</v>
      </c>
      <c r="CE337" s="120"/>
      <c r="CF337" s="786" t="s">
        <v>7660</v>
      </c>
      <c r="CG337" s="120" t="s">
        <v>3002</v>
      </c>
      <c r="CH337" s="755" t="s">
        <v>1488</v>
      </c>
      <c r="CI337" s="120" t="s">
        <v>2471</v>
      </c>
      <c r="CJ337" s="120"/>
      <c r="CK337" s="120" t="s">
        <v>2659</v>
      </c>
      <c r="CL337" s="120" t="s">
        <v>2659</v>
      </c>
      <c r="CM337" s="375" t="s">
        <v>24</v>
      </c>
      <c r="CN337" s="380"/>
      <c r="CO337" s="380"/>
      <c r="CP337" s="380"/>
      <c r="CQ337" s="380"/>
      <c r="CR337" s="380"/>
      <c r="CS337" s="380"/>
      <c r="CT337" s="380"/>
      <c r="CU337" s="380"/>
      <c r="CV337" s="380"/>
      <c r="CW337" s="380"/>
      <c r="CX337" s="376"/>
      <c r="CY337" s="120"/>
      <c r="CZ337" s="120"/>
      <c r="DA337" s="120"/>
      <c r="DB337" s="376"/>
      <c r="DC337" s="120"/>
      <c r="DD337" s="120"/>
      <c r="DE337" s="120"/>
      <c r="DF337" s="515"/>
      <c r="DG337" s="513"/>
      <c r="DH337" s="718"/>
      <c r="DI337" s="384"/>
      <c r="DJ337" s="384"/>
      <c r="DK337" s="384"/>
      <c r="DL337" s="727"/>
      <c r="DM337" s="384"/>
      <c r="DN337" s="384"/>
      <c r="DO337" s="384"/>
      <c r="DP337" s="375"/>
      <c r="DQ337" s="379"/>
      <c r="DR337" s="1182"/>
      <c r="DS337" s="956"/>
      <c r="DT337" s="727"/>
      <c r="DU337" s="384"/>
      <c r="DV337" s="384"/>
      <c r="DW337" s="384"/>
      <c r="DX337" s="384"/>
      <c r="DY337" s="384"/>
      <c r="DZ337" s="384"/>
      <c r="EA337" s="384"/>
      <c r="EB337" s="1012"/>
      <c r="EC337" s="384"/>
      <c r="ED337" s="384"/>
      <c r="EE337" s="384"/>
      <c r="EF337" s="384"/>
      <c r="EG337" s="384"/>
      <c r="EH337" s="384"/>
      <c r="EI337" s="384"/>
      <c r="EJ337" s="384"/>
      <c r="EK337" s="384"/>
      <c r="EL337" s="1012"/>
      <c r="EM337" s="384"/>
      <c r="EN337" s="1012"/>
      <c r="EO337" s="384"/>
      <c r="EP337" s="384"/>
      <c r="EQ337" s="384"/>
      <c r="ER337" s="384"/>
      <c r="ES337" s="384"/>
      <c r="ET337" s="727"/>
      <c r="EU337" s="384"/>
      <c r="EV337" s="384"/>
      <c r="EW337" s="384"/>
      <c r="EX337" s="384"/>
      <c r="EY337" s="384"/>
      <c r="EZ337" s="727"/>
      <c r="FA337" s="384"/>
      <c r="FB337" s="384"/>
      <c r="FC337" s="384"/>
      <c r="FD337" s="727"/>
      <c r="FE337" s="384"/>
      <c r="FF337" s="384"/>
      <c r="FG337" s="384"/>
      <c r="FH337" s="384"/>
      <c r="FI337" s="384"/>
      <c r="FJ337" s="384"/>
    </row>
    <row r="338" spans="1:166" ht="15" hidden="1" customHeight="1">
      <c r="A338" s="153" t="s">
        <v>1031</v>
      </c>
      <c r="B338" s="618">
        <v>149</v>
      </c>
      <c r="C338" s="618"/>
      <c r="D338" s="618">
        <v>50</v>
      </c>
      <c r="E338" s="610" t="s">
        <v>2085</v>
      </c>
      <c r="F338" s="368" t="s">
        <v>2339</v>
      </c>
      <c r="G338" s="369">
        <v>2016</v>
      </c>
      <c r="H338" s="153">
        <v>26611866</v>
      </c>
      <c r="I338" s="153">
        <v>1</v>
      </c>
      <c r="J338" s="370"/>
      <c r="K338" s="371"/>
      <c r="L338" s="153">
        <v>1</v>
      </c>
      <c r="M338" s="153"/>
      <c r="N338" s="153">
        <v>1</v>
      </c>
      <c r="O338" s="153">
        <v>2</v>
      </c>
      <c r="P338" s="153" t="s">
        <v>1393</v>
      </c>
      <c r="Q338" s="153" t="s">
        <v>1390</v>
      </c>
      <c r="R338" s="153" t="s">
        <v>1127</v>
      </c>
      <c r="S338" s="153"/>
      <c r="T338" s="153" t="s">
        <v>1487</v>
      </c>
      <c r="U338" s="153" t="s">
        <v>803</v>
      </c>
      <c r="V338" s="153" t="s">
        <v>23</v>
      </c>
      <c r="W338" s="153" t="s">
        <v>1716</v>
      </c>
      <c r="X338" s="153" t="s">
        <v>1391</v>
      </c>
      <c r="Y338" s="153"/>
      <c r="Z338" s="153"/>
      <c r="AA338" s="153"/>
      <c r="AB338" s="153" t="s">
        <v>1392</v>
      </c>
      <c r="AC338" s="536" t="s">
        <v>6225</v>
      </c>
      <c r="AD338" s="536">
        <v>1</v>
      </c>
      <c r="AE338" s="536">
        <v>0</v>
      </c>
      <c r="AF338" s="165">
        <v>0</v>
      </c>
      <c r="AG338" s="166" t="s">
        <v>7221</v>
      </c>
      <c r="AH338" s="509">
        <v>0</v>
      </c>
      <c r="AI338" s="120">
        <v>4</v>
      </c>
      <c r="AJ338" s="120"/>
      <c r="AK338" s="206"/>
      <c r="AL338" s="372"/>
      <c r="AM338" s="207"/>
      <c r="AN338" s="120"/>
      <c r="AO338" s="120"/>
      <c r="AP338" s="120"/>
      <c r="AQ338" s="120"/>
      <c r="AR338" s="120"/>
      <c r="AS338" s="120"/>
      <c r="AT338" s="120"/>
      <c r="AU338" s="120"/>
      <c r="AV338" s="120"/>
      <c r="AW338" s="120"/>
      <c r="AX338" s="120"/>
      <c r="AY338" s="120"/>
      <c r="AZ338" s="755"/>
      <c r="BA338" s="120"/>
      <c r="BB338" s="120"/>
      <c r="BC338" s="120"/>
      <c r="BD338" s="755"/>
      <c r="BE338" s="755"/>
      <c r="BF338" s="120"/>
      <c r="BG338" s="120"/>
      <c r="BH338" s="377" t="s">
        <v>5207</v>
      </c>
      <c r="BI338" s="377"/>
      <c r="BJ338" s="373"/>
      <c r="BK338" s="373"/>
      <c r="BL338" s="373"/>
      <c r="BM338" s="373" t="s">
        <v>1917</v>
      </c>
      <c r="BN338" s="373"/>
      <c r="BO338" s="373"/>
      <c r="BP338" s="373"/>
      <c r="BQ338" s="373"/>
      <c r="BR338" s="373"/>
      <c r="BS338" s="373"/>
      <c r="BT338" s="373"/>
      <c r="BU338" s="373"/>
      <c r="BV338" s="373"/>
      <c r="BW338" s="599"/>
      <c r="BX338" s="374"/>
      <c r="BY338" s="374"/>
      <c r="BZ338" s="374"/>
      <c r="CA338" s="511"/>
      <c r="CB338" s="511"/>
      <c r="CC338" s="511"/>
      <c r="CD338" s="120"/>
      <c r="CE338" s="120"/>
      <c r="CF338" s="120"/>
      <c r="CG338" s="120"/>
      <c r="CH338" s="755"/>
      <c r="CI338" s="120"/>
      <c r="CJ338" s="120"/>
      <c r="CK338" s="120"/>
      <c r="CL338" s="120"/>
      <c r="CM338" s="375"/>
      <c r="CN338" s="380"/>
      <c r="CO338" s="380"/>
      <c r="CP338" s="380"/>
      <c r="CQ338" s="380"/>
      <c r="CR338" s="380"/>
      <c r="CS338" s="380"/>
      <c r="CT338" s="380"/>
      <c r="CU338" s="380"/>
      <c r="CV338" s="380"/>
      <c r="CW338" s="380"/>
      <c r="CX338" s="376"/>
      <c r="CY338" s="120"/>
      <c r="CZ338" s="120"/>
      <c r="DA338" s="120"/>
      <c r="DB338" s="376"/>
      <c r="DC338" s="120"/>
      <c r="DD338" s="120"/>
      <c r="DE338" s="120"/>
      <c r="DF338" s="621"/>
      <c r="DG338" s="509"/>
      <c r="DH338" s="376"/>
      <c r="DI338" s="120"/>
      <c r="DJ338" s="384"/>
      <c r="DK338" s="120"/>
      <c r="DL338" s="727"/>
      <c r="DM338" s="384"/>
      <c r="DN338" s="384"/>
      <c r="DO338" s="384"/>
      <c r="DP338" s="380"/>
      <c r="DQ338" s="120"/>
      <c r="DR338" s="1182"/>
      <c r="DS338" s="956"/>
      <c r="DT338" s="727"/>
      <c r="DU338" s="384"/>
      <c r="DV338" s="384"/>
      <c r="DW338" s="384"/>
      <c r="DX338" s="384"/>
      <c r="DY338" s="384"/>
      <c r="DZ338" s="384"/>
      <c r="EA338" s="384"/>
      <c r="EB338" s="1012"/>
      <c r="EC338" s="384"/>
      <c r="ED338" s="384"/>
      <c r="EE338" s="384"/>
      <c r="EF338" s="384"/>
      <c r="EG338" s="384"/>
      <c r="EH338" s="384"/>
      <c r="EI338" s="384"/>
      <c r="EJ338" s="384"/>
      <c r="EK338" s="384"/>
      <c r="EL338" s="1012"/>
      <c r="EM338" s="384"/>
      <c r="EN338" s="1012"/>
      <c r="EO338" s="384"/>
      <c r="EP338" s="384"/>
      <c r="EQ338" s="384"/>
      <c r="ER338" s="384"/>
      <c r="ES338" s="384"/>
      <c r="ET338" s="727"/>
      <c r="EU338" s="384"/>
      <c r="EV338" s="384"/>
      <c r="EW338" s="384"/>
      <c r="EX338" s="384"/>
      <c r="EY338" s="384"/>
      <c r="EZ338" s="727"/>
      <c r="FA338" s="384"/>
      <c r="FB338" s="384"/>
      <c r="FC338" s="384"/>
      <c r="FD338" s="727"/>
      <c r="FE338" s="384"/>
      <c r="FF338" s="384"/>
      <c r="FG338" s="384"/>
      <c r="FH338" s="384"/>
      <c r="FI338" s="384"/>
      <c r="FJ338" s="384"/>
    </row>
    <row r="339" spans="1:166" ht="15" hidden="1" customHeight="1">
      <c r="A339" s="153" t="s">
        <v>204</v>
      </c>
      <c r="B339" s="618">
        <v>150</v>
      </c>
      <c r="C339" s="618"/>
      <c r="D339" s="618">
        <v>51</v>
      </c>
      <c r="E339" s="610" t="s">
        <v>1977</v>
      </c>
      <c r="F339" s="368" t="s">
        <v>2201</v>
      </c>
      <c r="G339" s="369">
        <v>2010</v>
      </c>
      <c r="H339" s="153">
        <v>20088647</v>
      </c>
      <c r="I339" s="153">
        <v>1</v>
      </c>
      <c r="J339" s="370"/>
      <c r="K339" s="371"/>
      <c r="L339" s="153">
        <v>1</v>
      </c>
      <c r="M339" s="153"/>
      <c r="N339" s="153">
        <v>1</v>
      </c>
      <c r="O339" s="153">
        <v>1</v>
      </c>
      <c r="P339" s="153"/>
      <c r="Q339" s="153"/>
      <c r="R339" s="153" t="s">
        <v>583</v>
      </c>
      <c r="S339" s="153">
        <v>1</v>
      </c>
      <c r="T339" s="153"/>
      <c r="U339" s="153"/>
      <c r="V339" s="153"/>
      <c r="W339" s="153" t="s">
        <v>23</v>
      </c>
      <c r="X339" s="153" t="s">
        <v>582</v>
      </c>
      <c r="Y339" s="153"/>
      <c r="Z339" s="153"/>
      <c r="AA339" s="153"/>
      <c r="AB339" s="153" t="s">
        <v>584</v>
      </c>
      <c r="AC339" s="536" t="s">
        <v>6227</v>
      </c>
      <c r="AD339" s="536">
        <v>1</v>
      </c>
      <c r="AE339" s="536">
        <v>1</v>
      </c>
      <c r="AF339" s="165">
        <v>0</v>
      </c>
      <c r="AG339" s="166" t="s">
        <v>7229</v>
      </c>
      <c r="AH339" s="509" t="s">
        <v>7273</v>
      </c>
      <c r="AI339" s="120"/>
      <c r="AJ339" s="120"/>
      <c r="AK339" s="206"/>
      <c r="AL339" s="372"/>
      <c r="AM339" s="207"/>
      <c r="AN339" s="120"/>
      <c r="AO339" s="120"/>
      <c r="AP339" s="120"/>
      <c r="AQ339" s="120"/>
      <c r="AR339" s="120"/>
      <c r="AS339" s="120"/>
      <c r="AT339" s="120"/>
      <c r="AU339" s="120"/>
      <c r="AV339" s="120"/>
      <c r="AW339" s="120"/>
      <c r="AX339" s="120"/>
      <c r="AY339" s="120"/>
      <c r="AZ339" s="755"/>
      <c r="BA339" s="120"/>
      <c r="BB339" s="120"/>
      <c r="BC339" s="120"/>
      <c r="BD339" s="755"/>
      <c r="BE339" s="755"/>
      <c r="BF339" s="120"/>
      <c r="BG339" s="120"/>
      <c r="BH339" s="377"/>
      <c r="BI339" s="377"/>
      <c r="BJ339" s="373"/>
      <c r="BK339" s="373"/>
      <c r="BL339" s="373"/>
      <c r="BM339" s="373"/>
      <c r="BN339" s="373" t="s">
        <v>6228</v>
      </c>
      <c r="BO339" s="373" t="s">
        <v>6228</v>
      </c>
      <c r="BP339" s="373" t="s">
        <v>6174</v>
      </c>
      <c r="BQ339" s="373"/>
      <c r="BR339" s="373"/>
      <c r="BS339" s="373"/>
      <c r="BT339" s="373"/>
      <c r="BU339" s="373"/>
      <c r="BV339" s="373"/>
      <c r="BW339" s="599"/>
      <c r="BX339" s="374"/>
      <c r="BY339" s="374"/>
      <c r="BZ339" s="374"/>
      <c r="CA339" s="511"/>
      <c r="CB339" s="781"/>
      <c r="CC339" s="781"/>
      <c r="CD339" s="120"/>
      <c r="CE339" s="120"/>
      <c r="CF339" s="120"/>
      <c r="CG339" s="120"/>
      <c r="CH339" s="755"/>
      <c r="CI339" s="120"/>
      <c r="CJ339" s="120"/>
      <c r="CK339" s="120"/>
      <c r="CL339" s="120"/>
      <c r="CM339" s="375"/>
      <c r="CN339" s="380"/>
      <c r="CO339" s="380"/>
      <c r="CP339" s="380"/>
      <c r="CQ339" s="380"/>
      <c r="CR339" s="380"/>
      <c r="CS339" s="380"/>
      <c r="CT339" s="380"/>
      <c r="CU339" s="380"/>
      <c r="CV339" s="380"/>
      <c r="CW339" s="380"/>
      <c r="CX339" s="376"/>
      <c r="CY339" s="120"/>
      <c r="CZ339" s="120"/>
      <c r="DA339" s="120"/>
      <c r="DB339" s="376"/>
      <c r="DC339" s="120"/>
      <c r="DD339" s="120"/>
      <c r="DE339" s="120"/>
      <c r="DF339" s="515"/>
      <c r="DG339" s="513"/>
      <c r="DH339" s="727"/>
      <c r="DI339" s="384"/>
      <c r="DJ339" s="384"/>
      <c r="DK339" s="384"/>
      <c r="DL339" s="727"/>
      <c r="DM339" s="384"/>
      <c r="DN339" s="384"/>
      <c r="DO339" s="384"/>
      <c r="DP339" s="375"/>
      <c r="DQ339" s="377"/>
      <c r="DR339" s="1182"/>
      <c r="DS339" s="956"/>
      <c r="DT339" s="727"/>
      <c r="DU339" s="683"/>
      <c r="DV339" s="384"/>
      <c r="DW339" s="384"/>
      <c r="DX339" s="384"/>
      <c r="DY339" s="384"/>
      <c r="DZ339" s="384"/>
      <c r="EA339" s="384"/>
      <c r="EB339" s="380"/>
      <c r="EC339" s="120"/>
      <c r="ED339" s="384"/>
      <c r="EE339" s="384"/>
      <c r="EF339" s="384"/>
      <c r="EG339" s="384"/>
      <c r="EH339" s="384"/>
      <c r="EI339" s="384"/>
      <c r="EJ339" s="384"/>
      <c r="EK339" s="384"/>
      <c r="EL339" s="380"/>
      <c r="EM339" s="120"/>
      <c r="EN339" s="1012"/>
      <c r="EO339" s="384"/>
      <c r="EP339" s="384"/>
      <c r="EQ339" s="384"/>
      <c r="ER339" s="384"/>
      <c r="ES339" s="384"/>
      <c r="ET339" s="727"/>
      <c r="EU339" s="384"/>
      <c r="EV339" s="384"/>
      <c r="EW339" s="384"/>
      <c r="EX339" s="384"/>
      <c r="EY339" s="384"/>
      <c r="EZ339" s="727"/>
      <c r="FA339" s="384"/>
      <c r="FB339" s="384"/>
      <c r="FC339" s="384"/>
      <c r="FD339" s="727"/>
      <c r="FE339" s="384"/>
      <c r="FF339" s="384"/>
      <c r="FG339" s="384"/>
      <c r="FH339" s="384"/>
      <c r="FI339" s="384"/>
      <c r="FJ339" s="384"/>
    </row>
    <row r="340" spans="1:166" ht="15" hidden="1" customHeight="1">
      <c r="A340" s="153" t="s">
        <v>1029</v>
      </c>
      <c r="B340" s="618">
        <v>151</v>
      </c>
      <c r="C340" s="618">
        <v>47</v>
      </c>
      <c r="D340" s="618"/>
      <c r="E340" s="610" t="s">
        <v>2086</v>
      </c>
      <c r="F340" s="368" t="s">
        <v>2340</v>
      </c>
      <c r="G340" s="369">
        <v>2015</v>
      </c>
      <c r="H340" s="153">
        <v>25882722</v>
      </c>
      <c r="I340" s="153">
        <v>1</v>
      </c>
      <c r="J340" s="370" t="s">
        <v>1847</v>
      </c>
      <c r="K340" s="371"/>
      <c r="L340" s="153">
        <v>1</v>
      </c>
      <c r="M340" s="153"/>
      <c r="N340" s="153">
        <v>1</v>
      </c>
      <c r="O340" s="153">
        <v>2</v>
      </c>
      <c r="P340" s="153" t="s">
        <v>1398</v>
      </c>
      <c r="Q340" s="153" t="s">
        <v>1216</v>
      </c>
      <c r="R340" s="153" t="s">
        <v>1396</v>
      </c>
      <c r="S340" s="153"/>
      <c r="T340" s="153" t="s">
        <v>1498</v>
      </c>
      <c r="U340" s="153" t="s">
        <v>803</v>
      </c>
      <c r="V340" s="153" t="s">
        <v>23</v>
      </c>
      <c r="W340" s="153" t="s">
        <v>1518</v>
      </c>
      <c r="X340" s="153"/>
      <c r="Y340" s="153" t="s">
        <v>1397</v>
      </c>
      <c r="Z340" s="153"/>
      <c r="AA340" s="153"/>
      <c r="AB340" s="153"/>
      <c r="AC340" s="536"/>
      <c r="AD340" s="536">
        <v>1</v>
      </c>
      <c r="AE340" s="536">
        <v>2</v>
      </c>
      <c r="AF340" s="165">
        <v>0</v>
      </c>
      <c r="AG340" s="166" t="s">
        <v>7683</v>
      </c>
      <c r="AH340" s="509">
        <v>0</v>
      </c>
      <c r="AI340" s="120">
        <v>4</v>
      </c>
      <c r="AJ340" s="120"/>
      <c r="AK340" s="206" t="s">
        <v>4898</v>
      </c>
      <c r="AL340" s="372">
        <v>0</v>
      </c>
      <c r="AM340" s="207" t="s">
        <v>4874</v>
      </c>
      <c r="AN340" s="120" t="s">
        <v>4871</v>
      </c>
      <c r="AO340" s="120">
        <v>16</v>
      </c>
      <c r="AP340" s="120">
        <v>16</v>
      </c>
      <c r="AQ340" s="120" t="s">
        <v>803</v>
      </c>
      <c r="AR340" s="120" t="s">
        <v>803</v>
      </c>
      <c r="AS340" s="120" t="s">
        <v>4872</v>
      </c>
      <c r="AT340" s="120" t="s">
        <v>24</v>
      </c>
      <c r="AU340" s="120" t="s">
        <v>4872</v>
      </c>
      <c r="AV340" s="120" t="s">
        <v>24</v>
      </c>
      <c r="AW340" s="120" t="s">
        <v>4873</v>
      </c>
      <c r="AX340" s="120" t="s">
        <v>7646</v>
      </c>
      <c r="AY340" s="120">
        <v>0.5</v>
      </c>
      <c r="AZ340" s="755" t="s">
        <v>7326</v>
      </c>
      <c r="BA340" s="120">
        <v>1</v>
      </c>
      <c r="BB340" s="120" t="s">
        <v>4875</v>
      </c>
      <c r="BC340" s="120" t="s">
        <v>3515</v>
      </c>
      <c r="BD340" s="755"/>
      <c r="BE340" s="755"/>
      <c r="BF340" s="120" t="s">
        <v>2912</v>
      </c>
      <c r="BG340" s="120" t="s">
        <v>4508</v>
      </c>
      <c r="BH340" s="377"/>
      <c r="BI340" s="377"/>
      <c r="BJ340" s="373"/>
      <c r="BK340" s="373"/>
      <c r="BL340" s="373"/>
      <c r="BM340" s="373"/>
      <c r="BN340" s="373"/>
      <c r="BO340" s="373"/>
      <c r="BP340" s="373">
        <v>1</v>
      </c>
      <c r="BQ340" s="373"/>
      <c r="BR340" s="373"/>
      <c r="BS340" s="373"/>
      <c r="BT340" s="373"/>
      <c r="BU340" s="373"/>
      <c r="BV340" s="373"/>
      <c r="BW340" s="599" t="s">
        <v>4877</v>
      </c>
      <c r="BX340" s="374" t="s">
        <v>6613</v>
      </c>
      <c r="BY340" s="374"/>
      <c r="BZ340" s="374"/>
      <c r="CA340" s="511">
        <v>2</v>
      </c>
      <c r="CB340" s="511"/>
      <c r="CC340" s="511" t="s">
        <v>24</v>
      </c>
      <c r="CD340" s="120" t="s">
        <v>1876</v>
      </c>
      <c r="CE340" s="120" t="s">
        <v>4878</v>
      </c>
      <c r="CF340" s="120" t="s">
        <v>7658</v>
      </c>
      <c r="CG340" s="120" t="s">
        <v>4879</v>
      </c>
      <c r="CH340" s="755" t="s">
        <v>7353</v>
      </c>
      <c r="CI340" s="120" t="s">
        <v>4876</v>
      </c>
      <c r="CJ340" s="120"/>
      <c r="CK340" s="120" t="s">
        <v>4880</v>
      </c>
      <c r="CL340" s="120"/>
      <c r="CM340" s="375" t="s">
        <v>4895</v>
      </c>
      <c r="CN340" s="380" t="s">
        <v>24</v>
      </c>
      <c r="CO340" s="380"/>
      <c r="CP340" s="380"/>
      <c r="CQ340" s="380"/>
      <c r="CR340" s="380"/>
      <c r="CS340" s="380"/>
      <c r="CT340" s="380"/>
      <c r="CU340" s="380"/>
      <c r="CV340" s="380"/>
      <c r="CW340" s="380"/>
      <c r="CX340" s="376" t="s">
        <v>4881</v>
      </c>
      <c r="CY340" s="120">
        <v>0.22741900000000001</v>
      </c>
      <c r="CZ340" s="120" t="s">
        <v>24</v>
      </c>
      <c r="DA340" s="120">
        <f>0.262903-Table66[[#This Row],[Data_Outcome1_M]]</f>
        <v>3.5483999999999988E-2</v>
      </c>
      <c r="DB340" s="376" t="s">
        <v>4882</v>
      </c>
      <c r="DC340" s="120">
        <v>0.4</v>
      </c>
      <c r="DD340" s="120" t="s">
        <v>24</v>
      </c>
      <c r="DE340" s="120">
        <f>0.424194-Table66[[#This Row],[Data_Outcome2_M]]</f>
        <v>2.4193999999999993E-2</v>
      </c>
      <c r="DF340" s="515" t="s">
        <v>4887</v>
      </c>
      <c r="DG340" s="513" t="s">
        <v>4890</v>
      </c>
      <c r="DH340" s="727" t="s">
        <v>4883</v>
      </c>
      <c r="DI340" s="384">
        <v>0.20474000000000001</v>
      </c>
      <c r="DJ340" s="384" t="s">
        <v>24</v>
      </c>
      <c r="DK340" s="384">
        <f>0.227169-Table66[[#This Row],[Data_Outcome3_M]]</f>
        <v>2.2429000000000004E-2</v>
      </c>
      <c r="DL340" s="727" t="s">
        <v>4884</v>
      </c>
      <c r="DM340" s="120">
        <v>0.42828500000000003</v>
      </c>
      <c r="DN340" s="384" t="s">
        <v>24</v>
      </c>
      <c r="DO340" s="120">
        <f>0.442707-Table66[[#This Row],[Data_Outcome4_M]]</f>
        <v>1.442199999999999E-2</v>
      </c>
      <c r="DP340" s="375" t="s">
        <v>4888</v>
      </c>
      <c r="DQ340" s="377" t="s">
        <v>4891</v>
      </c>
      <c r="DR340" s="1182" t="s">
        <v>4892</v>
      </c>
      <c r="DS340" s="956" t="s">
        <v>4893</v>
      </c>
      <c r="DT340" s="727" t="s">
        <v>4885</v>
      </c>
      <c r="DU340" s="120">
        <v>0.39549800000000002</v>
      </c>
      <c r="DV340" s="384" t="s">
        <v>24</v>
      </c>
      <c r="DW340" s="120">
        <f>0.442122-Table66[[#This Row],[Data_Outcome5_M]]</f>
        <v>4.6623999999999999E-2</v>
      </c>
      <c r="DX340" s="727" t="s">
        <v>4886</v>
      </c>
      <c r="DY340" s="384">
        <v>0.451768</v>
      </c>
      <c r="DZ340" s="384" t="s">
        <v>24</v>
      </c>
      <c r="EA340" s="384">
        <f>0.46463-Table66[[#This Row],[Data_Outcome6_M]]</f>
        <v>1.2861999999999985E-2</v>
      </c>
      <c r="EB340" s="1012" t="s">
        <v>4889</v>
      </c>
      <c r="EC340" s="384" t="s">
        <v>4894</v>
      </c>
      <c r="ED340" s="384" t="s">
        <v>24</v>
      </c>
      <c r="EE340" s="384"/>
      <c r="EF340" s="384"/>
      <c r="EG340" s="384"/>
      <c r="EH340" s="384"/>
      <c r="EI340" s="120"/>
      <c r="EJ340" s="384"/>
      <c r="EK340" s="120"/>
      <c r="EL340" s="1012"/>
      <c r="EM340" s="384"/>
      <c r="EN340" s="1012"/>
      <c r="EO340" s="384"/>
      <c r="EP340" s="384"/>
      <c r="EQ340" s="384"/>
      <c r="ER340" s="384"/>
      <c r="ES340" s="384"/>
      <c r="ET340" s="384"/>
      <c r="EU340" s="120"/>
      <c r="EV340" s="120"/>
      <c r="EW340" s="120"/>
      <c r="EX340" s="384"/>
      <c r="EY340" s="384"/>
      <c r="EZ340" s="727"/>
      <c r="FA340" s="120"/>
      <c r="FB340" s="384"/>
      <c r="FC340" s="120"/>
      <c r="FD340" s="727"/>
      <c r="FE340" s="384"/>
      <c r="FF340" s="384"/>
      <c r="FG340" s="384"/>
      <c r="FH340" s="384"/>
      <c r="FI340" s="384"/>
      <c r="FJ340" s="384"/>
    </row>
    <row r="341" spans="1:166" ht="15" hidden="1" customHeight="1">
      <c r="A341" s="79" t="s">
        <v>1028</v>
      </c>
      <c r="B341" s="362">
        <v>152</v>
      </c>
      <c r="C341" s="362">
        <v>48</v>
      </c>
      <c r="D341" s="362"/>
      <c r="E341" s="604" t="s">
        <v>2086</v>
      </c>
      <c r="F341" s="124" t="s">
        <v>2341</v>
      </c>
      <c r="G341" s="125">
        <v>2015</v>
      </c>
      <c r="H341" s="79">
        <v>25976074</v>
      </c>
      <c r="I341" s="79">
        <v>1</v>
      </c>
      <c r="J341" s="126"/>
      <c r="K341" s="127"/>
      <c r="L341" s="79">
        <v>1</v>
      </c>
      <c r="M341" s="79"/>
      <c r="N341" s="79">
        <v>1</v>
      </c>
      <c r="O341" s="128">
        <v>2</v>
      </c>
      <c r="P341" s="79" t="s">
        <v>1399</v>
      </c>
      <c r="Q341" s="79" t="s">
        <v>1216</v>
      </c>
      <c r="R341" s="79" t="s">
        <v>1127</v>
      </c>
      <c r="S341" s="79"/>
      <c r="T341" s="79" t="s">
        <v>1487</v>
      </c>
      <c r="U341" s="79" t="s">
        <v>803</v>
      </c>
      <c r="V341" s="79" t="s">
        <v>23</v>
      </c>
      <c r="W341" s="79" t="s">
        <v>1677</v>
      </c>
      <c r="X341" s="79" t="s">
        <v>1400</v>
      </c>
      <c r="Y341" s="79"/>
      <c r="Z341" s="79"/>
      <c r="AA341" s="79"/>
      <c r="AB341" s="79"/>
      <c r="AC341" s="506"/>
      <c r="AD341" s="573">
        <v>1</v>
      </c>
      <c r="AE341" s="573">
        <v>2</v>
      </c>
      <c r="AF341" s="154">
        <v>1</v>
      </c>
      <c r="AG341" s="155"/>
      <c r="AH341" s="704"/>
      <c r="AI341" s="121">
        <v>4</v>
      </c>
      <c r="AJ341" s="484"/>
      <c r="AK341" s="535" t="s">
        <v>4922</v>
      </c>
      <c r="AL341" s="192">
        <v>1</v>
      </c>
      <c r="AM341" s="215">
        <v>0</v>
      </c>
      <c r="AN341" s="134" t="s">
        <v>4899</v>
      </c>
      <c r="AO341" s="134">
        <f>120/5</f>
        <v>24</v>
      </c>
      <c r="AP341" s="134">
        <f>120/5</f>
        <v>24</v>
      </c>
      <c r="AQ341" s="134" t="s">
        <v>803</v>
      </c>
      <c r="AR341" s="134" t="s">
        <v>803</v>
      </c>
      <c r="AS341" s="134" t="s">
        <v>3633</v>
      </c>
      <c r="AT341" s="134" t="s">
        <v>24</v>
      </c>
      <c r="AU341" s="134" t="s">
        <v>3633</v>
      </c>
      <c r="AV341" s="134" t="s">
        <v>24</v>
      </c>
      <c r="AW341" s="134" t="s">
        <v>4900</v>
      </c>
      <c r="AX341" s="134"/>
      <c r="AY341" s="134"/>
      <c r="AZ341" s="753" t="s">
        <v>1487</v>
      </c>
      <c r="BA341" s="134">
        <v>1</v>
      </c>
      <c r="BB341" s="134">
        <v>1</v>
      </c>
      <c r="BC341" s="134" t="s">
        <v>4901</v>
      </c>
      <c r="BD341" s="753" t="s">
        <v>7522</v>
      </c>
      <c r="BE341" s="753"/>
      <c r="BF341" s="134" t="s">
        <v>2912</v>
      </c>
      <c r="BG341" s="134" t="s">
        <v>4508</v>
      </c>
      <c r="BH341" s="594"/>
      <c r="BI341" s="594"/>
      <c r="BJ341" s="156"/>
      <c r="BK341" s="156"/>
      <c r="BL341" s="156"/>
      <c r="BM341" s="156"/>
      <c r="BN341" s="156"/>
      <c r="BO341" s="156"/>
      <c r="BP341" s="156">
        <v>1</v>
      </c>
      <c r="BQ341" s="156"/>
      <c r="BR341" s="156"/>
      <c r="BS341" s="156"/>
      <c r="BT341" s="156"/>
      <c r="BU341" s="156"/>
      <c r="BV341" s="156"/>
      <c r="BW341" s="595" t="s">
        <v>4906</v>
      </c>
      <c r="BX341" s="157" t="s">
        <v>6617</v>
      </c>
      <c r="BY341" s="797" t="s">
        <v>7614</v>
      </c>
      <c r="BZ341" s="789" t="s">
        <v>7610</v>
      </c>
      <c r="CA341" s="660">
        <v>2</v>
      </c>
      <c r="CB341" s="660" t="s">
        <v>7556</v>
      </c>
      <c r="CC341" s="1724" t="s">
        <v>7384</v>
      </c>
      <c r="CD341" s="134" t="s">
        <v>1876</v>
      </c>
      <c r="CE341" s="134" t="s">
        <v>4904</v>
      </c>
      <c r="CF341" s="400" t="s">
        <v>7595</v>
      </c>
      <c r="CG341" s="134" t="s">
        <v>4902</v>
      </c>
      <c r="CH341" s="753" t="s">
        <v>1512</v>
      </c>
      <c r="CI341" s="134" t="s">
        <v>4905</v>
      </c>
      <c r="CJ341" s="134"/>
      <c r="CK341" s="134" t="s">
        <v>4903</v>
      </c>
      <c r="CL341" s="134" t="s">
        <v>8226</v>
      </c>
      <c r="CM341" s="259" t="s">
        <v>4921</v>
      </c>
      <c r="CN341" s="454" t="s">
        <v>24</v>
      </c>
      <c r="CO341" s="828">
        <v>40</v>
      </c>
      <c r="CP341" s="828">
        <v>1</v>
      </c>
      <c r="CQ341" s="828">
        <v>5</v>
      </c>
      <c r="CR341" s="828">
        <v>1</v>
      </c>
      <c r="CS341" s="828">
        <v>-1</v>
      </c>
      <c r="CT341" s="967"/>
      <c r="CU341" s="1289" t="s">
        <v>8104</v>
      </c>
      <c r="CV341" s="1295">
        <v>93</v>
      </c>
      <c r="CW341" s="1295">
        <v>85</v>
      </c>
      <c r="CX341" s="138" t="s">
        <v>4915</v>
      </c>
      <c r="CY341" s="190">
        <v>14.264799999999999</v>
      </c>
      <c r="CZ341" s="134">
        <f>15.5883-Table66[[#This Row],[Data_Outcome1_M]]</f>
        <v>1.323500000000001</v>
      </c>
      <c r="DA341" s="190" t="s">
        <v>24</v>
      </c>
      <c r="DB341" s="138" t="s">
        <v>4916</v>
      </c>
      <c r="DC341" s="134">
        <v>33.2348</v>
      </c>
      <c r="DD341" s="134">
        <f>34.1172-Table66[[#This Row],[Data_Outcome2_M]]</f>
        <v>0.88239999999999696</v>
      </c>
      <c r="DE341" s="134" t="s">
        <v>24</v>
      </c>
      <c r="DF341" s="436" t="s">
        <v>4919</v>
      </c>
      <c r="DG341" s="436" t="s">
        <v>2588</v>
      </c>
      <c r="DH341" s="1276"/>
      <c r="DI341" s="121"/>
      <c r="DJ341" s="1169"/>
      <c r="DK341" s="121"/>
      <c r="DL341" s="1171"/>
      <c r="DM341" s="121"/>
      <c r="DN341" s="1169"/>
      <c r="DO341" s="121"/>
      <c r="DP341" s="544"/>
      <c r="DQ341" s="544"/>
      <c r="DR341" s="280"/>
      <c r="DS341" s="865"/>
      <c r="DT341" s="1171"/>
      <c r="DU341" s="121"/>
      <c r="DV341" s="1169"/>
      <c r="DW341" s="121"/>
      <c r="DX341" s="1171"/>
      <c r="DY341" s="121"/>
      <c r="DZ341" s="1169"/>
      <c r="EA341" s="121"/>
      <c r="EB341" s="1227"/>
      <c r="EC341" s="1227"/>
      <c r="ED341" s="1171"/>
      <c r="EE341" s="417"/>
      <c r="EF341" s="1169"/>
      <c r="EG341" s="121"/>
      <c r="EH341" s="1171"/>
      <c r="EI341" s="121"/>
      <c r="EJ341" s="1169"/>
      <c r="EK341" s="121"/>
      <c r="EL341" s="312"/>
      <c r="EM341" s="312"/>
      <c r="EN341" s="276"/>
      <c r="EO341" s="277"/>
      <c r="EP341" s="1276"/>
      <c r="EQ341" s="417"/>
      <c r="ER341" s="121"/>
      <c r="ES341" s="121"/>
      <c r="ET341" s="1276"/>
      <c r="EU341" s="121"/>
      <c r="EV341" s="121"/>
      <c r="EW341" s="121"/>
      <c r="EX341" s="301"/>
      <c r="EY341" s="301"/>
      <c r="EZ341" s="1276"/>
      <c r="FA341" s="417"/>
      <c r="FB341" s="121"/>
      <c r="FC341" s="121"/>
      <c r="FD341" s="1276"/>
      <c r="FE341" s="121"/>
      <c r="FF341" s="121"/>
      <c r="FG341" s="121"/>
      <c r="FH341" s="301"/>
      <c r="FI341" s="301"/>
      <c r="FJ341" s="277"/>
    </row>
    <row r="342" spans="1:166" ht="15" hidden="1" customHeight="1">
      <c r="A342" s="79" t="s">
        <v>970</v>
      </c>
      <c r="B342" s="362">
        <v>224</v>
      </c>
      <c r="C342" s="362">
        <v>81</v>
      </c>
      <c r="D342" s="362"/>
      <c r="E342" s="604" t="s">
        <v>2118</v>
      </c>
      <c r="F342" s="124" t="s">
        <v>2377</v>
      </c>
      <c r="G342" s="125">
        <v>2016</v>
      </c>
      <c r="H342" s="79">
        <v>27297027</v>
      </c>
      <c r="I342" s="79">
        <v>1</v>
      </c>
      <c r="J342" s="126">
        <v>1</v>
      </c>
      <c r="K342" s="127"/>
      <c r="L342" s="79">
        <v>1</v>
      </c>
      <c r="M342" s="79"/>
      <c r="N342" s="79">
        <v>1</v>
      </c>
      <c r="O342" s="128">
        <v>2</v>
      </c>
      <c r="P342" s="79" t="s">
        <v>1588</v>
      </c>
      <c r="Q342" s="79" t="s">
        <v>1216</v>
      </c>
      <c r="R342" s="79" t="s">
        <v>1127</v>
      </c>
      <c r="S342" s="79"/>
      <c r="T342" s="79" t="s">
        <v>1498</v>
      </c>
      <c r="U342" s="79"/>
      <c r="V342" s="79"/>
      <c r="W342" s="79" t="s">
        <v>1583</v>
      </c>
      <c r="X342" s="79" t="s">
        <v>1582</v>
      </c>
      <c r="Y342" s="79"/>
      <c r="Z342" s="79"/>
      <c r="AA342" s="79" t="s">
        <v>1581</v>
      </c>
      <c r="AB342" s="79"/>
      <c r="AC342" s="506"/>
      <c r="AD342" s="573">
        <v>1</v>
      </c>
      <c r="AE342" s="573">
        <v>2</v>
      </c>
      <c r="AF342" s="154">
        <v>1</v>
      </c>
      <c r="AG342" s="155" t="s">
        <v>5671</v>
      </c>
      <c r="AH342" s="704"/>
      <c r="AI342" s="121">
        <v>4</v>
      </c>
      <c r="AJ342" s="484" t="s">
        <v>5695</v>
      </c>
      <c r="AK342" s="202" t="s">
        <v>5705</v>
      </c>
      <c r="AL342" s="192" t="s">
        <v>8056</v>
      </c>
      <c r="AM342" s="215">
        <v>0</v>
      </c>
      <c r="AN342" s="134">
        <f>Table66[[#This Row],[Data_Subjects_n_ptsd]]+Table66[[#This Row],[Data_Subjects_n_control]]</f>
        <v>24</v>
      </c>
      <c r="AO342" s="134">
        <v>12</v>
      </c>
      <c r="AP342" s="134">
        <v>12</v>
      </c>
      <c r="AQ342" s="134" t="s">
        <v>803</v>
      </c>
      <c r="AR342" s="134" t="s">
        <v>803</v>
      </c>
      <c r="AS342" s="150" t="s">
        <v>2687</v>
      </c>
      <c r="AT342" s="150" t="s">
        <v>24</v>
      </c>
      <c r="AU342" s="150" t="s">
        <v>2687</v>
      </c>
      <c r="AV342" s="134" t="s">
        <v>24</v>
      </c>
      <c r="AW342" s="134" t="s">
        <v>5665</v>
      </c>
      <c r="AX342" s="134">
        <v>10</v>
      </c>
      <c r="AY342" s="134">
        <v>1</v>
      </c>
      <c r="AZ342" s="753" t="s">
        <v>1814</v>
      </c>
      <c r="BA342" s="134">
        <v>1</v>
      </c>
      <c r="BB342" s="134" t="s">
        <v>5664</v>
      </c>
      <c r="BC342" s="134" t="s">
        <v>5662</v>
      </c>
      <c r="BD342" s="753" t="s">
        <v>7522</v>
      </c>
      <c r="BE342" s="753"/>
      <c r="BF342" s="134" t="s">
        <v>3698</v>
      </c>
      <c r="BG342" s="134" t="s">
        <v>4508</v>
      </c>
      <c r="BH342" s="594"/>
      <c r="BI342" s="594"/>
      <c r="BJ342" s="156"/>
      <c r="BK342" s="156"/>
      <c r="BL342" s="156"/>
      <c r="BM342" s="156"/>
      <c r="BN342" s="156"/>
      <c r="BO342" s="156"/>
      <c r="BP342" s="156">
        <v>1</v>
      </c>
      <c r="BQ342" s="156"/>
      <c r="BR342" s="156"/>
      <c r="BS342" s="156"/>
      <c r="BT342" s="156"/>
      <c r="BU342" s="156"/>
      <c r="BV342" s="156"/>
      <c r="BW342" s="595" t="s">
        <v>3282</v>
      </c>
      <c r="BX342" s="157" t="s">
        <v>6617</v>
      </c>
      <c r="BY342" s="797" t="s">
        <v>7614</v>
      </c>
      <c r="BZ342" s="789" t="s">
        <v>7610</v>
      </c>
      <c r="CA342" s="660">
        <v>2</v>
      </c>
      <c r="CB342" s="660" t="s">
        <v>7556</v>
      </c>
      <c r="CC342" s="1724" t="s">
        <v>7384</v>
      </c>
      <c r="CD342" s="134" t="s">
        <v>1876</v>
      </c>
      <c r="CE342" s="134" t="s">
        <v>5663</v>
      </c>
      <c r="CF342" s="400" t="s">
        <v>7599</v>
      </c>
      <c r="CG342" s="134" t="s">
        <v>5669</v>
      </c>
      <c r="CH342" s="753" t="s">
        <v>1512</v>
      </c>
      <c r="CI342" s="134" t="s">
        <v>5667</v>
      </c>
      <c r="CJ342" s="134"/>
      <c r="CK342" s="134" t="s">
        <v>5670</v>
      </c>
      <c r="CL342" s="134" t="s">
        <v>8226</v>
      </c>
      <c r="CM342" s="259" t="s">
        <v>5702</v>
      </c>
      <c r="CN342" s="454" t="s">
        <v>24</v>
      </c>
      <c r="CO342" s="828">
        <v>72</v>
      </c>
      <c r="CP342" s="828">
        <v>1</v>
      </c>
      <c r="CQ342" s="828">
        <v>1</v>
      </c>
      <c r="CR342" s="828">
        <v>1</v>
      </c>
      <c r="CS342" s="828">
        <v>-1</v>
      </c>
      <c r="CT342" s="967"/>
      <c r="CU342" s="1289" t="s">
        <v>8104</v>
      </c>
      <c r="CV342" s="1295">
        <v>120</v>
      </c>
      <c r="CW342" s="1295">
        <v>109</v>
      </c>
      <c r="CX342" s="138" t="s">
        <v>5678</v>
      </c>
      <c r="CY342" s="134">
        <v>54.000399999999999</v>
      </c>
      <c r="CZ342" s="134" t="s">
        <v>24</v>
      </c>
      <c r="DA342" s="134" t="s">
        <v>24</v>
      </c>
      <c r="DB342" s="138" t="s">
        <v>5679</v>
      </c>
      <c r="DC342" s="134">
        <v>55.1843</v>
      </c>
      <c r="DD342" s="168" t="s">
        <v>24</v>
      </c>
      <c r="DE342" s="134" t="s">
        <v>24</v>
      </c>
      <c r="DF342" s="294" t="s">
        <v>5696</v>
      </c>
      <c r="DG342" s="295" t="s">
        <v>3790</v>
      </c>
      <c r="DH342" s="1179"/>
      <c r="DI342" s="417"/>
      <c r="DJ342" s="1169"/>
      <c r="DK342" s="417"/>
      <c r="DL342" s="1169"/>
      <c r="DM342" s="417"/>
      <c r="DN342" s="1169"/>
      <c r="DO342" s="1151"/>
      <c r="DP342" s="288"/>
      <c r="DQ342" s="441"/>
      <c r="DR342" s="1168" t="s">
        <v>24</v>
      </c>
      <c r="DS342" s="865" t="s">
        <v>24</v>
      </c>
      <c r="DT342" s="1171"/>
      <c r="DU342" s="417"/>
      <c r="DV342" s="1169"/>
      <c r="DW342" s="417"/>
      <c r="DX342" s="1169"/>
      <c r="DY342" s="417"/>
      <c r="DZ342" s="1169"/>
      <c r="EA342" s="417"/>
      <c r="EB342" s="304"/>
      <c r="EC342" s="312"/>
      <c r="ED342" s="1169"/>
      <c r="EE342" s="417"/>
      <c r="EF342" s="1169"/>
      <c r="EG342" s="417"/>
      <c r="EH342" s="1169"/>
      <c r="EI342" s="417"/>
      <c r="EJ342" s="1169"/>
      <c r="EK342" s="417"/>
      <c r="EL342" s="304"/>
      <c r="EM342" s="312"/>
      <c r="EN342" s="309" t="s">
        <v>24</v>
      </c>
      <c r="EO342" s="1170" t="s">
        <v>24</v>
      </c>
      <c r="EP342" s="417"/>
      <c r="EQ342" s="417"/>
      <c r="ER342" s="417"/>
      <c r="ES342" s="417"/>
      <c r="ET342" s="417"/>
      <c r="EU342" s="417"/>
      <c r="EV342" s="417"/>
      <c r="EW342" s="417"/>
      <c r="EX342" s="469"/>
      <c r="EY342" s="469"/>
      <c r="EZ342" s="417"/>
      <c r="FA342" s="417"/>
      <c r="FB342" s="417"/>
      <c r="FC342" s="417"/>
      <c r="FD342" s="417"/>
      <c r="FE342" s="417"/>
      <c r="FF342" s="417"/>
      <c r="FG342" s="417"/>
      <c r="FH342" s="469"/>
      <c r="FI342" s="469"/>
      <c r="FJ342" s="1170" t="s">
        <v>24</v>
      </c>
    </row>
    <row r="343" spans="1:166" ht="15" hidden="1" customHeight="1">
      <c r="A343" s="79" t="s">
        <v>970</v>
      </c>
      <c r="B343" s="362">
        <v>224</v>
      </c>
      <c r="C343" s="362">
        <v>81</v>
      </c>
      <c r="D343" s="362"/>
      <c r="E343" s="604" t="s">
        <v>2118</v>
      </c>
      <c r="F343" s="124" t="s">
        <v>2377</v>
      </c>
      <c r="G343" s="125">
        <v>2016</v>
      </c>
      <c r="H343" s="79">
        <v>27297027</v>
      </c>
      <c r="I343" s="79">
        <v>1</v>
      </c>
      <c r="J343" s="126">
        <v>1</v>
      </c>
      <c r="K343" s="127"/>
      <c r="L343" s="79">
        <v>1</v>
      </c>
      <c r="M343" s="79"/>
      <c r="N343" s="79">
        <v>1</v>
      </c>
      <c r="O343" s="128">
        <v>2</v>
      </c>
      <c r="P343" s="79" t="s">
        <v>1588</v>
      </c>
      <c r="Q343" s="79" t="s">
        <v>1216</v>
      </c>
      <c r="R343" s="79" t="s">
        <v>1127</v>
      </c>
      <c r="S343" s="79"/>
      <c r="T343" s="79" t="s">
        <v>1498</v>
      </c>
      <c r="U343" s="79"/>
      <c r="V343" s="79"/>
      <c r="W343" s="79" t="s">
        <v>1583</v>
      </c>
      <c r="X343" s="79" t="s">
        <v>1582</v>
      </c>
      <c r="Y343" s="79"/>
      <c r="Z343" s="79"/>
      <c r="AA343" s="79" t="s">
        <v>1581</v>
      </c>
      <c r="AB343" s="79"/>
      <c r="AC343" s="506"/>
      <c r="AD343" s="573">
        <v>1</v>
      </c>
      <c r="AE343" s="573">
        <v>2</v>
      </c>
      <c r="AF343" s="154">
        <v>1</v>
      </c>
      <c r="AG343" s="155" t="s">
        <v>5671</v>
      </c>
      <c r="AH343" s="704"/>
      <c r="AI343" s="121">
        <v>4</v>
      </c>
      <c r="AJ343" s="484" t="s">
        <v>5695</v>
      </c>
      <c r="AK343" s="202" t="s">
        <v>5705</v>
      </c>
      <c r="AL343" s="192" t="s">
        <v>8056</v>
      </c>
      <c r="AM343" s="215">
        <v>0</v>
      </c>
      <c r="AN343" s="134">
        <f>Table66[[#This Row],[Data_Subjects_n_ptsd]]+Table66[[#This Row],[Data_Subjects_n_control]]</f>
        <v>24</v>
      </c>
      <c r="AO343" s="134">
        <v>12</v>
      </c>
      <c r="AP343" s="134">
        <v>12</v>
      </c>
      <c r="AQ343" s="134" t="s">
        <v>803</v>
      </c>
      <c r="AR343" s="134" t="s">
        <v>803</v>
      </c>
      <c r="AS343" s="150" t="s">
        <v>2687</v>
      </c>
      <c r="AT343" s="150" t="s">
        <v>24</v>
      </c>
      <c r="AU343" s="150" t="s">
        <v>2687</v>
      </c>
      <c r="AV343" s="134" t="s">
        <v>24</v>
      </c>
      <c r="AW343" s="134" t="s">
        <v>5665</v>
      </c>
      <c r="AX343" s="134">
        <v>10</v>
      </c>
      <c r="AY343" s="134">
        <v>1</v>
      </c>
      <c r="AZ343" s="753" t="s">
        <v>1814</v>
      </c>
      <c r="BA343" s="134">
        <v>1</v>
      </c>
      <c r="BB343" s="134" t="s">
        <v>5664</v>
      </c>
      <c r="BC343" s="134" t="s">
        <v>5662</v>
      </c>
      <c r="BD343" s="753" t="s">
        <v>7522</v>
      </c>
      <c r="BE343" s="753"/>
      <c r="BF343" s="134" t="s">
        <v>3698</v>
      </c>
      <c r="BG343" s="134" t="s">
        <v>4508</v>
      </c>
      <c r="BH343" s="594"/>
      <c r="BI343" s="594"/>
      <c r="BJ343" s="156"/>
      <c r="BK343" s="156"/>
      <c r="BL343" s="156"/>
      <c r="BM343" s="156"/>
      <c r="BN343" s="156"/>
      <c r="BO343" s="156"/>
      <c r="BP343" s="156">
        <v>1</v>
      </c>
      <c r="BQ343" s="156"/>
      <c r="BR343" s="156"/>
      <c r="BS343" s="156"/>
      <c r="BT343" s="156"/>
      <c r="BU343" s="156"/>
      <c r="BV343" s="156"/>
      <c r="BW343" s="595" t="s">
        <v>3282</v>
      </c>
      <c r="BX343" s="157" t="s">
        <v>6617</v>
      </c>
      <c r="BY343" s="797" t="s">
        <v>7614</v>
      </c>
      <c r="BZ343" s="789" t="s">
        <v>7610</v>
      </c>
      <c r="CA343" s="660">
        <v>2</v>
      </c>
      <c r="CB343" s="660" t="s">
        <v>7556</v>
      </c>
      <c r="CC343" s="1724" t="s">
        <v>7384</v>
      </c>
      <c r="CD343" s="134" t="s">
        <v>1876</v>
      </c>
      <c r="CE343" s="134" t="s">
        <v>5663</v>
      </c>
      <c r="CF343" s="400" t="s">
        <v>7599</v>
      </c>
      <c r="CG343" s="134" t="s">
        <v>5669</v>
      </c>
      <c r="CH343" s="753" t="s">
        <v>1512</v>
      </c>
      <c r="CI343" s="134" t="s">
        <v>5667</v>
      </c>
      <c r="CJ343" s="134"/>
      <c r="CK343" s="134" t="s">
        <v>5670</v>
      </c>
      <c r="CL343" s="134" t="s">
        <v>8226</v>
      </c>
      <c r="CM343" s="259" t="s">
        <v>5702</v>
      </c>
      <c r="CN343" s="454" t="s">
        <v>24</v>
      </c>
      <c r="CO343" s="828">
        <v>72</v>
      </c>
      <c r="CP343" s="828">
        <v>1</v>
      </c>
      <c r="CQ343" s="828">
        <v>2</v>
      </c>
      <c r="CR343" s="828">
        <v>1</v>
      </c>
      <c r="CS343" s="828">
        <v>-1</v>
      </c>
      <c r="CT343" s="967"/>
      <c r="CU343" s="1289" t="s">
        <v>8104</v>
      </c>
      <c r="CV343" s="1295">
        <v>120</v>
      </c>
      <c r="CW343" s="1295">
        <v>109</v>
      </c>
      <c r="CX343" s="138" t="s">
        <v>5680</v>
      </c>
      <c r="CY343" s="134">
        <v>36.083799999999997</v>
      </c>
      <c r="CZ343" s="134" t="s">
        <v>24</v>
      </c>
      <c r="DA343" s="134" t="s">
        <v>24</v>
      </c>
      <c r="DB343" s="138" t="s">
        <v>5681</v>
      </c>
      <c r="DC343" s="134">
        <v>37.148899999999998</v>
      </c>
      <c r="DD343" s="134" t="s">
        <v>24</v>
      </c>
      <c r="DE343" s="134" t="s">
        <v>24</v>
      </c>
      <c r="DF343" s="288" t="s">
        <v>5697</v>
      </c>
      <c r="DG343" s="289" t="s">
        <v>2480</v>
      </c>
      <c r="DH343" s="1276"/>
      <c r="DI343" s="121"/>
      <c r="DJ343" s="1169"/>
      <c r="DK343" s="121"/>
      <c r="DL343" s="1171"/>
      <c r="DM343" s="121"/>
      <c r="DN343" s="1169"/>
      <c r="DO343" s="121"/>
      <c r="DP343" s="288"/>
      <c r="DQ343" s="289"/>
      <c r="DR343" s="1168"/>
      <c r="DS343" s="865"/>
      <c r="DT343" s="1171"/>
      <c r="DU343" s="121"/>
      <c r="DV343" s="1169"/>
      <c r="DW343" s="121"/>
      <c r="DX343" s="1171"/>
      <c r="DY343" s="121"/>
      <c r="DZ343" s="1169"/>
      <c r="EA343" s="121"/>
      <c r="EB343" s="304"/>
      <c r="EC343" s="312"/>
      <c r="ED343" s="1171"/>
      <c r="EE343" s="121"/>
      <c r="EF343" s="1169"/>
      <c r="EG343" s="121"/>
      <c r="EH343" s="1171"/>
      <c r="EI343" s="121"/>
      <c r="EJ343" s="1169"/>
      <c r="EK343" s="121"/>
      <c r="EL343" s="304"/>
      <c r="EM343" s="312"/>
      <c r="EN343" s="309"/>
      <c r="EO343" s="1170"/>
      <c r="EP343" s="1276"/>
      <c r="EQ343" s="121"/>
      <c r="ER343" s="121"/>
      <c r="ES343" s="121"/>
      <c r="ET343" s="1276"/>
      <c r="EU343" s="121"/>
      <c r="EV343" s="121"/>
      <c r="EW343" s="121"/>
      <c r="EX343" s="301"/>
      <c r="EY343" s="301"/>
      <c r="EZ343" s="427"/>
      <c r="FA343" s="424"/>
      <c r="FB343" s="424"/>
      <c r="FC343" s="424"/>
      <c r="FD343" s="427"/>
      <c r="FE343" s="121"/>
      <c r="FF343" s="121"/>
      <c r="FG343" s="121"/>
      <c r="FH343" s="301"/>
      <c r="FI343" s="301"/>
      <c r="FJ343" s="1170"/>
    </row>
    <row r="344" spans="1:166" ht="16" hidden="1" customHeight="1">
      <c r="A344" s="79" t="s">
        <v>970</v>
      </c>
      <c r="B344" s="362">
        <v>224</v>
      </c>
      <c r="C344" s="362">
        <v>81</v>
      </c>
      <c r="D344" s="362"/>
      <c r="E344" s="604" t="s">
        <v>2118</v>
      </c>
      <c r="F344" s="124" t="s">
        <v>2377</v>
      </c>
      <c r="G344" s="125">
        <v>2016</v>
      </c>
      <c r="H344" s="79">
        <v>27297027</v>
      </c>
      <c r="I344" s="79">
        <v>1</v>
      </c>
      <c r="J344" s="126">
        <v>1</v>
      </c>
      <c r="K344" s="127"/>
      <c r="L344" s="79">
        <v>1</v>
      </c>
      <c r="M344" s="79"/>
      <c r="N344" s="79">
        <v>1</v>
      </c>
      <c r="O344" s="128">
        <v>2</v>
      </c>
      <c r="P344" s="79" t="s">
        <v>1588</v>
      </c>
      <c r="Q344" s="79" t="s">
        <v>1216</v>
      </c>
      <c r="R344" s="79" t="s">
        <v>1127</v>
      </c>
      <c r="S344" s="79"/>
      <c r="T344" s="79" t="s">
        <v>1498</v>
      </c>
      <c r="U344" s="79"/>
      <c r="V344" s="79"/>
      <c r="W344" s="79" t="s">
        <v>1583</v>
      </c>
      <c r="X344" s="79" t="s">
        <v>1582</v>
      </c>
      <c r="Y344" s="79"/>
      <c r="Z344" s="79"/>
      <c r="AA344" s="79" t="s">
        <v>1581</v>
      </c>
      <c r="AB344" s="79"/>
      <c r="AC344" s="506"/>
      <c r="AD344" s="573">
        <v>1</v>
      </c>
      <c r="AE344" s="573">
        <v>2</v>
      </c>
      <c r="AF344" s="154">
        <v>1</v>
      </c>
      <c r="AG344" s="155" t="s">
        <v>5671</v>
      </c>
      <c r="AH344" s="704"/>
      <c r="AI344" s="121">
        <v>4</v>
      </c>
      <c r="AJ344" s="484" t="s">
        <v>5695</v>
      </c>
      <c r="AK344" s="202" t="s">
        <v>5705</v>
      </c>
      <c r="AL344" s="192" t="s">
        <v>8056</v>
      </c>
      <c r="AM344" s="215">
        <v>0</v>
      </c>
      <c r="AN344" s="134">
        <f>Table66[[#This Row],[Data_Subjects_n_ptsd]]+Table66[[#This Row],[Data_Subjects_n_control]]</f>
        <v>24</v>
      </c>
      <c r="AO344" s="134">
        <v>12</v>
      </c>
      <c r="AP344" s="134">
        <v>12</v>
      </c>
      <c r="AQ344" s="134" t="s">
        <v>803</v>
      </c>
      <c r="AR344" s="134" t="s">
        <v>803</v>
      </c>
      <c r="AS344" s="150" t="s">
        <v>2687</v>
      </c>
      <c r="AT344" s="150" t="s">
        <v>24</v>
      </c>
      <c r="AU344" s="150" t="s">
        <v>2687</v>
      </c>
      <c r="AV344" s="134" t="s">
        <v>24</v>
      </c>
      <c r="AW344" s="134" t="s">
        <v>5665</v>
      </c>
      <c r="AX344" s="134">
        <v>10</v>
      </c>
      <c r="AY344" s="134">
        <v>1</v>
      </c>
      <c r="AZ344" s="753" t="s">
        <v>1814</v>
      </c>
      <c r="BA344" s="134">
        <v>1</v>
      </c>
      <c r="BB344" s="134" t="s">
        <v>5664</v>
      </c>
      <c r="BC344" s="134" t="s">
        <v>5662</v>
      </c>
      <c r="BD344" s="753" t="s">
        <v>7522</v>
      </c>
      <c r="BE344" s="753"/>
      <c r="BF344" s="134" t="s">
        <v>3698</v>
      </c>
      <c r="BG344" s="134" t="s">
        <v>4508</v>
      </c>
      <c r="BH344" s="594"/>
      <c r="BI344" s="594"/>
      <c r="BJ344" s="156"/>
      <c r="BK344" s="156"/>
      <c r="BL344" s="156"/>
      <c r="BM344" s="156"/>
      <c r="BN344" s="156"/>
      <c r="BO344" s="156"/>
      <c r="BP344" s="156">
        <v>1</v>
      </c>
      <c r="BQ344" s="156"/>
      <c r="BR344" s="156"/>
      <c r="BS344" s="156"/>
      <c r="BT344" s="156"/>
      <c r="BU344" s="156"/>
      <c r="BV344" s="156"/>
      <c r="BW344" s="595" t="s">
        <v>3282</v>
      </c>
      <c r="BX344" s="157" t="s">
        <v>6617</v>
      </c>
      <c r="BY344" s="797" t="s">
        <v>7614</v>
      </c>
      <c r="BZ344" s="789" t="s">
        <v>7610</v>
      </c>
      <c r="CA344" s="660">
        <v>2</v>
      </c>
      <c r="CB344" s="660" t="s">
        <v>7556</v>
      </c>
      <c r="CC344" s="1724" t="s">
        <v>7384</v>
      </c>
      <c r="CD344" s="134" t="s">
        <v>1876</v>
      </c>
      <c r="CE344" s="134" t="s">
        <v>5663</v>
      </c>
      <c r="CF344" s="400" t="s">
        <v>7599</v>
      </c>
      <c r="CG344" s="134" t="s">
        <v>5669</v>
      </c>
      <c r="CH344" s="753" t="s">
        <v>1512</v>
      </c>
      <c r="CI344" s="134" t="s">
        <v>5667</v>
      </c>
      <c r="CJ344" s="134"/>
      <c r="CK344" s="134" t="s">
        <v>5670</v>
      </c>
      <c r="CL344" s="134" t="s">
        <v>8226</v>
      </c>
      <c r="CM344" s="259" t="s">
        <v>5702</v>
      </c>
      <c r="CN344" s="454" t="s">
        <v>24</v>
      </c>
      <c r="CO344" s="828">
        <v>72</v>
      </c>
      <c r="CP344" s="828">
        <v>1</v>
      </c>
      <c r="CQ344" s="828">
        <v>3</v>
      </c>
      <c r="CR344" s="828">
        <v>1</v>
      </c>
      <c r="CS344" s="828">
        <v>-1</v>
      </c>
      <c r="CT344" s="967"/>
      <c r="CU344" s="1289" t="s">
        <v>8104</v>
      </c>
      <c r="CV344" s="1295">
        <v>120</v>
      </c>
      <c r="CW344" s="1295">
        <v>109</v>
      </c>
      <c r="CX344" s="138" t="s">
        <v>5682</v>
      </c>
      <c r="CY344" s="134">
        <v>30.710899999999999</v>
      </c>
      <c r="CZ344" s="134" t="s">
        <v>24</v>
      </c>
      <c r="DA344" s="134" t="s">
        <v>24</v>
      </c>
      <c r="DB344" s="138" t="s">
        <v>5683</v>
      </c>
      <c r="DC344" s="134">
        <v>25.029199999999999</v>
      </c>
      <c r="DD344" s="134" t="s">
        <v>24</v>
      </c>
      <c r="DE344" s="134" t="s">
        <v>24</v>
      </c>
      <c r="DF344" s="300" t="s">
        <v>5698</v>
      </c>
      <c r="DG344" s="301" t="s">
        <v>2480</v>
      </c>
      <c r="DH344" s="1171"/>
      <c r="DI344" s="1169"/>
      <c r="DJ344" s="1169"/>
      <c r="DK344" s="1169"/>
      <c r="DL344" s="1171"/>
      <c r="DM344" s="1169"/>
      <c r="DN344" s="1169"/>
      <c r="DO344" s="1169"/>
      <c r="DP344" s="288"/>
      <c r="DQ344" s="289"/>
      <c r="DR344" s="1168"/>
      <c r="DS344" s="865"/>
      <c r="DT344" s="1171"/>
      <c r="DU344" s="1169"/>
      <c r="DV344" s="1169"/>
      <c r="DW344" s="1169"/>
      <c r="DX344" s="1171"/>
      <c r="DY344" s="1169"/>
      <c r="DZ344" s="1169"/>
      <c r="EA344" s="1169"/>
      <c r="EB344" s="304"/>
      <c r="EC344" s="312"/>
      <c r="ED344" s="1171"/>
      <c r="EE344" s="1169"/>
      <c r="EF344" s="1169"/>
      <c r="EG344" s="1169"/>
      <c r="EH344" s="1171"/>
      <c r="EI344" s="1169"/>
      <c r="EJ344" s="1169"/>
      <c r="EK344" s="1169"/>
      <c r="EL344" s="304"/>
      <c r="EM344" s="312"/>
      <c r="EN344" s="309"/>
      <c r="EO344" s="1170"/>
      <c r="EP344" s="1171"/>
      <c r="EQ344" s="1169"/>
      <c r="ER344" s="1169"/>
      <c r="ES344" s="1169"/>
      <c r="ET344" s="1171"/>
      <c r="EU344" s="1169"/>
      <c r="EV344" s="1169"/>
      <c r="EW344" s="1169"/>
      <c r="EX344" s="312"/>
      <c r="EY344" s="312"/>
      <c r="EZ344" s="1174"/>
      <c r="FA344" s="1177"/>
      <c r="FB344" s="1177"/>
      <c r="FC344" s="1177"/>
      <c r="FD344" s="1174"/>
      <c r="FE344" s="1169"/>
      <c r="FF344" s="1169"/>
      <c r="FG344" s="1169"/>
      <c r="FH344" s="312"/>
      <c r="FI344" s="312"/>
      <c r="FJ344" s="1170"/>
    </row>
    <row r="345" spans="1:166" ht="15" hidden="1" customHeight="1">
      <c r="A345" s="79" t="s">
        <v>970</v>
      </c>
      <c r="B345" s="362">
        <v>224</v>
      </c>
      <c r="C345" s="362">
        <v>81</v>
      </c>
      <c r="D345" s="362"/>
      <c r="E345" s="604" t="s">
        <v>2118</v>
      </c>
      <c r="F345" s="124" t="s">
        <v>2377</v>
      </c>
      <c r="G345" s="125">
        <v>2016</v>
      </c>
      <c r="H345" s="79">
        <v>27297027</v>
      </c>
      <c r="I345" s="79">
        <v>1</v>
      </c>
      <c r="J345" s="126">
        <v>1</v>
      </c>
      <c r="K345" s="127"/>
      <c r="L345" s="79">
        <v>1</v>
      </c>
      <c r="M345" s="79"/>
      <c r="N345" s="79">
        <v>1</v>
      </c>
      <c r="O345" s="128">
        <v>2</v>
      </c>
      <c r="P345" s="79" t="s">
        <v>1588</v>
      </c>
      <c r="Q345" s="79" t="s">
        <v>1216</v>
      </c>
      <c r="R345" s="79" t="s">
        <v>1127</v>
      </c>
      <c r="S345" s="79"/>
      <c r="T345" s="79" t="s">
        <v>1498</v>
      </c>
      <c r="U345" s="79"/>
      <c r="V345" s="79"/>
      <c r="W345" s="79" t="s">
        <v>1583</v>
      </c>
      <c r="X345" s="79" t="s">
        <v>1582</v>
      </c>
      <c r="Y345" s="79"/>
      <c r="Z345" s="79"/>
      <c r="AA345" s="79" t="s">
        <v>1581</v>
      </c>
      <c r="AB345" s="79"/>
      <c r="AC345" s="506"/>
      <c r="AD345" s="573">
        <v>1</v>
      </c>
      <c r="AE345" s="573">
        <v>2</v>
      </c>
      <c r="AF345" s="154">
        <v>1</v>
      </c>
      <c r="AG345" s="155" t="s">
        <v>5671</v>
      </c>
      <c r="AH345" s="704"/>
      <c r="AI345" s="121">
        <v>4</v>
      </c>
      <c r="AJ345" s="484" t="s">
        <v>5695</v>
      </c>
      <c r="AK345" s="202" t="s">
        <v>5705</v>
      </c>
      <c r="AL345" s="192" t="s">
        <v>8056</v>
      </c>
      <c r="AM345" s="215">
        <v>0</v>
      </c>
      <c r="AN345" s="134">
        <f>Table66[[#This Row],[Data_Subjects_n_ptsd]]+Table66[[#This Row],[Data_Subjects_n_control]]</f>
        <v>24</v>
      </c>
      <c r="AO345" s="134">
        <v>12</v>
      </c>
      <c r="AP345" s="134">
        <v>12</v>
      </c>
      <c r="AQ345" s="134" t="s">
        <v>803</v>
      </c>
      <c r="AR345" s="134" t="s">
        <v>803</v>
      </c>
      <c r="AS345" s="150" t="s">
        <v>2687</v>
      </c>
      <c r="AT345" s="150" t="s">
        <v>24</v>
      </c>
      <c r="AU345" s="150" t="s">
        <v>2687</v>
      </c>
      <c r="AV345" s="134" t="s">
        <v>24</v>
      </c>
      <c r="AW345" s="134" t="s">
        <v>5665</v>
      </c>
      <c r="AX345" s="134">
        <v>10</v>
      </c>
      <c r="AY345" s="134">
        <v>1</v>
      </c>
      <c r="AZ345" s="753" t="s">
        <v>1814</v>
      </c>
      <c r="BA345" s="134">
        <v>1</v>
      </c>
      <c r="BB345" s="134" t="s">
        <v>5664</v>
      </c>
      <c r="BC345" s="134" t="s">
        <v>5662</v>
      </c>
      <c r="BD345" s="753" t="s">
        <v>7522</v>
      </c>
      <c r="BE345" s="753"/>
      <c r="BF345" s="134" t="s">
        <v>3698</v>
      </c>
      <c r="BG345" s="134" t="s">
        <v>4508</v>
      </c>
      <c r="BH345" s="594"/>
      <c r="BI345" s="594"/>
      <c r="BJ345" s="156"/>
      <c r="BK345" s="156"/>
      <c r="BL345" s="156"/>
      <c r="BM345" s="156"/>
      <c r="BN345" s="156"/>
      <c r="BO345" s="156"/>
      <c r="BP345" s="156">
        <v>1</v>
      </c>
      <c r="BQ345" s="156"/>
      <c r="BR345" s="156"/>
      <c r="BS345" s="156"/>
      <c r="BT345" s="156"/>
      <c r="BU345" s="156"/>
      <c r="BV345" s="156"/>
      <c r="BW345" s="595" t="s">
        <v>3282</v>
      </c>
      <c r="BX345" s="157" t="s">
        <v>6617</v>
      </c>
      <c r="BY345" s="797" t="s">
        <v>7614</v>
      </c>
      <c r="BZ345" s="789" t="s">
        <v>7610</v>
      </c>
      <c r="CA345" s="660">
        <v>2</v>
      </c>
      <c r="CB345" s="660" t="s">
        <v>7556</v>
      </c>
      <c r="CC345" s="1724" t="s">
        <v>7384</v>
      </c>
      <c r="CD345" s="134" t="s">
        <v>1876</v>
      </c>
      <c r="CE345" s="134" t="s">
        <v>5663</v>
      </c>
      <c r="CF345" s="400" t="s">
        <v>7599</v>
      </c>
      <c r="CG345" s="134" t="s">
        <v>5669</v>
      </c>
      <c r="CH345" s="753" t="s">
        <v>1512</v>
      </c>
      <c r="CI345" s="134" t="s">
        <v>5667</v>
      </c>
      <c r="CJ345" s="134"/>
      <c r="CK345" s="134" t="s">
        <v>5670</v>
      </c>
      <c r="CL345" s="134" t="s">
        <v>8226</v>
      </c>
      <c r="CM345" s="259" t="s">
        <v>5702</v>
      </c>
      <c r="CN345" s="454" t="s">
        <v>24</v>
      </c>
      <c r="CO345" s="828">
        <v>72</v>
      </c>
      <c r="CP345" s="828">
        <v>1</v>
      </c>
      <c r="CQ345" s="828">
        <v>4</v>
      </c>
      <c r="CR345" s="828">
        <v>1</v>
      </c>
      <c r="CS345" s="828">
        <v>-1</v>
      </c>
      <c r="CT345" s="967"/>
      <c r="CU345" s="1289" t="s">
        <v>8104</v>
      </c>
      <c r="CV345" s="1295">
        <v>120</v>
      </c>
      <c r="CW345" s="1295">
        <v>109</v>
      </c>
      <c r="CX345" s="138" t="s">
        <v>5684</v>
      </c>
      <c r="CY345" s="134">
        <v>22.9694</v>
      </c>
      <c r="CZ345" s="134" t="s">
        <v>24</v>
      </c>
      <c r="DA345" s="134" t="s">
        <v>24</v>
      </c>
      <c r="DB345" s="138" t="s">
        <v>5685</v>
      </c>
      <c r="DC345" s="134">
        <v>15.158099999999999</v>
      </c>
      <c r="DD345" s="134" t="s">
        <v>24</v>
      </c>
      <c r="DE345" s="134" t="s">
        <v>24</v>
      </c>
      <c r="DF345" s="300" t="s">
        <v>5699</v>
      </c>
      <c r="DG345" s="301" t="s">
        <v>5700</v>
      </c>
      <c r="DH345" s="1171"/>
      <c r="DI345" s="1169"/>
      <c r="DJ345" s="1169"/>
      <c r="DK345" s="1169"/>
      <c r="DL345" s="1171"/>
      <c r="DM345" s="1169"/>
      <c r="DN345" s="1169"/>
      <c r="DO345" s="1169"/>
      <c r="DP345" s="288"/>
      <c r="DQ345" s="289"/>
      <c r="DR345" s="1168"/>
      <c r="DS345" s="865"/>
      <c r="DT345" s="1171"/>
      <c r="DU345" s="1169"/>
      <c r="DV345" s="1169"/>
      <c r="DW345" s="1169"/>
      <c r="DX345" s="1171"/>
      <c r="DY345" s="1169"/>
      <c r="DZ345" s="1169"/>
      <c r="EA345" s="1169"/>
      <c r="EB345" s="304"/>
      <c r="EC345" s="312"/>
      <c r="ED345" s="1171"/>
      <c r="EE345" s="1169"/>
      <c r="EF345" s="1169"/>
      <c r="EG345" s="1169"/>
      <c r="EH345" s="1171"/>
      <c r="EI345" s="1169"/>
      <c r="EJ345" s="1169"/>
      <c r="EK345" s="1169"/>
      <c r="EL345" s="304"/>
      <c r="EM345" s="312"/>
      <c r="EN345" s="309"/>
      <c r="EO345" s="1170"/>
      <c r="EP345" s="1171"/>
      <c r="EQ345" s="1169"/>
      <c r="ER345" s="1169"/>
      <c r="ES345" s="1169"/>
      <c r="ET345" s="1171"/>
      <c r="EU345" s="1169"/>
      <c r="EV345" s="1169"/>
      <c r="EW345" s="1169"/>
      <c r="EX345" s="312"/>
      <c r="EY345" s="312"/>
      <c r="EZ345" s="1174"/>
      <c r="FA345" s="1177"/>
      <c r="FB345" s="1177"/>
      <c r="FC345" s="1177"/>
      <c r="FD345" s="1174"/>
      <c r="FE345" s="1169"/>
      <c r="FF345" s="1169"/>
      <c r="FG345" s="1169"/>
      <c r="FH345" s="312"/>
      <c r="FI345" s="312"/>
      <c r="FJ345" s="1170"/>
    </row>
    <row r="346" spans="1:166" ht="15" hidden="1" customHeight="1">
      <c r="A346" s="79" t="s">
        <v>970</v>
      </c>
      <c r="B346" s="362">
        <v>224</v>
      </c>
      <c r="C346" s="362">
        <v>81</v>
      </c>
      <c r="D346" s="362"/>
      <c r="E346" s="604" t="s">
        <v>2118</v>
      </c>
      <c r="F346" s="124" t="s">
        <v>2377</v>
      </c>
      <c r="G346" s="125">
        <v>2016</v>
      </c>
      <c r="H346" s="79">
        <v>27297027</v>
      </c>
      <c r="I346" s="79">
        <v>1</v>
      </c>
      <c r="J346" s="126">
        <v>1</v>
      </c>
      <c r="K346" s="127"/>
      <c r="L346" s="79">
        <v>1</v>
      </c>
      <c r="M346" s="79"/>
      <c r="N346" s="79">
        <v>1</v>
      </c>
      <c r="O346" s="128">
        <v>2</v>
      </c>
      <c r="P346" s="79" t="s">
        <v>1588</v>
      </c>
      <c r="Q346" s="79" t="s">
        <v>1216</v>
      </c>
      <c r="R346" s="79" t="s">
        <v>1127</v>
      </c>
      <c r="S346" s="79"/>
      <c r="T346" s="79" t="s">
        <v>1498</v>
      </c>
      <c r="U346" s="79"/>
      <c r="V346" s="79"/>
      <c r="W346" s="79" t="s">
        <v>1583</v>
      </c>
      <c r="X346" s="79" t="s">
        <v>1582</v>
      </c>
      <c r="Y346" s="79"/>
      <c r="Z346" s="79"/>
      <c r="AA346" s="79" t="s">
        <v>1581</v>
      </c>
      <c r="AB346" s="79"/>
      <c r="AC346" s="506"/>
      <c r="AD346" s="573">
        <v>1</v>
      </c>
      <c r="AE346" s="573">
        <v>2</v>
      </c>
      <c r="AF346" s="154">
        <v>1</v>
      </c>
      <c r="AG346" s="155" t="s">
        <v>5671</v>
      </c>
      <c r="AH346" s="704"/>
      <c r="AI346" s="121">
        <v>4</v>
      </c>
      <c r="AJ346" s="484" t="s">
        <v>5695</v>
      </c>
      <c r="AK346" s="202" t="s">
        <v>5705</v>
      </c>
      <c r="AL346" s="192" t="s">
        <v>8056</v>
      </c>
      <c r="AM346" s="215">
        <v>0</v>
      </c>
      <c r="AN346" s="134">
        <f>Table66[[#This Row],[Data_Subjects_n_ptsd]]+Table66[[#This Row],[Data_Subjects_n_control]]</f>
        <v>24</v>
      </c>
      <c r="AO346" s="134">
        <v>12</v>
      </c>
      <c r="AP346" s="134">
        <v>12</v>
      </c>
      <c r="AQ346" s="134" t="s">
        <v>803</v>
      </c>
      <c r="AR346" s="134" t="s">
        <v>803</v>
      </c>
      <c r="AS346" s="150" t="s">
        <v>2687</v>
      </c>
      <c r="AT346" s="150" t="s">
        <v>24</v>
      </c>
      <c r="AU346" s="150" t="s">
        <v>2687</v>
      </c>
      <c r="AV346" s="134" t="s">
        <v>24</v>
      </c>
      <c r="AW346" s="134" t="s">
        <v>5665</v>
      </c>
      <c r="AX346" s="134">
        <v>10</v>
      </c>
      <c r="AY346" s="134">
        <v>1</v>
      </c>
      <c r="AZ346" s="753" t="s">
        <v>1814</v>
      </c>
      <c r="BA346" s="134">
        <v>1</v>
      </c>
      <c r="BB346" s="134" t="s">
        <v>5664</v>
      </c>
      <c r="BC346" s="134" t="s">
        <v>5662</v>
      </c>
      <c r="BD346" s="753" t="s">
        <v>7522</v>
      </c>
      <c r="BE346" s="753"/>
      <c r="BF346" s="134" t="s">
        <v>3698</v>
      </c>
      <c r="BG346" s="134" t="s">
        <v>4508</v>
      </c>
      <c r="BH346" s="594"/>
      <c r="BI346" s="594"/>
      <c r="BJ346" s="156"/>
      <c r="BK346" s="156"/>
      <c r="BL346" s="156"/>
      <c r="BM346" s="156"/>
      <c r="BN346" s="156"/>
      <c r="BO346" s="156"/>
      <c r="BP346" s="156">
        <v>1</v>
      </c>
      <c r="BQ346" s="156"/>
      <c r="BR346" s="156"/>
      <c r="BS346" s="156"/>
      <c r="BT346" s="156"/>
      <c r="BU346" s="156"/>
      <c r="BV346" s="156"/>
      <c r="BW346" s="595" t="s">
        <v>3282</v>
      </c>
      <c r="BX346" s="157" t="s">
        <v>6617</v>
      </c>
      <c r="BY346" s="797" t="s">
        <v>7614</v>
      </c>
      <c r="BZ346" s="789" t="s">
        <v>7610</v>
      </c>
      <c r="CA346" s="660">
        <v>2</v>
      </c>
      <c r="CB346" s="660" t="s">
        <v>7556</v>
      </c>
      <c r="CC346" s="1724" t="s">
        <v>7384</v>
      </c>
      <c r="CD346" s="134" t="s">
        <v>1876</v>
      </c>
      <c r="CE346" s="134" t="s">
        <v>5663</v>
      </c>
      <c r="CF346" s="400" t="s">
        <v>7599</v>
      </c>
      <c r="CG346" s="134" t="s">
        <v>5669</v>
      </c>
      <c r="CH346" s="753" t="s">
        <v>1512</v>
      </c>
      <c r="CI346" s="134" t="s">
        <v>5667</v>
      </c>
      <c r="CJ346" s="134"/>
      <c r="CK346" s="134" t="s">
        <v>5670</v>
      </c>
      <c r="CL346" s="134" t="s">
        <v>8226</v>
      </c>
      <c r="CM346" s="259" t="s">
        <v>5702</v>
      </c>
      <c r="CN346" s="454" t="s">
        <v>24</v>
      </c>
      <c r="CO346" s="828">
        <v>72</v>
      </c>
      <c r="CP346" s="828">
        <v>1</v>
      </c>
      <c r="CQ346" s="828">
        <v>5</v>
      </c>
      <c r="CR346" s="828">
        <v>1</v>
      </c>
      <c r="CS346" s="828">
        <v>-1</v>
      </c>
      <c r="CT346" s="967"/>
      <c r="CU346" s="1289" t="s">
        <v>8104</v>
      </c>
      <c r="CV346" s="1295">
        <v>120</v>
      </c>
      <c r="CW346" s="1295">
        <v>109</v>
      </c>
      <c r="CX346" s="138" t="s">
        <v>5686</v>
      </c>
      <c r="CY346" s="134">
        <v>17.360800000000001</v>
      </c>
      <c r="CZ346" s="134" t="s">
        <v>24</v>
      </c>
      <c r="DA346" s="134" t="s">
        <v>24</v>
      </c>
      <c r="DB346" s="138" t="s">
        <v>5687</v>
      </c>
      <c r="DC346" s="134">
        <v>10.7324</v>
      </c>
      <c r="DD346" s="134" t="s">
        <v>24</v>
      </c>
      <c r="DE346" s="134" t="s">
        <v>24</v>
      </c>
      <c r="DF346" s="301" t="s">
        <v>5699</v>
      </c>
      <c r="DG346" s="301" t="s">
        <v>5701</v>
      </c>
      <c r="DH346" s="1276"/>
      <c r="DI346" s="121"/>
      <c r="DJ346" s="1169"/>
      <c r="DK346" s="121"/>
      <c r="DL346" s="1171"/>
      <c r="DM346" s="121"/>
      <c r="DN346" s="1169"/>
      <c r="DO346" s="121"/>
      <c r="DP346" s="288"/>
      <c r="DQ346" s="289"/>
      <c r="DR346" s="1168"/>
      <c r="DS346" s="865"/>
      <c r="DT346" s="1171"/>
      <c r="DU346" s="121"/>
      <c r="DV346" s="1169"/>
      <c r="DW346" s="121"/>
      <c r="DX346" s="1171"/>
      <c r="DY346" s="121"/>
      <c r="DZ346" s="1169"/>
      <c r="EA346" s="121"/>
      <c r="EB346" s="304"/>
      <c r="EC346" s="312"/>
      <c r="ED346" s="1171"/>
      <c r="EE346" s="1169"/>
      <c r="EF346" s="1169"/>
      <c r="EG346" s="1169"/>
      <c r="EH346" s="1171"/>
      <c r="EI346" s="1169"/>
      <c r="EJ346" s="1169"/>
      <c r="EK346" s="1169"/>
      <c r="EL346" s="304"/>
      <c r="EM346" s="312"/>
      <c r="EN346" s="309"/>
      <c r="EO346" s="1170"/>
      <c r="EP346" s="1171"/>
      <c r="EQ346" s="1169"/>
      <c r="ER346" s="1169"/>
      <c r="ES346" s="1169"/>
      <c r="ET346" s="1171"/>
      <c r="EU346" s="1169"/>
      <c r="EV346" s="1169"/>
      <c r="EW346" s="1169"/>
      <c r="EX346" s="312"/>
      <c r="EY346" s="312"/>
      <c r="EZ346" s="1174"/>
      <c r="FA346" s="1177"/>
      <c r="FB346" s="1177"/>
      <c r="FC346" s="1177"/>
      <c r="FD346" s="1174"/>
      <c r="FE346" s="1169"/>
      <c r="FF346" s="1169"/>
      <c r="FG346" s="1169"/>
      <c r="FH346" s="312"/>
      <c r="FI346" s="312"/>
      <c r="FJ346" s="1170"/>
    </row>
    <row r="347" spans="1:166" ht="15" hidden="1" customHeight="1">
      <c r="A347" s="79" t="s">
        <v>207</v>
      </c>
      <c r="B347" s="362">
        <v>153</v>
      </c>
      <c r="C347" s="362"/>
      <c r="D347" s="362">
        <v>52</v>
      </c>
      <c r="E347" s="604" t="s">
        <v>1978</v>
      </c>
      <c r="F347" s="124" t="s">
        <v>2202</v>
      </c>
      <c r="G347" s="125">
        <v>1996</v>
      </c>
      <c r="H347" s="79">
        <v>8827652</v>
      </c>
      <c r="I347" s="79">
        <v>1</v>
      </c>
      <c r="J347" s="126"/>
      <c r="K347" s="127"/>
      <c r="L347" s="79">
        <v>1</v>
      </c>
      <c r="M347" s="79"/>
      <c r="N347" s="79">
        <v>1</v>
      </c>
      <c r="O347" s="128">
        <v>1</v>
      </c>
      <c r="P347" s="79" t="s">
        <v>920</v>
      </c>
      <c r="Q347" s="79" t="s">
        <v>1165</v>
      </c>
      <c r="R347" s="79" t="s">
        <v>591</v>
      </c>
      <c r="S347" s="79">
        <v>1</v>
      </c>
      <c r="T347" s="79"/>
      <c r="U347" s="79"/>
      <c r="V347" s="79"/>
      <c r="W347" s="79" t="s">
        <v>1156</v>
      </c>
      <c r="X347" s="79"/>
      <c r="Y347" s="79" t="s">
        <v>592</v>
      </c>
      <c r="Z347" s="79" t="s">
        <v>593</v>
      </c>
      <c r="AA347" s="79"/>
      <c r="AB347" s="79"/>
      <c r="AC347" s="506" t="s">
        <v>6230</v>
      </c>
      <c r="AD347" s="573">
        <v>1</v>
      </c>
      <c r="AE347" s="573">
        <v>1</v>
      </c>
      <c r="AF347" s="233">
        <v>1</v>
      </c>
      <c r="AG347" s="234" t="s">
        <v>7963</v>
      </c>
      <c r="AH347" s="704"/>
      <c r="AI347" s="135">
        <v>2</v>
      </c>
      <c r="AJ347" s="135" t="s">
        <v>6942</v>
      </c>
      <c r="AK347" s="235" t="s">
        <v>6927</v>
      </c>
      <c r="AL347" s="236">
        <v>0</v>
      </c>
      <c r="AM347" s="215">
        <v>0</v>
      </c>
      <c r="AN347" s="134">
        <f>Table66[[#This Row],[Data_Subjects_n_ptsd]]+Table66[[#This Row],[Data_Subjects_n_control]]</f>
        <v>39</v>
      </c>
      <c r="AO347" s="134">
        <v>24</v>
      </c>
      <c r="AP347" s="134">
        <v>15</v>
      </c>
      <c r="AQ347" s="134" t="s">
        <v>6928</v>
      </c>
      <c r="AR347" s="134" t="s">
        <v>6928</v>
      </c>
      <c r="AS347" s="134">
        <v>42.4</v>
      </c>
      <c r="AT347" s="134">
        <v>2.31</v>
      </c>
      <c r="AU347" s="134">
        <v>43.2</v>
      </c>
      <c r="AV347" s="134">
        <v>3.17</v>
      </c>
      <c r="AW347" s="134" t="s">
        <v>3206</v>
      </c>
      <c r="AX347" s="134"/>
      <c r="AY347" s="134"/>
      <c r="AZ347" s="753" t="s">
        <v>1874</v>
      </c>
      <c r="BA347" s="134" t="s">
        <v>24</v>
      </c>
      <c r="BB347" s="134" t="s">
        <v>24</v>
      </c>
      <c r="BC347" s="134" t="s">
        <v>2423</v>
      </c>
      <c r="BD347" s="753" t="s">
        <v>7521</v>
      </c>
      <c r="BE347" s="1624">
        <v>0</v>
      </c>
      <c r="BF347" s="134" t="s">
        <v>4371</v>
      </c>
      <c r="BG347" s="134" t="s">
        <v>6926</v>
      </c>
      <c r="BH347" s="594"/>
      <c r="BI347" s="594"/>
      <c r="BJ347" s="156"/>
      <c r="BK347" s="156"/>
      <c r="BL347" s="156" t="s">
        <v>5207</v>
      </c>
      <c r="BM347" s="156"/>
      <c r="BN347" s="156"/>
      <c r="BO347" s="156" t="s">
        <v>4727</v>
      </c>
      <c r="BP347" s="156">
        <v>1</v>
      </c>
      <c r="BQ347" s="156" t="s">
        <v>6923</v>
      </c>
      <c r="BR347" s="156"/>
      <c r="BS347" s="156"/>
      <c r="BT347" s="156" t="s">
        <v>5207</v>
      </c>
      <c r="BU347" s="156"/>
      <c r="BV347" s="156"/>
      <c r="BW347" s="595" t="s">
        <v>6925</v>
      </c>
      <c r="BX347" s="157" t="s">
        <v>6609</v>
      </c>
      <c r="BY347" s="797" t="s">
        <v>7896</v>
      </c>
      <c r="BZ347" s="789" t="s">
        <v>803</v>
      </c>
      <c r="CA347" s="811">
        <v>3</v>
      </c>
      <c r="CB347" s="660" t="s">
        <v>7556</v>
      </c>
      <c r="CC347" s="854" t="s">
        <v>7380</v>
      </c>
      <c r="CD347" s="134" t="s">
        <v>1876</v>
      </c>
      <c r="CE347" s="134" t="s">
        <v>6924</v>
      </c>
      <c r="CF347" s="400"/>
      <c r="CG347" s="134" t="s">
        <v>6929</v>
      </c>
      <c r="CH347" s="855" t="s">
        <v>8236</v>
      </c>
      <c r="CI347" s="134" t="s">
        <v>24</v>
      </c>
      <c r="CJ347" s="134"/>
      <c r="CK347" s="134" t="s">
        <v>6930</v>
      </c>
      <c r="CL347" s="134" t="s">
        <v>8234</v>
      </c>
      <c r="CM347" s="259" t="s">
        <v>6941</v>
      </c>
      <c r="CN347" s="454">
        <v>0</v>
      </c>
      <c r="CO347" s="828">
        <v>41</v>
      </c>
      <c r="CP347" s="828">
        <v>1</v>
      </c>
      <c r="CQ347" s="828">
        <v>1</v>
      </c>
      <c r="CR347" s="828">
        <v>1</v>
      </c>
      <c r="CS347" s="828">
        <v>1</v>
      </c>
      <c r="CT347" s="967"/>
      <c r="CU347" s="1288" t="s">
        <v>8103</v>
      </c>
      <c r="CV347" s="1294">
        <v>18</v>
      </c>
      <c r="CW347" s="1294">
        <v>18</v>
      </c>
      <c r="CX347" s="138" t="s">
        <v>6932</v>
      </c>
      <c r="CY347" s="134">
        <v>0.92400000000000004</v>
      </c>
      <c r="CZ347" s="134">
        <v>7.0000000000000007E-2</v>
      </c>
      <c r="DA347" s="134" t="s">
        <v>24</v>
      </c>
      <c r="DB347" s="138" t="s">
        <v>6939</v>
      </c>
      <c r="DC347" s="134">
        <v>0.94699999999999995</v>
      </c>
      <c r="DD347" s="134">
        <v>0.03</v>
      </c>
      <c r="DE347" s="134" t="s">
        <v>24</v>
      </c>
      <c r="DF347" s="280" t="s">
        <v>6940</v>
      </c>
      <c r="DG347" s="310" t="s">
        <v>3790</v>
      </c>
      <c r="DH347" s="121"/>
      <c r="DI347" s="121"/>
      <c r="DJ347" s="1169"/>
      <c r="DK347" s="121"/>
      <c r="DL347" s="1169"/>
      <c r="DM347" s="1169"/>
      <c r="DN347" s="1169"/>
      <c r="DO347" s="1169"/>
      <c r="DP347" s="288"/>
      <c r="DQ347" s="289"/>
      <c r="DR347" s="1168"/>
      <c r="DS347" s="865"/>
      <c r="DT347" s="1171"/>
      <c r="DU347" s="121"/>
      <c r="DV347" s="1169"/>
      <c r="DW347" s="121"/>
      <c r="DX347" s="1169"/>
      <c r="DY347" s="121"/>
      <c r="DZ347" s="1169"/>
      <c r="EA347" s="121"/>
      <c r="EB347" s="304"/>
      <c r="EC347" s="312"/>
      <c r="ED347" s="1169"/>
      <c r="EE347" s="121"/>
      <c r="EF347" s="1169"/>
      <c r="EG347" s="121"/>
      <c r="EH347" s="1169"/>
      <c r="EI347" s="1169"/>
      <c r="EJ347" s="1169"/>
      <c r="EK347" s="1169"/>
      <c r="EL347" s="304"/>
      <c r="EM347" s="312"/>
      <c r="EN347" s="309"/>
      <c r="EO347" s="1170"/>
      <c r="EP347" s="1169"/>
      <c r="EQ347" s="1169"/>
      <c r="ER347" s="1169"/>
      <c r="ES347" s="1169"/>
      <c r="ET347" s="1171"/>
      <c r="EU347" s="1169"/>
      <c r="EV347" s="1169"/>
      <c r="EW347" s="1169"/>
      <c r="EX347" s="312"/>
      <c r="EY347" s="312"/>
      <c r="EZ347" s="1171"/>
      <c r="FA347" s="1169"/>
      <c r="FB347" s="1169"/>
      <c r="FC347" s="1169"/>
      <c r="FD347" s="1171"/>
      <c r="FE347" s="1169"/>
      <c r="FF347" s="1169"/>
      <c r="FG347" s="1169"/>
      <c r="FH347" s="312"/>
      <c r="FI347" s="312"/>
      <c r="FJ347" s="1170"/>
    </row>
    <row r="348" spans="1:166" ht="15" hidden="1" customHeight="1">
      <c r="A348" s="79" t="s">
        <v>207</v>
      </c>
      <c r="B348" s="362">
        <v>153</v>
      </c>
      <c r="C348" s="362"/>
      <c r="D348" s="362">
        <v>52</v>
      </c>
      <c r="E348" s="604" t="s">
        <v>1978</v>
      </c>
      <c r="F348" s="124" t="s">
        <v>2202</v>
      </c>
      <c r="G348" s="125">
        <v>1996</v>
      </c>
      <c r="H348" s="79">
        <v>8827652</v>
      </c>
      <c r="I348" s="79">
        <v>1</v>
      </c>
      <c r="J348" s="126"/>
      <c r="K348" s="127"/>
      <c r="L348" s="79">
        <v>1</v>
      </c>
      <c r="M348" s="79"/>
      <c r="N348" s="79">
        <v>1</v>
      </c>
      <c r="O348" s="128">
        <v>1</v>
      </c>
      <c r="P348" s="79" t="s">
        <v>920</v>
      </c>
      <c r="Q348" s="79" t="s">
        <v>1165</v>
      </c>
      <c r="R348" s="79" t="s">
        <v>591</v>
      </c>
      <c r="S348" s="79">
        <v>1</v>
      </c>
      <c r="T348" s="79"/>
      <c r="U348" s="79"/>
      <c r="V348" s="79"/>
      <c r="W348" s="79" t="s">
        <v>1156</v>
      </c>
      <c r="X348" s="79"/>
      <c r="Y348" s="79" t="s">
        <v>592</v>
      </c>
      <c r="Z348" s="79" t="s">
        <v>593</v>
      </c>
      <c r="AA348" s="79"/>
      <c r="AB348" s="79"/>
      <c r="AC348" s="506" t="s">
        <v>6230</v>
      </c>
      <c r="AD348" s="573">
        <v>1</v>
      </c>
      <c r="AE348" s="573">
        <v>1</v>
      </c>
      <c r="AF348" s="233">
        <v>1</v>
      </c>
      <c r="AG348" s="234" t="s">
        <v>6922</v>
      </c>
      <c r="AH348" s="704"/>
      <c r="AI348" s="135">
        <v>2</v>
      </c>
      <c r="AJ348" s="135" t="s">
        <v>6942</v>
      </c>
      <c r="AK348" s="235" t="s">
        <v>6927</v>
      </c>
      <c r="AL348" s="236">
        <v>0</v>
      </c>
      <c r="AM348" s="215">
        <v>0</v>
      </c>
      <c r="AN348" s="134">
        <f>Table66[[#This Row],[Data_Subjects_n_ptsd]]+Table66[[#This Row],[Data_Subjects_n_control]]</f>
        <v>39</v>
      </c>
      <c r="AO348" s="134">
        <v>24</v>
      </c>
      <c r="AP348" s="134">
        <v>15</v>
      </c>
      <c r="AQ348" s="134" t="s">
        <v>6928</v>
      </c>
      <c r="AR348" s="134" t="s">
        <v>6928</v>
      </c>
      <c r="AS348" s="134">
        <v>42.4</v>
      </c>
      <c r="AT348" s="134">
        <v>2.31</v>
      </c>
      <c r="AU348" s="134">
        <v>43.2</v>
      </c>
      <c r="AV348" s="134">
        <v>3.17</v>
      </c>
      <c r="AW348" s="134" t="s">
        <v>3206</v>
      </c>
      <c r="AX348" s="134"/>
      <c r="AY348" s="134"/>
      <c r="AZ348" s="753" t="s">
        <v>1874</v>
      </c>
      <c r="BA348" s="134" t="s">
        <v>24</v>
      </c>
      <c r="BB348" s="134" t="s">
        <v>24</v>
      </c>
      <c r="BC348" s="134" t="s">
        <v>2423</v>
      </c>
      <c r="BD348" s="753" t="s">
        <v>7521</v>
      </c>
      <c r="BE348" s="1624">
        <v>0</v>
      </c>
      <c r="BF348" s="134" t="s">
        <v>4371</v>
      </c>
      <c r="BG348" s="134" t="s">
        <v>6926</v>
      </c>
      <c r="BH348" s="594"/>
      <c r="BI348" s="594"/>
      <c r="BJ348" s="156"/>
      <c r="BK348" s="156"/>
      <c r="BL348" s="156" t="s">
        <v>5207</v>
      </c>
      <c r="BM348" s="156"/>
      <c r="BN348" s="156"/>
      <c r="BO348" s="156" t="s">
        <v>4727</v>
      </c>
      <c r="BP348" s="156">
        <v>1</v>
      </c>
      <c r="BQ348" s="156" t="s">
        <v>6923</v>
      </c>
      <c r="BR348" s="156"/>
      <c r="BS348" s="156"/>
      <c r="BT348" s="156" t="s">
        <v>5207</v>
      </c>
      <c r="BU348" s="156"/>
      <c r="BV348" s="156"/>
      <c r="BW348" s="595" t="s">
        <v>6925</v>
      </c>
      <c r="BX348" s="157" t="s">
        <v>6609</v>
      </c>
      <c r="BY348" s="797" t="s">
        <v>7616</v>
      </c>
      <c r="BZ348" s="789" t="s">
        <v>803</v>
      </c>
      <c r="CA348" s="769">
        <v>2</v>
      </c>
      <c r="CB348" s="765" t="s">
        <v>7556</v>
      </c>
      <c r="CC348" s="854" t="s">
        <v>7380</v>
      </c>
      <c r="CD348" s="134" t="s">
        <v>1876</v>
      </c>
      <c r="CE348" s="134" t="s">
        <v>6924</v>
      </c>
      <c r="CF348" s="400"/>
      <c r="CG348" s="134" t="s">
        <v>6929</v>
      </c>
      <c r="CH348" s="855" t="s">
        <v>8236</v>
      </c>
      <c r="CI348" s="134" t="s">
        <v>24</v>
      </c>
      <c r="CJ348" s="134"/>
      <c r="CK348" s="134" t="s">
        <v>6930</v>
      </c>
      <c r="CL348" s="134" t="s">
        <v>8234</v>
      </c>
      <c r="CM348" s="540" t="s">
        <v>6941</v>
      </c>
      <c r="CN348" s="454">
        <v>0</v>
      </c>
      <c r="CO348" s="828">
        <v>41</v>
      </c>
      <c r="CP348" s="828">
        <v>1</v>
      </c>
      <c r="CQ348" s="828">
        <v>2</v>
      </c>
      <c r="CR348" s="828">
        <v>1</v>
      </c>
      <c r="CS348" s="828">
        <v>1</v>
      </c>
      <c r="CT348" s="967"/>
      <c r="CU348" s="1288" t="s">
        <v>8103</v>
      </c>
      <c r="CV348" s="1294">
        <v>18</v>
      </c>
      <c r="CW348" s="1294">
        <v>18</v>
      </c>
      <c r="CX348" s="138" t="s">
        <v>6933</v>
      </c>
      <c r="CY348" s="134">
        <v>0.90800000000000003</v>
      </c>
      <c r="CZ348" s="134">
        <v>7.0000000000000007E-2</v>
      </c>
      <c r="DA348" s="134" t="s">
        <v>24</v>
      </c>
      <c r="DB348" s="138" t="s">
        <v>6938</v>
      </c>
      <c r="DC348" s="134">
        <v>0.90800000000000003</v>
      </c>
      <c r="DD348" s="134">
        <v>7.0000000000000007E-2</v>
      </c>
      <c r="DE348" s="134" t="s">
        <v>24</v>
      </c>
      <c r="DF348" s="280" t="s">
        <v>6940</v>
      </c>
      <c r="DG348" s="310" t="s">
        <v>3790</v>
      </c>
      <c r="DH348" s="1175"/>
      <c r="DI348" s="417"/>
      <c r="DJ348" s="1169"/>
      <c r="DK348" s="417"/>
      <c r="DL348" s="1171"/>
      <c r="DM348" s="417"/>
      <c r="DN348" s="1169"/>
      <c r="DO348" s="1151"/>
      <c r="DP348" s="288"/>
      <c r="DQ348" s="289"/>
      <c r="DR348" s="864"/>
      <c r="DS348" s="865"/>
      <c r="DT348" s="1171"/>
      <c r="DU348" s="417"/>
      <c r="DV348" s="1169"/>
      <c r="DW348" s="417"/>
      <c r="DX348" s="1171"/>
      <c r="DY348" s="417"/>
      <c r="DZ348" s="1169"/>
      <c r="EA348" s="417"/>
      <c r="EB348" s="304"/>
      <c r="EC348" s="312"/>
      <c r="ED348" s="1171"/>
      <c r="EE348" s="417"/>
      <c r="EF348" s="1169"/>
      <c r="EG348" s="417"/>
      <c r="EH348" s="1171"/>
      <c r="EI348" s="417"/>
      <c r="EJ348" s="1169"/>
      <c r="EK348" s="417"/>
      <c r="EL348" s="304"/>
      <c r="EM348" s="312"/>
      <c r="EN348" s="317"/>
      <c r="EO348" s="318"/>
      <c r="EP348" s="1169"/>
      <c r="EQ348" s="1169"/>
      <c r="ER348" s="1169"/>
      <c r="ES348" s="1169"/>
      <c r="ET348" s="1171"/>
      <c r="EU348" s="1169"/>
      <c r="EV348" s="1169"/>
      <c r="EW348" s="1169"/>
      <c r="EX348" s="312"/>
      <c r="EY348" s="312"/>
      <c r="EZ348" s="1171"/>
      <c r="FA348" s="1169"/>
      <c r="FB348" s="1169"/>
      <c r="FC348" s="1169"/>
      <c r="FD348" s="1171"/>
      <c r="FE348" s="1169"/>
      <c r="FF348" s="1169"/>
      <c r="FG348" s="1169"/>
      <c r="FH348" s="312"/>
      <c r="FI348" s="312"/>
      <c r="FJ348" s="1170"/>
    </row>
    <row r="349" spans="1:166" ht="15" hidden="1" customHeight="1">
      <c r="A349" s="79" t="s">
        <v>207</v>
      </c>
      <c r="B349" s="362">
        <v>153</v>
      </c>
      <c r="C349" s="362"/>
      <c r="D349" s="362">
        <v>52</v>
      </c>
      <c r="E349" s="604" t="s">
        <v>1978</v>
      </c>
      <c r="F349" s="124" t="s">
        <v>2202</v>
      </c>
      <c r="G349" s="125">
        <v>1996</v>
      </c>
      <c r="H349" s="79">
        <v>8827652</v>
      </c>
      <c r="I349" s="79">
        <v>1</v>
      </c>
      <c r="J349" s="126"/>
      <c r="K349" s="127"/>
      <c r="L349" s="79">
        <v>1</v>
      </c>
      <c r="M349" s="79"/>
      <c r="N349" s="79">
        <v>1</v>
      </c>
      <c r="O349" s="128">
        <v>1</v>
      </c>
      <c r="P349" s="79" t="s">
        <v>920</v>
      </c>
      <c r="Q349" s="79" t="s">
        <v>1165</v>
      </c>
      <c r="R349" s="79" t="s">
        <v>591</v>
      </c>
      <c r="S349" s="79">
        <v>1</v>
      </c>
      <c r="T349" s="79"/>
      <c r="U349" s="79"/>
      <c r="V349" s="79"/>
      <c r="W349" s="79" t="s">
        <v>1156</v>
      </c>
      <c r="X349" s="79"/>
      <c r="Y349" s="79" t="s">
        <v>592</v>
      </c>
      <c r="Z349" s="79" t="s">
        <v>593</v>
      </c>
      <c r="AA349" s="79"/>
      <c r="AB349" s="79"/>
      <c r="AC349" s="506" t="s">
        <v>6230</v>
      </c>
      <c r="AD349" s="573">
        <v>1</v>
      </c>
      <c r="AE349" s="573">
        <v>1</v>
      </c>
      <c r="AF349" s="233">
        <v>1</v>
      </c>
      <c r="AG349" s="234" t="s">
        <v>6922</v>
      </c>
      <c r="AH349" s="704"/>
      <c r="AI349" s="135">
        <v>2</v>
      </c>
      <c r="AJ349" s="135" t="s">
        <v>6942</v>
      </c>
      <c r="AK349" s="235" t="s">
        <v>6927</v>
      </c>
      <c r="AL349" s="236">
        <v>0</v>
      </c>
      <c r="AM349" s="215">
        <v>0</v>
      </c>
      <c r="AN349" s="134">
        <f>Table66[[#This Row],[Data_Subjects_n_ptsd]]+Table66[[#This Row],[Data_Subjects_n_control]]</f>
        <v>39</v>
      </c>
      <c r="AO349" s="134">
        <v>24</v>
      </c>
      <c r="AP349" s="134">
        <v>15</v>
      </c>
      <c r="AQ349" s="134" t="s">
        <v>6928</v>
      </c>
      <c r="AR349" s="134" t="s">
        <v>6928</v>
      </c>
      <c r="AS349" s="134">
        <v>42.4</v>
      </c>
      <c r="AT349" s="134">
        <v>2.31</v>
      </c>
      <c r="AU349" s="134">
        <v>43.2</v>
      </c>
      <c r="AV349" s="134">
        <v>3.17</v>
      </c>
      <c r="AW349" s="134" t="s">
        <v>3206</v>
      </c>
      <c r="AX349" s="134"/>
      <c r="AY349" s="134"/>
      <c r="AZ349" s="753" t="s">
        <v>1874</v>
      </c>
      <c r="BA349" s="134" t="s">
        <v>24</v>
      </c>
      <c r="BB349" s="134" t="s">
        <v>24</v>
      </c>
      <c r="BC349" s="134" t="s">
        <v>2423</v>
      </c>
      <c r="BD349" s="753" t="s">
        <v>7521</v>
      </c>
      <c r="BE349" s="1624">
        <v>0</v>
      </c>
      <c r="BF349" s="134" t="s">
        <v>4371</v>
      </c>
      <c r="BG349" s="134" t="s">
        <v>6926</v>
      </c>
      <c r="BH349" s="594"/>
      <c r="BI349" s="594"/>
      <c r="BJ349" s="156"/>
      <c r="BK349" s="156"/>
      <c r="BL349" s="156" t="s">
        <v>5207</v>
      </c>
      <c r="BM349" s="156"/>
      <c r="BN349" s="156"/>
      <c r="BO349" s="156" t="s">
        <v>4727</v>
      </c>
      <c r="BP349" s="156">
        <v>1</v>
      </c>
      <c r="BQ349" s="156" t="s">
        <v>6923</v>
      </c>
      <c r="BR349" s="156"/>
      <c r="BS349" s="156"/>
      <c r="BT349" s="156" t="s">
        <v>5207</v>
      </c>
      <c r="BU349" s="156"/>
      <c r="BV349" s="156"/>
      <c r="BW349" s="595" t="s">
        <v>6925</v>
      </c>
      <c r="BX349" s="157" t="s">
        <v>6609</v>
      </c>
      <c r="BY349" s="797" t="s">
        <v>7896</v>
      </c>
      <c r="BZ349" s="789" t="s">
        <v>803</v>
      </c>
      <c r="CA349" s="769">
        <v>3</v>
      </c>
      <c r="CB349" s="765" t="s">
        <v>7556</v>
      </c>
      <c r="CC349" s="854" t="s">
        <v>7380</v>
      </c>
      <c r="CD349" s="134" t="s">
        <v>1876</v>
      </c>
      <c r="CE349" s="134" t="s">
        <v>6924</v>
      </c>
      <c r="CF349" s="400"/>
      <c r="CG349" s="134" t="s">
        <v>6929</v>
      </c>
      <c r="CH349" s="855" t="s">
        <v>8236</v>
      </c>
      <c r="CI349" s="134" t="s">
        <v>24</v>
      </c>
      <c r="CJ349" s="134"/>
      <c r="CK349" s="134" t="s">
        <v>6930</v>
      </c>
      <c r="CL349" s="134" t="s">
        <v>8234</v>
      </c>
      <c r="CM349" s="540" t="s">
        <v>6941</v>
      </c>
      <c r="CN349" s="454">
        <v>0</v>
      </c>
      <c r="CO349" s="828">
        <v>41</v>
      </c>
      <c r="CP349" s="828">
        <v>1</v>
      </c>
      <c r="CQ349" s="828">
        <v>3</v>
      </c>
      <c r="CR349" s="828">
        <v>1</v>
      </c>
      <c r="CS349" s="828">
        <v>1</v>
      </c>
      <c r="CT349" s="967"/>
      <c r="CU349" s="1288" t="s">
        <v>8103</v>
      </c>
      <c r="CV349" s="1294">
        <v>18</v>
      </c>
      <c r="CW349" s="1294">
        <v>18</v>
      </c>
      <c r="CX349" s="138" t="s">
        <v>6934</v>
      </c>
      <c r="CY349" s="134">
        <v>0.85899999999999999</v>
      </c>
      <c r="CZ349" s="134">
        <v>0.08</v>
      </c>
      <c r="DA349" s="134" t="s">
        <v>24</v>
      </c>
      <c r="DB349" s="138" t="s">
        <v>6937</v>
      </c>
      <c r="DC349" s="134">
        <v>0.91600000000000004</v>
      </c>
      <c r="DD349" s="134">
        <v>7.0000000000000007E-2</v>
      </c>
      <c r="DE349" s="134" t="s">
        <v>24</v>
      </c>
      <c r="DF349" s="276" t="s">
        <v>6940</v>
      </c>
      <c r="DG349" s="277" t="s">
        <v>3790</v>
      </c>
      <c r="DH349" s="1171"/>
      <c r="DI349" s="1169"/>
      <c r="DJ349" s="1169"/>
      <c r="DK349" s="1169"/>
      <c r="DL349" s="1171"/>
      <c r="DM349" s="1169"/>
      <c r="DN349" s="1169"/>
      <c r="DO349" s="1169"/>
      <c r="DP349" s="288"/>
      <c r="DQ349" s="289"/>
      <c r="DR349" s="1168"/>
      <c r="DS349" s="865"/>
      <c r="DT349" s="1171"/>
      <c r="DU349" s="1169"/>
      <c r="DV349" s="1169"/>
      <c r="DW349" s="1169"/>
      <c r="DX349" s="1171"/>
      <c r="DY349" s="1169"/>
      <c r="DZ349" s="1169"/>
      <c r="EA349" s="1169"/>
      <c r="EB349" s="304"/>
      <c r="EC349" s="312"/>
      <c r="ED349" s="1171"/>
      <c r="EE349" s="1169"/>
      <c r="EF349" s="1169"/>
      <c r="EG349" s="1169"/>
      <c r="EH349" s="1171"/>
      <c r="EI349" s="1169"/>
      <c r="EJ349" s="1169"/>
      <c r="EK349" s="1169"/>
      <c r="EL349" s="304"/>
      <c r="EM349" s="312"/>
      <c r="EN349" s="309"/>
      <c r="EO349" s="1170"/>
      <c r="EP349" s="1169"/>
      <c r="EQ349" s="1169"/>
      <c r="ER349" s="1169"/>
      <c r="ES349" s="1169"/>
      <c r="ET349" s="1171"/>
      <c r="EU349" s="1169"/>
      <c r="EV349" s="1169"/>
      <c r="EW349" s="1169"/>
      <c r="EX349" s="312"/>
      <c r="EY349" s="312"/>
      <c r="EZ349" s="1171"/>
      <c r="FA349" s="1169"/>
      <c r="FB349" s="1169"/>
      <c r="FC349" s="1169"/>
      <c r="FD349" s="1171"/>
      <c r="FE349" s="1169"/>
      <c r="FF349" s="1169"/>
      <c r="FG349" s="1169"/>
      <c r="FH349" s="312"/>
      <c r="FI349" s="312"/>
      <c r="FJ349" s="1170"/>
    </row>
    <row r="350" spans="1:166" ht="15" hidden="1" customHeight="1">
      <c r="A350" s="876" t="s">
        <v>207</v>
      </c>
      <c r="B350" s="877">
        <v>153</v>
      </c>
      <c r="C350" s="877"/>
      <c r="D350" s="877">
        <v>52</v>
      </c>
      <c r="E350" s="878" t="s">
        <v>1978</v>
      </c>
      <c r="F350" s="879" t="s">
        <v>2202</v>
      </c>
      <c r="G350" s="880">
        <v>1996</v>
      </c>
      <c r="H350" s="876">
        <v>8827652</v>
      </c>
      <c r="I350" s="876">
        <v>1</v>
      </c>
      <c r="J350" s="876"/>
      <c r="K350" s="876"/>
      <c r="L350" s="876">
        <v>1</v>
      </c>
      <c r="M350" s="876"/>
      <c r="N350" s="876">
        <v>1</v>
      </c>
      <c r="O350" s="882">
        <v>1</v>
      </c>
      <c r="P350" s="876" t="s">
        <v>920</v>
      </c>
      <c r="Q350" s="876" t="s">
        <v>1165</v>
      </c>
      <c r="R350" s="876" t="s">
        <v>591</v>
      </c>
      <c r="S350" s="876">
        <v>1</v>
      </c>
      <c r="T350" s="876"/>
      <c r="U350" s="876"/>
      <c r="V350" s="876"/>
      <c r="W350" s="876" t="s">
        <v>1156</v>
      </c>
      <c r="X350" s="876"/>
      <c r="Y350" s="876" t="s">
        <v>592</v>
      </c>
      <c r="Z350" s="876" t="s">
        <v>593</v>
      </c>
      <c r="AA350" s="876"/>
      <c r="AB350" s="876"/>
      <c r="AC350" s="883" t="s">
        <v>6230</v>
      </c>
      <c r="AD350" s="884">
        <v>1</v>
      </c>
      <c r="AE350" s="884">
        <v>1</v>
      </c>
      <c r="AF350" s="1013">
        <v>1</v>
      </c>
      <c r="AG350" s="1014" t="s">
        <v>6922</v>
      </c>
      <c r="AH350" s="887"/>
      <c r="AI350" s="908">
        <v>2</v>
      </c>
      <c r="AJ350" s="908" t="s">
        <v>6942</v>
      </c>
      <c r="AK350" s="1015" t="s">
        <v>6927</v>
      </c>
      <c r="AL350" s="1016">
        <v>0</v>
      </c>
      <c r="AM350" s="1598">
        <v>0</v>
      </c>
      <c r="AN350" s="899">
        <f>Table66[[#This Row],[Data_Subjects_n_ptsd]]+Table66[[#This Row],[Data_Subjects_n_control]]</f>
        <v>39</v>
      </c>
      <c r="AO350" s="899">
        <v>24</v>
      </c>
      <c r="AP350" s="899">
        <v>15</v>
      </c>
      <c r="AQ350" s="899" t="s">
        <v>6928</v>
      </c>
      <c r="AR350" s="899" t="s">
        <v>6928</v>
      </c>
      <c r="AS350" s="899">
        <v>42.4</v>
      </c>
      <c r="AT350" s="899">
        <v>2.31</v>
      </c>
      <c r="AU350" s="899">
        <v>43.2</v>
      </c>
      <c r="AV350" s="899">
        <v>3.17</v>
      </c>
      <c r="AW350" s="899" t="s">
        <v>3206</v>
      </c>
      <c r="AX350" s="899"/>
      <c r="AY350" s="899"/>
      <c r="AZ350" s="899" t="s">
        <v>1874</v>
      </c>
      <c r="BA350" s="899" t="s">
        <v>24</v>
      </c>
      <c r="BB350" s="899" t="s">
        <v>24</v>
      </c>
      <c r="BC350" s="899" t="s">
        <v>2423</v>
      </c>
      <c r="BD350" s="899" t="s">
        <v>7521</v>
      </c>
      <c r="BE350" s="1624">
        <v>0</v>
      </c>
      <c r="BF350" s="899" t="s">
        <v>4371</v>
      </c>
      <c r="BG350" s="899" t="s">
        <v>6926</v>
      </c>
      <c r="BH350" s="892"/>
      <c r="BI350" s="892"/>
      <c r="BJ350" s="893"/>
      <c r="BK350" s="893"/>
      <c r="BL350" s="893" t="s">
        <v>5207</v>
      </c>
      <c r="BM350" s="893"/>
      <c r="BN350" s="893"/>
      <c r="BO350" s="893" t="s">
        <v>4727</v>
      </c>
      <c r="BP350" s="893">
        <v>1</v>
      </c>
      <c r="BQ350" s="893" t="s">
        <v>6923</v>
      </c>
      <c r="BR350" s="893"/>
      <c r="BS350" s="893"/>
      <c r="BT350" s="893" t="s">
        <v>5207</v>
      </c>
      <c r="BU350" s="893"/>
      <c r="BV350" s="893"/>
      <c r="BW350" s="894" t="s">
        <v>6925</v>
      </c>
      <c r="BX350" s="895" t="s">
        <v>6609</v>
      </c>
      <c r="BY350" s="896" t="s">
        <v>7616</v>
      </c>
      <c r="BZ350" s="897" t="s">
        <v>803</v>
      </c>
      <c r="CA350" s="1017">
        <v>2</v>
      </c>
      <c r="CB350" s="898" t="s">
        <v>7556</v>
      </c>
      <c r="CC350" s="854" t="s">
        <v>7380</v>
      </c>
      <c r="CD350" s="899" t="s">
        <v>1876</v>
      </c>
      <c r="CE350" s="899" t="s">
        <v>6924</v>
      </c>
      <c r="CF350" s="899"/>
      <c r="CG350" s="899" t="s">
        <v>6929</v>
      </c>
      <c r="CH350" s="855" t="s">
        <v>8236</v>
      </c>
      <c r="CI350" s="899" t="s">
        <v>24</v>
      </c>
      <c r="CJ350" s="899"/>
      <c r="CK350" s="899" t="s">
        <v>6930</v>
      </c>
      <c r="CL350" s="134" t="s">
        <v>8234</v>
      </c>
      <c r="CM350" s="1008" t="s">
        <v>6941</v>
      </c>
      <c r="CN350" s="901">
        <v>0</v>
      </c>
      <c r="CO350" s="902">
        <v>41</v>
      </c>
      <c r="CP350" s="902">
        <v>1</v>
      </c>
      <c r="CQ350" s="902">
        <v>4</v>
      </c>
      <c r="CR350" s="902">
        <v>1</v>
      </c>
      <c r="CS350" s="902">
        <v>1</v>
      </c>
      <c r="CT350" s="971"/>
      <c r="CU350" s="1288" t="s">
        <v>8103</v>
      </c>
      <c r="CV350" s="1294">
        <v>18</v>
      </c>
      <c r="CW350" s="1294">
        <v>18</v>
      </c>
      <c r="CX350" s="138" t="s">
        <v>6935</v>
      </c>
      <c r="CY350" s="134">
        <v>0.872</v>
      </c>
      <c r="CZ350" s="134">
        <v>0.08</v>
      </c>
      <c r="DA350" s="134" t="s">
        <v>24</v>
      </c>
      <c r="DB350" s="138" t="s">
        <v>6936</v>
      </c>
      <c r="DC350" s="134">
        <v>0.9</v>
      </c>
      <c r="DD350" s="134">
        <v>0.05</v>
      </c>
      <c r="DE350" s="134" t="s">
        <v>24</v>
      </c>
      <c r="DF350" s="276" t="s">
        <v>6940</v>
      </c>
      <c r="DG350" s="277" t="s">
        <v>3790</v>
      </c>
      <c r="DH350" s="1220"/>
      <c r="DI350" s="1218"/>
      <c r="DJ350" s="1218"/>
      <c r="DK350" s="1218"/>
      <c r="DL350" s="1220"/>
      <c r="DM350" s="1218"/>
      <c r="DN350" s="1218"/>
      <c r="DO350" s="1218"/>
      <c r="DP350" s="904"/>
      <c r="DQ350" s="905"/>
      <c r="DR350" s="1223"/>
      <c r="DS350" s="1224"/>
      <c r="DT350" s="1220"/>
      <c r="DU350" s="1218"/>
      <c r="DV350" s="1218"/>
      <c r="DW350" s="1218"/>
      <c r="DX350" s="1220"/>
      <c r="DY350" s="1218"/>
      <c r="DZ350" s="1218"/>
      <c r="EA350" s="1218"/>
      <c r="EB350" s="1010"/>
      <c r="EC350" s="1011"/>
      <c r="ED350" s="1220"/>
      <c r="EE350" s="1218"/>
      <c r="EF350" s="1218"/>
      <c r="EG350" s="1218"/>
      <c r="EH350" s="1220"/>
      <c r="EI350" s="1218"/>
      <c r="EJ350" s="1218"/>
      <c r="EK350" s="1218"/>
      <c r="EL350" s="1010"/>
      <c r="EM350" s="1011"/>
      <c r="EN350" s="1223"/>
      <c r="EO350" s="1219"/>
      <c r="EP350" s="1218"/>
      <c r="EQ350" s="1218"/>
      <c r="ER350" s="1218"/>
      <c r="ES350" s="1218"/>
      <c r="ET350" s="1220"/>
      <c r="EU350" s="1218"/>
      <c r="EV350" s="1218"/>
      <c r="EW350" s="1218"/>
      <c r="EX350" s="1011"/>
      <c r="EY350" s="1011"/>
      <c r="EZ350" s="1220"/>
      <c r="FA350" s="1218"/>
      <c r="FB350" s="1218"/>
      <c r="FC350" s="1218"/>
      <c r="FD350" s="1220"/>
      <c r="FE350" s="1218"/>
      <c r="FF350" s="1218"/>
      <c r="FG350" s="1218"/>
      <c r="FH350" s="1011"/>
      <c r="FI350" s="1011"/>
      <c r="FJ350" s="1219"/>
    </row>
    <row r="351" spans="1:166" s="1019" customFormat="1" ht="15" customHeight="1">
      <c r="A351" s="79" t="s">
        <v>231</v>
      </c>
      <c r="B351" s="614">
        <v>32</v>
      </c>
      <c r="C351" s="614"/>
      <c r="D351" s="614"/>
      <c r="E351" s="604" t="s">
        <v>1990</v>
      </c>
      <c r="F351" s="124" t="s">
        <v>2218</v>
      </c>
      <c r="G351" s="125">
        <v>1995</v>
      </c>
      <c r="H351" s="79">
        <v>8547457</v>
      </c>
      <c r="I351" s="79">
        <v>1</v>
      </c>
      <c r="J351" s="126"/>
      <c r="K351" s="127"/>
      <c r="L351" s="79">
        <v>1</v>
      </c>
      <c r="M351" s="79"/>
      <c r="N351" s="79">
        <v>1</v>
      </c>
      <c r="O351" s="128">
        <v>1</v>
      </c>
      <c r="P351" s="79" t="s">
        <v>11</v>
      </c>
      <c r="Q351" s="79" t="s">
        <v>1142</v>
      </c>
      <c r="R351" s="79" t="s">
        <v>591</v>
      </c>
      <c r="S351" s="79">
        <v>1</v>
      </c>
      <c r="T351" s="79"/>
      <c r="U351" s="79"/>
      <c r="V351" s="79"/>
      <c r="W351" s="79" t="s">
        <v>11</v>
      </c>
      <c r="X351" s="79"/>
      <c r="Y351" s="79" t="s">
        <v>13</v>
      </c>
      <c r="Z351" s="79"/>
      <c r="AA351" s="79"/>
      <c r="AB351" s="79"/>
      <c r="AC351" s="506"/>
      <c r="AD351" s="573">
        <v>1</v>
      </c>
      <c r="AE351" s="573">
        <v>2</v>
      </c>
      <c r="AF351" s="154">
        <v>1</v>
      </c>
      <c r="AG351" s="155"/>
      <c r="AH351" s="704"/>
      <c r="AI351" s="121">
        <v>2</v>
      </c>
      <c r="AJ351" s="484"/>
      <c r="AK351" s="202"/>
      <c r="AL351" s="192">
        <v>0</v>
      </c>
      <c r="AM351" s="203">
        <v>0</v>
      </c>
      <c r="AN351" s="121">
        <f>Table66[[#This Row],[Data_Subjects_n_ptsd]]+Table66[[#This Row],[Data_Subjects_n_control]]</f>
        <v>19</v>
      </c>
      <c r="AO351" s="121">
        <v>9</v>
      </c>
      <c r="AP351" s="121">
        <v>10</v>
      </c>
      <c r="AQ351" s="121" t="s">
        <v>803</v>
      </c>
      <c r="AR351" s="134" t="s">
        <v>803</v>
      </c>
      <c r="AS351" s="134">
        <v>43</v>
      </c>
      <c r="AT351" s="134">
        <v>2</v>
      </c>
      <c r="AU351" s="134">
        <v>42</v>
      </c>
      <c r="AV351" s="134">
        <v>4</v>
      </c>
      <c r="AW351" s="134" t="s">
        <v>3206</v>
      </c>
      <c r="AX351" s="121"/>
      <c r="AY351" s="121"/>
      <c r="AZ351" s="754" t="s">
        <v>1874</v>
      </c>
      <c r="BA351" s="121" t="s">
        <v>24</v>
      </c>
      <c r="BB351" s="121" t="s">
        <v>24</v>
      </c>
      <c r="BC351" s="121" t="s">
        <v>3207</v>
      </c>
      <c r="BD351" s="754" t="s">
        <v>7522</v>
      </c>
      <c r="BE351" s="187">
        <v>0</v>
      </c>
      <c r="BF351" s="121" t="s">
        <v>2605</v>
      </c>
      <c r="BG351" s="121" t="s">
        <v>2876</v>
      </c>
      <c r="BH351" s="594"/>
      <c r="BI351" s="594"/>
      <c r="BJ351" s="156">
        <v>1</v>
      </c>
      <c r="BK351" s="156"/>
      <c r="BL351" s="156"/>
      <c r="BM351" s="156"/>
      <c r="BN351" s="156"/>
      <c r="BO351" s="156"/>
      <c r="BP351" s="156"/>
      <c r="BQ351" s="156"/>
      <c r="BR351" s="156"/>
      <c r="BS351" s="156"/>
      <c r="BT351" s="156"/>
      <c r="BU351" s="156"/>
      <c r="BV351" s="156"/>
      <c r="BW351" s="595" t="s">
        <v>1891</v>
      </c>
      <c r="BX351" s="157" t="s">
        <v>6596</v>
      </c>
      <c r="BY351" s="797" t="s">
        <v>7615</v>
      </c>
      <c r="BZ351" s="789" t="s">
        <v>7610</v>
      </c>
      <c r="CA351" s="765">
        <v>4</v>
      </c>
      <c r="CB351" s="765" t="s">
        <v>7556</v>
      </c>
      <c r="CC351" s="765" t="s">
        <v>7380</v>
      </c>
      <c r="CD351" s="134" t="s">
        <v>1876</v>
      </c>
      <c r="CE351" s="134">
        <v>2</v>
      </c>
      <c r="CF351" s="400"/>
      <c r="CG351" s="134" t="s">
        <v>7941</v>
      </c>
      <c r="CH351" s="753" t="s">
        <v>1488</v>
      </c>
      <c r="CI351" s="134" t="s">
        <v>24</v>
      </c>
      <c r="CJ351" s="134"/>
      <c r="CK351" s="134" t="s">
        <v>2400</v>
      </c>
      <c r="CL351" s="134" t="s">
        <v>6638</v>
      </c>
      <c r="CM351" s="540" t="s">
        <v>3218</v>
      </c>
      <c r="CN351" s="454" t="s">
        <v>6627</v>
      </c>
      <c r="CO351" s="828">
        <v>53</v>
      </c>
      <c r="CP351" s="828">
        <v>1</v>
      </c>
      <c r="CQ351" s="828">
        <v>2</v>
      </c>
      <c r="CR351" s="828">
        <v>1</v>
      </c>
      <c r="CS351" s="828">
        <v>-1</v>
      </c>
      <c r="CT351" s="967" t="s">
        <v>7837</v>
      </c>
      <c r="CU351" s="1291" t="s">
        <v>8102</v>
      </c>
      <c r="CV351" s="1295">
        <v>21</v>
      </c>
      <c r="CW351" s="1295">
        <v>23</v>
      </c>
      <c r="CX351" s="138" t="s">
        <v>3212</v>
      </c>
      <c r="CY351" s="134">
        <v>128.31</v>
      </c>
      <c r="CZ351" s="134" t="s">
        <v>24</v>
      </c>
      <c r="DA351" s="134">
        <f>146.8-Table66[[#This Row],[Data_Outcome1_M]]</f>
        <v>18.490000000000009</v>
      </c>
      <c r="DB351" s="138" t="s">
        <v>3213</v>
      </c>
      <c r="DC351" s="134">
        <v>41.027099999999997</v>
      </c>
      <c r="DD351" s="134" t="s">
        <v>24</v>
      </c>
      <c r="DE351" s="134">
        <f>51.431-Table66[[#This Row],[Data_Outcome2_M]]</f>
        <v>10.4039</v>
      </c>
      <c r="DF351" s="435" t="s">
        <v>3215</v>
      </c>
      <c r="DG351" s="280" t="s">
        <v>7939</v>
      </c>
      <c r="DH351" s="1276"/>
      <c r="DI351" s="121"/>
      <c r="DJ351" s="1169"/>
      <c r="DK351" s="121"/>
      <c r="DL351" s="1171"/>
      <c r="DM351" s="121"/>
      <c r="DN351" s="1169"/>
      <c r="DO351" s="121"/>
      <c r="DP351" s="288"/>
      <c r="DQ351" s="289"/>
      <c r="DR351" s="280"/>
      <c r="DS351" s="865"/>
      <c r="DT351" s="1171"/>
      <c r="DU351" s="1169"/>
      <c r="DV351" s="1169"/>
      <c r="DW351" s="1169"/>
      <c r="DX351" s="1169"/>
      <c r="DY351" s="1169"/>
      <c r="DZ351" s="1169"/>
      <c r="EA351" s="1169"/>
      <c r="EB351" s="304"/>
      <c r="EC351" s="312"/>
      <c r="ED351" s="1169"/>
      <c r="EE351" s="1169"/>
      <c r="EF351" s="1169"/>
      <c r="EG351" s="1169"/>
      <c r="EH351" s="1169"/>
      <c r="EI351" s="1169"/>
      <c r="EJ351" s="1169"/>
      <c r="EK351" s="1169"/>
      <c r="EL351" s="304"/>
      <c r="EM351" s="312"/>
      <c r="EN351" s="309"/>
      <c r="EO351" s="1170"/>
      <c r="EP351" s="1169"/>
      <c r="EQ351" s="1169"/>
      <c r="ER351" s="1169"/>
      <c r="ES351" s="1169"/>
      <c r="ET351" s="1171"/>
      <c r="EU351" s="1169"/>
      <c r="EV351" s="1169"/>
      <c r="EW351" s="1169"/>
      <c r="EX351" s="312"/>
      <c r="EY351" s="312"/>
      <c r="EZ351" s="1171"/>
      <c r="FA351" s="1169"/>
      <c r="FB351" s="1169"/>
      <c r="FC351" s="1169"/>
      <c r="FD351" s="1171"/>
      <c r="FE351" s="1169"/>
      <c r="FF351" s="1169"/>
      <c r="FG351" s="1169"/>
      <c r="FH351" s="312"/>
      <c r="FI351" s="312"/>
      <c r="FJ351" s="1170"/>
    </row>
    <row r="352" spans="1:166" ht="15" customHeight="1">
      <c r="A352" s="79" t="s">
        <v>1013</v>
      </c>
      <c r="B352" s="362">
        <v>33</v>
      </c>
      <c r="C352" s="362"/>
      <c r="D352" s="362"/>
      <c r="E352" s="604" t="s">
        <v>2097</v>
      </c>
      <c r="F352" s="124" t="s">
        <v>2352</v>
      </c>
      <c r="G352" s="125">
        <v>2014</v>
      </c>
      <c r="H352" s="79">
        <v>24583372</v>
      </c>
      <c r="I352" s="79">
        <v>1</v>
      </c>
      <c r="J352" s="126"/>
      <c r="K352" s="127"/>
      <c r="L352" s="79">
        <v>1</v>
      </c>
      <c r="M352" s="79"/>
      <c r="N352" s="79">
        <v>1</v>
      </c>
      <c r="O352" s="128">
        <v>2</v>
      </c>
      <c r="P352" s="79" t="s">
        <v>1327</v>
      </c>
      <c r="Q352" s="79" t="s">
        <v>1216</v>
      </c>
      <c r="R352" s="79" t="s">
        <v>1433</v>
      </c>
      <c r="S352" s="79"/>
      <c r="T352" s="79" t="s">
        <v>1431</v>
      </c>
      <c r="U352" s="79" t="s">
        <v>803</v>
      </c>
      <c r="V352" s="79"/>
      <c r="W352" s="79" t="s">
        <v>1432</v>
      </c>
      <c r="X352" s="79" t="s">
        <v>1434</v>
      </c>
      <c r="Y352" s="79"/>
      <c r="Z352" s="79"/>
      <c r="AA352" s="79"/>
      <c r="AB352" s="79"/>
      <c r="AC352" s="506"/>
      <c r="AD352" s="573">
        <v>1</v>
      </c>
      <c r="AE352" s="573">
        <v>2</v>
      </c>
      <c r="AF352" s="154">
        <v>1</v>
      </c>
      <c r="AG352" s="155"/>
      <c r="AH352" s="704"/>
      <c r="AI352" s="121">
        <v>4</v>
      </c>
      <c r="AJ352" s="484"/>
      <c r="AK352" s="202" t="s">
        <v>3228</v>
      </c>
      <c r="AL352" s="192">
        <v>0</v>
      </c>
      <c r="AM352" s="203">
        <v>0</v>
      </c>
      <c r="AN352" s="121">
        <f>Table66[[#This Row],[Data_Subjects_n_ptsd]]+Table66[[#This Row],[Data_Subjects_n_control]]</f>
        <v>15</v>
      </c>
      <c r="AO352" s="121">
        <v>5</v>
      </c>
      <c r="AP352" s="121">
        <v>10</v>
      </c>
      <c r="AQ352" s="121" t="s">
        <v>803</v>
      </c>
      <c r="AR352" s="134" t="s">
        <v>803</v>
      </c>
      <c r="AS352" s="134" t="s">
        <v>7504</v>
      </c>
      <c r="AT352" s="134" t="s">
        <v>24</v>
      </c>
      <c r="AU352" s="134" t="s">
        <v>7504</v>
      </c>
      <c r="AV352" s="134" t="s">
        <v>24</v>
      </c>
      <c r="AW352" s="134" t="s">
        <v>3219</v>
      </c>
      <c r="AX352" s="121"/>
      <c r="AY352" s="121"/>
      <c r="AZ352" s="754" t="s">
        <v>7317</v>
      </c>
      <c r="BA352" s="121">
        <v>1</v>
      </c>
      <c r="BB352" s="121">
        <v>1</v>
      </c>
      <c r="BC352" s="121" t="s">
        <v>3221</v>
      </c>
      <c r="BD352" s="754" t="s">
        <v>7521</v>
      </c>
      <c r="BE352" s="754"/>
      <c r="BF352" s="121" t="s">
        <v>1130</v>
      </c>
      <c r="BG352" s="121" t="s">
        <v>3223</v>
      </c>
      <c r="BH352" s="594"/>
      <c r="BI352" s="594"/>
      <c r="BJ352" s="156">
        <v>1</v>
      </c>
      <c r="BK352" s="156"/>
      <c r="BL352" s="156"/>
      <c r="BM352" s="156"/>
      <c r="BN352" s="156"/>
      <c r="BO352" s="156"/>
      <c r="BP352" s="156"/>
      <c r="BQ352" s="156"/>
      <c r="BR352" s="156"/>
      <c r="BS352" s="156"/>
      <c r="BT352" s="156"/>
      <c r="BU352" s="156"/>
      <c r="BV352" s="156"/>
      <c r="BW352" s="595" t="s">
        <v>2879</v>
      </c>
      <c r="BX352" s="157" t="s">
        <v>6598</v>
      </c>
      <c r="BY352" s="797" t="s">
        <v>7615</v>
      </c>
      <c r="BZ352" s="789" t="s">
        <v>7610</v>
      </c>
      <c r="CA352" s="765">
        <v>4</v>
      </c>
      <c r="CB352" s="765" t="s">
        <v>7556</v>
      </c>
      <c r="CC352" s="765" t="s">
        <v>7384</v>
      </c>
      <c r="CD352" s="134" t="s">
        <v>1876</v>
      </c>
      <c r="CE352" s="134">
        <v>2</v>
      </c>
      <c r="CF352" s="400" t="s">
        <v>23</v>
      </c>
      <c r="CG352" s="134" t="s">
        <v>3222</v>
      </c>
      <c r="CH352" s="753" t="s">
        <v>1488</v>
      </c>
      <c r="CI352" s="134" t="s">
        <v>2471</v>
      </c>
      <c r="CJ352" s="134"/>
      <c r="CK352" s="134" t="s">
        <v>3224</v>
      </c>
      <c r="CL352" s="134" t="s">
        <v>2659</v>
      </c>
      <c r="CM352" s="259" t="s">
        <v>3225</v>
      </c>
      <c r="CN352" s="454">
        <v>0</v>
      </c>
      <c r="CO352" s="828">
        <v>54</v>
      </c>
      <c r="CP352" s="828">
        <v>1</v>
      </c>
      <c r="CQ352" s="828">
        <v>1</v>
      </c>
      <c r="CR352" s="828">
        <v>0</v>
      </c>
      <c r="CS352" s="828">
        <v>1</v>
      </c>
      <c r="CT352" s="967"/>
      <c r="CU352" s="1290" t="s">
        <v>1878</v>
      </c>
      <c r="CV352" s="1295">
        <v>107</v>
      </c>
      <c r="CW352" s="1295">
        <v>98</v>
      </c>
      <c r="CX352" s="138" t="s">
        <v>3226</v>
      </c>
      <c r="CY352" s="134">
        <v>84.173900000000003</v>
      </c>
      <c r="CZ352" s="134" t="s">
        <v>24</v>
      </c>
      <c r="DA352" s="134">
        <f>88.575-Table66[[#This Row],[Data_Outcome1_M]]</f>
        <v>4.4010999999999996</v>
      </c>
      <c r="DB352" s="138" t="s">
        <v>3227</v>
      </c>
      <c r="DC352" s="190">
        <v>84.173000000000002</v>
      </c>
      <c r="DD352" s="134" t="s">
        <v>24</v>
      </c>
      <c r="DE352" s="190">
        <f>90.9985-Table66[[#This Row],[Data_Outcome2_M]]</f>
        <v>6.8255000000000052</v>
      </c>
      <c r="DF352" s="294" t="s">
        <v>3229</v>
      </c>
      <c r="DG352" s="295" t="s">
        <v>3230</v>
      </c>
      <c r="DH352" s="1175"/>
      <c r="DI352" s="417"/>
      <c r="DJ352" s="1169"/>
      <c r="DK352" s="417"/>
      <c r="DL352" s="1171"/>
      <c r="DM352" s="417"/>
      <c r="DN352" s="1169"/>
      <c r="DO352" s="1151"/>
      <c r="DP352" s="288"/>
      <c r="DQ352" s="441"/>
      <c r="DR352" s="280"/>
      <c r="DS352" s="865"/>
      <c r="DT352" s="1171"/>
      <c r="DU352" s="417"/>
      <c r="DV352" s="1169"/>
      <c r="DW352" s="417"/>
      <c r="DX352" s="1169"/>
      <c r="DY352" s="417"/>
      <c r="DZ352" s="1169"/>
      <c r="EA352" s="417"/>
      <c r="EB352" s="304"/>
      <c r="EC352" s="312"/>
      <c r="ED352" s="1169"/>
      <c r="EE352" s="417"/>
      <c r="EF352" s="1169"/>
      <c r="EG352" s="417"/>
      <c r="EH352" s="1169"/>
      <c r="EI352" s="417"/>
      <c r="EJ352" s="1169"/>
      <c r="EK352" s="417"/>
      <c r="EL352" s="304"/>
      <c r="EM352" s="312"/>
      <c r="EN352" s="309"/>
      <c r="EO352" s="1170"/>
      <c r="EP352" s="1169"/>
      <c r="EQ352" s="1169"/>
      <c r="ER352" s="1169"/>
      <c r="ES352" s="1169"/>
      <c r="ET352" s="1171"/>
      <c r="EU352" s="1169"/>
      <c r="EV352" s="1169"/>
      <c r="EW352" s="1169"/>
      <c r="EX352" s="312"/>
      <c r="EY352" s="312"/>
      <c r="EZ352" s="1171"/>
      <c r="FA352" s="1169"/>
      <c r="FB352" s="1169"/>
      <c r="FC352" s="1169"/>
      <c r="FD352" s="1171"/>
      <c r="FE352" s="1169"/>
      <c r="FF352" s="1169"/>
      <c r="FG352" s="1169"/>
      <c r="FH352" s="312"/>
      <c r="FI352" s="312"/>
      <c r="FJ352" s="1170"/>
    </row>
    <row r="353" spans="1:166" ht="15" customHeight="1">
      <c r="A353" s="79" t="s">
        <v>962</v>
      </c>
      <c r="B353" s="362">
        <v>49</v>
      </c>
      <c r="C353" s="362"/>
      <c r="D353" s="362"/>
      <c r="E353" s="604" t="s">
        <v>2123</v>
      </c>
      <c r="F353" s="124" t="s">
        <v>2384</v>
      </c>
      <c r="G353" s="125">
        <v>2015</v>
      </c>
      <c r="H353" s="79">
        <v>26019008</v>
      </c>
      <c r="I353" s="79">
        <v>1</v>
      </c>
      <c r="J353" s="126"/>
      <c r="K353" s="127"/>
      <c r="L353" s="79">
        <v>1</v>
      </c>
      <c r="M353" s="79"/>
      <c r="N353" s="164">
        <v>1</v>
      </c>
      <c r="O353" s="128">
        <v>2</v>
      </c>
      <c r="P353" s="79" t="s">
        <v>1604</v>
      </c>
      <c r="Q353" s="79" t="s">
        <v>1216</v>
      </c>
      <c r="R353" s="79" t="s">
        <v>1603</v>
      </c>
      <c r="S353" s="79"/>
      <c r="T353" s="79" t="s">
        <v>1487</v>
      </c>
      <c r="U353" s="79" t="s">
        <v>803</v>
      </c>
      <c r="V353" s="79"/>
      <c r="W353" s="79" t="s">
        <v>1605</v>
      </c>
      <c r="X353" s="79"/>
      <c r="Y353" s="79"/>
      <c r="Z353" s="79"/>
      <c r="AA353" s="79"/>
      <c r="AB353" s="79"/>
      <c r="AC353" s="506"/>
      <c r="AD353" s="573">
        <v>1</v>
      </c>
      <c r="AE353" s="573">
        <v>2</v>
      </c>
      <c r="AF353" s="154">
        <v>1</v>
      </c>
      <c r="AG353" s="155" t="s">
        <v>8089</v>
      </c>
      <c r="AH353" s="704"/>
      <c r="AI353" s="121">
        <v>4</v>
      </c>
      <c r="AJ353" s="484"/>
      <c r="AK353" s="202" t="s">
        <v>3635</v>
      </c>
      <c r="AL353" s="192">
        <v>1</v>
      </c>
      <c r="AM353" s="203" t="s">
        <v>3632</v>
      </c>
      <c r="AN353" s="121">
        <v>28</v>
      </c>
      <c r="AO353" s="121">
        <v>17</v>
      </c>
      <c r="AP353" s="121">
        <v>11</v>
      </c>
      <c r="AQ353" s="121" t="s">
        <v>803</v>
      </c>
      <c r="AR353" s="121" t="s">
        <v>803</v>
      </c>
      <c r="AS353" s="121" t="s">
        <v>3633</v>
      </c>
      <c r="AT353" s="121" t="s">
        <v>24</v>
      </c>
      <c r="AU353" s="121" t="s">
        <v>3633</v>
      </c>
      <c r="AV353" s="121" t="s">
        <v>24</v>
      </c>
      <c r="AW353" s="121" t="s">
        <v>2963</v>
      </c>
      <c r="AX353" s="121"/>
      <c r="AY353" s="121"/>
      <c r="AZ353" s="754" t="s">
        <v>1487</v>
      </c>
      <c r="BA353" s="121">
        <v>1</v>
      </c>
      <c r="BB353" s="121">
        <v>1</v>
      </c>
      <c r="BC353" s="122" t="s">
        <v>7542</v>
      </c>
      <c r="BD353" s="754" t="s">
        <v>7523</v>
      </c>
      <c r="BE353" s="754"/>
      <c r="BF353" s="121" t="s">
        <v>2730</v>
      </c>
      <c r="BG353" s="121" t="s">
        <v>2798</v>
      </c>
      <c r="BH353" s="594"/>
      <c r="BI353" s="594"/>
      <c r="BJ353" s="156">
        <v>1</v>
      </c>
      <c r="BK353" s="156"/>
      <c r="BL353" s="156"/>
      <c r="BM353" s="156"/>
      <c r="BN353" s="156"/>
      <c r="BO353" s="156"/>
      <c r="BP353" s="156"/>
      <c r="BQ353" s="156"/>
      <c r="BR353" s="156"/>
      <c r="BS353" s="156"/>
      <c r="BT353" s="156"/>
      <c r="BU353" s="156"/>
      <c r="BV353" s="156"/>
      <c r="BW353" s="595" t="s">
        <v>7368</v>
      </c>
      <c r="BX353" s="157" t="s">
        <v>6598</v>
      </c>
      <c r="BY353" s="797" t="s">
        <v>7615</v>
      </c>
      <c r="BZ353" s="789" t="s">
        <v>7610</v>
      </c>
      <c r="CA353" s="765">
        <v>4</v>
      </c>
      <c r="CB353" s="765" t="s">
        <v>7556</v>
      </c>
      <c r="CC353" s="765" t="s">
        <v>7384</v>
      </c>
      <c r="CD353" s="134" t="s">
        <v>1876</v>
      </c>
      <c r="CE353" s="134">
        <v>2</v>
      </c>
      <c r="CF353" s="400"/>
      <c r="CG353" s="134" t="s">
        <v>3638</v>
      </c>
      <c r="CH353" s="753" t="s">
        <v>1488</v>
      </c>
      <c r="CI353" s="134" t="s">
        <v>3656</v>
      </c>
      <c r="CJ353" s="134"/>
      <c r="CK353" s="134" t="s">
        <v>3640</v>
      </c>
      <c r="CL353" s="134" t="s">
        <v>6640</v>
      </c>
      <c r="CM353" s="259" t="s">
        <v>3654</v>
      </c>
      <c r="CN353" s="454">
        <v>0</v>
      </c>
      <c r="CO353" s="829">
        <v>78</v>
      </c>
      <c r="CP353" s="828">
        <v>1</v>
      </c>
      <c r="CQ353" s="828">
        <v>3</v>
      </c>
      <c r="CR353" s="828">
        <v>1</v>
      </c>
      <c r="CS353" s="828">
        <v>1</v>
      </c>
      <c r="CT353" s="967"/>
      <c r="CU353" s="1289" t="s">
        <v>8104</v>
      </c>
      <c r="CV353" s="1295">
        <v>128</v>
      </c>
      <c r="CW353" s="1295">
        <v>117</v>
      </c>
      <c r="CX353" s="138" t="s">
        <v>3641</v>
      </c>
      <c r="CY353" s="134">
        <v>41.8</v>
      </c>
      <c r="CZ353" s="134">
        <v>3.98</v>
      </c>
      <c r="DA353" s="134" t="s">
        <v>24</v>
      </c>
      <c r="DB353" s="138" t="s">
        <v>3644</v>
      </c>
      <c r="DC353" s="134">
        <v>43.7</v>
      </c>
      <c r="DD353" s="134">
        <v>5.08</v>
      </c>
      <c r="DE353" s="134" t="s">
        <v>24</v>
      </c>
      <c r="DF353" s="294" t="s">
        <v>3647</v>
      </c>
      <c r="DG353" s="295" t="s">
        <v>3648</v>
      </c>
      <c r="DH353" s="1171"/>
      <c r="DI353" s="1169"/>
      <c r="DJ353" s="1169"/>
      <c r="DK353" s="1169"/>
      <c r="DL353" s="1171"/>
      <c r="DM353" s="1169"/>
      <c r="DN353" s="1169"/>
      <c r="DO353" s="1169"/>
      <c r="DP353" s="288"/>
      <c r="DQ353" s="289"/>
      <c r="DR353" s="1168"/>
      <c r="DS353" s="865"/>
      <c r="DT353" s="1171"/>
      <c r="DU353" s="1169"/>
      <c r="DV353" s="1169"/>
      <c r="DW353" s="1169"/>
      <c r="DX353" s="1169"/>
      <c r="DY353" s="1169"/>
      <c r="DZ353" s="1169"/>
      <c r="EA353" s="1169"/>
      <c r="EB353" s="304"/>
      <c r="EC353" s="312"/>
      <c r="ED353" s="1169"/>
      <c r="EE353" s="1169"/>
      <c r="EF353" s="1169"/>
      <c r="EG353" s="1169"/>
      <c r="EH353" s="1169"/>
      <c r="EI353" s="1169"/>
      <c r="EJ353" s="1169"/>
      <c r="EK353" s="1169"/>
      <c r="EL353" s="304"/>
      <c r="EM353" s="312"/>
      <c r="EN353" s="309"/>
      <c r="EO353" s="1170"/>
      <c r="EP353" s="1169"/>
      <c r="EQ353" s="1169"/>
      <c r="ER353" s="1169"/>
      <c r="ES353" s="1169"/>
      <c r="ET353" s="1171"/>
      <c r="EU353" s="1169"/>
      <c r="EV353" s="1169"/>
      <c r="EW353" s="1169"/>
      <c r="EX353" s="312"/>
      <c r="EY353" s="312"/>
      <c r="EZ353" s="1171"/>
      <c r="FA353" s="1169"/>
      <c r="FB353" s="1169"/>
      <c r="FC353" s="1169"/>
      <c r="FD353" s="1171"/>
      <c r="FE353" s="1169"/>
      <c r="FF353" s="1169"/>
      <c r="FG353" s="1169"/>
      <c r="FH353" s="312"/>
      <c r="FI353" s="312"/>
      <c r="FJ353" s="1170"/>
    </row>
    <row r="354" spans="1:166" ht="15" customHeight="1">
      <c r="A354" s="142" t="s">
        <v>1111</v>
      </c>
      <c r="B354" s="767">
        <v>4</v>
      </c>
      <c r="C354" s="767"/>
      <c r="D354" s="767"/>
      <c r="E354" s="606" t="s">
        <v>2052</v>
      </c>
      <c r="F354" s="224" t="s">
        <v>2295</v>
      </c>
      <c r="G354" s="225">
        <v>2015</v>
      </c>
      <c r="H354" s="142">
        <v>25585683</v>
      </c>
      <c r="I354" s="142">
        <v>1</v>
      </c>
      <c r="J354" s="142">
        <v>1</v>
      </c>
      <c r="K354" s="142"/>
      <c r="L354" s="142">
        <v>1</v>
      </c>
      <c r="M354" s="142"/>
      <c r="N354" s="142">
        <v>1</v>
      </c>
      <c r="O354" s="142">
        <v>2</v>
      </c>
      <c r="P354" s="142" t="s">
        <v>1220</v>
      </c>
      <c r="Q354" s="142" t="s">
        <v>1232</v>
      </c>
      <c r="R354" s="142" t="s">
        <v>1138</v>
      </c>
      <c r="S354" s="142"/>
      <c r="T354" s="142" t="s">
        <v>1541</v>
      </c>
      <c r="U354" s="142" t="s">
        <v>23</v>
      </c>
      <c r="V354" s="142" t="s">
        <v>23</v>
      </c>
      <c r="W354" s="142" t="s">
        <v>1139</v>
      </c>
      <c r="X354" s="142" t="s">
        <v>24</v>
      </c>
      <c r="Y354" s="142" t="s">
        <v>1132</v>
      </c>
      <c r="Z354" s="142"/>
      <c r="AA354" s="142"/>
      <c r="AB354" s="142"/>
      <c r="AC354" s="465"/>
      <c r="AD354" s="653">
        <v>1</v>
      </c>
      <c r="AE354" s="653">
        <v>2</v>
      </c>
      <c r="AF354" s="159">
        <v>1</v>
      </c>
      <c r="AG354" s="160" t="s">
        <v>3316</v>
      </c>
      <c r="AH354" s="732">
        <v>0</v>
      </c>
      <c r="AI354" s="150">
        <v>5</v>
      </c>
      <c r="AJ354" s="485"/>
      <c r="AK354" s="226" t="s">
        <v>2484</v>
      </c>
      <c r="AL354" s="192">
        <v>1</v>
      </c>
      <c r="AM354" s="227">
        <v>0</v>
      </c>
      <c r="AN354" s="150">
        <v>14</v>
      </c>
      <c r="AO354" s="150">
        <v>7</v>
      </c>
      <c r="AP354" s="150">
        <v>7</v>
      </c>
      <c r="AQ354" s="150" t="s">
        <v>803</v>
      </c>
      <c r="AR354" s="150" t="s">
        <v>803</v>
      </c>
      <c r="AS354" s="150" t="s">
        <v>2468</v>
      </c>
      <c r="AT354" s="150" t="s">
        <v>24</v>
      </c>
      <c r="AU354" s="150" t="s">
        <v>2468</v>
      </c>
      <c r="AV354" s="150" t="s">
        <v>24</v>
      </c>
      <c r="AW354" s="150" t="s">
        <v>2474</v>
      </c>
      <c r="AX354" s="150">
        <v>1</v>
      </c>
      <c r="AY354" s="150">
        <v>1.5</v>
      </c>
      <c r="AZ354" s="150" t="s">
        <v>1814</v>
      </c>
      <c r="BA354" s="150">
        <v>1</v>
      </c>
      <c r="BB354" s="150" t="s">
        <v>3317</v>
      </c>
      <c r="BC354" s="150" t="s">
        <v>2473</v>
      </c>
      <c r="BD354" s="753" t="s">
        <v>7523</v>
      </c>
      <c r="BE354" s="753"/>
      <c r="BF354" s="150" t="s">
        <v>2603</v>
      </c>
      <c r="BG354" s="150" t="s">
        <v>2554</v>
      </c>
      <c r="BH354" s="588"/>
      <c r="BI354" s="588"/>
      <c r="BJ354" s="161">
        <v>1</v>
      </c>
      <c r="BK354" s="161"/>
      <c r="BL354" s="161"/>
      <c r="BM354" s="161"/>
      <c r="BN354" s="161"/>
      <c r="BO354" s="161"/>
      <c r="BP354" s="161"/>
      <c r="BQ354" s="161"/>
      <c r="BR354" s="161"/>
      <c r="BS354" s="161"/>
      <c r="BT354" s="161"/>
      <c r="BU354" s="161"/>
      <c r="BV354" s="161"/>
      <c r="BW354" s="596" t="s">
        <v>7378</v>
      </c>
      <c r="BX354" s="162" t="s">
        <v>6595</v>
      </c>
      <c r="BY354" s="797" t="s">
        <v>7615</v>
      </c>
      <c r="BZ354" s="790" t="s">
        <v>803</v>
      </c>
      <c r="CA354" s="766">
        <v>4</v>
      </c>
      <c r="CB354" s="766" t="s">
        <v>7556</v>
      </c>
      <c r="CC354" s="766" t="s">
        <v>7384</v>
      </c>
      <c r="CD354" s="150" t="s">
        <v>7427</v>
      </c>
      <c r="CE354" s="150">
        <v>2</v>
      </c>
      <c r="CF354" s="400" t="s">
        <v>23</v>
      </c>
      <c r="CG354" s="150" t="s">
        <v>7709</v>
      </c>
      <c r="CH354" s="150" t="s">
        <v>1488</v>
      </c>
      <c r="CI354" s="150" t="s">
        <v>2471</v>
      </c>
      <c r="CJ354" s="150">
        <v>1</v>
      </c>
      <c r="CK354" s="150" t="s">
        <v>2659</v>
      </c>
      <c r="CL354" s="134" t="s">
        <v>8276</v>
      </c>
      <c r="CM354" s="258" t="s">
        <v>7379</v>
      </c>
      <c r="CN354" s="257" t="s">
        <v>6627</v>
      </c>
      <c r="CO354" s="829">
        <v>2</v>
      </c>
      <c r="CP354" s="829">
        <v>1</v>
      </c>
      <c r="CQ354" s="829">
        <v>1</v>
      </c>
      <c r="CR354" s="829">
        <v>1</v>
      </c>
      <c r="CS354" s="829">
        <v>1</v>
      </c>
      <c r="CT354" s="968"/>
      <c r="CU354" s="1289" t="s">
        <v>8104</v>
      </c>
      <c r="CV354" s="1295">
        <v>140</v>
      </c>
      <c r="CW354" s="1295">
        <v>131</v>
      </c>
      <c r="CX354" s="431" t="s">
        <v>2487</v>
      </c>
      <c r="CY354" s="150">
        <v>59.374499999999998</v>
      </c>
      <c r="CZ354" s="150" t="s">
        <v>24</v>
      </c>
      <c r="DA354" s="150">
        <v>7.9824000000000002</v>
      </c>
      <c r="DB354" s="431" t="s">
        <v>2485</v>
      </c>
      <c r="DC354" s="150">
        <v>17.4329</v>
      </c>
      <c r="DD354" s="150" t="s">
        <v>24</v>
      </c>
      <c r="DE354" s="150">
        <v>7.2742000000000004</v>
      </c>
      <c r="DF354" s="549" t="s">
        <v>2547</v>
      </c>
      <c r="DG354" s="551" t="s">
        <v>2549</v>
      </c>
      <c r="DH354" s="121"/>
      <c r="DI354" s="121"/>
      <c r="DJ354" s="1169"/>
      <c r="DK354" s="121"/>
      <c r="DL354" s="1169"/>
      <c r="DM354" s="121"/>
      <c r="DN354" s="1169"/>
      <c r="DO354" s="121"/>
      <c r="DP354" s="290"/>
      <c r="DQ354" s="292"/>
      <c r="DR354" s="1168" t="s">
        <v>24</v>
      </c>
      <c r="DS354" s="1191" t="s">
        <v>24</v>
      </c>
      <c r="DT354" s="1205"/>
      <c r="DU354" s="1164"/>
      <c r="DV354" s="1164"/>
      <c r="DW354" s="1164"/>
      <c r="DX354" s="1205"/>
      <c r="DY354" s="122"/>
      <c r="DZ354" s="122"/>
      <c r="EA354" s="122"/>
      <c r="EB354" s="311"/>
      <c r="EC354" s="313"/>
      <c r="ED354" s="1205"/>
      <c r="EE354" s="1164"/>
      <c r="EF354" s="1164"/>
      <c r="EG354" s="1164"/>
      <c r="EH354" s="1205"/>
      <c r="EI354" s="1164"/>
      <c r="EJ354" s="1164"/>
      <c r="EK354" s="1164"/>
      <c r="EL354" s="311"/>
      <c r="EM354" s="313"/>
      <c r="EN354" s="1167"/>
      <c r="EO354" s="1165"/>
      <c r="EP354" s="1164"/>
      <c r="EQ354" s="1164"/>
      <c r="ER354" s="1164"/>
      <c r="ES354" s="1164"/>
      <c r="ET354" s="1166"/>
      <c r="EU354" s="1164"/>
      <c r="EV354" s="1164"/>
      <c r="EW354" s="1164"/>
      <c r="EX354" s="313"/>
      <c r="EY354" s="313"/>
      <c r="EZ354" s="1166"/>
      <c r="FA354" s="1164"/>
      <c r="FB354" s="1164"/>
      <c r="FC354" s="1164"/>
      <c r="FD354" s="1166"/>
      <c r="FE354" s="1164"/>
      <c r="FF354" s="1164"/>
      <c r="FG354" s="1164"/>
      <c r="FH354" s="313"/>
      <c r="FI354" s="313"/>
      <c r="FJ354" s="1165"/>
    </row>
    <row r="355" spans="1:166" ht="15" hidden="1" customHeight="1">
      <c r="A355" s="118" t="s">
        <v>121</v>
      </c>
      <c r="B355" s="616">
        <v>93</v>
      </c>
      <c r="C355" s="616">
        <v>17</v>
      </c>
      <c r="D355" s="616"/>
      <c r="E355" s="605" t="s">
        <v>1940</v>
      </c>
      <c r="F355" s="140" t="s">
        <v>2159</v>
      </c>
      <c r="G355" s="141">
        <v>2002</v>
      </c>
      <c r="H355" s="118">
        <v>12607144</v>
      </c>
      <c r="I355" s="118">
        <v>1</v>
      </c>
      <c r="J355" s="118"/>
      <c r="K355" s="118"/>
      <c r="L355" s="118">
        <v>1</v>
      </c>
      <c r="M355" s="118"/>
      <c r="N355" s="118">
        <v>1</v>
      </c>
      <c r="O355" s="142">
        <v>1</v>
      </c>
      <c r="P355" s="118" t="s">
        <v>408</v>
      </c>
      <c r="Q355" s="118"/>
      <c r="R355" s="118" t="s">
        <v>25</v>
      </c>
      <c r="S355" s="118">
        <v>1</v>
      </c>
      <c r="T355" s="118"/>
      <c r="U355" s="118"/>
      <c r="V355" s="118"/>
      <c r="W355" s="118"/>
      <c r="X355" s="118"/>
      <c r="Y355" s="118"/>
      <c r="Z355" s="118"/>
      <c r="AA355" s="118"/>
      <c r="AB355" s="118"/>
      <c r="AC355" s="145"/>
      <c r="AD355" s="573">
        <v>1</v>
      </c>
      <c r="AE355" s="573">
        <v>2</v>
      </c>
      <c r="AF355" s="159">
        <v>1</v>
      </c>
      <c r="AG355" s="160" t="s">
        <v>7760</v>
      </c>
      <c r="AH355" s="704"/>
      <c r="AI355" s="122">
        <v>2</v>
      </c>
      <c r="AJ355" s="485"/>
      <c r="AK355" s="204" t="s">
        <v>3991</v>
      </c>
      <c r="AL355" s="192">
        <v>1</v>
      </c>
      <c r="AM355" s="227">
        <v>0</v>
      </c>
      <c r="AN355" s="150">
        <f>80+80</f>
        <v>160</v>
      </c>
      <c r="AO355" s="150">
        <v>80</v>
      </c>
      <c r="AP355" s="150">
        <v>80</v>
      </c>
      <c r="AQ355" s="150" t="s">
        <v>803</v>
      </c>
      <c r="AR355" s="150" t="s">
        <v>803</v>
      </c>
      <c r="AS355" s="150">
        <v>37.96</v>
      </c>
      <c r="AT355" s="150">
        <v>2.39</v>
      </c>
      <c r="AU355" s="150">
        <v>37.950000000000003</v>
      </c>
      <c r="AV355" s="150">
        <v>2.56</v>
      </c>
      <c r="AW355" s="150" t="s">
        <v>3994</v>
      </c>
      <c r="AX355" s="150" t="s">
        <v>24</v>
      </c>
      <c r="AY355" s="150" t="s">
        <v>24</v>
      </c>
      <c r="AZ355" s="753" t="s">
        <v>1874</v>
      </c>
      <c r="BA355" s="150" t="s">
        <v>24</v>
      </c>
      <c r="BB355" s="150" t="s">
        <v>24</v>
      </c>
      <c r="BC355" s="150" t="s">
        <v>2423</v>
      </c>
      <c r="BD355" s="753" t="s">
        <v>7521</v>
      </c>
      <c r="BE355" s="187">
        <v>0</v>
      </c>
      <c r="BF355" s="150" t="s">
        <v>3835</v>
      </c>
      <c r="BG355" s="150" t="s">
        <v>3995</v>
      </c>
      <c r="BH355" s="588"/>
      <c r="BI355" s="588"/>
      <c r="BJ355" s="161"/>
      <c r="BK355" s="161"/>
      <c r="BL355" s="161"/>
      <c r="BM355" s="161"/>
      <c r="BN355" s="161"/>
      <c r="BO355" s="161"/>
      <c r="BP355" s="161">
        <v>1</v>
      </c>
      <c r="BQ355" s="161"/>
      <c r="BR355" s="161"/>
      <c r="BS355" s="161"/>
      <c r="BT355" s="161"/>
      <c r="BU355" s="161"/>
      <c r="BV355" s="161"/>
      <c r="BW355" s="596" t="s">
        <v>7756</v>
      </c>
      <c r="BX355" s="162" t="s">
        <v>6609</v>
      </c>
      <c r="BY355" s="797" t="s">
        <v>7616</v>
      </c>
      <c r="BZ355" s="789" t="s">
        <v>7610</v>
      </c>
      <c r="CA355" s="765">
        <v>2</v>
      </c>
      <c r="CB355" s="765" t="s">
        <v>7556</v>
      </c>
      <c r="CC355" s="765" t="s">
        <v>7380</v>
      </c>
      <c r="CD355" s="150" t="s">
        <v>1876</v>
      </c>
      <c r="CE355" s="150" t="s">
        <v>7751</v>
      </c>
      <c r="CF355" s="400"/>
      <c r="CG355" s="150" t="s">
        <v>4007</v>
      </c>
      <c r="CH355" s="753" t="s">
        <v>7313</v>
      </c>
      <c r="CI355" s="150" t="s">
        <v>24</v>
      </c>
      <c r="CJ355" s="150"/>
      <c r="CK355" s="151" t="s">
        <v>8197</v>
      </c>
      <c r="CL355" s="150" t="s">
        <v>7827</v>
      </c>
      <c r="CM355" s="258" t="s">
        <v>4062</v>
      </c>
      <c r="CN355" s="257">
        <v>0</v>
      </c>
      <c r="CO355" s="829">
        <v>16</v>
      </c>
      <c r="CP355" s="829">
        <v>1</v>
      </c>
      <c r="CQ355" s="829">
        <v>2</v>
      </c>
      <c r="CR355" s="829">
        <v>1</v>
      </c>
      <c r="CS355" s="1115">
        <v>-1</v>
      </c>
      <c r="CT355" s="968"/>
      <c r="CU355" s="1288" t="s">
        <v>8103</v>
      </c>
      <c r="CV355" s="1294">
        <v>10</v>
      </c>
      <c r="CW355" s="1294">
        <v>9</v>
      </c>
      <c r="CX355" s="151" t="s">
        <v>4039</v>
      </c>
      <c r="CY355" s="150">
        <v>5.01</v>
      </c>
      <c r="CZ355" s="150">
        <v>1.82</v>
      </c>
      <c r="DA355" s="150" t="s">
        <v>24</v>
      </c>
      <c r="DB355" s="151" t="s">
        <v>4044</v>
      </c>
      <c r="DC355" s="150">
        <v>5.21</v>
      </c>
      <c r="DD355" s="150">
        <v>1.61</v>
      </c>
      <c r="DE355" s="150" t="s">
        <v>24</v>
      </c>
      <c r="DF355" s="549" t="s">
        <v>24</v>
      </c>
      <c r="DG355" s="551" t="s">
        <v>24</v>
      </c>
      <c r="DH355" s="526"/>
      <c r="DI355" s="122"/>
      <c r="DJ355" s="1164"/>
      <c r="DK355" s="122"/>
      <c r="DL355" s="1166"/>
      <c r="DM355" s="122"/>
      <c r="DN355" s="1164"/>
      <c r="DO355" s="122"/>
      <c r="DP355" s="290"/>
      <c r="DQ355" s="291"/>
      <c r="DR355" s="1168"/>
      <c r="DS355" s="865"/>
      <c r="DT355" s="1166"/>
      <c r="DU355" s="122"/>
      <c r="DV355" s="1164"/>
      <c r="DW355" s="122"/>
      <c r="DX355" s="1166"/>
      <c r="DY355" s="122"/>
      <c r="DZ355" s="1164"/>
      <c r="EA355" s="122"/>
      <c r="EB355" s="311"/>
      <c r="EC355" s="313"/>
      <c r="ED355" s="1164"/>
      <c r="EE355" s="122"/>
      <c r="EF355" s="1164"/>
      <c r="EG355" s="122"/>
      <c r="EH355" s="1164"/>
      <c r="EI355" s="122"/>
      <c r="EJ355" s="1164"/>
      <c r="EK355" s="122"/>
      <c r="EL355" s="311"/>
      <c r="EM355" s="313"/>
      <c r="EN355" s="1167"/>
      <c r="EO355" s="1165"/>
      <c r="EP355" s="1164"/>
      <c r="EQ355" s="1164"/>
      <c r="ER355" s="1164"/>
      <c r="ES355" s="1164"/>
      <c r="ET355" s="1164"/>
      <c r="EU355" s="1164"/>
      <c r="EV355" s="1164"/>
      <c r="EW355" s="1164"/>
      <c r="EX355" s="313"/>
      <c r="EY355" s="313"/>
      <c r="EZ355" s="1166"/>
      <c r="FA355" s="1164"/>
      <c r="FB355" s="1164"/>
      <c r="FC355" s="1164"/>
      <c r="FD355" s="1166"/>
      <c r="FE355" s="1164"/>
      <c r="FF355" s="1164"/>
      <c r="FG355" s="1164"/>
      <c r="FH355" s="313"/>
      <c r="FI355" s="313"/>
      <c r="FJ355" s="279"/>
    </row>
    <row r="356" spans="1:166" ht="15" hidden="1" customHeight="1">
      <c r="A356" s="118" t="s">
        <v>243</v>
      </c>
      <c r="B356" s="616">
        <v>178</v>
      </c>
      <c r="C356" s="616">
        <v>61</v>
      </c>
      <c r="D356" s="616"/>
      <c r="E356" s="605" t="s">
        <v>1997</v>
      </c>
      <c r="F356" s="140" t="s">
        <v>2227</v>
      </c>
      <c r="G356" s="141">
        <v>2004</v>
      </c>
      <c r="H356" s="118">
        <v>15027792</v>
      </c>
      <c r="I356" s="118">
        <v>1</v>
      </c>
      <c r="J356" s="118"/>
      <c r="K356" s="118"/>
      <c r="L356" s="118">
        <v>1</v>
      </c>
      <c r="M356" s="118"/>
      <c r="N356" s="118">
        <v>1</v>
      </c>
      <c r="O356" s="142">
        <v>1</v>
      </c>
      <c r="P356" s="118" t="s">
        <v>662</v>
      </c>
      <c r="Q356" s="118" t="s">
        <v>1172</v>
      </c>
      <c r="R356" s="118" t="s">
        <v>1174</v>
      </c>
      <c r="S356" s="118">
        <v>1</v>
      </c>
      <c r="T356" s="118"/>
      <c r="U356" s="118"/>
      <c r="V356" s="118"/>
      <c r="W356" s="118" t="s">
        <v>665</v>
      </c>
      <c r="X356" s="118" t="s">
        <v>663</v>
      </c>
      <c r="Y356" s="118"/>
      <c r="Z356" s="118" t="s">
        <v>664</v>
      </c>
      <c r="AA356" s="118"/>
      <c r="AB356" s="118"/>
      <c r="AC356" s="145"/>
      <c r="AD356" s="573">
        <v>1</v>
      </c>
      <c r="AE356" s="573">
        <v>2</v>
      </c>
      <c r="AF356" s="159">
        <v>1</v>
      </c>
      <c r="AG356" s="160" t="s">
        <v>3157</v>
      </c>
      <c r="AH356" s="704" t="s">
        <v>7519</v>
      </c>
      <c r="AI356" s="122">
        <v>2</v>
      </c>
      <c r="AJ356" s="485" t="s">
        <v>5189</v>
      </c>
      <c r="AK356" s="204" t="s">
        <v>5208</v>
      </c>
      <c r="AL356" s="192">
        <v>1</v>
      </c>
      <c r="AM356" s="205">
        <v>0</v>
      </c>
      <c r="AN356" s="122">
        <f>Table66[[#This Row],[Data_Subjects_n_ptsd]]+Table66[[#This Row],[Data_Subjects_n_control]]</f>
        <v>47</v>
      </c>
      <c r="AO356" s="122">
        <v>24</v>
      </c>
      <c r="AP356" s="122">
        <v>23</v>
      </c>
      <c r="AQ356" s="122" t="s">
        <v>803</v>
      </c>
      <c r="AR356" s="150" t="s">
        <v>803</v>
      </c>
      <c r="AS356" s="150">
        <v>51</v>
      </c>
      <c r="AT356" s="150">
        <v>2.5</v>
      </c>
      <c r="AU356" s="150">
        <v>52.4</v>
      </c>
      <c r="AV356" s="150">
        <v>3.1</v>
      </c>
      <c r="AW356" s="150" t="s">
        <v>5151</v>
      </c>
      <c r="AX356" s="122"/>
      <c r="AY356" s="122"/>
      <c r="AZ356" s="754" t="s">
        <v>1874</v>
      </c>
      <c r="BA356" s="122" t="s">
        <v>24</v>
      </c>
      <c r="BB356" s="122" t="s">
        <v>24</v>
      </c>
      <c r="BC356" s="122" t="s">
        <v>5150</v>
      </c>
      <c r="BD356" s="754" t="s">
        <v>7521</v>
      </c>
      <c r="BE356" s="187">
        <v>0</v>
      </c>
      <c r="BF356" s="122" t="s">
        <v>3835</v>
      </c>
      <c r="BG356" s="122" t="s">
        <v>5149</v>
      </c>
      <c r="BH356" s="588"/>
      <c r="BI356" s="588"/>
      <c r="BJ356" s="161"/>
      <c r="BK356" s="161"/>
      <c r="BL356" s="161" t="s">
        <v>5207</v>
      </c>
      <c r="BM356" s="161"/>
      <c r="BN356" s="161"/>
      <c r="BO356" s="161"/>
      <c r="BP356" s="161">
        <v>1</v>
      </c>
      <c r="BQ356" s="161"/>
      <c r="BR356" s="161"/>
      <c r="BS356" s="161"/>
      <c r="BT356" s="161"/>
      <c r="BU356" s="161"/>
      <c r="BV356" s="161"/>
      <c r="BW356" s="596" t="s">
        <v>5162</v>
      </c>
      <c r="BX356" s="162" t="s">
        <v>6611</v>
      </c>
      <c r="BY356" s="797" t="s">
        <v>7616</v>
      </c>
      <c r="BZ356" s="789" t="s">
        <v>7610</v>
      </c>
      <c r="CA356" s="769">
        <v>2</v>
      </c>
      <c r="CB356" s="765" t="s">
        <v>7556</v>
      </c>
      <c r="CC356" s="772" t="s">
        <v>7380</v>
      </c>
      <c r="CD356" s="150" t="s">
        <v>1876</v>
      </c>
      <c r="CE356" s="150">
        <v>2</v>
      </c>
      <c r="CF356" s="400"/>
      <c r="CG356" s="150" t="s">
        <v>5158</v>
      </c>
      <c r="CH356" s="753" t="s">
        <v>7313</v>
      </c>
      <c r="CI356" s="150" t="s">
        <v>24</v>
      </c>
      <c r="CJ356" s="150"/>
      <c r="CK356" s="150" t="s">
        <v>7966</v>
      </c>
      <c r="CL356" s="150" t="s">
        <v>7827</v>
      </c>
      <c r="CM356" s="258" t="s">
        <v>5205</v>
      </c>
      <c r="CN356" s="257">
        <v>0</v>
      </c>
      <c r="CO356" s="829">
        <v>55</v>
      </c>
      <c r="CP356" s="829">
        <v>1</v>
      </c>
      <c r="CQ356" s="829">
        <v>3</v>
      </c>
      <c r="CR356" s="829">
        <v>1</v>
      </c>
      <c r="CS356" s="1115">
        <v>-1</v>
      </c>
      <c r="CT356" s="968"/>
      <c r="CU356" s="1288" t="s">
        <v>8103</v>
      </c>
      <c r="CV356" s="1294">
        <v>22</v>
      </c>
      <c r="CW356" s="1294">
        <v>24</v>
      </c>
      <c r="CX356" s="151" t="s">
        <v>5179</v>
      </c>
      <c r="CY356" s="150">
        <v>3.7</v>
      </c>
      <c r="CZ356" s="150">
        <v>3.1</v>
      </c>
      <c r="DA356" s="150" t="s">
        <v>24</v>
      </c>
      <c r="DB356" s="151" t="s">
        <v>5185</v>
      </c>
      <c r="DC356" s="150">
        <v>4.3</v>
      </c>
      <c r="DD356" s="150">
        <v>4.3</v>
      </c>
      <c r="DE356" s="150" t="s">
        <v>24</v>
      </c>
      <c r="DF356" s="290" t="s">
        <v>3229</v>
      </c>
      <c r="DG356" s="502" t="s">
        <v>5200</v>
      </c>
      <c r="DH356" s="1178"/>
      <c r="DI356" s="500"/>
      <c r="DJ356" s="1164"/>
      <c r="DK356" s="500"/>
      <c r="DL356" s="1166"/>
      <c r="DM356" s="500"/>
      <c r="DN356" s="1164"/>
      <c r="DO356" s="1150"/>
      <c r="DP356" s="290"/>
      <c r="DQ356" s="502"/>
      <c r="DR356" s="864"/>
      <c r="DS356" s="865"/>
      <c r="DT356" s="1166"/>
      <c r="DU356" s="500"/>
      <c r="DV356" s="1164"/>
      <c r="DW356" s="500"/>
      <c r="DX356" s="1166"/>
      <c r="DY356" s="500"/>
      <c r="DZ356" s="1164"/>
      <c r="EA356" s="500"/>
      <c r="EB356" s="1214"/>
      <c r="EC356" s="1203"/>
      <c r="ED356" s="1166"/>
      <c r="EE356" s="500"/>
      <c r="EF356" s="1164"/>
      <c r="EG356" s="500"/>
      <c r="EH356" s="1166"/>
      <c r="EI356" s="500"/>
      <c r="EJ356" s="1164"/>
      <c r="EK356" s="500"/>
      <c r="EL356" s="1214"/>
      <c r="EM356" s="1203"/>
      <c r="EN356" s="1167"/>
      <c r="EO356" s="1165"/>
      <c r="EP356" s="500"/>
      <c r="EQ356" s="500"/>
      <c r="ER356" s="500"/>
      <c r="ES356" s="500"/>
      <c r="ET356" s="1153"/>
      <c r="EU356" s="500"/>
      <c r="EV356" s="500"/>
      <c r="EW356" s="500"/>
      <c r="EX356" s="665"/>
      <c r="EY356" s="665"/>
      <c r="EZ356" s="1153"/>
      <c r="FA356" s="500"/>
      <c r="FB356" s="500"/>
      <c r="FC356" s="500"/>
      <c r="FD356" s="1153"/>
      <c r="FE356" s="500"/>
      <c r="FF356" s="500"/>
      <c r="FG356" s="500"/>
      <c r="FH356" s="665"/>
      <c r="FI356" s="665"/>
      <c r="FJ356" s="279"/>
    </row>
    <row r="357" spans="1:166" ht="15" hidden="1" customHeight="1">
      <c r="A357" s="118" t="s">
        <v>143</v>
      </c>
      <c r="B357" s="616">
        <v>109</v>
      </c>
      <c r="C357" s="616">
        <v>22</v>
      </c>
      <c r="D357" s="616"/>
      <c r="E357" s="605" t="s">
        <v>1951</v>
      </c>
      <c r="F357" s="140" t="s">
        <v>2170</v>
      </c>
      <c r="G357" s="141">
        <v>2009</v>
      </c>
      <c r="H357" s="118">
        <v>18800372</v>
      </c>
      <c r="I357" s="118">
        <v>1</v>
      </c>
      <c r="J357" s="118"/>
      <c r="K357" s="118"/>
      <c r="L357" s="118">
        <v>1</v>
      </c>
      <c r="M357" s="118"/>
      <c r="N357" s="118">
        <v>1</v>
      </c>
      <c r="O357" s="142">
        <v>1</v>
      </c>
      <c r="P357" s="118" t="s">
        <v>450</v>
      </c>
      <c r="Q357" s="118" t="s">
        <v>1147</v>
      </c>
      <c r="R357" s="118" t="s">
        <v>25</v>
      </c>
      <c r="S357" s="118">
        <v>1</v>
      </c>
      <c r="T357" s="118"/>
      <c r="U357" s="118"/>
      <c r="V357" s="118"/>
      <c r="W357" s="118" t="s">
        <v>449</v>
      </c>
      <c r="X357" s="118"/>
      <c r="Y357" s="118"/>
      <c r="Z357" s="118"/>
      <c r="AA357" s="118"/>
      <c r="AB357" s="118"/>
      <c r="AC357" s="145"/>
      <c r="AD357" s="573">
        <v>1</v>
      </c>
      <c r="AE357" s="573">
        <v>2</v>
      </c>
      <c r="AF357" s="159">
        <v>1</v>
      </c>
      <c r="AG357" s="160"/>
      <c r="AH357" s="704"/>
      <c r="AI357" s="122">
        <v>2</v>
      </c>
      <c r="AJ357" s="485"/>
      <c r="AK357" s="204" t="s">
        <v>4207</v>
      </c>
      <c r="AL357" s="192">
        <v>1</v>
      </c>
      <c r="AM357" s="205">
        <v>0</v>
      </c>
      <c r="AN357" s="122">
        <f>Table66[[#This Row],[Data_Subjects_n_ptsd]]+Table66[[#This Row],[Data_Subjects_n_control]]</f>
        <v>47</v>
      </c>
      <c r="AO357" s="122">
        <v>22</v>
      </c>
      <c r="AP357" s="122">
        <v>25</v>
      </c>
      <c r="AQ357" s="122" t="s">
        <v>803</v>
      </c>
      <c r="AR357" s="122" t="s">
        <v>803</v>
      </c>
      <c r="AS357" s="150">
        <v>33.32</v>
      </c>
      <c r="AT357" s="150">
        <v>4.76</v>
      </c>
      <c r="AU357" s="150">
        <v>34.799999999999997</v>
      </c>
      <c r="AV357" s="150">
        <v>4.5999999999999996</v>
      </c>
      <c r="AW357" s="150" t="s">
        <v>4160</v>
      </c>
      <c r="AX357" s="122"/>
      <c r="AY357" s="122"/>
      <c r="AZ357" s="754" t="s">
        <v>1874</v>
      </c>
      <c r="BA357" s="122" t="s">
        <v>24</v>
      </c>
      <c r="BB357" s="122" t="s">
        <v>24</v>
      </c>
      <c r="BC357" s="122" t="s">
        <v>4161</v>
      </c>
      <c r="BD357" s="754" t="s">
        <v>7521</v>
      </c>
      <c r="BE357" s="187">
        <v>0</v>
      </c>
      <c r="BF357" s="122" t="s">
        <v>3835</v>
      </c>
      <c r="BG357" s="122" t="s">
        <v>4162</v>
      </c>
      <c r="BH357" s="588"/>
      <c r="BI357" s="588"/>
      <c r="BJ357" s="161"/>
      <c r="BK357" s="161"/>
      <c r="BL357" s="161"/>
      <c r="BM357" s="161"/>
      <c r="BN357" s="161"/>
      <c r="BO357" s="161"/>
      <c r="BP357" s="161">
        <v>1</v>
      </c>
      <c r="BQ357" s="161"/>
      <c r="BR357" s="161"/>
      <c r="BS357" s="161"/>
      <c r="BT357" s="161"/>
      <c r="BU357" s="161"/>
      <c r="BV357" s="161"/>
      <c r="BW357" s="596" t="s">
        <v>4208</v>
      </c>
      <c r="BX357" s="162" t="s">
        <v>6609</v>
      </c>
      <c r="BY357" s="797" t="s">
        <v>7616</v>
      </c>
      <c r="BZ357" s="790" t="s">
        <v>803</v>
      </c>
      <c r="CA357" s="765">
        <v>2</v>
      </c>
      <c r="CB357" s="765" t="s">
        <v>7556</v>
      </c>
      <c r="CC357" s="772" t="s">
        <v>7380</v>
      </c>
      <c r="CD357" s="150" t="s">
        <v>1876</v>
      </c>
      <c r="CE357" s="150">
        <v>2</v>
      </c>
      <c r="CF357" s="400"/>
      <c r="CG357" s="150" t="s">
        <v>4179</v>
      </c>
      <c r="CH357" s="753" t="s">
        <v>7313</v>
      </c>
      <c r="CI357" s="150" t="s">
        <v>24</v>
      </c>
      <c r="CJ357" s="150">
        <v>1</v>
      </c>
      <c r="CK357" s="465" t="s">
        <v>7776</v>
      </c>
      <c r="CL357" s="465" t="s">
        <v>8202</v>
      </c>
      <c r="CM357" s="258" t="s">
        <v>4229</v>
      </c>
      <c r="CN357" s="257">
        <v>0</v>
      </c>
      <c r="CO357" s="829">
        <v>21</v>
      </c>
      <c r="CP357" s="829">
        <v>1</v>
      </c>
      <c r="CQ357" s="829">
        <v>3</v>
      </c>
      <c r="CR357" s="829">
        <v>1</v>
      </c>
      <c r="CS357" s="829">
        <v>1</v>
      </c>
      <c r="CT357" s="968"/>
      <c r="CU357" s="1288" t="s">
        <v>8103</v>
      </c>
      <c r="CV357" s="1294">
        <v>11</v>
      </c>
      <c r="CW357" s="1294">
        <v>10</v>
      </c>
      <c r="CX357" s="151" t="s">
        <v>4185</v>
      </c>
      <c r="CY357" s="150">
        <v>11.86</v>
      </c>
      <c r="CZ357" s="150">
        <v>2.59</v>
      </c>
      <c r="DA357" s="150" t="s">
        <v>24</v>
      </c>
      <c r="DB357" s="151" t="s">
        <v>4186</v>
      </c>
      <c r="DC357" s="150">
        <v>12.56</v>
      </c>
      <c r="DD357" s="150">
        <v>2.48</v>
      </c>
      <c r="DE357" s="150" t="s">
        <v>24</v>
      </c>
      <c r="DF357" s="543" t="s">
        <v>4222</v>
      </c>
      <c r="DG357" s="545" t="s">
        <v>4223</v>
      </c>
      <c r="DH357" s="1178"/>
      <c r="DI357" s="500"/>
      <c r="DJ357" s="1164"/>
      <c r="DK357" s="500"/>
      <c r="DL357" s="526"/>
      <c r="DM357" s="500"/>
      <c r="DN357" s="1164"/>
      <c r="DO357" s="1150"/>
      <c r="DP357" s="290"/>
      <c r="DQ357" s="291"/>
      <c r="DR357" s="864"/>
      <c r="DS357" s="865"/>
      <c r="DT357" s="1166"/>
      <c r="DU357" s="122"/>
      <c r="DV357" s="1164"/>
      <c r="DW357" s="122"/>
      <c r="DX357" s="1166"/>
      <c r="DY357" s="122"/>
      <c r="DZ357" s="1164"/>
      <c r="EA357" s="122"/>
      <c r="EB357" s="311"/>
      <c r="EC357" s="313"/>
      <c r="ED357" s="1164"/>
      <c r="EE357" s="122"/>
      <c r="EF357" s="1164"/>
      <c r="EG357" s="122"/>
      <c r="EH357" s="1164"/>
      <c r="EI357" s="122"/>
      <c r="EJ357" s="1164"/>
      <c r="EK357" s="122"/>
      <c r="EL357" s="311"/>
      <c r="EM357" s="313"/>
      <c r="EN357" s="1167"/>
      <c r="EO357" s="1165"/>
      <c r="EP357" s="122"/>
      <c r="EQ357" s="122"/>
      <c r="ER357" s="122"/>
      <c r="ES357" s="122"/>
      <c r="ET357" s="122"/>
      <c r="EU357" s="122"/>
      <c r="EV357" s="122"/>
      <c r="EW357" s="122"/>
      <c r="EX357" s="303"/>
      <c r="EY357" s="303"/>
      <c r="EZ357" s="526"/>
      <c r="FA357" s="122"/>
      <c r="FB357" s="122"/>
      <c r="FC357" s="122"/>
      <c r="FD357" s="526"/>
      <c r="FE357" s="122"/>
      <c r="FF357" s="122"/>
      <c r="FG357" s="122"/>
      <c r="FH357" s="303"/>
      <c r="FI357" s="303"/>
      <c r="FJ357" s="1165"/>
    </row>
    <row r="358" spans="1:166" ht="15" hidden="1" customHeight="1">
      <c r="A358" s="118" t="s">
        <v>143</v>
      </c>
      <c r="B358" s="616">
        <v>109</v>
      </c>
      <c r="C358" s="616">
        <v>22</v>
      </c>
      <c r="D358" s="616"/>
      <c r="E358" s="605" t="s">
        <v>1951</v>
      </c>
      <c r="F358" s="140" t="s">
        <v>2170</v>
      </c>
      <c r="G358" s="141">
        <v>2009</v>
      </c>
      <c r="H358" s="118">
        <v>18800372</v>
      </c>
      <c r="I358" s="118">
        <v>1</v>
      </c>
      <c r="J358" s="118"/>
      <c r="K358" s="118"/>
      <c r="L358" s="118">
        <v>1</v>
      </c>
      <c r="M358" s="118"/>
      <c r="N358" s="118">
        <v>1</v>
      </c>
      <c r="O358" s="142">
        <v>1</v>
      </c>
      <c r="P358" s="118" t="s">
        <v>450</v>
      </c>
      <c r="Q358" s="118" t="s">
        <v>1147</v>
      </c>
      <c r="R358" s="118" t="s">
        <v>25</v>
      </c>
      <c r="S358" s="118">
        <v>1</v>
      </c>
      <c r="T358" s="118"/>
      <c r="U358" s="118"/>
      <c r="V358" s="118"/>
      <c r="W358" s="118" t="s">
        <v>449</v>
      </c>
      <c r="X358" s="118"/>
      <c r="Y358" s="118"/>
      <c r="Z358" s="118"/>
      <c r="AA358" s="118"/>
      <c r="AB358" s="118"/>
      <c r="AC358" s="145"/>
      <c r="AD358" s="573">
        <v>1</v>
      </c>
      <c r="AE358" s="573">
        <v>2</v>
      </c>
      <c r="AF358" s="159">
        <v>1</v>
      </c>
      <c r="AG358" s="160"/>
      <c r="AH358" s="704"/>
      <c r="AI358" s="122">
        <v>2</v>
      </c>
      <c r="AJ358" s="485"/>
      <c r="AK358" s="204" t="s">
        <v>4207</v>
      </c>
      <c r="AL358" s="192">
        <v>1</v>
      </c>
      <c r="AM358" s="205">
        <v>0</v>
      </c>
      <c r="AN358" s="122">
        <f>Table66[[#This Row],[Data_Subjects_n_ptsd]]+Table66[[#This Row],[Data_Subjects_n_control]]</f>
        <v>47</v>
      </c>
      <c r="AO358" s="122">
        <v>22</v>
      </c>
      <c r="AP358" s="122">
        <v>25</v>
      </c>
      <c r="AQ358" s="122" t="s">
        <v>803</v>
      </c>
      <c r="AR358" s="122" t="s">
        <v>803</v>
      </c>
      <c r="AS358" s="150">
        <v>33.32</v>
      </c>
      <c r="AT358" s="150">
        <v>4.76</v>
      </c>
      <c r="AU358" s="150">
        <v>34.799999999999997</v>
      </c>
      <c r="AV358" s="150">
        <v>4.5999999999999996</v>
      </c>
      <c r="AW358" s="150" t="s">
        <v>4160</v>
      </c>
      <c r="AX358" s="122"/>
      <c r="AY358" s="122"/>
      <c r="AZ358" s="754" t="s">
        <v>1874</v>
      </c>
      <c r="BA358" s="122" t="s">
        <v>24</v>
      </c>
      <c r="BB358" s="122" t="s">
        <v>24</v>
      </c>
      <c r="BC358" s="122" t="s">
        <v>4161</v>
      </c>
      <c r="BD358" s="754" t="s">
        <v>7521</v>
      </c>
      <c r="BE358" s="187">
        <v>0</v>
      </c>
      <c r="BF358" s="122" t="s">
        <v>3835</v>
      </c>
      <c r="BG358" s="122" t="s">
        <v>4162</v>
      </c>
      <c r="BH358" s="588"/>
      <c r="BI358" s="588"/>
      <c r="BJ358" s="161"/>
      <c r="BK358" s="161"/>
      <c r="BL358" s="161"/>
      <c r="BM358" s="161"/>
      <c r="BN358" s="161"/>
      <c r="BO358" s="161"/>
      <c r="BP358" s="161">
        <v>1</v>
      </c>
      <c r="BQ358" s="161"/>
      <c r="BR358" s="161"/>
      <c r="BS358" s="161"/>
      <c r="BT358" s="161"/>
      <c r="BU358" s="161"/>
      <c r="BV358" s="161"/>
      <c r="BW358" s="596" t="s">
        <v>4208</v>
      </c>
      <c r="BX358" s="162" t="s">
        <v>6609</v>
      </c>
      <c r="BY358" s="797" t="s">
        <v>7616</v>
      </c>
      <c r="BZ358" s="790" t="s">
        <v>803</v>
      </c>
      <c r="CA358" s="765">
        <v>2</v>
      </c>
      <c r="CB358" s="765" t="s">
        <v>7556</v>
      </c>
      <c r="CC358" s="772" t="s">
        <v>7380</v>
      </c>
      <c r="CD358" s="150" t="s">
        <v>1876</v>
      </c>
      <c r="CE358" s="150">
        <v>2</v>
      </c>
      <c r="CF358" s="400"/>
      <c r="CG358" s="150" t="s">
        <v>4179</v>
      </c>
      <c r="CH358" s="753" t="s">
        <v>7313</v>
      </c>
      <c r="CI358" s="150" t="s">
        <v>24</v>
      </c>
      <c r="CJ358" s="150">
        <v>1</v>
      </c>
      <c r="CK358" s="465" t="s">
        <v>7775</v>
      </c>
      <c r="CL358" s="465" t="s">
        <v>8201</v>
      </c>
      <c r="CM358" s="258" t="s">
        <v>4229</v>
      </c>
      <c r="CN358" s="257">
        <v>0</v>
      </c>
      <c r="CO358" s="829">
        <v>21</v>
      </c>
      <c r="CP358" s="829">
        <v>1</v>
      </c>
      <c r="CQ358" s="829">
        <v>2</v>
      </c>
      <c r="CR358" s="829">
        <v>1</v>
      </c>
      <c r="CS358" s="829">
        <v>1</v>
      </c>
      <c r="CT358" s="968"/>
      <c r="CU358" s="1288" t="s">
        <v>8103</v>
      </c>
      <c r="CV358" s="1294">
        <v>11</v>
      </c>
      <c r="CW358" s="1294">
        <v>10</v>
      </c>
      <c r="CX358" s="151" t="s">
        <v>4183</v>
      </c>
      <c r="CY358" s="150">
        <v>11.86</v>
      </c>
      <c r="CZ358" s="150">
        <v>3.37</v>
      </c>
      <c r="DA358" s="150" t="s">
        <v>24</v>
      </c>
      <c r="DB358" s="151" t="s">
        <v>4184</v>
      </c>
      <c r="DC358" s="150">
        <v>12.12</v>
      </c>
      <c r="DD358" s="150">
        <v>2.42</v>
      </c>
      <c r="DE358" s="150" t="s">
        <v>24</v>
      </c>
      <c r="DF358" s="290" t="s">
        <v>3229</v>
      </c>
      <c r="DG358" s="291" t="s">
        <v>4217</v>
      </c>
      <c r="DH358" s="526"/>
      <c r="DI358" s="1164"/>
      <c r="DJ358" s="1164"/>
      <c r="DK358" s="1164"/>
      <c r="DL358" s="526"/>
      <c r="DM358" s="1164"/>
      <c r="DN358" s="1164"/>
      <c r="DO358" s="1164"/>
      <c r="DP358" s="290"/>
      <c r="DQ358" s="291"/>
      <c r="DR358" s="1168"/>
      <c r="DS358" s="865"/>
      <c r="DT358" s="1166"/>
      <c r="DU358" s="122"/>
      <c r="DV358" s="1164"/>
      <c r="DW358" s="122"/>
      <c r="DX358" s="1166"/>
      <c r="DY358" s="1164"/>
      <c r="DZ358" s="1164"/>
      <c r="EA358" s="1164"/>
      <c r="EB358" s="311"/>
      <c r="EC358" s="313"/>
      <c r="ED358" s="1164"/>
      <c r="EE358" s="1164"/>
      <c r="EF358" s="1164"/>
      <c r="EG358" s="1164"/>
      <c r="EH358" s="1164"/>
      <c r="EI358" s="1164"/>
      <c r="EJ358" s="1164"/>
      <c r="EK358" s="1164"/>
      <c r="EL358" s="311"/>
      <c r="EM358" s="313"/>
      <c r="EN358" s="1167"/>
      <c r="EO358" s="1165"/>
      <c r="EP358" s="1164"/>
      <c r="EQ358" s="1164"/>
      <c r="ER358" s="1164"/>
      <c r="ES358" s="1164"/>
      <c r="ET358" s="1164"/>
      <c r="EU358" s="1164"/>
      <c r="EV358" s="1164"/>
      <c r="EW358" s="1164"/>
      <c r="EX358" s="313"/>
      <c r="EY358" s="313"/>
      <c r="EZ358" s="1166"/>
      <c r="FA358" s="1164"/>
      <c r="FB358" s="1164"/>
      <c r="FC358" s="1164"/>
      <c r="FD358" s="1166"/>
      <c r="FE358" s="1164"/>
      <c r="FF358" s="1164"/>
      <c r="FG358" s="1164"/>
      <c r="FH358" s="313"/>
      <c r="FI358" s="313"/>
      <c r="FJ358" s="1165"/>
    </row>
    <row r="359" spans="1:166" ht="15" hidden="1" customHeight="1">
      <c r="A359" s="118" t="s">
        <v>243</v>
      </c>
      <c r="B359" s="616">
        <v>178</v>
      </c>
      <c r="C359" s="616">
        <v>61</v>
      </c>
      <c r="D359" s="616"/>
      <c r="E359" s="605" t="s">
        <v>1997</v>
      </c>
      <c r="F359" s="140" t="s">
        <v>2227</v>
      </c>
      <c r="G359" s="141">
        <v>2004</v>
      </c>
      <c r="H359" s="118">
        <v>15027792</v>
      </c>
      <c r="I359" s="118">
        <v>1</v>
      </c>
      <c r="J359" s="118"/>
      <c r="K359" s="118"/>
      <c r="L359" s="118">
        <v>1</v>
      </c>
      <c r="M359" s="118"/>
      <c r="N359" s="118">
        <v>1</v>
      </c>
      <c r="O359" s="142">
        <v>1</v>
      </c>
      <c r="P359" s="118" t="s">
        <v>662</v>
      </c>
      <c r="Q359" s="118" t="s">
        <v>1172</v>
      </c>
      <c r="R359" s="118" t="s">
        <v>1174</v>
      </c>
      <c r="S359" s="118">
        <v>1</v>
      </c>
      <c r="T359" s="118"/>
      <c r="U359" s="118"/>
      <c r="V359" s="118"/>
      <c r="W359" s="118" t="s">
        <v>665</v>
      </c>
      <c r="X359" s="118" t="s">
        <v>663</v>
      </c>
      <c r="Y359" s="118"/>
      <c r="Z359" s="118" t="s">
        <v>664</v>
      </c>
      <c r="AA359" s="118"/>
      <c r="AB359" s="118"/>
      <c r="AC359" s="145"/>
      <c r="AD359" s="573">
        <v>1</v>
      </c>
      <c r="AE359" s="573">
        <v>2</v>
      </c>
      <c r="AF359" s="159">
        <v>1</v>
      </c>
      <c r="AG359" s="160" t="s">
        <v>3157</v>
      </c>
      <c r="AH359" s="704" t="s">
        <v>7519</v>
      </c>
      <c r="AI359" s="122">
        <v>2</v>
      </c>
      <c r="AJ359" s="485" t="s">
        <v>5189</v>
      </c>
      <c r="AK359" s="204" t="s">
        <v>5208</v>
      </c>
      <c r="AL359" s="192">
        <v>1</v>
      </c>
      <c r="AM359" s="205">
        <v>0</v>
      </c>
      <c r="AN359" s="122">
        <f>Table66[[#This Row],[Data_Subjects_n_ptsd]]+Table66[[#This Row],[Data_Subjects_n_control]]</f>
        <v>47</v>
      </c>
      <c r="AO359" s="122">
        <v>24</v>
      </c>
      <c r="AP359" s="122">
        <v>23</v>
      </c>
      <c r="AQ359" s="122" t="s">
        <v>803</v>
      </c>
      <c r="AR359" s="150" t="s">
        <v>803</v>
      </c>
      <c r="AS359" s="150">
        <v>51</v>
      </c>
      <c r="AT359" s="150">
        <v>2.5</v>
      </c>
      <c r="AU359" s="150">
        <v>52.4</v>
      </c>
      <c r="AV359" s="150">
        <v>3.1</v>
      </c>
      <c r="AW359" s="150" t="s">
        <v>5151</v>
      </c>
      <c r="AX359" s="122"/>
      <c r="AY359" s="122"/>
      <c r="AZ359" s="754" t="s">
        <v>1874</v>
      </c>
      <c r="BA359" s="122" t="s">
        <v>24</v>
      </c>
      <c r="BB359" s="122" t="s">
        <v>24</v>
      </c>
      <c r="BC359" s="122" t="s">
        <v>5150</v>
      </c>
      <c r="BD359" s="754" t="s">
        <v>7521</v>
      </c>
      <c r="BE359" s="187">
        <v>0</v>
      </c>
      <c r="BF359" s="122" t="s">
        <v>3835</v>
      </c>
      <c r="BG359" s="122" t="s">
        <v>5149</v>
      </c>
      <c r="BH359" s="588"/>
      <c r="BI359" s="588"/>
      <c r="BJ359" s="161"/>
      <c r="BK359" s="161"/>
      <c r="BL359" s="161" t="s">
        <v>5207</v>
      </c>
      <c r="BM359" s="161"/>
      <c r="BN359" s="161"/>
      <c r="BO359" s="161"/>
      <c r="BP359" s="161">
        <v>1</v>
      </c>
      <c r="BQ359" s="161"/>
      <c r="BR359" s="161"/>
      <c r="BS359" s="161"/>
      <c r="BT359" s="161"/>
      <c r="BU359" s="161"/>
      <c r="BV359" s="161"/>
      <c r="BW359" s="596" t="s">
        <v>5162</v>
      </c>
      <c r="BX359" s="162" t="s">
        <v>6611</v>
      </c>
      <c r="BY359" s="797" t="s">
        <v>7616</v>
      </c>
      <c r="BZ359" s="789" t="s">
        <v>803</v>
      </c>
      <c r="CA359" s="769">
        <v>2</v>
      </c>
      <c r="CB359" s="765" t="s">
        <v>7556</v>
      </c>
      <c r="CC359" s="772" t="s">
        <v>7380</v>
      </c>
      <c r="CD359" s="150" t="s">
        <v>1876</v>
      </c>
      <c r="CE359" s="150">
        <v>2</v>
      </c>
      <c r="CF359" s="400"/>
      <c r="CG359" s="150" t="s">
        <v>5158</v>
      </c>
      <c r="CH359" s="753" t="s">
        <v>7313</v>
      </c>
      <c r="CI359" s="150" t="s">
        <v>24</v>
      </c>
      <c r="CJ359" s="150"/>
      <c r="CK359" s="150" t="s">
        <v>7965</v>
      </c>
      <c r="CL359" s="150" t="s">
        <v>8201</v>
      </c>
      <c r="CM359" s="258" t="s">
        <v>5205</v>
      </c>
      <c r="CN359" s="257">
        <v>0</v>
      </c>
      <c r="CO359" s="829">
        <v>55</v>
      </c>
      <c r="CP359" s="829">
        <v>1</v>
      </c>
      <c r="CQ359" s="829">
        <v>1</v>
      </c>
      <c r="CR359" s="829">
        <v>1</v>
      </c>
      <c r="CS359" s="829">
        <v>1</v>
      </c>
      <c r="CT359" s="968"/>
      <c r="CU359" s="1288" t="s">
        <v>8103</v>
      </c>
      <c r="CV359" s="1294">
        <v>22</v>
      </c>
      <c r="CW359" s="1294">
        <v>24</v>
      </c>
      <c r="CX359" s="151" t="s">
        <v>5177</v>
      </c>
      <c r="CY359" s="150">
        <v>10.9</v>
      </c>
      <c r="CZ359" s="150">
        <v>2.5</v>
      </c>
      <c r="DA359" s="150" t="s">
        <v>24</v>
      </c>
      <c r="DB359" s="151" t="s">
        <v>5187</v>
      </c>
      <c r="DC359" s="150">
        <v>10.3</v>
      </c>
      <c r="DD359" s="150">
        <v>3.2</v>
      </c>
      <c r="DE359" s="150" t="s">
        <v>24</v>
      </c>
      <c r="DF359" s="549" t="s">
        <v>3229</v>
      </c>
      <c r="DG359" s="295" t="s">
        <v>5198</v>
      </c>
      <c r="DH359" s="1169"/>
      <c r="DI359" s="1169"/>
      <c r="DJ359" s="1169"/>
      <c r="DK359" s="1169"/>
      <c r="DL359" s="1169"/>
      <c r="DM359" s="1169"/>
      <c r="DN359" s="1169"/>
      <c r="DO359" s="1169"/>
      <c r="DP359" s="288"/>
      <c r="DQ359" s="289"/>
      <c r="DR359" s="1168" t="s">
        <v>24</v>
      </c>
      <c r="DS359" s="865" t="s">
        <v>24</v>
      </c>
      <c r="DT359" s="1171"/>
      <c r="DU359" s="1169"/>
      <c r="DV359" s="1169"/>
      <c r="DW359" s="1169"/>
      <c r="DX359" s="1169"/>
      <c r="DY359" s="1169"/>
      <c r="DZ359" s="1169"/>
      <c r="EA359" s="1169"/>
      <c r="EB359" s="304"/>
      <c r="EC359" s="312"/>
      <c r="ED359" s="1169"/>
      <c r="EE359" s="1169"/>
      <c r="EF359" s="1169"/>
      <c r="EG359" s="1169"/>
      <c r="EH359" s="1169"/>
      <c r="EI359" s="1169"/>
      <c r="EJ359" s="1169"/>
      <c r="EK359" s="1169"/>
      <c r="EL359" s="304"/>
      <c r="EM359" s="312"/>
      <c r="EN359" s="1167" t="s">
        <v>24</v>
      </c>
      <c r="EO359" s="1165" t="s">
        <v>24</v>
      </c>
      <c r="EP359" s="1164"/>
      <c r="EQ359" s="1164"/>
      <c r="ER359" s="1164"/>
      <c r="ES359" s="1164"/>
      <c r="ET359" s="1166"/>
      <c r="EU359" s="1164"/>
      <c r="EV359" s="1164"/>
      <c r="EW359" s="1164"/>
      <c r="EX359" s="313"/>
      <c r="EY359" s="313"/>
      <c r="EZ359" s="1166"/>
      <c r="FA359" s="1164"/>
      <c r="FB359" s="1164"/>
      <c r="FC359" s="1164"/>
      <c r="FD359" s="1166"/>
      <c r="FE359" s="1164"/>
      <c r="FF359" s="1164"/>
      <c r="FG359" s="1164"/>
      <c r="FH359" s="313"/>
      <c r="FI359" s="313"/>
      <c r="FJ359" s="1165"/>
    </row>
    <row r="360" spans="1:166" ht="15" hidden="1" customHeight="1">
      <c r="A360" s="118" t="s">
        <v>291</v>
      </c>
      <c r="B360" s="616">
        <v>209</v>
      </c>
      <c r="C360" s="616">
        <v>74</v>
      </c>
      <c r="D360" s="616"/>
      <c r="E360" s="605" t="s">
        <v>2017</v>
      </c>
      <c r="F360" s="140" t="s">
        <v>2249</v>
      </c>
      <c r="G360" s="141">
        <v>2013</v>
      </c>
      <c r="H360" s="118">
        <v>23755991</v>
      </c>
      <c r="I360" s="118">
        <v>1</v>
      </c>
      <c r="J360" s="118"/>
      <c r="K360" s="118"/>
      <c r="L360" s="118">
        <v>1</v>
      </c>
      <c r="M360" s="118"/>
      <c r="N360" s="118">
        <v>1</v>
      </c>
      <c r="O360" s="142">
        <v>1</v>
      </c>
      <c r="P360" s="118" t="s">
        <v>1914</v>
      </c>
      <c r="Q360" s="118" t="s">
        <v>1160</v>
      </c>
      <c r="R360" s="118" t="s">
        <v>762</v>
      </c>
      <c r="S360" s="118">
        <v>1</v>
      </c>
      <c r="T360" s="118"/>
      <c r="U360" s="118"/>
      <c r="V360" s="118"/>
      <c r="W360" s="118" t="s">
        <v>763</v>
      </c>
      <c r="X360" s="118"/>
      <c r="Y360" s="118"/>
      <c r="Z360" s="118"/>
      <c r="AA360" s="118"/>
      <c r="AB360" s="118"/>
      <c r="AC360" s="145"/>
      <c r="AD360" s="573">
        <v>1</v>
      </c>
      <c r="AE360" s="573">
        <v>2</v>
      </c>
      <c r="AF360" s="159">
        <v>1</v>
      </c>
      <c r="AG360" s="160" t="s">
        <v>7288</v>
      </c>
      <c r="AH360" s="704">
        <v>0</v>
      </c>
      <c r="AI360" s="122">
        <v>2</v>
      </c>
      <c r="AJ360" s="485"/>
      <c r="AK360" s="204" t="s">
        <v>5512</v>
      </c>
      <c r="AL360" s="192">
        <v>1</v>
      </c>
      <c r="AM360" s="205">
        <v>0</v>
      </c>
      <c r="AN360" s="122">
        <f>Table66[[#This Row],[Data_Subjects_n_ptsd]]+Table66[[#This Row],[Data_Subjects_n_control]]</f>
        <v>40</v>
      </c>
      <c r="AO360" s="122">
        <v>19</v>
      </c>
      <c r="AP360" s="122">
        <v>21</v>
      </c>
      <c r="AQ360" s="122" t="s">
        <v>5515</v>
      </c>
      <c r="AR360" s="122" t="s">
        <v>5516</v>
      </c>
      <c r="AS360" s="122">
        <v>32.47</v>
      </c>
      <c r="AT360" s="122">
        <v>6.96</v>
      </c>
      <c r="AU360" s="122">
        <v>34</v>
      </c>
      <c r="AV360" s="122">
        <v>8.92</v>
      </c>
      <c r="AW360" s="122" t="s">
        <v>5510</v>
      </c>
      <c r="AX360" s="122"/>
      <c r="AY360" s="122"/>
      <c r="AZ360" s="754" t="s">
        <v>1874</v>
      </c>
      <c r="BA360" s="122" t="s">
        <v>24</v>
      </c>
      <c r="BB360" s="122" t="s">
        <v>24</v>
      </c>
      <c r="BC360" s="122" t="s">
        <v>2423</v>
      </c>
      <c r="BD360" s="756" t="s">
        <v>7521</v>
      </c>
      <c r="BE360" s="187">
        <v>0</v>
      </c>
      <c r="BF360" s="122" t="s">
        <v>3835</v>
      </c>
      <c r="BG360" s="122" t="s">
        <v>5513</v>
      </c>
      <c r="BH360" s="588"/>
      <c r="BI360" s="588"/>
      <c r="BJ360" s="161"/>
      <c r="BK360" s="161"/>
      <c r="BL360" s="161"/>
      <c r="BM360" s="161"/>
      <c r="BN360" s="161"/>
      <c r="BO360" s="161" t="s">
        <v>4727</v>
      </c>
      <c r="BP360" s="161">
        <v>1</v>
      </c>
      <c r="BQ360" s="161"/>
      <c r="BR360" s="161"/>
      <c r="BS360" s="161"/>
      <c r="BT360" s="161" t="s">
        <v>4727</v>
      </c>
      <c r="BU360" s="161"/>
      <c r="BV360" s="161"/>
      <c r="BW360" s="596" t="s">
        <v>5540</v>
      </c>
      <c r="BX360" s="162" t="s">
        <v>6611</v>
      </c>
      <c r="BY360" s="797" t="s">
        <v>7616</v>
      </c>
      <c r="BZ360" s="789" t="s">
        <v>803</v>
      </c>
      <c r="CA360" s="769">
        <v>2</v>
      </c>
      <c r="CB360" s="765" t="s">
        <v>7556</v>
      </c>
      <c r="CC360" s="772" t="s">
        <v>7380</v>
      </c>
      <c r="CD360" s="150" t="s">
        <v>1876</v>
      </c>
      <c r="CE360" s="150" t="s">
        <v>5518</v>
      </c>
      <c r="CF360" s="400"/>
      <c r="CG360" s="150" t="s">
        <v>7341</v>
      </c>
      <c r="CH360" s="753" t="s">
        <v>7313</v>
      </c>
      <c r="CI360" s="150" t="s">
        <v>24</v>
      </c>
      <c r="CJ360" s="150"/>
      <c r="CK360" s="150" t="s">
        <v>8185</v>
      </c>
      <c r="CL360" s="150" t="s">
        <v>8201</v>
      </c>
      <c r="CM360" s="258" t="s">
        <v>5538</v>
      </c>
      <c r="CN360" s="257" t="s">
        <v>6632</v>
      </c>
      <c r="CO360" s="829">
        <v>67</v>
      </c>
      <c r="CP360" s="829">
        <v>1</v>
      </c>
      <c r="CQ360" s="829">
        <v>2</v>
      </c>
      <c r="CR360" s="829">
        <v>1</v>
      </c>
      <c r="CS360" s="829">
        <v>1</v>
      </c>
      <c r="CT360" s="968"/>
      <c r="CU360" s="1288" t="s">
        <v>8103</v>
      </c>
      <c r="CV360" s="1294">
        <v>35</v>
      </c>
      <c r="CW360" s="1294">
        <v>28</v>
      </c>
      <c r="CX360" s="151" t="s">
        <v>5525</v>
      </c>
      <c r="CY360" s="150">
        <v>-0.24</v>
      </c>
      <c r="CZ360" s="150">
        <v>0.89</v>
      </c>
      <c r="DA360" s="150" t="s">
        <v>24</v>
      </c>
      <c r="DB360" s="151" t="s">
        <v>5526</v>
      </c>
      <c r="DC360" s="150">
        <v>0.38</v>
      </c>
      <c r="DD360" s="150">
        <v>0.69</v>
      </c>
      <c r="DE360" s="150" t="s">
        <v>24</v>
      </c>
      <c r="DF360" s="440" t="s">
        <v>5534</v>
      </c>
      <c r="DG360" s="442" t="s">
        <v>5536</v>
      </c>
      <c r="DH360" s="526"/>
      <c r="DI360" s="122"/>
      <c r="DJ360" s="1164"/>
      <c r="DK360" s="122"/>
      <c r="DL360" s="1166"/>
      <c r="DM360" s="122"/>
      <c r="DN360" s="1164"/>
      <c r="DO360" s="122"/>
      <c r="DP360" s="290"/>
      <c r="DQ360" s="291"/>
      <c r="DR360" s="280"/>
      <c r="DS360" s="865"/>
      <c r="DT360" s="1166"/>
      <c r="DU360" s="122"/>
      <c r="DV360" s="1164"/>
      <c r="DW360" s="122"/>
      <c r="DX360" s="1166"/>
      <c r="DY360" s="122"/>
      <c r="DZ360" s="1164"/>
      <c r="EA360" s="122"/>
      <c r="EB360" s="311"/>
      <c r="EC360" s="313"/>
      <c r="ED360" s="119"/>
      <c r="EE360" s="649"/>
      <c r="EF360" s="1164"/>
      <c r="EG360" s="122"/>
      <c r="EH360" s="1164"/>
      <c r="EI360" s="122"/>
      <c r="EJ360" s="1164"/>
      <c r="EK360" s="122"/>
      <c r="EL360" s="311"/>
      <c r="EM360" s="313"/>
      <c r="EN360" s="1167"/>
      <c r="EO360" s="1165"/>
      <c r="EP360" s="1164"/>
      <c r="EQ360" s="1164"/>
      <c r="ER360" s="1164"/>
      <c r="ES360" s="1164"/>
      <c r="ET360" s="1166"/>
      <c r="EU360" s="1164"/>
      <c r="EV360" s="1164"/>
      <c r="EW360" s="1164"/>
      <c r="EX360" s="313"/>
      <c r="EY360" s="313"/>
      <c r="EZ360" s="1166"/>
      <c r="FA360" s="1164"/>
      <c r="FB360" s="1164"/>
      <c r="FC360" s="1164"/>
      <c r="FD360" s="1166"/>
      <c r="FE360" s="1164"/>
      <c r="FF360" s="1164"/>
      <c r="FG360" s="1164"/>
      <c r="FH360" s="313"/>
      <c r="FI360" s="313"/>
      <c r="FJ360" s="279"/>
    </row>
    <row r="361" spans="1:166" ht="15" hidden="1" customHeight="1">
      <c r="A361" s="79" t="s">
        <v>243</v>
      </c>
      <c r="B361" s="362">
        <v>178</v>
      </c>
      <c r="C361" s="362">
        <v>61</v>
      </c>
      <c r="D361" s="362"/>
      <c r="E361" s="604" t="s">
        <v>1997</v>
      </c>
      <c r="F361" s="124" t="s">
        <v>2227</v>
      </c>
      <c r="G361" s="125">
        <v>2004</v>
      </c>
      <c r="H361" s="79">
        <v>15027792</v>
      </c>
      <c r="I361" s="79">
        <v>1</v>
      </c>
      <c r="J361" s="126"/>
      <c r="K361" s="127"/>
      <c r="L361" s="79">
        <v>1</v>
      </c>
      <c r="M361" s="79"/>
      <c r="N361" s="79">
        <v>1</v>
      </c>
      <c r="O361" s="128">
        <v>1</v>
      </c>
      <c r="P361" s="79" t="s">
        <v>662</v>
      </c>
      <c r="Q361" s="79" t="s">
        <v>1172</v>
      </c>
      <c r="R361" s="79" t="s">
        <v>1174</v>
      </c>
      <c r="S361" s="79">
        <v>1</v>
      </c>
      <c r="T361" s="79"/>
      <c r="U361" s="79"/>
      <c r="V361" s="79"/>
      <c r="W361" s="79" t="s">
        <v>665</v>
      </c>
      <c r="X361" s="79" t="s">
        <v>663</v>
      </c>
      <c r="Y361" s="79"/>
      <c r="Z361" s="79" t="s">
        <v>664</v>
      </c>
      <c r="AA361" s="79"/>
      <c r="AB361" s="79"/>
      <c r="AC361" s="506"/>
      <c r="AD361" s="573">
        <v>1</v>
      </c>
      <c r="AE361" s="573">
        <v>2</v>
      </c>
      <c r="AF361" s="154">
        <v>1</v>
      </c>
      <c r="AG361" s="155" t="s">
        <v>3157</v>
      </c>
      <c r="AH361" s="704" t="s">
        <v>7519</v>
      </c>
      <c r="AI361" s="121">
        <v>2</v>
      </c>
      <c r="AJ361" s="484" t="s">
        <v>5189</v>
      </c>
      <c r="AK361" s="202" t="s">
        <v>5208</v>
      </c>
      <c r="AL361" s="192">
        <v>1</v>
      </c>
      <c r="AM361" s="203">
        <v>0</v>
      </c>
      <c r="AN361" s="121">
        <f>Table66[[#This Row],[Data_Subjects_n_ptsd]]+Table66[[#This Row],[Data_Subjects_n_control]]</f>
        <v>47</v>
      </c>
      <c r="AO361" s="121">
        <v>24</v>
      </c>
      <c r="AP361" s="121">
        <v>23</v>
      </c>
      <c r="AQ361" s="121" t="s">
        <v>803</v>
      </c>
      <c r="AR361" s="134" t="s">
        <v>803</v>
      </c>
      <c r="AS361" s="134">
        <v>51</v>
      </c>
      <c r="AT361" s="134">
        <v>2.5</v>
      </c>
      <c r="AU361" s="134">
        <v>52.4</v>
      </c>
      <c r="AV361" s="134">
        <v>3.1</v>
      </c>
      <c r="AW361" s="134" t="s">
        <v>5151</v>
      </c>
      <c r="AX361" s="121"/>
      <c r="AY361" s="121"/>
      <c r="AZ361" s="754" t="s">
        <v>1874</v>
      </c>
      <c r="BA361" s="121" t="s">
        <v>24</v>
      </c>
      <c r="BB361" s="121" t="s">
        <v>24</v>
      </c>
      <c r="BC361" s="121" t="s">
        <v>5150</v>
      </c>
      <c r="BD361" s="754" t="s">
        <v>7521</v>
      </c>
      <c r="BE361" s="187">
        <v>0</v>
      </c>
      <c r="BF361" s="121" t="s">
        <v>3835</v>
      </c>
      <c r="BG361" s="121" t="s">
        <v>5149</v>
      </c>
      <c r="BH361" s="594"/>
      <c r="BI361" s="594"/>
      <c r="BJ361" s="156"/>
      <c r="BK361" s="156"/>
      <c r="BL361" s="156" t="s">
        <v>5207</v>
      </c>
      <c r="BM361" s="156"/>
      <c r="BN361" s="156"/>
      <c r="BO361" s="156"/>
      <c r="BP361" s="156">
        <v>1</v>
      </c>
      <c r="BQ361" s="156"/>
      <c r="BR361" s="156"/>
      <c r="BS361" s="156"/>
      <c r="BT361" s="156"/>
      <c r="BU361" s="156"/>
      <c r="BV361" s="156"/>
      <c r="BW361" s="595" t="s">
        <v>5157</v>
      </c>
      <c r="BX361" s="157" t="s">
        <v>6611</v>
      </c>
      <c r="BY361" s="797" t="s">
        <v>7616</v>
      </c>
      <c r="BZ361" s="789" t="s">
        <v>7610</v>
      </c>
      <c r="CA361" s="769">
        <v>2</v>
      </c>
      <c r="CB361" s="765" t="s">
        <v>7556</v>
      </c>
      <c r="CC361" s="772" t="s">
        <v>7380</v>
      </c>
      <c r="CD361" s="134" t="s">
        <v>1876</v>
      </c>
      <c r="CE361" s="134">
        <v>2</v>
      </c>
      <c r="CF361" s="400"/>
      <c r="CG361" s="134" t="s">
        <v>5158</v>
      </c>
      <c r="CH361" s="753" t="s">
        <v>7313</v>
      </c>
      <c r="CI361" s="134" t="s">
        <v>24</v>
      </c>
      <c r="CJ361" s="134"/>
      <c r="CK361" s="134" t="s">
        <v>7967</v>
      </c>
      <c r="CL361" s="186" t="s">
        <v>8198</v>
      </c>
      <c r="CM361" s="259" t="s">
        <v>5203</v>
      </c>
      <c r="CN361" s="454">
        <v>0</v>
      </c>
      <c r="CO361" s="829">
        <v>55</v>
      </c>
      <c r="CP361" s="829">
        <v>1</v>
      </c>
      <c r="CQ361" s="829">
        <v>5</v>
      </c>
      <c r="CR361" s="829">
        <v>1</v>
      </c>
      <c r="CS361" s="829">
        <v>1</v>
      </c>
      <c r="CT361" s="967"/>
      <c r="CU361" s="1288" t="s">
        <v>8103</v>
      </c>
      <c r="CV361" s="1294">
        <v>22</v>
      </c>
      <c r="CW361" s="1294">
        <v>24</v>
      </c>
      <c r="CX361" s="138" t="s">
        <v>5152</v>
      </c>
      <c r="CY361" s="134">
        <v>6.6</v>
      </c>
      <c r="CZ361" s="134">
        <v>1.6</v>
      </c>
      <c r="DA361" s="134" t="s">
        <v>24</v>
      </c>
      <c r="DB361" s="138" t="s">
        <v>5175</v>
      </c>
      <c r="DC361" s="134">
        <v>7.2</v>
      </c>
      <c r="DD361" s="134">
        <v>1.9</v>
      </c>
      <c r="DE361" s="134" t="s">
        <v>24</v>
      </c>
      <c r="DF361" s="549" t="s">
        <v>3229</v>
      </c>
      <c r="DG361" s="551" t="s">
        <v>5190</v>
      </c>
      <c r="DH361" s="1169"/>
      <c r="DI361" s="1169"/>
      <c r="DJ361" s="1169"/>
      <c r="DK361" s="1169"/>
      <c r="DL361" s="1169"/>
      <c r="DM361" s="1169"/>
      <c r="DN361" s="1169"/>
      <c r="DO361" s="1169"/>
      <c r="DP361" s="288"/>
      <c r="DQ361" s="289"/>
      <c r="DR361" s="1168"/>
      <c r="DS361" s="865"/>
      <c r="DT361" s="1171"/>
      <c r="DU361" s="1169"/>
      <c r="DV361" s="1169"/>
      <c r="DW361" s="1169"/>
      <c r="DX361" s="1169"/>
      <c r="DY361" s="1169"/>
      <c r="DZ361" s="1169"/>
      <c r="EA361" s="1169"/>
      <c r="EB361" s="304"/>
      <c r="EC361" s="312"/>
      <c r="ED361" s="1169"/>
      <c r="EE361" s="1169"/>
      <c r="EF361" s="1169"/>
      <c r="EG361" s="1169"/>
      <c r="EH361" s="1169"/>
      <c r="EI361" s="1169"/>
      <c r="EJ361" s="1169"/>
      <c r="EK361" s="1169"/>
      <c r="EL361" s="304"/>
      <c r="EM361" s="312"/>
      <c r="EN361" s="309"/>
      <c r="EO361" s="1170"/>
      <c r="EP361" s="1169"/>
      <c r="EQ361" s="1169"/>
      <c r="ER361" s="1169"/>
      <c r="ES361" s="1169"/>
      <c r="ET361" s="1171"/>
      <c r="EU361" s="1169"/>
      <c r="EV361" s="1169"/>
      <c r="EW361" s="1169"/>
      <c r="EX361" s="312"/>
      <c r="EY361" s="312"/>
      <c r="EZ361" s="1171"/>
      <c r="FA361" s="1169"/>
      <c r="FB361" s="1169"/>
      <c r="FC361" s="1169"/>
      <c r="FD361" s="1171"/>
      <c r="FE361" s="1169"/>
      <c r="FF361" s="1169"/>
      <c r="FG361" s="1169"/>
      <c r="FH361" s="312"/>
      <c r="FI361" s="312"/>
      <c r="FJ361" s="277"/>
    </row>
    <row r="362" spans="1:166" ht="15" hidden="1" customHeight="1">
      <c r="A362" s="79" t="s">
        <v>280</v>
      </c>
      <c r="B362" s="617">
        <v>200</v>
      </c>
      <c r="C362" s="617">
        <v>70</v>
      </c>
      <c r="D362" s="617"/>
      <c r="E362" s="608" t="s">
        <v>2009</v>
      </c>
      <c r="F362" s="181" t="s">
        <v>2241</v>
      </c>
      <c r="G362" s="182">
        <v>2006</v>
      </c>
      <c r="H362" s="79">
        <v>17100516</v>
      </c>
      <c r="I362" s="79">
        <v>1</v>
      </c>
      <c r="J362" s="79"/>
      <c r="K362" s="79"/>
      <c r="L362" s="79">
        <v>1</v>
      </c>
      <c r="M362" s="79"/>
      <c r="N362" s="79">
        <v>1</v>
      </c>
      <c r="O362" s="128">
        <v>1</v>
      </c>
      <c r="P362" s="79" t="s">
        <v>735</v>
      </c>
      <c r="Q362" s="79" t="s">
        <v>1154</v>
      </c>
      <c r="R362" s="79" t="s">
        <v>736</v>
      </c>
      <c r="S362" s="79">
        <v>1</v>
      </c>
      <c r="T362" s="79"/>
      <c r="U362" s="79"/>
      <c r="V362" s="79"/>
      <c r="W362" s="79" t="s">
        <v>492</v>
      </c>
      <c r="X362" s="79" t="s">
        <v>24</v>
      </c>
      <c r="Y362" s="79" t="s">
        <v>24</v>
      </c>
      <c r="Z362" s="79" t="s">
        <v>737</v>
      </c>
      <c r="AA362" s="79"/>
      <c r="AB362" s="79"/>
      <c r="AC362" s="506"/>
      <c r="AD362" s="573">
        <v>1</v>
      </c>
      <c r="AE362" s="573">
        <v>2</v>
      </c>
      <c r="AF362" s="352">
        <v>1</v>
      </c>
      <c r="AG362" s="353"/>
      <c r="AH362" s="704"/>
      <c r="AI362" s="346">
        <v>2</v>
      </c>
      <c r="AJ362" s="487" t="s">
        <v>5426</v>
      </c>
      <c r="AK362" s="459" t="s">
        <v>5394</v>
      </c>
      <c r="AL362" s="348">
        <v>1</v>
      </c>
      <c r="AM362" s="349">
        <v>0</v>
      </c>
      <c r="AN362" s="346">
        <f>Table66[[#This Row],[Data_Subjects_n_ptsd]]+Table66[[#This Row],[Data_Subjects_n_control]]</f>
        <v>68</v>
      </c>
      <c r="AO362" s="346">
        <v>37</v>
      </c>
      <c r="AP362" s="346">
        <v>31</v>
      </c>
      <c r="AQ362" s="346" t="s">
        <v>5395</v>
      </c>
      <c r="AR362" s="346" t="s">
        <v>5395</v>
      </c>
      <c r="AS362" s="346">
        <v>47.89</v>
      </c>
      <c r="AT362" s="346">
        <v>9.4</v>
      </c>
      <c r="AU362" s="346">
        <v>46.42</v>
      </c>
      <c r="AV362" s="346">
        <v>9.6</v>
      </c>
      <c r="AW362" s="346" t="s">
        <v>5414</v>
      </c>
      <c r="AX362" s="346"/>
      <c r="AY362" s="346"/>
      <c r="AZ362" s="754" t="s">
        <v>1874</v>
      </c>
      <c r="BA362" s="346" t="s">
        <v>24</v>
      </c>
      <c r="BB362" s="346" t="s">
        <v>24</v>
      </c>
      <c r="BC362" s="346" t="s">
        <v>2423</v>
      </c>
      <c r="BD362" s="754" t="s">
        <v>7521</v>
      </c>
      <c r="BE362" s="187">
        <v>0</v>
      </c>
      <c r="BF362" s="346" t="s">
        <v>3835</v>
      </c>
      <c r="BG362" s="346" t="s">
        <v>5209</v>
      </c>
      <c r="BH362" s="598"/>
      <c r="BI362" s="598"/>
      <c r="BJ362" s="184"/>
      <c r="BK362" s="184"/>
      <c r="BL362" s="184" t="s">
        <v>4727</v>
      </c>
      <c r="BM362" s="184"/>
      <c r="BN362" s="184"/>
      <c r="BO362" s="184" t="s">
        <v>4727</v>
      </c>
      <c r="BP362" s="184">
        <v>1</v>
      </c>
      <c r="BQ362" s="184"/>
      <c r="BR362" s="184" t="s">
        <v>4727</v>
      </c>
      <c r="BS362" s="184"/>
      <c r="BT362" s="184" t="s">
        <v>4727</v>
      </c>
      <c r="BU362" s="184"/>
      <c r="BV362" s="184"/>
      <c r="BW362" s="600" t="s">
        <v>5398</v>
      </c>
      <c r="BX362" s="185" t="s">
        <v>6611</v>
      </c>
      <c r="BY362" s="797" t="s">
        <v>7616</v>
      </c>
      <c r="BZ362" s="789" t="s">
        <v>7610</v>
      </c>
      <c r="CA362" s="769">
        <v>2</v>
      </c>
      <c r="CB362" s="765" t="s">
        <v>7556</v>
      </c>
      <c r="CC362" s="772" t="s">
        <v>7380</v>
      </c>
      <c r="CD362" s="186" t="s">
        <v>1876</v>
      </c>
      <c r="CE362" s="186" t="s">
        <v>5396</v>
      </c>
      <c r="CF362" s="400"/>
      <c r="CG362" s="186" t="s">
        <v>8005</v>
      </c>
      <c r="CH362" s="753" t="s">
        <v>7313</v>
      </c>
      <c r="CI362" s="186" t="s">
        <v>24</v>
      </c>
      <c r="CJ362" s="186"/>
      <c r="CK362" s="186" t="s">
        <v>8190</v>
      </c>
      <c r="CL362" s="186" t="s">
        <v>8198</v>
      </c>
      <c r="CM362" s="261" t="s">
        <v>5430</v>
      </c>
      <c r="CN362" s="620" t="s">
        <v>6630</v>
      </c>
      <c r="CO362" s="830">
        <v>64</v>
      </c>
      <c r="CP362" s="830">
        <v>1</v>
      </c>
      <c r="CQ362" s="830">
        <v>2</v>
      </c>
      <c r="CR362" s="830">
        <v>1</v>
      </c>
      <c r="CS362" s="830">
        <v>1</v>
      </c>
      <c r="CT362" s="969"/>
      <c r="CU362" s="1288" t="s">
        <v>8103</v>
      </c>
      <c r="CV362" s="1294">
        <v>33</v>
      </c>
      <c r="CW362" s="1294">
        <v>26</v>
      </c>
      <c r="CX362" s="267" t="s">
        <v>5404</v>
      </c>
      <c r="CY362" s="186">
        <v>5.84</v>
      </c>
      <c r="CZ362" s="186">
        <v>1.89</v>
      </c>
      <c r="DA362" s="186" t="s">
        <v>24</v>
      </c>
      <c r="DB362" s="267" t="s">
        <v>5405</v>
      </c>
      <c r="DC362" s="186">
        <v>7.55</v>
      </c>
      <c r="DD362" s="186">
        <v>1.82</v>
      </c>
      <c r="DE362" s="186" t="s">
        <v>24</v>
      </c>
      <c r="DF362" s="549" t="s">
        <v>8004</v>
      </c>
      <c r="DG362" s="551" t="s">
        <v>5418</v>
      </c>
      <c r="DH362" s="1278"/>
      <c r="DI362" s="346"/>
      <c r="DJ362" s="1189"/>
      <c r="DK362" s="346"/>
      <c r="DL362" s="1278"/>
      <c r="DM362" s="346"/>
      <c r="DN362" s="1189"/>
      <c r="DO362" s="346"/>
      <c r="DP362" s="294"/>
      <c r="DQ362" s="295"/>
      <c r="DR362" s="1168"/>
      <c r="DS362" s="865"/>
      <c r="DT362" s="1192"/>
      <c r="DU362" s="346"/>
      <c r="DV362" s="1189"/>
      <c r="DW362" s="346"/>
      <c r="DX362" s="1192"/>
      <c r="DY362" s="346"/>
      <c r="DZ362" s="1189"/>
      <c r="EA362" s="346"/>
      <c r="EB362" s="1193"/>
      <c r="EC362" s="1190"/>
      <c r="ED362" s="1189"/>
      <c r="EE362" s="346"/>
      <c r="EF362" s="1189"/>
      <c r="EG362" s="346"/>
      <c r="EH362" s="1189"/>
      <c r="EI362" s="346"/>
      <c r="EJ362" s="1189"/>
      <c r="EK362" s="346"/>
      <c r="EL362" s="1193"/>
      <c r="EM362" s="1190"/>
      <c r="EN362" s="1168"/>
      <c r="EO362" s="1191"/>
      <c r="EP362" s="346"/>
      <c r="EQ362" s="346"/>
      <c r="ER362" s="346"/>
      <c r="ES362" s="346"/>
      <c r="ET362" s="346"/>
      <c r="EU362" s="346"/>
      <c r="EV362" s="346"/>
      <c r="EW362" s="346"/>
      <c r="EX362" s="315"/>
      <c r="EY362" s="315"/>
      <c r="EZ362" s="346"/>
      <c r="FA362" s="346"/>
      <c r="FB362" s="346"/>
      <c r="FC362" s="346"/>
      <c r="FD362" s="346"/>
      <c r="FE362" s="346"/>
      <c r="FF362" s="346"/>
      <c r="FG362" s="346"/>
      <c r="FH362" s="315"/>
      <c r="FI362" s="315"/>
      <c r="FJ362" s="281"/>
    </row>
    <row r="363" spans="1:166" ht="15" hidden="1" customHeight="1">
      <c r="A363" s="79" t="s">
        <v>361</v>
      </c>
      <c r="B363" s="362">
        <v>262</v>
      </c>
      <c r="C363" s="362">
        <v>95</v>
      </c>
      <c r="D363" s="362"/>
      <c r="E363" s="604" t="s">
        <v>2047</v>
      </c>
      <c r="F363" s="124" t="s">
        <v>2290</v>
      </c>
      <c r="G363" s="125">
        <v>1995</v>
      </c>
      <c r="H363" s="79">
        <v>7802106</v>
      </c>
      <c r="I363" s="79">
        <v>1</v>
      </c>
      <c r="J363" s="126"/>
      <c r="K363" s="127"/>
      <c r="L363" s="79">
        <v>1</v>
      </c>
      <c r="M363" s="79"/>
      <c r="N363" s="79">
        <v>1</v>
      </c>
      <c r="O363" s="128">
        <v>1</v>
      </c>
      <c r="P363" s="79" t="s">
        <v>931</v>
      </c>
      <c r="Q363" s="79" t="s">
        <v>1154</v>
      </c>
      <c r="R363" s="79" t="s">
        <v>819</v>
      </c>
      <c r="S363" s="79">
        <v>1</v>
      </c>
      <c r="T363" s="79"/>
      <c r="U363" s="79"/>
      <c r="V363" s="79"/>
      <c r="W363" s="79" t="s">
        <v>930</v>
      </c>
      <c r="X363" s="79"/>
      <c r="Y363" s="79"/>
      <c r="Z363" s="79"/>
      <c r="AA363" s="79"/>
      <c r="AB363" s="79"/>
      <c r="AC363" s="506"/>
      <c r="AD363" s="573">
        <v>1</v>
      </c>
      <c r="AE363" s="573">
        <v>2</v>
      </c>
      <c r="AF363" s="154">
        <v>1</v>
      </c>
      <c r="AG363" s="155"/>
      <c r="AH363" s="704"/>
      <c r="AI363" s="121">
        <v>2</v>
      </c>
      <c r="AJ363" s="484" t="s">
        <v>6152</v>
      </c>
      <c r="AK363" s="202"/>
      <c r="AL363" s="192"/>
      <c r="AM363" s="203">
        <v>0</v>
      </c>
      <c r="AN363" s="121">
        <f>Table66[[#This Row],[Data_Subjects_n_ptsd]]+Table66[[#This Row],[Data_Subjects_n_control]]</f>
        <v>32</v>
      </c>
      <c r="AO363" s="121">
        <v>20</v>
      </c>
      <c r="AP363" s="121">
        <v>12</v>
      </c>
      <c r="AQ363" s="121" t="s">
        <v>803</v>
      </c>
      <c r="AR363" s="121" t="s">
        <v>803</v>
      </c>
      <c r="AS363" s="121">
        <v>44.7</v>
      </c>
      <c r="AT363" s="121">
        <v>3.4</v>
      </c>
      <c r="AU363" s="121">
        <v>43.9</v>
      </c>
      <c r="AV363" s="121">
        <v>7.3</v>
      </c>
      <c r="AW363" s="121" t="s">
        <v>1874</v>
      </c>
      <c r="AX363" s="121"/>
      <c r="AY363" s="121"/>
      <c r="AZ363" s="754" t="s">
        <v>1874</v>
      </c>
      <c r="BA363" s="121" t="s">
        <v>24</v>
      </c>
      <c r="BB363" s="121" t="s">
        <v>24</v>
      </c>
      <c r="BC363" s="121" t="s">
        <v>7534</v>
      </c>
      <c r="BD363" s="754" t="s">
        <v>7522</v>
      </c>
      <c r="BE363" s="187">
        <v>0</v>
      </c>
      <c r="BF363" s="121" t="s">
        <v>3835</v>
      </c>
      <c r="BG363" s="121" t="s">
        <v>6123</v>
      </c>
      <c r="BH363" s="594"/>
      <c r="BI363" s="594"/>
      <c r="BJ363" s="156"/>
      <c r="BK363" s="156"/>
      <c r="BL363" s="156"/>
      <c r="BM363" s="156"/>
      <c r="BN363" s="156"/>
      <c r="BO363" s="156"/>
      <c r="BP363" s="156">
        <v>1</v>
      </c>
      <c r="BQ363" s="156"/>
      <c r="BR363" s="156"/>
      <c r="BS363" s="156"/>
      <c r="BT363" s="156" t="s">
        <v>4727</v>
      </c>
      <c r="BU363" s="156"/>
      <c r="BV363" s="156"/>
      <c r="BW363" s="595" t="s">
        <v>4208</v>
      </c>
      <c r="BX363" s="157" t="s">
        <v>6611</v>
      </c>
      <c r="BY363" s="797" t="s">
        <v>7616</v>
      </c>
      <c r="BZ363" s="789" t="s">
        <v>7610</v>
      </c>
      <c r="CA363" s="765">
        <v>2</v>
      </c>
      <c r="CB363" s="765" t="s">
        <v>7556</v>
      </c>
      <c r="CC363" s="772" t="s">
        <v>7380</v>
      </c>
      <c r="CD363" s="134" t="s">
        <v>1876</v>
      </c>
      <c r="CE363" s="134">
        <v>2</v>
      </c>
      <c r="CF363" s="400"/>
      <c r="CG363" s="134" t="s">
        <v>6124</v>
      </c>
      <c r="CH363" s="753" t="s">
        <v>7313</v>
      </c>
      <c r="CI363" s="134" t="s">
        <v>24</v>
      </c>
      <c r="CJ363" s="134"/>
      <c r="CK363" s="168" t="s">
        <v>8194</v>
      </c>
      <c r="CL363" s="168" t="s">
        <v>8198</v>
      </c>
      <c r="CM363" s="259" t="s">
        <v>6151</v>
      </c>
      <c r="CN363" s="454">
        <v>0</v>
      </c>
      <c r="CO363" s="828">
        <v>89</v>
      </c>
      <c r="CP363" s="828">
        <v>1</v>
      </c>
      <c r="CQ363" s="828">
        <v>1</v>
      </c>
      <c r="CR363" s="828">
        <v>1</v>
      </c>
      <c r="CS363" s="828">
        <v>1</v>
      </c>
      <c r="CT363" s="967"/>
      <c r="CU363" s="1291" t="s">
        <v>8102</v>
      </c>
      <c r="CV363" s="1295">
        <v>44</v>
      </c>
      <c r="CW363" s="1295">
        <v>38</v>
      </c>
      <c r="CX363" s="138" t="s">
        <v>6127</v>
      </c>
      <c r="CY363" s="134">
        <v>5.2</v>
      </c>
      <c r="CZ363" s="134">
        <v>1.8</v>
      </c>
      <c r="DA363" s="134" t="s">
        <v>24</v>
      </c>
      <c r="DB363" s="138" t="s">
        <v>6128</v>
      </c>
      <c r="DC363" s="134">
        <v>5.7</v>
      </c>
      <c r="DD363" s="134">
        <v>1.7</v>
      </c>
      <c r="DE363" s="134" t="s">
        <v>24</v>
      </c>
      <c r="DF363" s="294" t="s">
        <v>8084</v>
      </c>
      <c r="DG363" s="295" t="s">
        <v>6138</v>
      </c>
      <c r="DH363" s="1169"/>
      <c r="DI363" s="1169"/>
      <c r="DJ363" s="1169"/>
      <c r="DK363" s="1169"/>
      <c r="DL363" s="1169"/>
      <c r="DM363" s="1169"/>
      <c r="DN363" s="1169"/>
      <c r="DO363" s="1169"/>
      <c r="DP363" s="288"/>
      <c r="DQ363" s="289"/>
      <c r="DR363" s="1168"/>
      <c r="DS363" s="865"/>
      <c r="DT363" s="1171"/>
      <c r="DU363" s="1169"/>
      <c r="DV363" s="1169"/>
      <c r="DW363" s="1169"/>
      <c r="DX363" s="1169"/>
      <c r="DY363" s="1169"/>
      <c r="DZ363" s="1169"/>
      <c r="EA363" s="1169"/>
      <c r="EB363" s="304"/>
      <c r="EC363" s="312"/>
      <c r="ED363" s="1169"/>
      <c r="EE363" s="1169"/>
      <c r="EF363" s="1169"/>
      <c r="EG363" s="1169"/>
      <c r="EH363" s="1169"/>
      <c r="EI363" s="1169"/>
      <c r="EJ363" s="1169"/>
      <c r="EK363" s="1169"/>
      <c r="EL363" s="304"/>
      <c r="EM363" s="312"/>
      <c r="EN363" s="309"/>
      <c r="EO363" s="1170"/>
      <c r="EP363" s="1169"/>
      <c r="EQ363" s="1169"/>
      <c r="ER363" s="1169"/>
      <c r="ES363" s="1169"/>
      <c r="ET363" s="1169"/>
      <c r="EU363" s="1169"/>
      <c r="EV363" s="1169"/>
      <c r="EW363" s="1169"/>
      <c r="EX363" s="312"/>
      <c r="EY363" s="312"/>
      <c r="EZ363" s="1169"/>
      <c r="FA363" s="1169"/>
      <c r="FB363" s="1169"/>
      <c r="FC363" s="1169"/>
      <c r="FD363" s="1169"/>
      <c r="FE363" s="1169"/>
      <c r="FF363" s="1169"/>
      <c r="FG363" s="1169"/>
      <c r="FH363" s="312"/>
      <c r="FI363" s="312"/>
      <c r="FJ363" s="1170"/>
    </row>
    <row r="364" spans="1:166" ht="15" hidden="1" customHeight="1">
      <c r="A364" s="118" t="s">
        <v>143</v>
      </c>
      <c r="B364" s="616">
        <v>109</v>
      </c>
      <c r="C364" s="616">
        <v>22</v>
      </c>
      <c r="D364" s="616"/>
      <c r="E364" s="605" t="s">
        <v>1951</v>
      </c>
      <c r="F364" s="140" t="s">
        <v>2170</v>
      </c>
      <c r="G364" s="141">
        <v>2009</v>
      </c>
      <c r="H364" s="118">
        <v>18800372</v>
      </c>
      <c r="I364" s="118">
        <v>1</v>
      </c>
      <c r="J364" s="118"/>
      <c r="K364" s="118"/>
      <c r="L364" s="118">
        <v>1</v>
      </c>
      <c r="M364" s="118"/>
      <c r="N364" s="118">
        <v>1</v>
      </c>
      <c r="O364" s="142">
        <v>1</v>
      </c>
      <c r="P364" s="118" t="s">
        <v>450</v>
      </c>
      <c r="Q364" s="118" t="s">
        <v>1147</v>
      </c>
      <c r="R364" s="118" t="s">
        <v>25</v>
      </c>
      <c r="S364" s="118">
        <v>1</v>
      </c>
      <c r="T364" s="118"/>
      <c r="U364" s="118"/>
      <c r="V364" s="118"/>
      <c r="W364" s="118" t="s">
        <v>449</v>
      </c>
      <c r="X364" s="118"/>
      <c r="Y364" s="118"/>
      <c r="Z364" s="118"/>
      <c r="AA364" s="118"/>
      <c r="AB364" s="118"/>
      <c r="AC364" s="145"/>
      <c r="AD364" s="573">
        <v>1</v>
      </c>
      <c r="AE364" s="573">
        <v>2</v>
      </c>
      <c r="AF364" s="159">
        <v>1</v>
      </c>
      <c r="AG364" s="160"/>
      <c r="AH364" s="704"/>
      <c r="AI364" s="122">
        <v>2</v>
      </c>
      <c r="AJ364" s="485"/>
      <c r="AK364" s="204" t="s">
        <v>4207</v>
      </c>
      <c r="AL364" s="192">
        <v>1</v>
      </c>
      <c r="AM364" s="205">
        <v>0</v>
      </c>
      <c r="AN364" s="122">
        <f>Table66[[#This Row],[Data_Subjects_n_ptsd]]+Table66[[#This Row],[Data_Subjects_n_control]]</f>
        <v>47</v>
      </c>
      <c r="AO364" s="122">
        <v>22</v>
      </c>
      <c r="AP364" s="122">
        <v>25</v>
      </c>
      <c r="AQ364" s="122" t="s">
        <v>803</v>
      </c>
      <c r="AR364" s="122" t="s">
        <v>803</v>
      </c>
      <c r="AS364" s="150">
        <v>33.32</v>
      </c>
      <c r="AT364" s="150">
        <v>4.76</v>
      </c>
      <c r="AU364" s="150">
        <v>34.799999999999997</v>
      </c>
      <c r="AV364" s="150">
        <v>4.5999999999999996</v>
      </c>
      <c r="AW364" s="150" t="s">
        <v>4160</v>
      </c>
      <c r="AX364" s="122"/>
      <c r="AY364" s="122"/>
      <c r="AZ364" s="754" t="s">
        <v>1874</v>
      </c>
      <c r="BA364" s="122" t="s">
        <v>24</v>
      </c>
      <c r="BB364" s="122" t="s">
        <v>24</v>
      </c>
      <c r="BC364" s="122" t="s">
        <v>4161</v>
      </c>
      <c r="BD364" s="754" t="s">
        <v>7521</v>
      </c>
      <c r="BE364" s="187">
        <v>0</v>
      </c>
      <c r="BF364" s="122" t="s">
        <v>3835</v>
      </c>
      <c r="BG364" s="122" t="s">
        <v>4162</v>
      </c>
      <c r="BH364" s="588"/>
      <c r="BI364" s="588"/>
      <c r="BJ364" s="161"/>
      <c r="BK364" s="161"/>
      <c r="BL364" s="161"/>
      <c r="BM364" s="161"/>
      <c r="BN364" s="161"/>
      <c r="BO364" s="161"/>
      <c r="BP364" s="161">
        <v>1</v>
      </c>
      <c r="BQ364" s="161"/>
      <c r="BR364" s="161"/>
      <c r="BS364" s="161"/>
      <c r="BT364" s="161"/>
      <c r="BU364" s="161"/>
      <c r="BV364" s="161"/>
      <c r="BW364" s="596" t="s">
        <v>4208</v>
      </c>
      <c r="BX364" s="162" t="s">
        <v>6610</v>
      </c>
      <c r="BY364" s="797" t="s">
        <v>7616</v>
      </c>
      <c r="BZ364" s="790" t="s">
        <v>7610</v>
      </c>
      <c r="CA364" s="765">
        <v>2</v>
      </c>
      <c r="CB364" s="765" t="s">
        <v>7556</v>
      </c>
      <c r="CC364" s="772" t="s">
        <v>7380</v>
      </c>
      <c r="CD364" s="150" t="s">
        <v>1876</v>
      </c>
      <c r="CE364" s="150">
        <v>2</v>
      </c>
      <c r="CF364" s="400"/>
      <c r="CG364" s="150" t="s">
        <v>4179</v>
      </c>
      <c r="CH364" s="753" t="s">
        <v>7313</v>
      </c>
      <c r="CI364" s="150" t="s">
        <v>24</v>
      </c>
      <c r="CJ364" s="150">
        <v>1</v>
      </c>
      <c r="CK364" s="465" t="s">
        <v>7774</v>
      </c>
      <c r="CL364" s="150" t="s">
        <v>7826</v>
      </c>
      <c r="CM364" s="258" t="s">
        <v>4229</v>
      </c>
      <c r="CN364" s="257">
        <v>0</v>
      </c>
      <c r="CO364" s="829">
        <v>21</v>
      </c>
      <c r="CP364" s="829">
        <v>1</v>
      </c>
      <c r="CQ364" s="829">
        <v>1</v>
      </c>
      <c r="CR364" s="829">
        <v>1</v>
      </c>
      <c r="CS364" s="829">
        <v>1</v>
      </c>
      <c r="CT364" s="968"/>
      <c r="CU364" s="1288" t="s">
        <v>8103</v>
      </c>
      <c r="CV364" s="1294">
        <v>11</v>
      </c>
      <c r="CW364" s="1294">
        <v>10</v>
      </c>
      <c r="CX364" s="151" t="s">
        <v>4181</v>
      </c>
      <c r="CY364" s="150">
        <v>53.14</v>
      </c>
      <c r="CZ364" s="150">
        <v>11.35</v>
      </c>
      <c r="DA364" s="150" t="s">
        <v>24</v>
      </c>
      <c r="DB364" s="151" t="s">
        <v>4182</v>
      </c>
      <c r="DC364" s="150">
        <v>57.52</v>
      </c>
      <c r="DD364" s="150">
        <v>8</v>
      </c>
      <c r="DE364" s="150" t="s">
        <v>24</v>
      </c>
      <c r="DF364" s="549" t="s">
        <v>4213</v>
      </c>
      <c r="DG364" s="1737" t="s">
        <v>7727</v>
      </c>
      <c r="DH364" s="121"/>
      <c r="DI364" s="121"/>
      <c r="DJ364" s="1169"/>
      <c r="DK364" s="121"/>
      <c r="DL364" s="121"/>
      <c r="DM364" s="121"/>
      <c r="DN364" s="1169"/>
      <c r="DO364" s="121"/>
      <c r="DP364" s="288"/>
      <c r="DQ364" s="289"/>
      <c r="DR364" s="1168"/>
      <c r="DS364" s="865"/>
      <c r="DT364" s="1171"/>
      <c r="DU364" s="121"/>
      <c r="DV364" s="1169"/>
      <c r="DW364" s="121"/>
      <c r="DX364" s="1169"/>
      <c r="DY364" s="121"/>
      <c r="DZ364" s="1169"/>
      <c r="EA364" s="121"/>
      <c r="EB364" s="304"/>
      <c r="EC364" s="312"/>
      <c r="ED364" s="1169"/>
      <c r="EE364" s="121"/>
      <c r="EF364" s="1169"/>
      <c r="EG364" s="121"/>
      <c r="EH364" s="1169"/>
      <c r="EI364" s="121"/>
      <c r="EJ364" s="1169"/>
      <c r="EK364" s="121"/>
      <c r="EL364" s="304"/>
      <c r="EM364" s="312"/>
      <c r="EN364" s="1167" t="s">
        <v>24</v>
      </c>
      <c r="EO364" s="1165" t="s">
        <v>24</v>
      </c>
      <c r="EP364" s="121"/>
      <c r="EQ364" s="121"/>
      <c r="ER364" s="121"/>
      <c r="ES364" s="121"/>
      <c r="ET364" s="121"/>
      <c r="EU364" s="121"/>
      <c r="EV364" s="121"/>
      <c r="EW364" s="121"/>
      <c r="EX364" s="301"/>
      <c r="EY364" s="301"/>
      <c r="EZ364" s="121"/>
      <c r="FA364" s="121"/>
      <c r="FB364" s="121"/>
      <c r="FC364" s="121"/>
      <c r="FD364" s="121"/>
      <c r="FE364" s="121"/>
      <c r="FF364" s="121"/>
      <c r="FG364" s="121"/>
      <c r="FH364" s="301"/>
      <c r="FI364" s="301"/>
      <c r="FJ364" s="279" t="s">
        <v>24</v>
      </c>
    </row>
    <row r="365" spans="1:166" ht="15" hidden="1" customHeight="1">
      <c r="A365" s="79" t="s">
        <v>280</v>
      </c>
      <c r="B365" s="617">
        <v>200</v>
      </c>
      <c r="C365" s="617">
        <v>70</v>
      </c>
      <c r="D365" s="617"/>
      <c r="E365" s="608" t="s">
        <v>2009</v>
      </c>
      <c r="F365" s="181" t="s">
        <v>2241</v>
      </c>
      <c r="G365" s="182">
        <v>2006</v>
      </c>
      <c r="H365" s="79">
        <v>17100516</v>
      </c>
      <c r="I365" s="79">
        <v>1</v>
      </c>
      <c r="J365" s="79"/>
      <c r="K365" s="79"/>
      <c r="L365" s="79">
        <v>1</v>
      </c>
      <c r="M365" s="79"/>
      <c r="N365" s="79">
        <v>1</v>
      </c>
      <c r="O365" s="128">
        <v>1</v>
      </c>
      <c r="P365" s="79" t="s">
        <v>735</v>
      </c>
      <c r="Q365" s="79" t="s">
        <v>1154</v>
      </c>
      <c r="R365" s="79" t="s">
        <v>736</v>
      </c>
      <c r="S365" s="79">
        <v>1</v>
      </c>
      <c r="T365" s="79"/>
      <c r="U365" s="79"/>
      <c r="V365" s="79"/>
      <c r="W365" s="79" t="s">
        <v>492</v>
      </c>
      <c r="X365" s="79" t="s">
        <v>24</v>
      </c>
      <c r="Y365" s="79" t="s">
        <v>24</v>
      </c>
      <c r="Z365" s="79" t="s">
        <v>737</v>
      </c>
      <c r="AA365" s="79"/>
      <c r="AB365" s="79"/>
      <c r="AC365" s="506"/>
      <c r="AD365" s="573">
        <v>1</v>
      </c>
      <c r="AE365" s="573">
        <v>2</v>
      </c>
      <c r="AF365" s="352">
        <v>1</v>
      </c>
      <c r="AG365" s="353"/>
      <c r="AH365" s="704"/>
      <c r="AI365" s="346">
        <v>2</v>
      </c>
      <c r="AJ365" s="487" t="s">
        <v>5426</v>
      </c>
      <c r="AK365" s="459" t="s">
        <v>5394</v>
      </c>
      <c r="AL365" s="348">
        <v>1</v>
      </c>
      <c r="AM365" s="349">
        <v>0</v>
      </c>
      <c r="AN365" s="346">
        <f>Table66[[#This Row],[Data_Subjects_n_ptsd]]+Table66[[#This Row],[Data_Subjects_n_control]]</f>
        <v>68</v>
      </c>
      <c r="AO365" s="346">
        <v>37</v>
      </c>
      <c r="AP365" s="346">
        <v>31</v>
      </c>
      <c r="AQ365" s="346" t="s">
        <v>5395</v>
      </c>
      <c r="AR365" s="346" t="s">
        <v>5395</v>
      </c>
      <c r="AS365" s="346">
        <v>47.89</v>
      </c>
      <c r="AT365" s="346">
        <v>9.4</v>
      </c>
      <c r="AU365" s="346">
        <v>46.42</v>
      </c>
      <c r="AV365" s="346">
        <v>9.6</v>
      </c>
      <c r="AW365" s="346" t="s">
        <v>5414</v>
      </c>
      <c r="AX365" s="346"/>
      <c r="AY365" s="346"/>
      <c r="AZ365" s="754" t="s">
        <v>1874</v>
      </c>
      <c r="BA365" s="346" t="s">
        <v>24</v>
      </c>
      <c r="BB365" s="346" t="s">
        <v>24</v>
      </c>
      <c r="BC365" s="346" t="s">
        <v>2423</v>
      </c>
      <c r="BD365" s="754" t="s">
        <v>7521</v>
      </c>
      <c r="BE365" s="187">
        <v>0</v>
      </c>
      <c r="BF365" s="346" t="s">
        <v>3835</v>
      </c>
      <c r="BG365" s="346" t="s">
        <v>5209</v>
      </c>
      <c r="BH365" s="598"/>
      <c r="BI365" s="598"/>
      <c r="BJ365" s="184"/>
      <c r="BK365" s="184"/>
      <c r="BL365" s="184" t="s">
        <v>4727</v>
      </c>
      <c r="BM365" s="184"/>
      <c r="BN365" s="184"/>
      <c r="BO365" s="184" t="s">
        <v>4727</v>
      </c>
      <c r="BP365" s="184">
        <v>1</v>
      </c>
      <c r="BQ365" s="184"/>
      <c r="BR365" s="184" t="s">
        <v>4727</v>
      </c>
      <c r="BS365" s="184"/>
      <c r="BT365" s="184" t="s">
        <v>4727</v>
      </c>
      <c r="BU365" s="184"/>
      <c r="BV365" s="184"/>
      <c r="BW365" s="600" t="s">
        <v>5398</v>
      </c>
      <c r="BX365" s="185" t="s">
        <v>6611</v>
      </c>
      <c r="BY365" s="797" t="s">
        <v>7616</v>
      </c>
      <c r="BZ365" s="789" t="s">
        <v>7610</v>
      </c>
      <c r="CA365" s="769">
        <v>2</v>
      </c>
      <c r="CB365" s="765" t="s">
        <v>7556</v>
      </c>
      <c r="CC365" s="772" t="s">
        <v>7380</v>
      </c>
      <c r="CD365" s="186" t="s">
        <v>1876</v>
      </c>
      <c r="CE365" s="186" t="s">
        <v>5396</v>
      </c>
      <c r="CF365" s="400"/>
      <c r="CG365" s="186" t="s">
        <v>8005</v>
      </c>
      <c r="CH365" s="753" t="s">
        <v>7313</v>
      </c>
      <c r="CI365" s="186" t="s">
        <v>24</v>
      </c>
      <c r="CJ365" s="186"/>
      <c r="CK365" s="186" t="s">
        <v>8189</v>
      </c>
      <c r="CL365" s="150" t="s">
        <v>7826</v>
      </c>
      <c r="CM365" s="261" t="s">
        <v>5430</v>
      </c>
      <c r="CN365" s="620" t="s">
        <v>6630</v>
      </c>
      <c r="CO365" s="830">
        <v>64</v>
      </c>
      <c r="CP365" s="830">
        <v>1</v>
      </c>
      <c r="CQ365" s="830">
        <v>1</v>
      </c>
      <c r="CR365" s="830">
        <v>1</v>
      </c>
      <c r="CS365" s="830">
        <v>1</v>
      </c>
      <c r="CT365" s="969"/>
      <c r="CU365" s="1288" t="s">
        <v>8103</v>
      </c>
      <c r="CV365" s="1294">
        <v>33</v>
      </c>
      <c r="CW365" s="1294">
        <v>26</v>
      </c>
      <c r="CX365" s="267" t="s">
        <v>5402</v>
      </c>
      <c r="CY365" s="186">
        <v>46.49</v>
      </c>
      <c r="CZ365" s="186">
        <v>10.199999999999999</v>
      </c>
      <c r="DA365" s="186" t="s">
        <v>24</v>
      </c>
      <c r="DB365" s="267" t="s">
        <v>5403</v>
      </c>
      <c r="DC365" s="186">
        <v>52.26</v>
      </c>
      <c r="DD365" s="186">
        <v>9.36</v>
      </c>
      <c r="DE365" s="186" t="s">
        <v>24</v>
      </c>
      <c r="DF365" s="294" t="s">
        <v>8003</v>
      </c>
      <c r="DG365" s="295" t="s">
        <v>8002</v>
      </c>
      <c r="DH365" s="121"/>
      <c r="DI365" s="1169"/>
      <c r="DJ365" s="1169"/>
      <c r="DK365" s="1169"/>
      <c r="DL365" s="121"/>
      <c r="DM365" s="1169"/>
      <c r="DN365" s="1169"/>
      <c r="DO365" s="1169"/>
      <c r="DP365" s="288"/>
      <c r="DQ365" s="289"/>
      <c r="DR365" s="1168"/>
      <c r="DS365" s="865"/>
      <c r="DT365" s="1171"/>
      <c r="DU365" s="121"/>
      <c r="DV365" s="1169"/>
      <c r="DW365" s="121"/>
      <c r="DX365" s="1169"/>
      <c r="DY365" s="1169"/>
      <c r="DZ365" s="1169"/>
      <c r="EA365" s="1169"/>
      <c r="EB365" s="304"/>
      <c r="EC365" s="312"/>
      <c r="ED365" s="1169"/>
      <c r="EE365" s="1169"/>
      <c r="EF365" s="1169"/>
      <c r="EG365" s="1169"/>
      <c r="EH365" s="1169"/>
      <c r="EI365" s="1169"/>
      <c r="EJ365" s="1169"/>
      <c r="EK365" s="1169"/>
      <c r="EL365" s="304"/>
      <c r="EM365" s="312"/>
      <c r="EN365" s="1168" t="s">
        <v>24</v>
      </c>
      <c r="EO365" s="1191" t="s">
        <v>24</v>
      </c>
      <c r="EP365" s="1169"/>
      <c r="EQ365" s="1169"/>
      <c r="ER365" s="1169"/>
      <c r="ES365" s="1169"/>
      <c r="ET365" s="1169"/>
      <c r="EU365" s="1169"/>
      <c r="EV365" s="1169"/>
      <c r="EW365" s="1169"/>
      <c r="EX365" s="312"/>
      <c r="EY365" s="312"/>
      <c r="EZ365" s="1169"/>
      <c r="FA365" s="1169"/>
      <c r="FB365" s="1169"/>
      <c r="FC365" s="1169"/>
      <c r="FD365" s="1169"/>
      <c r="FE365" s="1169"/>
      <c r="FF365" s="1169"/>
      <c r="FG365" s="1169"/>
      <c r="FH365" s="312"/>
      <c r="FI365" s="312"/>
      <c r="FJ365" s="1170"/>
    </row>
    <row r="366" spans="1:166" ht="15" hidden="1" customHeight="1">
      <c r="A366" s="118" t="s">
        <v>291</v>
      </c>
      <c r="B366" s="616">
        <v>209</v>
      </c>
      <c r="C366" s="616">
        <v>74</v>
      </c>
      <c r="D366" s="616"/>
      <c r="E366" s="605" t="s">
        <v>2017</v>
      </c>
      <c r="F366" s="140" t="s">
        <v>2249</v>
      </c>
      <c r="G366" s="141">
        <v>2013</v>
      </c>
      <c r="H366" s="118">
        <v>23755991</v>
      </c>
      <c r="I366" s="118">
        <v>1</v>
      </c>
      <c r="J366" s="118"/>
      <c r="K366" s="118"/>
      <c r="L366" s="118">
        <v>1</v>
      </c>
      <c r="M366" s="118"/>
      <c r="N366" s="118">
        <v>1</v>
      </c>
      <c r="O366" s="142">
        <v>1</v>
      </c>
      <c r="P366" s="118" t="s">
        <v>1914</v>
      </c>
      <c r="Q366" s="118" t="s">
        <v>1160</v>
      </c>
      <c r="R366" s="118" t="s">
        <v>762</v>
      </c>
      <c r="S366" s="118">
        <v>1</v>
      </c>
      <c r="T366" s="118"/>
      <c r="U366" s="118"/>
      <c r="V366" s="118"/>
      <c r="W366" s="118" t="s">
        <v>763</v>
      </c>
      <c r="X366" s="118"/>
      <c r="Y366" s="118"/>
      <c r="Z366" s="118"/>
      <c r="AA366" s="118"/>
      <c r="AB366" s="118"/>
      <c r="AC366" s="145"/>
      <c r="AD366" s="573">
        <v>1</v>
      </c>
      <c r="AE366" s="573">
        <v>2</v>
      </c>
      <c r="AF366" s="159">
        <v>1</v>
      </c>
      <c r="AG366" s="160" t="s">
        <v>7288</v>
      </c>
      <c r="AH366" s="704">
        <v>0</v>
      </c>
      <c r="AI366" s="122">
        <v>2</v>
      </c>
      <c r="AJ366" s="485"/>
      <c r="AK366" s="204" t="s">
        <v>5512</v>
      </c>
      <c r="AL366" s="192">
        <v>1</v>
      </c>
      <c r="AM366" s="205">
        <v>0</v>
      </c>
      <c r="AN366" s="122">
        <f>Table66[[#This Row],[Data_Subjects_n_ptsd]]+Table66[[#This Row],[Data_Subjects_n_control]]</f>
        <v>40</v>
      </c>
      <c r="AO366" s="122">
        <v>19</v>
      </c>
      <c r="AP366" s="122">
        <v>21</v>
      </c>
      <c r="AQ366" s="122" t="s">
        <v>5515</v>
      </c>
      <c r="AR366" s="122" t="s">
        <v>5516</v>
      </c>
      <c r="AS366" s="122">
        <v>32.47</v>
      </c>
      <c r="AT366" s="122">
        <v>6.96</v>
      </c>
      <c r="AU366" s="122">
        <v>34</v>
      </c>
      <c r="AV366" s="122">
        <v>8.92</v>
      </c>
      <c r="AW366" s="122" t="s">
        <v>5510</v>
      </c>
      <c r="AX366" s="122"/>
      <c r="AY366" s="122"/>
      <c r="AZ366" s="754" t="s">
        <v>1874</v>
      </c>
      <c r="BA366" s="122" t="s">
        <v>24</v>
      </c>
      <c r="BB366" s="122" t="s">
        <v>24</v>
      </c>
      <c r="BC366" s="122" t="s">
        <v>2423</v>
      </c>
      <c r="BD366" s="756" t="s">
        <v>7521</v>
      </c>
      <c r="BE366" s="187">
        <v>0</v>
      </c>
      <c r="BF366" s="122" t="s">
        <v>3835</v>
      </c>
      <c r="BG366" s="122" t="s">
        <v>5513</v>
      </c>
      <c r="BH366" s="588"/>
      <c r="BI366" s="588"/>
      <c r="BJ366" s="161"/>
      <c r="BK366" s="161"/>
      <c r="BL366" s="161"/>
      <c r="BM366" s="161"/>
      <c r="BN366" s="161"/>
      <c r="BO366" s="161" t="s">
        <v>4727</v>
      </c>
      <c r="BP366" s="161">
        <v>1</v>
      </c>
      <c r="BQ366" s="161"/>
      <c r="BR366" s="161"/>
      <c r="BS366" s="161"/>
      <c r="BT366" s="161" t="s">
        <v>4727</v>
      </c>
      <c r="BU366" s="161"/>
      <c r="BV366" s="161"/>
      <c r="BW366" s="596" t="s">
        <v>5540</v>
      </c>
      <c r="BX366" s="162" t="s">
        <v>6611</v>
      </c>
      <c r="BY366" s="797" t="s">
        <v>7616</v>
      </c>
      <c r="BZ366" s="789" t="s">
        <v>7610</v>
      </c>
      <c r="CA366" s="769">
        <v>2</v>
      </c>
      <c r="CB366" s="765" t="s">
        <v>7556</v>
      </c>
      <c r="CC366" s="772" t="s">
        <v>7380</v>
      </c>
      <c r="CD366" s="150" t="s">
        <v>1876</v>
      </c>
      <c r="CE366" s="150" t="s">
        <v>5518</v>
      </c>
      <c r="CF366" s="400"/>
      <c r="CG366" s="150" t="s">
        <v>7341</v>
      </c>
      <c r="CH366" s="753" t="s">
        <v>7313</v>
      </c>
      <c r="CI366" s="150" t="s">
        <v>24</v>
      </c>
      <c r="CJ366" s="150"/>
      <c r="CK366" s="150" t="s">
        <v>8191</v>
      </c>
      <c r="CL366" s="150" t="s">
        <v>7826</v>
      </c>
      <c r="CM366" s="258" t="s">
        <v>5538</v>
      </c>
      <c r="CN366" s="257" t="s">
        <v>6632</v>
      </c>
      <c r="CO366" s="829">
        <v>67</v>
      </c>
      <c r="CP366" s="829">
        <v>1</v>
      </c>
      <c r="CQ366" s="829">
        <v>2</v>
      </c>
      <c r="CR366" s="829">
        <v>1</v>
      </c>
      <c r="CS366" s="829">
        <v>1</v>
      </c>
      <c r="CT366" s="968"/>
      <c r="CU366" s="1288" t="s">
        <v>8103</v>
      </c>
      <c r="CV366" s="1294">
        <v>35</v>
      </c>
      <c r="CW366" s="1294">
        <v>28</v>
      </c>
      <c r="CX366" s="151" t="s">
        <v>5523</v>
      </c>
      <c r="CY366" s="150">
        <v>46.26</v>
      </c>
      <c r="CZ366" s="150">
        <v>8.41</v>
      </c>
      <c r="DA366" s="150" t="s">
        <v>24</v>
      </c>
      <c r="DB366" s="151" t="s">
        <v>5524</v>
      </c>
      <c r="DC366" s="150">
        <v>55</v>
      </c>
      <c r="DD366" s="150">
        <v>7.73</v>
      </c>
      <c r="DE366" s="150" t="s">
        <v>24</v>
      </c>
      <c r="DF366" s="549" t="s">
        <v>5533</v>
      </c>
      <c r="DG366" s="551" t="s">
        <v>5531</v>
      </c>
      <c r="DH366" s="121"/>
      <c r="DI366" s="1169"/>
      <c r="DJ366" s="1169"/>
      <c r="DK366" s="1169"/>
      <c r="DL366" s="121"/>
      <c r="DM366" s="1169"/>
      <c r="DN366" s="1169"/>
      <c r="DO366" s="1169"/>
      <c r="DP366" s="288"/>
      <c r="DQ366" s="289"/>
      <c r="DR366" s="1168"/>
      <c r="DS366" s="865"/>
      <c r="DT366" s="1171"/>
      <c r="DU366" s="121"/>
      <c r="DV366" s="1169"/>
      <c r="DW366" s="121"/>
      <c r="DX366" s="1169"/>
      <c r="DY366" s="1169"/>
      <c r="DZ366" s="1169"/>
      <c r="EA366" s="1169"/>
      <c r="EB366" s="304"/>
      <c r="EC366" s="312"/>
      <c r="ED366" s="119"/>
      <c r="EE366" s="119"/>
      <c r="EF366" s="1164"/>
      <c r="EG366" s="1164"/>
      <c r="EH366" s="1164"/>
      <c r="EI366" s="1164"/>
      <c r="EJ366" s="1164"/>
      <c r="EK366" s="1164"/>
      <c r="EL366" s="311"/>
      <c r="EM366" s="313"/>
      <c r="EN366" s="1167"/>
      <c r="EO366" s="1165"/>
      <c r="EP366" s="1164"/>
      <c r="EQ366" s="1164"/>
      <c r="ER366" s="1164"/>
      <c r="ES366" s="1164"/>
      <c r="ET366" s="1166"/>
      <c r="EU366" s="1164"/>
      <c r="EV366" s="1164"/>
      <c r="EW366" s="1164"/>
      <c r="EX366" s="313"/>
      <c r="EY366" s="313"/>
      <c r="EZ366" s="1166"/>
      <c r="FA366" s="1164"/>
      <c r="FB366" s="1164"/>
      <c r="FC366" s="1164"/>
      <c r="FD366" s="1166"/>
      <c r="FE366" s="1164"/>
      <c r="FF366" s="1164"/>
      <c r="FG366" s="1164"/>
      <c r="FH366" s="313"/>
      <c r="FI366" s="313"/>
      <c r="FJ366" s="279"/>
    </row>
    <row r="367" spans="1:166" ht="15" hidden="1" customHeight="1">
      <c r="A367" s="79" t="s">
        <v>361</v>
      </c>
      <c r="B367" s="362">
        <v>262</v>
      </c>
      <c r="C367" s="362">
        <v>95</v>
      </c>
      <c r="D367" s="362"/>
      <c r="E367" s="604" t="s">
        <v>2047</v>
      </c>
      <c r="F367" s="124" t="s">
        <v>2290</v>
      </c>
      <c r="G367" s="125">
        <v>1995</v>
      </c>
      <c r="H367" s="79">
        <v>7802106</v>
      </c>
      <c r="I367" s="79">
        <v>1</v>
      </c>
      <c r="J367" s="126"/>
      <c r="K367" s="127"/>
      <c r="L367" s="79">
        <v>1</v>
      </c>
      <c r="M367" s="79"/>
      <c r="N367" s="79">
        <v>1</v>
      </c>
      <c r="O367" s="128">
        <v>1</v>
      </c>
      <c r="P367" s="79" t="s">
        <v>931</v>
      </c>
      <c r="Q367" s="79" t="s">
        <v>1154</v>
      </c>
      <c r="R367" s="79" t="s">
        <v>819</v>
      </c>
      <c r="S367" s="79">
        <v>1</v>
      </c>
      <c r="T367" s="79"/>
      <c r="U367" s="79"/>
      <c r="V367" s="79"/>
      <c r="W367" s="79" t="s">
        <v>930</v>
      </c>
      <c r="X367" s="79"/>
      <c r="Y367" s="79"/>
      <c r="Z367" s="79"/>
      <c r="AA367" s="79"/>
      <c r="AB367" s="79"/>
      <c r="AC367" s="506"/>
      <c r="AD367" s="573">
        <v>1</v>
      </c>
      <c r="AE367" s="573">
        <v>2</v>
      </c>
      <c r="AF367" s="154">
        <v>1</v>
      </c>
      <c r="AG367" s="155"/>
      <c r="AH367" s="704"/>
      <c r="AI367" s="121">
        <v>2</v>
      </c>
      <c r="AJ367" s="484" t="s">
        <v>6152</v>
      </c>
      <c r="AK367" s="202"/>
      <c r="AL367" s="192"/>
      <c r="AM367" s="203">
        <v>0</v>
      </c>
      <c r="AN367" s="121">
        <f>Table66[[#This Row],[Data_Subjects_n_ptsd]]+Table66[[#This Row],[Data_Subjects_n_control]]</f>
        <v>32</v>
      </c>
      <c r="AO367" s="121">
        <v>20</v>
      </c>
      <c r="AP367" s="121">
        <v>12</v>
      </c>
      <c r="AQ367" s="121" t="s">
        <v>803</v>
      </c>
      <c r="AR367" s="121" t="s">
        <v>803</v>
      </c>
      <c r="AS367" s="121">
        <v>44.7</v>
      </c>
      <c r="AT367" s="121">
        <v>3.4</v>
      </c>
      <c r="AU367" s="121">
        <v>43.9</v>
      </c>
      <c r="AV367" s="121">
        <v>7.3</v>
      </c>
      <c r="AW367" s="121" t="s">
        <v>1874</v>
      </c>
      <c r="AX367" s="121"/>
      <c r="AY367" s="121"/>
      <c r="AZ367" s="754" t="s">
        <v>1874</v>
      </c>
      <c r="BA367" s="121" t="s">
        <v>24</v>
      </c>
      <c r="BB367" s="121" t="s">
        <v>24</v>
      </c>
      <c r="BC367" s="121" t="s">
        <v>7534</v>
      </c>
      <c r="BD367" s="754" t="s">
        <v>7522</v>
      </c>
      <c r="BE367" s="187">
        <v>0</v>
      </c>
      <c r="BF367" s="121" t="s">
        <v>3835</v>
      </c>
      <c r="BG367" s="121" t="s">
        <v>6123</v>
      </c>
      <c r="BH367" s="594"/>
      <c r="BI367" s="594"/>
      <c r="BJ367" s="156"/>
      <c r="BK367" s="156"/>
      <c r="BL367" s="156"/>
      <c r="BM367" s="156"/>
      <c r="BN367" s="156"/>
      <c r="BO367" s="156"/>
      <c r="BP367" s="156">
        <v>1</v>
      </c>
      <c r="BQ367" s="156"/>
      <c r="BR367" s="156"/>
      <c r="BS367" s="156"/>
      <c r="BT367" s="156" t="s">
        <v>4727</v>
      </c>
      <c r="BU367" s="156"/>
      <c r="BV367" s="156"/>
      <c r="BW367" s="595" t="s">
        <v>4208</v>
      </c>
      <c r="BX367" s="157" t="s">
        <v>6611</v>
      </c>
      <c r="BY367" s="797" t="s">
        <v>7616</v>
      </c>
      <c r="BZ367" s="789" t="s">
        <v>7610</v>
      </c>
      <c r="CA367" s="765">
        <v>2</v>
      </c>
      <c r="CB367" s="765" t="s">
        <v>7556</v>
      </c>
      <c r="CC367" s="772" t="s">
        <v>7380</v>
      </c>
      <c r="CD367" s="134" t="s">
        <v>1876</v>
      </c>
      <c r="CE367" s="134">
        <v>2</v>
      </c>
      <c r="CF367" s="400"/>
      <c r="CG367" s="134" t="s">
        <v>6124</v>
      </c>
      <c r="CH367" s="753" t="s">
        <v>7313</v>
      </c>
      <c r="CI367" s="134" t="s">
        <v>24</v>
      </c>
      <c r="CJ367" s="134"/>
      <c r="CK367" s="168" t="s">
        <v>8196</v>
      </c>
      <c r="CL367" s="150" t="s">
        <v>7826</v>
      </c>
      <c r="CM367" s="259" t="s">
        <v>6151</v>
      </c>
      <c r="CN367" s="454">
        <v>0</v>
      </c>
      <c r="CO367" s="828">
        <v>89</v>
      </c>
      <c r="CP367" s="828">
        <v>1</v>
      </c>
      <c r="CQ367" s="828">
        <v>3</v>
      </c>
      <c r="CR367" s="828">
        <v>1</v>
      </c>
      <c r="CS367" s="828">
        <v>1</v>
      </c>
      <c r="CT367" s="967"/>
      <c r="CU367" s="1291" t="s">
        <v>8102</v>
      </c>
      <c r="CV367" s="1295">
        <v>44</v>
      </c>
      <c r="CW367" s="1295">
        <v>38</v>
      </c>
      <c r="CX367" s="138" t="s">
        <v>6130</v>
      </c>
      <c r="CY367" s="134">
        <v>3.9</v>
      </c>
      <c r="CZ367" s="134">
        <v>2.7</v>
      </c>
      <c r="DA367" s="134" t="s">
        <v>24</v>
      </c>
      <c r="DB367" s="138" t="s">
        <v>6131</v>
      </c>
      <c r="DC367" s="134">
        <v>4.5999999999999996</v>
      </c>
      <c r="DD367" s="134">
        <v>3.1</v>
      </c>
      <c r="DE367" s="134" t="s">
        <v>24</v>
      </c>
      <c r="DF367" s="434" t="s">
        <v>6132</v>
      </c>
      <c r="DG367" s="436" t="s">
        <v>6133</v>
      </c>
      <c r="DH367" s="1276"/>
      <c r="DI367" s="121"/>
      <c r="DJ367" s="1169"/>
      <c r="DK367" s="121"/>
      <c r="DL367" s="1171"/>
      <c r="DM367" s="121"/>
      <c r="DN367" s="1169"/>
      <c r="DO367" s="121"/>
      <c r="DP367" s="288"/>
      <c r="DQ367" s="289"/>
      <c r="DR367" s="1168"/>
      <c r="DS367" s="865"/>
      <c r="DT367" s="1171"/>
      <c r="DU367" s="121"/>
      <c r="DV367" s="1169"/>
      <c r="DW367" s="121"/>
      <c r="DX367" s="1171"/>
      <c r="DY367" s="121"/>
      <c r="DZ367" s="1169"/>
      <c r="EA367" s="121"/>
      <c r="EB367" s="304"/>
      <c r="EC367" s="312"/>
      <c r="ED367" s="1171"/>
      <c r="EE367" s="1169"/>
      <c r="EF367" s="1169"/>
      <c r="EG367" s="1169"/>
      <c r="EH367" s="1171"/>
      <c r="EI367" s="1169"/>
      <c r="EJ367" s="1169"/>
      <c r="EK367" s="1169"/>
      <c r="EL367" s="304"/>
      <c r="EM367" s="312"/>
      <c r="EN367" s="309"/>
      <c r="EO367" s="1170"/>
      <c r="EP367" s="1169"/>
      <c r="EQ367" s="1169"/>
      <c r="ER367" s="1169"/>
      <c r="ES367" s="1169"/>
      <c r="ET367" s="1169"/>
      <c r="EU367" s="1169"/>
      <c r="EV367" s="1169"/>
      <c r="EW367" s="1169"/>
      <c r="EX367" s="312"/>
      <c r="EY367" s="312"/>
      <c r="EZ367" s="1171"/>
      <c r="FA367" s="1169"/>
      <c r="FB367" s="1169"/>
      <c r="FC367" s="1169"/>
      <c r="FD367" s="1171"/>
      <c r="FE367" s="1169"/>
      <c r="FF367" s="1169"/>
      <c r="FG367" s="1169"/>
      <c r="FH367" s="312"/>
      <c r="FI367" s="312"/>
      <c r="FJ367" s="1170"/>
    </row>
    <row r="368" spans="1:166" ht="15" hidden="1" customHeight="1">
      <c r="A368" s="118" t="s">
        <v>121</v>
      </c>
      <c r="B368" s="616">
        <v>93</v>
      </c>
      <c r="C368" s="616">
        <v>17</v>
      </c>
      <c r="D368" s="616"/>
      <c r="E368" s="605" t="s">
        <v>1940</v>
      </c>
      <c r="F368" s="140" t="s">
        <v>2159</v>
      </c>
      <c r="G368" s="141">
        <v>2002</v>
      </c>
      <c r="H368" s="118">
        <v>12607144</v>
      </c>
      <c r="I368" s="118">
        <v>1</v>
      </c>
      <c r="J368" s="118"/>
      <c r="K368" s="118"/>
      <c r="L368" s="118">
        <v>1</v>
      </c>
      <c r="M368" s="118"/>
      <c r="N368" s="118">
        <v>1</v>
      </c>
      <c r="O368" s="142">
        <v>1</v>
      </c>
      <c r="P368" s="118" t="s">
        <v>408</v>
      </c>
      <c r="Q368" s="118"/>
      <c r="R368" s="118" t="s">
        <v>25</v>
      </c>
      <c r="S368" s="118">
        <v>1</v>
      </c>
      <c r="T368" s="118"/>
      <c r="U368" s="118"/>
      <c r="V368" s="118"/>
      <c r="W368" s="118"/>
      <c r="X368" s="118"/>
      <c r="Y368" s="118"/>
      <c r="Z368" s="118"/>
      <c r="AA368" s="118"/>
      <c r="AB368" s="118"/>
      <c r="AC368" s="145"/>
      <c r="AD368" s="573">
        <v>1</v>
      </c>
      <c r="AE368" s="573">
        <v>2</v>
      </c>
      <c r="AF368" s="159">
        <v>1</v>
      </c>
      <c r="AG368" s="160" t="s">
        <v>7760</v>
      </c>
      <c r="AH368" s="704"/>
      <c r="AI368" s="122">
        <v>2</v>
      </c>
      <c r="AJ368" s="485"/>
      <c r="AK368" s="204" t="s">
        <v>3991</v>
      </c>
      <c r="AL368" s="192">
        <v>1</v>
      </c>
      <c r="AM368" s="227">
        <v>0</v>
      </c>
      <c r="AN368" s="150">
        <f>80+80</f>
        <v>160</v>
      </c>
      <c r="AO368" s="150">
        <v>80</v>
      </c>
      <c r="AP368" s="150">
        <v>80</v>
      </c>
      <c r="AQ368" s="150" t="s">
        <v>803</v>
      </c>
      <c r="AR368" s="150" t="s">
        <v>803</v>
      </c>
      <c r="AS368" s="150">
        <v>37.96</v>
      </c>
      <c r="AT368" s="150">
        <v>2.39</v>
      </c>
      <c r="AU368" s="150">
        <v>37.950000000000003</v>
      </c>
      <c r="AV368" s="150">
        <v>2.56</v>
      </c>
      <c r="AW368" s="150" t="s">
        <v>3994</v>
      </c>
      <c r="AX368" s="150" t="s">
        <v>24</v>
      </c>
      <c r="AY368" s="150" t="s">
        <v>24</v>
      </c>
      <c r="AZ368" s="753" t="s">
        <v>1874</v>
      </c>
      <c r="BA368" s="150" t="s">
        <v>24</v>
      </c>
      <c r="BB368" s="150" t="s">
        <v>24</v>
      </c>
      <c r="BC368" s="150" t="s">
        <v>2423</v>
      </c>
      <c r="BD368" s="753" t="s">
        <v>7521</v>
      </c>
      <c r="BE368" s="187">
        <v>0</v>
      </c>
      <c r="BF368" s="150" t="s">
        <v>3835</v>
      </c>
      <c r="BG368" s="150" t="s">
        <v>3995</v>
      </c>
      <c r="BH368" s="588"/>
      <c r="BI368" s="588"/>
      <c r="BJ368" s="161"/>
      <c r="BK368" s="161"/>
      <c r="BL368" s="161"/>
      <c r="BM368" s="161"/>
      <c r="BN368" s="161"/>
      <c r="BO368" s="161"/>
      <c r="BP368" s="161">
        <v>1</v>
      </c>
      <c r="BQ368" s="161"/>
      <c r="BR368" s="161"/>
      <c r="BS368" s="161"/>
      <c r="BT368" s="161"/>
      <c r="BU368" s="161"/>
      <c r="BV368" s="161"/>
      <c r="BW368" s="596" t="s">
        <v>7756</v>
      </c>
      <c r="BX368" s="162" t="s">
        <v>6609</v>
      </c>
      <c r="BY368" s="797" t="s">
        <v>7616</v>
      </c>
      <c r="BZ368" s="789" t="s">
        <v>7610</v>
      </c>
      <c r="CA368" s="765">
        <v>2</v>
      </c>
      <c r="CB368" s="765" t="s">
        <v>7556</v>
      </c>
      <c r="CC368" s="772" t="s">
        <v>7380</v>
      </c>
      <c r="CD368" s="150" t="s">
        <v>1876</v>
      </c>
      <c r="CE368" s="150" t="s">
        <v>7751</v>
      </c>
      <c r="CF368" s="400"/>
      <c r="CG368" s="150" t="s">
        <v>4007</v>
      </c>
      <c r="CH368" s="753" t="s">
        <v>7313</v>
      </c>
      <c r="CI368" s="150" t="s">
        <v>24</v>
      </c>
      <c r="CJ368" s="150"/>
      <c r="CK368" s="151" t="s">
        <v>7755</v>
      </c>
      <c r="CL368" s="150" t="s">
        <v>7826</v>
      </c>
      <c r="CM368" s="258" t="s">
        <v>4062</v>
      </c>
      <c r="CN368" s="257">
        <v>0</v>
      </c>
      <c r="CO368" s="829">
        <v>16</v>
      </c>
      <c r="CP368" s="829">
        <v>1</v>
      </c>
      <c r="CQ368" s="829">
        <v>1</v>
      </c>
      <c r="CR368" s="829">
        <v>1</v>
      </c>
      <c r="CS368" s="829">
        <v>1</v>
      </c>
      <c r="CT368" s="968"/>
      <c r="CU368" s="1288" t="s">
        <v>8103</v>
      </c>
      <c r="CV368" s="1294">
        <v>10</v>
      </c>
      <c r="CW368" s="1294">
        <v>9</v>
      </c>
      <c r="CX368" s="151" t="s">
        <v>4038</v>
      </c>
      <c r="CY368" s="150">
        <v>44.18</v>
      </c>
      <c r="CZ368" s="639">
        <v>9.2799999999999994</v>
      </c>
      <c r="DA368" s="150" t="s">
        <v>24</v>
      </c>
      <c r="DB368" s="151" t="s">
        <v>4043</v>
      </c>
      <c r="DC368" s="150">
        <v>47.84</v>
      </c>
      <c r="DD368" s="150">
        <v>7.93</v>
      </c>
      <c r="DE368" s="150" t="s">
        <v>24</v>
      </c>
      <c r="DF368" s="549" t="s">
        <v>24</v>
      </c>
      <c r="DG368" s="551" t="s">
        <v>24</v>
      </c>
      <c r="DH368" s="526"/>
      <c r="DI368" s="122"/>
      <c r="DJ368" s="1164"/>
      <c r="DK368" s="122"/>
      <c r="DL368" s="1169"/>
      <c r="DM368" s="121"/>
      <c r="DN368" s="1169"/>
      <c r="DO368" s="121"/>
      <c r="DP368" s="290"/>
      <c r="DQ368" s="291"/>
      <c r="DR368" s="1168"/>
      <c r="DS368" s="865"/>
      <c r="DT368" s="1171"/>
      <c r="DU368" s="121"/>
      <c r="DV368" s="1169"/>
      <c r="DW368" s="121"/>
      <c r="DX368" s="1166"/>
      <c r="DY368" s="122"/>
      <c r="DZ368" s="1164"/>
      <c r="EA368" s="122"/>
      <c r="EB368" s="311"/>
      <c r="EC368" s="313"/>
      <c r="ED368" s="1169"/>
      <c r="EE368" s="121"/>
      <c r="EF368" s="1169"/>
      <c r="EG368" s="121"/>
      <c r="EH368" s="1169"/>
      <c r="EI368" s="121"/>
      <c r="EJ368" s="1169"/>
      <c r="EK368" s="121"/>
      <c r="EL368" s="311"/>
      <c r="EM368" s="313"/>
      <c r="EN368" s="1167"/>
      <c r="EO368" s="1165"/>
      <c r="EP368" s="1164"/>
      <c r="EQ368" s="1164"/>
      <c r="ER368" s="1164"/>
      <c r="ES368" s="1164"/>
      <c r="ET368" s="1169"/>
      <c r="EU368" s="1169"/>
      <c r="EV368" s="1169"/>
      <c r="EW368" s="1169"/>
      <c r="EX368" s="313"/>
      <c r="EY368" s="313"/>
      <c r="EZ368" s="1169"/>
      <c r="FA368" s="1169"/>
      <c r="FB368" s="1169"/>
      <c r="FC368" s="1169"/>
      <c r="FD368" s="1166"/>
      <c r="FE368" s="1164"/>
      <c r="FF368" s="1164"/>
      <c r="FG368" s="1164"/>
      <c r="FH368" s="313"/>
      <c r="FI368" s="313"/>
      <c r="FJ368" s="1165"/>
    </row>
    <row r="369" spans="1:166" ht="15" hidden="1" customHeight="1">
      <c r="A369" s="79" t="s">
        <v>243</v>
      </c>
      <c r="B369" s="362">
        <v>178</v>
      </c>
      <c r="C369" s="362">
        <v>61</v>
      </c>
      <c r="D369" s="362"/>
      <c r="E369" s="604" t="s">
        <v>1997</v>
      </c>
      <c r="F369" s="124" t="s">
        <v>2227</v>
      </c>
      <c r="G369" s="125">
        <v>2004</v>
      </c>
      <c r="H369" s="79">
        <v>15027792</v>
      </c>
      <c r="I369" s="79">
        <v>1</v>
      </c>
      <c r="J369" s="126"/>
      <c r="K369" s="127"/>
      <c r="L369" s="79">
        <v>1</v>
      </c>
      <c r="M369" s="79"/>
      <c r="N369" s="79">
        <v>1</v>
      </c>
      <c r="O369" s="128">
        <v>1</v>
      </c>
      <c r="P369" s="79" t="s">
        <v>662</v>
      </c>
      <c r="Q369" s="79" t="s">
        <v>1172</v>
      </c>
      <c r="R369" s="79" t="s">
        <v>1174</v>
      </c>
      <c r="S369" s="79">
        <v>1</v>
      </c>
      <c r="T369" s="79"/>
      <c r="U369" s="79"/>
      <c r="V369" s="79"/>
      <c r="W369" s="79" t="s">
        <v>665</v>
      </c>
      <c r="X369" s="79" t="s">
        <v>663</v>
      </c>
      <c r="Y369" s="79"/>
      <c r="Z369" s="79" t="s">
        <v>664</v>
      </c>
      <c r="AA369" s="79"/>
      <c r="AB369" s="79"/>
      <c r="AC369" s="506"/>
      <c r="AD369" s="573">
        <v>1</v>
      </c>
      <c r="AE369" s="573">
        <v>2</v>
      </c>
      <c r="AF369" s="154">
        <v>1</v>
      </c>
      <c r="AG369" s="155" t="s">
        <v>3157</v>
      </c>
      <c r="AH369" s="704" t="s">
        <v>7519</v>
      </c>
      <c r="AI369" s="121">
        <v>2</v>
      </c>
      <c r="AJ369" s="484" t="s">
        <v>5189</v>
      </c>
      <c r="AK369" s="202" t="s">
        <v>5208</v>
      </c>
      <c r="AL369" s="192">
        <v>1</v>
      </c>
      <c r="AM369" s="203">
        <v>0</v>
      </c>
      <c r="AN369" s="121">
        <f>Table66[[#This Row],[Data_Subjects_n_ptsd]]+Table66[[#This Row],[Data_Subjects_n_control]]</f>
        <v>47</v>
      </c>
      <c r="AO369" s="121">
        <v>24</v>
      </c>
      <c r="AP369" s="121">
        <v>23</v>
      </c>
      <c r="AQ369" s="121" t="s">
        <v>803</v>
      </c>
      <c r="AR369" s="134" t="s">
        <v>803</v>
      </c>
      <c r="AS369" s="134">
        <v>51</v>
      </c>
      <c r="AT369" s="134">
        <v>2.5</v>
      </c>
      <c r="AU369" s="134">
        <v>52.4</v>
      </c>
      <c r="AV369" s="134">
        <v>3.1</v>
      </c>
      <c r="AW369" s="134" t="s">
        <v>5151</v>
      </c>
      <c r="AX369" s="121"/>
      <c r="AY369" s="121"/>
      <c r="AZ369" s="754" t="s">
        <v>1874</v>
      </c>
      <c r="BA369" s="121" t="s">
        <v>24</v>
      </c>
      <c r="BB369" s="121" t="s">
        <v>24</v>
      </c>
      <c r="BC369" s="121" t="s">
        <v>5150</v>
      </c>
      <c r="BD369" s="754" t="s">
        <v>7521</v>
      </c>
      <c r="BE369" s="187">
        <v>0</v>
      </c>
      <c r="BF369" s="121" t="s">
        <v>3835</v>
      </c>
      <c r="BG369" s="121" t="s">
        <v>5149</v>
      </c>
      <c r="BH369" s="594"/>
      <c r="BI369" s="594"/>
      <c r="BJ369" s="156"/>
      <c r="BK369" s="156"/>
      <c r="BL369" s="156" t="s">
        <v>5207</v>
      </c>
      <c r="BM369" s="156"/>
      <c r="BN369" s="156"/>
      <c r="BO369" s="156"/>
      <c r="BP369" s="156">
        <v>1</v>
      </c>
      <c r="BQ369" s="156"/>
      <c r="BR369" s="156"/>
      <c r="BS369" s="156"/>
      <c r="BT369" s="156"/>
      <c r="BU369" s="156"/>
      <c r="BV369" s="156"/>
      <c r="BW369" s="595" t="s">
        <v>5157</v>
      </c>
      <c r="BX369" s="157" t="s">
        <v>6611</v>
      </c>
      <c r="BY369" s="797" t="s">
        <v>7616</v>
      </c>
      <c r="BZ369" s="789" t="s">
        <v>7610</v>
      </c>
      <c r="CA369" s="769">
        <v>2</v>
      </c>
      <c r="CB369" s="765" t="s">
        <v>7556</v>
      </c>
      <c r="CC369" s="772" t="s">
        <v>7380</v>
      </c>
      <c r="CD369" s="134" t="s">
        <v>1876</v>
      </c>
      <c r="CE369" s="134">
        <v>2</v>
      </c>
      <c r="CF369" s="400"/>
      <c r="CG369" s="134" t="s">
        <v>5158</v>
      </c>
      <c r="CH369" s="753" t="s">
        <v>7313</v>
      </c>
      <c r="CI369" s="134" t="s">
        <v>24</v>
      </c>
      <c r="CJ369" s="134"/>
      <c r="CK369" s="134" t="s">
        <v>8184</v>
      </c>
      <c r="CL369" s="150" t="s">
        <v>7826</v>
      </c>
      <c r="CM369" s="259" t="s">
        <v>5203</v>
      </c>
      <c r="CN369" s="454">
        <v>0</v>
      </c>
      <c r="CO369" s="829">
        <v>55</v>
      </c>
      <c r="CP369" s="829">
        <v>1</v>
      </c>
      <c r="CQ369" s="829">
        <v>7</v>
      </c>
      <c r="CR369" s="829">
        <v>1</v>
      </c>
      <c r="CS369" s="829">
        <v>1</v>
      </c>
      <c r="CT369" s="967"/>
      <c r="CU369" s="1288" t="s">
        <v>8103</v>
      </c>
      <c r="CV369" s="1294">
        <v>22</v>
      </c>
      <c r="CW369" s="1294">
        <v>24</v>
      </c>
      <c r="CX369" s="138" t="s">
        <v>5154</v>
      </c>
      <c r="CY369" s="134">
        <v>50.7</v>
      </c>
      <c r="CZ369" s="134">
        <v>9.1999999999999993</v>
      </c>
      <c r="DA369" s="134" t="s">
        <v>24</v>
      </c>
      <c r="DB369" s="138" t="s">
        <v>5170</v>
      </c>
      <c r="DC369" s="134">
        <v>51</v>
      </c>
      <c r="DD369" s="134">
        <v>9.5</v>
      </c>
      <c r="DE369" s="134" t="s">
        <v>24</v>
      </c>
      <c r="DF369" s="435" t="s">
        <v>3229</v>
      </c>
      <c r="DG369" s="552" t="s">
        <v>5193</v>
      </c>
      <c r="DH369" s="1276"/>
      <c r="DI369" s="121"/>
      <c r="DJ369" s="1169"/>
      <c r="DK369" s="121"/>
      <c r="DL369" s="1171"/>
      <c r="DM369" s="121"/>
      <c r="DN369" s="1169"/>
      <c r="DO369" s="121"/>
      <c r="DP369" s="288"/>
      <c r="DQ369" s="501"/>
      <c r="DR369" s="1168"/>
      <c r="DS369" s="865"/>
      <c r="DT369" s="1171"/>
      <c r="DU369" s="121"/>
      <c r="DV369" s="1169"/>
      <c r="DW369" s="121"/>
      <c r="DX369" s="1171"/>
      <c r="DY369" s="121"/>
      <c r="DZ369" s="1169"/>
      <c r="EA369" s="121"/>
      <c r="EB369" s="1226"/>
      <c r="EC369" s="1250"/>
      <c r="ED369" s="1169"/>
      <c r="EE369" s="1169"/>
      <c r="EF369" s="1169"/>
      <c r="EG369" s="1169"/>
      <c r="EH369" s="1169"/>
      <c r="EI369" s="1169"/>
      <c r="EJ369" s="1169"/>
      <c r="EK369" s="1169"/>
      <c r="EL369" s="1226"/>
      <c r="EM369" s="1250"/>
      <c r="EN369" s="309"/>
      <c r="EO369" s="1170"/>
      <c r="EP369" s="1169"/>
      <c r="EQ369" s="1169"/>
      <c r="ER369" s="1169"/>
      <c r="ES369" s="1169"/>
      <c r="ET369" s="1171"/>
      <c r="EU369" s="1169"/>
      <c r="EV369" s="1169"/>
      <c r="EW369" s="1169"/>
      <c r="EX369" s="312"/>
      <c r="EY369" s="312"/>
      <c r="EZ369" s="1171"/>
      <c r="FA369" s="1169"/>
      <c r="FB369" s="1169"/>
      <c r="FC369" s="1169"/>
      <c r="FD369" s="1171"/>
      <c r="FE369" s="1169"/>
      <c r="FF369" s="1169"/>
      <c r="FG369" s="1169"/>
      <c r="FH369" s="312"/>
      <c r="FI369" s="312"/>
      <c r="FJ369" s="1170"/>
    </row>
    <row r="370" spans="1:166" ht="15" hidden="1" customHeight="1">
      <c r="A370" s="79" t="s">
        <v>279</v>
      </c>
      <c r="B370" s="362">
        <v>199</v>
      </c>
      <c r="C370" s="362">
        <v>69</v>
      </c>
      <c r="D370" s="362"/>
      <c r="E370" s="604" t="s">
        <v>2009</v>
      </c>
      <c r="F370" s="124" t="s">
        <v>2240</v>
      </c>
      <c r="G370" s="125">
        <v>2009</v>
      </c>
      <c r="H370" s="79">
        <v>19703319</v>
      </c>
      <c r="I370" s="79">
        <v>1</v>
      </c>
      <c r="J370" s="126"/>
      <c r="K370" s="127"/>
      <c r="L370" s="79">
        <v>1</v>
      </c>
      <c r="M370" s="79"/>
      <c r="N370" s="79">
        <v>1</v>
      </c>
      <c r="O370" s="128">
        <v>1</v>
      </c>
      <c r="P370" s="79" t="s">
        <v>733</v>
      </c>
      <c r="Q370" s="79" t="s">
        <v>1147</v>
      </c>
      <c r="R370" s="79" t="s">
        <v>25</v>
      </c>
      <c r="S370" s="79">
        <v>1</v>
      </c>
      <c r="T370" s="79"/>
      <c r="U370" s="79"/>
      <c r="V370" s="79"/>
      <c r="W370" s="79" t="s">
        <v>732</v>
      </c>
      <c r="X370" s="79"/>
      <c r="Y370" s="79"/>
      <c r="Z370" s="79"/>
      <c r="AA370" s="79"/>
      <c r="AB370" s="79" t="s">
        <v>734</v>
      </c>
      <c r="AC370" s="506"/>
      <c r="AD370" s="573">
        <v>1</v>
      </c>
      <c r="AE370" s="573">
        <v>2</v>
      </c>
      <c r="AF370" s="154">
        <v>1</v>
      </c>
      <c r="AG370" s="155" t="s">
        <v>5335</v>
      </c>
      <c r="AH370" s="704"/>
      <c r="AI370" s="121">
        <v>2</v>
      </c>
      <c r="AJ370" s="484"/>
      <c r="AK370" s="202" t="s">
        <v>5393</v>
      </c>
      <c r="AL370" s="192">
        <v>1</v>
      </c>
      <c r="AM370" s="203">
        <v>0</v>
      </c>
      <c r="AN370" s="121">
        <v>47</v>
      </c>
      <c r="AO370" s="121">
        <v>25</v>
      </c>
      <c r="AP370" s="121">
        <v>22</v>
      </c>
      <c r="AQ370" s="121" t="s">
        <v>803</v>
      </c>
      <c r="AR370" s="121" t="s">
        <v>803</v>
      </c>
      <c r="AS370" s="121" t="s">
        <v>7996</v>
      </c>
      <c r="AT370" s="121">
        <v>5.5</v>
      </c>
      <c r="AU370" s="121" t="s">
        <v>7998</v>
      </c>
      <c r="AV370" s="121">
        <v>5.6</v>
      </c>
      <c r="AW370" s="121" t="s">
        <v>4249</v>
      </c>
      <c r="AX370" s="121"/>
      <c r="AY370" s="121"/>
      <c r="AZ370" s="754" t="s">
        <v>1874</v>
      </c>
      <c r="BA370" s="121" t="s">
        <v>24</v>
      </c>
      <c r="BB370" s="121" t="s">
        <v>24</v>
      </c>
      <c r="BC370" s="121" t="s">
        <v>2423</v>
      </c>
      <c r="BD370" s="754" t="s">
        <v>7521</v>
      </c>
      <c r="BE370" s="187">
        <v>0</v>
      </c>
      <c r="BF370" s="121" t="s">
        <v>3835</v>
      </c>
      <c r="BG370" s="121" t="s">
        <v>4521</v>
      </c>
      <c r="BH370" s="594"/>
      <c r="BI370" s="594"/>
      <c r="BJ370" s="156"/>
      <c r="BK370" s="156"/>
      <c r="BL370" s="156"/>
      <c r="BM370" s="156"/>
      <c r="BN370" s="156"/>
      <c r="BO370" s="156"/>
      <c r="BP370" s="156">
        <v>1</v>
      </c>
      <c r="BQ370" s="156"/>
      <c r="BR370" s="156" t="s">
        <v>4727</v>
      </c>
      <c r="BS370" s="156"/>
      <c r="BT370" s="156" t="s">
        <v>4727</v>
      </c>
      <c r="BU370" s="156"/>
      <c r="BV370" s="156"/>
      <c r="BW370" s="595" t="s">
        <v>5336</v>
      </c>
      <c r="BX370" s="157" t="s">
        <v>6609</v>
      </c>
      <c r="BY370" s="797" t="s">
        <v>7616</v>
      </c>
      <c r="BZ370" s="789" t="s">
        <v>7610</v>
      </c>
      <c r="CA370" s="769">
        <v>2</v>
      </c>
      <c r="CB370" s="765" t="s">
        <v>7556</v>
      </c>
      <c r="CC370" s="772" t="s">
        <v>7380</v>
      </c>
      <c r="CD370" s="134" t="s">
        <v>1876</v>
      </c>
      <c r="CE370" s="134">
        <v>2</v>
      </c>
      <c r="CF370" s="400"/>
      <c r="CG370" s="134" t="s">
        <v>4409</v>
      </c>
      <c r="CH370" s="753" t="s">
        <v>7313</v>
      </c>
      <c r="CI370" s="134" t="s">
        <v>24</v>
      </c>
      <c r="CJ370" s="134"/>
      <c r="CK370" s="134" t="s">
        <v>8001</v>
      </c>
      <c r="CL370" s="150" t="s">
        <v>7826</v>
      </c>
      <c r="CM370" s="259" t="s">
        <v>5392</v>
      </c>
      <c r="CN370" s="454">
        <v>0</v>
      </c>
      <c r="CO370" s="828">
        <v>63</v>
      </c>
      <c r="CP370" s="828">
        <v>1</v>
      </c>
      <c r="CQ370" s="828">
        <v>1</v>
      </c>
      <c r="CR370" s="828">
        <v>1</v>
      </c>
      <c r="CS370" s="828">
        <v>1</v>
      </c>
      <c r="CT370" s="967"/>
      <c r="CU370" s="1288" t="s">
        <v>8103</v>
      </c>
      <c r="CV370" s="1294">
        <v>32</v>
      </c>
      <c r="CW370" s="1294">
        <v>25</v>
      </c>
      <c r="CX370" s="138" t="s">
        <v>5340</v>
      </c>
      <c r="CY370" s="134">
        <v>50.08</v>
      </c>
      <c r="CZ370" s="134">
        <v>9.5</v>
      </c>
      <c r="DA370" s="134" t="s">
        <v>24</v>
      </c>
      <c r="DB370" s="138" t="s">
        <v>5341</v>
      </c>
      <c r="DC370" s="134">
        <v>51.86</v>
      </c>
      <c r="DD370" s="134">
        <v>9.6999999999999993</v>
      </c>
      <c r="DE370" s="134" t="s">
        <v>24</v>
      </c>
      <c r="DF370" s="294" t="s">
        <v>5348</v>
      </c>
      <c r="DG370" s="295" t="s">
        <v>5349</v>
      </c>
      <c r="DH370" s="121"/>
      <c r="DI370" s="121"/>
      <c r="DJ370" s="1169"/>
      <c r="DK370" s="121"/>
      <c r="DL370" s="1169"/>
      <c r="DM370" s="121"/>
      <c r="DN370" s="1169"/>
      <c r="DO370" s="121"/>
      <c r="DP370" s="288"/>
      <c r="DQ370" s="289"/>
      <c r="DR370" s="1168"/>
      <c r="DS370" s="865"/>
      <c r="DT370" s="1171"/>
      <c r="DU370" s="1169"/>
      <c r="DV370" s="1169"/>
      <c r="DW370" s="1169"/>
      <c r="DX370" s="1169"/>
      <c r="DY370" s="1169"/>
      <c r="DZ370" s="1169"/>
      <c r="EA370" s="1169"/>
      <c r="EB370" s="304"/>
      <c r="EC370" s="312"/>
      <c r="ED370" s="1169"/>
      <c r="EE370" s="1169"/>
      <c r="EF370" s="1169"/>
      <c r="EG370" s="1169"/>
      <c r="EH370" s="1169"/>
      <c r="EI370" s="1169"/>
      <c r="EJ370" s="1169"/>
      <c r="EK370" s="1169"/>
      <c r="EL370" s="304"/>
      <c r="EM370" s="312"/>
      <c r="EN370" s="309"/>
      <c r="EO370" s="1170"/>
      <c r="EP370" s="1169"/>
      <c r="EQ370" s="1169"/>
      <c r="ER370" s="1169"/>
      <c r="ES370" s="1169"/>
      <c r="ET370" s="1171"/>
      <c r="EU370" s="1169"/>
      <c r="EV370" s="1169"/>
      <c r="EW370" s="1169"/>
      <c r="EX370" s="312"/>
      <c r="EY370" s="312"/>
      <c r="EZ370" s="1169"/>
      <c r="FA370" s="1169"/>
      <c r="FB370" s="1169"/>
      <c r="FC370" s="1169"/>
      <c r="FD370" s="1171"/>
      <c r="FE370" s="1169"/>
      <c r="FF370" s="1169"/>
      <c r="FG370" s="1169"/>
      <c r="FH370" s="312"/>
      <c r="FI370" s="312"/>
      <c r="FJ370" s="1170"/>
    </row>
    <row r="371" spans="1:166" ht="15" hidden="1" customHeight="1">
      <c r="A371" s="876" t="s">
        <v>208</v>
      </c>
      <c r="B371" s="877">
        <v>154</v>
      </c>
      <c r="C371" s="877">
        <v>49</v>
      </c>
      <c r="D371" s="877"/>
      <c r="E371" s="878" t="s">
        <v>1979</v>
      </c>
      <c r="F371" s="879" t="s">
        <v>2203</v>
      </c>
      <c r="G371" s="880">
        <v>2013</v>
      </c>
      <c r="H371" s="876">
        <v>23445934</v>
      </c>
      <c r="I371" s="876">
        <v>1</v>
      </c>
      <c r="J371" s="876"/>
      <c r="K371" s="876"/>
      <c r="L371" s="876">
        <v>1</v>
      </c>
      <c r="M371" s="876"/>
      <c r="N371" s="876">
        <v>1</v>
      </c>
      <c r="O371" s="882">
        <v>1</v>
      </c>
      <c r="P371" s="876" t="s">
        <v>596</v>
      </c>
      <c r="Q371" s="876" t="s">
        <v>1168</v>
      </c>
      <c r="R371" s="876" t="s">
        <v>594</v>
      </c>
      <c r="S371" s="876">
        <v>0</v>
      </c>
      <c r="T371" s="876"/>
      <c r="U371" s="876"/>
      <c r="V371" s="876"/>
      <c r="W371" s="876" t="s">
        <v>597</v>
      </c>
      <c r="X371" s="876" t="s">
        <v>595</v>
      </c>
      <c r="Y371" s="876"/>
      <c r="Z371" s="876"/>
      <c r="AA371" s="876"/>
      <c r="AB371" s="876"/>
      <c r="AC371" s="883"/>
      <c r="AD371" s="884">
        <v>1</v>
      </c>
      <c r="AE371" s="884">
        <v>2</v>
      </c>
      <c r="AF371" s="885">
        <v>1</v>
      </c>
      <c r="AG371" s="155" t="s">
        <v>8164</v>
      </c>
      <c r="AH371" s="887"/>
      <c r="AI371" s="883">
        <v>0</v>
      </c>
      <c r="AJ371" s="888" t="s">
        <v>4927</v>
      </c>
      <c r="AK371" s="1018" t="s">
        <v>4926</v>
      </c>
      <c r="AL371" s="890">
        <v>1</v>
      </c>
      <c r="AM371" s="891">
        <v>0</v>
      </c>
      <c r="AN371" s="883">
        <f>Table66[[#This Row],[Data_Subjects_n_ptsd]]+Table66[[#This Row],[Data_Subjects_n_control]]</f>
        <v>56</v>
      </c>
      <c r="AO371" s="121">
        <v>34</v>
      </c>
      <c r="AP371" s="883">
        <f>22</f>
        <v>22</v>
      </c>
      <c r="AQ371" s="883" t="s">
        <v>4925</v>
      </c>
      <c r="AR371" s="883" t="s">
        <v>4925</v>
      </c>
      <c r="AS371" s="121">
        <v>58.3</v>
      </c>
      <c r="AT371" s="121">
        <v>6.3</v>
      </c>
      <c r="AU371" s="883">
        <v>49.3</v>
      </c>
      <c r="AV371" s="883">
        <v>6</v>
      </c>
      <c r="AW371" s="121" t="s">
        <v>7900</v>
      </c>
      <c r="AX371" s="121"/>
      <c r="AY371" s="121"/>
      <c r="AZ371" s="754" t="s">
        <v>7905</v>
      </c>
      <c r="BA371" s="883" t="s">
        <v>24</v>
      </c>
      <c r="BB371" s="883" t="s">
        <v>24</v>
      </c>
      <c r="BC371" s="883" t="s">
        <v>4924</v>
      </c>
      <c r="BD371" s="883" t="s">
        <v>7522</v>
      </c>
      <c r="BE371" s="1624">
        <v>0</v>
      </c>
      <c r="BF371" s="121" t="s">
        <v>7903</v>
      </c>
      <c r="BG371" s="883" t="s">
        <v>4928</v>
      </c>
      <c r="BH371" s="892"/>
      <c r="BI371" s="892"/>
      <c r="BJ371" s="893"/>
      <c r="BK371" s="893"/>
      <c r="BL371" s="893" t="s">
        <v>4929</v>
      </c>
      <c r="BM371" s="893" t="s">
        <v>5716</v>
      </c>
      <c r="BN371" s="893"/>
      <c r="BO371" s="893"/>
      <c r="BP371" s="893">
        <v>1</v>
      </c>
      <c r="BQ371" s="893"/>
      <c r="BR371" s="893"/>
      <c r="BS371" s="893"/>
      <c r="BT371" s="893"/>
      <c r="BU371" s="893"/>
      <c r="BV371" s="893"/>
      <c r="BW371" s="894" t="s">
        <v>4930</v>
      </c>
      <c r="BX371" s="895" t="s">
        <v>6619</v>
      </c>
      <c r="BY371" s="896" t="s">
        <v>7621</v>
      </c>
      <c r="BZ371" s="897" t="s">
        <v>803</v>
      </c>
      <c r="CA371" s="1017">
        <v>2</v>
      </c>
      <c r="CB371" s="898" t="s">
        <v>7556</v>
      </c>
      <c r="CC371" s="1121" t="s">
        <v>8243</v>
      </c>
      <c r="CD371" s="899" t="s">
        <v>1876</v>
      </c>
      <c r="CE371" s="899" t="s">
        <v>4931</v>
      </c>
      <c r="CF371" s="899"/>
      <c r="CG371" s="899" t="s">
        <v>6618</v>
      </c>
      <c r="CH371" s="899" t="s">
        <v>7311</v>
      </c>
      <c r="CI371" s="899" t="s">
        <v>24</v>
      </c>
      <c r="CJ371" s="899"/>
      <c r="CK371" s="899" t="s">
        <v>4935</v>
      </c>
      <c r="CL371" s="899" t="s">
        <v>8244</v>
      </c>
      <c r="CM371" s="900" t="s">
        <v>4946</v>
      </c>
      <c r="CN371" s="901" t="s">
        <v>24</v>
      </c>
      <c r="CO371" s="902">
        <v>43</v>
      </c>
      <c r="CP371" s="902">
        <v>1</v>
      </c>
      <c r="CQ371" s="902">
        <v>17</v>
      </c>
      <c r="CR371" s="902">
        <v>1</v>
      </c>
      <c r="CS371" s="902">
        <v>1</v>
      </c>
      <c r="CT371" s="971"/>
      <c r="CU371" s="1291" t="s">
        <v>8102</v>
      </c>
      <c r="CV371" s="1295">
        <v>1</v>
      </c>
      <c r="CW371" s="1295">
        <v>1</v>
      </c>
      <c r="CX371" s="903" t="s">
        <v>4936</v>
      </c>
      <c r="CY371" s="899">
        <v>8.1999999999999993</v>
      </c>
      <c r="CZ371" s="899">
        <v>4.3</v>
      </c>
      <c r="DA371" s="899" t="s">
        <v>24</v>
      </c>
      <c r="DB371" s="903" t="s">
        <v>4940</v>
      </c>
      <c r="DC371" s="899">
        <v>1.9</v>
      </c>
      <c r="DD371" s="960">
        <v>1.9</v>
      </c>
      <c r="DE371" s="899" t="s">
        <v>24</v>
      </c>
      <c r="DF371" s="1005" t="s">
        <v>4941</v>
      </c>
      <c r="DG371" s="1006" t="s">
        <v>2480</v>
      </c>
      <c r="DH371" s="1169"/>
      <c r="DI371" s="1169"/>
      <c r="DJ371" s="1169"/>
      <c r="DK371" s="1169"/>
      <c r="DL371" s="1169"/>
      <c r="DM371" s="1169"/>
      <c r="DN371" s="1169"/>
      <c r="DO371" s="1169"/>
      <c r="DP371" s="288"/>
      <c r="DQ371" s="289"/>
      <c r="DR371" s="1223" t="s">
        <v>24</v>
      </c>
      <c r="DS371" s="1224"/>
      <c r="DT371" s="1171"/>
      <c r="DU371" s="1169"/>
      <c r="DV371" s="1169"/>
      <c r="DW371" s="1169"/>
      <c r="DX371" s="1218"/>
      <c r="DY371" s="1218"/>
      <c r="DZ371" s="1218"/>
      <c r="EA371" s="1218"/>
      <c r="EB371" s="304"/>
      <c r="EC371" s="312"/>
      <c r="ED371" s="1218"/>
      <c r="EE371" s="1218"/>
      <c r="EF371" s="1218"/>
      <c r="EG371" s="1218"/>
      <c r="EH371" s="1218"/>
      <c r="EI371" s="1218"/>
      <c r="EJ371" s="1218"/>
      <c r="EK371" s="1218"/>
      <c r="EL371" s="1010"/>
      <c r="EM371" s="1011"/>
      <c r="EN371" s="1223"/>
      <c r="EO371" s="1219"/>
      <c r="EP371" s="1218"/>
      <c r="EQ371" s="1218"/>
      <c r="ER371" s="1218"/>
      <c r="ES371" s="1218"/>
      <c r="ET371" s="1218"/>
      <c r="EU371" s="1218"/>
      <c r="EV371" s="1218"/>
      <c r="EW371" s="1218"/>
      <c r="EX371" s="1011"/>
      <c r="EY371" s="1011"/>
      <c r="EZ371" s="1220"/>
      <c r="FA371" s="1218"/>
      <c r="FB371" s="1218"/>
      <c r="FC371" s="1218"/>
      <c r="FD371" s="1220"/>
      <c r="FE371" s="1218"/>
      <c r="FF371" s="1218"/>
      <c r="FG371" s="1218"/>
      <c r="FH371" s="1011"/>
      <c r="FI371" s="1011"/>
      <c r="FJ371" s="1219"/>
    </row>
    <row r="372" spans="1:166" s="1019" customFormat="1" ht="15" hidden="1" customHeight="1">
      <c r="A372" s="876" t="s">
        <v>208</v>
      </c>
      <c r="B372" s="877">
        <v>154</v>
      </c>
      <c r="C372" s="877">
        <v>49</v>
      </c>
      <c r="D372" s="877"/>
      <c r="E372" s="878" t="s">
        <v>1979</v>
      </c>
      <c r="F372" s="879" t="s">
        <v>2203</v>
      </c>
      <c r="G372" s="880">
        <v>2013</v>
      </c>
      <c r="H372" s="876">
        <v>23445934</v>
      </c>
      <c r="I372" s="876">
        <v>1</v>
      </c>
      <c r="J372" s="876"/>
      <c r="K372" s="876"/>
      <c r="L372" s="876">
        <v>1</v>
      </c>
      <c r="M372" s="876"/>
      <c r="N372" s="876">
        <v>1</v>
      </c>
      <c r="O372" s="882">
        <v>1</v>
      </c>
      <c r="P372" s="876" t="s">
        <v>596</v>
      </c>
      <c r="Q372" s="876" t="s">
        <v>1168</v>
      </c>
      <c r="R372" s="876" t="s">
        <v>594</v>
      </c>
      <c r="S372" s="876">
        <v>0</v>
      </c>
      <c r="T372" s="876"/>
      <c r="U372" s="876"/>
      <c r="V372" s="876"/>
      <c r="W372" s="876" t="s">
        <v>597</v>
      </c>
      <c r="X372" s="876" t="s">
        <v>595</v>
      </c>
      <c r="Y372" s="876"/>
      <c r="Z372" s="876"/>
      <c r="AA372" s="876"/>
      <c r="AB372" s="876"/>
      <c r="AC372" s="883"/>
      <c r="AD372" s="884">
        <v>1</v>
      </c>
      <c r="AE372" s="884">
        <v>2</v>
      </c>
      <c r="AF372" s="885">
        <v>1</v>
      </c>
      <c r="AG372" s="155" t="s">
        <v>8164</v>
      </c>
      <c r="AH372" s="887"/>
      <c r="AI372" s="883">
        <v>0</v>
      </c>
      <c r="AJ372" s="888" t="s">
        <v>4927</v>
      </c>
      <c r="AK372" s="1018" t="s">
        <v>4926</v>
      </c>
      <c r="AL372" s="890">
        <v>1</v>
      </c>
      <c r="AM372" s="891">
        <v>0</v>
      </c>
      <c r="AN372" s="883">
        <f>Table66[[#This Row],[Data_Subjects_n_ptsd]]+Table66[[#This Row],[Data_Subjects_n_control]]</f>
        <v>103</v>
      </c>
      <c r="AO372" s="121">
        <v>81</v>
      </c>
      <c r="AP372" s="883">
        <f>22</f>
        <v>22</v>
      </c>
      <c r="AQ372" s="883" t="s">
        <v>4925</v>
      </c>
      <c r="AR372" s="883" t="s">
        <v>4925</v>
      </c>
      <c r="AS372" s="121">
        <v>55.5</v>
      </c>
      <c r="AT372" s="121">
        <v>6.5</v>
      </c>
      <c r="AU372" s="883">
        <v>49.3</v>
      </c>
      <c r="AV372" s="883">
        <v>6</v>
      </c>
      <c r="AW372" s="121" t="s">
        <v>7901</v>
      </c>
      <c r="AX372" s="121"/>
      <c r="AY372" s="121"/>
      <c r="AZ372" s="754" t="s">
        <v>7905</v>
      </c>
      <c r="BA372" s="883" t="s">
        <v>24</v>
      </c>
      <c r="BB372" s="883" t="s">
        <v>24</v>
      </c>
      <c r="BC372" s="883" t="s">
        <v>4924</v>
      </c>
      <c r="BD372" s="883" t="s">
        <v>7522</v>
      </c>
      <c r="BE372" s="1624">
        <v>0</v>
      </c>
      <c r="BF372" s="121" t="s">
        <v>7903</v>
      </c>
      <c r="BG372" s="883" t="s">
        <v>4928</v>
      </c>
      <c r="BH372" s="892"/>
      <c r="BI372" s="892"/>
      <c r="BJ372" s="893"/>
      <c r="BK372" s="893"/>
      <c r="BL372" s="893" t="s">
        <v>4929</v>
      </c>
      <c r="BM372" s="893" t="s">
        <v>5716</v>
      </c>
      <c r="BN372" s="893"/>
      <c r="BO372" s="893"/>
      <c r="BP372" s="893">
        <v>1</v>
      </c>
      <c r="BQ372" s="893"/>
      <c r="BR372" s="893"/>
      <c r="BS372" s="893"/>
      <c r="BT372" s="893"/>
      <c r="BU372" s="893"/>
      <c r="BV372" s="893"/>
      <c r="BW372" s="894" t="s">
        <v>4930</v>
      </c>
      <c r="BX372" s="895" t="s">
        <v>6619</v>
      </c>
      <c r="BY372" s="896" t="s">
        <v>7621</v>
      </c>
      <c r="BZ372" s="897" t="s">
        <v>803</v>
      </c>
      <c r="CA372" s="1017">
        <v>2</v>
      </c>
      <c r="CB372" s="898" t="s">
        <v>7556</v>
      </c>
      <c r="CC372" s="1017" t="s">
        <v>8243</v>
      </c>
      <c r="CD372" s="899" t="s">
        <v>1876</v>
      </c>
      <c r="CE372" s="899" t="s">
        <v>4931</v>
      </c>
      <c r="CF372" s="899"/>
      <c r="CG372" s="899" t="s">
        <v>6618</v>
      </c>
      <c r="CH372" s="899" t="s">
        <v>7311</v>
      </c>
      <c r="CI372" s="899" t="s">
        <v>24</v>
      </c>
      <c r="CJ372" s="899"/>
      <c r="CK372" s="899" t="s">
        <v>4935</v>
      </c>
      <c r="CL372" s="899" t="s">
        <v>8244</v>
      </c>
      <c r="CM372" s="900" t="s">
        <v>4946</v>
      </c>
      <c r="CN372" s="901" t="s">
        <v>24</v>
      </c>
      <c r="CO372" s="902">
        <v>43</v>
      </c>
      <c r="CP372" s="902">
        <v>1</v>
      </c>
      <c r="CQ372" s="902">
        <v>18</v>
      </c>
      <c r="CR372" s="902">
        <v>1</v>
      </c>
      <c r="CS372" s="902">
        <v>1</v>
      </c>
      <c r="CT372" s="971"/>
      <c r="CU372" s="1291" t="s">
        <v>8102</v>
      </c>
      <c r="CV372" s="1295">
        <v>2</v>
      </c>
      <c r="CW372" s="1295">
        <v>1</v>
      </c>
      <c r="CX372" s="903" t="s">
        <v>4937</v>
      </c>
      <c r="CY372" s="899">
        <v>7.2</v>
      </c>
      <c r="CZ372" s="899">
        <v>3.2</v>
      </c>
      <c r="DA372" s="899" t="s">
        <v>24</v>
      </c>
      <c r="DB372" s="903" t="s">
        <v>4940</v>
      </c>
      <c r="DC372" s="899">
        <v>1.9</v>
      </c>
      <c r="DD372" s="960">
        <v>1.9</v>
      </c>
      <c r="DE372" s="899" t="s">
        <v>24</v>
      </c>
      <c r="DF372" s="904" t="s">
        <v>4942</v>
      </c>
      <c r="DG372" s="905" t="s">
        <v>4943</v>
      </c>
      <c r="DH372" s="1229"/>
      <c r="DI372" s="876"/>
      <c r="DJ372" s="1218"/>
      <c r="DK372" s="876"/>
      <c r="DL372" s="1220"/>
      <c r="DM372" s="876"/>
      <c r="DN372" s="1218"/>
      <c r="DO372" s="1161"/>
      <c r="DP372" s="904"/>
      <c r="DQ372" s="1009"/>
      <c r="DR372" s="1223"/>
      <c r="DS372" s="1224"/>
      <c r="DT372" s="1220"/>
      <c r="DU372" s="876"/>
      <c r="DV372" s="1218"/>
      <c r="DW372" s="876"/>
      <c r="DX372" s="1218"/>
      <c r="DY372" s="1218"/>
      <c r="DZ372" s="1218"/>
      <c r="EA372" s="1218"/>
      <c r="EB372" s="1010"/>
      <c r="EC372" s="1011"/>
      <c r="ED372" s="1218"/>
      <c r="EE372" s="1218"/>
      <c r="EF372" s="1218"/>
      <c r="EG372" s="1218"/>
      <c r="EH372" s="1218"/>
      <c r="EI372" s="1218"/>
      <c r="EJ372" s="1218"/>
      <c r="EK372" s="1218"/>
      <c r="EL372" s="1010"/>
      <c r="EM372" s="1011"/>
      <c r="EN372" s="1223"/>
      <c r="EO372" s="1219"/>
      <c r="EP372" s="1218"/>
      <c r="EQ372" s="1218"/>
      <c r="ER372" s="1218"/>
      <c r="ES372" s="1218"/>
      <c r="ET372" s="1218"/>
      <c r="EU372" s="1218"/>
      <c r="EV372" s="1218"/>
      <c r="EW372" s="1218"/>
      <c r="EX372" s="1011"/>
      <c r="EY372" s="1011"/>
      <c r="EZ372" s="1220"/>
      <c r="FA372" s="1218"/>
      <c r="FB372" s="1218"/>
      <c r="FC372" s="1218"/>
      <c r="FD372" s="1220"/>
      <c r="FE372" s="1218"/>
      <c r="FF372" s="1218"/>
      <c r="FG372" s="1218"/>
      <c r="FH372" s="1011"/>
      <c r="FI372" s="1011"/>
      <c r="FJ372" s="1219"/>
    </row>
    <row r="373" spans="1:166" s="1019" customFormat="1" ht="15" hidden="1" customHeight="1">
      <c r="A373" s="876" t="s">
        <v>208</v>
      </c>
      <c r="B373" s="877">
        <v>154</v>
      </c>
      <c r="C373" s="877">
        <v>49</v>
      </c>
      <c r="D373" s="877"/>
      <c r="E373" s="878" t="s">
        <v>1979</v>
      </c>
      <c r="F373" s="879" t="s">
        <v>2203</v>
      </c>
      <c r="G373" s="880">
        <v>2013</v>
      </c>
      <c r="H373" s="876">
        <v>23445934</v>
      </c>
      <c r="I373" s="876">
        <v>1</v>
      </c>
      <c r="J373" s="876"/>
      <c r="K373" s="876"/>
      <c r="L373" s="876">
        <v>1</v>
      </c>
      <c r="M373" s="876"/>
      <c r="N373" s="876">
        <v>1</v>
      </c>
      <c r="O373" s="882">
        <v>1</v>
      </c>
      <c r="P373" s="876" t="s">
        <v>596</v>
      </c>
      <c r="Q373" s="876" t="s">
        <v>1168</v>
      </c>
      <c r="R373" s="876" t="s">
        <v>594</v>
      </c>
      <c r="S373" s="876">
        <v>0</v>
      </c>
      <c r="T373" s="876"/>
      <c r="U373" s="876"/>
      <c r="V373" s="876"/>
      <c r="W373" s="876" t="s">
        <v>597</v>
      </c>
      <c r="X373" s="876" t="s">
        <v>595</v>
      </c>
      <c r="Y373" s="876"/>
      <c r="Z373" s="876"/>
      <c r="AA373" s="876"/>
      <c r="AB373" s="876"/>
      <c r="AC373" s="883"/>
      <c r="AD373" s="884">
        <v>1</v>
      </c>
      <c r="AE373" s="884">
        <v>2</v>
      </c>
      <c r="AF373" s="885">
        <v>1</v>
      </c>
      <c r="AG373" s="155" t="s">
        <v>8164</v>
      </c>
      <c r="AH373" s="887"/>
      <c r="AI373" s="883">
        <v>0</v>
      </c>
      <c r="AJ373" s="888" t="s">
        <v>4927</v>
      </c>
      <c r="AK373" s="1018" t="s">
        <v>4926</v>
      </c>
      <c r="AL373" s="890">
        <v>1</v>
      </c>
      <c r="AM373" s="891">
        <v>0</v>
      </c>
      <c r="AN373" s="883">
        <f>Table66[[#This Row],[Data_Subjects_n_ptsd]]+Table66[[#This Row],[Data_Subjects_n_control]]</f>
        <v>98</v>
      </c>
      <c r="AO373" s="121">
        <v>76</v>
      </c>
      <c r="AP373" s="883">
        <f>22</f>
        <v>22</v>
      </c>
      <c r="AQ373" s="883" t="s">
        <v>4925</v>
      </c>
      <c r="AR373" s="883" t="s">
        <v>4925</v>
      </c>
      <c r="AS373" s="121">
        <v>50.7</v>
      </c>
      <c r="AT373" s="121">
        <v>8</v>
      </c>
      <c r="AU373" s="883">
        <v>49.3</v>
      </c>
      <c r="AV373" s="883">
        <v>6</v>
      </c>
      <c r="AW373" s="121" t="s">
        <v>7902</v>
      </c>
      <c r="AX373" s="121"/>
      <c r="AY373" s="121"/>
      <c r="AZ373" s="754" t="s">
        <v>7905</v>
      </c>
      <c r="BA373" s="883" t="s">
        <v>24</v>
      </c>
      <c r="BB373" s="883" t="s">
        <v>24</v>
      </c>
      <c r="BC373" s="883" t="s">
        <v>4924</v>
      </c>
      <c r="BD373" s="883" t="s">
        <v>7522</v>
      </c>
      <c r="BE373" s="1624">
        <v>0</v>
      </c>
      <c r="BF373" s="121" t="s">
        <v>7904</v>
      </c>
      <c r="BG373" s="883" t="s">
        <v>4928</v>
      </c>
      <c r="BH373" s="892"/>
      <c r="BI373" s="892"/>
      <c r="BJ373" s="893"/>
      <c r="BK373" s="893"/>
      <c r="BL373" s="893" t="s">
        <v>4929</v>
      </c>
      <c r="BM373" s="893" t="s">
        <v>5716</v>
      </c>
      <c r="BN373" s="893"/>
      <c r="BO373" s="893"/>
      <c r="BP373" s="893">
        <v>1</v>
      </c>
      <c r="BQ373" s="893"/>
      <c r="BR373" s="893"/>
      <c r="BS373" s="893"/>
      <c r="BT373" s="893"/>
      <c r="BU373" s="893"/>
      <c r="BV373" s="893"/>
      <c r="BW373" s="894" t="s">
        <v>4930</v>
      </c>
      <c r="BX373" s="895" t="s">
        <v>6619</v>
      </c>
      <c r="BY373" s="896" t="s">
        <v>7621</v>
      </c>
      <c r="BZ373" s="897" t="s">
        <v>803</v>
      </c>
      <c r="CA373" s="1017">
        <v>2</v>
      </c>
      <c r="CB373" s="898" t="s">
        <v>7556</v>
      </c>
      <c r="CC373" s="1017" t="s">
        <v>8243</v>
      </c>
      <c r="CD373" s="899" t="s">
        <v>1876</v>
      </c>
      <c r="CE373" s="899" t="s">
        <v>4931</v>
      </c>
      <c r="CF373" s="899"/>
      <c r="CG373" s="899" t="s">
        <v>6618</v>
      </c>
      <c r="CH373" s="899" t="s">
        <v>7311</v>
      </c>
      <c r="CI373" s="899" t="s">
        <v>24</v>
      </c>
      <c r="CJ373" s="899"/>
      <c r="CK373" s="899" t="s">
        <v>4935</v>
      </c>
      <c r="CL373" s="899" t="s">
        <v>8244</v>
      </c>
      <c r="CM373" s="900" t="s">
        <v>4946</v>
      </c>
      <c r="CN373" s="901" t="s">
        <v>24</v>
      </c>
      <c r="CO373" s="902">
        <v>43</v>
      </c>
      <c r="CP373" s="902">
        <v>1</v>
      </c>
      <c r="CQ373" s="902">
        <v>19</v>
      </c>
      <c r="CR373" s="902">
        <v>1</v>
      </c>
      <c r="CS373" s="902">
        <v>1</v>
      </c>
      <c r="CT373" s="971"/>
      <c r="CU373" s="1291" t="s">
        <v>8102</v>
      </c>
      <c r="CV373" s="1295">
        <v>3</v>
      </c>
      <c r="CW373" s="1295">
        <v>1</v>
      </c>
      <c r="CX373" s="903" t="s">
        <v>4938</v>
      </c>
      <c r="CY373" s="899">
        <v>4.9000000000000004</v>
      </c>
      <c r="CZ373" s="899">
        <v>2.9</v>
      </c>
      <c r="DA373" s="899" t="s">
        <v>24</v>
      </c>
      <c r="DB373" s="903" t="s">
        <v>4940</v>
      </c>
      <c r="DC373" s="899">
        <v>1.9</v>
      </c>
      <c r="DD373" s="960">
        <v>1.9</v>
      </c>
      <c r="DE373" s="899" t="s">
        <v>24</v>
      </c>
      <c r="DF373" s="958" t="s">
        <v>4944</v>
      </c>
      <c r="DG373" s="959" t="s">
        <v>4945</v>
      </c>
      <c r="DH373" s="1220"/>
      <c r="DI373" s="1218"/>
      <c r="DJ373" s="1218"/>
      <c r="DK373" s="1218"/>
      <c r="DL373" s="1220"/>
      <c r="DM373" s="1218"/>
      <c r="DN373" s="1218"/>
      <c r="DO373" s="1218"/>
      <c r="DP373" s="904"/>
      <c r="DQ373" s="905"/>
      <c r="DR373" s="1223"/>
      <c r="DS373" s="1224"/>
      <c r="DT373" s="1220"/>
      <c r="DU373" s="1218"/>
      <c r="DV373" s="1218"/>
      <c r="DW373" s="1218"/>
      <c r="DX373" s="1218"/>
      <c r="DY373" s="1218"/>
      <c r="DZ373" s="1218"/>
      <c r="EA373" s="1218"/>
      <c r="EB373" s="1010"/>
      <c r="EC373" s="1011"/>
      <c r="ED373" s="1218"/>
      <c r="EE373" s="1218"/>
      <c r="EF373" s="1218"/>
      <c r="EG373" s="1218"/>
      <c r="EH373" s="1218"/>
      <c r="EI373" s="1218"/>
      <c r="EJ373" s="1218"/>
      <c r="EK373" s="1218"/>
      <c r="EL373" s="1010"/>
      <c r="EM373" s="1011"/>
      <c r="EN373" s="1223"/>
      <c r="EO373" s="1219"/>
      <c r="EP373" s="1218"/>
      <c r="EQ373" s="1218"/>
      <c r="ER373" s="1218"/>
      <c r="ES373" s="1218"/>
      <c r="ET373" s="1218"/>
      <c r="EU373" s="1218"/>
      <c r="EV373" s="1218"/>
      <c r="EW373" s="1218"/>
      <c r="EX373" s="1011"/>
      <c r="EY373" s="1011"/>
      <c r="EZ373" s="1220"/>
      <c r="FA373" s="1218"/>
      <c r="FB373" s="1218"/>
      <c r="FC373" s="1218"/>
      <c r="FD373" s="1220"/>
      <c r="FE373" s="1218"/>
      <c r="FF373" s="1218"/>
      <c r="FG373" s="1218"/>
      <c r="FH373" s="1011"/>
      <c r="FI373" s="1011"/>
      <c r="FJ373" s="1219"/>
    </row>
    <row r="374" spans="1:166" s="1019" customFormat="1" ht="1" hidden="1" customHeight="1">
      <c r="A374" s="876" t="s">
        <v>208</v>
      </c>
      <c r="B374" s="877">
        <v>154</v>
      </c>
      <c r="C374" s="877">
        <v>49</v>
      </c>
      <c r="D374" s="877"/>
      <c r="E374" s="878" t="s">
        <v>1979</v>
      </c>
      <c r="F374" s="879" t="s">
        <v>2203</v>
      </c>
      <c r="G374" s="880">
        <v>2013</v>
      </c>
      <c r="H374" s="876">
        <v>23445934</v>
      </c>
      <c r="I374" s="876">
        <v>1</v>
      </c>
      <c r="J374" s="876"/>
      <c r="K374" s="876"/>
      <c r="L374" s="876">
        <v>1</v>
      </c>
      <c r="M374" s="876"/>
      <c r="N374" s="876">
        <v>1</v>
      </c>
      <c r="O374" s="882">
        <v>1</v>
      </c>
      <c r="P374" s="876" t="s">
        <v>596</v>
      </c>
      <c r="Q374" s="876" t="s">
        <v>1168</v>
      </c>
      <c r="R374" s="876" t="s">
        <v>594</v>
      </c>
      <c r="S374" s="876">
        <v>0</v>
      </c>
      <c r="T374" s="876"/>
      <c r="U374" s="876"/>
      <c r="V374" s="876"/>
      <c r="W374" s="876" t="s">
        <v>597</v>
      </c>
      <c r="X374" s="876" t="s">
        <v>595</v>
      </c>
      <c r="Y374" s="876"/>
      <c r="Z374" s="876"/>
      <c r="AA374" s="876"/>
      <c r="AB374" s="876"/>
      <c r="AC374" s="883"/>
      <c r="AD374" s="884">
        <v>1</v>
      </c>
      <c r="AE374" s="884">
        <v>2</v>
      </c>
      <c r="AF374" s="885">
        <v>1</v>
      </c>
      <c r="AG374" s="155" t="s">
        <v>7899</v>
      </c>
      <c r="AH374" s="887"/>
      <c r="AI374" s="883">
        <v>0</v>
      </c>
      <c r="AJ374" s="888" t="s">
        <v>4927</v>
      </c>
      <c r="AK374" s="1018" t="s">
        <v>4926</v>
      </c>
      <c r="AL374" s="890">
        <v>1</v>
      </c>
      <c r="AM374" s="891">
        <v>0</v>
      </c>
      <c r="AN374" s="883">
        <f>Table66[[#This Row],[Data_Subjects_n_ptsd]]+Table66[[#This Row],[Data_Subjects_n_control]]</f>
        <v>50</v>
      </c>
      <c r="AO374" s="121">
        <v>28</v>
      </c>
      <c r="AP374" s="883">
        <f>22</f>
        <v>22</v>
      </c>
      <c r="AQ374" s="883" t="s">
        <v>4925</v>
      </c>
      <c r="AR374" s="883" t="s">
        <v>4925</v>
      </c>
      <c r="AS374" s="121">
        <v>50.7</v>
      </c>
      <c r="AT374" s="121">
        <v>6.3</v>
      </c>
      <c r="AU374" s="883">
        <v>49.3</v>
      </c>
      <c r="AV374" s="883">
        <v>6</v>
      </c>
      <c r="AW374" s="121" t="s">
        <v>7906</v>
      </c>
      <c r="AX374" s="121"/>
      <c r="AY374" s="121"/>
      <c r="AZ374" s="754" t="s">
        <v>1874</v>
      </c>
      <c r="BA374" s="883" t="s">
        <v>24</v>
      </c>
      <c r="BB374" s="883" t="s">
        <v>24</v>
      </c>
      <c r="BC374" s="883" t="s">
        <v>4924</v>
      </c>
      <c r="BD374" s="883" t="s">
        <v>7522</v>
      </c>
      <c r="BE374" s="1624">
        <v>0</v>
      </c>
      <c r="BF374" s="121" t="s">
        <v>376</v>
      </c>
      <c r="BG374" s="883" t="s">
        <v>4928</v>
      </c>
      <c r="BH374" s="892"/>
      <c r="BI374" s="892"/>
      <c r="BJ374" s="893"/>
      <c r="BK374" s="893"/>
      <c r="BL374" s="893" t="s">
        <v>4929</v>
      </c>
      <c r="BM374" s="893" t="s">
        <v>5716</v>
      </c>
      <c r="BN374" s="893"/>
      <c r="BO374" s="893"/>
      <c r="BP374" s="893">
        <v>1</v>
      </c>
      <c r="BQ374" s="893"/>
      <c r="BR374" s="893"/>
      <c r="BS374" s="893"/>
      <c r="BT374" s="893"/>
      <c r="BU374" s="893"/>
      <c r="BV374" s="893"/>
      <c r="BW374" s="894" t="s">
        <v>4930</v>
      </c>
      <c r="BX374" s="895" t="s">
        <v>6619</v>
      </c>
      <c r="BY374" s="896" t="s">
        <v>7621</v>
      </c>
      <c r="BZ374" s="897" t="s">
        <v>803</v>
      </c>
      <c r="CA374" s="1017">
        <v>2</v>
      </c>
      <c r="CB374" s="898" t="s">
        <v>7556</v>
      </c>
      <c r="CC374" s="1017" t="s">
        <v>24</v>
      </c>
      <c r="CD374" s="899" t="s">
        <v>1876</v>
      </c>
      <c r="CE374" s="899" t="s">
        <v>4931</v>
      </c>
      <c r="CF374" s="899"/>
      <c r="CG374" s="899" t="s">
        <v>6618</v>
      </c>
      <c r="CH374" s="899" t="s">
        <v>7311</v>
      </c>
      <c r="CI374" s="899" t="s">
        <v>24</v>
      </c>
      <c r="CJ374" s="899"/>
      <c r="CK374" s="899" t="s">
        <v>4935</v>
      </c>
      <c r="CL374" s="899"/>
      <c r="CM374" s="900" t="s">
        <v>4946</v>
      </c>
      <c r="CN374" s="901" t="s">
        <v>24</v>
      </c>
      <c r="CO374" s="902">
        <v>43</v>
      </c>
      <c r="CP374" s="902">
        <v>1</v>
      </c>
      <c r="CQ374" s="902">
        <v>20</v>
      </c>
      <c r="CR374" s="902">
        <v>1</v>
      </c>
      <c r="CS374" s="902">
        <v>1</v>
      </c>
      <c r="CT374" s="971"/>
      <c r="CU374" s="1291" t="s">
        <v>8102</v>
      </c>
      <c r="CV374" s="1295">
        <v>4</v>
      </c>
      <c r="CW374" s="1295">
        <v>1</v>
      </c>
      <c r="CX374" s="903" t="s">
        <v>4939</v>
      </c>
      <c r="CY374" s="899">
        <v>2.7</v>
      </c>
      <c r="CZ374" s="899">
        <v>2.2999999999999998</v>
      </c>
      <c r="DA374" s="899" t="s">
        <v>24</v>
      </c>
      <c r="DB374" s="903" t="s">
        <v>4940</v>
      </c>
      <c r="DC374" s="899">
        <v>1.9</v>
      </c>
      <c r="DD374" s="960">
        <v>1.9</v>
      </c>
      <c r="DE374" s="899" t="s">
        <v>24</v>
      </c>
      <c r="DF374" s="1005"/>
      <c r="DG374" s="1006"/>
      <c r="DH374" s="1220"/>
      <c r="DI374" s="1218"/>
      <c r="DJ374" s="1218"/>
      <c r="DK374" s="1218"/>
      <c r="DL374" s="1220"/>
      <c r="DM374" s="1218"/>
      <c r="DN374" s="1218"/>
      <c r="DO374" s="1218"/>
      <c r="DP374" s="904"/>
      <c r="DQ374" s="905"/>
      <c r="DR374" s="1223"/>
      <c r="DS374" s="1224"/>
      <c r="DT374" s="1220"/>
      <c r="DU374" s="1218"/>
      <c r="DV374" s="1218"/>
      <c r="DW374" s="1218"/>
      <c r="DX374" s="1218"/>
      <c r="DY374" s="1218"/>
      <c r="DZ374" s="1218"/>
      <c r="EA374" s="1218"/>
      <c r="EB374" s="1010"/>
      <c r="EC374" s="1011"/>
      <c r="ED374" s="1218"/>
      <c r="EE374" s="1218"/>
      <c r="EF374" s="1218"/>
      <c r="EG374" s="1218"/>
      <c r="EH374" s="1218"/>
      <c r="EI374" s="1218"/>
      <c r="EJ374" s="1218"/>
      <c r="EK374" s="1218"/>
      <c r="EL374" s="1010"/>
      <c r="EM374" s="1011"/>
      <c r="EN374" s="1223"/>
      <c r="EO374" s="1219"/>
      <c r="EP374" s="1218"/>
      <c r="EQ374" s="1218"/>
      <c r="ER374" s="1218"/>
      <c r="ES374" s="1218"/>
      <c r="ET374" s="1218"/>
      <c r="EU374" s="1218"/>
      <c r="EV374" s="1218"/>
      <c r="EW374" s="1218"/>
      <c r="EX374" s="1011"/>
      <c r="EY374" s="1011"/>
      <c r="EZ374" s="1220"/>
      <c r="FA374" s="1218"/>
      <c r="FB374" s="1218"/>
      <c r="FC374" s="1218"/>
      <c r="FD374" s="1220"/>
      <c r="FE374" s="1218"/>
      <c r="FF374" s="1218"/>
      <c r="FG374" s="1218"/>
      <c r="FH374" s="1011"/>
      <c r="FI374" s="1011"/>
      <c r="FJ374" s="1219"/>
    </row>
    <row r="375" spans="1:166" s="1341" customFormat="1" ht="15" hidden="1" customHeight="1">
      <c r="A375" s="1304" t="s">
        <v>1026</v>
      </c>
      <c r="B375" s="1324">
        <v>24</v>
      </c>
      <c r="C375" s="1324"/>
      <c r="D375" s="1324"/>
      <c r="E375" s="1325" t="s">
        <v>2088</v>
      </c>
      <c r="F375" s="1326" t="s">
        <v>2343</v>
      </c>
      <c r="G375" s="1327">
        <v>2012</v>
      </c>
      <c r="H375" s="1304">
        <v>22176467</v>
      </c>
      <c r="I375" s="1304">
        <v>1</v>
      </c>
      <c r="J375" s="1304" t="s">
        <v>1855</v>
      </c>
      <c r="K375" s="1304"/>
      <c r="L375" s="1304">
        <v>0</v>
      </c>
      <c r="M375" s="1304"/>
      <c r="N375" s="1304">
        <v>0</v>
      </c>
      <c r="O375" s="1304">
        <v>2</v>
      </c>
      <c r="P375" s="1304" t="s">
        <v>1404</v>
      </c>
      <c r="Q375" s="1304" t="s">
        <v>1212</v>
      </c>
      <c r="R375" s="1304" t="s">
        <v>1127</v>
      </c>
      <c r="S375" s="1304"/>
      <c r="T375" s="1304" t="s">
        <v>1488</v>
      </c>
      <c r="U375" s="1304" t="s">
        <v>803</v>
      </c>
      <c r="V375" s="1304"/>
      <c r="W375" s="1304" t="s">
        <v>1403</v>
      </c>
      <c r="X375" s="1304"/>
      <c r="Y375" s="1304"/>
      <c r="Z375" s="1304"/>
      <c r="AA375" s="1304"/>
      <c r="AB375" s="1304"/>
      <c r="AC375" s="1328"/>
      <c r="AD375" s="1328">
        <v>1</v>
      </c>
      <c r="AE375" s="1328">
        <v>2</v>
      </c>
      <c r="AF375" s="1329">
        <v>0</v>
      </c>
      <c r="AG375" s="1330" t="s">
        <v>8121</v>
      </c>
      <c r="AH375" s="1328" t="s">
        <v>7704</v>
      </c>
      <c r="AI375" s="1328">
        <v>4</v>
      </c>
      <c r="AJ375" s="1328"/>
      <c r="AK375" s="1331" t="s">
        <v>3050</v>
      </c>
      <c r="AL375" s="1326">
        <v>1</v>
      </c>
      <c r="AM375" s="1332">
        <v>0</v>
      </c>
      <c r="AN375" s="1328">
        <f>Table66[[#This Row],[Data_Subjects_n_ptsd]]+Table66[[#This Row],[Data_Subjects_n_control]]</f>
        <v>15</v>
      </c>
      <c r="AO375" s="1328">
        <v>7</v>
      </c>
      <c r="AP375" s="1328">
        <v>8</v>
      </c>
      <c r="AQ375" s="1328" t="s">
        <v>803</v>
      </c>
      <c r="AR375" s="1328" t="s">
        <v>803</v>
      </c>
      <c r="AS375" s="1328" t="s">
        <v>3031</v>
      </c>
      <c r="AT375" s="1328" t="s">
        <v>24</v>
      </c>
      <c r="AU375" s="1328" t="s">
        <v>3031</v>
      </c>
      <c r="AV375" s="1328" t="s">
        <v>24</v>
      </c>
      <c r="AW375" s="1328" t="s">
        <v>7697</v>
      </c>
      <c r="AX375" s="1328">
        <v>15</v>
      </c>
      <c r="AY375" s="1328">
        <v>1</v>
      </c>
      <c r="AZ375" s="1328" t="s">
        <v>1814</v>
      </c>
      <c r="BA375" s="1328">
        <v>1</v>
      </c>
      <c r="BB375" s="1328" t="s">
        <v>7690</v>
      </c>
      <c r="BC375" s="1328" t="s">
        <v>3032</v>
      </c>
      <c r="BD375" s="1328" t="s">
        <v>7523</v>
      </c>
      <c r="BE375" s="1328"/>
      <c r="BF375" s="1328" t="s">
        <v>2730</v>
      </c>
      <c r="BG375" s="1328" t="s">
        <v>2554</v>
      </c>
      <c r="BH375" s="1326"/>
      <c r="BI375" s="1326"/>
      <c r="BJ375" s="1333">
        <v>1</v>
      </c>
      <c r="BK375" s="1333"/>
      <c r="BL375" s="1333"/>
      <c r="BM375" s="1333"/>
      <c r="BN375" s="1333"/>
      <c r="BO375" s="1333"/>
      <c r="BP375" s="1333"/>
      <c r="BQ375" s="1333"/>
      <c r="BR375" s="1333"/>
      <c r="BS375" s="1333"/>
      <c r="BT375" s="1333"/>
      <c r="BU375" s="1333"/>
      <c r="BV375" s="1333"/>
      <c r="BW375" s="1333"/>
      <c r="BX375" s="1334"/>
      <c r="BY375" s="1334" t="s">
        <v>7615</v>
      </c>
      <c r="BZ375" s="1334" t="s">
        <v>7610</v>
      </c>
      <c r="CA375" s="1333">
        <v>4</v>
      </c>
      <c r="CB375" s="1333" t="s">
        <v>7556</v>
      </c>
      <c r="CC375" s="1333" t="s">
        <v>7384</v>
      </c>
      <c r="CD375" s="1328" t="s">
        <v>1876</v>
      </c>
      <c r="CE375" s="1328" t="s">
        <v>3041</v>
      </c>
      <c r="CF375" s="1328" t="s">
        <v>7700</v>
      </c>
      <c r="CG375" s="1328" t="s">
        <v>7691</v>
      </c>
      <c r="CH375" s="1328" t="s">
        <v>1488</v>
      </c>
      <c r="CI375" s="1328" t="s">
        <v>2471</v>
      </c>
      <c r="CJ375" s="1328"/>
      <c r="CK375" s="1328" t="s">
        <v>2659</v>
      </c>
      <c r="CL375" s="1328" t="s">
        <v>2659</v>
      </c>
      <c r="CM375" s="1335" t="s">
        <v>8118</v>
      </c>
      <c r="CN375" s="1336" t="s">
        <v>6627</v>
      </c>
      <c r="CO375" s="1336">
        <v>44</v>
      </c>
      <c r="CP375" s="1336">
        <v>1</v>
      </c>
      <c r="CQ375" s="1336"/>
      <c r="CR375" s="1336">
        <v>1</v>
      </c>
      <c r="CS375" s="1336"/>
      <c r="CT375" s="1336"/>
      <c r="CU375" s="621" t="s">
        <v>8104</v>
      </c>
      <c r="CV375" s="515">
        <v>96</v>
      </c>
      <c r="CW375" s="515">
        <v>88</v>
      </c>
      <c r="CX375" s="1334" t="s">
        <v>3058</v>
      </c>
      <c r="CY375" s="1328">
        <v>11.914</v>
      </c>
      <c r="CZ375" s="1328" t="s">
        <v>24</v>
      </c>
      <c r="DA375" s="1328">
        <f>15.7476-Table66[[#This Row],[Data_Outcome1_M]]</f>
        <v>3.8336000000000006</v>
      </c>
      <c r="DB375" s="1334" t="s">
        <v>3057</v>
      </c>
      <c r="DC375" s="1328">
        <v>0.51838200000000001</v>
      </c>
      <c r="DD375" s="1337" t="s">
        <v>24</v>
      </c>
      <c r="DE375" s="1328">
        <f>1.01811-Table66[[#This Row],[Data_Outcome2_M]]</f>
        <v>0.49972800000000006</v>
      </c>
      <c r="DF375" s="1335" t="s">
        <v>3059</v>
      </c>
      <c r="DG375" s="1326" t="s">
        <v>3060</v>
      </c>
      <c r="DH375" s="1338"/>
      <c r="DI375" s="635"/>
      <c r="DJ375" s="1194"/>
      <c r="DK375" s="635"/>
      <c r="DL375" s="1194"/>
      <c r="DM375" s="635"/>
      <c r="DN375" s="1194"/>
      <c r="DO375" s="1122"/>
      <c r="DP375" s="515"/>
      <c r="DQ375" s="1141"/>
      <c r="DR375" s="1339"/>
      <c r="DS375" s="1340"/>
      <c r="DT375" s="956"/>
      <c r="DU375" s="635"/>
      <c r="DV375" s="1194"/>
      <c r="DW375" s="635"/>
      <c r="DX375" s="1194"/>
      <c r="DY375" s="635"/>
      <c r="DZ375" s="1194"/>
      <c r="EA375" s="635"/>
      <c r="EB375" s="1182"/>
      <c r="EC375" s="1194"/>
      <c r="ED375" s="1337"/>
      <c r="EE375" s="1328"/>
      <c r="EF375" s="1337"/>
      <c r="EG375" s="1328"/>
      <c r="EH375" s="1337"/>
      <c r="EI375" s="1328"/>
      <c r="EJ375" s="1337"/>
      <c r="EK375" s="1328"/>
      <c r="EL375" s="1339"/>
      <c r="EM375" s="1337"/>
      <c r="EN375" s="1339"/>
      <c r="EO375" s="1337"/>
      <c r="EP375" s="1337"/>
      <c r="EQ375" s="1328"/>
      <c r="ER375" s="1328"/>
      <c r="ES375" s="1328"/>
      <c r="ET375" s="1334"/>
      <c r="EU375" s="1328"/>
      <c r="EV375" s="1337"/>
      <c r="EW375" s="1337"/>
      <c r="EX375" s="1337"/>
      <c r="EY375" s="1337"/>
      <c r="EZ375" s="1340"/>
      <c r="FA375" s="1337"/>
      <c r="FB375" s="1337"/>
      <c r="FC375" s="1337"/>
      <c r="FD375" s="1340"/>
      <c r="FE375" s="1337"/>
      <c r="FF375" s="1337"/>
      <c r="FG375" s="1337"/>
      <c r="FH375" s="1337"/>
      <c r="FI375" s="1337"/>
      <c r="FJ375" s="1337"/>
    </row>
    <row r="376" spans="1:166" s="1303" customFormat="1" ht="15" customHeight="1">
      <c r="A376" s="142" t="s">
        <v>1111</v>
      </c>
      <c r="B376" s="767">
        <v>4</v>
      </c>
      <c r="C376" s="767"/>
      <c r="D376" s="767"/>
      <c r="E376" s="606" t="s">
        <v>2052</v>
      </c>
      <c r="F376" s="224" t="s">
        <v>2295</v>
      </c>
      <c r="G376" s="225">
        <v>2015</v>
      </c>
      <c r="H376" s="142">
        <v>25585683</v>
      </c>
      <c r="I376" s="142">
        <v>1</v>
      </c>
      <c r="J376" s="142">
        <v>1</v>
      </c>
      <c r="K376" s="142"/>
      <c r="L376" s="142">
        <v>1</v>
      </c>
      <c r="M376" s="142"/>
      <c r="N376" s="142">
        <v>1</v>
      </c>
      <c r="O376" s="142">
        <v>2</v>
      </c>
      <c r="P376" s="142" t="s">
        <v>1220</v>
      </c>
      <c r="Q376" s="142" t="s">
        <v>1232</v>
      </c>
      <c r="R376" s="142" t="s">
        <v>1138</v>
      </c>
      <c r="S376" s="142"/>
      <c r="T376" s="142" t="s">
        <v>1541</v>
      </c>
      <c r="U376" s="142" t="s">
        <v>23</v>
      </c>
      <c r="V376" s="142" t="s">
        <v>23</v>
      </c>
      <c r="W376" s="142" t="s">
        <v>1139</v>
      </c>
      <c r="X376" s="142" t="s">
        <v>24</v>
      </c>
      <c r="Y376" s="142" t="s">
        <v>1132</v>
      </c>
      <c r="Z376" s="142"/>
      <c r="AA376" s="142"/>
      <c r="AB376" s="142"/>
      <c r="AC376" s="465"/>
      <c r="AD376" s="653">
        <v>1</v>
      </c>
      <c r="AE376" s="653">
        <v>2</v>
      </c>
      <c r="AF376" s="159">
        <v>1</v>
      </c>
      <c r="AG376" s="160" t="s">
        <v>3316</v>
      </c>
      <c r="AH376" s="732">
        <v>0</v>
      </c>
      <c r="AI376" s="150">
        <v>5</v>
      </c>
      <c r="AJ376" s="485"/>
      <c r="AK376" s="226" t="s">
        <v>2484</v>
      </c>
      <c r="AL376" s="192">
        <v>1</v>
      </c>
      <c r="AM376" s="227">
        <v>0</v>
      </c>
      <c r="AN376" s="150">
        <v>14</v>
      </c>
      <c r="AO376" s="150">
        <v>7</v>
      </c>
      <c r="AP376" s="150">
        <v>7</v>
      </c>
      <c r="AQ376" s="150" t="s">
        <v>803</v>
      </c>
      <c r="AR376" s="150" t="s">
        <v>803</v>
      </c>
      <c r="AS376" s="150" t="s">
        <v>2468</v>
      </c>
      <c r="AT376" s="150" t="s">
        <v>24</v>
      </c>
      <c r="AU376" s="150" t="s">
        <v>2468</v>
      </c>
      <c r="AV376" s="150" t="s">
        <v>24</v>
      </c>
      <c r="AW376" s="150" t="s">
        <v>2474</v>
      </c>
      <c r="AX376" s="150">
        <v>1</v>
      </c>
      <c r="AY376" s="150">
        <v>1.5</v>
      </c>
      <c r="AZ376" s="150" t="s">
        <v>1814</v>
      </c>
      <c r="BA376" s="150">
        <v>1</v>
      </c>
      <c r="BB376" s="150" t="s">
        <v>3317</v>
      </c>
      <c r="BC376" s="150" t="s">
        <v>2473</v>
      </c>
      <c r="BD376" s="753" t="s">
        <v>7523</v>
      </c>
      <c r="BE376" s="753"/>
      <c r="BF376" s="150" t="s">
        <v>2603</v>
      </c>
      <c r="BG376" s="150" t="s">
        <v>2554</v>
      </c>
      <c r="BH376" s="588"/>
      <c r="BI376" s="588"/>
      <c r="BJ376" s="161">
        <v>1</v>
      </c>
      <c r="BK376" s="161"/>
      <c r="BL376" s="161"/>
      <c r="BM376" s="161"/>
      <c r="BN376" s="161"/>
      <c r="BO376" s="161"/>
      <c r="BP376" s="161"/>
      <c r="BQ376" s="161"/>
      <c r="BR376" s="161"/>
      <c r="BS376" s="161"/>
      <c r="BT376" s="161"/>
      <c r="BU376" s="161"/>
      <c r="BV376" s="161"/>
      <c r="BW376" s="596" t="s">
        <v>7378</v>
      </c>
      <c r="BX376" s="162" t="s">
        <v>6595</v>
      </c>
      <c r="BY376" s="797" t="s">
        <v>7615</v>
      </c>
      <c r="BZ376" s="790" t="s">
        <v>803</v>
      </c>
      <c r="CA376" s="766">
        <v>4</v>
      </c>
      <c r="CB376" s="766" t="s">
        <v>7556</v>
      </c>
      <c r="CC376" s="766" t="s">
        <v>7384</v>
      </c>
      <c r="CD376" s="150" t="s">
        <v>7427</v>
      </c>
      <c r="CE376" s="150">
        <v>2</v>
      </c>
      <c r="CF376" s="400" t="s">
        <v>23</v>
      </c>
      <c r="CG376" s="150" t="s">
        <v>7709</v>
      </c>
      <c r="CH376" s="150" t="s">
        <v>1488</v>
      </c>
      <c r="CI376" s="150" t="s">
        <v>2471</v>
      </c>
      <c r="CJ376" s="150">
        <v>1</v>
      </c>
      <c r="CK376" s="150" t="s">
        <v>2659</v>
      </c>
      <c r="CL376" s="134" t="s">
        <v>8276</v>
      </c>
      <c r="CM376" s="258" t="s">
        <v>7379</v>
      </c>
      <c r="CN376" s="257" t="s">
        <v>6627</v>
      </c>
      <c r="CO376" s="829">
        <v>2</v>
      </c>
      <c r="CP376" s="829">
        <v>1</v>
      </c>
      <c r="CQ376" s="829">
        <v>2</v>
      </c>
      <c r="CR376" s="829">
        <v>1</v>
      </c>
      <c r="CS376" s="829">
        <v>1</v>
      </c>
      <c r="CT376" s="968"/>
      <c r="CU376" s="1289" t="s">
        <v>8104</v>
      </c>
      <c r="CV376" s="1295">
        <v>140</v>
      </c>
      <c r="CW376" s="1295">
        <v>131</v>
      </c>
      <c r="CX376" s="431" t="s">
        <v>2488</v>
      </c>
      <c r="CY376" s="150">
        <v>66.825100000000006</v>
      </c>
      <c r="CZ376" s="150" t="s">
        <v>24</v>
      </c>
      <c r="DA376" s="150">
        <v>6.3859000000000004</v>
      </c>
      <c r="DB376" s="431" t="s">
        <v>2486</v>
      </c>
      <c r="DC376" s="150">
        <v>16.3689</v>
      </c>
      <c r="DD376" s="150" t="s">
        <v>24</v>
      </c>
      <c r="DE376" s="150">
        <v>9.7568999999999999</v>
      </c>
      <c r="DF376" s="294" t="s">
        <v>2552</v>
      </c>
      <c r="DG376" s="869" t="s">
        <v>2548</v>
      </c>
      <c r="DH376" s="1205"/>
      <c r="DI376" s="1164"/>
      <c r="DJ376" s="1164"/>
      <c r="DK376" s="1164"/>
      <c r="DL376" s="1205"/>
      <c r="DM376" s="1164"/>
      <c r="DN376" s="1164"/>
      <c r="DO376" s="1164"/>
      <c r="DP376" s="288"/>
      <c r="DQ376" s="289"/>
      <c r="DR376" s="1168"/>
      <c r="DS376" s="1191"/>
      <c r="DT376" s="1205"/>
      <c r="DU376" s="122"/>
      <c r="DV376" s="1164"/>
      <c r="DW376" s="122"/>
      <c r="DX376" s="1205"/>
      <c r="DY376" s="122"/>
      <c r="DZ376" s="1164"/>
      <c r="EA376" s="122"/>
      <c r="EB376" s="311"/>
      <c r="EC376" s="313"/>
      <c r="ED376" s="1205"/>
      <c r="EE376" s="122"/>
      <c r="EF376" s="1164"/>
      <c r="EG376" s="122"/>
      <c r="EH376" s="1205"/>
      <c r="EI376" s="122"/>
      <c r="EJ376" s="1164"/>
      <c r="EK376" s="122"/>
      <c r="EL376" s="311"/>
      <c r="EM376" s="313"/>
      <c r="EN376" s="278"/>
      <c r="EO376" s="279"/>
      <c r="EP376" s="1164"/>
      <c r="EQ376" s="1164"/>
      <c r="ER376" s="1164"/>
      <c r="ES376" s="1164"/>
      <c r="ET376" s="1166"/>
      <c r="EU376" s="1164"/>
      <c r="EV376" s="1164"/>
      <c r="EW376" s="1164"/>
      <c r="EX376" s="313"/>
      <c r="EY376" s="313"/>
      <c r="EZ376" s="1166"/>
      <c r="FA376" s="1164"/>
      <c r="FB376" s="1164"/>
      <c r="FC376" s="1164"/>
      <c r="FD376" s="1166"/>
      <c r="FE376" s="1164"/>
      <c r="FF376" s="1164"/>
      <c r="FG376" s="1164"/>
      <c r="FH376" s="313"/>
      <c r="FI376" s="313"/>
      <c r="FJ376" s="1165"/>
    </row>
    <row r="377" spans="1:166" s="1303" customFormat="1" ht="15" customHeight="1">
      <c r="A377" s="79" t="s">
        <v>1097</v>
      </c>
      <c r="B377" s="768">
        <v>11</v>
      </c>
      <c r="C377" s="768"/>
      <c r="D377" s="768"/>
      <c r="E377" s="608" t="s">
        <v>1935</v>
      </c>
      <c r="F377" s="181" t="s">
        <v>2303</v>
      </c>
      <c r="G377" s="182">
        <v>2015</v>
      </c>
      <c r="H377" s="79">
        <v>25533726</v>
      </c>
      <c r="I377" s="79">
        <v>1</v>
      </c>
      <c r="J377" s="79">
        <v>1</v>
      </c>
      <c r="K377" s="79"/>
      <c r="L377" s="79">
        <v>1</v>
      </c>
      <c r="M377" s="79"/>
      <c r="N377" s="153">
        <v>1</v>
      </c>
      <c r="O377" s="128">
        <v>2</v>
      </c>
      <c r="P377" s="79" t="s">
        <v>1230</v>
      </c>
      <c r="Q377" s="79" t="s">
        <v>1162</v>
      </c>
      <c r="R377" s="79" t="s">
        <v>1127</v>
      </c>
      <c r="S377" s="79"/>
      <c r="T377" s="79" t="s">
        <v>1541</v>
      </c>
      <c r="U377" s="79" t="s">
        <v>23</v>
      </c>
      <c r="V377" s="79" t="s">
        <v>23</v>
      </c>
      <c r="W377" s="79" t="s">
        <v>1501</v>
      </c>
      <c r="X377" s="79" t="s">
        <v>1231</v>
      </c>
      <c r="Y377" s="79" t="s">
        <v>23</v>
      </c>
      <c r="Z377" s="79"/>
      <c r="AA377" s="79"/>
      <c r="AB377" s="79"/>
      <c r="AC377" s="506"/>
      <c r="AD377" s="573">
        <v>1</v>
      </c>
      <c r="AE377" s="573">
        <v>2</v>
      </c>
      <c r="AF377" s="352">
        <v>1</v>
      </c>
      <c r="AG377" s="353" t="s">
        <v>8112</v>
      </c>
      <c r="AH377" s="704">
        <v>0</v>
      </c>
      <c r="AI377" s="346">
        <v>4</v>
      </c>
      <c r="AJ377" s="487"/>
      <c r="AK377" s="459" t="s">
        <v>7443</v>
      </c>
      <c r="AL377" s="348">
        <v>2</v>
      </c>
      <c r="AM377" s="1597" t="s">
        <v>7438</v>
      </c>
      <c r="AN377" s="186">
        <f>Table66[[#This Row],[Data_Subjects_n_ptsd]]+Table66[[#This Row],[Data_Subjects_n_control]]</f>
        <v>20</v>
      </c>
      <c r="AO377" s="186">
        <v>10</v>
      </c>
      <c r="AP377" s="186">
        <v>10</v>
      </c>
      <c r="AQ377" s="186" t="s">
        <v>803</v>
      </c>
      <c r="AR377" s="186" t="s">
        <v>803</v>
      </c>
      <c r="AS377" s="186" t="s">
        <v>2687</v>
      </c>
      <c r="AT377" s="186" t="s">
        <v>24</v>
      </c>
      <c r="AU377" s="186" t="s">
        <v>2687</v>
      </c>
      <c r="AV377" s="186" t="s">
        <v>24</v>
      </c>
      <c r="AW377" s="186" t="s">
        <v>7437</v>
      </c>
      <c r="AX377" s="186">
        <v>15</v>
      </c>
      <c r="AY377" s="186">
        <v>1</v>
      </c>
      <c r="AZ377" s="186" t="s">
        <v>1814</v>
      </c>
      <c r="BA377" s="186">
        <v>1</v>
      </c>
      <c r="BB377" s="186">
        <v>1</v>
      </c>
      <c r="BC377" s="186" t="s">
        <v>7436</v>
      </c>
      <c r="BD377" s="753" t="s">
        <v>7523</v>
      </c>
      <c r="BE377" s="753"/>
      <c r="BF377" s="186" t="s">
        <v>1130</v>
      </c>
      <c r="BG377" s="186" t="s">
        <v>2554</v>
      </c>
      <c r="BH377" s="598"/>
      <c r="BI377" s="598"/>
      <c r="BJ377" s="184">
        <v>1</v>
      </c>
      <c r="BK377" s="184"/>
      <c r="BL377" s="184"/>
      <c r="BM377" s="184"/>
      <c r="BN377" s="184"/>
      <c r="BO377" s="184"/>
      <c r="BP377" s="184"/>
      <c r="BQ377" s="184"/>
      <c r="BR377" s="184"/>
      <c r="BS377" s="184"/>
      <c r="BT377" s="184"/>
      <c r="BU377" s="184"/>
      <c r="BV377" s="184"/>
      <c r="BW377" s="600" t="s">
        <v>7435</v>
      </c>
      <c r="BX377" s="185" t="s">
        <v>6595</v>
      </c>
      <c r="BY377" s="797" t="s">
        <v>7615</v>
      </c>
      <c r="BZ377" s="791" t="s">
        <v>803</v>
      </c>
      <c r="CA377" s="765">
        <v>4</v>
      </c>
      <c r="CB377" s="765" t="s">
        <v>7556</v>
      </c>
      <c r="CC377" s="765" t="s">
        <v>7384</v>
      </c>
      <c r="CD377" s="186" t="s">
        <v>1876</v>
      </c>
      <c r="CE377" s="186">
        <v>2</v>
      </c>
      <c r="CF377" s="400" t="s">
        <v>7584</v>
      </c>
      <c r="CG377" s="186" t="s">
        <v>7434</v>
      </c>
      <c r="CH377" s="186" t="s">
        <v>1488</v>
      </c>
      <c r="CI377" s="186" t="s">
        <v>7432</v>
      </c>
      <c r="CJ377" s="186">
        <v>1</v>
      </c>
      <c r="CK377" s="186" t="s">
        <v>2659</v>
      </c>
      <c r="CL377" s="134" t="s">
        <v>8276</v>
      </c>
      <c r="CM377" s="261" t="s">
        <v>2709</v>
      </c>
      <c r="CN377" s="620" t="s">
        <v>6627</v>
      </c>
      <c r="CO377" s="830">
        <v>6</v>
      </c>
      <c r="CP377" s="830">
        <v>1</v>
      </c>
      <c r="CQ377" s="830">
        <v>2</v>
      </c>
      <c r="CR377" s="830">
        <v>1</v>
      </c>
      <c r="CS377" s="830">
        <v>1</v>
      </c>
      <c r="CT377" s="969"/>
      <c r="CU377" s="1289" t="s">
        <v>8104</v>
      </c>
      <c r="CV377" s="1295">
        <v>57</v>
      </c>
      <c r="CW377" s="1295">
        <v>51</v>
      </c>
      <c r="CX377" s="267" t="s">
        <v>7441</v>
      </c>
      <c r="CY377" s="186">
        <v>74.327600000000004</v>
      </c>
      <c r="CZ377" s="186" t="s">
        <v>24</v>
      </c>
      <c r="DA377" s="186">
        <f>79.7844-Table66[[#This Row],[Data_Outcome1_M]]</f>
        <v>5.4568000000000012</v>
      </c>
      <c r="DB377" s="267" t="s">
        <v>7442</v>
      </c>
      <c r="DC377" s="186">
        <v>13.1188</v>
      </c>
      <c r="DD377" s="186" t="s">
        <v>24</v>
      </c>
      <c r="DE377" s="186">
        <f>16.8514-Table66[[#This Row],[Data_Outcome2_M]]</f>
        <v>3.7326000000000015</v>
      </c>
      <c r="DF377" s="549" t="s">
        <v>2708</v>
      </c>
      <c r="DG377" s="551" t="s">
        <v>2555</v>
      </c>
      <c r="DH377" s="121"/>
      <c r="DI377" s="121"/>
      <c r="DJ377" s="1169"/>
      <c r="DK377" s="121"/>
      <c r="DL377" s="1169"/>
      <c r="DM377" s="121"/>
      <c r="DN377" s="1169"/>
      <c r="DO377" s="121"/>
      <c r="DP377" s="288"/>
      <c r="DQ377" s="289"/>
      <c r="DR377" s="1168"/>
      <c r="DS377" s="865"/>
      <c r="DT377" s="1192"/>
      <c r="DU377" s="346"/>
      <c r="DV377" s="1189"/>
      <c r="DW377" s="346"/>
      <c r="DX377" s="1189"/>
      <c r="DY377" s="346"/>
      <c r="DZ377" s="1189"/>
      <c r="EA377" s="346"/>
      <c r="EB377" s="1193"/>
      <c r="EC377" s="1190"/>
      <c r="ED377" s="1189"/>
      <c r="EE377" s="1189"/>
      <c r="EF377" s="1189"/>
      <c r="EG377" s="1189"/>
      <c r="EH377" s="1189"/>
      <c r="EI377" s="1189"/>
      <c r="EJ377" s="1189"/>
      <c r="EK377" s="1189"/>
      <c r="EL377" s="1193"/>
      <c r="EM377" s="1190"/>
      <c r="EN377" s="1168"/>
      <c r="EO377" s="1191"/>
      <c r="EP377" s="1189"/>
      <c r="EQ377" s="1189"/>
      <c r="ER377" s="1189"/>
      <c r="ES377" s="1189"/>
      <c r="ET377" s="1192"/>
      <c r="EU377" s="1189"/>
      <c r="EV377" s="1189"/>
      <c r="EW377" s="1189"/>
      <c r="EX377" s="1190"/>
      <c r="EY377" s="1190"/>
      <c r="EZ377" s="1192"/>
      <c r="FA377" s="1189"/>
      <c r="FB377" s="1189"/>
      <c r="FC377" s="1189"/>
      <c r="FD377" s="1192"/>
      <c r="FE377" s="1189"/>
      <c r="FF377" s="1189"/>
      <c r="FG377" s="1189"/>
      <c r="FH377" s="1190"/>
      <c r="FI377" s="1190"/>
      <c r="FJ377" s="1191"/>
    </row>
    <row r="378" spans="1:166" s="1303" customFormat="1" ht="17" hidden="1" customHeight="1">
      <c r="A378" s="79" t="s">
        <v>946</v>
      </c>
      <c r="B378" s="362">
        <v>53</v>
      </c>
      <c r="C378" s="362"/>
      <c r="D378" s="362"/>
      <c r="E378" s="604" t="s">
        <v>2129</v>
      </c>
      <c r="F378" s="124" t="s">
        <v>2393</v>
      </c>
      <c r="G378" s="125">
        <v>2012</v>
      </c>
      <c r="H378" s="79">
        <v>22927935</v>
      </c>
      <c r="I378" s="79">
        <v>1</v>
      </c>
      <c r="J378" s="126">
        <v>1</v>
      </c>
      <c r="K378" s="127"/>
      <c r="L378" s="79">
        <v>1</v>
      </c>
      <c r="M378" s="79"/>
      <c r="N378" s="79">
        <v>1</v>
      </c>
      <c r="O378" s="128">
        <v>2</v>
      </c>
      <c r="P378" s="79" t="s">
        <v>1220</v>
      </c>
      <c r="Q378" s="79" t="s">
        <v>1216</v>
      </c>
      <c r="R378" s="79" t="s">
        <v>1138</v>
      </c>
      <c r="S378" s="79"/>
      <c r="T378" s="79" t="s">
        <v>1541</v>
      </c>
      <c r="U378" s="79" t="s">
        <v>1638</v>
      </c>
      <c r="V378" s="79"/>
      <c r="W378" s="79" t="s">
        <v>1501</v>
      </c>
      <c r="X378" s="79"/>
      <c r="Y378" s="79" t="s">
        <v>1637</v>
      </c>
      <c r="Z378" s="79"/>
      <c r="AA378" s="79"/>
      <c r="AB378" s="79"/>
      <c r="AC378" s="506"/>
      <c r="AD378" s="573">
        <v>1</v>
      </c>
      <c r="AE378" s="573">
        <v>2</v>
      </c>
      <c r="AF378" s="154">
        <v>1</v>
      </c>
      <c r="AG378" s="155"/>
      <c r="AH378" s="704"/>
      <c r="AI378" s="121">
        <v>5</v>
      </c>
      <c r="AJ378" s="484"/>
      <c r="AK378" s="202"/>
      <c r="AL378" s="192">
        <v>1</v>
      </c>
      <c r="AM378" s="203">
        <v>0</v>
      </c>
      <c r="AN378" s="121">
        <f>Table66[[#This Row],[Data_Subjects_n_ptsd]]+Table66[[#This Row],[Data_Subjects_n_control]]</f>
        <v>36</v>
      </c>
      <c r="AO378" s="121">
        <v>24</v>
      </c>
      <c r="AP378" s="121">
        <v>12</v>
      </c>
      <c r="AQ378" s="121" t="s">
        <v>1878</v>
      </c>
      <c r="AR378" s="121" t="s">
        <v>1878</v>
      </c>
      <c r="AS378" s="121" t="s">
        <v>3723</v>
      </c>
      <c r="AT378" s="121" t="s">
        <v>24</v>
      </c>
      <c r="AU378" s="121" t="s">
        <v>3723</v>
      </c>
      <c r="AV378" s="121" t="s">
        <v>24</v>
      </c>
      <c r="AW378" s="121" t="s">
        <v>3724</v>
      </c>
      <c r="AX378" s="121">
        <v>3</v>
      </c>
      <c r="AY378" s="121">
        <v>1.5</v>
      </c>
      <c r="AZ378" s="754" t="s">
        <v>1814</v>
      </c>
      <c r="BA378" s="121">
        <v>1</v>
      </c>
      <c r="BB378" s="121" t="s">
        <v>3731</v>
      </c>
      <c r="BC378" s="121" t="s">
        <v>7550</v>
      </c>
      <c r="BD378" s="754" t="s">
        <v>7523</v>
      </c>
      <c r="BE378" s="754"/>
      <c r="BF378" s="121" t="s">
        <v>3725</v>
      </c>
      <c r="BG378" s="121" t="s">
        <v>3279</v>
      </c>
      <c r="BH378" s="594"/>
      <c r="BI378" s="594"/>
      <c r="BJ378" s="156">
        <v>1</v>
      </c>
      <c r="BK378" s="156"/>
      <c r="BL378" s="156"/>
      <c r="BM378" s="156"/>
      <c r="BN378" s="156"/>
      <c r="BO378" s="156"/>
      <c r="BP378" s="156"/>
      <c r="BQ378" s="156"/>
      <c r="BR378" s="156"/>
      <c r="BS378" s="156"/>
      <c r="BT378" s="156"/>
      <c r="BU378" s="156"/>
      <c r="BV378" s="156"/>
      <c r="BW378" s="595" t="s">
        <v>7376</v>
      </c>
      <c r="BX378" s="157" t="s">
        <v>6657</v>
      </c>
      <c r="BY378" s="797" t="s">
        <v>7613</v>
      </c>
      <c r="BZ378" s="789" t="s">
        <v>803</v>
      </c>
      <c r="CA378" s="765">
        <v>1</v>
      </c>
      <c r="CB378" s="765" t="s">
        <v>7556</v>
      </c>
      <c r="CC378" s="772" t="s">
        <v>7384</v>
      </c>
      <c r="CD378" s="134" t="s">
        <v>1876</v>
      </c>
      <c r="CE378" s="134">
        <v>2</v>
      </c>
      <c r="CF378" s="400" t="s">
        <v>7582</v>
      </c>
      <c r="CG378" s="134" t="s">
        <v>7375</v>
      </c>
      <c r="CH378" s="753" t="s">
        <v>7310</v>
      </c>
      <c r="CI378" s="134" t="s">
        <v>3726</v>
      </c>
      <c r="CJ378" s="134" t="s">
        <v>7374</v>
      </c>
      <c r="CK378" s="134" t="s">
        <v>3722</v>
      </c>
      <c r="CL378" s="150" t="s">
        <v>8296</v>
      </c>
      <c r="CM378" s="259" t="s">
        <v>3758</v>
      </c>
      <c r="CN378" s="454" t="s">
        <v>6627</v>
      </c>
      <c r="CO378" s="828">
        <v>90</v>
      </c>
      <c r="CP378" s="828">
        <v>1</v>
      </c>
      <c r="CQ378" s="828">
        <v>3</v>
      </c>
      <c r="CR378" s="828">
        <v>1</v>
      </c>
      <c r="CS378" s="828">
        <v>1</v>
      </c>
      <c r="CT378" s="967"/>
      <c r="CU378" s="1289" t="s">
        <v>8104</v>
      </c>
      <c r="CV378" s="1295">
        <v>159</v>
      </c>
      <c r="CW378" s="1295">
        <v>146</v>
      </c>
      <c r="CX378" s="340" t="s">
        <v>3742</v>
      </c>
      <c r="CY378" s="427">
        <v>4.71</v>
      </c>
      <c r="CZ378" s="134" t="s">
        <v>24</v>
      </c>
      <c r="DA378" s="134">
        <v>0.47</v>
      </c>
      <c r="DB378" s="138" t="s">
        <v>3743</v>
      </c>
      <c r="DC378" s="134">
        <v>1.95</v>
      </c>
      <c r="DD378" s="134" t="s">
        <v>24</v>
      </c>
      <c r="DE378" s="134">
        <v>0.31</v>
      </c>
      <c r="DF378" s="341" t="s">
        <v>3746</v>
      </c>
      <c r="DG378" s="1124" t="s">
        <v>2588</v>
      </c>
      <c r="DH378" s="1276"/>
      <c r="DI378" s="121"/>
      <c r="DJ378" s="1169"/>
      <c r="DK378" s="121"/>
      <c r="DL378" s="1171"/>
      <c r="DM378" s="121"/>
      <c r="DN378" s="1169"/>
      <c r="DO378" s="121"/>
      <c r="DP378" s="288"/>
      <c r="DQ378" s="289"/>
      <c r="DR378" s="1168"/>
      <c r="DS378" s="865"/>
      <c r="DT378" s="1174"/>
      <c r="DU378" s="1174"/>
      <c r="DV378" s="1169"/>
      <c r="DW378" s="1169"/>
      <c r="DX378" s="1171"/>
      <c r="DY378" s="1169"/>
      <c r="DZ378" s="1169"/>
      <c r="EA378" s="1169"/>
      <c r="EB378" s="1173"/>
      <c r="EC378" s="1172"/>
      <c r="ED378" s="1169"/>
      <c r="EE378" s="1169"/>
      <c r="EF378" s="1169"/>
      <c r="EG378" s="1169"/>
      <c r="EH378" s="1169"/>
      <c r="EI378" s="1169"/>
      <c r="EJ378" s="1169"/>
      <c r="EK378" s="1169"/>
      <c r="EL378" s="304"/>
      <c r="EM378" s="312"/>
      <c r="EN378" s="309"/>
      <c r="EO378" s="1170"/>
      <c r="EP378" s="1169"/>
      <c r="EQ378" s="1169"/>
      <c r="ER378" s="1169"/>
      <c r="ES378" s="1169"/>
      <c r="ET378" s="1171"/>
      <c r="EU378" s="1169"/>
      <c r="EV378" s="1169"/>
      <c r="EW378" s="1169"/>
      <c r="EX378" s="312"/>
      <c r="EY378" s="312"/>
      <c r="EZ378" s="1171"/>
      <c r="FA378" s="1169"/>
      <c r="FB378" s="1169"/>
      <c r="FC378" s="1169"/>
      <c r="FD378" s="1171"/>
      <c r="FE378" s="1169"/>
      <c r="FF378" s="1169"/>
      <c r="FG378" s="1169"/>
      <c r="FH378" s="312"/>
      <c r="FI378" s="312"/>
      <c r="FJ378" s="1170"/>
    </row>
    <row r="379" spans="1:166" s="1341" customFormat="1" ht="17" hidden="1" customHeight="1">
      <c r="A379" s="1304" t="s">
        <v>1026</v>
      </c>
      <c r="B379" s="1324">
        <v>24</v>
      </c>
      <c r="C379" s="1324"/>
      <c r="D379" s="1324"/>
      <c r="E379" s="1325" t="s">
        <v>2088</v>
      </c>
      <c r="F379" s="1326" t="s">
        <v>2343</v>
      </c>
      <c r="G379" s="1327">
        <v>2012</v>
      </c>
      <c r="H379" s="1304">
        <v>22176467</v>
      </c>
      <c r="I379" s="1304">
        <v>1</v>
      </c>
      <c r="J379" s="1304" t="s">
        <v>1855</v>
      </c>
      <c r="K379" s="1304"/>
      <c r="L379" s="1304">
        <v>0</v>
      </c>
      <c r="M379" s="1304"/>
      <c r="N379" s="1304">
        <v>0</v>
      </c>
      <c r="O379" s="1304">
        <v>2</v>
      </c>
      <c r="P379" s="1304" t="s">
        <v>1404</v>
      </c>
      <c r="Q379" s="1304" t="s">
        <v>1212</v>
      </c>
      <c r="R379" s="1304" t="s">
        <v>1127</v>
      </c>
      <c r="S379" s="1304"/>
      <c r="T379" s="1304" t="s">
        <v>1488</v>
      </c>
      <c r="U379" s="1304" t="s">
        <v>803</v>
      </c>
      <c r="V379" s="1304"/>
      <c r="W379" s="1304" t="s">
        <v>1403</v>
      </c>
      <c r="X379" s="1304"/>
      <c r="Y379" s="1304"/>
      <c r="Z379" s="1304"/>
      <c r="AA379" s="1304"/>
      <c r="AB379" s="1304"/>
      <c r="AC379" s="1328"/>
      <c r="AD379" s="1328">
        <v>1</v>
      </c>
      <c r="AE379" s="1328">
        <v>2</v>
      </c>
      <c r="AF379" s="1329">
        <v>0</v>
      </c>
      <c r="AG379" s="1330" t="s">
        <v>8126</v>
      </c>
      <c r="AH379" s="1328" t="s">
        <v>7700</v>
      </c>
      <c r="AI379" s="1328">
        <v>4</v>
      </c>
      <c r="AJ379" s="1328"/>
      <c r="AK379" s="1331" t="s">
        <v>3052</v>
      </c>
      <c r="AL379" s="1326">
        <v>1</v>
      </c>
      <c r="AM379" s="1332">
        <v>0</v>
      </c>
      <c r="AN379" s="1328">
        <f>Table66[[#This Row],[Data_Subjects_n_ptsd]]+Table66[[#This Row],[Data_Subjects_n_control]]</f>
        <v>24</v>
      </c>
      <c r="AO379" s="1328">
        <v>12</v>
      </c>
      <c r="AP379" s="1328">
        <v>12</v>
      </c>
      <c r="AQ379" s="1328" t="s">
        <v>803</v>
      </c>
      <c r="AR379" s="1328" t="s">
        <v>803</v>
      </c>
      <c r="AS379" s="1328" t="s">
        <v>3031</v>
      </c>
      <c r="AT379" s="1328" t="s">
        <v>24</v>
      </c>
      <c r="AU379" s="1328" t="s">
        <v>3031</v>
      </c>
      <c r="AV379" s="1328" t="s">
        <v>24</v>
      </c>
      <c r="AW379" s="1328" t="s">
        <v>7697</v>
      </c>
      <c r="AX379" s="1328">
        <v>15</v>
      </c>
      <c r="AY379" s="1328">
        <v>1</v>
      </c>
      <c r="AZ379" s="1328" t="s">
        <v>1814</v>
      </c>
      <c r="BA379" s="1328">
        <v>1</v>
      </c>
      <c r="BB379" s="1328" t="s">
        <v>7690</v>
      </c>
      <c r="BC379" s="1328" t="s">
        <v>3032</v>
      </c>
      <c r="BD379" s="1328" t="s">
        <v>7523</v>
      </c>
      <c r="BE379" s="1328"/>
      <c r="BF379" s="1328" t="s">
        <v>2730</v>
      </c>
      <c r="BG379" s="1328" t="s">
        <v>2554</v>
      </c>
      <c r="BH379" s="1326"/>
      <c r="BI379" s="1326"/>
      <c r="BJ379" s="1333">
        <v>1</v>
      </c>
      <c r="BK379" s="1333"/>
      <c r="BL379" s="1333"/>
      <c r="BM379" s="1333"/>
      <c r="BN379" s="1333"/>
      <c r="BO379" s="1333"/>
      <c r="BP379" s="1333"/>
      <c r="BQ379" s="1333"/>
      <c r="BR379" s="1333"/>
      <c r="BS379" s="1333"/>
      <c r="BT379" s="1333"/>
      <c r="BU379" s="1333"/>
      <c r="BV379" s="1333"/>
      <c r="BW379" s="1333"/>
      <c r="BX379" s="1334"/>
      <c r="BY379" s="1334" t="s">
        <v>7615</v>
      </c>
      <c r="BZ379" s="1334" t="s">
        <v>7610</v>
      </c>
      <c r="CA379" s="1333">
        <v>4</v>
      </c>
      <c r="CB379" s="1333" t="s">
        <v>7556</v>
      </c>
      <c r="CC379" s="1342" t="s">
        <v>7384</v>
      </c>
      <c r="CD379" s="1328" t="s">
        <v>1876</v>
      </c>
      <c r="CE379" s="1328" t="s">
        <v>3041</v>
      </c>
      <c r="CF379" s="1328" t="s">
        <v>7700</v>
      </c>
      <c r="CG379" s="1328" t="s">
        <v>7694</v>
      </c>
      <c r="CH379" s="1328" t="s">
        <v>1488</v>
      </c>
      <c r="CI379" s="1328" t="s">
        <v>2471</v>
      </c>
      <c r="CJ379" s="1328"/>
      <c r="CK379" s="1328" t="s">
        <v>2659</v>
      </c>
      <c r="CL379" s="1328" t="s">
        <v>2659</v>
      </c>
      <c r="CM379" s="1335" t="s">
        <v>8125</v>
      </c>
      <c r="CN379" s="1336" t="s">
        <v>6627</v>
      </c>
      <c r="CO379" s="1336">
        <v>44</v>
      </c>
      <c r="CP379" s="1336">
        <v>2</v>
      </c>
      <c r="CQ379" s="1336"/>
      <c r="CR379" s="1336">
        <v>1</v>
      </c>
      <c r="CS379" s="1336"/>
      <c r="CT379" s="1336"/>
      <c r="CU379" s="621" t="s">
        <v>8104</v>
      </c>
      <c r="CV379" s="515">
        <v>97</v>
      </c>
      <c r="CW379" s="515">
        <v>89</v>
      </c>
      <c r="CX379" s="509" t="s">
        <v>3058</v>
      </c>
      <c r="CY379" s="635">
        <v>3.4817499999999999</v>
      </c>
      <c r="CZ379" s="509" t="s">
        <v>24</v>
      </c>
      <c r="DA379" s="1122">
        <f>6.66587-Table66[[#This Row],[Data_Outcome1_M]]</f>
        <v>3.1841200000000001</v>
      </c>
      <c r="DB379" s="509" t="s">
        <v>3057</v>
      </c>
      <c r="DC379" s="635">
        <v>0</v>
      </c>
      <c r="DD379" s="509" t="s">
        <v>24</v>
      </c>
      <c r="DE379" s="635">
        <v>0</v>
      </c>
      <c r="DF379" s="1335" t="s">
        <v>3079</v>
      </c>
      <c r="DG379" s="1326" t="s">
        <v>24</v>
      </c>
      <c r="DH379" s="1338"/>
      <c r="DI379" s="635"/>
      <c r="DJ379" s="1194"/>
      <c r="DK379" s="635"/>
      <c r="DL379" s="1194"/>
      <c r="DM379" s="635"/>
      <c r="DN379" s="1194"/>
      <c r="DO379" s="1122"/>
      <c r="DP379" s="515"/>
      <c r="DQ379" s="1141"/>
      <c r="DR379" s="1339"/>
      <c r="DS379" s="1340"/>
      <c r="DT379" s="956"/>
      <c r="DU379" s="635"/>
      <c r="DV379" s="1194"/>
      <c r="DW379" s="635"/>
      <c r="DX379" s="1194"/>
      <c r="DY379" s="635"/>
      <c r="DZ379" s="1194"/>
      <c r="EA379" s="635"/>
      <c r="EB379" s="1182"/>
      <c r="EC379" s="1194"/>
      <c r="ED379" s="1337"/>
      <c r="EE379" s="1337"/>
      <c r="EF379" s="1337"/>
      <c r="EG379" s="1337"/>
      <c r="EH379" s="1337"/>
      <c r="EI379" s="1337"/>
      <c r="EJ379" s="1337"/>
      <c r="EK379" s="1337"/>
      <c r="EL379" s="1339"/>
      <c r="EM379" s="1337"/>
      <c r="EN379" s="1339"/>
      <c r="EO379" s="1337"/>
      <c r="EP379" s="1337"/>
      <c r="EQ379" s="1328"/>
      <c r="ER379" s="1328"/>
      <c r="ES379" s="1328"/>
      <c r="ET379" s="1334"/>
      <c r="EU379" s="1328"/>
      <c r="EV379" s="1337"/>
      <c r="EW379" s="1337"/>
      <c r="EX379" s="1337"/>
      <c r="EY379" s="1337"/>
      <c r="EZ379" s="1340"/>
      <c r="FA379" s="1337"/>
      <c r="FB379" s="1337"/>
      <c r="FC379" s="1337"/>
      <c r="FD379" s="1340"/>
      <c r="FE379" s="1337"/>
      <c r="FF379" s="1337"/>
      <c r="FG379" s="1337"/>
      <c r="FH379" s="1337"/>
      <c r="FI379" s="1337"/>
      <c r="FJ379" s="1337"/>
    </row>
    <row r="380" spans="1:166" s="1303" customFormat="1" ht="17" customHeight="1">
      <c r="A380" s="118" t="s">
        <v>1097</v>
      </c>
      <c r="B380" s="767">
        <v>11</v>
      </c>
      <c r="C380" s="767"/>
      <c r="D380" s="767"/>
      <c r="E380" s="605" t="s">
        <v>1935</v>
      </c>
      <c r="F380" s="140" t="s">
        <v>2303</v>
      </c>
      <c r="G380" s="141">
        <v>2015</v>
      </c>
      <c r="H380" s="118">
        <v>25533726</v>
      </c>
      <c r="I380" s="118">
        <v>1</v>
      </c>
      <c r="J380" s="118">
        <v>1</v>
      </c>
      <c r="K380" s="118"/>
      <c r="L380" s="118">
        <v>1</v>
      </c>
      <c r="M380" s="118"/>
      <c r="N380" s="158">
        <v>1</v>
      </c>
      <c r="O380" s="142">
        <v>2</v>
      </c>
      <c r="P380" s="118" t="s">
        <v>1230</v>
      </c>
      <c r="Q380" s="118" t="s">
        <v>1162</v>
      </c>
      <c r="R380" s="118" t="s">
        <v>1127</v>
      </c>
      <c r="S380" s="118"/>
      <c r="T380" s="118" t="s">
        <v>1541</v>
      </c>
      <c r="U380" s="118" t="s">
        <v>23</v>
      </c>
      <c r="V380" s="118" t="s">
        <v>23</v>
      </c>
      <c r="W380" s="118" t="s">
        <v>1501</v>
      </c>
      <c r="X380" s="118" t="s">
        <v>1231</v>
      </c>
      <c r="Y380" s="118" t="s">
        <v>23</v>
      </c>
      <c r="Z380" s="118"/>
      <c r="AA380" s="118"/>
      <c r="AB380" s="118"/>
      <c r="AC380" s="145"/>
      <c r="AD380" s="653">
        <v>1</v>
      </c>
      <c r="AE380" s="653">
        <v>2</v>
      </c>
      <c r="AF380" s="159">
        <v>1</v>
      </c>
      <c r="AG380" s="160" t="s">
        <v>8113</v>
      </c>
      <c r="AH380" s="732">
        <v>0</v>
      </c>
      <c r="AI380" s="122">
        <v>4</v>
      </c>
      <c r="AJ380" s="485"/>
      <c r="AK380" s="204" t="s">
        <v>7444</v>
      </c>
      <c r="AL380" s="192">
        <v>2</v>
      </c>
      <c r="AM380" s="227" t="s">
        <v>7438</v>
      </c>
      <c r="AN380" s="150">
        <f>Table66[[#This Row],[Data_Subjects_n_ptsd]]+Table66[[#This Row],[Data_Subjects_n_control]]</f>
        <v>20</v>
      </c>
      <c r="AO380" s="150">
        <v>10</v>
      </c>
      <c r="AP380" s="150">
        <v>10</v>
      </c>
      <c r="AQ380" s="150" t="s">
        <v>803</v>
      </c>
      <c r="AR380" s="150" t="s">
        <v>803</v>
      </c>
      <c r="AS380" s="150" t="s">
        <v>2687</v>
      </c>
      <c r="AT380" s="150" t="s">
        <v>24</v>
      </c>
      <c r="AU380" s="150" t="s">
        <v>2687</v>
      </c>
      <c r="AV380" s="150" t="s">
        <v>24</v>
      </c>
      <c r="AW380" s="150" t="s">
        <v>7433</v>
      </c>
      <c r="AX380" s="150">
        <v>15</v>
      </c>
      <c r="AY380" s="150">
        <v>1</v>
      </c>
      <c r="AZ380" s="150" t="s">
        <v>1814</v>
      </c>
      <c r="BA380" s="150">
        <v>1</v>
      </c>
      <c r="BB380" s="150">
        <v>1</v>
      </c>
      <c r="BC380" s="150" t="s">
        <v>7436</v>
      </c>
      <c r="BD380" s="753" t="s">
        <v>7523</v>
      </c>
      <c r="BE380" s="753"/>
      <c r="BF380" s="150" t="s">
        <v>1130</v>
      </c>
      <c r="BG380" s="150" t="s">
        <v>2554</v>
      </c>
      <c r="BH380" s="588"/>
      <c r="BI380" s="588"/>
      <c r="BJ380" s="161">
        <v>1</v>
      </c>
      <c r="BK380" s="161"/>
      <c r="BL380" s="161"/>
      <c r="BM380" s="161"/>
      <c r="BN380" s="161"/>
      <c r="BO380" s="161"/>
      <c r="BP380" s="161"/>
      <c r="BQ380" s="161"/>
      <c r="BR380" s="161"/>
      <c r="BS380" s="161"/>
      <c r="BT380" s="161"/>
      <c r="BU380" s="161"/>
      <c r="BV380" s="161"/>
      <c r="BW380" s="596" t="s">
        <v>7435</v>
      </c>
      <c r="BX380" s="185" t="s">
        <v>6595</v>
      </c>
      <c r="BY380" s="797" t="s">
        <v>7615</v>
      </c>
      <c r="BZ380" s="791" t="s">
        <v>803</v>
      </c>
      <c r="CA380" s="766">
        <v>4</v>
      </c>
      <c r="CB380" s="766" t="s">
        <v>7556</v>
      </c>
      <c r="CC380" s="817" t="s">
        <v>7384</v>
      </c>
      <c r="CD380" s="150" t="s">
        <v>1876</v>
      </c>
      <c r="CE380" s="150">
        <v>2</v>
      </c>
      <c r="CF380" s="400" t="s">
        <v>7584</v>
      </c>
      <c r="CG380" s="150" t="s">
        <v>7434</v>
      </c>
      <c r="CH380" s="150" t="s">
        <v>1488</v>
      </c>
      <c r="CI380" s="150" t="s">
        <v>7432</v>
      </c>
      <c r="CJ380" s="150">
        <v>1</v>
      </c>
      <c r="CK380" s="150" t="s">
        <v>2659</v>
      </c>
      <c r="CL380" s="134" t="s">
        <v>8276</v>
      </c>
      <c r="CM380" s="258" t="s">
        <v>2709</v>
      </c>
      <c r="CN380" s="257" t="s">
        <v>6627</v>
      </c>
      <c r="CO380" s="829">
        <v>6</v>
      </c>
      <c r="CP380" s="829">
        <v>2</v>
      </c>
      <c r="CQ380" s="829">
        <v>2</v>
      </c>
      <c r="CR380" s="829">
        <v>1</v>
      </c>
      <c r="CS380" s="829">
        <v>1</v>
      </c>
      <c r="CT380" s="968"/>
      <c r="CU380" s="1289" t="s">
        <v>8104</v>
      </c>
      <c r="CV380" s="1295">
        <v>58</v>
      </c>
      <c r="CW380" s="1295">
        <v>52</v>
      </c>
      <c r="CX380" s="151" t="s">
        <v>7441</v>
      </c>
      <c r="CY380" s="150">
        <v>74.607299999999995</v>
      </c>
      <c r="CZ380" s="150" t="s">
        <v>24</v>
      </c>
      <c r="DA380" s="150">
        <f>80.1047-Table66[[#This Row],[Data_Outcome1_M]]</f>
        <v>5.497399999999999</v>
      </c>
      <c r="DB380" s="151" t="s">
        <v>7442</v>
      </c>
      <c r="DC380" s="150">
        <v>14.3979</v>
      </c>
      <c r="DD380" s="150" t="s">
        <v>24</v>
      </c>
      <c r="DE380" s="150">
        <f>17.5393-Table66[[#This Row],[Data_Outcome2_M]]</f>
        <v>3.1414000000000009</v>
      </c>
      <c r="DF380" s="290" t="s">
        <v>2708</v>
      </c>
      <c r="DG380" s="291" t="s">
        <v>2555</v>
      </c>
      <c r="DH380" s="1166"/>
      <c r="DI380" s="1164"/>
      <c r="DJ380" s="1164"/>
      <c r="DK380" s="1164"/>
      <c r="DL380" s="1166"/>
      <c r="DM380" s="1164"/>
      <c r="DN380" s="1164"/>
      <c r="DO380" s="1164"/>
      <c r="DP380" s="290"/>
      <c r="DQ380" s="291"/>
      <c r="DR380" s="1168"/>
      <c r="DS380" s="865"/>
      <c r="DT380" s="1166"/>
      <c r="DU380" s="1164"/>
      <c r="DV380" s="1164"/>
      <c r="DW380" s="1164"/>
      <c r="DX380" s="1164"/>
      <c r="DY380" s="1164"/>
      <c r="DZ380" s="1164"/>
      <c r="EA380" s="1164"/>
      <c r="EB380" s="311"/>
      <c r="EC380" s="313"/>
      <c r="ED380" s="1164"/>
      <c r="EE380" s="1164"/>
      <c r="EF380" s="1164"/>
      <c r="EG380" s="1164"/>
      <c r="EH380" s="1164"/>
      <c r="EI380" s="1164"/>
      <c r="EJ380" s="1164"/>
      <c r="EK380" s="1164"/>
      <c r="EL380" s="311"/>
      <c r="EM380" s="313"/>
      <c r="EN380" s="1167"/>
      <c r="EO380" s="1165"/>
      <c r="EP380" s="122"/>
      <c r="EQ380" s="122"/>
      <c r="ER380" s="122"/>
      <c r="ES380" s="122"/>
      <c r="ET380" s="526"/>
      <c r="EU380" s="122"/>
      <c r="EV380" s="122"/>
      <c r="EW380" s="122"/>
      <c r="EX380" s="303"/>
      <c r="EY380" s="303"/>
      <c r="EZ380" s="1166"/>
      <c r="FA380" s="1164"/>
      <c r="FB380" s="1164"/>
      <c r="FC380" s="1164"/>
      <c r="FD380" s="1166"/>
      <c r="FE380" s="1164"/>
      <c r="FF380" s="1164"/>
      <c r="FG380" s="1164"/>
      <c r="FH380" s="313"/>
      <c r="FI380" s="313"/>
      <c r="FJ380" s="1165"/>
    </row>
    <row r="381" spans="1:166" s="1362" customFormat="1" ht="17" hidden="1" customHeight="1">
      <c r="A381" s="876" t="s">
        <v>1089</v>
      </c>
      <c r="B381" s="877">
        <v>87</v>
      </c>
      <c r="C381" s="877">
        <v>15</v>
      </c>
      <c r="D381" s="877"/>
      <c r="E381" s="878" t="s">
        <v>1938</v>
      </c>
      <c r="F381" s="879" t="s">
        <v>2307</v>
      </c>
      <c r="G381" s="880">
        <v>2009</v>
      </c>
      <c r="H381" s="876">
        <v>18700055</v>
      </c>
      <c r="I381" s="876">
        <v>1</v>
      </c>
      <c r="J381" s="876"/>
      <c r="K381" s="876"/>
      <c r="L381" s="876">
        <v>1</v>
      </c>
      <c r="M381" s="876"/>
      <c r="N381" s="881">
        <v>1</v>
      </c>
      <c r="O381" s="882">
        <v>2</v>
      </c>
      <c r="P381" s="876" t="s">
        <v>1258</v>
      </c>
      <c r="Q381" s="876" t="s">
        <v>1251</v>
      </c>
      <c r="R381" s="876" t="s">
        <v>1127</v>
      </c>
      <c r="S381" s="876"/>
      <c r="T381" s="876" t="s">
        <v>1707</v>
      </c>
      <c r="U381" s="876" t="s">
        <v>23</v>
      </c>
      <c r="V381" s="876" t="s">
        <v>23</v>
      </c>
      <c r="W381" s="876" t="s">
        <v>1257</v>
      </c>
      <c r="X381" s="876" t="s">
        <v>24</v>
      </c>
      <c r="Y381" s="876" t="s">
        <v>1132</v>
      </c>
      <c r="Z381" s="876"/>
      <c r="AA381" s="876"/>
      <c r="AB381" s="876"/>
      <c r="AC381" s="883"/>
      <c r="AD381" s="884">
        <v>1</v>
      </c>
      <c r="AE381" s="884">
        <v>2</v>
      </c>
      <c r="AF381" s="885">
        <v>0</v>
      </c>
      <c r="AG381" s="886" t="s">
        <v>8278</v>
      </c>
      <c r="AH381" s="887" t="s">
        <v>7291</v>
      </c>
      <c r="AI381" s="883">
        <v>4</v>
      </c>
      <c r="AJ381" s="888"/>
      <c r="AK381" s="889" t="s">
        <v>3972</v>
      </c>
      <c r="AL381" s="890" t="s">
        <v>4089</v>
      </c>
      <c r="AM381" s="1598">
        <v>0</v>
      </c>
      <c r="AN381" s="899">
        <v>30</v>
      </c>
      <c r="AO381" s="899">
        <v>15</v>
      </c>
      <c r="AP381" s="899">
        <v>15</v>
      </c>
      <c r="AQ381" s="899" t="s">
        <v>803</v>
      </c>
      <c r="AR381" s="899" t="s">
        <v>803</v>
      </c>
      <c r="AS381" s="899" t="s">
        <v>2687</v>
      </c>
      <c r="AT381" s="899" t="s">
        <v>24</v>
      </c>
      <c r="AU381" s="899" t="s">
        <v>2687</v>
      </c>
      <c r="AV381" s="899" t="s">
        <v>24</v>
      </c>
      <c r="AW381" s="899" t="s">
        <v>4065</v>
      </c>
      <c r="AX381" s="899"/>
      <c r="AY381" s="899"/>
      <c r="AZ381" s="899" t="s">
        <v>7317</v>
      </c>
      <c r="BA381" s="899">
        <v>1</v>
      </c>
      <c r="BB381" s="899">
        <v>1</v>
      </c>
      <c r="BC381" s="899" t="s">
        <v>7533</v>
      </c>
      <c r="BD381" s="899" t="s">
        <v>7526</v>
      </c>
      <c r="BE381" s="899"/>
      <c r="BF381" s="899" t="s">
        <v>1130</v>
      </c>
      <c r="BG381" s="899" t="s">
        <v>3279</v>
      </c>
      <c r="BH381" s="892"/>
      <c r="BI381" s="892"/>
      <c r="BJ381" s="893">
        <v>1</v>
      </c>
      <c r="BK381" s="893"/>
      <c r="BL381" s="893"/>
      <c r="BM381" s="893"/>
      <c r="BN381" s="893"/>
      <c r="BO381" s="893"/>
      <c r="BP381" s="893"/>
      <c r="BQ381" s="893"/>
      <c r="BR381" s="893"/>
      <c r="BS381" s="893"/>
      <c r="BT381" s="893"/>
      <c r="BU381" s="893"/>
      <c r="BV381" s="893"/>
      <c r="BW381" s="894" t="s">
        <v>4088</v>
      </c>
      <c r="BX381" s="895" t="s">
        <v>6595</v>
      </c>
      <c r="BY381" s="896" t="s">
        <v>7615</v>
      </c>
      <c r="BZ381" s="897" t="s">
        <v>803</v>
      </c>
      <c r="CA381" s="898">
        <v>4</v>
      </c>
      <c r="CB381" s="898" t="s">
        <v>7556</v>
      </c>
      <c r="CC381" s="1807" t="s">
        <v>7454</v>
      </c>
      <c r="CD381" s="899" t="s">
        <v>1876</v>
      </c>
      <c r="CE381" s="899">
        <v>2</v>
      </c>
      <c r="CF381" s="899"/>
      <c r="CG381" s="899" t="s">
        <v>7568</v>
      </c>
      <c r="CH381" s="899" t="s">
        <v>1488</v>
      </c>
      <c r="CI381" s="899" t="s">
        <v>1121</v>
      </c>
      <c r="CJ381" s="899"/>
      <c r="CK381" s="899" t="s">
        <v>4091</v>
      </c>
      <c r="CL381" s="134" t="s">
        <v>8277</v>
      </c>
      <c r="CM381" s="900" t="s">
        <v>4085</v>
      </c>
      <c r="CN381" s="901">
        <v>0</v>
      </c>
      <c r="CO381" s="902">
        <v>10</v>
      </c>
      <c r="CP381" s="902">
        <v>3</v>
      </c>
      <c r="CQ381" s="902">
        <v>1</v>
      </c>
      <c r="CR381" s="902">
        <v>0</v>
      </c>
      <c r="CS381" s="902">
        <v>1</v>
      </c>
      <c r="CT381" s="971"/>
      <c r="CU381" s="1289" t="s">
        <v>8104</v>
      </c>
      <c r="CV381" s="1295">
        <v>66</v>
      </c>
      <c r="CW381" s="1295">
        <v>58</v>
      </c>
      <c r="CX381" s="903" t="s">
        <v>4070</v>
      </c>
      <c r="CY381" s="899">
        <v>44.679400000000001</v>
      </c>
      <c r="CZ381" s="899" t="s">
        <v>24</v>
      </c>
      <c r="DA381" s="899">
        <f>50.7715-Table66[[#This Row],[Data_Outcome1_M]]</f>
        <v>6.0921000000000021</v>
      </c>
      <c r="DB381" s="903" t="s">
        <v>4069</v>
      </c>
      <c r="DC381" s="899">
        <v>48.732199999999999</v>
      </c>
      <c r="DD381" s="899" t="s">
        <v>24</v>
      </c>
      <c r="DE381" s="899">
        <f>54.8242-Table66[[#This Row],[Data_Outcome2_M]]</f>
        <v>6.0919999999999987</v>
      </c>
      <c r="DF381" s="1005" t="s">
        <v>4083</v>
      </c>
      <c r="DG381" s="1006" t="s">
        <v>2480</v>
      </c>
      <c r="DH381" s="1004" t="s">
        <v>24</v>
      </c>
      <c r="DI381" s="883"/>
      <c r="DJ381" s="1218"/>
      <c r="DK381" s="883"/>
      <c r="DL381" s="1220"/>
      <c r="DM381" s="1218"/>
      <c r="DN381" s="1218"/>
      <c r="DO381" s="1218"/>
      <c r="DP381" s="904"/>
      <c r="DQ381" s="905"/>
      <c r="DR381" s="1223"/>
      <c r="DS381" s="1224"/>
      <c r="DT381" s="1220"/>
      <c r="DU381" s="1218"/>
      <c r="DV381" s="1218"/>
      <c r="DW381" s="1218"/>
      <c r="DX381" s="1218"/>
      <c r="DY381" s="1218"/>
      <c r="DZ381" s="1218"/>
      <c r="EA381" s="1218"/>
      <c r="EB381" s="1010"/>
      <c r="EC381" s="1011"/>
      <c r="ED381" s="1218"/>
      <c r="EE381" s="1218"/>
      <c r="EF381" s="1218"/>
      <c r="EG381" s="1218"/>
      <c r="EH381" s="1218"/>
      <c r="EI381" s="1218"/>
      <c r="EJ381" s="1218"/>
      <c r="EK381" s="1218"/>
      <c r="EL381" s="1010"/>
      <c r="EM381" s="1011"/>
      <c r="EN381" s="1223"/>
      <c r="EO381" s="1219"/>
      <c r="EP381" s="1218"/>
      <c r="EQ381" s="1218"/>
      <c r="ER381" s="1218"/>
      <c r="ES381" s="1218"/>
      <c r="ET381" s="1220"/>
      <c r="EU381" s="1218"/>
      <c r="EV381" s="1218"/>
      <c r="EW381" s="1218"/>
      <c r="EX381" s="1011"/>
      <c r="EY381" s="1011"/>
      <c r="EZ381" s="1220"/>
      <c r="FA381" s="1218"/>
      <c r="FB381" s="1218"/>
      <c r="FC381" s="1218"/>
      <c r="FD381" s="1220"/>
      <c r="FE381" s="1218"/>
      <c r="FF381" s="1218"/>
      <c r="FG381" s="1218"/>
      <c r="FH381" s="1011"/>
      <c r="FI381" s="1011"/>
      <c r="FJ381" s="1219"/>
    </row>
    <row r="382" spans="1:166" s="1303" customFormat="1" ht="16" hidden="1" customHeight="1">
      <c r="A382" s="79" t="s">
        <v>1055</v>
      </c>
      <c r="B382" s="362">
        <v>124</v>
      </c>
      <c r="C382" s="362">
        <v>32</v>
      </c>
      <c r="D382" s="362"/>
      <c r="E382" s="604" t="s">
        <v>2074</v>
      </c>
      <c r="F382" s="124" t="s">
        <v>2327</v>
      </c>
      <c r="G382" s="125">
        <v>2010</v>
      </c>
      <c r="H382" s="79">
        <v>20700523</v>
      </c>
      <c r="I382" s="79">
        <v>1</v>
      </c>
      <c r="J382" s="126"/>
      <c r="K382" s="127"/>
      <c r="L382" s="79">
        <v>1</v>
      </c>
      <c r="M382" s="79"/>
      <c r="N382" s="79">
        <v>1</v>
      </c>
      <c r="O382" s="128">
        <v>2</v>
      </c>
      <c r="P382" s="79" t="s">
        <v>1342</v>
      </c>
      <c r="Q382" s="79" t="s">
        <v>1224</v>
      </c>
      <c r="R382" s="79" t="s">
        <v>1127</v>
      </c>
      <c r="S382" s="79"/>
      <c r="T382" s="79" t="s">
        <v>1498</v>
      </c>
      <c r="U382" s="79" t="s">
        <v>803</v>
      </c>
      <c r="V382" s="79"/>
      <c r="W382" s="79" t="s">
        <v>1341</v>
      </c>
      <c r="X382" s="79"/>
      <c r="Y382" s="79"/>
      <c r="Z382" s="79"/>
      <c r="AA382" s="79"/>
      <c r="AB382" s="79"/>
      <c r="AC382" s="506"/>
      <c r="AD382" s="573">
        <v>1</v>
      </c>
      <c r="AE382" s="573">
        <v>2</v>
      </c>
      <c r="AF382" s="154">
        <v>1</v>
      </c>
      <c r="AG382" s="155"/>
      <c r="AH382" s="704">
        <v>0</v>
      </c>
      <c r="AI382" s="121">
        <v>4</v>
      </c>
      <c r="AJ382" s="484"/>
      <c r="AK382" s="202" t="s">
        <v>4573</v>
      </c>
      <c r="AL382" s="192" t="s">
        <v>7448</v>
      </c>
      <c r="AM382" s="203" t="s">
        <v>4572</v>
      </c>
      <c r="AN382" s="121">
        <f>Table66[[#This Row],[Data_Subjects_n_ptsd]]+Table66[[#This Row],[Data_Subjects_n_control]]</f>
        <v>24</v>
      </c>
      <c r="AO382" s="121">
        <v>12</v>
      </c>
      <c r="AP382" s="121">
        <v>12</v>
      </c>
      <c r="AQ382" s="121" t="s">
        <v>803</v>
      </c>
      <c r="AR382" s="121" t="s">
        <v>803</v>
      </c>
      <c r="AS382" s="121" t="s">
        <v>4544</v>
      </c>
      <c r="AT382" s="121" t="s">
        <v>24</v>
      </c>
      <c r="AU382" s="121" t="s">
        <v>4544</v>
      </c>
      <c r="AV382" s="121" t="s">
        <v>24</v>
      </c>
      <c r="AW382" s="121" t="s">
        <v>4561</v>
      </c>
      <c r="AX382" s="121">
        <v>10</v>
      </c>
      <c r="AY382" s="121">
        <v>1</v>
      </c>
      <c r="AZ382" s="754" t="s">
        <v>1814</v>
      </c>
      <c r="BA382" s="121">
        <v>1</v>
      </c>
      <c r="BB382" s="121" t="s">
        <v>4545</v>
      </c>
      <c r="BC382" s="121" t="s">
        <v>4546</v>
      </c>
      <c r="BD382" s="754" t="s">
        <v>7522</v>
      </c>
      <c r="BE382" s="754"/>
      <c r="BF382" s="121" t="s">
        <v>1130</v>
      </c>
      <c r="BG382" s="121" t="s">
        <v>3279</v>
      </c>
      <c r="BH382" s="594"/>
      <c r="BI382" s="594"/>
      <c r="BJ382" s="156">
        <v>1</v>
      </c>
      <c r="BK382" s="156" t="s">
        <v>1917</v>
      </c>
      <c r="BL382" s="156"/>
      <c r="BM382" s="156"/>
      <c r="BN382" s="156"/>
      <c r="BO382" s="156"/>
      <c r="BP382" s="156"/>
      <c r="BQ382" s="156"/>
      <c r="BR382" s="156"/>
      <c r="BS382" s="156"/>
      <c r="BT382" s="156"/>
      <c r="BU382" s="156"/>
      <c r="BV382" s="156"/>
      <c r="BW382" s="595" t="s">
        <v>6701</v>
      </c>
      <c r="BX382" s="157" t="s">
        <v>6657</v>
      </c>
      <c r="BY382" s="797" t="s">
        <v>7613</v>
      </c>
      <c r="BZ382" s="789" t="s">
        <v>803</v>
      </c>
      <c r="CA382" s="765">
        <v>1</v>
      </c>
      <c r="CB382" s="765" t="s">
        <v>7556</v>
      </c>
      <c r="CC382" s="765" t="s">
        <v>7384</v>
      </c>
      <c r="CD382" s="134" t="s">
        <v>1876</v>
      </c>
      <c r="CE382" s="134" t="s">
        <v>4547</v>
      </c>
      <c r="CF382" s="400" t="s">
        <v>7582</v>
      </c>
      <c r="CG382" s="134" t="s">
        <v>4562</v>
      </c>
      <c r="CH382" s="753" t="s">
        <v>7310</v>
      </c>
      <c r="CI382" s="134" t="s">
        <v>4549</v>
      </c>
      <c r="CJ382" s="134"/>
      <c r="CK382" s="134" t="s">
        <v>8299</v>
      </c>
      <c r="CL382" s="150" t="s">
        <v>8300</v>
      </c>
      <c r="CM382" s="259" t="s">
        <v>4560</v>
      </c>
      <c r="CN382" s="454" t="s">
        <v>24</v>
      </c>
      <c r="CO382" s="828">
        <v>29</v>
      </c>
      <c r="CP382" s="828">
        <v>1</v>
      </c>
      <c r="CQ382" s="828">
        <v>2</v>
      </c>
      <c r="CR382" s="828">
        <v>1</v>
      </c>
      <c r="CS382" s="828">
        <v>1</v>
      </c>
      <c r="CT382" s="967"/>
      <c r="CU382" s="1289" t="s">
        <v>8104</v>
      </c>
      <c r="CV382" s="1295">
        <v>85</v>
      </c>
      <c r="CW382" s="1295">
        <v>77</v>
      </c>
      <c r="CX382" s="138" t="s">
        <v>4552</v>
      </c>
      <c r="CY382" s="134">
        <v>274.61099999999999</v>
      </c>
      <c r="CZ382" s="134" t="s">
        <v>24</v>
      </c>
      <c r="DA382" s="134">
        <f>284.974-Table66[[#This Row],[Data_Outcome1_M]]</f>
        <v>10.363</v>
      </c>
      <c r="DB382" s="138" t="s">
        <v>4553</v>
      </c>
      <c r="DC382" s="134">
        <v>20.7254</v>
      </c>
      <c r="DD382" s="134" t="s">
        <v>24</v>
      </c>
      <c r="DE382" s="134">
        <f>24.8705-Table66[[#This Row],[Data_Outcome2_M]]</f>
        <v>4.1450999999999993</v>
      </c>
      <c r="DF382" s="288" t="s">
        <v>4557</v>
      </c>
      <c r="DG382" s="288" t="s">
        <v>4558</v>
      </c>
      <c r="DH382" s="1175"/>
      <c r="DI382" s="417"/>
      <c r="DJ382" s="1169"/>
      <c r="DK382" s="417"/>
      <c r="DL382" s="1171"/>
      <c r="DM382" s="417"/>
      <c r="DN382" s="1169"/>
      <c r="DO382" s="1151"/>
      <c r="DP382" s="288"/>
      <c r="DQ382" s="1140"/>
      <c r="DR382" s="1168"/>
      <c r="DS382" s="865"/>
      <c r="DT382" s="1171"/>
      <c r="DU382" s="121"/>
      <c r="DV382" s="1169"/>
      <c r="DW382" s="121"/>
      <c r="DX382" s="1171"/>
      <c r="DY382" s="121"/>
      <c r="DZ382" s="1169"/>
      <c r="EA382" s="121"/>
      <c r="EB382" s="304"/>
      <c r="EC382" s="312"/>
      <c r="ED382" s="1169"/>
      <c r="EE382" s="1169"/>
      <c r="EF382" s="1169"/>
      <c r="EG382" s="1169"/>
      <c r="EH382" s="1169"/>
      <c r="EI382" s="1169"/>
      <c r="EJ382" s="1169"/>
      <c r="EK382" s="1169"/>
      <c r="EL382" s="304"/>
      <c r="EM382" s="312"/>
      <c r="EN382" s="309"/>
      <c r="EO382" s="1170"/>
      <c r="EP382" s="1169"/>
      <c r="EQ382" s="1169"/>
      <c r="ER382" s="1169"/>
      <c r="ES382" s="1169"/>
      <c r="ET382" s="1171"/>
      <c r="EU382" s="1169"/>
      <c r="EV382" s="1169"/>
      <c r="EW382" s="1169"/>
      <c r="EX382" s="312"/>
      <c r="EY382" s="312"/>
      <c r="EZ382" s="1171"/>
      <c r="FA382" s="1169"/>
      <c r="FB382" s="1169"/>
      <c r="FC382" s="1169"/>
      <c r="FD382" s="1171"/>
      <c r="FE382" s="1169"/>
      <c r="FF382" s="1169"/>
      <c r="FG382" s="1169"/>
      <c r="FH382" s="312"/>
      <c r="FI382" s="312"/>
      <c r="FJ382" s="1170"/>
    </row>
    <row r="383" spans="1:166" s="1303" customFormat="1" ht="15" hidden="1" customHeight="1">
      <c r="A383" s="118" t="s">
        <v>1057</v>
      </c>
      <c r="B383" s="616">
        <v>123</v>
      </c>
      <c r="C383" s="616"/>
      <c r="D383" s="616">
        <v>39</v>
      </c>
      <c r="E383" s="605" t="s">
        <v>2074</v>
      </c>
      <c r="F383" s="140" t="s">
        <v>2326</v>
      </c>
      <c r="G383" s="141">
        <v>2012</v>
      </c>
      <c r="H383" s="118">
        <v>22659471</v>
      </c>
      <c r="I383" s="118">
        <v>1</v>
      </c>
      <c r="J383" s="118"/>
      <c r="K383" s="118"/>
      <c r="L383" s="118">
        <v>1</v>
      </c>
      <c r="M383" s="118"/>
      <c r="N383" s="118">
        <v>1</v>
      </c>
      <c r="O383" s="142">
        <v>2</v>
      </c>
      <c r="P383" s="118" t="s">
        <v>1336</v>
      </c>
      <c r="Q383" s="118" t="s">
        <v>1224</v>
      </c>
      <c r="R383" s="118" t="s">
        <v>1127</v>
      </c>
      <c r="S383" s="118"/>
      <c r="T383" s="118" t="s">
        <v>1498</v>
      </c>
      <c r="U383" s="118" t="s">
        <v>803</v>
      </c>
      <c r="V383" s="118"/>
      <c r="W383" s="118" t="s">
        <v>1337</v>
      </c>
      <c r="X383" s="118" t="s">
        <v>1338</v>
      </c>
      <c r="Y383" s="118"/>
      <c r="Z383" s="118"/>
      <c r="AA383" s="118"/>
      <c r="AB383" s="118"/>
      <c r="AC383" s="145" t="s">
        <v>1227</v>
      </c>
      <c r="AD383" s="653">
        <v>1</v>
      </c>
      <c r="AE383" s="653">
        <v>1</v>
      </c>
      <c r="AF383" s="159">
        <v>1</v>
      </c>
      <c r="AG383" s="160" t="s">
        <v>7870</v>
      </c>
      <c r="AH383" s="704"/>
      <c r="AI383" s="122">
        <v>4</v>
      </c>
      <c r="AJ383" s="485"/>
      <c r="AK383" s="204" t="s">
        <v>6829</v>
      </c>
      <c r="AL383" s="192">
        <v>2</v>
      </c>
      <c r="AM383" s="205">
        <v>0</v>
      </c>
      <c r="AN383" s="122">
        <f>Table66[[#This Row],[Data_Subjects_n_ptsd]]+Table66[[#This Row],[Data_Subjects_n_control]]</f>
        <v>24</v>
      </c>
      <c r="AO383" s="122">
        <v>12</v>
      </c>
      <c r="AP383" s="122">
        <v>12</v>
      </c>
      <c r="AQ383" s="122" t="s">
        <v>803</v>
      </c>
      <c r="AR383" s="122" t="s">
        <v>803</v>
      </c>
      <c r="AS383" s="1601" t="s">
        <v>4544</v>
      </c>
      <c r="AT383" s="150" t="s">
        <v>24</v>
      </c>
      <c r="AU383" s="1601" t="s">
        <v>4544</v>
      </c>
      <c r="AV383" s="150" t="s">
        <v>24</v>
      </c>
      <c r="AW383" s="150" t="s">
        <v>6830</v>
      </c>
      <c r="AX383" s="122">
        <v>10</v>
      </c>
      <c r="AY383" s="122">
        <v>1</v>
      </c>
      <c r="AZ383" s="754" t="s">
        <v>1814</v>
      </c>
      <c r="BA383" s="122">
        <v>1</v>
      </c>
      <c r="BB383" s="122">
        <v>1</v>
      </c>
      <c r="BC383" s="122" t="s">
        <v>5662</v>
      </c>
      <c r="BD383" s="754" t="s">
        <v>7522</v>
      </c>
      <c r="BE383" s="754"/>
      <c r="BF383" s="122" t="s">
        <v>1130</v>
      </c>
      <c r="BG383" s="122" t="s">
        <v>6653</v>
      </c>
      <c r="BH383" s="588"/>
      <c r="BI383" s="588"/>
      <c r="BJ383" s="161">
        <v>1</v>
      </c>
      <c r="BK383" s="161"/>
      <c r="BL383" s="161"/>
      <c r="BM383" s="161"/>
      <c r="BN383" s="161"/>
      <c r="BO383" s="161"/>
      <c r="BP383" s="161">
        <v>1</v>
      </c>
      <c r="BQ383" s="161"/>
      <c r="BR383" s="161"/>
      <c r="BS383" s="161"/>
      <c r="BT383" s="161"/>
      <c r="BU383" s="161"/>
      <c r="BV383" s="161"/>
      <c r="BW383" s="596" t="s">
        <v>6865</v>
      </c>
      <c r="BX383" s="162" t="s">
        <v>6657</v>
      </c>
      <c r="BY383" s="797" t="s">
        <v>7613</v>
      </c>
      <c r="BZ383" s="790" t="s">
        <v>803</v>
      </c>
      <c r="CA383" s="766">
        <v>1</v>
      </c>
      <c r="CB383" s="765" t="s">
        <v>7556</v>
      </c>
      <c r="CC383" s="766" t="s">
        <v>7384</v>
      </c>
      <c r="CD383" s="150" t="s">
        <v>1876</v>
      </c>
      <c r="CE383" s="150" t="s">
        <v>6834</v>
      </c>
      <c r="CF383" s="400" t="s">
        <v>7582</v>
      </c>
      <c r="CG383" s="150" t="s">
        <v>6835</v>
      </c>
      <c r="CH383" s="753" t="s">
        <v>7310</v>
      </c>
      <c r="CI383" s="150" t="s">
        <v>6839</v>
      </c>
      <c r="CJ383" s="150"/>
      <c r="CK383" s="150" t="s">
        <v>6841</v>
      </c>
      <c r="CL383" s="134" t="s">
        <v>8283</v>
      </c>
      <c r="CM383" s="258" t="s">
        <v>6873</v>
      </c>
      <c r="CN383" s="257" t="s">
        <v>6627</v>
      </c>
      <c r="CO383" s="829">
        <v>28</v>
      </c>
      <c r="CP383" s="829">
        <v>1</v>
      </c>
      <c r="CQ383" s="829">
        <v>1</v>
      </c>
      <c r="CR383" s="829">
        <v>0</v>
      </c>
      <c r="CS383" s="829">
        <v>1</v>
      </c>
      <c r="CT383" s="968"/>
      <c r="CU383" s="1289" t="s">
        <v>8104</v>
      </c>
      <c r="CV383" s="1295">
        <v>83</v>
      </c>
      <c r="CW383" s="1295">
        <v>75</v>
      </c>
      <c r="CX383" s="151" t="s">
        <v>6864</v>
      </c>
      <c r="CY383" s="266">
        <v>63.706000000000003</v>
      </c>
      <c r="CZ383" s="150" t="s">
        <v>24</v>
      </c>
      <c r="DA383" s="351">
        <f>89.3087-Table66[[#This Row],[Data_Outcome1_M]]</f>
        <v>25.602699999999999</v>
      </c>
      <c r="DB383" s="438" t="s">
        <v>7883</v>
      </c>
      <c r="DC383" s="266">
        <v>9.29969</v>
      </c>
      <c r="DD383" s="150" t="s">
        <v>24</v>
      </c>
      <c r="DE383" s="266">
        <f>12.0826-Table66[[#This Row],[Data_Outcome2_M]]</f>
        <v>2.7829099999999993</v>
      </c>
      <c r="DF383" s="294" t="s">
        <v>6871</v>
      </c>
      <c r="DG383" s="1116" t="s">
        <v>6872</v>
      </c>
      <c r="DH383" s="1178"/>
      <c r="DI383" s="500"/>
      <c r="DJ383" s="1164"/>
      <c r="DK383" s="500"/>
      <c r="DL383" s="1166"/>
      <c r="DM383" s="500"/>
      <c r="DN383" s="1164"/>
      <c r="DO383" s="1150"/>
      <c r="DP383" s="290"/>
      <c r="DQ383" s="388"/>
      <c r="DR383" s="1168"/>
      <c r="DS383" s="865"/>
      <c r="DT383" s="1166"/>
      <c r="DU383" s="1164"/>
      <c r="DV383" s="1164"/>
      <c r="DW383" s="1164"/>
      <c r="DX383" s="1164"/>
      <c r="DY383" s="1164"/>
      <c r="DZ383" s="1164"/>
      <c r="EA383" s="1164"/>
      <c r="EB383" s="311"/>
      <c r="EC383" s="313"/>
      <c r="ED383" s="1164"/>
      <c r="EE383" s="1164"/>
      <c r="EF383" s="1164"/>
      <c r="EG383" s="1164"/>
      <c r="EH383" s="1164"/>
      <c r="EI383" s="1164"/>
      <c r="EJ383" s="1164"/>
      <c r="EK383" s="1164"/>
      <c r="EL383" s="311"/>
      <c r="EM383" s="313"/>
      <c r="EN383" s="1167"/>
      <c r="EO383" s="1165"/>
      <c r="EP383" s="1164"/>
      <c r="EQ383" s="1164"/>
      <c r="ER383" s="1164"/>
      <c r="ES383" s="1164"/>
      <c r="ET383" s="1166"/>
      <c r="EU383" s="1164"/>
      <c r="EV383" s="1164"/>
      <c r="EW383" s="1164"/>
      <c r="EX383" s="313"/>
      <c r="EY383" s="313"/>
      <c r="EZ383" s="1166"/>
      <c r="FA383" s="1164"/>
      <c r="FB383" s="1164"/>
      <c r="FC383" s="1164"/>
      <c r="FD383" s="1166"/>
      <c r="FE383" s="1164"/>
      <c r="FF383" s="1164"/>
      <c r="FG383" s="1164"/>
      <c r="FH383" s="313"/>
      <c r="FI383" s="313"/>
      <c r="FJ383" s="1165"/>
    </row>
    <row r="384" spans="1:166" s="717" customFormat="1" ht="18" hidden="1" customHeight="1">
      <c r="A384" s="153" t="s">
        <v>1026</v>
      </c>
      <c r="B384" s="1405">
        <v>24</v>
      </c>
      <c r="C384" s="1405"/>
      <c r="D384" s="1405"/>
      <c r="E384" s="1098" t="s">
        <v>2088</v>
      </c>
      <c r="F384" s="1021" t="s">
        <v>2343</v>
      </c>
      <c r="G384" s="1099">
        <v>2012</v>
      </c>
      <c r="H384" s="153">
        <v>22176467</v>
      </c>
      <c r="I384" s="1090">
        <v>1</v>
      </c>
      <c r="J384" s="1090" t="s">
        <v>1855</v>
      </c>
      <c r="K384" s="1090"/>
      <c r="L384" s="1090">
        <v>0</v>
      </c>
      <c r="M384" s="1090"/>
      <c r="N384" s="1090">
        <v>0</v>
      </c>
      <c r="O384" s="153">
        <v>2</v>
      </c>
      <c r="P384" s="1090" t="s">
        <v>1404</v>
      </c>
      <c r="Q384" s="1090" t="s">
        <v>1212</v>
      </c>
      <c r="R384" s="1090" t="s">
        <v>1127</v>
      </c>
      <c r="S384" s="1090"/>
      <c r="T384" s="1090" t="s">
        <v>1488</v>
      </c>
      <c r="U384" s="1090" t="s">
        <v>803</v>
      </c>
      <c r="V384" s="1090"/>
      <c r="W384" s="1090" t="s">
        <v>1403</v>
      </c>
      <c r="X384" s="1090"/>
      <c r="Y384" s="1090"/>
      <c r="Z384" s="1090"/>
      <c r="AA384" s="1090"/>
      <c r="AB384" s="1090"/>
      <c r="AC384" s="1409"/>
      <c r="AD384" s="1409">
        <v>1</v>
      </c>
      <c r="AE384" s="1409">
        <v>2</v>
      </c>
      <c r="AF384" s="1100">
        <v>0</v>
      </c>
      <c r="AG384" s="708" t="s">
        <v>8116</v>
      </c>
      <c r="AH384" s="536" t="s">
        <v>7700</v>
      </c>
      <c r="AI384" s="536">
        <v>4</v>
      </c>
      <c r="AJ384" s="536"/>
      <c r="AK384" s="1023" t="s">
        <v>3049</v>
      </c>
      <c r="AL384" s="1021">
        <v>1</v>
      </c>
      <c r="AM384" s="1022">
        <v>0</v>
      </c>
      <c r="AN384" s="536" t="s">
        <v>3047</v>
      </c>
      <c r="AO384" s="536">
        <f>8+8</f>
        <v>16</v>
      </c>
      <c r="AP384" s="536" t="s">
        <v>24</v>
      </c>
      <c r="AQ384" s="536" t="s">
        <v>803</v>
      </c>
      <c r="AR384" s="536" t="s">
        <v>24</v>
      </c>
      <c r="AS384" s="536" t="s">
        <v>3031</v>
      </c>
      <c r="AT384" s="536" t="s">
        <v>24</v>
      </c>
      <c r="AU384" s="536" t="s">
        <v>3031</v>
      </c>
      <c r="AV384" s="536" t="s">
        <v>24</v>
      </c>
      <c r="AW384" s="536" t="s">
        <v>7698</v>
      </c>
      <c r="AX384" s="1409">
        <v>15</v>
      </c>
      <c r="AY384" s="1409">
        <v>1</v>
      </c>
      <c r="AZ384" s="536" t="s">
        <v>1814</v>
      </c>
      <c r="BA384" s="1409">
        <v>1</v>
      </c>
      <c r="BB384" s="1409" t="s">
        <v>7690</v>
      </c>
      <c r="BC384" s="536" t="s">
        <v>24</v>
      </c>
      <c r="BD384" s="536"/>
      <c r="BE384" s="536"/>
      <c r="BF384" s="536" t="s">
        <v>2730</v>
      </c>
      <c r="BG384" s="536" t="s">
        <v>3045</v>
      </c>
      <c r="BH384" s="1021"/>
      <c r="BI384" s="1021"/>
      <c r="BJ384" s="712">
        <v>1</v>
      </c>
      <c r="BK384" s="712"/>
      <c r="BL384" s="712"/>
      <c r="BM384" s="712"/>
      <c r="BN384" s="712"/>
      <c r="BO384" s="712"/>
      <c r="BP384" s="712"/>
      <c r="BQ384" s="712"/>
      <c r="BR384" s="712"/>
      <c r="BS384" s="712"/>
      <c r="BT384" s="712"/>
      <c r="BU384" s="712"/>
      <c r="BV384" s="712"/>
      <c r="BW384" s="712" t="s">
        <v>2977</v>
      </c>
      <c r="BX384" s="710" t="s">
        <v>7560</v>
      </c>
      <c r="BY384" s="710" t="s">
        <v>7613</v>
      </c>
      <c r="BZ384" s="710" t="s">
        <v>7609</v>
      </c>
      <c r="CA384" s="712">
        <v>1</v>
      </c>
      <c r="CB384" s="712" t="s">
        <v>7556</v>
      </c>
      <c r="CC384" s="712" t="s">
        <v>7384</v>
      </c>
      <c r="CD384" s="536" t="s">
        <v>1876</v>
      </c>
      <c r="CE384" s="536" t="s">
        <v>7474</v>
      </c>
      <c r="CF384" s="536" t="s">
        <v>7702</v>
      </c>
      <c r="CG384" s="536" t="s">
        <v>7693</v>
      </c>
      <c r="CH384" s="536" t="s">
        <v>7310</v>
      </c>
      <c r="CI384" s="536" t="s">
        <v>2471</v>
      </c>
      <c r="CJ384" s="536"/>
      <c r="CK384" s="536" t="s">
        <v>2659</v>
      </c>
      <c r="CL384" s="536" t="s">
        <v>2659</v>
      </c>
      <c r="CM384" s="1101" t="s">
        <v>3094</v>
      </c>
      <c r="CN384" s="715" t="s">
        <v>6627</v>
      </c>
      <c r="CO384" s="715">
        <v>44</v>
      </c>
      <c r="CP384" s="715">
        <v>1</v>
      </c>
      <c r="CQ384" s="715"/>
      <c r="CR384" s="715">
        <v>1</v>
      </c>
      <c r="CS384" s="715"/>
      <c r="CT384" s="715"/>
      <c r="CU384" s="715"/>
      <c r="CV384" s="1101"/>
      <c r="CW384" s="1101"/>
      <c r="CX384" s="710" t="s">
        <v>3084</v>
      </c>
      <c r="CY384" s="536">
        <v>38.994799999999998</v>
      </c>
      <c r="CZ384" s="536" t="s">
        <v>24</v>
      </c>
      <c r="DA384" s="536">
        <f>52.4035-Table66[[#This Row],[Data_Outcome1_M]]</f>
        <v>13.408700000000003</v>
      </c>
      <c r="DB384" s="710" t="s">
        <v>3085</v>
      </c>
      <c r="DC384" s="536">
        <v>78.896699999999996</v>
      </c>
      <c r="DD384" s="536" t="s">
        <v>24</v>
      </c>
      <c r="DE384" s="536">
        <f>86.1664-Table66[[#This Row],[Data_Outcome2_M]]</f>
        <v>7.2697000000000003</v>
      </c>
      <c r="DF384" s="1101"/>
      <c r="DG384" s="1021"/>
      <c r="DH384" s="716" t="s">
        <v>3086</v>
      </c>
      <c r="DI384" s="536">
        <v>28.292400000000001</v>
      </c>
      <c r="DJ384" s="1298" t="s">
        <v>24</v>
      </c>
      <c r="DK384" s="536">
        <f>35.3994-Table66[[#This Row],[Data_Outcome3_M]]</f>
        <v>7.1069999999999993</v>
      </c>
      <c r="DL384" s="716" t="s">
        <v>3087</v>
      </c>
      <c r="DM384" s="1298">
        <v>64.316400000000002</v>
      </c>
      <c r="DN384" s="1298" t="s">
        <v>24</v>
      </c>
      <c r="DO384" s="1298">
        <f>76.5942-Table66[[#This Row],[Data_Outcome4_M]]</f>
        <v>12.277799999999999</v>
      </c>
      <c r="DP384" s="1101"/>
      <c r="DQ384" s="1021"/>
      <c r="DR384" s="1267"/>
      <c r="DS384" s="716"/>
      <c r="DT384" s="716" t="s">
        <v>3088</v>
      </c>
      <c r="DU384" s="536">
        <v>28.090699999999998</v>
      </c>
      <c r="DV384" s="1298" t="s">
        <v>24</v>
      </c>
      <c r="DW384" s="536">
        <f>33.2597-Table66[[#This Row],[Data_Outcome5_M]]</f>
        <v>5.169000000000004</v>
      </c>
      <c r="DX384" s="716" t="s">
        <v>3089</v>
      </c>
      <c r="DY384" s="536">
        <v>58.301400000000001</v>
      </c>
      <c r="DZ384" s="1298" t="s">
        <v>24</v>
      </c>
      <c r="EA384" s="1298">
        <f>69.7702-Table66[[#This Row],[Data_Outcome6_M]]</f>
        <v>11.468800000000002</v>
      </c>
      <c r="EB384" s="1267"/>
      <c r="EC384" s="1298"/>
      <c r="ED384" s="716" t="s">
        <v>3090</v>
      </c>
      <c r="EE384" s="536">
        <v>13.6714</v>
      </c>
      <c r="EF384" s="1298" t="s">
        <v>24</v>
      </c>
      <c r="EG384" s="536">
        <f>17.5486-Table66[[#This Row],[Data_Outcome7_M]]</f>
        <v>3.8772000000000002</v>
      </c>
      <c r="EH384" s="716" t="s">
        <v>3091</v>
      </c>
      <c r="EI384" s="1298">
        <v>44.365499999999997</v>
      </c>
      <c r="EJ384" s="1298" t="s">
        <v>24</v>
      </c>
      <c r="EK384" s="1298">
        <f>54.8663-Table66[[#This Row],[Data_Outcome8_M]]</f>
        <v>10.500800000000005</v>
      </c>
      <c r="EL384" s="715"/>
      <c r="EM384" s="1298"/>
      <c r="EN384" s="1267"/>
      <c r="EO384" s="1298"/>
      <c r="EP384" s="716" t="s">
        <v>3092</v>
      </c>
      <c r="EQ384" s="536">
        <v>9.4297699999999995</v>
      </c>
      <c r="ER384" s="1298" t="s">
        <v>24</v>
      </c>
      <c r="ES384" s="536">
        <f>10.7234-Table66[[#This Row],[Data_Outcome9_M]]</f>
        <v>1.2936300000000003</v>
      </c>
      <c r="ET384" s="716" t="s">
        <v>3093</v>
      </c>
      <c r="EU384" s="536">
        <v>29.9467</v>
      </c>
      <c r="EV384" s="1298" t="s">
        <v>24</v>
      </c>
      <c r="EW384" s="1298">
        <f>39.8019-Table66[[#This Row],[Data_Outcome10_M]]</f>
        <v>9.8552000000000035</v>
      </c>
      <c r="EX384" s="1298"/>
      <c r="EY384" s="1298"/>
      <c r="EZ384" s="716" t="s">
        <v>24</v>
      </c>
      <c r="FA384" s="536"/>
      <c r="FB384" s="1298"/>
      <c r="FC384" s="536"/>
      <c r="FD384" s="716"/>
      <c r="FE384" s="1298"/>
      <c r="FF384" s="1298"/>
      <c r="FG384" s="1298"/>
      <c r="FH384" s="1298"/>
      <c r="FI384" s="1298"/>
      <c r="FJ384" s="1298"/>
    </row>
    <row r="385" spans="1:166" s="717" customFormat="1" ht="15" hidden="1" customHeight="1">
      <c r="A385" s="153" t="s">
        <v>1026</v>
      </c>
      <c r="B385" s="1405">
        <v>24</v>
      </c>
      <c r="C385" s="1405"/>
      <c r="D385" s="1405"/>
      <c r="E385" s="1098" t="s">
        <v>2088</v>
      </c>
      <c r="F385" s="1021" t="s">
        <v>2343</v>
      </c>
      <c r="G385" s="1099">
        <v>2012</v>
      </c>
      <c r="H385" s="153">
        <v>22176467</v>
      </c>
      <c r="I385" s="1090">
        <v>1</v>
      </c>
      <c r="J385" s="1090" t="s">
        <v>1855</v>
      </c>
      <c r="K385" s="1090"/>
      <c r="L385" s="1090">
        <v>0</v>
      </c>
      <c r="M385" s="1090"/>
      <c r="N385" s="1090">
        <v>0</v>
      </c>
      <c r="O385" s="153">
        <v>2</v>
      </c>
      <c r="P385" s="1090" t="s">
        <v>1404</v>
      </c>
      <c r="Q385" s="1090" t="s">
        <v>1212</v>
      </c>
      <c r="R385" s="1090" t="s">
        <v>1127</v>
      </c>
      <c r="S385" s="1090"/>
      <c r="T385" s="1090" t="s">
        <v>1488</v>
      </c>
      <c r="U385" s="1090" t="s">
        <v>803</v>
      </c>
      <c r="V385" s="1090"/>
      <c r="W385" s="1090" t="s">
        <v>1403</v>
      </c>
      <c r="X385" s="1090"/>
      <c r="Y385" s="1090"/>
      <c r="Z385" s="1090"/>
      <c r="AA385" s="1090"/>
      <c r="AB385" s="1090"/>
      <c r="AC385" s="1409"/>
      <c r="AD385" s="1409">
        <v>1</v>
      </c>
      <c r="AE385" s="1409">
        <v>2</v>
      </c>
      <c r="AF385" s="1100">
        <v>0</v>
      </c>
      <c r="AG385" s="708" t="s">
        <v>8117</v>
      </c>
      <c r="AH385" s="536" t="s">
        <v>7700</v>
      </c>
      <c r="AI385" s="536">
        <v>4</v>
      </c>
      <c r="AJ385" s="536"/>
      <c r="AK385" s="1023" t="s">
        <v>3051</v>
      </c>
      <c r="AL385" s="1021">
        <v>1</v>
      </c>
      <c r="AM385" s="1022">
        <v>0</v>
      </c>
      <c r="AN385" s="536" t="s">
        <v>3048</v>
      </c>
      <c r="AO385" s="536">
        <f>12+12</f>
        <v>24</v>
      </c>
      <c r="AP385" s="536" t="s">
        <v>24</v>
      </c>
      <c r="AQ385" s="536" t="s">
        <v>803</v>
      </c>
      <c r="AR385" s="536" t="s">
        <v>24</v>
      </c>
      <c r="AS385" s="536" t="s">
        <v>3031</v>
      </c>
      <c r="AT385" s="536" t="s">
        <v>24</v>
      </c>
      <c r="AU385" s="536" t="s">
        <v>3031</v>
      </c>
      <c r="AV385" s="536" t="s">
        <v>24</v>
      </c>
      <c r="AW385" s="536" t="s">
        <v>7699</v>
      </c>
      <c r="AX385" s="1409">
        <v>15</v>
      </c>
      <c r="AY385" s="1409">
        <v>1</v>
      </c>
      <c r="AZ385" s="536" t="s">
        <v>1814</v>
      </c>
      <c r="BA385" s="1409">
        <v>1</v>
      </c>
      <c r="BB385" s="1409" t="s">
        <v>7690</v>
      </c>
      <c r="BC385" s="536" t="s">
        <v>24</v>
      </c>
      <c r="BD385" s="536"/>
      <c r="BE385" s="536"/>
      <c r="BF385" s="536" t="s">
        <v>2730</v>
      </c>
      <c r="BG385" s="536" t="s">
        <v>3045</v>
      </c>
      <c r="BH385" s="1021"/>
      <c r="BI385" s="1021"/>
      <c r="BJ385" s="712">
        <v>1</v>
      </c>
      <c r="BK385" s="712"/>
      <c r="BL385" s="712"/>
      <c r="BM385" s="712"/>
      <c r="BN385" s="712"/>
      <c r="BO385" s="712"/>
      <c r="BP385" s="712"/>
      <c r="BQ385" s="712"/>
      <c r="BR385" s="712"/>
      <c r="BS385" s="712"/>
      <c r="BT385" s="712"/>
      <c r="BU385" s="712"/>
      <c r="BV385" s="712"/>
      <c r="BW385" s="712" t="s">
        <v>2977</v>
      </c>
      <c r="BX385" s="710" t="s">
        <v>7560</v>
      </c>
      <c r="BY385" s="710" t="s">
        <v>7613</v>
      </c>
      <c r="BZ385" s="710" t="s">
        <v>7609</v>
      </c>
      <c r="CA385" s="712">
        <v>1</v>
      </c>
      <c r="CB385" s="712" t="s">
        <v>7556</v>
      </c>
      <c r="CC385" s="712" t="s">
        <v>7384</v>
      </c>
      <c r="CD385" s="536" t="s">
        <v>1876</v>
      </c>
      <c r="CE385" s="536" t="s">
        <v>3046</v>
      </c>
      <c r="CF385" s="536" t="s">
        <v>7702</v>
      </c>
      <c r="CG385" s="536" t="s">
        <v>7696</v>
      </c>
      <c r="CH385" s="536" t="s">
        <v>7310</v>
      </c>
      <c r="CI385" s="536" t="s">
        <v>2471</v>
      </c>
      <c r="CJ385" s="536"/>
      <c r="CK385" s="1299" t="s">
        <v>2659</v>
      </c>
      <c r="CL385" s="536" t="s">
        <v>2659</v>
      </c>
      <c r="CM385" s="1101" t="s">
        <v>3094</v>
      </c>
      <c r="CN385" s="715" t="s">
        <v>6627</v>
      </c>
      <c r="CO385" s="715">
        <v>44</v>
      </c>
      <c r="CP385" s="715">
        <v>2</v>
      </c>
      <c r="CQ385" s="715"/>
      <c r="CR385" s="715">
        <v>1</v>
      </c>
      <c r="CS385" s="715"/>
      <c r="CT385" s="715"/>
      <c r="CU385" s="715"/>
      <c r="CV385" s="1101"/>
      <c r="CW385" s="1101"/>
      <c r="CX385" s="710" t="s">
        <v>3084</v>
      </c>
      <c r="CY385" s="536">
        <v>66.630300000000005</v>
      </c>
      <c r="CZ385" s="536" t="s">
        <v>24</v>
      </c>
      <c r="DA385" s="536">
        <f>73.4839-Table66[[#This Row],[Data_Outcome1_M]]</f>
        <v>6.8536000000000001</v>
      </c>
      <c r="DB385" s="710" t="s">
        <v>3085</v>
      </c>
      <c r="DC385" s="536">
        <v>82.447500000000005</v>
      </c>
      <c r="DD385" s="536" t="s">
        <v>24</v>
      </c>
      <c r="DE385" s="536">
        <f>85.7864-Table66[[#This Row],[Data_Outcome2_M]]</f>
        <v>3.3388999999999953</v>
      </c>
      <c r="DF385" s="1101"/>
      <c r="DG385" s="1021"/>
      <c r="DH385" s="716" t="s">
        <v>3086</v>
      </c>
      <c r="DI385" s="536">
        <v>45.409599999999998</v>
      </c>
      <c r="DJ385" s="1298" t="s">
        <v>24</v>
      </c>
      <c r="DK385" s="536">
        <f>52.4392-Table66[[#This Row],[Data_Outcome3_M]]</f>
        <v>7.0296000000000021</v>
      </c>
      <c r="DL385" s="716" t="s">
        <v>3087</v>
      </c>
      <c r="DM385" s="1298">
        <v>78.800899999999999</v>
      </c>
      <c r="DN385" s="1298" t="s">
        <v>24</v>
      </c>
      <c r="DO385" s="1298">
        <f>84.952-Table66[[#This Row],[Data_Outcome4_M]]</f>
        <v>6.1510999999999996</v>
      </c>
      <c r="DP385" s="1101"/>
      <c r="DQ385" s="1021"/>
      <c r="DR385" s="1267"/>
      <c r="DS385" s="716"/>
      <c r="DT385" s="716" t="s">
        <v>3088</v>
      </c>
      <c r="DU385" s="536">
        <v>35.787599999999998</v>
      </c>
      <c r="DV385" s="1298" t="s">
        <v>24</v>
      </c>
      <c r="DW385" s="536">
        <f>40.1812-Table66[[#This Row],[Data_Outcome5_M]]</f>
        <v>4.3935999999999993</v>
      </c>
      <c r="DX385" s="716" t="s">
        <v>3089</v>
      </c>
      <c r="DY385" s="1298">
        <v>60.216299999999997</v>
      </c>
      <c r="DZ385" s="1298" t="s">
        <v>24</v>
      </c>
      <c r="EA385" s="1298">
        <f>69.7061-Table66[[#This Row],[Data_Outcome6_M]]</f>
        <v>9.4898000000000096</v>
      </c>
      <c r="EB385" s="1267"/>
      <c r="EC385" s="1298"/>
      <c r="ED385" s="716" t="s">
        <v>3090</v>
      </c>
      <c r="EE385" s="536">
        <v>21.069199999999999</v>
      </c>
      <c r="EF385" s="1298" t="s">
        <v>24</v>
      </c>
      <c r="EG385" s="536">
        <f>23.7051-Table66[[#This Row],[Data_Outcome7_M]]</f>
        <v>2.635900000000003</v>
      </c>
      <c r="EH385" s="716" t="s">
        <v>3091</v>
      </c>
      <c r="EI385" s="1298">
        <v>41.104300000000002</v>
      </c>
      <c r="EJ385" s="1298" t="s">
        <v>24</v>
      </c>
      <c r="EK385" s="1298">
        <f>47.2554-Table66[[#This Row],[Data_Outcome8_M]]</f>
        <v>6.1510999999999996</v>
      </c>
      <c r="EL385" s="1267"/>
      <c r="EM385" s="1298"/>
      <c r="EN385" s="1267"/>
      <c r="EO385" s="1298"/>
      <c r="EP385" s="710" t="s">
        <v>3092</v>
      </c>
      <c r="EQ385" s="536">
        <v>17.775300000000001</v>
      </c>
      <c r="ER385" s="536" t="s">
        <v>24</v>
      </c>
      <c r="ES385" s="536">
        <f>20.7625-Table66[[#This Row],[Data_Outcome9_M]]</f>
        <v>2.9871999999999979</v>
      </c>
      <c r="ET385" s="710" t="s">
        <v>3093</v>
      </c>
      <c r="EU385" s="536">
        <v>24.804400000000001</v>
      </c>
      <c r="EV385" s="1298" t="s">
        <v>24</v>
      </c>
      <c r="EW385" s="1298">
        <f>28.4951-Table66[[#This Row],[Data_Outcome10_M]]</f>
        <v>3.6906999999999996</v>
      </c>
      <c r="EX385" s="1298"/>
      <c r="EY385" s="1298"/>
      <c r="EZ385" s="716" t="s">
        <v>24</v>
      </c>
      <c r="FA385" s="536"/>
      <c r="FB385" s="1298"/>
      <c r="FC385" s="536"/>
      <c r="FD385" s="716"/>
      <c r="FE385" s="1298"/>
      <c r="FF385" s="1298"/>
      <c r="FG385" s="1298"/>
      <c r="FH385" s="1298"/>
      <c r="FI385" s="1298"/>
      <c r="FJ385" s="1298"/>
    </row>
    <row r="386" spans="1:166" s="1089" customFormat="1" ht="15" hidden="1" customHeight="1">
      <c r="A386" s="153" t="s">
        <v>210</v>
      </c>
      <c r="B386" s="618">
        <v>155</v>
      </c>
      <c r="C386" s="618"/>
      <c r="D386" s="618">
        <v>53</v>
      </c>
      <c r="E386" s="610" t="s">
        <v>1980</v>
      </c>
      <c r="F386" s="368" t="s">
        <v>2204</v>
      </c>
      <c r="G386" s="369">
        <v>2015</v>
      </c>
      <c r="H386" s="153">
        <v>26011671</v>
      </c>
      <c r="I386" s="153">
        <v>1</v>
      </c>
      <c r="J386" s="370"/>
      <c r="K386" s="371"/>
      <c r="L386" s="153">
        <v>1</v>
      </c>
      <c r="M386" s="153"/>
      <c r="N386" s="153">
        <v>1</v>
      </c>
      <c r="O386" s="153">
        <v>1</v>
      </c>
      <c r="P386" s="153" t="s">
        <v>599</v>
      </c>
      <c r="Q386" s="153" t="s">
        <v>1164</v>
      </c>
      <c r="R386" s="153" t="s">
        <v>498</v>
      </c>
      <c r="S386" s="153">
        <v>0</v>
      </c>
      <c r="T386" s="153"/>
      <c r="U386" s="153"/>
      <c r="V386" s="153"/>
      <c r="W386" s="153" t="s">
        <v>600</v>
      </c>
      <c r="X386" s="153"/>
      <c r="Y386" s="153"/>
      <c r="Z386" s="153"/>
      <c r="AA386" s="153"/>
      <c r="AB386" s="153" t="s">
        <v>601</v>
      </c>
      <c r="AC386" s="536" t="s">
        <v>6233</v>
      </c>
      <c r="AD386" s="536">
        <v>1</v>
      </c>
      <c r="AE386" s="536">
        <v>0</v>
      </c>
      <c r="AF386" s="576">
        <v>0</v>
      </c>
      <c r="AG386" s="577" t="s">
        <v>7270</v>
      </c>
      <c r="AH386" s="509">
        <v>0</v>
      </c>
      <c r="AI386" s="120"/>
      <c r="AJ386" s="120"/>
      <c r="AK386" s="206"/>
      <c r="AL386" s="372"/>
      <c r="AM386" s="207"/>
      <c r="AN386" s="120"/>
      <c r="AO386" s="120"/>
      <c r="AP386" s="120"/>
      <c r="AQ386" s="120"/>
      <c r="AR386" s="120"/>
      <c r="AS386" s="120"/>
      <c r="AT386" s="120"/>
      <c r="AU386" s="120"/>
      <c r="AV386" s="120"/>
      <c r="AW386" s="120"/>
      <c r="AX386" s="120"/>
      <c r="AY386" s="120"/>
      <c r="AZ386" s="755"/>
      <c r="BA386" s="120"/>
      <c r="BB386" s="120"/>
      <c r="BC386" s="120"/>
      <c r="BD386" s="755"/>
      <c r="BE386" s="755"/>
      <c r="BF386" s="120"/>
      <c r="BG386" s="120"/>
      <c r="BH386" s="377"/>
      <c r="BI386" s="377"/>
      <c r="BJ386" s="373"/>
      <c r="BK386" s="373"/>
      <c r="BL386" s="373"/>
      <c r="BM386" s="373"/>
      <c r="BN386" s="373"/>
      <c r="BO386" s="373"/>
      <c r="BP386" s="373"/>
      <c r="BQ386" s="373"/>
      <c r="BR386" s="373"/>
      <c r="BS386" s="373"/>
      <c r="BT386" s="373"/>
      <c r="BU386" s="373"/>
      <c r="BV386" s="373" t="s">
        <v>5545</v>
      </c>
      <c r="BW386" s="599"/>
      <c r="BX386" s="374"/>
      <c r="BY386" s="374"/>
      <c r="BZ386" s="374"/>
      <c r="CA386" s="511"/>
      <c r="CB386" s="511"/>
      <c r="CC386" s="511"/>
      <c r="CD386" s="120"/>
      <c r="CE386" s="120"/>
      <c r="CF386" s="120"/>
      <c r="CG386" s="120"/>
      <c r="CH386" s="755"/>
      <c r="CI386" s="120"/>
      <c r="CJ386" s="120"/>
      <c r="CK386" s="633"/>
      <c r="CL386" s="120"/>
      <c r="CM386" s="375"/>
      <c r="CN386" s="380"/>
      <c r="CO386" s="380"/>
      <c r="CP386" s="380"/>
      <c r="CQ386" s="380"/>
      <c r="CR386" s="380"/>
      <c r="CS386" s="380"/>
      <c r="CT386" s="380"/>
      <c r="CU386" s="380"/>
      <c r="CV386" s="380"/>
      <c r="CW386" s="380"/>
      <c r="CX386" s="376"/>
      <c r="CY386" s="120"/>
      <c r="CZ386" s="120"/>
      <c r="DA386" s="120"/>
      <c r="DB386" s="376"/>
      <c r="DC386" s="683"/>
      <c r="DD386" s="120"/>
      <c r="DE386" s="815"/>
      <c r="DF386" s="515"/>
      <c r="DG386" s="513"/>
      <c r="DH386" s="376"/>
      <c r="DI386" s="120"/>
      <c r="DJ386" s="384"/>
      <c r="DK386" s="120"/>
      <c r="DL386" s="727"/>
      <c r="DM386" s="384"/>
      <c r="DN386" s="384"/>
      <c r="DO386" s="384"/>
      <c r="DP386" s="375"/>
      <c r="DQ386" s="377"/>
      <c r="DR386" s="1182"/>
      <c r="DS386" s="956"/>
      <c r="DT386" s="727"/>
      <c r="DU386" s="384"/>
      <c r="DV386" s="384"/>
      <c r="DW386" s="384"/>
      <c r="DX386" s="384"/>
      <c r="DY386" s="384"/>
      <c r="DZ386" s="384"/>
      <c r="EA386" s="384"/>
      <c r="EB386" s="1012"/>
      <c r="EC386" s="384"/>
      <c r="ED386" s="384"/>
      <c r="EE386" s="384"/>
      <c r="EF386" s="384"/>
      <c r="EG386" s="384"/>
      <c r="EH386" s="384"/>
      <c r="EI386" s="120"/>
      <c r="EJ386" s="384"/>
      <c r="EK386" s="120"/>
      <c r="EL386" s="1012"/>
      <c r="EM386" s="384"/>
      <c r="EN386" s="1012"/>
      <c r="EO386" s="384"/>
      <c r="EP386" s="384"/>
      <c r="EQ386" s="384"/>
      <c r="ER386" s="384"/>
      <c r="ES386" s="384"/>
      <c r="ET386" s="727"/>
      <c r="EU386" s="120"/>
      <c r="EV386" s="120"/>
      <c r="EW386" s="120"/>
      <c r="EX386" s="384"/>
      <c r="EY386" s="384"/>
      <c r="EZ386" s="727"/>
      <c r="FA386" s="120"/>
      <c r="FB386" s="384"/>
      <c r="FC386" s="120"/>
      <c r="FD386" s="727"/>
      <c r="FE386" s="384"/>
      <c r="FF386" s="384"/>
      <c r="FG386" s="384"/>
      <c r="FH386" s="384"/>
      <c r="FI386" s="384"/>
      <c r="FJ386" s="384"/>
    </row>
    <row r="387" spans="1:166" ht="15" hidden="1" customHeight="1">
      <c r="A387" s="79" t="s">
        <v>211</v>
      </c>
      <c r="B387" s="362">
        <v>156</v>
      </c>
      <c r="C387" s="362"/>
      <c r="D387" s="362">
        <v>54</v>
      </c>
      <c r="E387" s="604" t="s">
        <v>1981</v>
      </c>
      <c r="F387" s="124" t="s">
        <v>2205</v>
      </c>
      <c r="G387" s="125">
        <v>2013</v>
      </c>
      <c r="H387" s="79">
        <v>24025760</v>
      </c>
      <c r="I387" s="79">
        <v>1</v>
      </c>
      <c r="J387" s="126"/>
      <c r="K387" s="127"/>
      <c r="L387" s="79">
        <v>1</v>
      </c>
      <c r="M387" s="79"/>
      <c r="N387" s="164">
        <v>1</v>
      </c>
      <c r="O387" s="128">
        <v>1</v>
      </c>
      <c r="P387" s="79"/>
      <c r="Q387" s="79" t="s">
        <v>1164</v>
      </c>
      <c r="R387" s="79" t="s">
        <v>25</v>
      </c>
      <c r="S387" s="79">
        <v>1</v>
      </c>
      <c r="T387" s="79"/>
      <c r="U387" s="79"/>
      <c r="V387" s="79"/>
      <c r="W387" s="79" t="s">
        <v>602</v>
      </c>
      <c r="X387" s="79" t="s">
        <v>33</v>
      </c>
      <c r="Y387" s="79"/>
      <c r="Z387" s="79"/>
      <c r="AA387" s="79"/>
      <c r="AB387" s="79"/>
      <c r="AC387" s="506" t="s">
        <v>6234</v>
      </c>
      <c r="AD387" s="573">
        <v>1</v>
      </c>
      <c r="AE387" s="573">
        <v>0</v>
      </c>
      <c r="AF387" s="924">
        <v>2</v>
      </c>
      <c r="AG387" s="925" t="s">
        <v>7276</v>
      </c>
      <c r="AH387" s="911">
        <v>0</v>
      </c>
      <c r="AI387" s="923">
        <v>2</v>
      </c>
      <c r="AJ387" s="923"/>
      <c r="AK387" s="926"/>
      <c r="AL387" s="588"/>
      <c r="AM387" s="927"/>
      <c r="AN387" s="923"/>
      <c r="AO387" s="923"/>
      <c r="AP387" s="923"/>
      <c r="AQ387" s="923"/>
      <c r="AR387" s="923"/>
      <c r="AS387" s="923"/>
      <c r="AT387" s="923"/>
      <c r="AU387" s="923"/>
      <c r="AV387" s="923"/>
      <c r="AW387" s="923"/>
      <c r="AX387" s="923"/>
      <c r="AY387" s="923"/>
      <c r="AZ387" s="915"/>
      <c r="BA387" s="923"/>
      <c r="BB387" s="923"/>
      <c r="BC387" s="923"/>
      <c r="BD387" s="915"/>
      <c r="BE387" s="915"/>
      <c r="BF387" s="923"/>
      <c r="BG387" s="923"/>
      <c r="BH387" s="594"/>
      <c r="BI387" s="594"/>
      <c r="BJ387" s="156"/>
      <c r="BK387" s="156"/>
      <c r="BL387" s="156"/>
      <c r="BM387" s="156"/>
      <c r="BN387" s="156"/>
      <c r="BO387" s="156"/>
      <c r="BP387" s="156"/>
      <c r="BQ387" s="156"/>
      <c r="BR387" s="156"/>
      <c r="BS387" s="156"/>
      <c r="BT387" s="156"/>
      <c r="BU387" s="156"/>
      <c r="BV387" s="156" t="s">
        <v>5545</v>
      </c>
      <c r="BW387" s="928"/>
      <c r="BX387" s="929"/>
      <c r="BY387" s="929"/>
      <c r="BZ387" s="929"/>
      <c r="CA387" s="184"/>
      <c r="CB387" s="184"/>
      <c r="CC387" s="184"/>
      <c r="CD387" s="923"/>
      <c r="CE387" s="923"/>
      <c r="CF387" s="923"/>
      <c r="CG387" s="923"/>
      <c r="CH387" s="915"/>
      <c r="CI387" s="923"/>
      <c r="CJ387" s="923"/>
      <c r="CK387" s="923"/>
      <c r="CL387" s="923"/>
      <c r="CM387" s="930"/>
      <c r="CN387" s="931"/>
      <c r="CO387" s="931"/>
      <c r="CP387" s="931"/>
      <c r="CQ387" s="931"/>
      <c r="CR387" s="931"/>
      <c r="CS387" s="931"/>
      <c r="CT387" s="967"/>
      <c r="CU387" s="967"/>
      <c r="CV387" s="967"/>
      <c r="CW387" s="967"/>
      <c r="CX387" s="932"/>
      <c r="CY387" s="923"/>
      <c r="CZ387" s="923"/>
      <c r="DA387" s="923"/>
      <c r="DB387" s="932"/>
      <c r="DC387" s="923"/>
      <c r="DD387" s="923"/>
      <c r="DE387" s="923"/>
      <c r="DF387" s="920"/>
      <c r="DG387" s="598"/>
      <c r="DH387" s="932"/>
      <c r="DI387" s="923"/>
      <c r="DJ387" s="951"/>
      <c r="DK387" s="923"/>
      <c r="DL387" s="950"/>
      <c r="DM387" s="951"/>
      <c r="DN387" s="951"/>
      <c r="DO387" s="951"/>
      <c r="DP387" s="930"/>
      <c r="DQ387" s="594"/>
      <c r="DR387" s="1187"/>
      <c r="DS387" s="1186"/>
      <c r="DT387" s="950"/>
      <c r="DU387" s="951"/>
      <c r="DV387" s="951"/>
      <c r="DW387" s="951"/>
      <c r="DX387" s="951"/>
      <c r="DY387" s="951"/>
      <c r="DZ387" s="951"/>
      <c r="EA387" s="951"/>
      <c r="EB387" s="1185"/>
      <c r="EC387" s="951"/>
      <c r="ED387" s="951"/>
      <c r="EE387" s="951"/>
      <c r="EF387" s="951"/>
      <c r="EG387" s="951"/>
      <c r="EH387" s="951"/>
      <c r="EI387" s="923"/>
      <c r="EJ387" s="951"/>
      <c r="EK387" s="923"/>
      <c r="EL387" s="1185"/>
      <c r="EM387" s="951"/>
      <c r="EN387" s="1185"/>
      <c r="EO387" s="951"/>
      <c r="EP387" s="951"/>
      <c r="EQ387" s="951"/>
      <c r="ER387" s="951"/>
      <c r="ES387" s="951"/>
      <c r="ET387" s="950"/>
      <c r="EU387" s="923"/>
      <c r="EV387" s="923"/>
      <c r="EW387" s="923"/>
      <c r="EX387" s="951"/>
      <c r="EY387" s="951"/>
      <c r="EZ387" s="950"/>
      <c r="FA387" s="923"/>
      <c r="FB387" s="951"/>
      <c r="FC387" s="923"/>
      <c r="FD387" s="950"/>
      <c r="FE387" s="951"/>
      <c r="FF387" s="951"/>
      <c r="FG387" s="951"/>
      <c r="FH387" s="951"/>
      <c r="FI387" s="951"/>
      <c r="FJ387" s="951"/>
    </row>
    <row r="388" spans="1:166" ht="15" hidden="1" customHeight="1">
      <c r="A388" s="153" t="s">
        <v>1025</v>
      </c>
      <c r="B388" s="1535">
        <v>25</v>
      </c>
      <c r="C388" s="1535"/>
      <c r="D388" s="1535"/>
      <c r="E388" s="610" t="s">
        <v>2089</v>
      </c>
      <c r="F388" s="368" t="s">
        <v>2344</v>
      </c>
      <c r="G388" s="369">
        <v>2001</v>
      </c>
      <c r="H388" s="153">
        <v>11331084</v>
      </c>
      <c r="I388" s="153">
        <v>1</v>
      </c>
      <c r="J388" s="370"/>
      <c r="K388" s="371"/>
      <c r="L388" s="153">
        <v>1</v>
      </c>
      <c r="M388" s="153"/>
      <c r="N388" s="153">
        <v>1</v>
      </c>
      <c r="O388" s="153">
        <v>2</v>
      </c>
      <c r="P388" s="153" t="s">
        <v>1405</v>
      </c>
      <c r="Q388" s="153" t="s">
        <v>1216</v>
      </c>
      <c r="R388" s="153" t="s">
        <v>1127</v>
      </c>
      <c r="S388" s="153"/>
      <c r="T388" s="153" t="s">
        <v>1498</v>
      </c>
      <c r="U388" s="153" t="s">
        <v>803</v>
      </c>
      <c r="V388" s="153" t="s">
        <v>23</v>
      </c>
      <c r="W388" s="153" t="s">
        <v>1406</v>
      </c>
      <c r="X388" s="153"/>
      <c r="Y388" s="153"/>
      <c r="Z388" s="153"/>
      <c r="AA388" s="153"/>
      <c r="AB388" s="153"/>
      <c r="AC388" s="536"/>
      <c r="AD388" s="536">
        <v>1</v>
      </c>
      <c r="AE388" s="536">
        <v>2</v>
      </c>
      <c r="AF388" s="165">
        <v>0</v>
      </c>
      <c r="AG388" s="166" t="s">
        <v>7256</v>
      </c>
      <c r="AH388" s="509">
        <v>0</v>
      </c>
      <c r="AI388" s="120">
        <v>4</v>
      </c>
      <c r="AJ388" s="120"/>
      <c r="AK388" s="206" t="s">
        <v>3098</v>
      </c>
      <c r="AL388" s="372">
        <v>0</v>
      </c>
      <c r="AM388" s="207"/>
      <c r="AN388" s="120" t="s">
        <v>3095</v>
      </c>
      <c r="AO388" s="120"/>
      <c r="AP388" s="120"/>
      <c r="AQ388" s="120" t="s">
        <v>803</v>
      </c>
      <c r="AR388" s="120"/>
      <c r="AS388" s="120" t="s">
        <v>3031</v>
      </c>
      <c r="AT388" s="120"/>
      <c r="AU388" s="120" t="s">
        <v>3031</v>
      </c>
      <c r="AV388" s="120"/>
      <c r="AW388" s="120" t="s">
        <v>3096</v>
      </c>
      <c r="AX388" s="120">
        <v>1</v>
      </c>
      <c r="AY388" s="120">
        <v>1</v>
      </c>
      <c r="AZ388" s="755" t="s">
        <v>1814</v>
      </c>
      <c r="BA388" s="120">
        <v>1</v>
      </c>
      <c r="BB388" s="120"/>
      <c r="BC388" s="120" t="s">
        <v>3097</v>
      </c>
      <c r="BD388" s="755"/>
      <c r="BE388" s="755"/>
      <c r="BF388" s="120" t="s">
        <v>1130</v>
      </c>
      <c r="BG388" s="120"/>
      <c r="BH388" s="377"/>
      <c r="BI388" s="377"/>
      <c r="BJ388" s="373"/>
      <c r="BK388" s="373"/>
      <c r="BL388" s="373"/>
      <c r="BM388" s="373"/>
      <c r="BN388" s="373"/>
      <c r="BO388" s="373"/>
      <c r="BP388" s="373"/>
      <c r="BQ388" s="373"/>
      <c r="BR388" s="373"/>
      <c r="BS388" s="373"/>
      <c r="BT388" s="373"/>
      <c r="BU388" s="373"/>
      <c r="BV388" s="373"/>
      <c r="BW388" s="599" t="s">
        <v>3100</v>
      </c>
      <c r="BX388" s="374"/>
      <c r="BY388" s="374"/>
      <c r="BZ388" s="374"/>
      <c r="CA388" s="511"/>
      <c r="CB388" s="511"/>
      <c r="CC388" s="511"/>
      <c r="CD388" s="120"/>
      <c r="CE388" s="120" t="s">
        <v>1349</v>
      </c>
      <c r="CF388" s="120"/>
      <c r="CG388" s="120"/>
      <c r="CH388" s="755"/>
      <c r="CI388" s="120" t="s">
        <v>2471</v>
      </c>
      <c r="CJ388" s="120"/>
      <c r="CK388" s="120"/>
      <c r="CL388" s="120"/>
      <c r="CM388" s="375"/>
      <c r="CN388" s="380"/>
      <c r="CO388" s="380"/>
      <c r="CP388" s="380"/>
      <c r="CQ388" s="380"/>
      <c r="CR388" s="380"/>
      <c r="CS388" s="380"/>
      <c r="CT388" s="380"/>
      <c r="CU388" s="380"/>
      <c r="CV388" s="380"/>
      <c r="CW388" s="380"/>
      <c r="CX388" s="709"/>
      <c r="CY388" s="120"/>
      <c r="CZ388" s="120"/>
      <c r="DA388" s="120"/>
      <c r="DB388" s="376"/>
      <c r="DC388" s="120"/>
      <c r="DD388" s="120"/>
      <c r="DE388" s="120"/>
      <c r="DF388" s="515"/>
      <c r="DG388" s="513"/>
      <c r="DH388" s="376"/>
      <c r="DI388" s="120"/>
      <c r="DJ388" s="384"/>
      <c r="DK388" s="120"/>
      <c r="DL388" s="727"/>
      <c r="DM388" s="384"/>
      <c r="DN388" s="384"/>
      <c r="DO388" s="384"/>
      <c r="DP388" s="375"/>
      <c r="DQ388" s="377"/>
      <c r="DR388" s="1182"/>
      <c r="DS388" s="956"/>
      <c r="DT388" s="727"/>
      <c r="DU388" s="384"/>
      <c r="DV388" s="384"/>
      <c r="DW388" s="384"/>
      <c r="DX388" s="384"/>
      <c r="DY388" s="384"/>
      <c r="DZ388" s="384"/>
      <c r="EA388" s="384"/>
      <c r="EB388" s="1012"/>
      <c r="EC388" s="384"/>
      <c r="ED388" s="384"/>
      <c r="EE388" s="384"/>
      <c r="EF388" s="384"/>
      <c r="EG388" s="384"/>
      <c r="EH388" s="384"/>
      <c r="EI388" s="120"/>
      <c r="EJ388" s="384"/>
      <c r="EK388" s="120"/>
      <c r="EL388" s="1012"/>
      <c r="EM388" s="384"/>
      <c r="EN388" s="1012"/>
      <c r="EO388" s="384"/>
      <c r="EP388" s="384"/>
      <c r="EQ388" s="384"/>
      <c r="ER388" s="384"/>
      <c r="ES388" s="384"/>
      <c r="ET388" s="727"/>
      <c r="EU388" s="120"/>
      <c r="EV388" s="120"/>
      <c r="EW388" s="120"/>
      <c r="EX388" s="384"/>
      <c r="EY388" s="384"/>
      <c r="EZ388" s="727"/>
      <c r="FA388" s="120"/>
      <c r="FB388" s="384"/>
      <c r="FC388" s="120"/>
      <c r="FD388" s="727"/>
      <c r="FE388" s="384"/>
      <c r="FF388" s="384"/>
      <c r="FG388" s="384"/>
      <c r="FH388" s="384"/>
      <c r="FI388" s="384"/>
      <c r="FJ388" s="384"/>
    </row>
    <row r="389" spans="1:166" ht="24" hidden="1" customHeight="1">
      <c r="A389" s="876" t="s">
        <v>1057</v>
      </c>
      <c r="B389" s="877">
        <v>123</v>
      </c>
      <c r="C389" s="877"/>
      <c r="D389" s="877">
        <v>39</v>
      </c>
      <c r="E389" s="878" t="s">
        <v>2074</v>
      </c>
      <c r="F389" s="879" t="s">
        <v>2326</v>
      </c>
      <c r="G389" s="880">
        <v>2012</v>
      </c>
      <c r="H389" s="876">
        <v>22659471</v>
      </c>
      <c r="I389" s="876">
        <v>1</v>
      </c>
      <c r="J389" s="876"/>
      <c r="K389" s="876"/>
      <c r="L389" s="876">
        <v>1</v>
      </c>
      <c r="M389" s="876"/>
      <c r="N389" s="876">
        <v>1</v>
      </c>
      <c r="O389" s="882">
        <v>2</v>
      </c>
      <c r="P389" s="876" t="s">
        <v>1336</v>
      </c>
      <c r="Q389" s="876" t="s">
        <v>1224</v>
      </c>
      <c r="R389" s="876" t="s">
        <v>1127</v>
      </c>
      <c r="S389" s="876"/>
      <c r="T389" s="876" t="s">
        <v>1498</v>
      </c>
      <c r="U389" s="876" t="s">
        <v>803</v>
      </c>
      <c r="V389" s="876"/>
      <c r="W389" s="876" t="s">
        <v>1337</v>
      </c>
      <c r="X389" s="876" t="s">
        <v>1338</v>
      </c>
      <c r="Y389" s="876"/>
      <c r="Z389" s="876"/>
      <c r="AA389" s="876"/>
      <c r="AB389" s="876"/>
      <c r="AC389" s="883" t="s">
        <v>1227</v>
      </c>
      <c r="AD389" s="884">
        <v>1</v>
      </c>
      <c r="AE389" s="884">
        <v>1</v>
      </c>
      <c r="AF389" s="885">
        <v>1</v>
      </c>
      <c r="AG389" s="886" t="s">
        <v>7874</v>
      </c>
      <c r="AH389" s="887"/>
      <c r="AI389" s="883">
        <v>4</v>
      </c>
      <c r="AJ389" s="888"/>
      <c r="AK389" s="889" t="s">
        <v>6829</v>
      </c>
      <c r="AL389" s="890">
        <v>2</v>
      </c>
      <c r="AM389" s="891">
        <v>0</v>
      </c>
      <c r="AN389" s="883">
        <f>Table66[[#This Row],[Data_Subjects_n_ptsd]]+Table66[[#This Row],[Data_Subjects_n_control]]</f>
        <v>24</v>
      </c>
      <c r="AO389" s="883">
        <v>12</v>
      </c>
      <c r="AP389" s="883">
        <v>12</v>
      </c>
      <c r="AQ389" s="883" t="s">
        <v>803</v>
      </c>
      <c r="AR389" s="883" t="s">
        <v>803</v>
      </c>
      <c r="AS389" s="1000" t="s">
        <v>4544</v>
      </c>
      <c r="AT389" s="883" t="s">
        <v>24</v>
      </c>
      <c r="AU389" s="1000" t="s">
        <v>4544</v>
      </c>
      <c r="AV389" s="883" t="s">
        <v>24</v>
      </c>
      <c r="AW389" s="883" t="s">
        <v>6830</v>
      </c>
      <c r="AX389" s="883">
        <v>10</v>
      </c>
      <c r="AY389" s="883">
        <v>1</v>
      </c>
      <c r="AZ389" s="883" t="s">
        <v>1814</v>
      </c>
      <c r="BA389" s="883">
        <v>1</v>
      </c>
      <c r="BB389" s="883">
        <v>1</v>
      </c>
      <c r="BC389" s="883" t="s">
        <v>5662</v>
      </c>
      <c r="BD389" s="883" t="s">
        <v>7522</v>
      </c>
      <c r="BE389" s="883"/>
      <c r="BF389" s="883" t="s">
        <v>1130</v>
      </c>
      <c r="BG389" s="883" t="s">
        <v>6653</v>
      </c>
      <c r="BH389" s="892"/>
      <c r="BI389" s="892"/>
      <c r="BJ389" s="893">
        <v>1</v>
      </c>
      <c r="BK389" s="893"/>
      <c r="BL389" s="893"/>
      <c r="BM389" s="893"/>
      <c r="BN389" s="893"/>
      <c r="BO389" s="893"/>
      <c r="BP389" s="893">
        <v>1</v>
      </c>
      <c r="BQ389" s="893"/>
      <c r="BR389" s="893"/>
      <c r="BS389" s="893"/>
      <c r="BT389" s="893"/>
      <c r="BU389" s="893"/>
      <c r="BV389" s="893"/>
      <c r="BW389" s="894" t="s">
        <v>6866</v>
      </c>
      <c r="BX389" s="895" t="s">
        <v>7560</v>
      </c>
      <c r="BY389" s="896" t="s">
        <v>7613</v>
      </c>
      <c r="BZ389" s="897" t="s">
        <v>803</v>
      </c>
      <c r="CA389" s="1001">
        <v>1</v>
      </c>
      <c r="CB389" s="1001" t="s">
        <v>7556</v>
      </c>
      <c r="CC389" s="1001" t="s">
        <v>7384</v>
      </c>
      <c r="CD389" s="899" t="s">
        <v>1876</v>
      </c>
      <c r="CE389" s="899" t="s">
        <v>6833</v>
      </c>
      <c r="CF389" s="899" t="s">
        <v>7582</v>
      </c>
      <c r="CG389" s="1855" t="s">
        <v>6836</v>
      </c>
      <c r="CH389" s="960" t="s">
        <v>7310</v>
      </c>
      <c r="CI389" s="899" t="s">
        <v>6839</v>
      </c>
      <c r="CJ389" s="899"/>
      <c r="CK389" s="1002" t="s">
        <v>6840</v>
      </c>
      <c r="CL389" s="134" t="s">
        <v>8283</v>
      </c>
      <c r="CM389" s="900" t="s">
        <v>6874</v>
      </c>
      <c r="CN389" s="901" t="s">
        <v>6868</v>
      </c>
      <c r="CO389" s="902">
        <v>28</v>
      </c>
      <c r="CP389" s="902">
        <v>2</v>
      </c>
      <c r="CQ389" s="902">
        <v>11</v>
      </c>
      <c r="CR389" s="902">
        <v>1</v>
      </c>
      <c r="CS389" s="902">
        <v>1</v>
      </c>
      <c r="CT389" s="971"/>
      <c r="CU389" s="1289" t="s">
        <v>8104</v>
      </c>
      <c r="CV389" s="1296">
        <v>84</v>
      </c>
      <c r="CW389" s="1296">
        <v>76</v>
      </c>
      <c r="CX389" s="186" t="s">
        <v>6862</v>
      </c>
      <c r="CY389" s="186">
        <v>3.5019900000000002</v>
      </c>
      <c r="CZ389" s="186" t="s">
        <v>24</v>
      </c>
      <c r="DA389" s="186">
        <f>4.61493-Table66[[#This Row],[Data_Outcome1_M]]</f>
        <v>1.11294</v>
      </c>
      <c r="DB389" s="186" t="s">
        <v>6863</v>
      </c>
      <c r="DC389" s="186">
        <v>1.2295499999999999</v>
      </c>
      <c r="DD389" s="186" t="s">
        <v>24</v>
      </c>
      <c r="DE389" s="186">
        <f>1.60038-Table66[[#This Row],[Data_Outcome2_M]]</f>
        <v>0.37082999999999999</v>
      </c>
      <c r="DF389" s="1845" t="s">
        <v>5379</v>
      </c>
      <c r="DG389" s="1845" t="s">
        <v>3790</v>
      </c>
      <c r="DH389" s="1004"/>
      <c r="DI389" s="883"/>
      <c r="DJ389" s="1218"/>
      <c r="DK389" s="883"/>
      <c r="DL389" s="1220"/>
      <c r="DM389" s="883"/>
      <c r="DN389" s="1218"/>
      <c r="DO389" s="883"/>
      <c r="DP389" s="904"/>
      <c r="DQ389" s="1003"/>
      <c r="DR389" s="1223"/>
      <c r="DS389" s="1224" t="s">
        <v>24</v>
      </c>
      <c r="DT389" s="1220"/>
      <c r="DU389" s="883"/>
      <c r="DV389" s="1218"/>
      <c r="DW389" s="883"/>
      <c r="DX389" s="1220"/>
      <c r="DY389" s="883"/>
      <c r="DZ389" s="1218"/>
      <c r="EA389" s="883"/>
      <c r="EB389" s="1222"/>
      <c r="EC389" s="1221"/>
      <c r="ED389" s="1220"/>
      <c r="EE389" s="883"/>
      <c r="EF389" s="1218"/>
      <c r="EG389" s="883"/>
      <c r="EH389" s="1220"/>
      <c r="EI389" s="883"/>
      <c r="EJ389" s="1218"/>
      <c r="EK389" s="883"/>
      <c r="EL389" s="1228"/>
      <c r="EM389" s="1011"/>
      <c r="EN389" s="1223"/>
      <c r="EO389" s="1219"/>
      <c r="EP389" s="1004"/>
      <c r="EQ389" s="883"/>
      <c r="ER389" s="883"/>
      <c r="ES389" s="883"/>
      <c r="ET389" s="1004"/>
      <c r="EU389" s="883"/>
      <c r="EV389" s="883"/>
      <c r="EW389" s="883"/>
      <c r="EX389" s="1228"/>
      <c r="EY389" s="1011"/>
      <c r="EZ389" s="1004"/>
      <c r="FA389" s="883"/>
      <c r="FB389" s="883"/>
      <c r="FC389" s="883"/>
      <c r="FD389" s="1004"/>
      <c r="FE389" s="883"/>
      <c r="FF389" s="883"/>
      <c r="FG389" s="883"/>
      <c r="FH389" s="1007"/>
      <c r="FI389" s="907"/>
      <c r="FJ389" s="1219"/>
    </row>
    <row r="390" spans="1:166" hidden="1">
      <c r="A390" s="79" t="s">
        <v>1055</v>
      </c>
      <c r="B390" s="362">
        <v>124</v>
      </c>
      <c r="C390" s="362">
        <v>32</v>
      </c>
      <c r="D390" s="362"/>
      <c r="E390" s="604" t="s">
        <v>2074</v>
      </c>
      <c r="F390" s="124" t="s">
        <v>2327</v>
      </c>
      <c r="G390" s="125">
        <v>2010</v>
      </c>
      <c r="H390" s="79">
        <v>20700523</v>
      </c>
      <c r="I390" s="79">
        <v>1</v>
      </c>
      <c r="J390" s="126"/>
      <c r="K390" s="127"/>
      <c r="L390" s="79">
        <v>1</v>
      </c>
      <c r="M390" s="79"/>
      <c r="N390" s="79">
        <v>1</v>
      </c>
      <c r="O390" s="128">
        <v>2</v>
      </c>
      <c r="P390" s="79" t="s">
        <v>1342</v>
      </c>
      <c r="Q390" s="79" t="s">
        <v>1224</v>
      </c>
      <c r="R390" s="79" t="s">
        <v>1127</v>
      </c>
      <c r="S390" s="79"/>
      <c r="T390" s="79" t="s">
        <v>1498</v>
      </c>
      <c r="U390" s="79" t="s">
        <v>803</v>
      </c>
      <c r="V390" s="79"/>
      <c r="W390" s="79" t="s">
        <v>1341</v>
      </c>
      <c r="X390" s="79"/>
      <c r="Y390" s="79"/>
      <c r="Z390" s="79"/>
      <c r="AA390" s="79"/>
      <c r="AB390" s="79"/>
      <c r="AC390" s="506"/>
      <c r="AD390" s="573">
        <v>1</v>
      </c>
      <c r="AE390" s="573">
        <v>2</v>
      </c>
      <c r="AF390" s="154">
        <v>1</v>
      </c>
      <c r="AG390" s="155"/>
      <c r="AH390" s="704">
        <v>0</v>
      </c>
      <c r="AI390" s="121">
        <v>4</v>
      </c>
      <c r="AJ390" s="484"/>
      <c r="AK390" s="202" t="s">
        <v>4573</v>
      </c>
      <c r="AL390" s="192" t="s">
        <v>7448</v>
      </c>
      <c r="AM390" s="203" t="s">
        <v>4572</v>
      </c>
      <c r="AN390" s="121">
        <f>Table66[[#This Row],[Data_Subjects_n_ptsd]]+Table66[[#This Row],[Data_Subjects_n_control]]</f>
        <v>24</v>
      </c>
      <c r="AO390" s="121">
        <v>12</v>
      </c>
      <c r="AP390" s="121">
        <v>12</v>
      </c>
      <c r="AQ390" s="121" t="s">
        <v>803</v>
      </c>
      <c r="AR390" s="121" t="s">
        <v>803</v>
      </c>
      <c r="AS390" s="121" t="s">
        <v>4544</v>
      </c>
      <c r="AT390" s="121" t="s">
        <v>24</v>
      </c>
      <c r="AU390" s="121" t="s">
        <v>4544</v>
      </c>
      <c r="AV390" s="121" t="s">
        <v>24</v>
      </c>
      <c r="AW390" s="121" t="s">
        <v>4561</v>
      </c>
      <c r="AX390" s="121">
        <v>10</v>
      </c>
      <c r="AY390" s="121">
        <v>1</v>
      </c>
      <c r="AZ390" s="754" t="s">
        <v>1814</v>
      </c>
      <c r="BA390" s="121">
        <v>1</v>
      </c>
      <c r="BB390" s="121" t="s">
        <v>4545</v>
      </c>
      <c r="BC390" s="121" t="s">
        <v>4546</v>
      </c>
      <c r="BD390" s="754" t="s">
        <v>7522</v>
      </c>
      <c r="BE390" s="754"/>
      <c r="BF390" s="121" t="s">
        <v>1130</v>
      </c>
      <c r="BG390" s="121" t="s">
        <v>3279</v>
      </c>
      <c r="BH390" s="594"/>
      <c r="BI390" s="594"/>
      <c r="BJ390" s="156">
        <v>1</v>
      </c>
      <c r="BK390" s="156" t="s">
        <v>1917</v>
      </c>
      <c r="BL390" s="156"/>
      <c r="BM390" s="156"/>
      <c r="BN390" s="156"/>
      <c r="BO390" s="156"/>
      <c r="BP390" s="156"/>
      <c r="BQ390" s="156"/>
      <c r="BR390" s="156"/>
      <c r="BS390" s="156"/>
      <c r="BT390" s="156"/>
      <c r="BU390" s="156"/>
      <c r="BV390" s="156"/>
      <c r="BW390" s="595" t="s">
        <v>6701</v>
      </c>
      <c r="BX390" s="157" t="s">
        <v>6657</v>
      </c>
      <c r="BY390" s="797" t="s">
        <v>7613</v>
      </c>
      <c r="BZ390" s="789" t="s">
        <v>803</v>
      </c>
      <c r="CA390" s="660">
        <v>1</v>
      </c>
      <c r="CB390" s="660" t="s">
        <v>7556</v>
      </c>
      <c r="CC390" s="660" t="s">
        <v>7384</v>
      </c>
      <c r="CD390" s="134" t="s">
        <v>1876</v>
      </c>
      <c r="CE390" s="134" t="s">
        <v>4547</v>
      </c>
      <c r="CF390" s="400" t="s">
        <v>7582</v>
      </c>
      <c r="CG390" s="134" t="s">
        <v>4562</v>
      </c>
      <c r="CH390" s="753" t="s">
        <v>7310</v>
      </c>
      <c r="CI390" s="134" t="s">
        <v>4549</v>
      </c>
      <c r="CJ390" s="134"/>
      <c r="CK390" s="134" t="s">
        <v>4548</v>
      </c>
      <c r="CL390" s="134" t="s">
        <v>8283</v>
      </c>
      <c r="CM390" s="259" t="s">
        <v>4560</v>
      </c>
      <c r="CN390" s="454" t="s">
        <v>24</v>
      </c>
      <c r="CO390" s="828">
        <v>29</v>
      </c>
      <c r="CP390" s="828">
        <v>1</v>
      </c>
      <c r="CQ390" s="828">
        <v>1</v>
      </c>
      <c r="CR390" s="828">
        <v>1</v>
      </c>
      <c r="CS390" s="828">
        <v>1</v>
      </c>
      <c r="CT390" s="967"/>
      <c r="CU390" s="1289" t="s">
        <v>8104</v>
      </c>
      <c r="CV390" s="1295">
        <v>85</v>
      </c>
      <c r="CW390" s="1295">
        <v>77</v>
      </c>
      <c r="CX390" s="138" t="s">
        <v>4550</v>
      </c>
      <c r="CY390" s="134">
        <v>64.948499999999996</v>
      </c>
      <c r="CZ390" s="134" t="s">
        <v>24</v>
      </c>
      <c r="DA390" s="134">
        <f>91.2371-Table66[[#This Row],[Data_Outcome1_M]]</f>
        <v>26.288600000000002</v>
      </c>
      <c r="DB390" s="138" t="s">
        <v>4551</v>
      </c>
      <c r="DC390" s="134">
        <v>10.051500000000001</v>
      </c>
      <c r="DD390" s="134" t="s">
        <v>24</v>
      </c>
      <c r="DE390" s="134">
        <f>13.9175-Table66[[#This Row],[Data_Outcome2_M]]</f>
        <v>3.8659999999999997</v>
      </c>
      <c r="DF390" s="294" t="s">
        <v>4559</v>
      </c>
      <c r="DG390" s="295" t="s">
        <v>2480</v>
      </c>
      <c r="DH390" s="448"/>
      <c r="DI390" s="121"/>
      <c r="DJ390" s="1169"/>
      <c r="DK390" s="121"/>
      <c r="DL390" s="121"/>
      <c r="DM390" s="121"/>
      <c r="DN390" s="1169"/>
      <c r="DO390" s="121"/>
      <c r="DP390" s="288"/>
      <c r="DQ390" s="289"/>
      <c r="DR390" s="280"/>
      <c r="DS390" s="865"/>
      <c r="DT390" s="1171"/>
      <c r="DU390" s="121"/>
      <c r="DV390" s="1169"/>
      <c r="DW390" s="121"/>
      <c r="DX390" s="1169"/>
      <c r="DY390" s="121"/>
      <c r="DZ390" s="1169"/>
      <c r="EA390" s="121"/>
      <c r="EB390" s="304"/>
      <c r="EC390" s="312"/>
      <c r="ED390" s="1169"/>
      <c r="EE390" s="121"/>
      <c r="EF390" s="1169"/>
      <c r="EG390" s="121"/>
      <c r="EH390" s="1169"/>
      <c r="EI390" s="121"/>
      <c r="EJ390" s="1169"/>
      <c r="EK390" s="121"/>
      <c r="EL390" s="304"/>
      <c r="EM390" s="312"/>
      <c r="EN390" s="276"/>
      <c r="EO390" s="277"/>
      <c r="EP390" s="121"/>
      <c r="EQ390" s="121"/>
      <c r="ER390" s="121"/>
      <c r="ES390" s="121"/>
      <c r="ET390" s="1276"/>
      <c r="EU390" s="121"/>
      <c r="EV390" s="121"/>
      <c r="EW390" s="121"/>
      <c r="EX390" s="301"/>
      <c r="EY390" s="301"/>
      <c r="EZ390" s="1276"/>
      <c r="FA390" s="121"/>
      <c r="FB390" s="121"/>
      <c r="FC390" s="121"/>
      <c r="FD390" s="1276"/>
      <c r="FE390" s="121"/>
      <c r="FF390" s="121"/>
      <c r="FG390" s="121"/>
      <c r="FH390" s="301"/>
      <c r="FI390" s="301"/>
      <c r="FJ390" s="277"/>
    </row>
    <row r="391" spans="1:166" ht="17" hidden="1" customHeight="1">
      <c r="A391" s="79" t="s">
        <v>1078</v>
      </c>
      <c r="B391" s="362">
        <v>95</v>
      </c>
      <c r="C391" s="362">
        <v>18</v>
      </c>
      <c r="D391" s="362"/>
      <c r="E391" s="604" t="s">
        <v>2062</v>
      </c>
      <c r="F391" s="124" t="s">
        <v>2314</v>
      </c>
      <c r="G391" s="125">
        <v>2012</v>
      </c>
      <c r="H391" s="79">
        <v>22108759</v>
      </c>
      <c r="I391" s="79">
        <v>1</v>
      </c>
      <c r="J391" s="126"/>
      <c r="K391" s="127"/>
      <c r="L391" s="79">
        <v>1</v>
      </c>
      <c r="M391" s="79"/>
      <c r="N391" s="79">
        <v>1</v>
      </c>
      <c r="O391" s="128">
        <v>2</v>
      </c>
      <c r="P391" s="79" t="s">
        <v>73</v>
      </c>
      <c r="Q391" s="79" t="s">
        <v>1147</v>
      </c>
      <c r="R391" s="79" t="s">
        <v>1282</v>
      </c>
      <c r="S391" s="79"/>
      <c r="T391" s="79" t="s">
        <v>1500</v>
      </c>
      <c r="U391" s="79" t="s">
        <v>1539</v>
      </c>
      <c r="V391" s="79" t="s">
        <v>23</v>
      </c>
      <c r="W391" s="79" t="s">
        <v>1512</v>
      </c>
      <c r="X391" s="79" t="s">
        <v>1284</v>
      </c>
      <c r="Y391" s="79" t="s">
        <v>24</v>
      </c>
      <c r="Z391" s="79"/>
      <c r="AA391" s="79"/>
      <c r="AB391" s="79" t="s">
        <v>1283</v>
      </c>
      <c r="AC391" s="506"/>
      <c r="AD391" s="573">
        <v>1</v>
      </c>
      <c r="AE391" s="573">
        <v>2</v>
      </c>
      <c r="AF391" s="154">
        <v>1</v>
      </c>
      <c r="AG391" s="155" t="s">
        <v>4124</v>
      </c>
      <c r="AH391" s="704" t="s">
        <v>7762</v>
      </c>
      <c r="AI391" s="121">
        <v>4</v>
      </c>
      <c r="AJ391" s="484"/>
      <c r="AK391" s="202" t="s">
        <v>4122</v>
      </c>
      <c r="AL391" s="192">
        <v>1</v>
      </c>
      <c r="AM391" s="215">
        <v>0</v>
      </c>
      <c r="AN391" s="134" t="s">
        <v>4121</v>
      </c>
      <c r="AO391" s="134">
        <f>(7+10)/2</f>
        <v>8.5</v>
      </c>
      <c r="AP391" s="134">
        <f>(7+10)/2</f>
        <v>8.5</v>
      </c>
      <c r="AQ391" s="134" t="s">
        <v>803</v>
      </c>
      <c r="AR391" s="134" t="s">
        <v>803</v>
      </c>
      <c r="AS391" s="134" t="s">
        <v>4125</v>
      </c>
      <c r="AT391" s="134" t="s">
        <v>24</v>
      </c>
      <c r="AU391" s="134" t="s">
        <v>7765</v>
      </c>
      <c r="AV391" s="134" t="s">
        <v>24</v>
      </c>
      <c r="AW391" s="134" t="s">
        <v>4112</v>
      </c>
      <c r="AX391" s="134">
        <v>1</v>
      </c>
      <c r="AY391" s="134">
        <v>1</v>
      </c>
      <c r="AZ391" s="753" t="s">
        <v>1814</v>
      </c>
      <c r="BA391" s="134">
        <v>1</v>
      </c>
      <c r="BB391" s="134" t="s">
        <v>4111</v>
      </c>
      <c r="BC391" s="134" t="s">
        <v>7538</v>
      </c>
      <c r="BD391" s="753" t="s">
        <v>7523</v>
      </c>
      <c r="BE391" s="753"/>
      <c r="BF391" s="134" t="s">
        <v>2912</v>
      </c>
      <c r="BG391" s="134" t="s">
        <v>3279</v>
      </c>
      <c r="BH391" s="594"/>
      <c r="BI391" s="594"/>
      <c r="BJ391" s="156"/>
      <c r="BK391" s="156"/>
      <c r="BL391" s="156"/>
      <c r="BM391" s="156"/>
      <c r="BN391" s="156"/>
      <c r="BO391" s="156"/>
      <c r="BP391" s="156">
        <v>1</v>
      </c>
      <c r="BQ391" s="156"/>
      <c r="BR391" s="156"/>
      <c r="BS391" s="156"/>
      <c r="BT391" s="156"/>
      <c r="BU391" s="156"/>
      <c r="BV391" s="156"/>
      <c r="BW391" s="595" t="s">
        <v>3563</v>
      </c>
      <c r="BX391" s="157" t="s">
        <v>6613</v>
      </c>
      <c r="BY391" s="797" t="s">
        <v>7614</v>
      </c>
      <c r="BZ391" s="789" t="s">
        <v>803</v>
      </c>
      <c r="CA391" s="660">
        <v>2</v>
      </c>
      <c r="CB391" s="660" t="s">
        <v>7556</v>
      </c>
      <c r="CC391" s="1724" t="s">
        <v>7384</v>
      </c>
      <c r="CD391" s="134" t="s">
        <v>1876</v>
      </c>
      <c r="CE391" s="134" t="s">
        <v>4108</v>
      </c>
      <c r="CF391" s="787" t="s">
        <v>7579</v>
      </c>
      <c r="CG391" s="134" t="s">
        <v>4110</v>
      </c>
      <c r="CH391" s="753" t="s">
        <v>1512</v>
      </c>
      <c r="CI391" s="134" t="s">
        <v>4107</v>
      </c>
      <c r="CJ391" s="134"/>
      <c r="CK391" s="134" t="s">
        <v>4109</v>
      </c>
      <c r="CL391" s="134" t="s">
        <v>8216</v>
      </c>
      <c r="CM391" s="259" t="s">
        <v>4134</v>
      </c>
      <c r="CN391" s="454" t="s">
        <v>24</v>
      </c>
      <c r="CO391" s="828">
        <v>17</v>
      </c>
      <c r="CP391" s="828">
        <v>1</v>
      </c>
      <c r="CQ391" s="828">
        <v>1</v>
      </c>
      <c r="CR391" s="828">
        <v>1</v>
      </c>
      <c r="CS391" s="828">
        <v>1</v>
      </c>
      <c r="CT391" s="967">
        <v>1</v>
      </c>
      <c r="CU391" s="1289" t="s">
        <v>8104</v>
      </c>
      <c r="CV391" s="1295">
        <v>72</v>
      </c>
      <c r="CW391" s="1295">
        <v>64</v>
      </c>
      <c r="CX391" s="138" t="s">
        <v>4113</v>
      </c>
      <c r="CY391" s="134">
        <v>13.8826</v>
      </c>
      <c r="CZ391" s="134" t="s">
        <v>24</v>
      </c>
      <c r="DA391" s="134">
        <f>14.873-Table66[[#This Row],[Data_Outcome1_M]]</f>
        <v>0.99039999999999928</v>
      </c>
      <c r="DB391" s="138" t="s">
        <v>4114</v>
      </c>
      <c r="DC391" s="134">
        <v>20.409300000000002</v>
      </c>
      <c r="DD391" s="134" t="s">
        <v>24</v>
      </c>
      <c r="DE391" s="134">
        <f>22.5487-Table66[[#This Row],[Data_Outcome2_M]]</f>
        <v>2.1393999999999984</v>
      </c>
      <c r="DF391" s="294" t="s">
        <v>4130</v>
      </c>
      <c r="DG391" s="295" t="s">
        <v>4131</v>
      </c>
      <c r="DH391" s="121"/>
      <c r="DI391" s="121"/>
      <c r="DJ391" s="1169"/>
      <c r="DK391" s="121"/>
      <c r="DL391" s="1169"/>
      <c r="DM391" s="121"/>
      <c r="DN391" s="1169"/>
      <c r="DO391" s="121"/>
      <c r="DP391" s="288"/>
      <c r="DQ391" s="289"/>
      <c r="DR391" s="1168"/>
      <c r="DS391" s="865"/>
      <c r="DT391" s="448"/>
      <c r="DU391" s="448"/>
      <c r="DV391" s="448"/>
      <c r="DW391" s="448"/>
      <c r="DX391" s="448"/>
      <c r="DY391" s="1169"/>
      <c r="DZ391" s="1169"/>
      <c r="EA391" s="1169"/>
      <c r="EB391" s="304"/>
      <c r="EC391" s="312"/>
      <c r="ED391" s="448"/>
      <c r="EE391" s="448"/>
      <c r="EF391" s="448"/>
      <c r="EG391" s="448"/>
      <c r="EH391" s="448"/>
      <c r="EI391" s="1169"/>
      <c r="EJ391" s="1169"/>
      <c r="EK391" s="1169"/>
      <c r="EL391" s="304"/>
      <c r="EM391" s="312"/>
      <c r="EN391" s="309"/>
      <c r="EO391" s="1170"/>
      <c r="EP391" s="448"/>
      <c r="EQ391" s="448"/>
      <c r="ER391" s="448"/>
      <c r="ES391" s="448"/>
      <c r="ET391" s="1154"/>
      <c r="EU391" s="1169"/>
      <c r="EV391" s="1169"/>
      <c r="EW391" s="1169"/>
      <c r="EX391" s="312"/>
      <c r="EY391" s="312"/>
      <c r="EZ391" s="1171"/>
      <c r="FA391" s="1169"/>
      <c r="FB391" s="1169"/>
      <c r="FC391" s="1169"/>
      <c r="FD391" s="1171"/>
      <c r="FE391" s="1169"/>
      <c r="FF391" s="1169"/>
      <c r="FG391" s="1169"/>
      <c r="FH391" s="312"/>
      <c r="FI391" s="312"/>
      <c r="FJ391" s="1170"/>
    </row>
    <row r="392" spans="1:166" ht="17" hidden="1" customHeight="1">
      <c r="A392" s="79" t="s">
        <v>1078</v>
      </c>
      <c r="B392" s="362">
        <v>95</v>
      </c>
      <c r="C392" s="362">
        <v>18</v>
      </c>
      <c r="D392" s="362"/>
      <c r="E392" s="604" t="s">
        <v>2062</v>
      </c>
      <c r="F392" s="124" t="s">
        <v>2314</v>
      </c>
      <c r="G392" s="125">
        <v>2012</v>
      </c>
      <c r="H392" s="79">
        <v>22108759</v>
      </c>
      <c r="I392" s="79">
        <v>1</v>
      </c>
      <c r="J392" s="126"/>
      <c r="K392" s="127"/>
      <c r="L392" s="79">
        <v>1</v>
      </c>
      <c r="M392" s="79"/>
      <c r="N392" s="79">
        <v>1</v>
      </c>
      <c r="O392" s="128">
        <v>2</v>
      </c>
      <c r="P392" s="79" t="s">
        <v>73</v>
      </c>
      <c r="Q392" s="79" t="s">
        <v>1147</v>
      </c>
      <c r="R392" s="79" t="s">
        <v>1282</v>
      </c>
      <c r="S392" s="79"/>
      <c r="T392" s="79" t="s">
        <v>1500</v>
      </c>
      <c r="U392" s="79" t="s">
        <v>1539</v>
      </c>
      <c r="V392" s="79" t="s">
        <v>23</v>
      </c>
      <c r="W392" s="79" t="s">
        <v>1512</v>
      </c>
      <c r="X392" s="79" t="s">
        <v>1284</v>
      </c>
      <c r="Y392" s="79" t="s">
        <v>24</v>
      </c>
      <c r="Z392" s="79"/>
      <c r="AA392" s="79"/>
      <c r="AB392" s="79" t="s">
        <v>1283</v>
      </c>
      <c r="AC392" s="506"/>
      <c r="AD392" s="573">
        <v>1</v>
      </c>
      <c r="AE392" s="573">
        <v>2</v>
      </c>
      <c r="AF392" s="154">
        <v>1</v>
      </c>
      <c r="AG392" s="155" t="s">
        <v>4124</v>
      </c>
      <c r="AH392" s="704" t="s">
        <v>7762</v>
      </c>
      <c r="AI392" s="121">
        <v>4</v>
      </c>
      <c r="AJ392" s="484"/>
      <c r="AK392" s="202" t="s">
        <v>4122</v>
      </c>
      <c r="AL392" s="192">
        <v>1</v>
      </c>
      <c r="AM392" s="215">
        <v>0</v>
      </c>
      <c r="AN392" s="134" t="s">
        <v>4121</v>
      </c>
      <c r="AO392" s="134">
        <f>(7+10)/2</f>
        <v>8.5</v>
      </c>
      <c r="AP392" s="134">
        <f>(7+10)/2</f>
        <v>8.5</v>
      </c>
      <c r="AQ392" s="134" t="s">
        <v>803</v>
      </c>
      <c r="AR392" s="134" t="s">
        <v>803</v>
      </c>
      <c r="AS392" s="134" t="s">
        <v>4125</v>
      </c>
      <c r="AT392" s="134" t="s">
        <v>24</v>
      </c>
      <c r="AU392" s="134" t="s">
        <v>7765</v>
      </c>
      <c r="AV392" s="134" t="s">
        <v>24</v>
      </c>
      <c r="AW392" s="134" t="s">
        <v>4112</v>
      </c>
      <c r="AX392" s="134">
        <v>1</v>
      </c>
      <c r="AY392" s="134">
        <v>1</v>
      </c>
      <c r="AZ392" s="753" t="s">
        <v>1814</v>
      </c>
      <c r="BA392" s="134">
        <v>1</v>
      </c>
      <c r="BB392" s="134" t="s">
        <v>4111</v>
      </c>
      <c r="BC392" s="134" t="s">
        <v>7538</v>
      </c>
      <c r="BD392" s="753" t="s">
        <v>7523</v>
      </c>
      <c r="BE392" s="753"/>
      <c r="BF392" s="134" t="s">
        <v>2912</v>
      </c>
      <c r="BG392" s="134" t="s">
        <v>3279</v>
      </c>
      <c r="BH392" s="594"/>
      <c r="BI392" s="594"/>
      <c r="BJ392" s="156"/>
      <c r="BK392" s="156"/>
      <c r="BL392" s="156"/>
      <c r="BM392" s="156"/>
      <c r="BN392" s="156"/>
      <c r="BO392" s="156"/>
      <c r="BP392" s="156">
        <v>1</v>
      </c>
      <c r="BQ392" s="156"/>
      <c r="BR392" s="156"/>
      <c r="BS392" s="156"/>
      <c r="BT392" s="156"/>
      <c r="BU392" s="156"/>
      <c r="BV392" s="156"/>
      <c r="BW392" s="595" t="s">
        <v>3563</v>
      </c>
      <c r="BX392" s="157" t="s">
        <v>6613</v>
      </c>
      <c r="BY392" s="797" t="s">
        <v>7614</v>
      </c>
      <c r="BZ392" s="789" t="s">
        <v>803</v>
      </c>
      <c r="CA392" s="765">
        <v>2</v>
      </c>
      <c r="CB392" s="765" t="s">
        <v>7556</v>
      </c>
      <c r="CC392" s="1724" t="s">
        <v>7384</v>
      </c>
      <c r="CD392" s="134" t="s">
        <v>1876</v>
      </c>
      <c r="CE392" s="134" t="s">
        <v>4108</v>
      </c>
      <c r="CF392" s="787" t="s">
        <v>7579</v>
      </c>
      <c r="CG392" s="134" t="s">
        <v>4110</v>
      </c>
      <c r="CH392" s="753" t="s">
        <v>1512</v>
      </c>
      <c r="CI392" s="134" t="s">
        <v>4107</v>
      </c>
      <c r="CJ392" s="134"/>
      <c r="CK392" s="134" t="s">
        <v>4109</v>
      </c>
      <c r="CL392" s="134" t="s">
        <v>8216</v>
      </c>
      <c r="CM392" s="259" t="s">
        <v>4134</v>
      </c>
      <c r="CN392" s="454" t="s">
        <v>24</v>
      </c>
      <c r="CO392" s="828">
        <v>17</v>
      </c>
      <c r="CP392" s="828">
        <v>1</v>
      </c>
      <c r="CQ392" s="828">
        <v>2</v>
      </c>
      <c r="CR392" s="828">
        <v>1</v>
      </c>
      <c r="CS392" s="828">
        <v>-1</v>
      </c>
      <c r="CT392" s="967">
        <v>1</v>
      </c>
      <c r="CU392" s="1289" t="s">
        <v>8104</v>
      </c>
      <c r="CV392" s="1295">
        <v>72</v>
      </c>
      <c r="CW392" s="1295">
        <v>64</v>
      </c>
      <c r="CX392" s="138" t="s">
        <v>4115</v>
      </c>
      <c r="CY392" s="134">
        <v>19.392499999999998</v>
      </c>
      <c r="CZ392" s="134" t="s">
        <v>24</v>
      </c>
      <c r="DA392" s="134">
        <f>21.9626-Table66[[#This Row],[Data_Outcome1_M]]</f>
        <v>2.5701000000000001</v>
      </c>
      <c r="DB392" s="138" t="s">
        <v>4116</v>
      </c>
      <c r="DC392" s="134">
        <v>13.831799999999999</v>
      </c>
      <c r="DD392" s="134" t="s">
        <v>24</v>
      </c>
      <c r="DE392" s="134">
        <f>15.1402-Table66[[#This Row],[Data_Outcome2_M]]</f>
        <v>1.3084000000000007</v>
      </c>
      <c r="DF392" s="435" t="s">
        <v>4126</v>
      </c>
      <c r="DG392" s="437" t="s">
        <v>4127</v>
      </c>
      <c r="DH392" s="1276"/>
      <c r="DI392" s="417"/>
      <c r="DJ392" s="1169"/>
      <c r="DK392" s="417"/>
      <c r="DL392" s="1276"/>
      <c r="DM392" s="417"/>
      <c r="DN392" s="1169"/>
      <c r="DO392" s="1151"/>
      <c r="DP392" s="288"/>
      <c r="DQ392" s="289"/>
      <c r="DR392" s="1168"/>
      <c r="DS392" s="865"/>
      <c r="DT392" s="448"/>
      <c r="DU392" s="448"/>
      <c r="DV392" s="1169"/>
      <c r="DW392" s="1169"/>
      <c r="DX392" s="1169"/>
      <c r="DY392" s="1169"/>
      <c r="DZ392" s="1169"/>
      <c r="EA392" s="1169"/>
      <c r="EB392" s="434"/>
      <c r="EC392" s="445"/>
      <c r="ED392" s="1169"/>
      <c r="EE392" s="1169"/>
      <c r="EF392" s="1169"/>
      <c r="EG392" s="1169"/>
      <c r="EH392" s="1169"/>
      <c r="EI392" s="1169"/>
      <c r="EJ392" s="1169"/>
      <c r="EK392" s="1169"/>
      <c r="EL392" s="304"/>
      <c r="EM392" s="312"/>
      <c r="EN392" s="309"/>
      <c r="EO392" s="1170"/>
      <c r="EP392" s="1169"/>
      <c r="EQ392" s="1169"/>
      <c r="ER392" s="1169"/>
      <c r="ES392" s="1169"/>
      <c r="ET392" s="1171"/>
      <c r="EU392" s="1169"/>
      <c r="EV392" s="1169"/>
      <c r="EW392" s="1169"/>
      <c r="EX392" s="312"/>
      <c r="EY392" s="312"/>
      <c r="EZ392" s="1171"/>
      <c r="FA392" s="1169"/>
      <c r="FB392" s="1169"/>
      <c r="FC392" s="1169"/>
      <c r="FD392" s="1171"/>
      <c r="FE392" s="1169"/>
      <c r="FF392" s="1169"/>
      <c r="FG392" s="1169"/>
      <c r="FH392" s="312"/>
      <c r="FI392" s="312"/>
      <c r="FJ392" s="1170"/>
    </row>
    <row r="393" spans="1:166" ht="17" hidden="1" customHeight="1">
      <c r="A393" s="153" t="s">
        <v>214</v>
      </c>
      <c r="B393" s="618">
        <v>159</v>
      </c>
      <c r="C393" s="618">
        <v>51</v>
      </c>
      <c r="D393" s="618"/>
      <c r="E393" s="610" t="s">
        <v>1982</v>
      </c>
      <c r="F393" s="368" t="s">
        <v>2206</v>
      </c>
      <c r="G393" s="369">
        <v>2013</v>
      </c>
      <c r="H393" s="153">
        <v>23877970</v>
      </c>
      <c r="I393" s="153">
        <v>1</v>
      </c>
      <c r="J393" s="370"/>
      <c r="K393" s="371"/>
      <c r="L393" s="153">
        <v>1</v>
      </c>
      <c r="M393" s="153"/>
      <c r="N393" s="153">
        <v>1</v>
      </c>
      <c r="O393" s="153">
        <v>1</v>
      </c>
      <c r="P393" s="153" t="s">
        <v>493</v>
      </c>
      <c r="Q393" s="153" t="s">
        <v>1147</v>
      </c>
      <c r="R393" s="153" t="s">
        <v>376</v>
      </c>
      <c r="S393" s="153">
        <v>1</v>
      </c>
      <c r="T393" s="153"/>
      <c r="U393" s="153"/>
      <c r="V393" s="153"/>
      <c r="W393" s="153" t="s">
        <v>606</v>
      </c>
      <c r="X393" s="153" t="s">
        <v>24</v>
      </c>
      <c r="Y393" s="153" t="s">
        <v>24</v>
      </c>
      <c r="Z393" s="153" t="s">
        <v>607</v>
      </c>
      <c r="AA393" s="153"/>
      <c r="AB393" s="153"/>
      <c r="AC393" s="536"/>
      <c r="AD393" s="536">
        <v>1</v>
      </c>
      <c r="AE393" s="536">
        <v>2</v>
      </c>
      <c r="AF393" s="165">
        <v>0</v>
      </c>
      <c r="AG393" s="166" t="s">
        <v>7271</v>
      </c>
      <c r="AH393" s="509">
        <v>0</v>
      </c>
      <c r="AI393" s="120">
        <v>1</v>
      </c>
      <c r="AJ393" s="120"/>
      <c r="AK393" s="206" t="s">
        <v>5013</v>
      </c>
      <c r="AL393" s="372"/>
      <c r="AM393" s="207" t="s">
        <v>24</v>
      </c>
      <c r="AN393" s="120" t="s">
        <v>5009</v>
      </c>
      <c r="AO393" s="120">
        <v>89</v>
      </c>
      <c r="AP393" s="120">
        <v>125</v>
      </c>
      <c r="AQ393" s="120" t="s">
        <v>5010</v>
      </c>
      <c r="AR393" s="120" t="s">
        <v>5010</v>
      </c>
      <c r="AS393" s="120" t="s">
        <v>5014</v>
      </c>
      <c r="AT393" s="120" t="s">
        <v>5015</v>
      </c>
      <c r="AU393" s="120" t="s">
        <v>5014</v>
      </c>
      <c r="AV393" s="120" t="s">
        <v>5015</v>
      </c>
      <c r="AW393" s="120" t="s">
        <v>1874</v>
      </c>
      <c r="AX393" s="120"/>
      <c r="AY393" s="120"/>
      <c r="AZ393" s="755" t="s">
        <v>1874</v>
      </c>
      <c r="BA393" s="120" t="s">
        <v>24</v>
      </c>
      <c r="BB393" s="120" t="s">
        <v>24</v>
      </c>
      <c r="BC393" s="120" t="s">
        <v>2423</v>
      </c>
      <c r="BD393" s="755"/>
      <c r="BE393" s="755"/>
      <c r="BF393" s="120" t="s">
        <v>2605</v>
      </c>
      <c r="BG393" s="509" t="s">
        <v>5007</v>
      </c>
      <c r="BH393" s="513"/>
      <c r="BI393" s="513"/>
      <c r="BJ393" s="511"/>
      <c r="BK393" s="511"/>
      <c r="BL393" s="511"/>
      <c r="BM393" s="511"/>
      <c r="BN393" s="511"/>
      <c r="BO393" s="511"/>
      <c r="BP393" s="511">
        <v>1</v>
      </c>
      <c r="BQ393" s="511"/>
      <c r="BR393" s="511"/>
      <c r="BS393" s="511"/>
      <c r="BT393" s="511"/>
      <c r="BU393" s="511"/>
      <c r="BV393" s="511"/>
      <c r="BW393" s="511" t="s">
        <v>5016</v>
      </c>
      <c r="BX393" s="510"/>
      <c r="BY393" s="510"/>
      <c r="BZ393" s="510"/>
      <c r="CA393" s="511"/>
      <c r="CB393" s="511"/>
      <c r="CC393" s="511"/>
      <c r="CD393" s="120"/>
      <c r="CE393" s="120"/>
      <c r="CF393" s="120"/>
      <c r="CG393" s="120" t="s">
        <v>5011</v>
      </c>
      <c r="CH393" s="755"/>
      <c r="CI393" s="120" t="s">
        <v>24</v>
      </c>
      <c r="CJ393" s="120"/>
      <c r="CK393" s="120" t="s">
        <v>5012</v>
      </c>
      <c r="CL393" s="120"/>
      <c r="CM393" s="375"/>
      <c r="CN393" s="380"/>
      <c r="CO393" s="380"/>
      <c r="CP393" s="380"/>
      <c r="CQ393" s="380"/>
      <c r="CR393" s="380"/>
      <c r="CS393" s="380"/>
      <c r="CT393" s="380"/>
      <c r="CU393" s="380"/>
      <c r="CV393" s="380"/>
      <c r="CW393" s="380"/>
      <c r="CX393" s="727"/>
      <c r="CY393" s="683"/>
      <c r="CZ393" s="384"/>
      <c r="DA393" s="683"/>
      <c r="DB393" s="376"/>
      <c r="DC393" s="683"/>
      <c r="DD393" s="120"/>
      <c r="DE393" s="815"/>
      <c r="DF393" s="621"/>
      <c r="DG393" s="509"/>
      <c r="DH393" s="384"/>
      <c r="DI393" s="683"/>
      <c r="DJ393" s="384"/>
      <c r="DK393" s="683"/>
      <c r="DL393" s="384"/>
      <c r="DM393" s="683"/>
      <c r="DN393" s="384"/>
      <c r="DO393" s="815"/>
      <c r="DP393" s="375"/>
      <c r="DQ393" s="377"/>
      <c r="DR393" s="1182"/>
      <c r="DS393" s="956"/>
      <c r="DT393" s="633"/>
      <c r="DU393" s="633"/>
      <c r="DV393" s="384"/>
      <c r="DW393" s="384"/>
      <c r="DX393" s="384"/>
      <c r="DY393" s="384"/>
      <c r="DZ393" s="384"/>
      <c r="EA393" s="384"/>
      <c r="EB393" s="375"/>
      <c r="EC393" s="809"/>
      <c r="ED393" s="384"/>
      <c r="EE393" s="384"/>
      <c r="EF393" s="384"/>
      <c r="EG393" s="384"/>
      <c r="EH393" s="384"/>
      <c r="EI393" s="120"/>
      <c r="EJ393" s="384"/>
      <c r="EK393" s="120"/>
      <c r="EL393" s="1012"/>
      <c r="EM393" s="384"/>
      <c r="EN393" s="1012"/>
      <c r="EO393" s="384"/>
      <c r="EP393" s="384"/>
      <c r="EQ393" s="384"/>
      <c r="ER393" s="384"/>
      <c r="ES393" s="384"/>
      <c r="ET393" s="384"/>
      <c r="EU393" s="120"/>
      <c r="EV393" s="120"/>
      <c r="EW393" s="120"/>
      <c r="EX393" s="384"/>
      <c r="EY393" s="384"/>
      <c r="EZ393" s="384"/>
      <c r="FA393" s="384"/>
      <c r="FB393" s="384"/>
      <c r="FC393" s="384"/>
      <c r="FD393" s="384"/>
      <c r="FE393" s="384"/>
      <c r="FF393" s="384"/>
      <c r="FG393" s="384"/>
      <c r="FH393" s="384"/>
      <c r="FI393" s="384"/>
      <c r="FJ393" s="384"/>
    </row>
    <row r="394" spans="1:166" ht="17" hidden="1" customHeight="1">
      <c r="A394" s="79" t="s">
        <v>215</v>
      </c>
      <c r="B394" s="362">
        <v>160</v>
      </c>
      <c r="C394" s="362"/>
      <c r="D394" s="362">
        <v>56</v>
      </c>
      <c r="E394" s="604" t="s">
        <v>1983</v>
      </c>
      <c r="F394" s="124" t="s">
        <v>2207</v>
      </c>
      <c r="G394" s="125">
        <v>2016</v>
      </c>
      <c r="H394" s="79">
        <v>27722837</v>
      </c>
      <c r="I394" s="79">
        <v>1</v>
      </c>
      <c r="J394" s="126"/>
      <c r="K394" s="127"/>
      <c r="L394" s="79">
        <v>1</v>
      </c>
      <c r="M394" s="79"/>
      <c r="N394" s="79">
        <v>1</v>
      </c>
      <c r="O394" s="128">
        <v>1</v>
      </c>
      <c r="P394" s="79" t="s">
        <v>608</v>
      </c>
      <c r="Q394" s="79" t="s">
        <v>1158</v>
      </c>
      <c r="R394" s="79" t="s">
        <v>591</v>
      </c>
      <c r="S394" s="79">
        <v>1</v>
      </c>
      <c r="T394" s="79"/>
      <c r="U394" s="79"/>
      <c r="V394" s="79"/>
      <c r="W394" s="79" t="s">
        <v>610</v>
      </c>
      <c r="X394" s="79" t="s">
        <v>39</v>
      </c>
      <c r="Y394" s="79"/>
      <c r="Z394" s="79"/>
      <c r="AA394" s="79"/>
      <c r="AB394" s="79" t="s">
        <v>611</v>
      </c>
      <c r="AC394" s="506" t="s">
        <v>6238</v>
      </c>
      <c r="AD394" s="573">
        <v>1</v>
      </c>
      <c r="AE394" s="573">
        <v>0</v>
      </c>
      <c r="AF394" s="924">
        <v>2</v>
      </c>
      <c r="AG394" s="925"/>
      <c r="AH394" s="911"/>
      <c r="AI394" s="923">
        <v>2</v>
      </c>
      <c r="AJ394" s="923"/>
      <c r="AK394" s="926"/>
      <c r="AL394" s="588"/>
      <c r="AM394" s="927"/>
      <c r="AN394" s="923"/>
      <c r="AO394" s="923"/>
      <c r="AP394" s="923"/>
      <c r="AQ394" s="923"/>
      <c r="AR394" s="923"/>
      <c r="AS394" s="923"/>
      <c r="AT394" s="923"/>
      <c r="AU394" s="923"/>
      <c r="AV394" s="923"/>
      <c r="AW394" s="923"/>
      <c r="AX394" s="923"/>
      <c r="AY394" s="923"/>
      <c r="AZ394" s="915"/>
      <c r="BA394" s="923"/>
      <c r="BB394" s="923"/>
      <c r="BC394" s="923"/>
      <c r="BD394" s="915"/>
      <c r="BE394" s="915"/>
      <c r="BF394" s="923"/>
      <c r="BG394" s="923"/>
      <c r="BH394" s="594"/>
      <c r="BI394" s="594"/>
      <c r="BJ394" s="156"/>
      <c r="BK394" s="156"/>
      <c r="BL394" s="156" t="s">
        <v>5207</v>
      </c>
      <c r="BM394" s="156" t="s">
        <v>6237</v>
      </c>
      <c r="BN394" s="156"/>
      <c r="BO394" s="156" t="s">
        <v>5207</v>
      </c>
      <c r="BP394" s="156"/>
      <c r="BQ394" s="156"/>
      <c r="BR394" s="156" t="s">
        <v>5207</v>
      </c>
      <c r="BS394" s="156"/>
      <c r="BT394" s="156"/>
      <c r="BU394" s="156"/>
      <c r="BV394" s="156"/>
      <c r="BW394" s="928"/>
      <c r="BX394" s="929"/>
      <c r="BY394" s="929"/>
      <c r="BZ394" s="929"/>
      <c r="CA394" s="184"/>
      <c r="CB394" s="184"/>
      <c r="CC394" s="184"/>
      <c r="CD394" s="923"/>
      <c r="CE394" s="923"/>
      <c r="CF394" s="923"/>
      <c r="CG394" s="923"/>
      <c r="CH394" s="915"/>
      <c r="CI394" s="923"/>
      <c r="CJ394" s="923"/>
      <c r="CK394" s="923"/>
      <c r="CL394" s="923"/>
      <c r="CM394" s="930"/>
      <c r="CN394" s="931"/>
      <c r="CO394" s="931"/>
      <c r="CP394" s="931"/>
      <c r="CQ394" s="931"/>
      <c r="CR394" s="931"/>
      <c r="CS394" s="931"/>
      <c r="CT394" s="967"/>
      <c r="CU394" s="967"/>
      <c r="CV394" s="967"/>
      <c r="CW394" s="967"/>
      <c r="CX394" s="932"/>
      <c r="CY394" s="923"/>
      <c r="CZ394" s="923"/>
      <c r="DA394" s="923"/>
      <c r="DB394" s="932"/>
      <c r="DC394" s="923"/>
      <c r="DD394" s="923"/>
      <c r="DE394" s="923"/>
      <c r="DF394" s="920"/>
      <c r="DG394" s="598"/>
      <c r="DH394" s="950"/>
      <c r="DI394" s="951"/>
      <c r="DJ394" s="951"/>
      <c r="DK394" s="951"/>
      <c r="DL394" s="950"/>
      <c r="DM394" s="951"/>
      <c r="DN394" s="951"/>
      <c r="DO394" s="951"/>
      <c r="DP394" s="930"/>
      <c r="DQ394" s="594"/>
      <c r="DR394" s="1187"/>
      <c r="DS394" s="1186"/>
      <c r="DT394" s="935"/>
      <c r="DU394" s="936"/>
      <c r="DV394" s="936"/>
      <c r="DW394" s="936"/>
      <c r="DX394" s="936"/>
      <c r="DY394" s="951"/>
      <c r="DZ394" s="951"/>
      <c r="EA394" s="951"/>
      <c r="EB394" s="930"/>
      <c r="EC394" s="1144"/>
      <c r="ED394" s="936"/>
      <c r="EE394" s="936"/>
      <c r="EF394" s="936"/>
      <c r="EG394" s="936"/>
      <c r="EH394" s="936"/>
      <c r="EI394" s="951"/>
      <c r="EJ394" s="951"/>
      <c r="EK394" s="951"/>
      <c r="EL394" s="930"/>
      <c r="EM394" s="1144"/>
      <c r="EN394" s="1185"/>
      <c r="EO394" s="951"/>
      <c r="EP394" s="951"/>
      <c r="EQ394" s="951"/>
      <c r="ER394" s="951"/>
      <c r="ES394" s="951"/>
      <c r="ET394" s="950"/>
      <c r="EU394" s="951"/>
      <c r="EV394" s="951"/>
      <c r="EW394" s="951"/>
      <c r="EX394" s="951"/>
      <c r="EY394" s="951"/>
      <c r="EZ394" s="950"/>
      <c r="FA394" s="951"/>
      <c r="FB394" s="951"/>
      <c r="FC394" s="951"/>
      <c r="FD394" s="950"/>
      <c r="FE394" s="951"/>
      <c r="FF394" s="951"/>
      <c r="FG394" s="951"/>
      <c r="FH394" s="951"/>
      <c r="FI394" s="951"/>
      <c r="FJ394" s="951"/>
    </row>
    <row r="395" spans="1:166" hidden="1">
      <c r="A395" s="79" t="s">
        <v>216</v>
      </c>
      <c r="B395" s="362">
        <v>161</v>
      </c>
      <c r="C395" s="362"/>
      <c r="D395" s="362">
        <v>57</v>
      </c>
      <c r="E395" s="604" t="s">
        <v>1983</v>
      </c>
      <c r="F395" s="124" t="s">
        <v>2208</v>
      </c>
      <c r="G395" s="125">
        <v>2016</v>
      </c>
      <c r="H395" s="79">
        <v>26645740</v>
      </c>
      <c r="I395" s="79">
        <v>1</v>
      </c>
      <c r="J395" s="126"/>
      <c r="K395" s="127"/>
      <c r="L395" s="79">
        <v>1</v>
      </c>
      <c r="M395" s="79"/>
      <c r="N395" s="79">
        <v>1</v>
      </c>
      <c r="O395" s="128">
        <v>1</v>
      </c>
      <c r="P395" s="79" t="s">
        <v>608</v>
      </c>
      <c r="Q395" s="79" t="s">
        <v>1158</v>
      </c>
      <c r="R395" s="79" t="s">
        <v>591</v>
      </c>
      <c r="S395" s="79">
        <v>1</v>
      </c>
      <c r="T395" s="79"/>
      <c r="U395" s="79"/>
      <c r="V395" s="79"/>
      <c r="W395" s="79" t="s">
        <v>610</v>
      </c>
      <c r="X395" s="79" t="s">
        <v>39</v>
      </c>
      <c r="Y395" s="79"/>
      <c r="Z395" s="79"/>
      <c r="AA395" s="79"/>
      <c r="AB395" s="79" t="s">
        <v>611</v>
      </c>
      <c r="AC395" s="506" t="s">
        <v>6239</v>
      </c>
      <c r="AD395" s="573">
        <v>1</v>
      </c>
      <c r="AE395" s="573">
        <v>0</v>
      </c>
      <c r="AF395" s="924">
        <v>2</v>
      </c>
      <c r="AG395" s="925"/>
      <c r="AH395" s="911"/>
      <c r="AI395" s="923">
        <v>2</v>
      </c>
      <c r="AJ395" s="923"/>
      <c r="AK395" s="926"/>
      <c r="AL395" s="588"/>
      <c r="AM395" s="927"/>
      <c r="AN395" s="923"/>
      <c r="AO395" s="923"/>
      <c r="AP395" s="923"/>
      <c r="AQ395" s="923"/>
      <c r="AR395" s="923"/>
      <c r="AS395" s="923"/>
      <c r="AT395" s="923"/>
      <c r="AU395" s="923"/>
      <c r="AV395" s="923"/>
      <c r="AW395" s="923"/>
      <c r="AX395" s="923"/>
      <c r="AY395" s="923"/>
      <c r="AZ395" s="915"/>
      <c r="BA395" s="923"/>
      <c r="BB395" s="923"/>
      <c r="BC395" s="923"/>
      <c r="BD395" s="915"/>
      <c r="BE395" s="915"/>
      <c r="BF395" s="923"/>
      <c r="BG395" s="923"/>
      <c r="BH395" s="594"/>
      <c r="BI395" s="594"/>
      <c r="BJ395" s="156"/>
      <c r="BK395" s="156"/>
      <c r="BL395" s="156"/>
      <c r="BM395" s="156"/>
      <c r="BN395" s="156"/>
      <c r="BO395" s="156"/>
      <c r="BP395" s="156"/>
      <c r="BQ395" s="156"/>
      <c r="BR395" s="156" t="s">
        <v>5207</v>
      </c>
      <c r="BS395" s="156"/>
      <c r="BT395" s="156"/>
      <c r="BU395" s="156"/>
      <c r="BV395" s="156"/>
      <c r="BW395" s="928"/>
      <c r="BX395" s="929"/>
      <c r="BY395" s="929"/>
      <c r="BZ395" s="929"/>
      <c r="CA395" s="184"/>
      <c r="CB395" s="184"/>
      <c r="CC395" s="184"/>
      <c r="CD395" s="923"/>
      <c r="CE395" s="923"/>
      <c r="CF395" s="923"/>
      <c r="CG395" s="923"/>
      <c r="CH395" s="915"/>
      <c r="CI395" s="923"/>
      <c r="CJ395" s="923"/>
      <c r="CK395" s="923"/>
      <c r="CL395" s="923"/>
      <c r="CM395" s="930"/>
      <c r="CN395" s="931"/>
      <c r="CO395" s="931"/>
      <c r="CP395" s="931"/>
      <c r="CQ395" s="931"/>
      <c r="CR395" s="931"/>
      <c r="CS395" s="931"/>
      <c r="CT395" s="967"/>
      <c r="CU395" s="967"/>
      <c r="CV395" s="967"/>
      <c r="CW395" s="967"/>
      <c r="CX395" s="932"/>
      <c r="CY395" s="923"/>
      <c r="CZ395" s="923"/>
      <c r="DA395" s="923"/>
      <c r="DB395" s="932"/>
      <c r="DC395" s="923"/>
      <c r="DD395" s="923"/>
      <c r="DE395" s="923"/>
      <c r="DF395" s="920"/>
      <c r="DG395" s="598"/>
      <c r="DH395" s="950"/>
      <c r="DI395" s="951"/>
      <c r="DJ395" s="951"/>
      <c r="DK395" s="951"/>
      <c r="DL395" s="950"/>
      <c r="DM395" s="951"/>
      <c r="DN395" s="951"/>
      <c r="DO395" s="951"/>
      <c r="DP395" s="930"/>
      <c r="DQ395" s="594"/>
      <c r="DR395" s="1187"/>
      <c r="DS395" s="1186"/>
      <c r="DT395" s="950"/>
      <c r="DU395" s="951"/>
      <c r="DV395" s="951"/>
      <c r="DW395" s="951"/>
      <c r="DX395" s="951"/>
      <c r="DY395" s="951"/>
      <c r="DZ395" s="951"/>
      <c r="EA395" s="951"/>
      <c r="EB395" s="1185"/>
      <c r="EC395" s="951"/>
      <c r="ED395" s="951"/>
      <c r="EE395" s="951"/>
      <c r="EF395" s="951"/>
      <c r="EG395" s="951"/>
      <c r="EH395" s="951"/>
      <c r="EI395" s="951"/>
      <c r="EJ395" s="951"/>
      <c r="EK395" s="951"/>
      <c r="EL395" s="1185"/>
      <c r="EM395" s="951"/>
      <c r="EN395" s="1185"/>
      <c r="EO395" s="951"/>
      <c r="EP395" s="951"/>
      <c r="EQ395" s="951"/>
      <c r="ER395" s="951"/>
      <c r="ES395" s="951"/>
      <c r="ET395" s="950"/>
      <c r="EU395" s="951"/>
      <c r="EV395" s="951"/>
      <c r="EW395" s="951"/>
      <c r="EX395" s="951"/>
      <c r="EY395" s="951"/>
      <c r="EZ395" s="950"/>
      <c r="FA395" s="951"/>
      <c r="FB395" s="951"/>
      <c r="FC395" s="951"/>
      <c r="FD395" s="950"/>
      <c r="FE395" s="951"/>
      <c r="FF395" s="951"/>
      <c r="FG395" s="951"/>
      <c r="FH395" s="951"/>
      <c r="FI395" s="951"/>
      <c r="FJ395" s="951"/>
    </row>
    <row r="396" spans="1:166" ht="17" hidden="1" customHeight="1">
      <c r="A396" s="153" t="s">
        <v>217</v>
      </c>
      <c r="B396" s="618">
        <v>162</v>
      </c>
      <c r="C396" s="618">
        <v>52</v>
      </c>
      <c r="D396" s="618"/>
      <c r="E396" s="610" t="s">
        <v>1984</v>
      </c>
      <c r="F396" s="368" t="s">
        <v>2209</v>
      </c>
      <c r="G396" s="369">
        <v>2016</v>
      </c>
      <c r="H396" s="153">
        <v>26691304</v>
      </c>
      <c r="I396" s="153">
        <v>1</v>
      </c>
      <c r="J396" s="370"/>
      <c r="K396" s="371"/>
      <c r="L396" s="153">
        <v>1</v>
      </c>
      <c r="M396" s="153"/>
      <c r="N396" s="153">
        <v>1</v>
      </c>
      <c r="O396" s="153">
        <v>1</v>
      </c>
      <c r="P396" s="153" t="s">
        <v>612</v>
      </c>
      <c r="Q396" s="153" t="s">
        <v>1147</v>
      </c>
      <c r="R396" s="153" t="s">
        <v>376</v>
      </c>
      <c r="S396" s="153">
        <v>1</v>
      </c>
      <c r="T396" s="153"/>
      <c r="U396" s="153"/>
      <c r="V396" s="153"/>
      <c r="W396" s="153" t="s">
        <v>613</v>
      </c>
      <c r="X396" s="153"/>
      <c r="Y396" s="153"/>
      <c r="Z396" s="153"/>
      <c r="AA396" s="153"/>
      <c r="AB396" s="153"/>
      <c r="AC396" s="536"/>
      <c r="AD396" s="536">
        <v>1</v>
      </c>
      <c r="AE396" s="536">
        <v>2</v>
      </c>
      <c r="AF396" s="165">
        <v>0</v>
      </c>
      <c r="AG396" s="166" t="s">
        <v>7918</v>
      </c>
      <c r="AH396" s="509"/>
      <c r="AI396" s="120">
        <v>2</v>
      </c>
      <c r="AJ396" s="120"/>
      <c r="AK396" s="206" t="s">
        <v>5019</v>
      </c>
      <c r="AL396" s="724">
        <v>0</v>
      </c>
      <c r="AM396" s="207">
        <v>0</v>
      </c>
      <c r="AN396" s="120">
        <v>40</v>
      </c>
      <c r="AO396" s="120"/>
      <c r="AP396" s="120"/>
      <c r="AQ396" s="120"/>
      <c r="AR396" s="120"/>
      <c r="AS396" s="120"/>
      <c r="AT396" s="120"/>
      <c r="AU396" s="120"/>
      <c r="AV396" s="120"/>
      <c r="AW396" s="120" t="s">
        <v>1874</v>
      </c>
      <c r="AX396" s="120"/>
      <c r="AY396" s="120"/>
      <c r="AZ396" s="755" t="s">
        <v>1874</v>
      </c>
      <c r="BA396" s="120" t="s">
        <v>24</v>
      </c>
      <c r="BB396" s="120" t="s">
        <v>24</v>
      </c>
      <c r="BC396" s="120"/>
      <c r="BD396" s="755"/>
      <c r="BE396" s="755"/>
      <c r="BF396" s="120" t="s">
        <v>5116</v>
      </c>
      <c r="BG396" s="120" t="s">
        <v>5018</v>
      </c>
      <c r="BH396" s="377"/>
      <c r="BI396" s="377"/>
      <c r="BJ396" s="373"/>
      <c r="BK396" s="373"/>
      <c r="BL396" s="373"/>
      <c r="BM396" s="373"/>
      <c r="BN396" s="373"/>
      <c r="BO396" s="373"/>
      <c r="BP396" s="373">
        <v>1</v>
      </c>
      <c r="BQ396" s="373"/>
      <c r="BR396" s="373"/>
      <c r="BS396" s="373"/>
      <c r="BT396" s="373"/>
      <c r="BU396" s="373"/>
      <c r="BV396" s="373"/>
      <c r="BW396" s="599"/>
      <c r="BX396" s="374"/>
      <c r="BY396" s="799"/>
      <c r="BZ396" s="374"/>
      <c r="CA396" s="510"/>
      <c r="CB396" s="510"/>
      <c r="CC396" s="510"/>
      <c r="CD396" s="120"/>
      <c r="CE396" s="120"/>
      <c r="CF396" s="786"/>
      <c r="CG396" s="120"/>
      <c r="CH396" s="755"/>
      <c r="CI396" s="120"/>
      <c r="CJ396" s="120"/>
      <c r="CK396" s="120"/>
      <c r="CL396" s="120"/>
      <c r="CM396" s="375"/>
      <c r="CN396" s="380"/>
      <c r="CO396" s="380"/>
      <c r="CP396" s="380"/>
      <c r="CQ396" s="380"/>
      <c r="CR396" s="380"/>
      <c r="CS396" s="380"/>
      <c r="CT396" s="380"/>
      <c r="CU396" s="380"/>
      <c r="CV396" s="380"/>
      <c r="CW396" s="380"/>
      <c r="CX396" s="376"/>
      <c r="CY396" s="120"/>
      <c r="CZ396" s="120"/>
      <c r="DA396" s="120"/>
      <c r="DB396" s="376"/>
      <c r="DC396" s="120"/>
      <c r="DD396" s="120"/>
      <c r="DE396" s="120"/>
      <c r="DF396" s="515"/>
      <c r="DG396" s="513"/>
      <c r="DH396" s="384"/>
      <c r="DI396" s="384"/>
      <c r="DJ396" s="384"/>
      <c r="DK396" s="384"/>
      <c r="DL396" s="384"/>
      <c r="DM396" s="384"/>
      <c r="DN396" s="384"/>
      <c r="DO396" s="384"/>
      <c r="DP396" s="375"/>
      <c r="DQ396" s="377"/>
      <c r="DR396" s="1182"/>
      <c r="DS396" s="956"/>
      <c r="DT396" s="727"/>
      <c r="DU396" s="384"/>
      <c r="DV396" s="384"/>
      <c r="DW396" s="384"/>
      <c r="DX396" s="384"/>
      <c r="DY396" s="384"/>
      <c r="DZ396" s="384"/>
      <c r="EA396" s="384"/>
      <c r="EB396" s="1012"/>
      <c r="EC396" s="384"/>
      <c r="ED396" s="384"/>
      <c r="EE396" s="384"/>
      <c r="EF396" s="384"/>
      <c r="EG396" s="384"/>
      <c r="EH396" s="384"/>
      <c r="EI396" s="384"/>
      <c r="EJ396" s="384"/>
      <c r="EK396" s="384"/>
      <c r="EL396" s="1012"/>
      <c r="EM396" s="384"/>
      <c r="EN396" s="804"/>
      <c r="EO396" s="384"/>
      <c r="EP396" s="384"/>
      <c r="EQ396" s="384"/>
      <c r="ER396" s="384"/>
      <c r="ES396" s="384"/>
      <c r="ET396" s="384"/>
      <c r="EU396" s="384"/>
      <c r="EV396" s="384"/>
      <c r="EW396" s="384"/>
      <c r="EX396" s="384"/>
      <c r="EY396" s="384"/>
      <c r="EZ396" s="727"/>
      <c r="FA396" s="384"/>
      <c r="FB396" s="384"/>
      <c r="FC396" s="384"/>
      <c r="FD396" s="727"/>
      <c r="FE396" s="384"/>
      <c r="FF396" s="384"/>
      <c r="FG396" s="384"/>
      <c r="FH396" s="384"/>
      <c r="FI396" s="384"/>
      <c r="FJ396" s="384"/>
    </row>
    <row r="397" spans="1:166" ht="17" customHeight="1">
      <c r="A397" s="79" t="s">
        <v>1089</v>
      </c>
      <c r="B397" s="617">
        <v>87</v>
      </c>
      <c r="C397" s="617">
        <v>15</v>
      </c>
      <c r="D397" s="617"/>
      <c r="E397" s="608" t="s">
        <v>1938</v>
      </c>
      <c r="F397" s="181" t="s">
        <v>2307</v>
      </c>
      <c r="G397" s="182">
        <v>2009</v>
      </c>
      <c r="H397" s="79">
        <v>18700055</v>
      </c>
      <c r="I397" s="79">
        <v>1</v>
      </c>
      <c r="J397" s="79"/>
      <c r="K397" s="79"/>
      <c r="L397" s="79">
        <v>1</v>
      </c>
      <c r="M397" s="79"/>
      <c r="N397" s="171">
        <v>1</v>
      </c>
      <c r="O397" s="128">
        <v>2</v>
      </c>
      <c r="P397" s="79" t="s">
        <v>1258</v>
      </c>
      <c r="Q397" s="79" t="s">
        <v>1251</v>
      </c>
      <c r="R397" s="79" t="s">
        <v>1127</v>
      </c>
      <c r="S397" s="79"/>
      <c r="T397" s="79" t="s">
        <v>1707</v>
      </c>
      <c r="U397" s="79" t="s">
        <v>23</v>
      </c>
      <c r="V397" s="79" t="s">
        <v>23</v>
      </c>
      <c r="W397" s="79" t="s">
        <v>1257</v>
      </c>
      <c r="X397" s="79" t="s">
        <v>24</v>
      </c>
      <c r="Y397" s="79" t="s">
        <v>1132</v>
      </c>
      <c r="Z397" s="79"/>
      <c r="AA397" s="79"/>
      <c r="AB397" s="79"/>
      <c r="AC397" s="506"/>
      <c r="AD397" s="573">
        <v>1</v>
      </c>
      <c r="AE397" s="573">
        <v>2</v>
      </c>
      <c r="AF397" s="352">
        <v>1</v>
      </c>
      <c r="AG397" s="353" t="s">
        <v>4106</v>
      </c>
      <c r="AH397" s="704" t="s">
        <v>7291</v>
      </c>
      <c r="AI397" s="346">
        <v>4</v>
      </c>
      <c r="AJ397" s="487"/>
      <c r="AK397" s="459" t="s">
        <v>3972</v>
      </c>
      <c r="AL397" s="566" t="s">
        <v>7739</v>
      </c>
      <c r="AM397" s="1597">
        <v>0</v>
      </c>
      <c r="AN397" s="186">
        <v>108</v>
      </c>
      <c r="AO397" s="186">
        <v>24</v>
      </c>
      <c r="AP397" s="186">
        <f>17</f>
        <v>17</v>
      </c>
      <c r="AQ397" s="186" t="s">
        <v>803</v>
      </c>
      <c r="AR397" s="186" t="s">
        <v>803</v>
      </c>
      <c r="AS397" s="150" t="s">
        <v>2687</v>
      </c>
      <c r="AT397" s="150" t="s">
        <v>24</v>
      </c>
      <c r="AU397" s="150" t="s">
        <v>2687</v>
      </c>
      <c r="AV397" s="186" t="s">
        <v>24</v>
      </c>
      <c r="AW397" s="186" t="s">
        <v>7740</v>
      </c>
      <c r="AX397" s="186"/>
      <c r="AY397" s="186"/>
      <c r="AZ397" s="753" t="s">
        <v>7317</v>
      </c>
      <c r="BA397" s="186">
        <v>1</v>
      </c>
      <c r="BB397" s="186">
        <v>1</v>
      </c>
      <c r="BC397" s="150" t="s">
        <v>7533</v>
      </c>
      <c r="BD397" s="753" t="s">
        <v>7526</v>
      </c>
      <c r="BE397" s="753"/>
      <c r="BF397" s="186" t="s">
        <v>1130</v>
      </c>
      <c r="BG397" s="186" t="s">
        <v>3279</v>
      </c>
      <c r="BH397" s="598"/>
      <c r="BI397" s="598"/>
      <c r="BJ397" s="184">
        <v>1</v>
      </c>
      <c r="BK397" s="184"/>
      <c r="BL397" s="184"/>
      <c r="BM397" s="184"/>
      <c r="BN397" s="184"/>
      <c r="BO397" s="184"/>
      <c r="BP397" s="184"/>
      <c r="BQ397" s="184"/>
      <c r="BR397" s="184"/>
      <c r="BS397" s="184"/>
      <c r="BT397" s="184"/>
      <c r="BU397" s="184"/>
      <c r="BV397" s="184"/>
      <c r="BW397" s="600" t="s">
        <v>4088</v>
      </c>
      <c r="BX397" s="157" t="s">
        <v>6595</v>
      </c>
      <c r="BY397" s="797" t="s">
        <v>7615</v>
      </c>
      <c r="BZ397" s="789" t="s">
        <v>803</v>
      </c>
      <c r="CA397" s="660">
        <v>4</v>
      </c>
      <c r="CB397" s="660" t="s">
        <v>7556</v>
      </c>
      <c r="CC397" s="660" t="s">
        <v>7454</v>
      </c>
      <c r="CD397" s="186" t="s">
        <v>1876</v>
      </c>
      <c r="CE397" s="186">
        <v>5</v>
      </c>
      <c r="CF397" s="400"/>
      <c r="CG397" s="186" t="s">
        <v>7569</v>
      </c>
      <c r="CH397" s="753" t="s">
        <v>1488</v>
      </c>
      <c r="CI397" s="186" t="s">
        <v>1121</v>
      </c>
      <c r="CJ397" s="186"/>
      <c r="CK397" s="186" t="s">
        <v>4091</v>
      </c>
      <c r="CL397" s="134" t="s">
        <v>8279</v>
      </c>
      <c r="CM397" s="261" t="s">
        <v>4084</v>
      </c>
      <c r="CN397" s="620" t="s">
        <v>6627</v>
      </c>
      <c r="CO397" s="830">
        <v>10</v>
      </c>
      <c r="CP397" s="830">
        <v>4</v>
      </c>
      <c r="CQ397" s="830">
        <v>1</v>
      </c>
      <c r="CR397" s="830">
        <v>1</v>
      </c>
      <c r="CS397" s="830">
        <v>1</v>
      </c>
      <c r="CT397" s="969"/>
      <c r="CU397" s="1289" t="s">
        <v>8104</v>
      </c>
      <c r="CV397" s="1295">
        <v>63</v>
      </c>
      <c r="CW397" s="1295">
        <v>57</v>
      </c>
      <c r="CX397" s="267" t="s">
        <v>4071</v>
      </c>
      <c r="CY397" s="186">
        <v>240</v>
      </c>
      <c r="CZ397" s="186" t="s">
        <v>24</v>
      </c>
      <c r="DA397" s="186">
        <f>252.203-Table66[[#This Row],[Data_Outcome1_M]]</f>
        <v>12.203000000000003</v>
      </c>
      <c r="DB397" s="267" t="s">
        <v>4072</v>
      </c>
      <c r="DC397" s="186">
        <v>23.389800000000001</v>
      </c>
      <c r="DD397" s="186" t="s">
        <v>24</v>
      </c>
      <c r="DE397" s="186">
        <f>36.6102-Table66[[#This Row],[Data_Outcome2_M]]</f>
        <v>13.220399999999998</v>
      </c>
      <c r="DF397" s="294" t="s">
        <v>4076</v>
      </c>
      <c r="DG397" s="295" t="s">
        <v>3062</v>
      </c>
      <c r="DH397" s="1278"/>
      <c r="DI397" s="346"/>
      <c r="DJ397" s="1189"/>
      <c r="DK397" s="346"/>
      <c r="DL397" s="1169"/>
      <c r="DM397" s="1169"/>
      <c r="DN397" s="1169"/>
      <c r="DO397" s="1169"/>
      <c r="DP397" s="294"/>
      <c r="DQ397" s="295"/>
      <c r="DR397" s="1168"/>
      <c r="DS397" s="865"/>
      <c r="DT397" s="1171"/>
      <c r="DU397" s="1169"/>
      <c r="DV397" s="1169"/>
      <c r="DW397" s="1169"/>
      <c r="DX397" s="1189"/>
      <c r="DY397" s="1189"/>
      <c r="DZ397" s="1189"/>
      <c r="EA397" s="1189"/>
      <c r="EB397" s="304"/>
      <c r="EC397" s="312"/>
      <c r="ED397" s="1189"/>
      <c r="EE397" s="1189"/>
      <c r="EF397" s="1189"/>
      <c r="EG397" s="1189"/>
      <c r="EH397" s="1189"/>
      <c r="EI397" s="1189"/>
      <c r="EJ397" s="1189"/>
      <c r="EK397" s="1189"/>
      <c r="EL397" s="1193"/>
      <c r="EM397" s="1190"/>
      <c r="EN397" s="572"/>
      <c r="EO397" s="1191"/>
      <c r="EP397" s="1189"/>
      <c r="EQ397" s="1189"/>
      <c r="ER397" s="1189"/>
      <c r="ES397" s="1189"/>
      <c r="ET397" s="1192"/>
      <c r="EU397" s="1189"/>
      <c r="EV397" s="1189"/>
      <c r="EW397" s="1189"/>
      <c r="EX397" s="1190"/>
      <c r="EY397" s="1190"/>
      <c r="EZ397" s="1192"/>
      <c r="FA397" s="1189"/>
      <c r="FB397" s="1189"/>
      <c r="FC397" s="1189"/>
      <c r="FD397" s="1192"/>
      <c r="FE397" s="1189"/>
      <c r="FF397" s="1189"/>
      <c r="FG397" s="1189"/>
      <c r="FH397" s="1190"/>
      <c r="FI397" s="1190"/>
      <c r="FJ397" s="1191"/>
    </row>
    <row r="398" spans="1:166" s="229" customFormat="1" ht="17" customHeight="1">
      <c r="A398" s="79" t="s">
        <v>1089</v>
      </c>
      <c r="B398" s="617">
        <v>87</v>
      </c>
      <c r="C398" s="617">
        <v>15</v>
      </c>
      <c r="D398" s="617"/>
      <c r="E398" s="608" t="s">
        <v>1938</v>
      </c>
      <c r="F398" s="181" t="s">
        <v>2307</v>
      </c>
      <c r="G398" s="182">
        <v>2009</v>
      </c>
      <c r="H398" s="79">
        <v>18700055</v>
      </c>
      <c r="I398" s="79">
        <v>1</v>
      </c>
      <c r="J398" s="79"/>
      <c r="K398" s="79"/>
      <c r="L398" s="79">
        <v>1</v>
      </c>
      <c r="M398" s="79"/>
      <c r="N398" s="171">
        <v>1</v>
      </c>
      <c r="O398" s="128">
        <v>2</v>
      </c>
      <c r="P398" s="79" t="s">
        <v>1258</v>
      </c>
      <c r="Q398" s="79" t="s">
        <v>1251</v>
      </c>
      <c r="R398" s="79" t="s">
        <v>1127</v>
      </c>
      <c r="S398" s="79"/>
      <c r="T398" s="79" t="s">
        <v>1707</v>
      </c>
      <c r="U398" s="79" t="s">
        <v>23</v>
      </c>
      <c r="V398" s="79" t="s">
        <v>23</v>
      </c>
      <c r="W398" s="79" t="s">
        <v>1257</v>
      </c>
      <c r="X398" s="79" t="s">
        <v>24</v>
      </c>
      <c r="Y398" s="79" t="s">
        <v>1132</v>
      </c>
      <c r="Z398" s="79"/>
      <c r="AA398" s="79"/>
      <c r="AB398" s="79"/>
      <c r="AC398" s="506"/>
      <c r="AD398" s="573">
        <v>1</v>
      </c>
      <c r="AE398" s="573">
        <v>2</v>
      </c>
      <c r="AF398" s="352">
        <v>1</v>
      </c>
      <c r="AG398" s="353" t="s">
        <v>4106</v>
      </c>
      <c r="AH398" s="704" t="s">
        <v>7291</v>
      </c>
      <c r="AI398" s="346">
        <v>4</v>
      </c>
      <c r="AJ398" s="487"/>
      <c r="AK398" s="459" t="s">
        <v>3972</v>
      </c>
      <c r="AL398" s="566" t="s">
        <v>7739</v>
      </c>
      <c r="AM398" s="1597">
        <v>0</v>
      </c>
      <c r="AN398" s="186">
        <v>108</v>
      </c>
      <c r="AO398" s="186">
        <v>16</v>
      </c>
      <c r="AP398" s="186">
        <f>17</f>
        <v>17</v>
      </c>
      <c r="AQ398" s="186" t="s">
        <v>803</v>
      </c>
      <c r="AR398" s="186" t="s">
        <v>803</v>
      </c>
      <c r="AS398" s="150" t="s">
        <v>2687</v>
      </c>
      <c r="AT398" s="150" t="s">
        <v>24</v>
      </c>
      <c r="AU398" s="150" t="s">
        <v>2687</v>
      </c>
      <c r="AV398" s="186" t="s">
        <v>24</v>
      </c>
      <c r="AW398" s="186" t="s">
        <v>7741</v>
      </c>
      <c r="AX398" s="186"/>
      <c r="AY398" s="186"/>
      <c r="AZ398" s="753" t="s">
        <v>7743</v>
      </c>
      <c r="BA398" s="186">
        <v>1</v>
      </c>
      <c r="BB398" s="186">
        <v>1</v>
      </c>
      <c r="BC398" s="150" t="s">
        <v>7533</v>
      </c>
      <c r="BD398" s="753" t="s">
        <v>7526</v>
      </c>
      <c r="BE398" s="753"/>
      <c r="BF398" s="186" t="s">
        <v>1130</v>
      </c>
      <c r="BG398" s="186" t="s">
        <v>3279</v>
      </c>
      <c r="BH398" s="598"/>
      <c r="BI398" s="598"/>
      <c r="BJ398" s="184">
        <v>1</v>
      </c>
      <c r="BK398" s="184"/>
      <c r="BL398" s="184"/>
      <c r="BM398" s="184"/>
      <c r="BN398" s="184"/>
      <c r="BO398" s="184"/>
      <c r="BP398" s="184"/>
      <c r="BQ398" s="184"/>
      <c r="BR398" s="184"/>
      <c r="BS398" s="184"/>
      <c r="BT398" s="184"/>
      <c r="BU398" s="184"/>
      <c r="BV398" s="184"/>
      <c r="BW398" s="600" t="s">
        <v>4088</v>
      </c>
      <c r="BX398" s="157" t="s">
        <v>6595</v>
      </c>
      <c r="BY398" s="797" t="s">
        <v>7615</v>
      </c>
      <c r="BZ398" s="789" t="s">
        <v>803</v>
      </c>
      <c r="CA398" s="660">
        <v>4</v>
      </c>
      <c r="CB398" s="660" t="s">
        <v>7556</v>
      </c>
      <c r="CC398" s="660" t="s">
        <v>7454</v>
      </c>
      <c r="CD398" s="186" t="s">
        <v>1876</v>
      </c>
      <c r="CE398" s="186">
        <v>5</v>
      </c>
      <c r="CF398" s="400"/>
      <c r="CG398" s="186" t="s">
        <v>7569</v>
      </c>
      <c r="CH398" s="753" t="s">
        <v>1488</v>
      </c>
      <c r="CI398" s="186" t="s">
        <v>1121</v>
      </c>
      <c r="CJ398" s="186"/>
      <c r="CK398" s="186" t="s">
        <v>4091</v>
      </c>
      <c r="CL398" s="134" t="s">
        <v>8279</v>
      </c>
      <c r="CM398" s="261" t="s">
        <v>4084</v>
      </c>
      <c r="CN398" s="620" t="s">
        <v>6627</v>
      </c>
      <c r="CO398" s="830">
        <v>10</v>
      </c>
      <c r="CP398" s="830">
        <v>4</v>
      </c>
      <c r="CQ398" s="830">
        <v>2</v>
      </c>
      <c r="CR398" s="830">
        <v>1</v>
      </c>
      <c r="CS398" s="830">
        <v>1</v>
      </c>
      <c r="CT398" s="969"/>
      <c r="CU398" s="1289" t="s">
        <v>8104</v>
      </c>
      <c r="CV398" s="1295">
        <v>64</v>
      </c>
      <c r="CW398" s="1295">
        <v>57</v>
      </c>
      <c r="CX398" s="267" t="s">
        <v>4073</v>
      </c>
      <c r="CY398" s="186">
        <v>158.64400000000001</v>
      </c>
      <c r="CZ398" s="186" t="s">
        <v>24</v>
      </c>
      <c r="DA398" s="186">
        <f>164.746-Table66[[#This Row],[Data_Outcome1_M]]</f>
        <v>6.1020000000000039</v>
      </c>
      <c r="DB398" s="267" t="s">
        <v>4072</v>
      </c>
      <c r="DC398" s="186">
        <v>23.389800000000001</v>
      </c>
      <c r="DD398" s="186" t="s">
        <v>24</v>
      </c>
      <c r="DE398" s="186">
        <f>36.6102-Table66[[#This Row],[Data_Outcome2_M]]</f>
        <v>13.220399999999998</v>
      </c>
      <c r="DF398" s="1113" t="s">
        <v>4081</v>
      </c>
      <c r="DG398" s="1123" t="s">
        <v>4082</v>
      </c>
      <c r="DH398" s="342"/>
      <c r="DI398" s="417"/>
      <c r="DJ398" s="1169"/>
      <c r="DK398" s="417"/>
      <c r="DL398" s="1192"/>
      <c r="DM398" s="676"/>
      <c r="DN398" s="1189"/>
      <c r="DO398" s="1152"/>
      <c r="DP398" s="294"/>
      <c r="DQ398" s="1116"/>
      <c r="DR398" s="1168"/>
      <c r="DS398" s="865"/>
      <c r="DT398" s="1192"/>
      <c r="DU398" s="676"/>
      <c r="DV398" s="1189"/>
      <c r="DW398" s="676"/>
      <c r="DX398" s="1189"/>
      <c r="DY398" s="676"/>
      <c r="DZ398" s="1189"/>
      <c r="EA398" s="676"/>
      <c r="EB398" s="1193"/>
      <c r="EC398" s="1190"/>
      <c r="ED398" s="1189"/>
      <c r="EE398" s="676"/>
      <c r="EF398" s="1189"/>
      <c r="EG398" s="676"/>
      <c r="EH398" s="1189"/>
      <c r="EI398" s="676"/>
      <c r="EJ398" s="1189"/>
      <c r="EK398" s="676"/>
      <c r="EL398" s="1193"/>
      <c r="EM398" s="1190"/>
      <c r="EN398" s="1168"/>
      <c r="EO398" s="1191"/>
      <c r="EP398" s="1189"/>
      <c r="EQ398" s="1189"/>
      <c r="ER398" s="1189"/>
      <c r="ES398" s="1189"/>
      <c r="ET398" s="1192"/>
      <c r="EU398" s="346"/>
      <c r="EV398" s="346"/>
      <c r="EW398" s="346"/>
      <c r="EX398" s="1190"/>
      <c r="EY398" s="1190"/>
      <c r="EZ398" s="1192"/>
      <c r="FA398" s="346"/>
      <c r="FB398" s="1189"/>
      <c r="FC398" s="346"/>
      <c r="FD398" s="1192"/>
      <c r="FE398" s="1189"/>
      <c r="FF398" s="1189"/>
      <c r="FG398" s="1189"/>
      <c r="FH398" s="1190"/>
      <c r="FI398" s="1190"/>
      <c r="FJ398" s="1191"/>
    </row>
    <row r="399" spans="1:166" s="229" customFormat="1" ht="17" customHeight="1">
      <c r="A399" s="79" t="s">
        <v>1089</v>
      </c>
      <c r="B399" s="617">
        <v>87</v>
      </c>
      <c r="C399" s="617">
        <v>15</v>
      </c>
      <c r="D399" s="617"/>
      <c r="E399" s="608" t="s">
        <v>1938</v>
      </c>
      <c r="F399" s="181" t="s">
        <v>2307</v>
      </c>
      <c r="G399" s="182">
        <v>2009</v>
      </c>
      <c r="H399" s="79">
        <v>18700055</v>
      </c>
      <c r="I399" s="79">
        <v>1</v>
      </c>
      <c r="J399" s="79"/>
      <c r="K399" s="79"/>
      <c r="L399" s="79">
        <v>1</v>
      </c>
      <c r="M399" s="79"/>
      <c r="N399" s="171">
        <v>1</v>
      </c>
      <c r="O399" s="128">
        <v>2</v>
      </c>
      <c r="P399" s="79" t="s">
        <v>1258</v>
      </c>
      <c r="Q399" s="79" t="s">
        <v>1251</v>
      </c>
      <c r="R399" s="79" t="s">
        <v>1127</v>
      </c>
      <c r="S399" s="79"/>
      <c r="T399" s="79" t="s">
        <v>1707</v>
      </c>
      <c r="U399" s="79" t="s">
        <v>23</v>
      </c>
      <c r="V399" s="79" t="s">
        <v>23</v>
      </c>
      <c r="W399" s="79" t="s">
        <v>1257</v>
      </c>
      <c r="X399" s="79" t="s">
        <v>24</v>
      </c>
      <c r="Y399" s="79" t="s">
        <v>1132</v>
      </c>
      <c r="Z399" s="79"/>
      <c r="AA399" s="79"/>
      <c r="AB399" s="79"/>
      <c r="AC399" s="506"/>
      <c r="AD399" s="573">
        <v>1</v>
      </c>
      <c r="AE399" s="573">
        <v>2</v>
      </c>
      <c r="AF399" s="352">
        <v>1</v>
      </c>
      <c r="AG399" s="353" t="s">
        <v>4106</v>
      </c>
      <c r="AH399" s="704" t="s">
        <v>7291</v>
      </c>
      <c r="AI399" s="346">
        <v>4</v>
      </c>
      <c r="AJ399" s="487"/>
      <c r="AK399" s="459" t="s">
        <v>3972</v>
      </c>
      <c r="AL399" s="566" t="s">
        <v>7739</v>
      </c>
      <c r="AM399" s="1597">
        <v>0</v>
      </c>
      <c r="AN399" s="186">
        <v>108</v>
      </c>
      <c r="AO399" s="186">
        <v>10</v>
      </c>
      <c r="AP399" s="186">
        <f>17</f>
        <v>17</v>
      </c>
      <c r="AQ399" s="186" t="s">
        <v>803</v>
      </c>
      <c r="AR399" s="186" t="s">
        <v>803</v>
      </c>
      <c r="AS399" s="150" t="s">
        <v>2687</v>
      </c>
      <c r="AT399" s="150" t="s">
        <v>24</v>
      </c>
      <c r="AU399" s="150" t="s">
        <v>2687</v>
      </c>
      <c r="AV399" s="186" t="s">
        <v>24</v>
      </c>
      <c r="AW399" s="186" t="s">
        <v>7742</v>
      </c>
      <c r="AX399" s="186"/>
      <c r="AY399" s="186"/>
      <c r="AZ399" s="753" t="s">
        <v>1719</v>
      </c>
      <c r="BA399" s="186">
        <v>1</v>
      </c>
      <c r="BB399" s="186">
        <v>1</v>
      </c>
      <c r="BC399" s="150" t="s">
        <v>7533</v>
      </c>
      <c r="BD399" s="753" t="s">
        <v>7526</v>
      </c>
      <c r="BE399" s="753"/>
      <c r="BF399" s="186" t="s">
        <v>1130</v>
      </c>
      <c r="BG399" s="186" t="s">
        <v>3279</v>
      </c>
      <c r="BH399" s="598"/>
      <c r="BI399" s="598"/>
      <c r="BJ399" s="184">
        <v>1</v>
      </c>
      <c r="BK399" s="184"/>
      <c r="BL399" s="184"/>
      <c r="BM399" s="184"/>
      <c r="BN399" s="184"/>
      <c r="BO399" s="184"/>
      <c r="BP399" s="184"/>
      <c r="BQ399" s="184"/>
      <c r="BR399" s="184"/>
      <c r="BS399" s="184"/>
      <c r="BT399" s="184"/>
      <c r="BU399" s="184"/>
      <c r="BV399" s="184"/>
      <c r="BW399" s="600" t="s">
        <v>4088</v>
      </c>
      <c r="BX399" s="157" t="s">
        <v>6595</v>
      </c>
      <c r="BY399" s="797" t="s">
        <v>7615</v>
      </c>
      <c r="BZ399" s="789" t="s">
        <v>803</v>
      </c>
      <c r="CA399" s="660">
        <v>4</v>
      </c>
      <c r="CB399" s="660" t="s">
        <v>7556</v>
      </c>
      <c r="CC399" s="660" t="s">
        <v>7454</v>
      </c>
      <c r="CD399" s="186" t="s">
        <v>1876</v>
      </c>
      <c r="CE399" s="186">
        <v>5</v>
      </c>
      <c r="CF399" s="400"/>
      <c r="CG399" s="186" t="s">
        <v>7569</v>
      </c>
      <c r="CH399" s="753" t="s">
        <v>1488</v>
      </c>
      <c r="CI399" s="186" t="s">
        <v>1121</v>
      </c>
      <c r="CJ399" s="186"/>
      <c r="CK399" s="186" t="s">
        <v>4091</v>
      </c>
      <c r="CL399" s="134" t="s">
        <v>8279</v>
      </c>
      <c r="CM399" s="261" t="s">
        <v>4084</v>
      </c>
      <c r="CN399" s="620" t="s">
        <v>6627</v>
      </c>
      <c r="CO399" s="830">
        <v>10</v>
      </c>
      <c r="CP399" s="830">
        <v>4</v>
      </c>
      <c r="CQ399" s="830">
        <v>3</v>
      </c>
      <c r="CR399" s="830">
        <v>1</v>
      </c>
      <c r="CS399" s="830">
        <v>1</v>
      </c>
      <c r="CT399" s="969"/>
      <c r="CU399" s="1289" t="s">
        <v>8104</v>
      </c>
      <c r="CV399" s="1295">
        <v>65</v>
      </c>
      <c r="CW399" s="1295">
        <v>57</v>
      </c>
      <c r="CX399" s="267" t="s">
        <v>4074</v>
      </c>
      <c r="CY399" s="186">
        <v>83.389799999999994</v>
      </c>
      <c r="CZ399" s="186" t="s">
        <v>24</v>
      </c>
      <c r="DA399" s="186">
        <f>88.4746-Table66[[#This Row],[Data_Outcome1_M]]</f>
        <v>5.0848000000000013</v>
      </c>
      <c r="DB399" s="267" t="s">
        <v>4072</v>
      </c>
      <c r="DC399" s="186">
        <v>23.389800000000001</v>
      </c>
      <c r="DD399" s="186" t="s">
        <v>24</v>
      </c>
      <c r="DE399" s="186">
        <f>36.6102-Table66[[#This Row],[Data_Outcome2_M]]</f>
        <v>13.220399999999998</v>
      </c>
      <c r="DF399" s="1113" t="s">
        <v>4081</v>
      </c>
      <c r="DG399" s="1123" t="s">
        <v>4082</v>
      </c>
      <c r="DH399" s="121"/>
      <c r="DI399" s="121"/>
      <c r="DJ399" s="1169"/>
      <c r="DK399" s="121"/>
      <c r="DL399" s="1192"/>
      <c r="DM399" s="1189"/>
      <c r="DN399" s="1189"/>
      <c r="DO399" s="1189"/>
      <c r="DP399" s="294"/>
      <c r="DQ399" s="295"/>
      <c r="DR399" s="1168"/>
      <c r="DS399" s="865"/>
      <c r="DT399" s="1192"/>
      <c r="DU399" s="1189"/>
      <c r="DV399" s="1189"/>
      <c r="DW399" s="1189"/>
      <c r="DX399" s="1189"/>
      <c r="DY399" s="1189"/>
      <c r="DZ399" s="1189"/>
      <c r="EA399" s="1189"/>
      <c r="EB399" s="1193"/>
      <c r="EC399" s="1190"/>
      <c r="ED399" s="1189"/>
      <c r="EE399" s="1189"/>
      <c r="EF399" s="1189"/>
      <c r="EG399" s="1189"/>
      <c r="EH399" s="1189"/>
      <c r="EI399" s="346"/>
      <c r="EJ399" s="1189"/>
      <c r="EK399" s="346"/>
      <c r="EL399" s="1193"/>
      <c r="EM399" s="1190"/>
      <c r="EN399" s="1168"/>
      <c r="EO399" s="1191"/>
      <c r="EP399" s="1189"/>
      <c r="EQ399" s="1189"/>
      <c r="ER399" s="1189"/>
      <c r="ES399" s="1189"/>
      <c r="ET399" s="1192"/>
      <c r="EU399" s="346"/>
      <c r="EV399" s="346"/>
      <c r="EW399" s="346"/>
      <c r="EX399" s="1190"/>
      <c r="EY399" s="1190"/>
      <c r="EZ399" s="1192"/>
      <c r="FA399" s="346"/>
      <c r="FB399" s="1189"/>
      <c r="FC399" s="346"/>
      <c r="FD399" s="1192"/>
      <c r="FE399" s="1189"/>
      <c r="FF399" s="1189"/>
      <c r="FG399" s="1189"/>
      <c r="FH399" s="1190"/>
      <c r="FI399" s="1190"/>
      <c r="FJ399" s="1191"/>
    </row>
    <row r="400" spans="1:166" s="229" customFormat="1" ht="17" customHeight="1">
      <c r="A400" s="79" t="s">
        <v>1076</v>
      </c>
      <c r="B400" s="362">
        <v>100</v>
      </c>
      <c r="C400" s="362"/>
      <c r="D400" s="362">
        <v>29</v>
      </c>
      <c r="E400" s="604" t="s">
        <v>2064</v>
      </c>
      <c r="F400" s="124" t="s">
        <v>2316</v>
      </c>
      <c r="G400" s="125">
        <v>2015</v>
      </c>
      <c r="H400" s="79">
        <v>25979764</v>
      </c>
      <c r="I400" s="79">
        <v>1</v>
      </c>
      <c r="J400" s="126"/>
      <c r="K400" s="127"/>
      <c r="L400" s="164">
        <v>1</v>
      </c>
      <c r="M400" s="79"/>
      <c r="N400" s="164">
        <v>1</v>
      </c>
      <c r="O400" s="128">
        <v>2</v>
      </c>
      <c r="P400" s="79" t="s">
        <v>1293</v>
      </c>
      <c r="Q400" s="79" t="s">
        <v>23</v>
      </c>
      <c r="R400" s="79" t="s">
        <v>1127</v>
      </c>
      <c r="S400" s="79"/>
      <c r="T400" s="79" t="s">
        <v>1487</v>
      </c>
      <c r="U400" s="79"/>
      <c r="V400" s="79"/>
      <c r="W400" s="79" t="s">
        <v>1293</v>
      </c>
      <c r="X400" s="79" t="s">
        <v>1292</v>
      </c>
      <c r="Y400" s="79"/>
      <c r="Z400" s="79"/>
      <c r="AA400" s="79"/>
      <c r="AB400" s="79" t="s">
        <v>1294</v>
      </c>
      <c r="AC400" s="506" t="s">
        <v>6197</v>
      </c>
      <c r="AD400" s="573">
        <v>1</v>
      </c>
      <c r="AE400" s="573">
        <v>1</v>
      </c>
      <c r="AF400" s="154">
        <v>1</v>
      </c>
      <c r="AG400" s="155" t="s">
        <v>6719</v>
      </c>
      <c r="AH400" s="704"/>
      <c r="AI400" s="121">
        <v>4</v>
      </c>
      <c r="AJ400" s="484" t="s">
        <v>6727</v>
      </c>
      <c r="AK400" s="202" t="s">
        <v>6728</v>
      </c>
      <c r="AL400" s="420">
        <v>1</v>
      </c>
      <c r="AM400" s="215">
        <v>0</v>
      </c>
      <c r="AN400" s="134">
        <f>Table66[[#This Row],[Data_Subjects_n_ptsd]]+Table66[[#This Row],[Data_Subjects_n_control]]</f>
        <v>20</v>
      </c>
      <c r="AO400" s="134">
        <f>10</f>
        <v>10</v>
      </c>
      <c r="AP400" s="134">
        <f>10</f>
        <v>10</v>
      </c>
      <c r="AQ400" s="134" t="s">
        <v>803</v>
      </c>
      <c r="AR400" s="134" t="s">
        <v>803</v>
      </c>
      <c r="AS400" s="134" t="s">
        <v>2687</v>
      </c>
      <c r="AT400" s="134" t="s">
        <v>24</v>
      </c>
      <c r="AU400" s="134" t="s">
        <v>2687</v>
      </c>
      <c r="AV400" s="134" t="s">
        <v>24</v>
      </c>
      <c r="AW400" s="134" t="s">
        <v>6716</v>
      </c>
      <c r="AX400" s="134"/>
      <c r="AY400" s="134"/>
      <c r="AZ400" s="753" t="s">
        <v>1487</v>
      </c>
      <c r="BA400" s="134">
        <v>1</v>
      </c>
      <c r="BB400" s="134">
        <v>1</v>
      </c>
      <c r="BC400" s="134" t="s">
        <v>6717</v>
      </c>
      <c r="BD400" s="753" t="s">
        <v>7522</v>
      </c>
      <c r="BE400" s="753"/>
      <c r="BF400" s="134" t="s">
        <v>1130</v>
      </c>
      <c r="BG400" s="134" t="s">
        <v>6653</v>
      </c>
      <c r="BH400" s="594"/>
      <c r="BI400" s="594"/>
      <c r="BJ400" s="156">
        <v>1</v>
      </c>
      <c r="BK400" s="156"/>
      <c r="BL400" s="156"/>
      <c r="BM400" s="156"/>
      <c r="BN400" s="156"/>
      <c r="BO400" s="156"/>
      <c r="BP400" s="156"/>
      <c r="BQ400" s="156"/>
      <c r="BR400" s="156"/>
      <c r="BS400" s="156"/>
      <c r="BT400" s="156"/>
      <c r="BU400" s="156"/>
      <c r="BV400" s="156"/>
      <c r="BW400" s="595" t="s">
        <v>6720</v>
      </c>
      <c r="BX400" s="157" t="s">
        <v>6595</v>
      </c>
      <c r="BY400" s="797" t="s">
        <v>7615</v>
      </c>
      <c r="BZ400" s="789" t="s">
        <v>803</v>
      </c>
      <c r="CA400" s="660">
        <v>4</v>
      </c>
      <c r="CB400" s="660" t="s">
        <v>7556</v>
      </c>
      <c r="CC400" s="660" t="s">
        <v>7384</v>
      </c>
      <c r="CD400" s="134" t="s">
        <v>1876</v>
      </c>
      <c r="CE400" s="134">
        <v>2</v>
      </c>
      <c r="CF400" s="400" t="s">
        <v>7766</v>
      </c>
      <c r="CG400" s="134" t="s">
        <v>6721</v>
      </c>
      <c r="CH400" s="753" t="s">
        <v>1488</v>
      </c>
      <c r="CI400" s="134" t="s">
        <v>4416</v>
      </c>
      <c r="CJ400" s="134" t="s">
        <v>7465</v>
      </c>
      <c r="CK400" s="134" t="s">
        <v>6723</v>
      </c>
      <c r="CL400" s="134" t="s">
        <v>8276</v>
      </c>
      <c r="CM400" s="259" t="s">
        <v>6729</v>
      </c>
      <c r="CN400" s="454" t="s">
        <v>6627</v>
      </c>
      <c r="CO400" s="828">
        <v>18</v>
      </c>
      <c r="CP400" s="828">
        <v>1</v>
      </c>
      <c r="CQ400" s="828">
        <v>1</v>
      </c>
      <c r="CR400" s="828">
        <v>1</v>
      </c>
      <c r="CS400" s="828">
        <v>1</v>
      </c>
      <c r="CT400" s="967"/>
      <c r="CU400" s="1289" t="s">
        <v>8104</v>
      </c>
      <c r="CV400" s="1295">
        <v>73</v>
      </c>
      <c r="CW400" s="1295">
        <v>65</v>
      </c>
      <c r="CX400" s="138" t="s">
        <v>6722</v>
      </c>
      <c r="CY400" s="134">
        <v>63.900100000000002</v>
      </c>
      <c r="CZ400" s="134" t="s">
        <v>24</v>
      </c>
      <c r="DA400" s="134">
        <f>73.455-Table66[[#This Row],[Data_Outcome1_M]]</f>
        <v>9.5548999999999964</v>
      </c>
      <c r="DB400" s="138" t="s">
        <v>6726</v>
      </c>
      <c r="DC400" s="134">
        <v>17.9283</v>
      </c>
      <c r="DD400" s="134" t="s">
        <v>24</v>
      </c>
      <c r="DE400" s="134">
        <f>22.2374-Table66[[#This Row],[Data_Outcome2_M]]</f>
        <v>4.3091000000000008</v>
      </c>
      <c r="DF400" s="280" t="s">
        <v>6729</v>
      </c>
      <c r="DG400" s="310" t="s">
        <v>6730</v>
      </c>
      <c r="DH400" s="1171"/>
      <c r="DI400" s="1169"/>
      <c r="DJ400" s="1169"/>
      <c r="DK400" s="1169"/>
      <c r="DL400" s="1225"/>
      <c r="DM400" s="1169"/>
      <c r="DN400" s="1169"/>
      <c r="DO400" s="1169"/>
      <c r="DP400" s="288"/>
      <c r="DQ400" s="289"/>
      <c r="DR400" s="1168"/>
      <c r="DS400" s="865"/>
      <c r="DT400" s="1171" t="s">
        <v>24</v>
      </c>
      <c r="DU400" s="121"/>
      <c r="DV400" s="1169"/>
      <c r="DW400" s="121"/>
      <c r="DX400" s="1169"/>
      <c r="DY400" s="1169"/>
      <c r="DZ400" s="1169"/>
      <c r="EA400" s="1169"/>
      <c r="EB400" s="304"/>
      <c r="EC400" s="312"/>
      <c r="ED400" s="121"/>
      <c r="EE400" s="121"/>
      <c r="EF400" s="121"/>
      <c r="EG400" s="121"/>
      <c r="EH400" s="121"/>
      <c r="EI400" s="1169"/>
      <c r="EJ400" s="1169"/>
      <c r="EK400" s="1169"/>
      <c r="EL400" s="304"/>
      <c r="EM400" s="312"/>
      <c r="EN400" s="309"/>
      <c r="EO400" s="1170"/>
      <c r="EP400" s="121"/>
      <c r="EQ400" s="121"/>
      <c r="ER400" s="121"/>
      <c r="ES400" s="121"/>
      <c r="ET400" s="1276"/>
      <c r="EU400" s="1169"/>
      <c r="EV400" s="1169"/>
      <c r="EW400" s="1169"/>
      <c r="EX400" s="312"/>
      <c r="EY400" s="312"/>
      <c r="EZ400" s="1171"/>
      <c r="FA400" s="1169"/>
      <c r="FB400" s="1169"/>
      <c r="FC400" s="1169"/>
      <c r="FD400" s="1171"/>
      <c r="FE400" s="1169"/>
      <c r="FF400" s="1169"/>
      <c r="FG400" s="1169"/>
      <c r="FH400" s="312"/>
      <c r="FI400" s="312"/>
      <c r="FJ400" s="1170"/>
    </row>
    <row r="401" spans="1:166" s="229" customFormat="1" ht="17" hidden="1" customHeight="1">
      <c r="A401" s="128" t="s">
        <v>221</v>
      </c>
      <c r="B401" s="362">
        <v>163</v>
      </c>
      <c r="C401" s="362">
        <v>53</v>
      </c>
      <c r="D401" s="362"/>
      <c r="E401" s="604" t="s">
        <v>1986</v>
      </c>
      <c r="F401" s="124" t="s">
        <v>2211</v>
      </c>
      <c r="G401" s="125">
        <v>1990</v>
      </c>
      <c r="H401" s="79">
        <v>2266215</v>
      </c>
      <c r="I401" s="79">
        <v>1</v>
      </c>
      <c r="J401" s="126"/>
      <c r="K401" s="127"/>
      <c r="L401" s="79">
        <v>1</v>
      </c>
      <c r="M401" s="79"/>
      <c r="N401" s="79">
        <v>1</v>
      </c>
      <c r="O401" s="128">
        <v>1</v>
      </c>
      <c r="P401" s="79" t="s">
        <v>620</v>
      </c>
      <c r="Q401" s="79" t="s">
        <v>1163</v>
      </c>
      <c r="R401" s="79" t="s">
        <v>591</v>
      </c>
      <c r="S401" s="79">
        <v>1</v>
      </c>
      <c r="T401" s="79"/>
      <c r="U401" s="79"/>
      <c r="V401" s="79"/>
      <c r="W401" s="79" t="s">
        <v>619</v>
      </c>
      <c r="X401" s="79"/>
      <c r="Y401" s="79"/>
      <c r="Z401" s="79"/>
      <c r="AA401" s="79"/>
      <c r="AB401" s="79"/>
      <c r="AC401" s="506"/>
      <c r="AD401" s="573">
        <v>1</v>
      </c>
      <c r="AE401" s="573">
        <v>2</v>
      </c>
      <c r="AF401" s="924">
        <v>2</v>
      </c>
      <c r="AG401" s="925" t="s">
        <v>5026</v>
      </c>
      <c r="AH401" s="911">
        <v>0</v>
      </c>
      <c r="AI401" s="923">
        <v>2</v>
      </c>
      <c r="AJ401" s="923"/>
      <c r="AK401" s="926" t="s">
        <v>5025</v>
      </c>
      <c r="AL401" s="914">
        <v>0</v>
      </c>
      <c r="AM401" s="927"/>
      <c r="AN401" s="923">
        <v>30</v>
      </c>
      <c r="AO401" s="923">
        <v>15</v>
      </c>
      <c r="AP401" s="923">
        <v>15</v>
      </c>
      <c r="AQ401" s="923" t="s">
        <v>803</v>
      </c>
      <c r="AR401" s="923" t="s">
        <v>803</v>
      </c>
      <c r="AS401" s="923">
        <v>40.07</v>
      </c>
      <c r="AT401" s="923">
        <v>1.83</v>
      </c>
      <c r="AU401" s="923">
        <v>43.4</v>
      </c>
      <c r="AV401" s="923">
        <v>3.74</v>
      </c>
      <c r="AW401" s="923" t="s">
        <v>3994</v>
      </c>
      <c r="AX401" s="923"/>
      <c r="AY401" s="923"/>
      <c r="AZ401" s="915" t="s">
        <v>1874</v>
      </c>
      <c r="BA401" s="923" t="s">
        <v>24</v>
      </c>
      <c r="BB401" s="923" t="s">
        <v>24</v>
      </c>
      <c r="BC401" s="923" t="s">
        <v>5021</v>
      </c>
      <c r="BD401" s="915" t="s">
        <v>7521</v>
      </c>
      <c r="BE401" s="915"/>
      <c r="BF401" s="923" t="s">
        <v>5116</v>
      </c>
      <c r="BG401" s="923" t="s">
        <v>5028</v>
      </c>
      <c r="BH401" s="594"/>
      <c r="BI401" s="594"/>
      <c r="BJ401" s="156"/>
      <c r="BK401" s="156"/>
      <c r="BL401" s="156" t="s">
        <v>4727</v>
      </c>
      <c r="BM401" s="156">
        <v>1</v>
      </c>
      <c r="BN401" s="156"/>
      <c r="BO401" s="156"/>
      <c r="BP401" s="156"/>
      <c r="BQ401" s="156"/>
      <c r="BR401" s="156" t="s">
        <v>4727</v>
      </c>
      <c r="BS401" s="156"/>
      <c r="BT401" s="156"/>
      <c r="BU401" s="156"/>
      <c r="BV401" s="156"/>
      <c r="BW401" s="928" t="s">
        <v>5024</v>
      </c>
      <c r="BX401" s="929"/>
      <c r="BY401" s="929"/>
      <c r="BZ401" s="929"/>
      <c r="CA401" s="917"/>
      <c r="CB401" s="917"/>
      <c r="CC401" s="917"/>
      <c r="CD401" s="923"/>
      <c r="CE401" s="923"/>
      <c r="CF401" s="923"/>
      <c r="CG401" s="923" t="s">
        <v>5022</v>
      </c>
      <c r="CH401" s="915"/>
      <c r="CI401" s="923" t="s">
        <v>24</v>
      </c>
      <c r="CJ401" s="923"/>
      <c r="CK401" s="923" t="s">
        <v>5023</v>
      </c>
      <c r="CL401" s="923"/>
      <c r="CM401" s="930" t="s">
        <v>5027</v>
      </c>
      <c r="CN401" s="931"/>
      <c r="CO401" s="931"/>
      <c r="CP401" s="931"/>
      <c r="CQ401" s="931"/>
      <c r="CR401" s="931"/>
      <c r="CS401" s="931"/>
      <c r="CT401" s="967"/>
      <c r="CU401" s="967"/>
      <c r="CV401" s="967"/>
      <c r="CW401" s="967"/>
      <c r="CX401" s="950"/>
      <c r="CY401" s="923"/>
      <c r="CZ401" s="923"/>
      <c r="DA401" s="923"/>
      <c r="DB401" s="932"/>
      <c r="DC401" s="923"/>
      <c r="DD401" s="923"/>
      <c r="DE401" s="923"/>
      <c r="DF401" s="922"/>
      <c r="DG401" s="911"/>
      <c r="DH401" s="951"/>
      <c r="DI401" s="951"/>
      <c r="DJ401" s="951"/>
      <c r="DK401" s="951"/>
      <c r="DL401" s="951"/>
      <c r="DM401" s="951"/>
      <c r="DN401" s="951"/>
      <c r="DO401" s="951"/>
      <c r="DP401" s="930"/>
      <c r="DQ401" s="594"/>
      <c r="DR401" s="1187"/>
      <c r="DS401" s="1186"/>
      <c r="DT401" s="950"/>
      <c r="DU401" s="951"/>
      <c r="DV401" s="951"/>
      <c r="DW401" s="951"/>
      <c r="DX401" s="951"/>
      <c r="DY401" s="951"/>
      <c r="DZ401" s="951"/>
      <c r="EA401" s="951"/>
      <c r="EB401" s="1185"/>
      <c r="EC401" s="951"/>
      <c r="ED401" s="951"/>
      <c r="EE401" s="951"/>
      <c r="EF401" s="951"/>
      <c r="EG401" s="951"/>
      <c r="EH401" s="951"/>
      <c r="EI401" s="923"/>
      <c r="EJ401" s="951"/>
      <c r="EK401" s="923"/>
      <c r="EL401" s="1185"/>
      <c r="EM401" s="951"/>
      <c r="EN401" s="1185"/>
      <c r="EO401" s="951"/>
      <c r="EP401" s="951"/>
      <c r="EQ401" s="951"/>
      <c r="ER401" s="951"/>
      <c r="ES401" s="951"/>
      <c r="ET401" s="950"/>
      <c r="EU401" s="923"/>
      <c r="EV401" s="923"/>
      <c r="EW401" s="923"/>
      <c r="EX401" s="951"/>
      <c r="EY401" s="951"/>
      <c r="EZ401" s="950"/>
      <c r="FA401" s="951"/>
      <c r="FB401" s="951"/>
      <c r="FC401" s="951"/>
      <c r="FD401" s="950"/>
      <c r="FE401" s="951"/>
      <c r="FF401" s="951"/>
      <c r="FG401" s="951"/>
      <c r="FH401" s="951"/>
      <c r="FI401" s="951"/>
      <c r="FJ401" s="951"/>
    </row>
    <row r="402" spans="1:166" hidden="1">
      <c r="A402" s="79" t="s">
        <v>222</v>
      </c>
      <c r="B402" s="362">
        <v>164</v>
      </c>
      <c r="C402" s="362">
        <v>54</v>
      </c>
      <c r="D402" s="362"/>
      <c r="E402" s="604" t="s">
        <v>1986</v>
      </c>
      <c r="F402" s="124" t="s">
        <v>2212</v>
      </c>
      <c r="G402" s="125">
        <v>1995</v>
      </c>
      <c r="H402" s="79">
        <v>7654154</v>
      </c>
      <c r="I402" s="79">
        <v>1</v>
      </c>
      <c r="J402" s="126"/>
      <c r="K402" s="127"/>
      <c r="L402" s="79">
        <v>1</v>
      </c>
      <c r="M402" s="79"/>
      <c r="N402" s="79">
        <v>1</v>
      </c>
      <c r="O402" s="128">
        <v>1</v>
      </c>
      <c r="P402" s="79" t="s">
        <v>621</v>
      </c>
      <c r="Q402" s="79" t="s">
        <v>1147</v>
      </c>
      <c r="R402" s="79" t="s">
        <v>25</v>
      </c>
      <c r="S402" s="79">
        <v>1</v>
      </c>
      <c r="T402" s="79"/>
      <c r="U402" s="79"/>
      <c r="V402" s="79"/>
      <c r="W402" s="79"/>
      <c r="X402" s="79"/>
      <c r="Y402" s="79"/>
      <c r="Z402" s="79"/>
      <c r="AA402" s="79"/>
      <c r="AB402" s="79"/>
      <c r="AC402" s="506"/>
      <c r="AD402" s="573">
        <v>1</v>
      </c>
      <c r="AE402" s="573">
        <v>2</v>
      </c>
      <c r="AF402" s="154">
        <v>1</v>
      </c>
      <c r="AG402" s="155" t="s">
        <v>7938</v>
      </c>
      <c r="AH402" s="704"/>
      <c r="AI402" s="121">
        <v>2</v>
      </c>
      <c r="AJ402" s="484" t="s">
        <v>5052</v>
      </c>
      <c r="AK402" s="202"/>
      <c r="AL402" s="192">
        <v>0</v>
      </c>
      <c r="AM402" s="203">
        <v>0</v>
      </c>
      <c r="AN402" s="121">
        <f>Table66[[#This Row],[Data_Subjects_n_ptsd]]+Table66[[#This Row],[Data_Subjects_n_control]]</f>
        <v>32</v>
      </c>
      <c r="AO402" s="121">
        <v>19</v>
      </c>
      <c r="AP402" s="121">
        <v>13</v>
      </c>
      <c r="AQ402" s="121" t="s">
        <v>803</v>
      </c>
      <c r="AR402" s="121" t="s">
        <v>803</v>
      </c>
      <c r="AS402" s="121">
        <v>46</v>
      </c>
      <c r="AT402" s="121">
        <v>2.2999999999999998</v>
      </c>
      <c r="AU402" s="1297">
        <v>49</v>
      </c>
      <c r="AV402" s="121">
        <v>3.4</v>
      </c>
      <c r="AW402" s="121" t="s">
        <v>3994</v>
      </c>
      <c r="AX402" s="121"/>
      <c r="AY402" s="121"/>
      <c r="AZ402" s="754" t="s">
        <v>1874</v>
      </c>
      <c r="BA402" s="121" t="s">
        <v>24</v>
      </c>
      <c r="BB402" s="121" t="s">
        <v>24</v>
      </c>
      <c r="BC402" s="121" t="s">
        <v>5029</v>
      </c>
      <c r="BD402" s="754" t="s">
        <v>7521</v>
      </c>
      <c r="BE402" s="1624">
        <v>0</v>
      </c>
      <c r="BF402" s="121" t="s">
        <v>5116</v>
      </c>
      <c r="BG402" s="121" t="s">
        <v>5030</v>
      </c>
      <c r="BH402" s="594"/>
      <c r="BI402" s="594"/>
      <c r="BJ402" s="156"/>
      <c r="BK402" s="156"/>
      <c r="BL402" s="156"/>
      <c r="BM402" s="156"/>
      <c r="BN402" s="156"/>
      <c r="BO402" s="156"/>
      <c r="BP402" s="156">
        <v>1</v>
      </c>
      <c r="BQ402" s="156"/>
      <c r="BR402" s="156"/>
      <c r="BS402" s="156"/>
      <c r="BT402" s="156"/>
      <c r="BU402" s="156"/>
      <c r="BV402" s="156"/>
      <c r="BW402" s="595" t="s">
        <v>5046</v>
      </c>
      <c r="BX402" s="157" t="s">
        <v>6609</v>
      </c>
      <c r="BY402" s="797" t="s">
        <v>7896</v>
      </c>
      <c r="BZ402" s="789" t="s">
        <v>803</v>
      </c>
      <c r="CA402" s="765">
        <v>3</v>
      </c>
      <c r="CB402" s="765" t="s">
        <v>7556</v>
      </c>
      <c r="CC402" s="765" t="s">
        <v>24</v>
      </c>
      <c r="CD402" s="134" t="s">
        <v>1876</v>
      </c>
      <c r="CE402" s="134" t="s">
        <v>5059</v>
      </c>
      <c r="CF402" s="400"/>
      <c r="CG402" s="134" t="s">
        <v>5031</v>
      </c>
      <c r="CH402" s="753" t="s">
        <v>7425</v>
      </c>
      <c r="CI402" s="134" t="s">
        <v>24</v>
      </c>
      <c r="CJ402" s="134">
        <v>1</v>
      </c>
      <c r="CK402" s="134" t="s">
        <v>5032</v>
      </c>
      <c r="CL402" s="134" t="s">
        <v>6643</v>
      </c>
      <c r="CM402" s="259" t="s">
        <v>5081</v>
      </c>
      <c r="CN402" s="454" t="s">
        <v>24</v>
      </c>
      <c r="CO402" s="828">
        <v>48</v>
      </c>
      <c r="CP402" s="828">
        <v>1</v>
      </c>
      <c r="CQ402" s="828">
        <v>1</v>
      </c>
      <c r="CR402" s="828">
        <v>1</v>
      </c>
      <c r="CS402" s="828">
        <v>1</v>
      </c>
      <c r="CT402" s="967"/>
      <c r="CU402" s="1288" t="s">
        <v>8103</v>
      </c>
      <c r="CV402" s="1294">
        <v>19</v>
      </c>
      <c r="CW402" s="1294">
        <v>19</v>
      </c>
      <c r="CX402" s="138" t="s">
        <v>5033</v>
      </c>
      <c r="CY402" s="134">
        <v>67</v>
      </c>
      <c r="CZ402" s="168" t="s">
        <v>24</v>
      </c>
      <c r="DA402" s="134" t="s">
        <v>24</v>
      </c>
      <c r="DB402" s="138" t="s">
        <v>5034</v>
      </c>
      <c r="DC402" s="134">
        <v>83</v>
      </c>
      <c r="DD402" s="168" t="s">
        <v>24</v>
      </c>
      <c r="DE402" s="134" t="s">
        <v>24</v>
      </c>
      <c r="DF402" s="294" t="s">
        <v>5044</v>
      </c>
      <c r="DG402" s="295" t="s">
        <v>5045</v>
      </c>
      <c r="DH402" s="121" t="s">
        <v>5069</v>
      </c>
      <c r="DI402" s="121">
        <v>50.0321</v>
      </c>
      <c r="DJ402" s="1169">
        <f>60.5756-Table66[[#This Row],[Data_Outcome11_M]]</f>
        <v>60.575600000000001</v>
      </c>
      <c r="DK402" s="121" t="s">
        <v>24</v>
      </c>
      <c r="DL402" s="1169" t="s">
        <v>5070</v>
      </c>
      <c r="DM402" s="121">
        <v>77.879599999999996</v>
      </c>
      <c r="DN402" s="1169">
        <f>84.6188-Table66[[#This Row],[Data_Outcome12_M]]</f>
        <v>84.618799999999993</v>
      </c>
      <c r="DO402" s="121" t="s">
        <v>24</v>
      </c>
      <c r="DP402" s="436"/>
      <c r="DQ402" s="436"/>
      <c r="DR402" s="1170"/>
      <c r="DS402" s="865"/>
      <c r="DT402" s="1171" t="s">
        <v>5072</v>
      </c>
      <c r="DU402" s="121">
        <v>51.336100000000002</v>
      </c>
      <c r="DV402" s="1169" t="e">
        <f>58.7272-#REF!</f>
        <v>#REF!</v>
      </c>
      <c r="DW402" s="121" t="s">
        <v>24</v>
      </c>
      <c r="DX402" s="1169" t="s">
        <v>5071</v>
      </c>
      <c r="DY402" s="121">
        <v>76.031800000000004</v>
      </c>
      <c r="DZ402" s="1169" t="e">
        <f>83.3145-#REF!</f>
        <v>#REF!</v>
      </c>
      <c r="EA402" s="121" t="s">
        <v>24</v>
      </c>
      <c r="EB402" s="304" t="s">
        <v>5080</v>
      </c>
      <c r="EC402" s="312" t="s">
        <v>5079</v>
      </c>
      <c r="ED402" s="1169" t="s">
        <v>5073</v>
      </c>
      <c r="EE402" s="121">
        <v>37.3979</v>
      </c>
      <c r="EF402" s="1169" t="e">
        <f>40.9486-#REF!</f>
        <v>#REF!</v>
      </c>
      <c r="EG402" s="121" t="s">
        <v>24</v>
      </c>
      <c r="EH402" s="1169" t="s">
        <v>5074</v>
      </c>
      <c r="EI402" s="121">
        <v>25.709199999999999</v>
      </c>
      <c r="EJ402" s="1169" t="e">
        <f>#REF!-21.999</f>
        <v>#REF!</v>
      </c>
      <c r="EK402" s="121" t="s">
        <v>24</v>
      </c>
      <c r="EL402" s="304" t="s">
        <v>24</v>
      </c>
      <c r="EM402" s="312" t="s">
        <v>24</v>
      </c>
      <c r="EN402" s="309"/>
      <c r="EO402" s="1170"/>
      <c r="EP402" s="121" t="s">
        <v>5075</v>
      </c>
      <c r="EQ402" s="121">
        <v>35.442300000000003</v>
      </c>
      <c r="ER402" s="121" t="e">
        <f>39.434-#REF!</f>
        <v>#REF!</v>
      </c>
      <c r="ES402" s="121" t="s">
        <v>24</v>
      </c>
      <c r="ET402" s="121" t="s">
        <v>5076</v>
      </c>
      <c r="EU402" s="121">
        <v>22.7562</v>
      </c>
      <c r="EV402" s="121" t="e">
        <f>26.3867-#REF!</f>
        <v>#REF!</v>
      </c>
      <c r="EW402" s="121" t="s">
        <v>24</v>
      </c>
      <c r="EX402" s="301" t="s">
        <v>5078</v>
      </c>
      <c r="EY402" s="301" t="s">
        <v>5077</v>
      </c>
      <c r="EZ402" s="121"/>
      <c r="FA402" s="121"/>
      <c r="FB402" s="121"/>
      <c r="FC402" s="121"/>
      <c r="FD402" s="121"/>
      <c r="FE402" s="121"/>
      <c r="FF402" s="121"/>
      <c r="FG402" s="121"/>
      <c r="FH402" s="301"/>
      <c r="FI402" s="301"/>
      <c r="FJ402" s="1170"/>
    </row>
    <row r="403" spans="1:166" hidden="1">
      <c r="A403" s="79" t="s">
        <v>222</v>
      </c>
      <c r="B403" s="362">
        <v>164</v>
      </c>
      <c r="C403" s="362">
        <v>54</v>
      </c>
      <c r="D403" s="362"/>
      <c r="E403" s="604" t="s">
        <v>1986</v>
      </c>
      <c r="F403" s="124" t="s">
        <v>2212</v>
      </c>
      <c r="G403" s="125">
        <v>1995</v>
      </c>
      <c r="H403" s="79">
        <v>7654154</v>
      </c>
      <c r="I403" s="79">
        <v>1</v>
      </c>
      <c r="J403" s="126"/>
      <c r="K403" s="127"/>
      <c r="L403" s="79">
        <v>1</v>
      </c>
      <c r="M403" s="79"/>
      <c r="N403" s="79">
        <v>1</v>
      </c>
      <c r="O403" s="128">
        <v>1</v>
      </c>
      <c r="P403" s="79" t="s">
        <v>621</v>
      </c>
      <c r="Q403" s="79" t="s">
        <v>1147</v>
      </c>
      <c r="R403" s="79" t="s">
        <v>25</v>
      </c>
      <c r="S403" s="79">
        <v>1</v>
      </c>
      <c r="T403" s="79"/>
      <c r="U403" s="79"/>
      <c r="V403" s="79"/>
      <c r="W403" s="79"/>
      <c r="X403" s="79"/>
      <c r="Y403" s="79"/>
      <c r="Z403" s="79"/>
      <c r="AA403" s="79"/>
      <c r="AB403" s="79"/>
      <c r="AC403" s="506"/>
      <c r="AD403" s="573">
        <v>1</v>
      </c>
      <c r="AE403" s="573">
        <v>2</v>
      </c>
      <c r="AF403" s="154">
        <v>1</v>
      </c>
      <c r="AG403" s="155" t="s">
        <v>7937</v>
      </c>
      <c r="AH403" s="704"/>
      <c r="AI403" s="121">
        <v>2</v>
      </c>
      <c r="AJ403" s="484" t="s">
        <v>5052</v>
      </c>
      <c r="AK403" s="202"/>
      <c r="AL403" s="192">
        <v>0</v>
      </c>
      <c r="AM403" s="203">
        <v>0</v>
      </c>
      <c r="AN403" s="121">
        <f>Table66[[#This Row],[Data_Subjects_n_ptsd]]+Table66[[#This Row],[Data_Subjects_n_control]]</f>
        <v>32</v>
      </c>
      <c r="AO403" s="121">
        <v>19</v>
      </c>
      <c r="AP403" s="121">
        <v>13</v>
      </c>
      <c r="AQ403" s="121" t="s">
        <v>803</v>
      </c>
      <c r="AR403" s="121" t="s">
        <v>803</v>
      </c>
      <c r="AS403" s="121">
        <v>46</v>
      </c>
      <c r="AT403" s="121">
        <v>2.2999999999999998</v>
      </c>
      <c r="AU403" s="1297">
        <v>49</v>
      </c>
      <c r="AV403" s="121">
        <v>3.4</v>
      </c>
      <c r="AW403" s="121" t="s">
        <v>3994</v>
      </c>
      <c r="AX403" s="121"/>
      <c r="AY403" s="121"/>
      <c r="AZ403" s="754" t="s">
        <v>1874</v>
      </c>
      <c r="BA403" s="121" t="s">
        <v>24</v>
      </c>
      <c r="BB403" s="121" t="s">
        <v>24</v>
      </c>
      <c r="BC403" s="121" t="s">
        <v>5029</v>
      </c>
      <c r="BD403" s="754" t="s">
        <v>7521</v>
      </c>
      <c r="BE403" s="1624">
        <v>0</v>
      </c>
      <c r="BF403" s="121" t="s">
        <v>5116</v>
      </c>
      <c r="BG403" s="121" t="s">
        <v>5030</v>
      </c>
      <c r="BH403" s="594"/>
      <c r="BI403" s="594"/>
      <c r="BJ403" s="156"/>
      <c r="BK403" s="156"/>
      <c r="BL403" s="156"/>
      <c r="BM403" s="156"/>
      <c r="BN403" s="156"/>
      <c r="BO403" s="156"/>
      <c r="BP403" s="156">
        <v>1</v>
      </c>
      <c r="BQ403" s="156"/>
      <c r="BR403" s="156"/>
      <c r="BS403" s="156"/>
      <c r="BT403" s="156"/>
      <c r="BU403" s="156"/>
      <c r="BV403" s="156"/>
      <c r="BW403" s="595" t="s">
        <v>5046</v>
      </c>
      <c r="BX403" s="157" t="s">
        <v>6609</v>
      </c>
      <c r="BY403" s="797" t="s">
        <v>7896</v>
      </c>
      <c r="BZ403" s="789" t="s">
        <v>803</v>
      </c>
      <c r="CA403" s="765">
        <v>3</v>
      </c>
      <c r="CB403" s="765" t="s">
        <v>7556</v>
      </c>
      <c r="CC403" s="765" t="s">
        <v>24</v>
      </c>
      <c r="CD403" s="134" t="s">
        <v>1876</v>
      </c>
      <c r="CE403" s="134" t="s">
        <v>5059</v>
      </c>
      <c r="CF403" s="400"/>
      <c r="CG403" s="134" t="s">
        <v>5031</v>
      </c>
      <c r="CH403" s="753" t="s">
        <v>7425</v>
      </c>
      <c r="CI403" s="134" t="s">
        <v>24</v>
      </c>
      <c r="CJ403" s="134">
        <v>1</v>
      </c>
      <c r="CK403" s="134" t="s">
        <v>5032</v>
      </c>
      <c r="CL403" s="134" t="s">
        <v>6643</v>
      </c>
      <c r="CM403" s="259" t="s">
        <v>5081</v>
      </c>
      <c r="CN403" s="454" t="s">
        <v>24</v>
      </c>
      <c r="CO403" s="828">
        <v>48</v>
      </c>
      <c r="CP403" s="828">
        <v>1</v>
      </c>
      <c r="CQ403" s="828">
        <v>2</v>
      </c>
      <c r="CR403" s="828">
        <v>1</v>
      </c>
      <c r="CS403" s="828">
        <v>1</v>
      </c>
      <c r="CT403" s="967"/>
      <c r="CU403" s="1288" t="s">
        <v>8103</v>
      </c>
      <c r="CV403" s="1294">
        <v>19</v>
      </c>
      <c r="CW403" s="1294">
        <v>19</v>
      </c>
      <c r="CX403" s="138" t="s">
        <v>5036</v>
      </c>
      <c r="CY403" s="134">
        <v>67</v>
      </c>
      <c r="CZ403" s="168">
        <f>72.8969-Table66[[#This Row],[Data_Outcome1_M]]</f>
        <v>5.8969000000000023</v>
      </c>
      <c r="DA403" s="134" t="s">
        <v>24</v>
      </c>
      <c r="DB403" s="138" t="s">
        <v>5035</v>
      </c>
      <c r="DC403" s="134">
        <v>78</v>
      </c>
      <c r="DD403" s="134">
        <f>82.4659-Table66[[#This Row],[Data_Outcome2_M]]</f>
        <v>4.4659000000000049</v>
      </c>
      <c r="DE403" s="134" t="s">
        <v>24</v>
      </c>
      <c r="DF403" s="288" t="s">
        <v>7935</v>
      </c>
      <c r="DG403" s="289"/>
      <c r="DH403" s="1169" t="s">
        <v>24</v>
      </c>
      <c r="DI403" s="1169"/>
      <c r="DJ403" s="1169"/>
      <c r="DK403" s="1169"/>
      <c r="DL403" s="1169"/>
      <c r="DM403" s="1169"/>
      <c r="DN403" s="1169"/>
      <c r="DO403" s="1169"/>
      <c r="DP403" s="301"/>
      <c r="DQ403" s="301"/>
      <c r="DR403" s="1170"/>
      <c r="DS403" s="865"/>
      <c r="DT403" s="1171"/>
      <c r="DU403" s="417"/>
      <c r="DV403" s="1169"/>
      <c r="DW403" s="417"/>
      <c r="DX403" s="1169"/>
      <c r="DY403" s="417"/>
      <c r="DZ403" s="1169"/>
      <c r="EA403" s="417"/>
      <c r="EB403" s="304"/>
      <c r="EC403" s="312"/>
      <c r="ED403" s="1169"/>
      <c r="EE403" s="417"/>
      <c r="EF403" s="1169"/>
      <c r="EG403" s="417"/>
      <c r="EH403" s="1169"/>
      <c r="EI403" s="417"/>
      <c r="EJ403" s="1169"/>
      <c r="EK403" s="417"/>
      <c r="EL403" s="304"/>
      <c r="EM403" s="312"/>
      <c r="EN403" s="317"/>
      <c r="EO403" s="318"/>
      <c r="EP403" s="417"/>
      <c r="EQ403" s="417"/>
      <c r="ER403" s="417"/>
      <c r="ES403" s="417"/>
      <c r="ET403" s="417"/>
      <c r="EU403" s="417"/>
      <c r="EV403" s="417"/>
      <c r="EW403" s="417"/>
      <c r="EX403" s="469"/>
      <c r="EY403" s="246"/>
      <c r="EZ403" s="417"/>
      <c r="FA403" s="417"/>
      <c r="FB403" s="417"/>
      <c r="FC403" s="417"/>
      <c r="FD403" s="417"/>
      <c r="FE403" s="417"/>
      <c r="FF403" s="417"/>
      <c r="FG403" s="417"/>
      <c r="FH403" s="469"/>
      <c r="FI403" s="469"/>
      <c r="FJ403" s="318"/>
    </row>
    <row r="404" spans="1:166" hidden="1">
      <c r="A404" s="79" t="s">
        <v>222</v>
      </c>
      <c r="B404" s="362">
        <v>164</v>
      </c>
      <c r="C404" s="362">
        <v>54</v>
      </c>
      <c r="D404" s="362"/>
      <c r="E404" s="604" t="s">
        <v>1986</v>
      </c>
      <c r="F404" s="124" t="s">
        <v>2212</v>
      </c>
      <c r="G404" s="125">
        <v>1995</v>
      </c>
      <c r="H404" s="79">
        <v>7654154</v>
      </c>
      <c r="I404" s="79">
        <v>1</v>
      </c>
      <c r="J404" s="126"/>
      <c r="K404" s="127"/>
      <c r="L404" s="79">
        <v>1</v>
      </c>
      <c r="M404" s="79"/>
      <c r="N404" s="79">
        <v>1</v>
      </c>
      <c r="O404" s="128">
        <v>1</v>
      </c>
      <c r="P404" s="79" t="s">
        <v>621</v>
      </c>
      <c r="Q404" s="79" t="s">
        <v>1147</v>
      </c>
      <c r="R404" s="79" t="s">
        <v>25</v>
      </c>
      <c r="S404" s="79">
        <v>1</v>
      </c>
      <c r="T404" s="79"/>
      <c r="U404" s="79"/>
      <c r="V404" s="79"/>
      <c r="W404" s="79"/>
      <c r="X404" s="79"/>
      <c r="Y404" s="79"/>
      <c r="Z404" s="79"/>
      <c r="AA404" s="79"/>
      <c r="AB404" s="79"/>
      <c r="AC404" s="506"/>
      <c r="AD404" s="573">
        <v>1</v>
      </c>
      <c r="AE404" s="573">
        <v>2</v>
      </c>
      <c r="AF404" s="154">
        <v>1</v>
      </c>
      <c r="AG404" s="155" t="s">
        <v>7937</v>
      </c>
      <c r="AH404" s="704"/>
      <c r="AI404" s="121">
        <v>2</v>
      </c>
      <c r="AJ404" s="484" t="s">
        <v>5052</v>
      </c>
      <c r="AK404" s="202"/>
      <c r="AL404" s="192">
        <v>0</v>
      </c>
      <c r="AM404" s="203">
        <v>0</v>
      </c>
      <c r="AN404" s="121">
        <f>Table66[[#This Row],[Data_Subjects_n_ptsd]]+Table66[[#This Row],[Data_Subjects_n_control]]</f>
        <v>32</v>
      </c>
      <c r="AO404" s="121">
        <v>19</v>
      </c>
      <c r="AP404" s="121">
        <v>13</v>
      </c>
      <c r="AQ404" s="121" t="s">
        <v>803</v>
      </c>
      <c r="AR404" s="121" t="s">
        <v>803</v>
      </c>
      <c r="AS404" s="121">
        <v>46</v>
      </c>
      <c r="AT404" s="121">
        <v>2.2999999999999998</v>
      </c>
      <c r="AU404" s="1297">
        <v>49</v>
      </c>
      <c r="AV404" s="121">
        <v>3.4</v>
      </c>
      <c r="AW404" s="121" t="s">
        <v>3994</v>
      </c>
      <c r="AX404" s="121"/>
      <c r="AY404" s="121"/>
      <c r="AZ404" s="754" t="s">
        <v>1874</v>
      </c>
      <c r="BA404" s="121" t="s">
        <v>24</v>
      </c>
      <c r="BB404" s="121" t="s">
        <v>24</v>
      </c>
      <c r="BC404" s="121" t="s">
        <v>5029</v>
      </c>
      <c r="BD404" s="754" t="s">
        <v>7521</v>
      </c>
      <c r="BE404" s="1624">
        <v>0</v>
      </c>
      <c r="BF404" s="121" t="s">
        <v>5116</v>
      </c>
      <c r="BG404" s="121" t="s">
        <v>5030</v>
      </c>
      <c r="BH404" s="594"/>
      <c r="BI404" s="594"/>
      <c r="BJ404" s="156"/>
      <c r="BK404" s="156"/>
      <c r="BL404" s="156"/>
      <c r="BM404" s="156"/>
      <c r="BN404" s="156"/>
      <c r="BO404" s="156"/>
      <c r="BP404" s="156">
        <v>1</v>
      </c>
      <c r="BQ404" s="156"/>
      <c r="BR404" s="156"/>
      <c r="BS404" s="156"/>
      <c r="BT404" s="156"/>
      <c r="BU404" s="156"/>
      <c r="BV404" s="156"/>
      <c r="BW404" s="595" t="s">
        <v>5046</v>
      </c>
      <c r="BX404" s="157" t="s">
        <v>6609</v>
      </c>
      <c r="BY404" s="797" t="s">
        <v>7896</v>
      </c>
      <c r="BZ404" s="789" t="s">
        <v>803</v>
      </c>
      <c r="CA404" s="765">
        <v>3</v>
      </c>
      <c r="CB404" s="765" t="s">
        <v>7556</v>
      </c>
      <c r="CC404" s="765" t="s">
        <v>24</v>
      </c>
      <c r="CD404" s="134" t="s">
        <v>1876</v>
      </c>
      <c r="CE404" s="134" t="s">
        <v>5059</v>
      </c>
      <c r="CF404" s="400"/>
      <c r="CG404" s="134" t="s">
        <v>5031</v>
      </c>
      <c r="CH404" s="753" t="s">
        <v>7425</v>
      </c>
      <c r="CI404" s="134" t="s">
        <v>24</v>
      </c>
      <c r="CJ404" s="134">
        <v>1</v>
      </c>
      <c r="CK404" s="134" t="s">
        <v>5032</v>
      </c>
      <c r="CL404" s="134" t="s">
        <v>6643</v>
      </c>
      <c r="CM404" s="259" t="s">
        <v>5081</v>
      </c>
      <c r="CN404" s="454" t="s">
        <v>24</v>
      </c>
      <c r="CO404" s="828">
        <v>48</v>
      </c>
      <c r="CP404" s="828">
        <v>1</v>
      </c>
      <c r="CQ404" s="828">
        <v>3</v>
      </c>
      <c r="CR404" s="828">
        <v>1</v>
      </c>
      <c r="CS404" s="828">
        <v>1</v>
      </c>
      <c r="CT404" s="967"/>
      <c r="CU404" s="1288" t="s">
        <v>8103</v>
      </c>
      <c r="CV404" s="1294">
        <v>19</v>
      </c>
      <c r="CW404" s="1294">
        <v>19</v>
      </c>
      <c r="CX404" s="138" t="s">
        <v>5037</v>
      </c>
      <c r="CY404" s="134">
        <v>67</v>
      </c>
      <c r="CZ404" s="134">
        <f>72.6734-Table66[[#This Row],[Data_Outcome1_M]]</f>
        <v>5.6734000000000009</v>
      </c>
      <c r="DA404" s="134" t="s">
        <v>24</v>
      </c>
      <c r="DB404" s="138" t="s">
        <v>5038</v>
      </c>
      <c r="DC404" s="134">
        <v>89</v>
      </c>
      <c r="DD404" s="134">
        <f>91.6366-Table66[[#This Row],[Data_Outcome2_M]]</f>
        <v>2.6366000000000014</v>
      </c>
      <c r="DE404" s="134" t="s">
        <v>24</v>
      </c>
      <c r="DF404" s="1113" t="s">
        <v>5042</v>
      </c>
      <c r="DG404" s="1123" t="s">
        <v>5043</v>
      </c>
      <c r="DH404" s="1169" t="s">
        <v>24</v>
      </c>
      <c r="DI404" s="1169"/>
      <c r="DJ404" s="1169"/>
      <c r="DK404" s="1169"/>
      <c r="DL404" s="1169"/>
      <c r="DM404" s="1169"/>
      <c r="DN404" s="1169"/>
      <c r="DO404" s="1169"/>
      <c r="DP404" s="301"/>
      <c r="DQ404" s="301"/>
      <c r="DR404" s="1170"/>
      <c r="DS404" s="865"/>
      <c r="DT404" s="1171"/>
      <c r="DU404" s="417"/>
      <c r="DV404" s="1169"/>
      <c r="DW404" s="417"/>
      <c r="DX404" s="1169"/>
      <c r="DY404" s="417"/>
      <c r="DZ404" s="1169"/>
      <c r="EA404" s="417"/>
      <c r="EB404" s="304"/>
      <c r="EC404" s="312"/>
      <c r="ED404" s="1169"/>
      <c r="EE404" s="417"/>
      <c r="EF404" s="1169"/>
      <c r="EG404" s="417"/>
      <c r="EH404" s="1169"/>
      <c r="EI404" s="417"/>
      <c r="EJ404" s="1169"/>
      <c r="EK404" s="417"/>
      <c r="EL404" s="304"/>
      <c r="EM404" s="312"/>
      <c r="EN404" s="317"/>
      <c r="EO404" s="318"/>
      <c r="EP404" s="417"/>
      <c r="EQ404" s="417"/>
      <c r="ER404" s="417"/>
      <c r="ES404" s="417"/>
      <c r="ET404" s="417"/>
      <c r="EU404" s="417"/>
      <c r="EV404" s="417"/>
      <c r="EW404" s="417"/>
      <c r="EX404" s="312"/>
      <c r="EY404" s="238"/>
      <c r="EZ404" s="417"/>
      <c r="FA404" s="417"/>
      <c r="FB404" s="417"/>
      <c r="FC404" s="417"/>
      <c r="FD404" s="417"/>
      <c r="FE404" s="417"/>
      <c r="FF404" s="417"/>
      <c r="FG404" s="417"/>
      <c r="FH404" s="469"/>
      <c r="FI404" s="469"/>
      <c r="FJ404" s="318"/>
    </row>
    <row r="405" spans="1:166" hidden="1">
      <c r="A405" s="79" t="s">
        <v>222</v>
      </c>
      <c r="B405" s="362">
        <v>164</v>
      </c>
      <c r="C405" s="362">
        <v>54</v>
      </c>
      <c r="D405" s="362"/>
      <c r="E405" s="604" t="s">
        <v>1986</v>
      </c>
      <c r="F405" s="124" t="s">
        <v>2212</v>
      </c>
      <c r="G405" s="125">
        <v>1995</v>
      </c>
      <c r="H405" s="79">
        <v>7654154</v>
      </c>
      <c r="I405" s="79">
        <v>1</v>
      </c>
      <c r="J405" s="126"/>
      <c r="K405" s="127"/>
      <c r="L405" s="79">
        <v>1</v>
      </c>
      <c r="M405" s="79"/>
      <c r="N405" s="79">
        <v>1</v>
      </c>
      <c r="O405" s="128">
        <v>1</v>
      </c>
      <c r="P405" s="79" t="s">
        <v>621</v>
      </c>
      <c r="Q405" s="79" t="s">
        <v>1147</v>
      </c>
      <c r="R405" s="79" t="s">
        <v>25</v>
      </c>
      <c r="S405" s="79">
        <v>1</v>
      </c>
      <c r="T405" s="79"/>
      <c r="U405" s="79"/>
      <c r="V405" s="79"/>
      <c r="W405" s="79"/>
      <c r="X405" s="79"/>
      <c r="Y405" s="79"/>
      <c r="Z405" s="79"/>
      <c r="AA405" s="79"/>
      <c r="AB405" s="79"/>
      <c r="AC405" s="506"/>
      <c r="AD405" s="573">
        <v>1</v>
      </c>
      <c r="AE405" s="573">
        <v>2</v>
      </c>
      <c r="AF405" s="154">
        <v>1</v>
      </c>
      <c r="AG405" s="155" t="s">
        <v>7937</v>
      </c>
      <c r="AH405" s="704"/>
      <c r="AI405" s="121">
        <v>2</v>
      </c>
      <c r="AJ405" s="484" t="s">
        <v>5052</v>
      </c>
      <c r="AK405" s="202"/>
      <c r="AL405" s="192">
        <v>0</v>
      </c>
      <c r="AM405" s="203">
        <v>0</v>
      </c>
      <c r="AN405" s="121">
        <f>Table66[[#This Row],[Data_Subjects_n_ptsd]]+Table66[[#This Row],[Data_Subjects_n_control]]</f>
        <v>32</v>
      </c>
      <c r="AO405" s="121">
        <v>19</v>
      </c>
      <c r="AP405" s="121">
        <v>13</v>
      </c>
      <c r="AQ405" s="121" t="s">
        <v>803</v>
      </c>
      <c r="AR405" s="121" t="s">
        <v>803</v>
      </c>
      <c r="AS405" s="121">
        <v>46</v>
      </c>
      <c r="AT405" s="121">
        <v>2.2999999999999998</v>
      </c>
      <c r="AU405" s="1297">
        <v>49</v>
      </c>
      <c r="AV405" s="121">
        <v>3.4</v>
      </c>
      <c r="AW405" s="121" t="s">
        <v>3994</v>
      </c>
      <c r="AX405" s="121"/>
      <c r="AY405" s="121"/>
      <c r="AZ405" s="754" t="s">
        <v>1874</v>
      </c>
      <c r="BA405" s="121" t="s">
        <v>24</v>
      </c>
      <c r="BB405" s="121" t="s">
        <v>24</v>
      </c>
      <c r="BC405" s="121" t="s">
        <v>5029</v>
      </c>
      <c r="BD405" s="754" t="s">
        <v>7521</v>
      </c>
      <c r="BE405" s="1624">
        <v>0</v>
      </c>
      <c r="BF405" s="121" t="s">
        <v>5116</v>
      </c>
      <c r="BG405" s="121" t="s">
        <v>5030</v>
      </c>
      <c r="BH405" s="594"/>
      <c r="BI405" s="594"/>
      <c r="BJ405" s="156"/>
      <c r="BK405" s="156"/>
      <c r="BL405" s="156"/>
      <c r="BM405" s="156"/>
      <c r="BN405" s="156"/>
      <c r="BO405" s="156"/>
      <c r="BP405" s="156">
        <v>1</v>
      </c>
      <c r="BQ405" s="156"/>
      <c r="BR405" s="156"/>
      <c r="BS405" s="156"/>
      <c r="BT405" s="156"/>
      <c r="BU405" s="156"/>
      <c r="BV405" s="156"/>
      <c r="BW405" s="595" t="s">
        <v>5046</v>
      </c>
      <c r="BX405" s="157" t="s">
        <v>6609</v>
      </c>
      <c r="BY405" s="797" t="s">
        <v>7896</v>
      </c>
      <c r="BZ405" s="789" t="s">
        <v>803</v>
      </c>
      <c r="CA405" s="765">
        <v>3</v>
      </c>
      <c r="CB405" s="765" t="s">
        <v>7556</v>
      </c>
      <c r="CC405" s="765" t="s">
        <v>24</v>
      </c>
      <c r="CD405" s="134" t="s">
        <v>1876</v>
      </c>
      <c r="CE405" s="134" t="s">
        <v>5059</v>
      </c>
      <c r="CF405" s="400"/>
      <c r="CG405" s="134" t="s">
        <v>5031</v>
      </c>
      <c r="CH405" s="753" t="s">
        <v>7425</v>
      </c>
      <c r="CI405" s="134" t="s">
        <v>24</v>
      </c>
      <c r="CJ405" s="134">
        <v>1</v>
      </c>
      <c r="CK405" s="134" t="s">
        <v>5032</v>
      </c>
      <c r="CL405" s="134" t="s">
        <v>6639</v>
      </c>
      <c r="CM405" s="259" t="s">
        <v>5081</v>
      </c>
      <c r="CN405" s="454" t="s">
        <v>24</v>
      </c>
      <c r="CO405" s="828">
        <v>48</v>
      </c>
      <c r="CP405" s="828">
        <v>1</v>
      </c>
      <c r="CQ405" s="828">
        <v>4</v>
      </c>
      <c r="CR405" s="828">
        <v>1</v>
      </c>
      <c r="CS405" s="828">
        <v>-1</v>
      </c>
      <c r="CT405" s="967"/>
      <c r="CU405" s="1288" t="s">
        <v>8103</v>
      </c>
      <c r="CV405" s="1294">
        <v>19</v>
      </c>
      <c r="CW405" s="1294">
        <v>19</v>
      </c>
      <c r="CX405" s="134" t="s">
        <v>5048</v>
      </c>
      <c r="CY405" s="134">
        <v>29.977599999999999</v>
      </c>
      <c r="CZ405" s="134">
        <f>32.9515-Table66[[#This Row],[Data_Outcome1_M]]</f>
        <v>2.973900000000004</v>
      </c>
      <c r="DA405" s="134" t="s">
        <v>24</v>
      </c>
      <c r="DB405" s="134" t="s">
        <v>5050</v>
      </c>
      <c r="DC405" s="134">
        <v>29.977599999999999</v>
      </c>
      <c r="DD405" s="134">
        <f>32.0332-Table66[[#This Row],[Data_Outcome2_M]]</f>
        <v>2.0556000000000019</v>
      </c>
      <c r="DE405" s="134" t="s">
        <v>24</v>
      </c>
      <c r="DF405" s="301" t="s">
        <v>5054</v>
      </c>
      <c r="DG405" s="301" t="s">
        <v>5055</v>
      </c>
      <c r="DH405" s="1169" t="s">
        <v>24</v>
      </c>
      <c r="DI405" s="1169"/>
      <c r="DJ405" s="1169"/>
      <c r="DK405" s="1169"/>
      <c r="DL405" s="1169"/>
      <c r="DM405" s="1169"/>
      <c r="DN405" s="1169"/>
      <c r="DO405" s="1169"/>
      <c r="DP405" s="301"/>
      <c r="DQ405" s="301"/>
      <c r="DR405" s="1170"/>
      <c r="DS405" s="865"/>
      <c r="DT405" s="1171"/>
      <c r="DU405" s="417"/>
      <c r="DV405" s="1169"/>
      <c r="DW405" s="417"/>
      <c r="DX405" s="1169"/>
      <c r="DY405" s="417"/>
      <c r="DZ405" s="1169"/>
      <c r="EA405" s="417"/>
      <c r="EB405" s="304"/>
      <c r="EC405" s="312"/>
      <c r="ED405" s="1169"/>
      <c r="EE405" s="417"/>
      <c r="EF405" s="1169"/>
      <c r="EG405" s="417"/>
      <c r="EH405" s="1169"/>
      <c r="EI405" s="417"/>
      <c r="EJ405" s="1169"/>
      <c r="EK405" s="417"/>
      <c r="EL405" s="304"/>
      <c r="EM405" s="312"/>
      <c r="EN405" s="317"/>
      <c r="EO405" s="318"/>
      <c r="EP405" s="417"/>
      <c r="EQ405" s="417"/>
      <c r="ER405" s="417"/>
      <c r="ES405" s="417"/>
      <c r="ET405" s="417"/>
      <c r="EU405" s="417"/>
      <c r="EV405" s="417"/>
      <c r="EW405" s="417"/>
      <c r="EX405" s="312"/>
      <c r="EY405" s="238"/>
      <c r="EZ405" s="417"/>
      <c r="FA405" s="417"/>
      <c r="FB405" s="417"/>
      <c r="FC405" s="417"/>
      <c r="FD405" s="417"/>
      <c r="FE405" s="417"/>
      <c r="FF405" s="417"/>
      <c r="FG405" s="417"/>
      <c r="FH405" s="469"/>
      <c r="FI405" s="469"/>
      <c r="FJ405" s="318"/>
    </row>
    <row r="406" spans="1:166" hidden="1">
      <c r="A406" s="79" t="s">
        <v>222</v>
      </c>
      <c r="B406" s="362">
        <v>164</v>
      </c>
      <c r="C406" s="362">
        <v>54</v>
      </c>
      <c r="D406" s="362"/>
      <c r="E406" s="604" t="s">
        <v>1986</v>
      </c>
      <c r="F406" s="124" t="s">
        <v>2212</v>
      </c>
      <c r="G406" s="125">
        <v>1995</v>
      </c>
      <c r="H406" s="79">
        <v>7654154</v>
      </c>
      <c r="I406" s="79">
        <v>1</v>
      </c>
      <c r="J406" s="126"/>
      <c r="K406" s="127"/>
      <c r="L406" s="79">
        <v>1</v>
      </c>
      <c r="M406" s="79"/>
      <c r="N406" s="79">
        <v>1</v>
      </c>
      <c r="O406" s="128">
        <v>1</v>
      </c>
      <c r="P406" s="79" t="s">
        <v>621</v>
      </c>
      <c r="Q406" s="79" t="s">
        <v>1147</v>
      </c>
      <c r="R406" s="79" t="s">
        <v>25</v>
      </c>
      <c r="S406" s="79">
        <v>1</v>
      </c>
      <c r="T406" s="79"/>
      <c r="U406" s="79"/>
      <c r="V406" s="79"/>
      <c r="W406" s="79"/>
      <c r="X406" s="79"/>
      <c r="Y406" s="79"/>
      <c r="Z406" s="79"/>
      <c r="AA406" s="79"/>
      <c r="AB406" s="79"/>
      <c r="AC406" s="506"/>
      <c r="AD406" s="573">
        <v>1</v>
      </c>
      <c r="AE406" s="573">
        <v>2</v>
      </c>
      <c r="AF406" s="154">
        <v>1</v>
      </c>
      <c r="AG406" s="155" t="s">
        <v>7937</v>
      </c>
      <c r="AH406" s="704"/>
      <c r="AI406" s="121">
        <v>2</v>
      </c>
      <c r="AJ406" s="484" t="s">
        <v>5052</v>
      </c>
      <c r="AK406" s="202"/>
      <c r="AL406" s="192">
        <v>0</v>
      </c>
      <c r="AM406" s="203">
        <v>0</v>
      </c>
      <c r="AN406" s="121">
        <f>Table66[[#This Row],[Data_Subjects_n_ptsd]]+Table66[[#This Row],[Data_Subjects_n_control]]</f>
        <v>32</v>
      </c>
      <c r="AO406" s="121">
        <v>19</v>
      </c>
      <c r="AP406" s="121">
        <v>13</v>
      </c>
      <c r="AQ406" s="121" t="s">
        <v>803</v>
      </c>
      <c r="AR406" s="134" t="s">
        <v>803</v>
      </c>
      <c r="AS406" s="134">
        <v>46</v>
      </c>
      <c r="AT406" s="134">
        <v>2.2999999999999998</v>
      </c>
      <c r="AU406" s="134">
        <v>49</v>
      </c>
      <c r="AV406" s="134">
        <v>3.4</v>
      </c>
      <c r="AW406" s="134" t="s">
        <v>3994</v>
      </c>
      <c r="AX406" s="121"/>
      <c r="AY406" s="121"/>
      <c r="AZ406" s="754" t="s">
        <v>1874</v>
      </c>
      <c r="BA406" s="121" t="s">
        <v>24</v>
      </c>
      <c r="BB406" s="121" t="s">
        <v>24</v>
      </c>
      <c r="BC406" s="121" t="s">
        <v>5029</v>
      </c>
      <c r="BD406" s="754" t="s">
        <v>7521</v>
      </c>
      <c r="BE406" s="1624">
        <v>0</v>
      </c>
      <c r="BF406" s="121" t="s">
        <v>5116</v>
      </c>
      <c r="BG406" s="121" t="s">
        <v>5030</v>
      </c>
      <c r="BH406" s="594"/>
      <c r="BI406" s="594"/>
      <c r="BJ406" s="156"/>
      <c r="BK406" s="156"/>
      <c r="BL406" s="156"/>
      <c r="BM406" s="156"/>
      <c r="BN406" s="156"/>
      <c r="BO406" s="156"/>
      <c r="BP406" s="156">
        <v>1</v>
      </c>
      <c r="BQ406" s="156"/>
      <c r="BR406" s="156"/>
      <c r="BS406" s="156"/>
      <c r="BT406" s="156"/>
      <c r="BU406" s="156"/>
      <c r="BV406" s="156"/>
      <c r="BW406" s="595" t="s">
        <v>5046</v>
      </c>
      <c r="BX406" s="157" t="s">
        <v>6609</v>
      </c>
      <c r="BY406" s="797" t="s">
        <v>7896</v>
      </c>
      <c r="BZ406" s="789" t="s">
        <v>803</v>
      </c>
      <c r="CA406" s="765">
        <v>3</v>
      </c>
      <c r="CB406" s="765" t="s">
        <v>7556</v>
      </c>
      <c r="CC406" s="765" t="s">
        <v>24</v>
      </c>
      <c r="CD406" s="134" t="s">
        <v>1876</v>
      </c>
      <c r="CE406" s="134" t="s">
        <v>5059</v>
      </c>
      <c r="CF406" s="400"/>
      <c r="CG406" s="134" t="s">
        <v>5031</v>
      </c>
      <c r="CH406" s="753" t="s">
        <v>7425</v>
      </c>
      <c r="CI406" s="134" t="s">
        <v>24</v>
      </c>
      <c r="CJ406" s="134">
        <v>1</v>
      </c>
      <c r="CK406" s="134" t="s">
        <v>5032</v>
      </c>
      <c r="CL406" s="134" t="s">
        <v>6639</v>
      </c>
      <c r="CM406" s="259" t="s">
        <v>5081</v>
      </c>
      <c r="CN406" s="454" t="s">
        <v>24</v>
      </c>
      <c r="CO406" s="828">
        <v>48</v>
      </c>
      <c r="CP406" s="828">
        <v>1</v>
      </c>
      <c r="CQ406" s="828">
        <v>5</v>
      </c>
      <c r="CR406" s="828">
        <v>1</v>
      </c>
      <c r="CS406" s="828">
        <v>-1</v>
      </c>
      <c r="CT406" s="967"/>
      <c r="CU406" s="1288" t="s">
        <v>8103</v>
      </c>
      <c r="CV406" s="1294">
        <v>19</v>
      </c>
      <c r="CW406" s="1294">
        <v>19</v>
      </c>
      <c r="CX406" s="134" t="s">
        <v>5049</v>
      </c>
      <c r="CY406" s="134">
        <v>27.090599999999998</v>
      </c>
      <c r="CZ406" s="134">
        <f>30.0208-Table66[[#This Row],[Data_Outcome1_M]]</f>
        <v>2.9302000000000028</v>
      </c>
      <c r="DA406" s="134" t="s">
        <v>24</v>
      </c>
      <c r="DB406" s="134" t="s">
        <v>5051</v>
      </c>
      <c r="DC406" s="134">
        <v>19.261800000000001</v>
      </c>
      <c r="DD406" s="134">
        <f>20.9684-Table66[[#This Row],[Data_Outcome2_M]]</f>
        <v>1.7065999999999981</v>
      </c>
      <c r="DE406" s="134" t="s">
        <v>24</v>
      </c>
      <c r="DF406" s="277" t="s">
        <v>7936</v>
      </c>
      <c r="DG406" s="277" t="s">
        <v>5053</v>
      </c>
      <c r="DH406" s="1169" t="s">
        <v>24</v>
      </c>
      <c r="DI406" s="1169"/>
      <c r="DJ406" s="1169"/>
      <c r="DK406" s="1169"/>
      <c r="DL406" s="1169"/>
      <c r="DM406" s="1169"/>
      <c r="DN406" s="1169"/>
      <c r="DO406" s="1169"/>
      <c r="DP406" s="301"/>
      <c r="DQ406" s="301"/>
      <c r="DR406" s="1170"/>
      <c r="DS406" s="865"/>
      <c r="DT406" s="1171"/>
      <c r="DU406" s="417"/>
      <c r="DV406" s="1169"/>
      <c r="DW406" s="417"/>
      <c r="DX406" s="1169"/>
      <c r="DY406" s="417"/>
      <c r="DZ406" s="1169"/>
      <c r="EA406" s="417"/>
      <c r="EB406" s="304"/>
      <c r="EC406" s="312"/>
      <c r="ED406" s="1169"/>
      <c r="EE406" s="417"/>
      <c r="EF406" s="1169"/>
      <c r="EG406" s="417"/>
      <c r="EH406" s="1169"/>
      <c r="EI406" s="417"/>
      <c r="EJ406" s="1169"/>
      <c r="EK406" s="417"/>
      <c r="EL406" s="304"/>
      <c r="EM406" s="312"/>
      <c r="EN406" s="317"/>
      <c r="EO406" s="318"/>
      <c r="EP406" s="417"/>
      <c r="EQ406" s="417"/>
      <c r="ER406" s="417"/>
      <c r="ES406" s="417"/>
      <c r="ET406" s="417"/>
      <c r="EU406" s="417"/>
      <c r="EV406" s="417"/>
      <c r="EW406" s="417"/>
      <c r="EX406" s="312"/>
      <c r="EY406" s="238"/>
      <c r="EZ406" s="417"/>
      <c r="FA406" s="417"/>
      <c r="FB406" s="417"/>
      <c r="FC406" s="417"/>
      <c r="FD406" s="417"/>
      <c r="FE406" s="417"/>
      <c r="FF406" s="417"/>
      <c r="FG406" s="417"/>
      <c r="FH406" s="469"/>
      <c r="FI406" s="469"/>
      <c r="FJ406" s="318"/>
    </row>
    <row r="407" spans="1:166">
      <c r="A407" s="79" t="s">
        <v>1076</v>
      </c>
      <c r="B407" s="362">
        <v>100</v>
      </c>
      <c r="C407" s="362"/>
      <c r="D407" s="362">
        <v>29</v>
      </c>
      <c r="E407" s="604" t="s">
        <v>2064</v>
      </c>
      <c r="F407" s="124" t="s">
        <v>2316</v>
      </c>
      <c r="G407" s="125">
        <v>2015</v>
      </c>
      <c r="H407" s="79">
        <v>25979764</v>
      </c>
      <c r="I407" s="79">
        <v>1</v>
      </c>
      <c r="J407" s="126"/>
      <c r="K407" s="127"/>
      <c r="L407" s="164">
        <v>1</v>
      </c>
      <c r="M407" s="79"/>
      <c r="N407" s="164">
        <v>1</v>
      </c>
      <c r="O407" s="128">
        <v>2</v>
      </c>
      <c r="P407" s="79" t="s">
        <v>1293</v>
      </c>
      <c r="Q407" s="79" t="s">
        <v>23</v>
      </c>
      <c r="R407" s="79" t="s">
        <v>1127</v>
      </c>
      <c r="S407" s="79"/>
      <c r="T407" s="79" t="s">
        <v>1487</v>
      </c>
      <c r="U407" s="79"/>
      <c r="V407" s="79"/>
      <c r="W407" s="79" t="s">
        <v>1293</v>
      </c>
      <c r="X407" s="79" t="s">
        <v>1292</v>
      </c>
      <c r="Y407" s="79"/>
      <c r="Z407" s="79"/>
      <c r="AA407" s="79"/>
      <c r="AB407" s="79" t="s">
        <v>1294</v>
      </c>
      <c r="AC407" s="506" t="s">
        <v>6197</v>
      </c>
      <c r="AD407" s="573">
        <v>1</v>
      </c>
      <c r="AE407" s="573">
        <v>1</v>
      </c>
      <c r="AF407" s="154">
        <v>1</v>
      </c>
      <c r="AG407" s="155" t="s">
        <v>6719</v>
      </c>
      <c r="AH407" s="704"/>
      <c r="AI407" s="121">
        <v>4</v>
      </c>
      <c r="AJ407" s="484" t="s">
        <v>6727</v>
      </c>
      <c r="AK407" s="202" t="s">
        <v>6728</v>
      </c>
      <c r="AL407" s="192">
        <v>1</v>
      </c>
      <c r="AM407" s="215">
        <v>0</v>
      </c>
      <c r="AN407" s="134">
        <f>Table66[[#This Row],[Data_Subjects_n_ptsd]]+Table66[[#This Row],[Data_Subjects_n_control]]</f>
        <v>20</v>
      </c>
      <c r="AO407" s="134">
        <f>10</f>
        <v>10</v>
      </c>
      <c r="AP407" s="134">
        <f>10</f>
        <v>10</v>
      </c>
      <c r="AQ407" s="134" t="s">
        <v>803</v>
      </c>
      <c r="AR407" s="134" t="s">
        <v>803</v>
      </c>
      <c r="AS407" s="134" t="s">
        <v>2687</v>
      </c>
      <c r="AT407" s="134" t="s">
        <v>24</v>
      </c>
      <c r="AU407" s="134" t="s">
        <v>2687</v>
      </c>
      <c r="AV407" s="134" t="s">
        <v>24</v>
      </c>
      <c r="AW407" s="134" t="s">
        <v>6716</v>
      </c>
      <c r="AX407" s="134"/>
      <c r="AY407" s="134"/>
      <c r="AZ407" s="753" t="s">
        <v>1487</v>
      </c>
      <c r="BA407" s="134">
        <v>1</v>
      </c>
      <c r="BB407" s="134">
        <v>1</v>
      </c>
      <c r="BC407" s="134" t="s">
        <v>6717</v>
      </c>
      <c r="BD407" s="753" t="s">
        <v>7522</v>
      </c>
      <c r="BE407" s="753"/>
      <c r="BF407" s="134" t="s">
        <v>1130</v>
      </c>
      <c r="BG407" s="134" t="s">
        <v>6653</v>
      </c>
      <c r="BH407" s="594"/>
      <c r="BI407" s="594"/>
      <c r="BJ407" s="156">
        <v>1</v>
      </c>
      <c r="BK407" s="156"/>
      <c r="BL407" s="156"/>
      <c r="BM407" s="156"/>
      <c r="BN407" s="156"/>
      <c r="BO407" s="156"/>
      <c r="BP407" s="156"/>
      <c r="BQ407" s="156"/>
      <c r="BR407" s="156"/>
      <c r="BS407" s="156"/>
      <c r="BT407" s="156"/>
      <c r="BU407" s="156"/>
      <c r="BV407" s="156"/>
      <c r="BW407" s="595" t="s">
        <v>6720</v>
      </c>
      <c r="BX407" s="157" t="s">
        <v>6595</v>
      </c>
      <c r="BY407" s="797" t="s">
        <v>7615</v>
      </c>
      <c r="BZ407" s="789" t="s">
        <v>803</v>
      </c>
      <c r="CA407" s="765">
        <v>4</v>
      </c>
      <c r="CB407" s="765" t="s">
        <v>7556</v>
      </c>
      <c r="CC407" s="765" t="s">
        <v>7384</v>
      </c>
      <c r="CD407" s="134" t="s">
        <v>1876</v>
      </c>
      <c r="CE407" s="134">
        <v>2</v>
      </c>
      <c r="CF407" s="400" t="s">
        <v>7767</v>
      </c>
      <c r="CG407" s="134" t="s">
        <v>6721</v>
      </c>
      <c r="CH407" s="753" t="s">
        <v>1488</v>
      </c>
      <c r="CI407" s="134" t="s">
        <v>4416</v>
      </c>
      <c r="CJ407" s="134" t="s">
        <v>7465</v>
      </c>
      <c r="CK407" s="134" t="s">
        <v>6723</v>
      </c>
      <c r="CL407" s="134" t="s">
        <v>8276</v>
      </c>
      <c r="CM407" s="259" t="s">
        <v>6729</v>
      </c>
      <c r="CN407" s="454" t="s">
        <v>6627</v>
      </c>
      <c r="CO407" s="828">
        <v>18</v>
      </c>
      <c r="CP407" s="828">
        <v>1</v>
      </c>
      <c r="CQ407" s="828">
        <v>2</v>
      </c>
      <c r="CR407" s="828">
        <v>1</v>
      </c>
      <c r="CS407" s="828">
        <v>1</v>
      </c>
      <c r="CT407" s="967"/>
      <c r="CU407" s="1289" t="s">
        <v>8104</v>
      </c>
      <c r="CV407" s="1295">
        <v>73</v>
      </c>
      <c r="CW407" s="1295">
        <v>65</v>
      </c>
      <c r="CX407" s="138" t="s">
        <v>6724</v>
      </c>
      <c r="CY407" s="134">
        <v>73.524699999999996</v>
      </c>
      <c r="CZ407" s="134" t="s">
        <v>24</v>
      </c>
      <c r="DA407" s="134">
        <f>85.141-Table66[[#This Row],[Data_Outcome1_M]]</f>
        <v>11.61630000000001</v>
      </c>
      <c r="DB407" s="138" t="s">
        <v>6726</v>
      </c>
      <c r="DC407" s="134">
        <v>17.9283</v>
      </c>
      <c r="DD407" s="134" t="s">
        <v>24</v>
      </c>
      <c r="DE407" s="134">
        <f>22.2374-Table66[[#This Row],[Data_Outcome2_M]]</f>
        <v>4.3091000000000008</v>
      </c>
      <c r="DF407" s="280" t="s">
        <v>6729</v>
      </c>
      <c r="DG407" s="310" t="s">
        <v>6730</v>
      </c>
      <c r="DH407" s="1171"/>
      <c r="DI407" s="121"/>
      <c r="DJ407" s="1169"/>
      <c r="DK407" s="121"/>
      <c r="DL407" s="1276"/>
      <c r="DM407" s="121"/>
      <c r="DN407" s="1169"/>
      <c r="DO407" s="121"/>
      <c r="DP407" s="435"/>
      <c r="DQ407" s="437"/>
      <c r="DR407" s="1168"/>
      <c r="DS407" s="865"/>
      <c r="DT407" s="1171" t="s">
        <v>24</v>
      </c>
      <c r="DU407" s="417"/>
      <c r="DV407" s="1169"/>
      <c r="DW407" s="417"/>
      <c r="DX407" s="1169"/>
      <c r="DY407" s="417"/>
      <c r="DZ407" s="1169"/>
      <c r="EA407" s="417"/>
      <c r="EB407" s="304"/>
      <c r="EC407" s="312"/>
      <c r="ED407" s="121"/>
      <c r="EE407" s="417"/>
      <c r="EF407" s="121"/>
      <c r="EG407" s="417"/>
      <c r="EH407" s="121"/>
      <c r="EI407" s="417"/>
      <c r="EJ407" s="1169"/>
      <c r="EK407" s="417"/>
      <c r="EL407" s="304"/>
      <c r="EM407" s="312"/>
      <c r="EN407" s="317"/>
      <c r="EO407" s="318"/>
      <c r="EP407" s="417"/>
      <c r="EQ407" s="417"/>
      <c r="ER407" s="417"/>
      <c r="ES407" s="417"/>
      <c r="ET407" s="1155"/>
      <c r="EU407" s="417"/>
      <c r="EV407" s="417"/>
      <c r="EW407" s="417"/>
      <c r="EX407" s="312"/>
      <c r="EY407" s="312"/>
      <c r="EZ407" s="1155"/>
      <c r="FA407" s="417"/>
      <c r="FB407" s="417"/>
      <c r="FC407" s="417"/>
      <c r="FD407" s="1155"/>
      <c r="FE407" s="417"/>
      <c r="FF407" s="417"/>
      <c r="FG407" s="417"/>
      <c r="FH407" s="469"/>
      <c r="FI407" s="469"/>
      <c r="FJ407" s="318"/>
    </row>
    <row r="408" spans="1:166" s="1403" customFormat="1" ht="16" hidden="1" customHeight="1">
      <c r="A408" s="118" t="s">
        <v>974</v>
      </c>
      <c r="B408" s="616">
        <v>216</v>
      </c>
      <c r="C408" s="616">
        <v>76</v>
      </c>
      <c r="D408" s="616"/>
      <c r="E408" s="605" t="s">
        <v>2116</v>
      </c>
      <c r="F408" s="140" t="s">
        <v>2375</v>
      </c>
      <c r="G408" s="141">
        <v>2007</v>
      </c>
      <c r="H408" s="118">
        <v>17027033</v>
      </c>
      <c r="I408" s="118">
        <v>1</v>
      </c>
      <c r="J408" s="118">
        <v>1</v>
      </c>
      <c r="K408" s="118"/>
      <c r="L408" s="118">
        <v>1</v>
      </c>
      <c r="M408" s="118"/>
      <c r="N408" s="118">
        <v>1</v>
      </c>
      <c r="O408" s="142">
        <v>2</v>
      </c>
      <c r="P408" s="118" t="s">
        <v>1569</v>
      </c>
      <c r="Q408" s="118" t="s">
        <v>1216</v>
      </c>
      <c r="R408" s="118" t="s">
        <v>1568</v>
      </c>
      <c r="S408" s="118"/>
      <c r="T408" s="118" t="s">
        <v>1541</v>
      </c>
      <c r="U408" s="118"/>
      <c r="V408" s="118"/>
      <c r="W408" s="118" t="s">
        <v>1570</v>
      </c>
      <c r="X408" s="118"/>
      <c r="Y408" s="118" t="s">
        <v>1132</v>
      </c>
      <c r="Z408" s="118"/>
      <c r="AA408" s="118"/>
      <c r="AB408" s="118"/>
      <c r="AC408" s="145"/>
      <c r="AD408" s="573">
        <v>1</v>
      </c>
      <c r="AE408" s="573">
        <v>2</v>
      </c>
      <c r="AF408" s="230">
        <v>1</v>
      </c>
      <c r="AG408" s="231" t="s">
        <v>8133</v>
      </c>
      <c r="AH408" s="704" t="s">
        <v>8134</v>
      </c>
      <c r="AI408" s="122">
        <v>5</v>
      </c>
      <c r="AJ408" s="485" t="s">
        <v>5603</v>
      </c>
      <c r="AK408" s="204" t="s">
        <v>5558</v>
      </c>
      <c r="AL408" s="192" t="s">
        <v>3099</v>
      </c>
      <c r="AM408" s="227">
        <v>0</v>
      </c>
      <c r="AN408" s="150">
        <f>14+14</f>
        <v>28</v>
      </c>
      <c r="AO408" s="150">
        <v>14</v>
      </c>
      <c r="AP408" s="150">
        <v>14</v>
      </c>
      <c r="AQ408" s="150" t="s">
        <v>803</v>
      </c>
      <c r="AR408" s="150" t="s">
        <v>803</v>
      </c>
      <c r="AS408" s="150" t="s">
        <v>4544</v>
      </c>
      <c r="AT408" s="150" t="s">
        <v>24</v>
      </c>
      <c r="AU408" s="150" t="s">
        <v>4544</v>
      </c>
      <c r="AV408" s="150" t="s">
        <v>24</v>
      </c>
      <c r="AW408" s="150" t="s">
        <v>5549</v>
      </c>
      <c r="AX408" s="150">
        <v>1</v>
      </c>
      <c r="AY408" s="150">
        <v>1.5</v>
      </c>
      <c r="AZ408" s="753" t="s">
        <v>1814</v>
      </c>
      <c r="BA408" s="150">
        <v>1</v>
      </c>
      <c r="BB408" s="150" t="s">
        <v>5555</v>
      </c>
      <c r="BC408" s="150" t="s">
        <v>5546</v>
      </c>
      <c r="BD408" s="753" t="s">
        <v>7523</v>
      </c>
      <c r="BE408" s="753"/>
      <c r="BF408" s="150" t="s">
        <v>8131</v>
      </c>
      <c r="BG408" s="150" t="s">
        <v>4508</v>
      </c>
      <c r="BH408" s="588"/>
      <c r="BI408" s="588"/>
      <c r="BJ408" s="161">
        <v>1</v>
      </c>
      <c r="BK408" s="161" t="s">
        <v>5545</v>
      </c>
      <c r="BL408" s="161"/>
      <c r="BM408" s="161"/>
      <c r="BN408" s="161"/>
      <c r="BO408" s="161"/>
      <c r="BP408" s="161">
        <v>1</v>
      </c>
      <c r="BQ408" s="161"/>
      <c r="BR408" s="161"/>
      <c r="BS408" s="161"/>
      <c r="BT408" s="161"/>
      <c r="BU408" s="161"/>
      <c r="BV408" s="161"/>
      <c r="BW408" s="600" t="s">
        <v>7195</v>
      </c>
      <c r="BX408" s="185" t="s">
        <v>6657</v>
      </c>
      <c r="BY408" s="797" t="s">
        <v>7613</v>
      </c>
      <c r="BZ408" s="791" t="s">
        <v>803</v>
      </c>
      <c r="CA408" s="660">
        <v>1</v>
      </c>
      <c r="CB408" s="660" t="s">
        <v>7556</v>
      </c>
      <c r="CC408" s="660" t="s">
        <v>7384</v>
      </c>
      <c r="CD408" s="186" t="s">
        <v>1876</v>
      </c>
      <c r="CE408" s="150">
        <v>2</v>
      </c>
      <c r="CF408" s="400" t="s">
        <v>8050</v>
      </c>
      <c r="CG408" s="150" t="s">
        <v>5552</v>
      </c>
      <c r="CH408" s="753" t="s">
        <v>7310</v>
      </c>
      <c r="CI408" s="150" t="s">
        <v>5544</v>
      </c>
      <c r="CJ408" s="150"/>
      <c r="CK408" s="186" t="s">
        <v>5562</v>
      </c>
      <c r="CL408" s="150" t="s">
        <v>8296</v>
      </c>
      <c r="CM408" s="261" t="s">
        <v>5594</v>
      </c>
      <c r="CN408" s="620" t="s">
        <v>6627</v>
      </c>
      <c r="CO408" s="830">
        <v>68</v>
      </c>
      <c r="CP408" s="1357">
        <v>1</v>
      </c>
      <c r="CQ408" s="1357">
        <v>5</v>
      </c>
      <c r="CR408" s="1357">
        <v>1</v>
      </c>
      <c r="CS408" s="1357">
        <v>1</v>
      </c>
      <c r="CT408" s="1442"/>
      <c r="CU408" s="1443" t="s">
        <v>8104</v>
      </c>
      <c r="CV408" s="1444">
        <v>155</v>
      </c>
      <c r="CW408" s="1444">
        <v>144</v>
      </c>
      <c r="CX408" s="1102" t="s">
        <v>5579</v>
      </c>
      <c r="CY408" s="186">
        <v>51.07</v>
      </c>
      <c r="CZ408" s="186">
        <v>14.96</v>
      </c>
      <c r="DA408" s="186" t="s">
        <v>24</v>
      </c>
      <c r="DB408" s="1104" t="s">
        <v>5582</v>
      </c>
      <c r="DC408" s="1105">
        <v>10.49</v>
      </c>
      <c r="DD408" s="1105">
        <v>11.92</v>
      </c>
      <c r="DE408" s="1105" t="s">
        <v>24</v>
      </c>
      <c r="DF408" s="294" t="s">
        <v>8042</v>
      </c>
      <c r="DG408" s="295" t="s">
        <v>24</v>
      </c>
      <c r="DH408" s="1278"/>
      <c r="DI408" s="676"/>
      <c r="DJ408" s="1189"/>
      <c r="DK408" s="676"/>
      <c r="DL408" s="1192"/>
      <c r="DM408" s="122"/>
      <c r="DN408" s="1164"/>
      <c r="DO408" s="122"/>
      <c r="DP408" s="294"/>
      <c r="DQ408" s="295"/>
      <c r="DR408" s="1168"/>
      <c r="DS408" s="1168"/>
      <c r="DT408" s="1192"/>
      <c r="DU408" s="346"/>
      <c r="DV408" s="1189"/>
      <c r="DW408" s="346"/>
      <c r="DX408" s="1192"/>
      <c r="DY408" s="122"/>
      <c r="DZ408" s="1164"/>
      <c r="EA408" s="122"/>
      <c r="EB408" s="1216"/>
      <c r="EC408" s="1215"/>
      <c r="ED408" s="1192"/>
      <c r="EE408" s="346"/>
      <c r="EF408" s="1189"/>
      <c r="EG408" s="346"/>
      <c r="EH408" s="1192"/>
      <c r="EI408" s="1164"/>
      <c r="EJ408" s="1164"/>
      <c r="EK408" s="1164"/>
      <c r="EL408" s="1216"/>
      <c r="EM408" s="1215"/>
      <c r="EN408" s="1167"/>
      <c r="EO408" s="1165"/>
      <c r="EP408" s="122"/>
      <c r="EQ408" s="122"/>
      <c r="ER408" s="122"/>
      <c r="ES408" s="122"/>
      <c r="ET408" s="526"/>
      <c r="EU408" s="122"/>
      <c r="EV408" s="122"/>
      <c r="EW408" s="122"/>
      <c r="EX408" s="303"/>
      <c r="EY408" s="303"/>
      <c r="EZ408" s="1166"/>
      <c r="FA408" s="1164"/>
      <c r="FB408" s="1164"/>
      <c r="FC408" s="1164"/>
      <c r="FD408" s="1166"/>
      <c r="FE408" s="1164"/>
      <c r="FF408" s="1164"/>
      <c r="FG408" s="1164"/>
      <c r="FH408" s="313"/>
      <c r="FI408" s="313"/>
      <c r="FJ408" s="1165"/>
    </row>
    <row r="409" spans="1:166" ht="14" hidden="1" customHeight="1">
      <c r="A409" s="1516" t="s">
        <v>974</v>
      </c>
      <c r="B409" s="1517">
        <v>216</v>
      </c>
      <c r="C409" s="1517">
        <v>76</v>
      </c>
      <c r="D409" s="1517"/>
      <c r="E409" s="1518" t="s">
        <v>2116</v>
      </c>
      <c r="F409" s="1519" t="s">
        <v>2375</v>
      </c>
      <c r="G409" s="1520">
        <v>2007</v>
      </c>
      <c r="H409" s="1516">
        <v>17027033</v>
      </c>
      <c r="I409" s="1516">
        <v>1</v>
      </c>
      <c r="J409" s="1516">
        <v>1</v>
      </c>
      <c r="K409" s="1516"/>
      <c r="L409" s="1516">
        <v>1</v>
      </c>
      <c r="M409" s="1516"/>
      <c r="N409" s="1516">
        <v>1</v>
      </c>
      <c r="O409" s="1516">
        <v>2</v>
      </c>
      <c r="P409" s="1516" t="s">
        <v>1569</v>
      </c>
      <c r="Q409" s="1516" t="s">
        <v>1216</v>
      </c>
      <c r="R409" s="1516" t="s">
        <v>1568</v>
      </c>
      <c r="S409" s="1516"/>
      <c r="T409" s="1516" t="s">
        <v>1541</v>
      </c>
      <c r="U409" s="1516"/>
      <c r="V409" s="1516"/>
      <c r="W409" s="1516" t="s">
        <v>1570</v>
      </c>
      <c r="X409" s="1516"/>
      <c r="Y409" s="1516" t="s">
        <v>1132</v>
      </c>
      <c r="Z409" s="1516"/>
      <c r="AA409" s="1516"/>
      <c r="AB409" s="1516"/>
      <c r="AC409" s="1521"/>
      <c r="AD409" s="1521">
        <v>1</v>
      </c>
      <c r="AE409" s="1521">
        <v>2</v>
      </c>
      <c r="AF409" s="1522">
        <v>1</v>
      </c>
      <c r="AG409" s="231" t="s">
        <v>8133</v>
      </c>
      <c r="AH409" s="704" t="s">
        <v>8134</v>
      </c>
      <c r="AI409" s="1521">
        <v>5</v>
      </c>
      <c r="AJ409" s="1521" t="s">
        <v>5603</v>
      </c>
      <c r="AK409" s="1523" t="s">
        <v>5561</v>
      </c>
      <c r="AL409" s="1519" t="s">
        <v>3099</v>
      </c>
      <c r="AM409" s="1591">
        <v>0</v>
      </c>
      <c r="AN409" s="1592">
        <f>14+13</f>
        <v>27</v>
      </c>
      <c r="AO409" s="1592">
        <v>14</v>
      </c>
      <c r="AP409" s="1592">
        <v>13</v>
      </c>
      <c r="AQ409" s="1592" t="s">
        <v>803</v>
      </c>
      <c r="AR409" s="1592" t="s">
        <v>803</v>
      </c>
      <c r="AS409" s="1592" t="s">
        <v>4544</v>
      </c>
      <c r="AT409" s="1592" t="s">
        <v>24</v>
      </c>
      <c r="AU409" s="1592" t="s">
        <v>4544</v>
      </c>
      <c r="AV409" s="1592" t="s">
        <v>24</v>
      </c>
      <c r="AW409" s="1592" t="s">
        <v>5549</v>
      </c>
      <c r="AX409" s="150">
        <v>1</v>
      </c>
      <c r="AY409" s="150">
        <v>1.5</v>
      </c>
      <c r="AZ409" s="753" t="s">
        <v>1814</v>
      </c>
      <c r="BA409" s="150">
        <v>1</v>
      </c>
      <c r="BB409" s="150" t="s">
        <v>5555</v>
      </c>
      <c r="BC409" s="1592" t="s">
        <v>5546</v>
      </c>
      <c r="BD409" s="1592" t="s">
        <v>7523</v>
      </c>
      <c r="BE409" s="1592"/>
      <c r="BF409" s="1592" t="s">
        <v>8132</v>
      </c>
      <c r="BG409" s="1592" t="s">
        <v>4508</v>
      </c>
      <c r="BH409" s="588"/>
      <c r="BI409" s="588"/>
      <c r="BJ409" s="161">
        <v>1</v>
      </c>
      <c r="BK409" s="161" t="s">
        <v>5545</v>
      </c>
      <c r="BL409" s="161"/>
      <c r="BM409" s="161"/>
      <c r="BN409" s="161"/>
      <c r="BO409" s="161"/>
      <c r="BP409" s="161">
        <v>1</v>
      </c>
      <c r="BQ409" s="161"/>
      <c r="BR409" s="161"/>
      <c r="BS409" s="161"/>
      <c r="BT409" s="161"/>
      <c r="BU409" s="161"/>
      <c r="BV409" s="161"/>
      <c r="BW409" s="600" t="s">
        <v>7195</v>
      </c>
      <c r="BX409" s="185" t="s">
        <v>6657</v>
      </c>
      <c r="BY409" s="797" t="s">
        <v>7613</v>
      </c>
      <c r="BZ409" s="791" t="s">
        <v>803</v>
      </c>
      <c r="CA409" s="765">
        <v>1</v>
      </c>
      <c r="CB409" s="765" t="s">
        <v>7556</v>
      </c>
      <c r="CC409" s="765" t="s">
        <v>7384</v>
      </c>
      <c r="CD409" s="186" t="s">
        <v>1876</v>
      </c>
      <c r="CE409" s="150">
        <v>2</v>
      </c>
      <c r="CF409" s="400" t="s">
        <v>7579</v>
      </c>
      <c r="CG409" s="1592" t="s">
        <v>5552</v>
      </c>
      <c r="CH409" s="1592" t="s">
        <v>7310</v>
      </c>
      <c r="CI409" s="150" t="s">
        <v>5544</v>
      </c>
      <c r="CJ409" s="150"/>
      <c r="CK409" s="1592" t="s">
        <v>5562</v>
      </c>
      <c r="CL409" s="150" t="s">
        <v>8296</v>
      </c>
      <c r="CM409" s="1524" t="s">
        <v>5598</v>
      </c>
      <c r="CN409" s="1525" t="s">
        <v>6627</v>
      </c>
      <c r="CO409" s="1525">
        <v>68</v>
      </c>
      <c r="CP409" s="1525">
        <v>2</v>
      </c>
      <c r="CQ409" s="1525">
        <v>4</v>
      </c>
      <c r="CR409" s="1525">
        <v>1</v>
      </c>
      <c r="CS409" s="1525">
        <v>1</v>
      </c>
      <c r="CT409" s="1525"/>
      <c r="CU409" s="1525" t="s">
        <v>8104</v>
      </c>
      <c r="CV409" s="1524">
        <v>158</v>
      </c>
      <c r="CW409" s="1524">
        <v>145</v>
      </c>
      <c r="CX409" s="1608" t="s">
        <v>5576</v>
      </c>
      <c r="CY409" s="1592">
        <v>46.26</v>
      </c>
      <c r="CZ409" s="1592">
        <v>22.61</v>
      </c>
      <c r="DA409" s="1592" t="s">
        <v>24</v>
      </c>
      <c r="DB409" s="1608" t="s">
        <v>5580</v>
      </c>
      <c r="DC409" s="1592">
        <v>1.1599999999999999</v>
      </c>
      <c r="DD409" s="1592">
        <v>0.159</v>
      </c>
      <c r="DE409" s="1592" t="s">
        <v>24</v>
      </c>
      <c r="DF409" s="1524" t="s">
        <v>8041</v>
      </c>
      <c r="DG409" s="1519" t="s">
        <v>24</v>
      </c>
      <c r="DH409" s="1825"/>
      <c r="DI409" s="1516"/>
      <c r="DJ409" s="1527"/>
      <c r="DK409" s="1516"/>
      <c r="DL409" s="1527"/>
      <c r="DM409" s="1516"/>
      <c r="DN409" s="1527"/>
      <c r="DO409" s="1531"/>
      <c r="DP409" s="1524"/>
      <c r="DQ409" s="1532"/>
      <c r="DR409" s="1525"/>
      <c r="DS409" s="1528"/>
      <c r="DT409" s="1529"/>
      <c r="DU409" s="1516"/>
      <c r="DV409" s="1527"/>
      <c r="DW409" s="1516"/>
      <c r="DX409" s="1527"/>
      <c r="DY409" s="1516"/>
      <c r="DZ409" s="1527"/>
      <c r="EA409" s="1516"/>
      <c r="EB409" s="1528"/>
      <c r="EC409" s="1527"/>
      <c r="ED409" s="1527"/>
      <c r="EE409" s="1521"/>
      <c r="EF409" s="1527"/>
      <c r="EG409" s="1521"/>
      <c r="EH409" s="1527"/>
      <c r="EI409" s="1527"/>
      <c r="EJ409" s="1527"/>
      <c r="EK409" s="1527"/>
      <c r="EL409" s="1528"/>
      <c r="EM409" s="1527"/>
      <c r="EN409" s="1528"/>
      <c r="EO409" s="1527"/>
      <c r="EP409" s="1521"/>
      <c r="EQ409" s="1521"/>
      <c r="ER409" s="1521"/>
      <c r="ES409" s="1521"/>
      <c r="ET409" s="1526"/>
      <c r="EU409" s="1521"/>
      <c r="EV409" s="1521"/>
      <c r="EW409" s="1521"/>
      <c r="EX409" s="1521"/>
      <c r="EY409" s="1521"/>
      <c r="EZ409" s="1529"/>
      <c r="FA409" s="1527"/>
      <c r="FB409" s="1527"/>
      <c r="FC409" s="1527"/>
      <c r="FD409" s="1529"/>
      <c r="FE409" s="1527"/>
      <c r="FF409" s="1527"/>
      <c r="FG409" s="1527"/>
      <c r="FH409" s="1527"/>
      <c r="FI409" s="1527"/>
      <c r="FJ409" s="1527"/>
    </row>
    <row r="410" spans="1:166" s="1403" customFormat="1" ht="14" hidden="1" customHeight="1">
      <c r="A410" s="118" t="s">
        <v>974</v>
      </c>
      <c r="B410" s="616">
        <v>216</v>
      </c>
      <c r="C410" s="616">
        <v>76</v>
      </c>
      <c r="D410" s="616"/>
      <c r="E410" s="605" t="s">
        <v>2116</v>
      </c>
      <c r="F410" s="140" t="s">
        <v>2375</v>
      </c>
      <c r="G410" s="141">
        <v>2007</v>
      </c>
      <c r="H410" s="118">
        <v>17027033</v>
      </c>
      <c r="I410" s="118">
        <v>1</v>
      </c>
      <c r="J410" s="118">
        <v>1</v>
      </c>
      <c r="K410" s="118"/>
      <c r="L410" s="118">
        <v>1</v>
      </c>
      <c r="M410" s="118"/>
      <c r="N410" s="118">
        <v>1</v>
      </c>
      <c r="O410" s="142">
        <v>2</v>
      </c>
      <c r="P410" s="118" t="s">
        <v>1569</v>
      </c>
      <c r="Q410" s="118" t="s">
        <v>1216</v>
      </c>
      <c r="R410" s="118" t="s">
        <v>1568</v>
      </c>
      <c r="S410" s="118"/>
      <c r="T410" s="118" t="s">
        <v>1541</v>
      </c>
      <c r="U410" s="118"/>
      <c r="V410" s="118"/>
      <c r="W410" s="118" t="s">
        <v>1570</v>
      </c>
      <c r="X410" s="118"/>
      <c r="Y410" s="118" t="s">
        <v>1132</v>
      </c>
      <c r="Z410" s="118"/>
      <c r="AA410" s="118"/>
      <c r="AB410" s="118"/>
      <c r="AC410" s="145"/>
      <c r="AD410" s="573">
        <v>1</v>
      </c>
      <c r="AE410" s="573">
        <v>2</v>
      </c>
      <c r="AF410" s="472">
        <v>1</v>
      </c>
      <c r="AG410" s="231" t="s">
        <v>8133</v>
      </c>
      <c r="AH410" s="704" t="s">
        <v>8134</v>
      </c>
      <c r="AI410" s="122">
        <v>5</v>
      </c>
      <c r="AJ410" s="485" t="s">
        <v>5603</v>
      </c>
      <c r="AK410" s="204" t="s">
        <v>5558</v>
      </c>
      <c r="AL410" s="192" t="s">
        <v>3099</v>
      </c>
      <c r="AM410" s="227">
        <v>0</v>
      </c>
      <c r="AN410" s="150">
        <f>14+14</f>
        <v>28</v>
      </c>
      <c r="AO410" s="150">
        <v>14</v>
      </c>
      <c r="AP410" s="150">
        <v>14</v>
      </c>
      <c r="AQ410" s="150" t="s">
        <v>803</v>
      </c>
      <c r="AR410" s="150" t="s">
        <v>803</v>
      </c>
      <c r="AS410" s="150" t="s">
        <v>4544</v>
      </c>
      <c r="AT410" s="150" t="s">
        <v>24</v>
      </c>
      <c r="AU410" s="150" t="s">
        <v>4544</v>
      </c>
      <c r="AV410" s="150" t="s">
        <v>24</v>
      </c>
      <c r="AW410" s="150" t="s">
        <v>5549</v>
      </c>
      <c r="AX410" s="150">
        <v>1</v>
      </c>
      <c r="AY410" s="150">
        <v>1.5</v>
      </c>
      <c r="AZ410" s="753" t="s">
        <v>1814</v>
      </c>
      <c r="BA410" s="150">
        <v>1</v>
      </c>
      <c r="BB410" s="150" t="s">
        <v>5555</v>
      </c>
      <c r="BC410" s="150" t="s">
        <v>5546</v>
      </c>
      <c r="BD410" s="753" t="s">
        <v>7523</v>
      </c>
      <c r="BE410" s="753"/>
      <c r="BF410" s="150" t="s">
        <v>8131</v>
      </c>
      <c r="BG410" s="150" t="s">
        <v>4508</v>
      </c>
      <c r="BH410" s="588"/>
      <c r="BI410" s="588"/>
      <c r="BJ410" s="161">
        <v>1</v>
      </c>
      <c r="BK410" s="161" t="s">
        <v>5545</v>
      </c>
      <c r="BL410" s="161"/>
      <c r="BM410" s="161"/>
      <c r="BN410" s="161"/>
      <c r="BO410" s="161"/>
      <c r="BP410" s="161">
        <v>1</v>
      </c>
      <c r="BQ410" s="161"/>
      <c r="BR410" s="161"/>
      <c r="BS410" s="161"/>
      <c r="BT410" s="161"/>
      <c r="BU410" s="161"/>
      <c r="BV410" s="161"/>
      <c r="BW410" s="600" t="s">
        <v>7195</v>
      </c>
      <c r="BX410" s="185" t="s">
        <v>6657</v>
      </c>
      <c r="BY410" s="797" t="s">
        <v>7613</v>
      </c>
      <c r="BZ410" s="791" t="s">
        <v>803</v>
      </c>
      <c r="CA410" s="765">
        <v>1</v>
      </c>
      <c r="CB410" s="765" t="s">
        <v>7556</v>
      </c>
      <c r="CC410" s="765" t="s">
        <v>7384</v>
      </c>
      <c r="CD410" s="186" t="s">
        <v>1876</v>
      </c>
      <c r="CE410" s="150">
        <v>2</v>
      </c>
      <c r="CF410" s="400" t="s">
        <v>7579</v>
      </c>
      <c r="CG410" s="150" t="s">
        <v>5552</v>
      </c>
      <c r="CH410" s="753" t="s">
        <v>7310</v>
      </c>
      <c r="CI410" s="150" t="s">
        <v>5544</v>
      </c>
      <c r="CJ410" s="150"/>
      <c r="CK410" s="186" t="s">
        <v>5562</v>
      </c>
      <c r="CL410" s="150" t="s">
        <v>8296</v>
      </c>
      <c r="CM410" s="261" t="s">
        <v>5594</v>
      </c>
      <c r="CN410" s="620" t="s">
        <v>6627</v>
      </c>
      <c r="CO410" s="830">
        <v>68</v>
      </c>
      <c r="CP410" s="1357">
        <v>1</v>
      </c>
      <c r="CQ410" s="1357">
        <v>4</v>
      </c>
      <c r="CR410" s="1357">
        <v>1</v>
      </c>
      <c r="CS410" s="1357">
        <v>1</v>
      </c>
      <c r="CT410" s="1442"/>
      <c r="CU410" s="1443" t="s">
        <v>8104</v>
      </c>
      <c r="CV410" s="1444">
        <v>155</v>
      </c>
      <c r="CW410" s="1444">
        <v>144</v>
      </c>
      <c r="CX410" s="1102" t="s">
        <v>5576</v>
      </c>
      <c r="CY410" s="186">
        <v>65.98</v>
      </c>
      <c r="CZ410" s="186">
        <v>16.95</v>
      </c>
      <c r="DA410" s="186" t="s">
        <v>24</v>
      </c>
      <c r="DB410" s="1102" t="s">
        <v>5580</v>
      </c>
      <c r="DC410" s="1103">
        <v>7.54</v>
      </c>
      <c r="DD410" s="1103">
        <v>11.1</v>
      </c>
      <c r="DE410" s="1103" t="s">
        <v>24</v>
      </c>
      <c r="DF410" s="294" t="s">
        <v>8036</v>
      </c>
      <c r="DG410" s="295" t="s">
        <v>24</v>
      </c>
      <c r="DH410" s="121"/>
      <c r="DI410" s="121"/>
      <c r="DJ410" s="1169"/>
      <c r="DK410" s="121"/>
      <c r="DL410" s="1169"/>
      <c r="DM410" s="121"/>
      <c r="DN410" s="1169"/>
      <c r="DO410" s="121"/>
      <c r="DP410" s="288"/>
      <c r="DQ410" s="289"/>
      <c r="DR410" s="280"/>
      <c r="DS410" s="1168"/>
      <c r="DT410" s="1171"/>
      <c r="DU410" s="121"/>
      <c r="DV410" s="1169"/>
      <c r="DW410" s="121"/>
      <c r="DX410" s="1169"/>
      <c r="DY410" s="121"/>
      <c r="DZ410" s="1169"/>
      <c r="EA410" s="121"/>
      <c r="EB410" s="1216"/>
      <c r="EC410" s="1215"/>
      <c r="ED410" s="1169"/>
      <c r="EE410" s="121"/>
      <c r="EF410" s="1169"/>
      <c r="EG410" s="121"/>
      <c r="EH410" s="1169"/>
      <c r="EI410" s="121"/>
      <c r="EJ410" s="1169"/>
      <c r="EK410" s="121"/>
      <c r="EL410" s="1216"/>
      <c r="EM410" s="1215"/>
      <c r="EN410" s="1167"/>
      <c r="EO410" s="1165" t="s">
        <v>24</v>
      </c>
      <c r="EP410" s="122"/>
      <c r="EQ410" s="122"/>
      <c r="ER410" s="122"/>
      <c r="ES410" s="122"/>
      <c r="ET410" s="526"/>
      <c r="EU410" s="122"/>
      <c r="EV410" s="122"/>
      <c r="EW410" s="122"/>
      <c r="EX410" s="303"/>
      <c r="EY410" s="303"/>
      <c r="EZ410" s="1166"/>
      <c r="FA410" s="1164"/>
      <c r="FB410" s="1164"/>
      <c r="FC410" s="1164"/>
      <c r="FD410" s="1166"/>
      <c r="FE410" s="1164"/>
      <c r="FF410" s="1164"/>
      <c r="FG410" s="1164"/>
      <c r="FH410" s="313"/>
      <c r="FI410" s="313"/>
      <c r="FJ410" s="1165"/>
    </row>
    <row r="411" spans="1:166" ht="14" hidden="1" customHeight="1">
      <c r="A411" s="118" t="s">
        <v>963</v>
      </c>
      <c r="B411" s="616">
        <v>48</v>
      </c>
      <c r="C411" s="616"/>
      <c r="D411" s="616"/>
      <c r="E411" s="605" t="s">
        <v>2122</v>
      </c>
      <c r="F411" s="140" t="s">
        <v>2383</v>
      </c>
      <c r="G411" s="141">
        <v>2012</v>
      </c>
      <c r="H411" s="118">
        <v>22516520</v>
      </c>
      <c r="I411" s="118">
        <v>1</v>
      </c>
      <c r="J411" s="118" t="s">
        <v>1788</v>
      </c>
      <c r="K411" s="118" t="s">
        <v>23</v>
      </c>
      <c r="L411" s="118">
        <v>1</v>
      </c>
      <c r="M411" s="118"/>
      <c r="N411" s="118">
        <v>1</v>
      </c>
      <c r="O411" s="142">
        <v>2</v>
      </c>
      <c r="P411" s="118" t="s">
        <v>1220</v>
      </c>
      <c r="Q411" s="118" t="s">
        <v>1162</v>
      </c>
      <c r="R411" s="118" t="s">
        <v>1229</v>
      </c>
      <c r="S411" s="118"/>
      <c r="T411" s="118" t="s">
        <v>1488</v>
      </c>
      <c r="U411" s="118" t="s">
        <v>803</v>
      </c>
      <c r="V411" s="118"/>
      <c r="W411" s="118" t="s">
        <v>1501</v>
      </c>
      <c r="X411" s="118" t="s">
        <v>1602</v>
      </c>
      <c r="Y411" s="118" t="s">
        <v>1132</v>
      </c>
      <c r="Z411" s="118"/>
      <c r="AA411" s="118"/>
      <c r="AB411" s="118"/>
      <c r="AC411" s="145"/>
      <c r="AD411" s="573">
        <v>1</v>
      </c>
      <c r="AE411" s="573">
        <v>2</v>
      </c>
      <c r="AF411" s="159">
        <v>1</v>
      </c>
      <c r="AG411" s="160" t="s">
        <v>3365</v>
      </c>
      <c r="AH411" s="704"/>
      <c r="AI411" s="122">
        <v>4</v>
      </c>
      <c r="AJ411" s="485"/>
      <c r="AK411" s="204" t="s">
        <v>3622</v>
      </c>
      <c r="AL411" s="192">
        <v>2</v>
      </c>
      <c r="AM411" s="205">
        <v>0</v>
      </c>
      <c r="AN411" s="122">
        <f>Table66[[#This Row],[Data_Subjects_n_ptsd]]+Table66[[#This Row],[Data_Subjects_n_control]]</f>
        <v>18</v>
      </c>
      <c r="AO411" s="122">
        <v>9</v>
      </c>
      <c r="AP411" s="122">
        <v>9</v>
      </c>
      <c r="AQ411" s="122" t="s">
        <v>803</v>
      </c>
      <c r="AR411" s="122" t="s">
        <v>803</v>
      </c>
      <c r="AS411" s="122" t="s">
        <v>7496</v>
      </c>
      <c r="AT411" s="122" t="s">
        <v>24</v>
      </c>
      <c r="AU411" s="122" t="s">
        <v>7496</v>
      </c>
      <c r="AV411" s="122" t="s">
        <v>24</v>
      </c>
      <c r="AW411" s="122" t="s">
        <v>3624</v>
      </c>
      <c r="AX411" s="122">
        <v>10</v>
      </c>
      <c r="AY411" s="122">
        <v>3</v>
      </c>
      <c r="AZ411" s="754" t="s">
        <v>1814</v>
      </c>
      <c r="BA411" s="122">
        <v>1</v>
      </c>
      <c r="BB411" s="122" t="s">
        <v>3612</v>
      </c>
      <c r="BC411" s="122" t="s">
        <v>7537</v>
      </c>
      <c r="BD411" s="754" t="s">
        <v>7523</v>
      </c>
      <c r="BE411" s="754"/>
      <c r="BF411" s="122" t="s">
        <v>2912</v>
      </c>
      <c r="BG411" s="122" t="s">
        <v>3279</v>
      </c>
      <c r="BH411" s="588"/>
      <c r="BI411" s="588"/>
      <c r="BJ411" s="161">
        <v>1</v>
      </c>
      <c r="BK411" s="161"/>
      <c r="BL411" s="161"/>
      <c r="BM411" s="161"/>
      <c r="BN411" s="161"/>
      <c r="BO411" s="161"/>
      <c r="BP411" s="161"/>
      <c r="BQ411" s="161"/>
      <c r="BR411" s="161"/>
      <c r="BS411" s="161"/>
      <c r="BT411" s="161"/>
      <c r="BU411" s="161"/>
      <c r="BV411" s="161"/>
      <c r="BW411" s="596" t="s">
        <v>6701</v>
      </c>
      <c r="BX411" s="157" t="s">
        <v>6657</v>
      </c>
      <c r="BY411" s="797" t="s">
        <v>7613</v>
      </c>
      <c r="BZ411" s="791" t="s">
        <v>803</v>
      </c>
      <c r="CA411" s="765">
        <v>1</v>
      </c>
      <c r="CB411" s="765" t="s">
        <v>7556</v>
      </c>
      <c r="CC411" s="765" t="s">
        <v>7384</v>
      </c>
      <c r="CD411" s="150" t="s">
        <v>1876</v>
      </c>
      <c r="CE411" s="150">
        <v>2</v>
      </c>
      <c r="CF411" s="400" t="s">
        <v>7579</v>
      </c>
      <c r="CG411" s="150" t="s">
        <v>3626</v>
      </c>
      <c r="CH411" s="753" t="s">
        <v>7310</v>
      </c>
      <c r="CI411" s="150" t="s">
        <v>3613</v>
      </c>
      <c r="CJ411" s="150"/>
      <c r="CK411" s="150" t="s">
        <v>3224</v>
      </c>
      <c r="CL411" s="150" t="s">
        <v>8297</v>
      </c>
      <c r="CM411" s="258" t="s">
        <v>3628</v>
      </c>
      <c r="CN411" s="257" t="s">
        <v>6627</v>
      </c>
      <c r="CO411" s="829">
        <v>76</v>
      </c>
      <c r="CP411" s="829">
        <v>1</v>
      </c>
      <c r="CQ411" s="829">
        <v>1</v>
      </c>
      <c r="CR411" s="829">
        <v>0</v>
      </c>
      <c r="CS411" s="829">
        <v>1</v>
      </c>
      <c r="CT411" s="968"/>
      <c r="CU411" s="1289" t="s">
        <v>8104</v>
      </c>
      <c r="CV411" s="1295">
        <v>127</v>
      </c>
      <c r="CW411" s="1295">
        <v>116</v>
      </c>
      <c r="CX411" s="151" t="s">
        <v>3615</v>
      </c>
      <c r="CY411" s="150">
        <v>84.1815</v>
      </c>
      <c r="CZ411" s="150" t="s">
        <v>24</v>
      </c>
      <c r="DA411" s="150">
        <f>88.2574-Table66[[#This Row],[Data_Outcome1_M]]</f>
        <v>4.0759000000000043</v>
      </c>
      <c r="DB411" s="151" t="s">
        <v>3616</v>
      </c>
      <c r="DC411" s="150">
        <v>13.0784</v>
      </c>
      <c r="DD411" s="150" t="s">
        <v>24</v>
      </c>
      <c r="DE411" s="150">
        <f>15.2522-Table66[[#This Row],[Data_Outcome2_M]]</f>
        <v>2.1738</v>
      </c>
      <c r="DF411" s="294" t="s">
        <v>3620</v>
      </c>
      <c r="DG411" s="295" t="s">
        <v>3619</v>
      </c>
      <c r="DH411" s="526"/>
      <c r="DI411" s="122"/>
      <c r="DJ411" s="1164"/>
      <c r="DK411" s="122"/>
      <c r="DL411" s="1166"/>
      <c r="DM411" s="122"/>
      <c r="DN411" s="1164"/>
      <c r="DO411" s="122"/>
      <c r="DP411" s="290"/>
      <c r="DQ411" s="291"/>
      <c r="DR411" s="1168"/>
      <c r="DS411" s="865"/>
      <c r="DT411" s="1166"/>
      <c r="DU411" s="122"/>
      <c r="DV411" s="1164"/>
      <c r="DW411" s="122"/>
      <c r="DX411" s="1164"/>
      <c r="DY411" s="122"/>
      <c r="DZ411" s="1164"/>
      <c r="EA411" s="122"/>
      <c r="EB411" s="311"/>
      <c r="EC411" s="313"/>
      <c r="ED411" s="1164"/>
      <c r="EE411" s="122"/>
      <c r="EF411" s="1164"/>
      <c r="EG411" s="122"/>
      <c r="EH411" s="1164"/>
      <c r="EI411" s="122"/>
      <c r="EJ411" s="1164"/>
      <c r="EK411" s="122"/>
      <c r="EL411" s="311"/>
      <c r="EM411" s="313"/>
      <c r="EN411" s="1167"/>
      <c r="EO411" s="1165"/>
      <c r="EP411" s="1164"/>
      <c r="EQ411" s="1164"/>
      <c r="ER411" s="1164"/>
      <c r="ES411" s="1164"/>
      <c r="ET411" s="1166"/>
      <c r="EU411" s="1164"/>
      <c r="EV411" s="1164"/>
      <c r="EW411" s="1164"/>
      <c r="EX411" s="313"/>
      <c r="EY411" s="313"/>
      <c r="EZ411" s="1166"/>
      <c r="FA411" s="1164"/>
      <c r="FB411" s="1164"/>
      <c r="FC411" s="1164"/>
      <c r="FD411" s="1166"/>
      <c r="FE411" s="1164"/>
      <c r="FF411" s="1164"/>
      <c r="FG411" s="1164"/>
      <c r="FH411" s="313"/>
      <c r="FI411" s="313"/>
      <c r="FJ411" s="1165"/>
    </row>
    <row r="412" spans="1:166" ht="14" hidden="1" customHeight="1">
      <c r="A412" s="79" t="s">
        <v>1082</v>
      </c>
      <c r="B412" s="362">
        <v>92</v>
      </c>
      <c r="C412" s="362"/>
      <c r="D412" s="362">
        <v>24</v>
      </c>
      <c r="E412" s="604" t="s">
        <v>2061</v>
      </c>
      <c r="F412" s="124" t="s">
        <v>2313</v>
      </c>
      <c r="G412" s="125">
        <v>2013</v>
      </c>
      <c r="H412" s="79">
        <v>23011267</v>
      </c>
      <c r="I412" s="79">
        <v>1</v>
      </c>
      <c r="J412" s="126" t="s">
        <v>1836</v>
      </c>
      <c r="K412" s="127"/>
      <c r="L412" s="79">
        <v>0</v>
      </c>
      <c r="M412" s="79"/>
      <c r="N412" s="79">
        <v>0</v>
      </c>
      <c r="O412" s="128">
        <v>2</v>
      </c>
      <c r="P412" s="79" t="s">
        <v>1275</v>
      </c>
      <c r="Q412" s="79" t="s">
        <v>1162</v>
      </c>
      <c r="R412" s="79" t="s">
        <v>1127</v>
      </c>
      <c r="S412" s="79"/>
      <c r="T412" s="79" t="s">
        <v>1500</v>
      </c>
      <c r="U412" s="79"/>
      <c r="V412" s="79"/>
      <c r="W412" s="79" t="s">
        <v>1275</v>
      </c>
      <c r="X412" s="79" t="s">
        <v>1274</v>
      </c>
      <c r="Y412" s="79"/>
      <c r="Z412" s="79"/>
      <c r="AA412" s="79"/>
      <c r="AB412" s="79" t="s">
        <v>1124</v>
      </c>
      <c r="AC412" s="506" t="s">
        <v>6192</v>
      </c>
      <c r="AD412" s="573">
        <v>1</v>
      </c>
      <c r="AE412" s="573">
        <v>1</v>
      </c>
      <c r="AF412" s="154">
        <v>1</v>
      </c>
      <c r="AG412" s="1854" t="s">
        <v>6714</v>
      </c>
      <c r="AH412" s="704"/>
      <c r="AI412" s="121">
        <v>4</v>
      </c>
      <c r="AJ412" s="484"/>
      <c r="AK412" s="202" t="s">
        <v>6715</v>
      </c>
      <c r="AL412" s="192">
        <v>1</v>
      </c>
      <c r="AM412" s="215">
        <v>0</v>
      </c>
      <c r="AN412" s="134">
        <f>Table66[[#This Row],[Data_Subjects_n_ptsd]]+Table66[[#This Row],[Data_Subjects_n_control]]</f>
        <v>29</v>
      </c>
      <c r="AO412" s="134">
        <v>15</v>
      </c>
      <c r="AP412" s="134">
        <v>14</v>
      </c>
      <c r="AQ412" s="134" t="s">
        <v>803</v>
      </c>
      <c r="AR412" s="134" t="s">
        <v>803</v>
      </c>
      <c r="AS412" s="134" t="s">
        <v>7505</v>
      </c>
      <c r="AT412" s="134" t="s">
        <v>24</v>
      </c>
      <c r="AU412" s="134" t="s">
        <v>7505</v>
      </c>
      <c r="AV412" s="134" t="s">
        <v>24</v>
      </c>
      <c r="AW412" s="134" t="s">
        <v>6696</v>
      </c>
      <c r="AX412" s="134">
        <v>1</v>
      </c>
      <c r="AY412" s="134">
        <v>2</v>
      </c>
      <c r="AZ412" s="753" t="s">
        <v>1814</v>
      </c>
      <c r="BA412" s="134">
        <v>1</v>
      </c>
      <c r="BB412" s="134">
        <v>1</v>
      </c>
      <c r="BC412" s="134" t="s">
        <v>6697</v>
      </c>
      <c r="BD412" s="753" t="s">
        <v>7523</v>
      </c>
      <c r="BE412" s="753"/>
      <c r="BF412" s="134" t="s">
        <v>1130</v>
      </c>
      <c r="BG412" s="134" t="s">
        <v>6653</v>
      </c>
      <c r="BH412" s="594" t="s">
        <v>1917</v>
      </c>
      <c r="BI412" s="594" t="s">
        <v>1917</v>
      </c>
      <c r="BJ412" s="156" t="s">
        <v>1917</v>
      </c>
      <c r="BK412" s="156"/>
      <c r="BL412" s="156"/>
      <c r="BM412" s="156"/>
      <c r="BN412" s="156"/>
      <c r="BO412" s="156"/>
      <c r="BP412" s="156">
        <v>1</v>
      </c>
      <c r="BQ412" s="156"/>
      <c r="BR412" s="156"/>
      <c r="BS412" s="156"/>
      <c r="BT412" s="156"/>
      <c r="BU412" s="156"/>
      <c r="BV412" s="156"/>
      <c r="BW412" s="596" t="s">
        <v>6704</v>
      </c>
      <c r="BX412" s="162" t="s">
        <v>6657</v>
      </c>
      <c r="BY412" s="797" t="s">
        <v>7613</v>
      </c>
      <c r="BZ412" s="790" t="s">
        <v>803</v>
      </c>
      <c r="CA412" s="765">
        <v>1</v>
      </c>
      <c r="CB412" s="765" t="s">
        <v>7556</v>
      </c>
      <c r="CC412" s="765" t="s">
        <v>7384</v>
      </c>
      <c r="CD412" s="134" t="s">
        <v>1876</v>
      </c>
      <c r="CE412" s="134" t="s">
        <v>6702</v>
      </c>
      <c r="CF412" s="400" t="s">
        <v>7587</v>
      </c>
      <c r="CG412" s="134" t="s">
        <v>6698</v>
      </c>
      <c r="CH412" s="753" t="s">
        <v>7310</v>
      </c>
      <c r="CI412" s="134" t="s">
        <v>1121</v>
      </c>
      <c r="CJ412" s="134"/>
      <c r="CK412" s="134" t="s">
        <v>6699</v>
      </c>
      <c r="CL412" s="1841" t="s">
        <v>8297</v>
      </c>
      <c r="CM412" s="259" t="s">
        <v>6713</v>
      </c>
      <c r="CN412" s="454" t="s">
        <v>24</v>
      </c>
      <c r="CO412" s="828">
        <v>15</v>
      </c>
      <c r="CP412" s="828">
        <v>1</v>
      </c>
      <c r="CQ412" s="828">
        <v>1</v>
      </c>
      <c r="CR412" s="828">
        <v>1</v>
      </c>
      <c r="CS412" s="828">
        <v>-1</v>
      </c>
      <c r="CT412" s="967"/>
      <c r="CU412" s="1289" t="s">
        <v>8104</v>
      </c>
      <c r="CV412" s="1295">
        <v>71</v>
      </c>
      <c r="CW412" s="1295">
        <v>63</v>
      </c>
      <c r="CX412" s="138" t="s">
        <v>6705</v>
      </c>
      <c r="CY412" s="134">
        <v>3.6818900000000001</v>
      </c>
      <c r="CZ412" s="134" t="s">
        <v>24</v>
      </c>
      <c r="DA412" s="134">
        <f>5.12237-Table66[[#This Row],[Data_Outcome1_M]]</f>
        <v>1.44048</v>
      </c>
      <c r="DB412" s="138" t="s">
        <v>6706</v>
      </c>
      <c r="DC412" s="134">
        <v>32.806800000000003</v>
      </c>
      <c r="DD412" s="134" t="s">
        <v>24</v>
      </c>
      <c r="DE412" s="134">
        <f>37.7451-Table66[[#This Row],[Data_Outcome2_M]]</f>
        <v>4.9382999999999981</v>
      </c>
      <c r="DF412" s="642" t="s">
        <v>6711</v>
      </c>
      <c r="DG412" s="821" t="s">
        <v>2588</v>
      </c>
      <c r="DH412" s="121"/>
      <c r="DI412" s="121"/>
      <c r="DJ412" s="1169"/>
      <c r="DK412" s="121"/>
      <c r="DL412" s="1169"/>
      <c r="DM412" s="121"/>
      <c r="DN412" s="1169"/>
      <c r="DO412" s="121"/>
      <c r="DP412" s="434"/>
      <c r="DQ412" s="436"/>
      <c r="DR412" s="280"/>
      <c r="DS412" s="865"/>
      <c r="DT412" s="1171"/>
      <c r="DU412" s="121"/>
      <c r="DV412" s="1169"/>
      <c r="DW412" s="121"/>
      <c r="DX412" s="1169"/>
      <c r="DY412" s="121"/>
      <c r="DZ412" s="1169"/>
      <c r="EA412" s="121"/>
      <c r="EB412" s="304"/>
      <c r="EC412" s="312"/>
      <c r="ED412" s="1169"/>
      <c r="EE412" s="121"/>
      <c r="EF412" s="1169"/>
      <c r="EG412" s="121"/>
      <c r="EH412" s="1169"/>
      <c r="EI412" s="121"/>
      <c r="EJ412" s="1169"/>
      <c r="EK412" s="121"/>
      <c r="EL412" s="304"/>
      <c r="EM412" s="312"/>
      <c r="EN412" s="276"/>
      <c r="EO412" s="277"/>
      <c r="EP412" s="121"/>
      <c r="EQ412" s="121"/>
      <c r="ER412" s="121"/>
      <c r="ES412" s="121"/>
      <c r="ET412" s="1276"/>
      <c r="EU412" s="121"/>
      <c r="EV412" s="121"/>
      <c r="EW412" s="121"/>
      <c r="EX412" s="301"/>
      <c r="EY412" s="301"/>
      <c r="EZ412" s="1276"/>
      <c r="FA412" s="121"/>
      <c r="FB412" s="121"/>
      <c r="FC412" s="121"/>
      <c r="FD412" s="1276"/>
      <c r="FE412" s="121"/>
      <c r="FF412" s="121"/>
      <c r="FG412" s="121"/>
      <c r="FH412" s="301"/>
      <c r="FI412" s="301"/>
      <c r="FJ412" s="277"/>
    </row>
    <row r="413" spans="1:166" s="1780" customFormat="1" ht="14" hidden="1" customHeight="1">
      <c r="A413" s="1740" t="s">
        <v>1020</v>
      </c>
      <c r="B413" s="1741">
        <v>165</v>
      </c>
      <c r="C413" s="1741">
        <v>55</v>
      </c>
      <c r="D413" s="1741"/>
      <c r="E413" s="1742" t="s">
        <v>2093</v>
      </c>
      <c r="F413" s="1743" t="s">
        <v>2348</v>
      </c>
      <c r="G413" s="1744">
        <v>2008</v>
      </c>
      <c r="H413" s="1740">
        <v>18339410</v>
      </c>
      <c r="I413" s="1740">
        <v>1</v>
      </c>
      <c r="J413" s="1740">
        <v>1</v>
      </c>
      <c r="K413" s="1740"/>
      <c r="L413" s="1740">
        <v>1</v>
      </c>
      <c r="M413" s="1740"/>
      <c r="N413" s="1745">
        <v>1</v>
      </c>
      <c r="O413" s="1746">
        <v>2</v>
      </c>
      <c r="P413" s="1740" t="s">
        <v>1697</v>
      </c>
      <c r="Q413" s="1740" t="s">
        <v>1417</v>
      </c>
      <c r="R413" s="1740" t="s">
        <v>1127</v>
      </c>
      <c r="S413" s="1740"/>
      <c r="T413" s="1740" t="s">
        <v>1541</v>
      </c>
      <c r="U413" s="1740"/>
      <c r="V413" s="1740"/>
      <c r="W413" s="1740" t="s">
        <v>1416</v>
      </c>
      <c r="X413" s="1740"/>
      <c r="Y413" s="1740"/>
      <c r="Z413" s="1740"/>
      <c r="AA413" s="1740"/>
      <c r="AB413" s="1740"/>
      <c r="AC413" s="1747"/>
      <c r="AD413" s="1748">
        <v>1</v>
      </c>
      <c r="AE413" s="1748">
        <v>2</v>
      </c>
      <c r="AF413" s="1786">
        <v>0</v>
      </c>
      <c r="AG413" s="155" t="s">
        <v>8248</v>
      </c>
      <c r="AH413" s="1751"/>
      <c r="AI413" s="1747">
        <v>4</v>
      </c>
      <c r="AJ413" s="1752" t="s">
        <v>5108</v>
      </c>
      <c r="AK413" s="1753" t="s">
        <v>8247</v>
      </c>
      <c r="AL413" s="1754" t="s">
        <v>7948</v>
      </c>
      <c r="AM413" s="1755" t="s">
        <v>5061</v>
      </c>
      <c r="AN413" s="1747">
        <f>Table66[[#This Row],[Data_Subjects_n_ptsd]]+Table66[[#This Row],[Data_Subjects_n_control]]</f>
        <v>20</v>
      </c>
      <c r="AO413" s="1747">
        <v>10</v>
      </c>
      <c r="AP413" s="1747">
        <v>10</v>
      </c>
      <c r="AQ413" s="1747" t="s">
        <v>803</v>
      </c>
      <c r="AR413" s="1756" t="s">
        <v>803</v>
      </c>
      <c r="AS413" s="1756" t="s">
        <v>2468</v>
      </c>
      <c r="AT413" s="1756" t="s">
        <v>24</v>
      </c>
      <c r="AU413" s="1756" t="s">
        <v>2468</v>
      </c>
      <c r="AV413" s="1756" t="s">
        <v>24</v>
      </c>
      <c r="AW413" s="1756" t="s">
        <v>7642</v>
      </c>
      <c r="AX413" s="1747">
        <v>10</v>
      </c>
      <c r="AY413" s="1747">
        <v>3</v>
      </c>
      <c r="AZ413" s="1747" t="s">
        <v>1814</v>
      </c>
      <c r="BA413" s="1747">
        <v>1</v>
      </c>
      <c r="BB413" s="1747" t="s">
        <v>5083</v>
      </c>
      <c r="BC413" s="1747" t="s">
        <v>5068</v>
      </c>
      <c r="BD413" s="1747" t="s">
        <v>7523</v>
      </c>
      <c r="BE413" s="1747"/>
      <c r="BF413" s="1747" t="s">
        <v>2912</v>
      </c>
      <c r="BG413" s="1747" t="s">
        <v>5062</v>
      </c>
      <c r="BH413" s="1757"/>
      <c r="BI413" s="1757"/>
      <c r="BJ413" s="1758"/>
      <c r="BK413" s="1758"/>
      <c r="BL413" s="1758"/>
      <c r="BM413" s="1758"/>
      <c r="BN413" s="1758"/>
      <c r="BO413" s="1758"/>
      <c r="BP413" s="1758">
        <v>1</v>
      </c>
      <c r="BQ413" s="1758"/>
      <c r="BR413" s="1758"/>
      <c r="BS413" s="1758"/>
      <c r="BT413" s="1758"/>
      <c r="BU413" s="1758"/>
      <c r="BV413" s="1758"/>
      <c r="BW413" s="1759" t="s">
        <v>7357</v>
      </c>
      <c r="BX413" s="1760" t="s">
        <v>6657</v>
      </c>
      <c r="BY413" s="1761" t="s">
        <v>7617</v>
      </c>
      <c r="BZ413" s="1762" t="s">
        <v>803</v>
      </c>
      <c r="CA413" s="1763">
        <v>2</v>
      </c>
      <c r="CB413" s="1763" t="s">
        <v>7556</v>
      </c>
      <c r="CC413" s="1763" t="s">
        <v>7380</v>
      </c>
      <c r="CD413" s="1756" t="s">
        <v>1876</v>
      </c>
      <c r="CE413" s="1756" t="s">
        <v>5088</v>
      </c>
      <c r="CF413" s="1756" t="s">
        <v>7579</v>
      </c>
      <c r="CG413" s="1756" t="s">
        <v>5084</v>
      </c>
      <c r="CH413" s="1756" t="s">
        <v>1511</v>
      </c>
      <c r="CI413" s="1756" t="s">
        <v>5066</v>
      </c>
      <c r="CJ413" s="1756"/>
      <c r="CK413" s="1756" t="s">
        <v>5085</v>
      </c>
      <c r="CL413" s="1756" t="s">
        <v>8245</v>
      </c>
      <c r="CM413" s="1764" t="s">
        <v>5111</v>
      </c>
      <c r="CN413" s="1765" t="s">
        <v>23</v>
      </c>
      <c r="CO413" s="1766">
        <v>50</v>
      </c>
      <c r="CP413" s="1766">
        <v>2</v>
      </c>
      <c r="CQ413" s="1766">
        <v>2</v>
      </c>
      <c r="CR413" s="1766">
        <v>1</v>
      </c>
      <c r="CS413" s="1766">
        <v>1</v>
      </c>
      <c r="CT413" s="1767" t="s">
        <v>1917</v>
      </c>
      <c r="CU413" s="1768" t="s">
        <v>8104</v>
      </c>
      <c r="CV413" s="1769">
        <v>105</v>
      </c>
      <c r="CW413" s="1769">
        <v>96</v>
      </c>
      <c r="CX413" s="1770" t="s">
        <v>5101</v>
      </c>
      <c r="CY413" s="1756">
        <v>14.044499999999999</v>
      </c>
      <c r="CZ413" s="1756" t="s">
        <v>24</v>
      </c>
      <c r="DA413" s="1756">
        <f>16.5821-Table66[[#This Row],[Data_Outcome1_M]]</f>
        <v>2.5376000000000012</v>
      </c>
      <c r="DB413" s="1770" t="s">
        <v>5103</v>
      </c>
      <c r="DC413" s="1756">
        <v>83.876099999999994</v>
      </c>
      <c r="DD413" s="1756" t="s">
        <v>24</v>
      </c>
      <c r="DE413" s="1756">
        <f>86.4124-Table66[[#This Row],[Data_Outcome2_M]]</f>
        <v>2.5363000000000113</v>
      </c>
      <c r="DF413" s="1771"/>
      <c r="DG413" s="1772"/>
      <c r="DH413" s="1782"/>
      <c r="DI413" s="1740"/>
      <c r="DJ413" s="1774"/>
      <c r="DK413" s="1740"/>
      <c r="DL413" s="1773"/>
      <c r="DM413" s="1740"/>
      <c r="DN413" s="1774"/>
      <c r="DO413" s="1783"/>
      <c r="DP413" s="1771"/>
      <c r="DQ413" s="1772"/>
      <c r="DR413" s="1775"/>
      <c r="DS413" s="1776"/>
      <c r="DT413" s="1773"/>
      <c r="DU413" s="1740"/>
      <c r="DV413" s="1774"/>
      <c r="DW413" s="1740"/>
      <c r="DX413" s="1773"/>
      <c r="DY413" s="1740"/>
      <c r="DZ413" s="1774"/>
      <c r="EA413" s="1740"/>
      <c r="EB413" s="1777"/>
      <c r="EC413" s="1778"/>
      <c r="ED413" s="1773"/>
      <c r="EE413" s="1740"/>
      <c r="EF413" s="1774"/>
      <c r="EG413" s="1740"/>
      <c r="EH413" s="1773"/>
      <c r="EI413" s="1740"/>
      <c r="EJ413" s="1774"/>
      <c r="EK413" s="1740"/>
      <c r="EL413" s="1777"/>
      <c r="EM413" s="1778"/>
      <c r="EN413" s="1775"/>
      <c r="EO413" s="1779"/>
      <c r="EP413" s="1774"/>
      <c r="EQ413" s="1774"/>
      <c r="ER413" s="1774"/>
      <c r="ES413" s="1774"/>
      <c r="ET413" s="1773"/>
      <c r="EU413" s="1774"/>
      <c r="EV413" s="1774"/>
      <c r="EW413" s="1774"/>
      <c r="EX413" s="1778"/>
      <c r="EY413" s="1778"/>
      <c r="EZ413" s="1773"/>
      <c r="FA413" s="1774"/>
      <c r="FB413" s="1774"/>
      <c r="FC413" s="1774"/>
      <c r="FD413" s="1773"/>
      <c r="FE413" s="1774"/>
      <c r="FF413" s="1774"/>
      <c r="FG413" s="1774"/>
      <c r="FH413" s="1778"/>
      <c r="FI413" s="1778"/>
      <c r="FJ413" s="1779"/>
    </row>
    <row r="414" spans="1:166" ht="14" hidden="1" customHeight="1">
      <c r="A414" s="79" t="s">
        <v>1082</v>
      </c>
      <c r="B414" s="362">
        <v>92</v>
      </c>
      <c r="C414" s="362"/>
      <c r="D414" s="362">
        <v>24</v>
      </c>
      <c r="E414" s="604" t="s">
        <v>2061</v>
      </c>
      <c r="F414" s="124" t="s">
        <v>2313</v>
      </c>
      <c r="G414" s="125">
        <v>2013</v>
      </c>
      <c r="H414" s="79">
        <v>23011267</v>
      </c>
      <c r="I414" s="79">
        <v>1</v>
      </c>
      <c r="J414" s="126" t="s">
        <v>1836</v>
      </c>
      <c r="K414" s="127"/>
      <c r="L414" s="79">
        <v>0</v>
      </c>
      <c r="M414" s="79"/>
      <c r="N414" s="79">
        <v>0</v>
      </c>
      <c r="O414" s="128">
        <v>2</v>
      </c>
      <c r="P414" s="79" t="s">
        <v>1275</v>
      </c>
      <c r="Q414" s="79" t="s">
        <v>1162</v>
      </c>
      <c r="R414" s="79" t="s">
        <v>1127</v>
      </c>
      <c r="S414" s="79"/>
      <c r="T414" s="79" t="s">
        <v>1500</v>
      </c>
      <c r="U414" s="79"/>
      <c r="V414" s="79"/>
      <c r="W414" s="79" t="s">
        <v>1275</v>
      </c>
      <c r="X414" s="79" t="s">
        <v>1274</v>
      </c>
      <c r="Y414" s="79"/>
      <c r="Z414" s="79"/>
      <c r="AA414" s="79"/>
      <c r="AB414" s="79" t="s">
        <v>1124</v>
      </c>
      <c r="AC414" s="506" t="s">
        <v>6192</v>
      </c>
      <c r="AD414" s="573">
        <v>1</v>
      </c>
      <c r="AE414" s="573">
        <v>1</v>
      </c>
      <c r="AF414" s="154">
        <v>1</v>
      </c>
      <c r="AG414" s="160" t="s">
        <v>6714</v>
      </c>
      <c r="AH414" s="704"/>
      <c r="AI414" s="121">
        <v>4</v>
      </c>
      <c r="AJ414" s="484"/>
      <c r="AK414" s="202" t="s">
        <v>6715</v>
      </c>
      <c r="AL414" s="192">
        <v>1</v>
      </c>
      <c r="AM414" s="215">
        <v>0</v>
      </c>
      <c r="AN414" s="134">
        <f>Table66[[#This Row],[Data_Subjects_n_ptsd]]+Table66[[#This Row],[Data_Subjects_n_control]]</f>
        <v>29</v>
      </c>
      <c r="AO414" s="134">
        <v>15</v>
      </c>
      <c r="AP414" s="134">
        <v>14</v>
      </c>
      <c r="AQ414" s="134" t="s">
        <v>803</v>
      </c>
      <c r="AR414" s="134" t="s">
        <v>803</v>
      </c>
      <c r="AS414" s="134" t="s">
        <v>7505</v>
      </c>
      <c r="AT414" s="134" t="s">
        <v>24</v>
      </c>
      <c r="AU414" s="134" t="s">
        <v>7505</v>
      </c>
      <c r="AV414" s="134" t="s">
        <v>24</v>
      </c>
      <c r="AW414" s="134" t="s">
        <v>6696</v>
      </c>
      <c r="AX414" s="134">
        <v>1</v>
      </c>
      <c r="AY414" s="134">
        <v>2</v>
      </c>
      <c r="AZ414" s="753" t="s">
        <v>1814</v>
      </c>
      <c r="BA414" s="134">
        <v>1</v>
      </c>
      <c r="BB414" s="134">
        <v>1</v>
      </c>
      <c r="BC414" s="134" t="s">
        <v>6697</v>
      </c>
      <c r="BD414" s="753" t="s">
        <v>7523</v>
      </c>
      <c r="BE414" s="753"/>
      <c r="BF414" s="134" t="s">
        <v>1130</v>
      </c>
      <c r="BG414" s="134" t="s">
        <v>6653</v>
      </c>
      <c r="BH414" s="594" t="s">
        <v>1917</v>
      </c>
      <c r="BI414" s="594" t="s">
        <v>1917</v>
      </c>
      <c r="BJ414" s="156" t="s">
        <v>1917</v>
      </c>
      <c r="BK414" s="156"/>
      <c r="BL414" s="156"/>
      <c r="BM414" s="156"/>
      <c r="BN414" s="156"/>
      <c r="BO414" s="156"/>
      <c r="BP414" s="156">
        <v>1</v>
      </c>
      <c r="BQ414" s="156"/>
      <c r="BR414" s="156"/>
      <c r="BS414" s="156"/>
      <c r="BT414" s="156"/>
      <c r="BU414" s="156"/>
      <c r="BV414" s="156"/>
      <c r="BW414" s="596" t="s">
        <v>6704</v>
      </c>
      <c r="BX414" s="162" t="s">
        <v>6657</v>
      </c>
      <c r="BY414" s="797" t="s">
        <v>7613</v>
      </c>
      <c r="BZ414" s="790" t="s">
        <v>803</v>
      </c>
      <c r="CA414" s="765">
        <v>1</v>
      </c>
      <c r="CB414" s="765" t="s">
        <v>7556</v>
      </c>
      <c r="CC414" s="765" t="s">
        <v>7384</v>
      </c>
      <c r="CD414" s="134" t="s">
        <v>1876</v>
      </c>
      <c r="CE414" s="134" t="s">
        <v>6702</v>
      </c>
      <c r="CF414" s="400" t="s">
        <v>7587</v>
      </c>
      <c r="CG414" s="134" t="s">
        <v>6698</v>
      </c>
      <c r="CH414" s="753" t="s">
        <v>7310</v>
      </c>
      <c r="CI414" s="134" t="s">
        <v>1121</v>
      </c>
      <c r="CJ414" s="134"/>
      <c r="CK414" s="134" t="s">
        <v>6699</v>
      </c>
      <c r="CL414" s="1841" t="s">
        <v>8297</v>
      </c>
      <c r="CM414" s="259" t="s">
        <v>6713</v>
      </c>
      <c r="CN414" s="454" t="s">
        <v>24</v>
      </c>
      <c r="CO414" s="828">
        <v>15</v>
      </c>
      <c r="CP414" s="828">
        <v>1</v>
      </c>
      <c r="CQ414" s="828">
        <v>2</v>
      </c>
      <c r="CR414" s="828">
        <v>1</v>
      </c>
      <c r="CS414" s="828">
        <v>-1</v>
      </c>
      <c r="CT414" s="967"/>
      <c r="CU414" s="1289" t="s">
        <v>8104</v>
      </c>
      <c r="CV414" s="1295">
        <v>71</v>
      </c>
      <c r="CW414" s="1295">
        <v>63</v>
      </c>
      <c r="CX414" s="138" t="s">
        <v>6707</v>
      </c>
      <c r="CY414" s="134">
        <v>5.5684199999999997</v>
      </c>
      <c r="CZ414" s="134" t="s">
        <v>24</v>
      </c>
      <c r="DA414" s="134">
        <f>7.62602-Table66[[#This Row],[Data_Outcome1_M]]</f>
        <v>2.0575999999999999</v>
      </c>
      <c r="DB414" s="138" t="s">
        <v>6708</v>
      </c>
      <c r="DC414" s="134">
        <v>33.492899999999999</v>
      </c>
      <c r="DD414" s="134" t="s">
        <v>24</v>
      </c>
      <c r="DE414" s="134">
        <f>38.5683-Table66[[#This Row],[Data_Outcome2_M]]</f>
        <v>5.0754000000000019</v>
      </c>
      <c r="DF414" s="434" t="s">
        <v>6711</v>
      </c>
      <c r="DG414" s="436" t="s">
        <v>2588</v>
      </c>
      <c r="DH414" s="1276"/>
      <c r="DI414" s="121"/>
      <c r="DJ414" s="1169"/>
      <c r="DK414" s="121"/>
      <c r="DL414" s="1171"/>
      <c r="DM414" s="121"/>
      <c r="DN414" s="1169"/>
      <c r="DO414" s="121"/>
      <c r="DP414" s="288"/>
      <c r="DQ414" s="289"/>
      <c r="DR414" s="280"/>
      <c r="DS414" s="865"/>
      <c r="DT414" s="1174"/>
      <c r="DU414" s="424"/>
      <c r="DV414" s="1174"/>
      <c r="DW414" s="424"/>
      <c r="DX414" s="1174"/>
      <c r="DY414" s="121"/>
      <c r="DZ414" s="1169"/>
      <c r="EA414" s="121"/>
      <c r="EB414" s="304"/>
      <c r="EC414" s="312"/>
      <c r="ED414" s="1169"/>
      <c r="EE414" s="121"/>
      <c r="EF414" s="1169"/>
      <c r="EG414" s="121"/>
      <c r="EH414" s="1169"/>
      <c r="EI414" s="121"/>
      <c r="EJ414" s="1169"/>
      <c r="EK414" s="121"/>
      <c r="EL414" s="304"/>
      <c r="EM414" s="312"/>
      <c r="EN414" s="276"/>
      <c r="EO414" s="277"/>
      <c r="EP414" s="121"/>
      <c r="EQ414" s="121"/>
      <c r="ER414" s="121"/>
      <c r="ES414" s="121"/>
      <c r="ET414" s="1276"/>
      <c r="EU414" s="121"/>
      <c r="EV414" s="121"/>
      <c r="EW414" s="121"/>
      <c r="EX414" s="301"/>
      <c r="EY414" s="301"/>
      <c r="EZ414" s="1276"/>
      <c r="FA414" s="121"/>
      <c r="FB414" s="121"/>
      <c r="FC414" s="121"/>
      <c r="FD414" s="1276"/>
      <c r="FE414" s="121"/>
      <c r="FF414" s="121"/>
      <c r="FG414" s="121"/>
      <c r="FH414" s="301"/>
      <c r="FI414" s="301"/>
      <c r="FJ414" s="277"/>
    </row>
    <row r="415" spans="1:166" s="1780" customFormat="1" ht="14" hidden="1" customHeight="1">
      <c r="A415" s="1740" t="s">
        <v>1020</v>
      </c>
      <c r="B415" s="1741">
        <v>165</v>
      </c>
      <c r="C415" s="1741">
        <v>55</v>
      </c>
      <c r="D415" s="1741"/>
      <c r="E415" s="1742" t="s">
        <v>2093</v>
      </c>
      <c r="F415" s="1743" t="s">
        <v>2348</v>
      </c>
      <c r="G415" s="1744">
        <v>2008</v>
      </c>
      <c r="H415" s="1740">
        <v>18339410</v>
      </c>
      <c r="I415" s="1740">
        <v>1</v>
      </c>
      <c r="J415" s="1740">
        <v>1</v>
      </c>
      <c r="K415" s="1740"/>
      <c r="L415" s="1740">
        <v>1</v>
      </c>
      <c r="M415" s="1740"/>
      <c r="N415" s="1745">
        <v>1</v>
      </c>
      <c r="O415" s="1746">
        <v>2</v>
      </c>
      <c r="P415" s="1740" t="s">
        <v>1697</v>
      </c>
      <c r="Q415" s="1740" t="s">
        <v>1417</v>
      </c>
      <c r="R415" s="1740" t="s">
        <v>1127</v>
      </c>
      <c r="S415" s="1740"/>
      <c r="T415" s="1740" t="s">
        <v>1541</v>
      </c>
      <c r="U415" s="1740"/>
      <c r="V415" s="1740"/>
      <c r="W415" s="1740" t="s">
        <v>1416</v>
      </c>
      <c r="X415" s="1740"/>
      <c r="Y415" s="1740"/>
      <c r="Z415" s="1740"/>
      <c r="AA415" s="1740"/>
      <c r="AB415" s="1740"/>
      <c r="AC415" s="1747"/>
      <c r="AD415" s="1748">
        <v>1</v>
      </c>
      <c r="AE415" s="1748">
        <v>2</v>
      </c>
      <c r="AF415" s="1786">
        <v>0</v>
      </c>
      <c r="AG415" s="155" t="s">
        <v>8248</v>
      </c>
      <c r="AH415" s="1751"/>
      <c r="AI415" s="1747">
        <v>4</v>
      </c>
      <c r="AJ415" s="1752" t="s">
        <v>5108</v>
      </c>
      <c r="AK415" s="1753" t="s">
        <v>8247</v>
      </c>
      <c r="AL415" s="1754" t="s">
        <v>7948</v>
      </c>
      <c r="AM415" s="1755" t="s">
        <v>5061</v>
      </c>
      <c r="AN415" s="1747">
        <f>Table66[[#This Row],[Data_Subjects_n_ptsd]]+Table66[[#This Row],[Data_Subjects_n_control]]</f>
        <v>20</v>
      </c>
      <c r="AO415" s="1747">
        <v>10</v>
      </c>
      <c r="AP415" s="1747">
        <v>10</v>
      </c>
      <c r="AQ415" s="1747" t="s">
        <v>803</v>
      </c>
      <c r="AR415" s="1756" t="s">
        <v>803</v>
      </c>
      <c r="AS415" s="1756" t="s">
        <v>2468</v>
      </c>
      <c r="AT415" s="1756" t="s">
        <v>24</v>
      </c>
      <c r="AU415" s="1756" t="s">
        <v>2468</v>
      </c>
      <c r="AV415" s="1756" t="s">
        <v>24</v>
      </c>
      <c r="AW415" s="1756" t="s">
        <v>7642</v>
      </c>
      <c r="AX415" s="1747">
        <v>10</v>
      </c>
      <c r="AY415" s="1747">
        <v>3</v>
      </c>
      <c r="AZ415" s="1747" t="s">
        <v>1814</v>
      </c>
      <c r="BA415" s="1747">
        <v>1</v>
      </c>
      <c r="BB415" s="1747" t="s">
        <v>5083</v>
      </c>
      <c r="BC415" s="1747" t="s">
        <v>5068</v>
      </c>
      <c r="BD415" s="1747" t="s">
        <v>7523</v>
      </c>
      <c r="BE415" s="1747"/>
      <c r="BF415" s="1747" t="s">
        <v>2912</v>
      </c>
      <c r="BG415" s="1747" t="s">
        <v>5062</v>
      </c>
      <c r="BH415" s="1757"/>
      <c r="BI415" s="1757"/>
      <c r="BJ415" s="1758"/>
      <c r="BK415" s="1758"/>
      <c r="BL415" s="1758"/>
      <c r="BM415" s="1758"/>
      <c r="BN415" s="1758"/>
      <c r="BO415" s="1758"/>
      <c r="BP415" s="1758">
        <v>1</v>
      </c>
      <c r="BQ415" s="1758"/>
      <c r="BR415" s="1758"/>
      <c r="BS415" s="1758"/>
      <c r="BT415" s="1758"/>
      <c r="BU415" s="1758"/>
      <c r="BV415" s="1758"/>
      <c r="BW415" s="1759" t="s">
        <v>7357</v>
      </c>
      <c r="BX415" s="1760" t="s">
        <v>6657</v>
      </c>
      <c r="BY415" s="1761" t="s">
        <v>7617</v>
      </c>
      <c r="BZ415" s="1762" t="s">
        <v>803</v>
      </c>
      <c r="CA415" s="1763">
        <v>2</v>
      </c>
      <c r="CB415" s="1763" t="s">
        <v>7556</v>
      </c>
      <c r="CC415" s="1763" t="s">
        <v>7380</v>
      </c>
      <c r="CD415" s="1756" t="s">
        <v>1876</v>
      </c>
      <c r="CE415" s="1756" t="s">
        <v>5088</v>
      </c>
      <c r="CF415" s="1756" t="s">
        <v>7579</v>
      </c>
      <c r="CG415" s="1756" t="s">
        <v>5084</v>
      </c>
      <c r="CH415" s="1756" t="s">
        <v>1511</v>
      </c>
      <c r="CI415" s="1756" t="s">
        <v>5066</v>
      </c>
      <c r="CJ415" s="1756"/>
      <c r="CK415" s="1756" t="s">
        <v>5085</v>
      </c>
      <c r="CL415" s="1756" t="s">
        <v>8246</v>
      </c>
      <c r="CM415" s="1764" t="s">
        <v>5111</v>
      </c>
      <c r="CN415" s="1765" t="s">
        <v>23</v>
      </c>
      <c r="CO415" s="1766">
        <v>50</v>
      </c>
      <c r="CP415" s="1766">
        <v>2</v>
      </c>
      <c r="CQ415" s="1766">
        <v>4</v>
      </c>
      <c r="CR415" s="1766">
        <v>1</v>
      </c>
      <c r="CS415" s="1766">
        <v>-1</v>
      </c>
      <c r="CT415" s="1767" t="s">
        <v>1917</v>
      </c>
      <c r="CU415" s="1768" t="s">
        <v>8104</v>
      </c>
      <c r="CV415" s="1769">
        <v>105</v>
      </c>
      <c r="CW415" s="1769">
        <v>96</v>
      </c>
      <c r="CX415" s="1770" t="s">
        <v>5105</v>
      </c>
      <c r="CY415" s="1756">
        <v>45.124400000000001</v>
      </c>
      <c r="CZ415" s="1756" t="s">
        <v>24</v>
      </c>
      <c r="DA415" s="1756">
        <f>54.8495-Table66[[#This Row],[Data_Outcome1_M]]</f>
        <v>9.7250999999999976</v>
      </c>
      <c r="DB415" s="1770" t="s">
        <v>5107</v>
      </c>
      <c r="DC415" s="1756">
        <v>0</v>
      </c>
      <c r="DD415" s="1756" t="s">
        <v>24</v>
      </c>
      <c r="DE415" s="1756">
        <v>0</v>
      </c>
      <c r="DF415" s="1771"/>
      <c r="DG415" s="1772"/>
      <c r="DH415" s="1773"/>
      <c r="DI415" s="1774"/>
      <c r="DJ415" s="1774"/>
      <c r="DK415" s="1774"/>
      <c r="DL415" s="1773"/>
      <c r="DM415" s="1774"/>
      <c r="DN415" s="1774"/>
      <c r="DO415" s="1774"/>
      <c r="DP415" s="1771"/>
      <c r="DQ415" s="1772"/>
      <c r="DR415" s="1775"/>
      <c r="DS415" s="1776"/>
      <c r="DT415" s="1773"/>
      <c r="DU415" s="1774"/>
      <c r="DV415" s="1774"/>
      <c r="DW415" s="1774"/>
      <c r="DX415" s="1773"/>
      <c r="DY415" s="1774"/>
      <c r="DZ415" s="1774"/>
      <c r="EA415" s="1774"/>
      <c r="EB415" s="1777"/>
      <c r="EC415" s="1778"/>
      <c r="ED415" s="1773"/>
      <c r="EE415" s="1774"/>
      <c r="EF415" s="1774"/>
      <c r="EG415" s="1774"/>
      <c r="EH415" s="1773"/>
      <c r="EI415" s="1774"/>
      <c r="EJ415" s="1774"/>
      <c r="EK415" s="1774"/>
      <c r="EL415" s="1777"/>
      <c r="EM415" s="1778"/>
      <c r="EN415" s="1775"/>
      <c r="EO415" s="1779"/>
      <c r="EP415" s="1774"/>
      <c r="EQ415" s="1774"/>
      <c r="ER415" s="1774"/>
      <c r="ES415" s="1774"/>
      <c r="ET415" s="1773"/>
      <c r="EU415" s="1774"/>
      <c r="EV415" s="1774"/>
      <c r="EW415" s="1774"/>
      <c r="EX415" s="1778"/>
      <c r="EY415" s="1778"/>
      <c r="EZ415" s="1773"/>
      <c r="FA415" s="1774"/>
      <c r="FB415" s="1774"/>
      <c r="FC415" s="1774"/>
      <c r="FD415" s="1773"/>
      <c r="FE415" s="1774"/>
      <c r="FF415" s="1774"/>
      <c r="FG415" s="1774"/>
      <c r="FH415" s="1778"/>
      <c r="FI415" s="1778"/>
      <c r="FJ415" s="1779"/>
    </row>
    <row r="416" spans="1:166" ht="14" customHeight="1">
      <c r="A416" s="79" t="s">
        <v>1076</v>
      </c>
      <c r="B416" s="362">
        <v>100</v>
      </c>
      <c r="C416" s="362"/>
      <c r="D416" s="362">
        <v>29</v>
      </c>
      <c r="E416" s="604" t="s">
        <v>2064</v>
      </c>
      <c r="F416" s="124" t="s">
        <v>2316</v>
      </c>
      <c r="G416" s="125">
        <v>2015</v>
      </c>
      <c r="H416" s="79">
        <v>25979764</v>
      </c>
      <c r="I416" s="79">
        <v>1</v>
      </c>
      <c r="J416" s="126"/>
      <c r="K416" s="127"/>
      <c r="L416" s="164">
        <v>1</v>
      </c>
      <c r="M416" s="79"/>
      <c r="N416" s="164">
        <v>1</v>
      </c>
      <c r="O416" s="128">
        <v>2</v>
      </c>
      <c r="P416" s="79" t="s">
        <v>1293</v>
      </c>
      <c r="Q416" s="79" t="s">
        <v>23</v>
      </c>
      <c r="R416" s="79" t="s">
        <v>1127</v>
      </c>
      <c r="S416" s="79"/>
      <c r="T416" s="79" t="s">
        <v>1487</v>
      </c>
      <c r="U416" s="79"/>
      <c r="V416" s="79"/>
      <c r="W416" s="79" t="s">
        <v>1293</v>
      </c>
      <c r="X416" s="79" t="s">
        <v>1292</v>
      </c>
      <c r="Y416" s="79"/>
      <c r="Z416" s="79"/>
      <c r="AA416" s="79"/>
      <c r="AB416" s="79" t="s">
        <v>1294</v>
      </c>
      <c r="AC416" s="506" t="s">
        <v>6197</v>
      </c>
      <c r="AD416" s="573">
        <v>1</v>
      </c>
      <c r="AE416" s="573">
        <v>1</v>
      </c>
      <c r="AF416" s="154">
        <v>1</v>
      </c>
      <c r="AG416" s="155" t="s">
        <v>6719</v>
      </c>
      <c r="AH416" s="704"/>
      <c r="AI416" s="121">
        <v>4</v>
      </c>
      <c r="AJ416" s="484" t="s">
        <v>6727</v>
      </c>
      <c r="AK416" s="202" t="s">
        <v>6728</v>
      </c>
      <c r="AL416" s="192">
        <v>1</v>
      </c>
      <c r="AM416" s="215">
        <v>0</v>
      </c>
      <c r="AN416" s="134">
        <f>Table66[[#This Row],[Data_Subjects_n_ptsd]]+Table66[[#This Row],[Data_Subjects_n_control]]</f>
        <v>20</v>
      </c>
      <c r="AO416" s="134">
        <f>10</f>
        <v>10</v>
      </c>
      <c r="AP416" s="134">
        <f>10</f>
        <v>10</v>
      </c>
      <c r="AQ416" s="134" t="s">
        <v>803</v>
      </c>
      <c r="AR416" s="134" t="s">
        <v>803</v>
      </c>
      <c r="AS416" s="134" t="s">
        <v>2687</v>
      </c>
      <c r="AT416" s="134" t="s">
        <v>24</v>
      </c>
      <c r="AU416" s="134" t="s">
        <v>2687</v>
      </c>
      <c r="AV416" s="134" t="s">
        <v>24</v>
      </c>
      <c r="AW416" s="134" t="s">
        <v>6716</v>
      </c>
      <c r="AX416" s="134"/>
      <c r="AY416" s="134"/>
      <c r="AZ416" s="753" t="s">
        <v>1487</v>
      </c>
      <c r="BA416" s="134">
        <v>1</v>
      </c>
      <c r="BB416" s="134">
        <v>1</v>
      </c>
      <c r="BC416" s="134" t="s">
        <v>6717</v>
      </c>
      <c r="BD416" s="753" t="s">
        <v>7522</v>
      </c>
      <c r="BE416" s="753"/>
      <c r="BF416" s="134" t="s">
        <v>1130</v>
      </c>
      <c r="BG416" s="134" t="s">
        <v>6653</v>
      </c>
      <c r="BH416" s="594"/>
      <c r="BI416" s="594"/>
      <c r="BJ416" s="156">
        <v>1</v>
      </c>
      <c r="BK416" s="156"/>
      <c r="BL416" s="156"/>
      <c r="BM416" s="156"/>
      <c r="BN416" s="156"/>
      <c r="BO416" s="156"/>
      <c r="BP416" s="156"/>
      <c r="BQ416" s="156"/>
      <c r="BR416" s="156"/>
      <c r="BS416" s="156"/>
      <c r="BT416" s="156"/>
      <c r="BU416" s="156"/>
      <c r="BV416" s="156"/>
      <c r="BW416" s="595" t="s">
        <v>6720</v>
      </c>
      <c r="BX416" s="157" t="s">
        <v>6595</v>
      </c>
      <c r="BY416" s="797" t="s">
        <v>7615</v>
      </c>
      <c r="BZ416" s="789" t="s">
        <v>803</v>
      </c>
      <c r="CA416" s="765">
        <v>4</v>
      </c>
      <c r="CB416" s="765" t="s">
        <v>7556</v>
      </c>
      <c r="CC416" s="765" t="s">
        <v>7384</v>
      </c>
      <c r="CD416" s="134" t="s">
        <v>1876</v>
      </c>
      <c r="CE416" s="134">
        <v>2</v>
      </c>
      <c r="CF416" s="400" t="s">
        <v>7579</v>
      </c>
      <c r="CG416" s="134" t="s">
        <v>6721</v>
      </c>
      <c r="CH416" s="753" t="s">
        <v>1488</v>
      </c>
      <c r="CI416" s="134" t="s">
        <v>4416</v>
      </c>
      <c r="CJ416" s="134" t="s">
        <v>7465</v>
      </c>
      <c r="CK416" s="134" t="s">
        <v>6723</v>
      </c>
      <c r="CL416" s="134" t="s">
        <v>8276</v>
      </c>
      <c r="CM416" s="259" t="s">
        <v>6729</v>
      </c>
      <c r="CN416" s="454">
        <v>0</v>
      </c>
      <c r="CO416" s="828">
        <v>18</v>
      </c>
      <c r="CP416" s="828">
        <v>1</v>
      </c>
      <c r="CQ416" s="828">
        <v>3</v>
      </c>
      <c r="CR416" s="828">
        <v>1</v>
      </c>
      <c r="CS416" s="828">
        <v>1</v>
      </c>
      <c r="CT416" s="967"/>
      <c r="CU416" s="1289" t="s">
        <v>8104</v>
      </c>
      <c r="CV416" s="1295">
        <v>73</v>
      </c>
      <c r="CW416" s="1295">
        <v>65</v>
      </c>
      <c r="CX416" s="138" t="s">
        <v>6725</v>
      </c>
      <c r="CY416" s="134">
        <v>30.3169</v>
      </c>
      <c r="CZ416" s="134" t="s">
        <v>24</v>
      </c>
      <c r="DA416" s="134">
        <f>41.3706-Table66[[#This Row],[Data_Outcome1_M]]</f>
        <v>11.053700000000003</v>
      </c>
      <c r="DB416" s="138" t="s">
        <v>6726</v>
      </c>
      <c r="DC416" s="134">
        <v>17.9283</v>
      </c>
      <c r="DD416" s="134" t="s">
        <v>24</v>
      </c>
      <c r="DE416" s="134">
        <f>22.2374-Table66[[#This Row],[Data_Outcome2_M]]</f>
        <v>4.3091000000000008</v>
      </c>
      <c r="DF416" s="1113" t="s">
        <v>6729</v>
      </c>
      <c r="DG416" s="1123" t="s">
        <v>6730</v>
      </c>
      <c r="DH416" s="1171"/>
      <c r="DI416" s="121"/>
      <c r="DJ416" s="1169"/>
      <c r="DK416" s="121"/>
      <c r="DL416" s="1171"/>
      <c r="DM416" s="1169"/>
      <c r="DN416" s="1169"/>
      <c r="DO416" s="1169"/>
      <c r="DP416" s="288"/>
      <c r="DQ416" s="289"/>
      <c r="DR416" s="1168"/>
      <c r="DS416" s="865"/>
      <c r="DT416" s="1171" t="s">
        <v>24</v>
      </c>
      <c r="DU416" s="121"/>
      <c r="DV416" s="1169"/>
      <c r="DW416" s="121"/>
      <c r="DX416" s="1169"/>
      <c r="DY416" s="1169"/>
      <c r="DZ416" s="1169"/>
      <c r="EA416" s="1169"/>
      <c r="EB416" s="304"/>
      <c r="EC416" s="312"/>
      <c r="ED416" s="121"/>
      <c r="EE416" s="121"/>
      <c r="EF416" s="121"/>
      <c r="EG416" s="121"/>
      <c r="EH416" s="121"/>
      <c r="EI416" s="1169"/>
      <c r="EJ416" s="1169"/>
      <c r="EK416" s="1169"/>
      <c r="EL416" s="304"/>
      <c r="EM416" s="312"/>
      <c r="EN416" s="309"/>
      <c r="EO416" s="1170"/>
      <c r="EP416" s="121"/>
      <c r="EQ416" s="121"/>
      <c r="ER416" s="121"/>
      <c r="ES416" s="121"/>
      <c r="ET416" s="1276"/>
      <c r="EU416" s="1169"/>
      <c r="EV416" s="1169"/>
      <c r="EW416" s="1169"/>
      <c r="EX416" s="312"/>
      <c r="EY416" s="312"/>
      <c r="EZ416" s="1171"/>
      <c r="FA416" s="1169"/>
      <c r="FB416" s="1169"/>
      <c r="FC416" s="1169"/>
      <c r="FD416" s="1171"/>
      <c r="FE416" s="1169"/>
      <c r="FF416" s="1169"/>
      <c r="FG416" s="1169"/>
      <c r="FH416" s="312"/>
      <c r="FI416" s="312"/>
      <c r="FJ416" s="1170"/>
    </row>
    <row r="417" spans="1:166" ht="15" customHeight="1">
      <c r="A417" s="118" t="s">
        <v>1071</v>
      </c>
      <c r="B417" s="614">
        <v>16</v>
      </c>
      <c r="C417" s="614"/>
      <c r="D417" s="614"/>
      <c r="E417" s="605" t="s">
        <v>2067</v>
      </c>
      <c r="F417" s="140" t="s">
        <v>2319</v>
      </c>
      <c r="G417" s="141">
        <v>2012</v>
      </c>
      <c r="H417" s="118">
        <v>21918506</v>
      </c>
      <c r="I417" s="118">
        <v>1</v>
      </c>
      <c r="J417" s="118">
        <v>1</v>
      </c>
      <c r="K417" s="118"/>
      <c r="L417" s="118">
        <v>1</v>
      </c>
      <c r="M417" s="118"/>
      <c r="N417" s="118">
        <v>1</v>
      </c>
      <c r="O417" s="142">
        <v>2</v>
      </c>
      <c r="P417" s="118" t="s">
        <v>1306</v>
      </c>
      <c r="Q417" s="118" t="s">
        <v>1232</v>
      </c>
      <c r="R417" s="118" t="s">
        <v>1127</v>
      </c>
      <c r="S417" s="118"/>
      <c r="T417" s="118" t="s">
        <v>1487</v>
      </c>
      <c r="U417" s="118" t="s">
        <v>803</v>
      </c>
      <c r="V417" s="118" t="s">
        <v>23</v>
      </c>
      <c r="W417" s="118" t="s">
        <v>1305</v>
      </c>
      <c r="X417" s="118"/>
      <c r="Y417" s="118" t="s">
        <v>1304</v>
      </c>
      <c r="Z417" s="118"/>
      <c r="AA417" s="118"/>
      <c r="AB417" s="118"/>
      <c r="AC417" s="145"/>
      <c r="AD417" s="573">
        <v>1</v>
      </c>
      <c r="AE417" s="573">
        <v>2</v>
      </c>
      <c r="AF417" s="159">
        <v>1</v>
      </c>
      <c r="AG417" s="155" t="s">
        <v>7771</v>
      </c>
      <c r="AH417" s="704"/>
      <c r="AI417" s="122">
        <v>4</v>
      </c>
      <c r="AJ417" s="485"/>
      <c r="AK417" s="204" t="s">
        <v>2870</v>
      </c>
      <c r="AL417" s="192" t="s">
        <v>3099</v>
      </c>
      <c r="AM417" s="205">
        <v>1</v>
      </c>
      <c r="AN417" s="122">
        <f>Table66[[#This Row],[Data_Subjects_n_ptsd]]+Table66[[#This Row],[Data_Subjects_n_control]]</f>
        <v>23</v>
      </c>
      <c r="AO417" s="122">
        <v>13</v>
      </c>
      <c r="AP417" s="122">
        <v>10</v>
      </c>
      <c r="AQ417" s="122" t="s">
        <v>803</v>
      </c>
      <c r="AR417" s="122" t="s">
        <v>803</v>
      </c>
      <c r="AS417" s="122" t="s">
        <v>2796</v>
      </c>
      <c r="AT417" s="122" t="s">
        <v>24</v>
      </c>
      <c r="AU417" s="122" t="s">
        <v>2796</v>
      </c>
      <c r="AV417" s="122" t="s">
        <v>24</v>
      </c>
      <c r="AW417" s="122" t="s">
        <v>2799</v>
      </c>
      <c r="AX417" s="122"/>
      <c r="AY417" s="122"/>
      <c r="AZ417" s="754" t="s">
        <v>1487</v>
      </c>
      <c r="BA417" s="122">
        <v>1</v>
      </c>
      <c r="BB417" s="122">
        <v>1</v>
      </c>
      <c r="BC417" s="122" t="s">
        <v>2797</v>
      </c>
      <c r="BD417" s="754" t="s">
        <v>7526</v>
      </c>
      <c r="BE417" s="754"/>
      <c r="BF417" s="122" t="s">
        <v>1130</v>
      </c>
      <c r="BG417" s="122" t="s">
        <v>2798</v>
      </c>
      <c r="BH417" s="588"/>
      <c r="BI417" s="588"/>
      <c r="BJ417" s="161">
        <v>1</v>
      </c>
      <c r="BK417" s="161">
        <v>1</v>
      </c>
      <c r="BL417" s="161"/>
      <c r="BM417" s="161"/>
      <c r="BN417" s="161"/>
      <c r="BO417" s="161"/>
      <c r="BP417" s="161"/>
      <c r="BQ417" s="161"/>
      <c r="BR417" s="161"/>
      <c r="BS417" s="161"/>
      <c r="BT417" s="161"/>
      <c r="BU417" s="161"/>
      <c r="BV417" s="161"/>
      <c r="BW417" s="596" t="s">
        <v>2858</v>
      </c>
      <c r="BX417" s="157" t="s">
        <v>6595</v>
      </c>
      <c r="BY417" s="797" t="s">
        <v>7615</v>
      </c>
      <c r="BZ417" s="789" t="s">
        <v>803</v>
      </c>
      <c r="CA417" s="765">
        <v>4</v>
      </c>
      <c r="CB417" s="765" t="s">
        <v>7556</v>
      </c>
      <c r="CC417" s="765" t="s">
        <v>7384</v>
      </c>
      <c r="CD417" s="150" t="s">
        <v>1876</v>
      </c>
      <c r="CE417" s="150" t="s">
        <v>2814</v>
      </c>
      <c r="CF417" s="400" t="s">
        <v>7601</v>
      </c>
      <c r="CG417" s="150" t="s">
        <v>7452</v>
      </c>
      <c r="CH417" s="753" t="s">
        <v>1488</v>
      </c>
      <c r="CI417" s="150" t="s">
        <v>2471</v>
      </c>
      <c r="CJ417" s="150">
        <v>1</v>
      </c>
      <c r="CK417" s="150" t="s">
        <v>2803</v>
      </c>
      <c r="CL417" s="134" t="s">
        <v>6639</v>
      </c>
      <c r="CM417" s="258" t="s">
        <v>2864</v>
      </c>
      <c r="CN417" s="257" t="s">
        <v>6627</v>
      </c>
      <c r="CO417" s="829">
        <v>19</v>
      </c>
      <c r="CP417" s="829">
        <v>1</v>
      </c>
      <c r="CQ417" s="829">
        <v>4</v>
      </c>
      <c r="CR417" s="829">
        <v>1</v>
      </c>
      <c r="CS417" s="829">
        <v>-1</v>
      </c>
      <c r="CT417" s="968"/>
      <c r="CU417" s="1289" t="s">
        <v>8104</v>
      </c>
      <c r="CV417" s="1295">
        <v>74</v>
      </c>
      <c r="CW417" s="1295">
        <v>66</v>
      </c>
      <c r="CX417" s="151" t="s">
        <v>2820</v>
      </c>
      <c r="CY417" s="150">
        <v>174.30099999999999</v>
      </c>
      <c r="CZ417" s="150" t="s">
        <v>24</v>
      </c>
      <c r="DA417" s="150">
        <f>180.348-Table66[[#This Row],[Data_Outcome1_M]]</f>
        <v>6.0470000000000255</v>
      </c>
      <c r="DB417" s="151" t="s">
        <v>2815</v>
      </c>
      <c r="DC417" s="150">
        <v>128.66999999999999</v>
      </c>
      <c r="DD417" s="150" t="s">
        <v>24</v>
      </c>
      <c r="DE417" s="150">
        <f>150.53-Table66[[#This Row],[Data_Outcome2_M]]</f>
        <v>21.860000000000014</v>
      </c>
      <c r="DF417" s="294" t="s">
        <v>2859</v>
      </c>
      <c r="DG417" s="295" t="s">
        <v>2845</v>
      </c>
      <c r="DH417" s="1179"/>
      <c r="DI417" s="417"/>
      <c r="DJ417" s="1169"/>
      <c r="DK417" s="417"/>
      <c r="DL417" s="121"/>
      <c r="DM417" s="417"/>
      <c r="DN417" s="1169"/>
      <c r="DO417" s="1151"/>
      <c r="DP417" s="288"/>
      <c r="DQ417" s="289"/>
      <c r="DR417" s="1168"/>
      <c r="DS417" s="865"/>
      <c r="DT417" s="1171"/>
      <c r="DU417" s="417"/>
      <c r="DV417" s="1169"/>
      <c r="DW417" s="417"/>
      <c r="DX417" s="1169"/>
      <c r="DY417" s="417"/>
      <c r="DZ417" s="1169"/>
      <c r="EA417" s="417"/>
      <c r="EB417" s="304"/>
      <c r="EC417" s="312"/>
      <c r="ED417" s="1169"/>
      <c r="EE417" s="417"/>
      <c r="EF417" s="1169"/>
      <c r="EG417" s="417"/>
      <c r="EH417" s="1169"/>
      <c r="EI417" s="417"/>
      <c r="EJ417" s="1169"/>
      <c r="EK417" s="417"/>
      <c r="EL417" s="304"/>
      <c r="EM417" s="312"/>
      <c r="EN417" s="1167"/>
      <c r="EO417" s="1165"/>
      <c r="EP417" s="1164"/>
      <c r="EQ417" s="122"/>
      <c r="ER417" s="122"/>
      <c r="ES417" s="122"/>
      <c r="ET417" s="526"/>
      <c r="EU417" s="122"/>
      <c r="EV417" s="1164"/>
      <c r="EW417" s="1164"/>
      <c r="EX417" s="313"/>
      <c r="EY417" s="313"/>
      <c r="EZ417" s="526"/>
      <c r="FA417" s="122"/>
      <c r="FB417" s="122"/>
      <c r="FC417" s="122"/>
      <c r="FD417" s="526"/>
      <c r="FE417" s="122"/>
      <c r="FF417" s="1164"/>
      <c r="FG417" s="1164"/>
      <c r="FH417" s="313"/>
      <c r="FI417" s="313"/>
      <c r="FJ417" s="1165"/>
    </row>
    <row r="418" spans="1:166" ht="15" customHeight="1">
      <c r="A418" s="118" t="s">
        <v>1071</v>
      </c>
      <c r="B418" s="614">
        <v>16</v>
      </c>
      <c r="C418" s="614"/>
      <c r="D418" s="614"/>
      <c r="E418" s="605" t="s">
        <v>2067</v>
      </c>
      <c r="F418" s="140" t="s">
        <v>2319</v>
      </c>
      <c r="G418" s="141">
        <v>2012</v>
      </c>
      <c r="H418" s="118">
        <v>21918506</v>
      </c>
      <c r="I418" s="118">
        <v>1</v>
      </c>
      <c r="J418" s="118">
        <v>1</v>
      </c>
      <c r="K418" s="118"/>
      <c r="L418" s="118">
        <v>1</v>
      </c>
      <c r="M418" s="118"/>
      <c r="N418" s="118">
        <v>1</v>
      </c>
      <c r="O418" s="142">
        <v>2</v>
      </c>
      <c r="P418" s="118" t="s">
        <v>1306</v>
      </c>
      <c r="Q418" s="118" t="s">
        <v>1232</v>
      </c>
      <c r="R418" s="118" t="s">
        <v>1127</v>
      </c>
      <c r="S418" s="118"/>
      <c r="T418" s="118" t="s">
        <v>1487</v>
      </c>
      <c r="U418" s="118" t="s">
        <v>803</v>
      </c>
      <c r="V418" s="118" t="s">
        <v>23</v>
      </c>
      <c r="W418" s="118" t="s">
        <v>1305</v>
      </c>
      <c r="X418" s="118"/>
      <c r="Y418" s="118" t="s">
        <v>1304</v>
      </c>
      <c r="Z418" s="118"/>
      <c r="AA418" s="118"/>
      <c r="AB418" s="118"/>
      <c r="AC418" s="145"/>
      <c r="AD418" s="573">
        <v>1</v>
      </c>
      <c r="AE418" s="573">
        <v>2</v>
      </c>
      <c r="AF418" s="159">
        <v>1</v>
      </c>
      <c r="AG418" s="155" t="s">
        <v>7771</v>
      </c>
      <c r="AH418" s="704"/>
      <c r="AI418" s="122">
        <v>4</v>
      </c>
      <c r="AJ418" s="485"/>
      <c r="AK418" s="204" t="s">
        <v>2870</v>
      </c>
      <c r="AL418" s="192" t="s">
        <v>3099</v>
      </c>
      <c r="AM418" s="205">
        <v>1</v>
      </c>
      <c r="AN418" s="122">
        <f>Table66[[#This Row],[Data_Subjects_n_ptsd]]+Table66[[#This Row],[Data_Subjects_n_control]]</f>
        <v>23</v>
      </c>
      <c r="AO418" s="122">
        <v>12</v>
      </c>
      <c r="AP418" s="122">
        <v>11</v>
      </c>
      <c r="AQ418" s="122" t="s">
        <v>803</v>
      </c>
      <c r="AR418" s="122" t="s">
        <v>803</v>
      </c>
      <c r="AS418" s="122" t="s">
        <v>2796</v>
      </c>
      <c r="AT418" s="122" t="s">
        <v>24</v>
      </c>
      <c r="AU418" s="122" t="s">
        <v>2796</v>
      </c>
      <c r="AV418" s="122" t="s">
        <v>24</v>
      </c>
      <c r="AW418" s="122" t="s">
        <v>2799</v>
      </c>
      <c r="AX418" s="122"/>
      <c r="AY418" s="122"/>
      <c r="AZ418" s="754" t="s">
        <v>1487</v>
      </c>
      <c r="BA418" s="122">
        <v>1</v>
      </c>
      <c r="BB418" s="122">
        <v>1</v>
      </c>
      <c r="BC418" s="122" t="s">
        <v>2797</v>
      </c>
      <c r="BD418" s="754" t="s">
        <v>7526</v>
      </c>
      <c r="BE418" s="754"/>
      <c r="BF418" s="122" t="s">
        <v>1130</v>
      </c>
      <c r="BG418" s="122" t="s">
        <v>2798</v>
      </c>
      <c r="BH418" s="588"/>
      <c r="BI418" s="588"/>
      <c r="BJ418" s="161">
        <v>1</v>
      </c>
      <c r="BK418" s="161">
        <v>1</v>
      </c>
      <c r="BL418" s="161"/>
      <c r="BM418" s="161"/>
      <c r="BN418" s="161"/>
      <c r="BO418" s="161"/>
      <c r="BP418" s="161"/>
      <c r="BQ418" s="161"/>
      <c r="BR418" s="161"/>
      <c r="BS418" s="161"/>
      <c r="BT418" s="161"/>
      <c r="BU418" s="161"/>
      <c r="BV418" s="161"/>
      <c r="BW418" s="596" t="s">
        <v>2858</v>
      </c>
      <c r="BX418" s="157" t="s">
        <v>6595</v>
      </c>
      <c r="BY418" s="797" t="s">
        <v>7615</v>
      </c>
      <c r="BZ418" s="789" t="s">
        <v>803</v>
      </c>
      <c r="CA418" s="765">
        <v>4</v>
      </c>
      <c r="CB418" s="765" t="s">
        <v>7556</v>
      </c>
      <c r="CC418" s="765" t="s">
        <v>7384</v>
      </c>
      <c r="CD418" s="150" t="s">
        <v>1876</v>
      </c>
      <c r="CE418" s="150" t="s">
        <v>2814</v>
      </c>
      <c r="CF418" s="400" t="s">
        <v>7601</v>
      </c>
      <c r="CG418" s="150" t="s">
        <v>7452</v>
      </c>
      <c r="CH418" s="753" t="s">
        <v>1488</v>
      </c>
      <c r="CI418" s="150" t="s">
        <v>2471</v>
      </c>
      <c r="CJ418" s="150">
        <v>1</v>
      </c>
      <c r="CK418" s="150" t="s">
        <v>2803</v>
      </c>
      <c r="CL418" s="134" t="s">
        <v>6639</v>
      </c>
      <c r="CM418" s="258" t="s">
        <v>2864</v>
      </c>
      <c r="CN418" s="257" t="s">
        <v>6627</v>
      </c>
      <c r="CO418" s="829">
        <v>19</v>
      </c>
      <c r="CP418" s="829">
        <v>2</v>
      </c>
      <c r="CQ418" s="829">
        <v>4</v>
      </c>
      <c r="CR418" s="829">
        <v>1</v>
      </c>
      <c r="CS418" s="829">
        <v>-1</v>
      </c>
      <c r="CT418" s="968"/>
      <c r="CU418" s="1289" t="s">
        <v>8104</v>
      </c>
      <c r="CV418" s="1295">
        <v>75</v>
      </c>
      <c r="CW418" s="1295">
        <v>67</v>
      </c>
      <c r="CX418" s="151" t="s">
        <v>2826</v>
      </c>
      <c r="CY418" s="150">
        <v>180.23</v>
      </c>
      <c r="CZ418" s="150" t="s">
        <v>24</v>
      </c>
      <c r="DA418" s="150">
        <f>181.149-Table66[[#This Row],[Data_Outcome1_M]]</f>
        <v>0.91900000000001114</v>
      </c>
      <c r="DB418" s="151" t="s">
        <v>2825</v>
      </c>
      <c r="DC418" s="150">
        <v>119.54</v>
      </c>
      <c r="DD418" s="150" t="s">
        <v>24</v>
      </c>
      <c r="DE418" s="150">
        <f>140.23-Table66[[#This Row],[Data_Outcome2_M]]</f>
        <v>20.689999999999984</v>
      </c>
      <c r="DF418" s="290" t="s">
        <v>2860</v>
      </c>
      <c r="DG418" s="291" t="s">
        <v>2854</v>
      </c>
      <c r="DH418" s="1178"/>
      <c r="DI418" s="500"/>
      <c r="DJ418" s="1164"/>
      <c r="DK418" s="500"/>
      <c r="DL418" s="1166"/>
      <c r="DM418" s="500"/>
      <c r="DN418" s="1164"/>
      <c r="DO418" s="1150"/>
      <c r="DP418" s="290"/>
      <c r="DQ418" s="291"/>
      <c r="DR418" s="1168"/>
      <c r="DS418" s="865"/>
      <c r="DT418" s="1166"/>
      <c r="DU418" s="122"/>
      <c r="DV418" s="1164"/>
      <c r="DW418" s="122"/>
      <c r="DX418" s="1166"/>
      <c r="DY418" s="122"/>
      <c r="DZ418" s="1164"/>
      <c r="EA418" s="122"/>
      <c r="EB418" s="311"/>
      <c r="EC418" s="313"/>
      <c r="ED418" s="1166"/>
      <c r="EE418" s="122"/>
      <c r="EF418" s="1164"/>
      <c r="EG418" s="122"/>
      <c r="EH418" s="1166"/>
      <c r="EI418" s="122"/>
      <c r="EJ418" s="1164"/>
      <c r="EK418" s="122"/>
      <c r="EL418" s="311"/>
      <c r="EM418" s="313"/>
      <c r="EN418" s="1167"/>
      <c r="EO418" s="1165"/>
      <c r="EP418" s="1164"/>
      <c r="EQ418" s="122"/>
      <c r="ER418" s="122"/>
      <c r="ES418" s="122"/>
      <c r="ET418" s="526"/>
      <c r="EU418" s="122"/>
      <c r="EV418" s="1164"/>
      <c r="EW418" s="1164"/>
      <c r="EX418" s="313"/>
      <c r="EY418" s="313"/>
      <c r="EZ418" s="1166"/>
      <c r="FA418" s="1164"/>
      <c r="FB418" s="1164"/>
      <c r="FC418" s="1164"/>
      <c r="FD418" s="1166"/>
      <c r="FE418" s="1164"/>
      <c r="FF418" s="1164"/>
      <c r="FG418" s="1164"/>
      <c r="FH418" s="313"/>
      <c r="FI418" s="313"/>
      <c r="FJ418" s="1165"/>
    </row>
    <row r="419" spans="1:166" ht="15" customHeight="1">
      <c r="A419" s="118" t="s">
        <v>1071</v>
      </c>
      <c r="B419" s="614">
        <v>16</v>
      </c>
      <c r="C419" s="614"/>
      <c r="D419" s="614"/>
      <c r="E419" s="605" t="s">
        <v>2067</v>
      </c>
      <c r="F419" s="140" t="s">
        <v>2319</v>
      </c>
      <c r="G419" s="141">
        <v>2012</v>
      </c>
      <c r="H419" s="118">
        <v>21918506</v>
      </c>
      <c r="I419" s="118">
        <v>1</v>
      </c>
      <c r="J419" s="118">
        <v>1</v>
      </c>
      <c r="K419" s="118"/>
      <c r="L419" s="118">
        <v>1</v>
      </c>
      <c r="M419" s="118"/>
      <c r="N419" s="118">
        <v>1</v>
      </c>
      <c r="O419" s="142">
        <v>2</v>
      </c>
      <c r="P419" s="118" t="s">
        <v>1306</v>
      </c>
      <c r="Q419" s="118" t="s">
        <v>1232</v>
      </c>
      <c r="R419" s="118" t="s">
        <v>1127</v>
      </c>
      <c r="S419" s="118"/>
      <c r="T419" s="118" t="s">
        <v>1487</v>
      </c>
      <c r="U419" s="118" t="s">
        <v>803</v>
      </c>
      <c r="V419" s="118" t="s">
        <v>23</v>
      </c>
      <c r="W419" s="118" t="s">
        <v>1305</v>
      </c>
      <c r="X419" s="118"/>
      <c r="Y419" s="118" t="s">
        <v>1304</v>
      </c>
      <c r="Z419" s="118"/>
      <c r="AA419" s="118"/>
      <c r="AB419" s="118"/>
      <c r="AC419" s="145"/>
      <c r="AD419" s="573">
        <v>1</v>
      </c>
      <c r="AE419" s="573">
        <v>2</v>
      </c>
      <c r="AF419" s="159">
        <v>1</v>
      </c>
      <c r="AG419" s="155" t="s">
        <v>7771</v>
      </c>
      <c r="AH419" s="704"/>
      <c r="AI419" s="122">
        <v>4</v>
      </c>
      <c r="AJ419" s="485"/>
      <c r="AK419" s="204" t="s">
        <v>2870</v>
      </c>
      <c r="AL419" s="192" t="s">
        <v>3099</v>
      </c>
      <c r="AM419" s="205">
        <v>1</v>
      </c>
      <c r="AN419" s="122">
        <f>Table66[[#This Row],[Data_Subjects_n_ptsd]]+Table66[[#This Row],[Data_Subjects_n_control]]</f>
        <v>24</v>
      </c>
      <c r="AO419" s="122">
        <v>12</v>
      </c>
      <c r="AP419" s="122">
        <v>12</v>
      </c>
      <c r="AQ419" s="122" t="s">
        <v>803</v>
      </c>
      <c r="AR419" s="122" t="s">
        <v>803</v>
      </c>
      <c r="AS419" s="122" t="s">
        <v>2796</v>
      </c>
      <c r="AT419" s="122" t="s">
        <v>24</v>
      </c>
      <c r="AU419" s="122" t="s">
        <v>2796</v>
      </c>
      <c r="AV419" s="122" t="s">
        <v>24</v>
      </c>
      <c r="AW419" s="122" t="s">
        <v>2799</v>
      </c>
      <c r="AX419" s="122"/>
      <c r="AY419" s="122"/>
      <c r="AZ419" s="754" t="s">
        <v>1487</v>
      </c>
      <c r="BA419" s="122">
        <v>1</v>
      </c>
      <c r="BB419" s="122">
        <v>1</v>
      </c>
      <c r="BC419" s="122" t="s">
        <v>2797</v>
      </c>
      <c r="BD419" s="754" t="s">
        <v>7526</v>
      </c>
      <c r="BE419" s="754"/>
      <c r="BF419" s="122" t="s">
        <v>1130</v>
      </c>
      <c r="BG419" s="122" t="s">
        <v>2798</v>
      </c>
      <c r="BH419" s="588"/>
      <c r="BI419" s="588"/>
      <c r="BJ419" s="161">
        <v>1</v>
      </c>
      <c r="BK419" s="161">
        <v>1</v>
      </c>
      <c r="BL419" s="161"/>
      <c r="BM419" s="161"/>
      <c r="BN419" s="161"/>
      <c r="BO419" s="161"/>
      <c r="BP419" s="161"/>
      <c r="BQ419" s="161"/>
      <c r="BR419" s="161"/>
      <c r="BS419" s="161"/>
      <c r="BT419" s="161"/>
      <c r="BU419" s="161"/>
      <c r="BV419" s="161"/>
      <c r="BW419" s="596" t="s">
        <v>2858</v>
      </c>
      <c r="BX419" s="157" t="s">
        <v>6595</v>
      </c>
      <c r="BY419" s="797" t="s">
        <v>7615</v>
      </c>
      <c r="BZ419" s="789" t="s">
        <v>803</v>
      </c>
      <c r="CA419" s="765">
        <v>4</v>
      </c>
      <c r="CB419" s="765" t="s">
        <v>7556</v>
      </c>
      <c r="CC419" s="765" t="s">
        <v>7384</v>
      </c>
      <c r="CD419" s="150" t="s">
        <v>1876</v>
      </c>
      <c r="CE419" s="150" t="s">
        <v>2814</v>
      </c>
      <c r="CF419" s="400" t="s">
        <v>7601</v>
      </c>
      <c r="CG419" s="150" t="s">
        <v>7452</v>
      </c>
      <c r="CH419" s="753" t="s">
        <v>1488</v>
      </c>
      <c r="CI419" s="150" t="s">
        <v>2471</v>
      </c>
      <c r="CJ419" s="150">
        <v>1</v>
      </c>
      <c r="CK419" s="150" t="s">
        <v>2803</v>
      </c>
      <c r="CL419" s="134" t="s">
        <v>6639</v>
      </c>
      <c r="CM419" s="258" t="s">
        <v>2864</v>
      </c>
      <c r="CN419" s="257" t="s">
        <v>6627</v>
      </c>
      <c r="CO419" s="829">
        <v>19</v>
      </c>
      <c r="CP419" s="829">
        <v>3</v>
      </c>
      <c r="CQ419" s="829">
        <v>4</v>
      </c>
      <c r="CR419" s="829">
        <v>1</v>
      </c>
      <c r="CS419" s="829">
        <v>-1</v>
      </c>
      <c r="CT419" s="968"/>
      <c r="CU419" s="1289" t="s">
        <v>8104</v>
      </c>
      <c r="CV419" s="1295">
        <v>76</v>
      </c>
      <c r="CW419" s="1295">
        <v>68</v>
      </c>
      <c r="CX419" s="151" t="s">
        <v>2832</v>
      </c>
      <c r="CY419" s="150">
        <v>180.09700000000001</v>
      </c>
      <c r="CZ419" s="150" t="s">
        <v>24</v>
      </c>
      <c r="DA419" s="150">
        <f>181.068-Table66[[#This Row],[Data_Outcome1_M]]</f>
        <v>0.97100000000000364</v>
      </c>
      <c r="DB419" s="151" t="s">
        <v>2831</v>
      </c>
      <c r="DC419" s="150">
        <v>122.33</v>
      </c>
      <c r="DD419" s="150" t="s">
        <v>24</v>
      </c>
      <c r="DE419" s="150">
        <f>141.748-Table66[[#This Row],[Data_Outcome2_M]]</f>
        <v>19.417999999999992</v>
      </c>
      <c r="DF419" s="543" t="s">
        <v>2861</v>
      </c>
      <c r="DG419" s="545" t="s">
        <v>2862</v>
      </c>
      <c r="DH419" s="1178"/>
      <c r="DI419" s="500"/>
      <c r="DJ419" s="1164"/>
      <c r="DK419" s="500"/>
      <c r="DL419" s="526"/>
      <c r="DM419" s="500"/>
      <c r="DN419" s="1164"/>
      <c r="DO419" s="1150"/>
      <c r="DP419" s="290"/>
      <c r="DQ419" s="291"/>
      <c r="DR419" s="1168"/>
      <c r="DS419" s="865"/>
      <c r="DT419" s="1166"/>
      <c r="DU419" s="122"/>
      <c r="DV419" s="1164"/>
      <c r="DW419" s="122"/>
      <c r="DX419" s="1166"/>
      <c r="DY419" s="122"/>
      <c r="DZ419" s="1164"/>
      <c r="EA419" s="122"/>
      <c r="EB419" s="311"/>
      <c r="EC419" s="313"/>
      <c r="ED419" s="1166"/>
      <c r="EE419" s="122"/>
      <c r="EF419" s="1164"/>
      <c r="EG419" s="122"/>
      <c r="EH419" s="1166"/>
      <c r="EI419" s="122"/>
      <c r="EJ419" s="1164"/>
      <c r="EK419" s="122"/>
      <c r="EL419" s="311"/>
      <c r="EM419" s="313"/>
      <c r="EN419" s="1167"/>
      <c r="EO419" s="1165"/>
      <c r="EP419" s="1164"/>
      <c r="EQ419" s="122"/>
      <c r="ER419" s="122"/>
      <c r="ES419" s="122"/>
      <c r="ET419" s="526"/>
      <c r="EU419" s="122"/>
      <c r="EV419" s="1164"/>
      <c r="EW419" s="1164"/>
      <c r="EX419" s="313"/>
      <c r="EY419" s="313"/>
      <c r="EZ419" s="1166"/>
      <c r="FA419" s="1164"/>
      <c r="FB419" s="1164"/>
      <c r="FC419" s="1164"/>
      <c r="FD419" s="1166"/>
      <c r="FE419" s="1164"/>
      <c r="FF419" s="1164"/>
      <c r="FG419" s="1164"/>
      <c r="FH419" s="313"/>
      <c r="FI419" s="313"/>
      <c r="FJ419" s="1165"/>
    </row>
    <row r="420" spans="1:166" ht="14" customHeight="1">
      <c r="A420" s="118" t="s">
        <v>1071</v>
      </c>
      <c r="B420" s="614">
        <v>16</v>
      </c>
      <c r="C420" s="614"/>
      <c r="D420" s="614"/>
      <c r="E420" s="605" t="s">
        <v>2067</v>
      </c>
      <c r="F420" s="140" t="s">
        <v>2319</v>
      </c>
      <c r="G420" s="141">
        <v>2012</v>
      </c>
      <c r="H420" s="118">
        <v>21918506</v>
      </c>
      <c r="I420" s="118">
        <v>1</v>
      </c>
      <c r="J420" s="118">
        <v>1</v>
      </c>
      <c r="K420" s="118"/>
      <c r="L420" s="118">
        <v>1</v>
      </c>
      <c r="M420" s="118"/>
      <c r="N420" s="118">
        <v>1</v>
      </c>
      <c r="O420" s="142">
        <v>2</v>
      </c>
      <c r="P420" s="118" t="s">
        <v>1306</v>
      </c>
      <c r="Q420" s="118" t="s">
        <v>1232</v>
      </c>
      <c r="R420" s="118" t="s">
        <v>1127</v>
      </c>
      <c r="S420" s="118"/>
      <c r="T420" s="118" t="s">
        <v>1487</v>
      </c>
      <c r="U420" s="118" t="s">
        <v>803</v>
      </c>
      <c r="V420" s="118" t="s">
        <v>23</v>
      </c>
      <c r="W420" s="118" t="s">
        <v>1305</v>
      </c>
      <c r="X420" s="118"/>
      <c r="Y420" s="118" t="s">
        <v>1304</v>
      </c>
      <c r="Z420" s="118"/>
      <c r="AA420" s="118"/>
      <c r="AB420" s="118"/>
      <c r="AC420" s="145"/>
      <c r="AD420" s="573">
        <v>1</v>
      </c>
      <c r="AE420" s="573">
        <v>2</v>
      </c>
      <c r="AF420" s="159">
        <v>1</v>
      </c>
      <c r="AG420" s="155" t="s">
        <v>7771</v>
      </c>
      <c r="AH420" s="704"/>
      <c r="AI420" s="122">
        <v>4</v>
      </c>
      <c r="AJ420" s="485"/>
      <c r="AK420" s="204" t="s">
        <v>2870</v>
      </c>
      <c r="AL420" s="192" t="s">
        <v>3099</v>
      </c>
      <c r="AM420" s="205">
        <v>1</v>
      </c>
      <c r="AN420" s="122">
        <f>Table66[[#This Row],[Data_Subjects_n_ptsd]]+Table66[[#This Row],[Data_Subjects_n_control]]</f>
        <v>25</v>
      </c>
      <c r="AO420" s="122">
        <v>12</v>
      </c>
      <c r="AP420" s="122">
        <v>13</v>
      </c>
      <c r="AQ420" s="122" t="s">
        <v>803</v>
      </c>
      <c r="AR420" s="122" t="s">
        <v>803</v>
      </c>
      <c r="AS420" s="122" t="s">
        <v>2796</v>
      </c>
      <c r="AT420" s="122" t="s">
        <v>24</v>
      </c>
      <c r="AU420" s="122" t="s">
        <v>2796</v>
      </c>
      <c r="AV420" s="122" t="s">
        <v>24</v>
      </c>
      <c r="AW420" s="122" t="s">
        <v>2799</v>
      </c>
      <c r="AX420" s="122"/>
      <c r="AY420" s="122"/>
      <c r="AZ420" s="754" t="s">
        <v>1487</v>
      </c>
      <c r="BA420" s="122">
        <v>1</v>
      </c>
      <c r="BB420" s="122">
        <v>1</v>
      </c>
      <c r="BC420" s="122" t="s">
        <v>2797</v>
      </c>
      <c r="BD420" s="754" t="s">
        <v>7526</v>
      </c>
      <c r="BE420" s="754"/>
      <c r="BF420" s="122" t="s">
        <v>1130</v>
      </c>
      <c r="BG420" s="122" t="s">
        <v>2798</v>
      </c>
      <c r="BH420" s="588"/>
      <c r="BI420" s="588"/>
      <c r="BJ420" s="161">
        <v>1</v>
      </c>
      <c r="BK420" s="161">
        <v>1</v>
      </c>
      <c r="BL420" s="161"/>
      <c r="BM420" s="161"/>
      <c r="BN420" s="161"/>
      <c r="BO420" s="161"/>
      <c r="BP420" s="161"/>
      <c r="BQ420" s="161"/>
      <c r="BR420" s="161"/>
      <c r="BS420" s="161"/>
      <c r="BT420" s="161"/>
      <c r="BU420" s="161"/>
      <c r="BV420" s="161"/>
      <c r="BW420" s="596" t="s">
        <v>2858</v>
      </c>
      <c r="BX420" s="157" t="s">
        <v>6595</v>
      </c>
      <c r="BY420" s="797" t="s">
        <v>7615</v>
      </c>
      <c r="BZ420" s="789" t="s">
        <v>803</v>
      </c>
      <c r="CA420" s="765">
        <v>4</v>
      </c>
      <c r="CB420" s="765" t="s">
        <v>7556</v>
      </c>
      <c r="CC420" s="765" t="s">
        <v>7384</v>
      </c>
      <c r="CD420" s="150" t="s">
        <v>1876</v>
      </c>
      <c r="CE420" s="150" t="s">
        <v>2814</v>
      </c>
      <c r="CF420" s="400" t="s">
        <v>7601</v>
      </c>
      <c r="CG420" s="150" t="s">
        <v>7452</v>
      </c>
      <c r="CH420" s="753" t="s">
        <v>1488</v>
      </c>
      <c r="CI420" s="150" t="s">
        <v>2471</v>
      </c>
      <c r="CJ420" s="150">
        <v>1</v>
      </c>
      <c r="CK420" s="150" t="s">
        <v>2803</v>
      </c>
      <c r="CL420" s="134" t="s">
        <v>6639</v>
      </c>
      <c r="CM420" s="258" t="s">
        <v>2864</v>
      </c>
      <c r="CN420" s="257" t="s">
        <v>6627</v>
      </c>
      <c r="CO420" s="829">
        <v>19</v>
      </c>
      <c r="CP420" s="829">
        <v>4</v>
      </c>
      <c r="CQ420" s="829">
        <v>4</v>
      </c>
      <c r="CR420" s="829">
        <v>1</v>
      </c>
      <c r="CS420" s="829">
        <v>-1</v>
      </c>
      <c r="CT420" s="968"/>
      <c r="CU420" s="1289" t="s">
        <v>8104</v>
      </c>
      <c r="CV420" s="1295">
        <v>77</v>
      </c>
      <c r="CW420" s="1295">
        <v>69</v>
      </c>
      <c r="CX420" s="151" t="s">
        <v>2838</v>
      </c>
      <c r="CY420" s="150">
        <v>177.05600000000001</v>
      </c>
      <c r="CZ420" s="150" t="s">
        <v>24</v>
      </c>
      <c r="DA420" s="150">
        <f>179.221-Table66[[#This Row],[Data_Outcome1_M]]</f>
        <v>2.164999999999992</v>
      </c>
      <c r="DB420" s="151" t="s">
        <v>2837</v>
      </c>
      <c r="DC420" s="150">
        <v>98.701300000000003</v>
      </c>
      <c r="DD420" s="150" t="s">
        <v>24</v>
      </c>
      <c r="DE420" s="150">
        <f>117.316-Table66[[#This Row],[Data_Outcome2_M]]</f>
        <v>18.614699999999999</v>
      </c>
      <c r="DF420" s="543" t="s">
        <v>2863</v>
      </c>
      <c r="DG420" s="545" t="s">
        <v>2850</v>
      </c>
      <c r="DH420" s="526"/>
      <c r="DI420" s="122"/>
      <c r="DJ420" s="1164"/>
      <c r="DK420" s="122"/>
      <c r="DL420" s="526"/>
      <c r="DM420" s="1164"/>
      <c r="DN420" s="1164"/>
      <c r="DO420" s="1164"/>
      <c r="DP420" s="290"/>
      <c r="DQ420" s="291"/>
      <c r="DR420" s="1168"/>
      <c r="DS420" s="865"/>
      <c r="DT420" s="1166"/>
      <c r="DU420" s="122"/>
      <c r="DV420" s="1164"/>
      <c r="DW420" s="122"/>
      <c r="DX420" s="1166"/>
      <c r="DY420" s="1164"/>
      <c r="DZ420" s="1164"/>
      <c r="EA420" s="1164"/>
      <c r="EB420" s="311"/>
      <c r="EC420" s="313"/>
      <c r="ED420" s="1166"/>
      <c r="EE420" s="1164"/>
      <c r="EF420" s="1164"/>
      <c r="EG420" s="1164"/>
      <c r="EH420" s="1166"/>
      <c r="EI420" s="1164"/>
      <c r="EJ420" s="1164"/>
      <c r="EK420" s="1164"/>
      <c r="EL420" s="311"/>
      <c r="EM420" s="313"/>
      <c r="EN420" s="1167"/>
      <c r="EO420" s="1165"/>
      <c r="EP420" s="1164"/>
      <c r="EQ420" s="122"/>
      <c r="ER420" s="122"/>
      <c r="ES420" s="122"/>
      <c r="ET420" s="526"/>
      <c r="EU420" s="122"/>
      <c r="EV420" s="1164"/>
      <c r="EW420" s="1164"/>
      <c r="EX420" s="313"/>
      <c r="EY420" s="313"/>
      <c r="EZ420" s="1166"/>
      <c r="FA420" s="1164"/>
      <c r="FB420" s="1164"/>
      <c r="FC420" s="1164"/>
      <c r="FD420" s="1166"/>
      <c r="FE420" s="1164"/>
      <c r="FF420" s="1164"/>
      <c r="FG420" s="1164"/>
      <c r="FH420" s="313"/>
      <c r="FI420" s="313"/>
      <c r="FJ420" s="1165"/>
    </row>
    <row r="421" spans="1:166" ht="14" customHeight="1">
      <c r="A421" s="118" t="s">
        <v>152</v>
      </c>
      <c r="B421" s="614">
        <v>3</v>
      </c>
      <c r="C421" s="614"/>
      <c r="D421" s="614"/>
      <c r="E421" s="605" t="s">
        <v>1955</v>
      </c>
      <c r="F421" s="140" t="s">
        <v>2176</v>
      </c>
      <c r="G421" s="141">
        <v>1999</v>
      </c>
      <c r="H421" s="118">
        <v>10066999</v>
      </c>
      <c r="I421" s="118">
        <v>1</v>
      </c>
      <c r="J421" s="118"/>
      <c r="K421" s="118"/>
      <c r="L421" s="118">
        <v>1</v>
      </c>
      <c r="M421" s="118"/>
      <c r="N421" s="118">
        <v>1</v>
      </c>
      <c r="O421" s="142">
        <v>1</v>
      </c>
      <c r="P421" s="118" t="s">
        <v>11</v>
      </c>
      <c r="Q421" s="118" t="s">
        <v>1162</v>
      </c>
      <c r="R421" s="118" t="s">
        <v>25</v>
      </c>
      <c r="S421" s="118">
        <v>1</v>
      </c>
      <c r="T421" s="118"/>
      <c r="U421" s="118"/>
      <c r="V421" s="118"/>
      <c r="W421" s="118" t="s">
        <v>11</v>
      </c>
      <c r="X421" s="118" t="s">
        <v>24</v>
      </c>
      <c r="Y421" s="118" t="s">
        <v>13</v>
      </c>
      <c r="Z421" s="118"/>
      <c r="AA421" s="118"/>
      <c r="AB421" s="118"/>
      <c r="AC421" s="145"/>
      <c r="AD421" s="573">
        <v>1</v>
      </c>
      <c r="AE421" s="573">
        <v>2</v>
      </c>
      <c r="AF421" s="143">
        <v>1</v>
      </c>
      <c r="AG421" s="144" t="s">
        <v>24</v>
      </c>
      <c r="AH421" s="771" t="s">
        <v>7464</v>
      </c>
      <c r="AI421" s="145">
        <v>2</v>
      </c>
      <c r="AJ421" s="488"/>
      <c r="AK421" s="200"/>
      <c r="AL421" s="192">
        <v>1</v>
      </c>
      <c r="AM421" s="201">
        <v>0</v>
      </c>
      <c r="AN421" s="145">
        <v>24</v>
      </c>
      <c r="AO421" s="145">
        <v>12</v>
      </c>
      <c r="AP421" s="146">
        <v>12</v>
      </c>
      <c r="AQ421" s="145" t="s">
        <v>803</v>
      </c>
      <c r="AR421" s="145" t="s">
        <v>803</v>
      </c>
      <c r="AS421" s="253">
        <v>33.6</v>
      </c>
      <c r="AT421" s="253">
        <v>6.2</v>
      </c>
      <c r="AU421" s="465">
        <v>38.4</v>
      </c>
      <c r="AV421" s="253">
        <v>11.7</v>
      </c>
      <c r="AW421" s="253" t="s">
        <v>1874</v>
      </c>
      <c r="AX421" s="146"/>
      <c r="AY421" s="146"/>
      <c r="AZ421" s="756" t="s">
        <v>1874</v>
      </c>
      <c r="BA421" s="146" t="s">
        <v>24</v>
      </c>
      <c r="BB421" s="146" t="s">
        <v>24</v>
      </c>
      <c r="BC421" s="146" t="s">
        <v>2423</v>
      </c>
      <c r="BD421" s="756" t="s">
        <v>7521</v>
      </c>
      <c r="BE421" s="187">
        <v>0</v>
      </c>
      <c r="BF421" s="146" t="s">
        <v>2605</v>
      </c>
      <c r="BG421" s="146" t="s">
        <v>1875</v>
      </c>
      <c r="BH421" s="592"/>
      <c r="BI421" s="592"/>
      <c r="BJ421" s="147">
        <v>1</v>
      </c>
      <c r="BK421" s="147"/>
      <c r="BL421" s="147"/>
      <c r="BM421" s="147"/>
      <c r="BN421" s="147"/>
      <c r="BO421" s="147"/>
      <c r="BP421" s="147"/>
      <c r="BQ421" s="147"/>
      <c r="BR421" s="147"/>
      <c r="BS421" s="147"/>
      <c r="BT421" s="147"/>
      <c r="BU421" s="147"/>
      <c r="BV421" s="147"/>
      <c r="BW421" s="593" t="s">
        <v>2534</v>
      </c>
      <c r="BX421" s="148" t="s">
        <v>6601</v>
      </c>
      <c r="BY421" s="796" t="s">
        <v>7615</v>
      </c>
      <c r="BZ421" s="793" t="s">
        <v>803</v>
      </c>
      <c r="CA421" s="783">
        <v>4</v>
      </c>
      <c r="CB421" s="765" t="s">
        <v>7556</v>
      </c>
      <c r="CC421" s="783" t="s">
        <v>7380</v>
      </c>
      <c r="CD421" s="465" t="s">
        <v>1876</v>
      </c>
      <c r="CE421" s="253">
        <v>2</v>
      </c>
      <c r="CF421" s="785"/>
      <c r="CG421" s="636" t="s">
        <v>7463</v>
      </c>
      <c r="CH421" s="760" t="s">
        <v>1488</v>
      </c>
      <c r="CI421" s="253" t="s">
        <v>24</v>
      </c>
      <c r="CJ421" s="253">
        <v>1</v>
      </c>
      <c r="CK421" s="150" t="s">
        <v>2400</v>
      </c>
      <c r="CL421" s="150" t="s">
        <v>6638</v>
      </c>
      <c r="CM421" s="258" t="s">
        <v>2546</v>
      </c>
      <c r="CN421" s="257">
        <v>0</v>
      </c>
      <c r="CO421" s="829">
        <v>24</v>
      </c>
      <c r="CP421" s="829">
        <v>1</v>
      </c>
      <c r="CQ421" s="829">
        <v>7</v>
      </c>
      <c r="CR421" s="829">
        <v>1</v>
      </c>
      <c r="CS421" s="829">
        <v>1</v>
      </c>
      <c r="CT421" s="966" t="s">
        <v>7836</v>
      </c>
      <c r="CU421" s="1288" t="s">
        <v>8103</v>
      </c>
      <c r="CV421" s="1294">
        <v>13</v>
      </c>
      <c r="CW421" s="1294">
        <v>12</v>
      </c>
      <c r="CX421" s="151" t="s">
        <v>2458</v>
      </c>
      <c r="CY421" s="150">
        <f>AVERAGE(267.09,195.19)</f>
        <v>231.14</v>
      </c>
      <c r="CZ421" s="150">
        <f>STDEV(267.09,195.19)</f>
        <v>50.840977567312699</v>
      </c>
      <c r="DA421" s="150" t="s">
        <v>24</v>
      </c>
      <c r="DB421" s="151" t="s">
        <v>2457</v>
      </c>
      <c r="DC421" s="150">
        <f>AVERAGE(260.48,172.94)</f>
        <v>216.71</v>
      </c>
      <c r="DD421" s="150">
        <f>STDEV(260.48,172.94)</f>
        <v>61.900127625070326</v>
      </c>
      <c r="DE421" s="150" t="s">
        <v>24</v>
      </c>
      <c r="DF421" s="294" t="s">
        <v>2546</v>
      </c>
      <c r="DG421" s="295" t="s">
        <v>2538</v>
      </c>
      <c r="DH421" s="1169"/>
      <c r="DI421" s="1169"/>
      <c r="DJ421" s="1169"/>
      <c r="DK421" s="1169"/>
      <c r="DL421" s="1169"/>
      <c r="DM421" s="1169"/>
      <c r="DN421" s="1169"/>
      <c r="DO421" s="1169"/>
      <c r="DP421" s="290"/>
      <c r="DQ421" s="291"/>
      <c r="DR421" s="1168"/>
      <c r="DS421" s="865"/>
      <c r="DT421" s="1166"/>
      <c r="DU421" s="1164"/>
      <c r="DV421" s="1164"/>
      <c r="DW421" s="1164"/>
      <c r="DX421" s="1166"/>
      <c r="DY421" s="1164"/>
      <c r="DZ421" s="1164"/>
      <c r="EA421" s="1164"/>
      <c r="EB421" s="311"/>
      <c r="EC421" s="313"/>
      <c r="ED421" s="1166"/>
      <c r="EE421" s="1164"/>
      <c r="EF421" s="1164"/>
      <c r="EG421" s="1164"/>
      <c r="EH421" s="1166"/>
      <c r="EI421" s="122"/>
      <c r="EJ421" s="1164"/>
      <c r="EK421" s="122"/>
      <c r="EL421" s="311"/>
      <c r="EM421" s="313"/>
      <c r="EN421" s="1167"/>
      <c r="EO421" s="1165"/>
      <c r="EP421" s="1164"/>
      <c r="EQ421" s="1164"/>
      <c r="ER421" s="1164"/>
      <c r="ES421" s="1164"/>
      <c r="ET421" s="1166"/>
      <c r="EU421" s="1164"/>
      <c r="EV421" s="1164"/>
      <c r="EW421" s="1164"/>
      <c r="EX421" s="313"/>
      <c r="EY421" s="313"/>
      <c r="EZ421" s="1166"/>
      <c r="FA421" s="1164"/>
      <c r="FB421" s="1164"/>
      <c r="FC421" s="1164"/>
      <c r="FD421" s="1166"/>
      <c r="FE421" s="1164"/>
      <c r="FF421" s="1164"/>
      <c r="FG421" s="1164"/>
      <c r="FH421" s="313"/>
      <c r="FI421" s="313"/>
      <c r="FJ421" s="1165"/>
    </row>
    <row r="422" spans="1:166" ht="14" customHeight="1">
      <c r="A422" s="118" t="s">
        <v>152</v>
      </c>
      <c r="B422" s="614">
        <v>3</v>
      </c>
      <c r="C422" s="614"/>
      <c r="D422" s="614"/>
      <c r="E422" s="605" t="s">
        <v>1955</v>
      </c>
      <c r="F422" s="140" t="s">
        <v>2176</v>
      </c>
      <c r="G422" s="141">
        <v>1999</v>
      </c>
      <c r="H422" s="118">
        <v>10066999</v>
      </c>
      <c r="I422" s="118">
        <v>1</v>
      </c>
      <c r="J422" s="118"/>
      <c r="K422" s="118"/>
      <c r="L422" s="118">
        <v>1</v>
      </c>
      <c r="M422" s="118"/>
      <c r="N422" s="118">
        <v>1</v>
      </c>
      <c r="O422" s="142">
        <v>1</v>
      </c>
      <c r="P422" s="118" t="s">
        <v>11</v>
      </c>
      <c r="Q422" s="118" t="s">
        <v>1162</v>
      </c>
      <c r="R422" s="118" t="s">
        <v>25</v>
      </c>
      <c r="S422" s="118">
        <v>1</v>
      </c>
      <c r="T422" s="118"/>
      <c r="U422" s="118"/>
      <c r="V422" s="118"/>
      <c r="W422" s="118" t="s">
        <v>11</v>
      </c>
      <c r="X422" s="118" t="s">
        <v>24</v>
      </c>
      <c r="Y422" s="118" t="s">
        <v>13</v>
      </c>
      <c r="Z422" s="118"/>
      <c r="AA422" s="118"/>
      <c r="AB422" s="118"/>
      <c r="AC422" s="145"/>
      <c r="AD422" s="573">
        <v>1</v>
      </c>
      <c r="AE422" s="573">
        <v>2</v>
      </c>
      <c r="AF422" s="143">
        <v>1</v>
      </c>
      <c r="AG422" s="144" t="s">
        <v>24</v>
      </c>
      <c r="AH422" s="771" t="s">
        <v>7464</v>
      </c>
      <c r="AI422" s="145">
        <v>2</v>
      </c>
      <c r="AJ422" s="488"/>
      <c r="AK422" s="200"/>
      <c r="AL422" s="192">
        <v>1</v>
      </c>
      <c r="AM422" s="201">
        <v>0</v>
      </c>
      <c r="AN422" s="145">
        <v>24</v>
      </c>
      <c r="AO422" s="145">
        <v>12</v>
      </c>
      <c r="AP422" s="146">
        <v>12</v>
      </c>
      <c r="AQ422" s="145" t="s">
        <v>803</v>
      </c>
      <c r="AR422" s="145" t="s">
        <v>803</v>
      </c>
      <c r="AS422" s="253">
        <v>33.6</v>
      </c>
      <c r="AT422" s="253">
        <v>6.2</v>
      </c>
      <c r="AU422" s="465">
        <v>38.4</v>
      </c>
      <c r="AV422" s="253">
        <v>11.7</v>
      </c>
      <c r="AW422" s="253" t="s">
        <v>1874</v>
      </c>
      <c r="AX422" s="146"/>
      <c r="AY422" s="146"/>
      <c r="AZ422" s="756" t="s">
        <v>1874</v>
      </c>
      <c r="BA422" s="146" t="s">
        <v>24</v>
      </c>
      <c r="BB422" s="146" t="s">
        <v>24</v>
      </c>
      <c r="BC422" s="146" t="s">
        <v>2423</v>
      </c>
      <c r="BD422" s="756" t="s">
        <v>7521</v>
      </c>
      <c r="BE422" s="187">
        <v>0</v>
      </c>
      <c r="BF422" s="146" t="s">
        <v>2605</v>
      </c>
      <c r="BG422" s="146" t="s">
        <v>1875</v>
      </c>
      <c r="BH422" s="592"/>
      <c r="BI422" s="592"/>
      <c r="BJ422" s="147">
        <v>1</v>
      </c>
      <c r="BK422" s="147"/>
      <c r="BL422" s="147"/>
      <c r="BM422" s="147"/>
      <c r="BN422" s="147"/>
      <c r="BO422" s="147"/>
      <c r="BP422" s="147"/>
      <c r="BQ422" s="147"/>
      <c r="BR422" s="147"/>
      <c r="BS422" s="147"/>
      <c r="BT422" s="147"/>
      <c r="BU422" s="147"/>
      <c r="BV422" s="147"/>
      <c r="BW422" s="593" t="s">
        <v>2534</v>
      </c>
      <c r="BX422" s="148" t="s">
        <v>6601</v>
      </c>
      <c r="BY422" s="796" t="s">
        <v>7615</v>
      </c>
      <c r="BZ422" s="793" t="s">
        <v>803</v>
      </c>
      <c r="CA422" s="783">
        <v>4</v>
      </c>
      <c r="CB422" s="765" t="s">
        <v>7556</v>
      </c>
      <c r="CC422" s="783" t="s">
        <v>7380</v>
      </c>
      <c r="CD422" s="465" t="s">
        <v>1876</v>
      </c>
      <c r="CE422" s="253">
        <v>2</v>
      </c>
      <c r="CF422" s="785"/>
      <c r="CG422" s="636" t="s">
        <v>7463</v>
      </c>
      <c r="CH422" s="760" t="s">
        <v>1488</v>
      </c>
      <c r="CI422" s="253" t="s">
        <v>24</v>
      </c>
      <c r="CJ422" s="253">
        <v>1</v>
      </c>
      <c r="CK422" s="150" t="s">
        <v>2400</v>
      </c>
      <c r="CL422" s="150" t="s">
        <v>6638</v>
      </c>
      <c r="CM422" s="258" t="s">
        <v>2546</v>
      </c>
      <c r="CN422" s="257">
        <v>0</v>
      </c>
      <c r="CO422" s="829">
        <v>24</v>
      </c>
      <c r="CP422" s="829">
        <v>1</v>
      </c>
      <c r="CQ422" s="829">
        <v>8</v>
      </c>
      <c r="CR422" s="829">
        <v>1</v>
      </c>
      <c r="CS422" s="829">
        <v>-1</v>
      </c>
      <c r="CT422" s="966" t="s">
        <v>7837</v>
      </c>
      <c r="CU422" s="1288" t="s">
        <v>8103</v>
      </c>
      <c r="CV422" s="1294">
        <v>13</v>
      </c>
      <c r="CW422" s="1294">
        <v>12</v>
      </c>
      <c r="CX422" s="151" t="s">
        <v>2459</v>
      </c>
      <c r="CY422" s="150">
        <f>AVERAGE(241.68,204.87)</f>
        <v>223.27500000000001</v>
      </c>
      <c r="CZ422" s="150">
        <f>STDEV(241.68,204.87)</f>
        <v>26.028600615476815</v>
      </c>
      <c r="DA422" s="150" t="s">
        <v>24</v>
      </c>
      <c r="DB422" s="151" t="s">
        <v>2456</v>
      </c>
      <c r="DC422" s="150">
        <f>AVERAGE(273.86,190.18)</f>
        <v>232.02</v>
      </c>
      <c r="DD422" s="150">
        <f>STDEV(273.86,190.18)</f>
        <v>59.170695449690392</v>
      </c>
      <c r="DE422" s="150" t="s">
        <v>24</v>
      </c>
      <c r="DF422" s="294" t="s">
        <v>2546</v>
      </c>
      <c r="DG422" s="295" t="s">
        <v>2538</v>
      </c>
      <c r="DH422" s="526"/>
      <c r="DI422" s="122"/>
      <c r="DJ422" s="1164"/>
      <c r="DK422" s="122"/>
      <c r="DL422" s="1166"/>
      <c r="DM422" s="122"/>
      <c r="DN422" s="1164"/>
      <c r="DO422" s="122"/>
      <c r="DP422" s="290"/>
      <c r="DQ422" s="291"/>
      <c r="DR422" s="280"/>
      <c r="DS422" s="1191"/>
      <c r="DT422" s="1166"/>
      <c r="DU422" s="1164"/>
      <c r="DV422" s="1164"/>
      <c r="DW422" s="1164"/>
      <c r="DX422" s="1166"/>
      <c r="DY422" s="1164"/>
      <c r="DZ422" s="1164"/>
      <c r="EA422" s="1164"/>
      <c r="EB422" s="311"/>
      <c r="EC422" s="313"/>
      <c r="ED422" s="1166"/>
      <c r="EE422" s="1164"/>
      <c r="EF422" s="1164"/>
      <c r="EG422" s="1164"/>
      <c r="EH422" s="1166"/>
      <c r="EI422" s="1164"/>
      <c r="EJ422" s="1164"/>
      <c r="EK422" s="1164"/>
      <c r="EL422" s="311"/>
      <c r="EM422" s="313"/>
      <c r="EN422" s="1167"/>
      <c r="EO422" s="1165"/>
      <c r="EP422" s="122"/>
      <c r="EQ422" s="122"/>
      <c r="ER422" s="122"/>
      <c r="ES422" s="122"/>
      <c r="ET422" s="526"/>
      <c r="EU422" s="122"/>
      <c r="EV422" s="122"/>
      <c r="EW422" s="122"/>
      <c r="EX422" s="303"/>
      <c r="EY422" s="303"/>
      <c r="EZ422" s="1166"/>
      <c r="FA422" s="1164"/>
      <c r="FB422" s="1164"/>
      <c r="FC422" s="1164"/>
      <c r="FD422" s="1166"/>
      <c r="FE422" s="1164"/>
      <c r="FF422" s="1164"/>
      <c r="FG422" s="1164"/>
      <c r="FH422" s="313"/>
      <c r="FI422" s="313"/>
      <c r="FJ422" s="1165"/>
    </row>
    <row r="423" spans="1:166" ht="14" customHeight="1">
      <c r="A423" s="79" t="s">
        <v>153</v>
      </c>
      <c r="B423" s="768">
        <v>17</v>
      </c>
      <c r="C423" s="768"/>
      <c r="D423" s="768"/>
      <c r="E423" s="608" t="s">
        <v>1955</v>
      </c>
      <c r="F423" s="181" t="s">
        <v>2177</v>
      </c>
      <c r="G423" s="182">
        <v>1998</v>
      </c>
      <c r="H423" s="79">
        <v>9821567</v>
      </c>
      <c r="I423" s="79">
        <v>1</v>
      </c>
      <c r="J423" s="79"/>
      <c r="K423" s="79"/>
      <c r="L423" s="79">
        <v>1</v>
      </c>
      <c r="M423" s="79"/>
      <c r="N423" s="79">
        <v>1</v>
      </c>
      <c r="O423" s="128">
        <v>1</v>
      </c>
      <c r="P423" s="79" t="s">
        <v>468</v>
      </c>
      <c r="Q423" s="79" t="s">
        <v>1162</v>
      </c>
      <c r="R423" s="79" t="s">
        <v>25</v>
      </c>
      <c r="S423" s="79">
        <v>1</v>
      </c>
      <c r="T423" s="79"/>
      <c r="U423" s="79"/>
      <c r="V423" s="79"/>
      <c r="W423" s="79" t="s">
        <v>11</v>
      </c>
      <c r="X423" s="79" t="s">
        <v>24</v>
      </c>
      <c r="Y423" s="79" t="s">
        <v>13</v>
      </c>
      <c r="Z423" s="79"/>
      <c r="AA423" s="79"/>
      <c r="AB423" s="79"/>
      <c r="AC423" s="506"/>
      <c r="AD423" s="573">
        <v>1</v>
      </c>
      <c r="AE423" s="573">
        <v>2</v>
      </c>
      <c r="AF423" s="352">
        <v>1</v>
      </c>
      <c r="AG423" s="353" t="s">
        <v>8162</v>
      </c>
      <c r="AH423" s="963" t="s">
        <v>7806</v>
      </c>
      <c r="AI423" s="346">
        <v>0</v>
      </c>
      <c r="AJ423" s="487"/>
      <c r="AK423" s="459" t="s">
        <v>2881</v>
      </c>
      <c r="AL423" s="348">
        <v>1</v>
      </c>
      <c r="AM423" s="349">
        <v>0</v>
      </c>
      <c r="AN423" s="346">
        <f>Table66[[#This Row],[Data_Subjects_n_ptsd]]+Table66[[#This Row],[Data_Subjects_n_control]]</f>
        <v>48</v>
      </c>
      <c r="AO423" s="346">
        <f>34</f>
        <v>34</v>
      </c>
      <c r="AP423" s="346">
        <v>14</v>
      </c>
      <c r="AQ423" s="346" t="s">
        <v>24</v>
      </c>
      <c r="AR423" s="346" t="s">
        <v>24</v>
      </c>
      <c r="AS423" s="186">
        <v>46</v>
      </c>
      <c r="AT423" s="186">
        <v>3.4</v>
      </c>
      <c r="AU423" s="186">
        <v>44.5</v>
      </c>
      <c r="AV423" s="186">
        <v>3.9</v>
      </c>
      <c r="AW423" s="186" t="s">
        <v>1874</v>
      </c>
      <c r="AX423" s="346"/>
      <c r="AY423" s="346"/>
      <c r="AZ423" s="346" t="s">
        <v>1874</v>
      </c>
      <c r="BA423" s="346" t="s">
        <v>24</v>
      </c>
      <c r="BB423" s="346" t="s">
        <v>24</v>
      </c>
      <c r="BC423" s="346" t="s">
        <v>7804</v>
      </c>
      <c r="BD423" s="346" t="s">
        <v>7522</v>
      </c>
      <c r="BE423" s="187">
        <v>1</v>
      </c>
      <c r="BF423" s="346" t="s">
        <v>2875</v>
      </c>
      <c r="BG423" s="346" t="s">
        <v>2876</v>
      </c>
      <c r="BH423" s="598"/>
      <c r="BI423" s="598"/>
      <c r="BJ423" s="184">
        <v>1</v>
      </c>
      <c r="BK423" s="184"/>
      <c r="BL423" s="184"/>
      <c r="BM423" s="184"/>
      <c r="BN423" s="184"/>
      <c r="BO423" s="184"/>
      <c r="BP423" s="184"/>
      <c r="BQ423" s="184"/>
      <c r="BR423" s="184"/>
      <c r="BS423" s="184"/>
      <c r="BT423" s="184"/>
      <c r="BU423" s="184"/>
      <c r="BV423" s="184"/>
      <c r="BW423" s="600" t="s">
        <v>2879</v>
      </c>
      <c r="BX423" s="185" t="s">
        <v>6598</v>
      </c>
      <c r="BY423" s="812" t="s">
        <v>7615</v>
      </c>
      <c r="BZ423" s="791" t="s">
        <v>803</v>
      </c>
      <c r="CA423" s="765">
        <v>4</v>
      </c>
      <c r="CB423" s="765" t="s">
        <v>7556</v>
      </c>
      <c r="CC423" s="765" t="s">
        <v>7384</v>
      </c>
      <c r="CD423" s="186" t="s">
        <v>1876</v>
      </c>
      <c r="CE423" s="186">
        <v>3</v>
      </c>
      <c r="CF423" s="186"/>
      <c r="CG423" s="186" t="s">
        <v>7824</v>
      </c>
      <c r="CH423" s="186" t="s">
        <v>1488</v>
      </c>
      <c r="CI423" s="186" t="s">
        <v>24</v>
      </c>
      <c r="CJ423" s="186">
        <v>1</v>
      </c>
      <c r="CK423" s="186" t="s">
        <v>2878</v>
      </c>
      <c r="CL423" s="186" t="s">
        <v>6638</v>
      </c>
      <c r="CM423" s="261" t="s">
        <v>2906</v>
      </c>
      <c r="CN423" s="620" t="s">
        <v>6627</v>
      </c>
      <c r="CO423" s="830">
        <v>25</v>
      </c>
      <c r="CP423" s="830">
        <v>1</v>
      </c>
      <c r="CQ423" s="830">
        <v>1</v>
      </c>
      <c r="CR423" s="830">
        <v>1</v>
      </c>
      <c r="CS423" s="830">
        <v>1</v>
      </c>
      <c r="CT423" s="969"/>
      <c r="CU423" s="1291" t="s">
        <v>8102</v>
      </c>
      <c r="CV423" s="1295">
        <v>14</v>
      </c>
      <c r="CW423" s="1295">
        <v>13</v>
      </c>
      <c r="CX423" s="267" t="s">
        <v>7820</v>
      </c>
      <c r="CY423" s="186">
        <f>CY419-CY417</f>
        <v>5.7960000000000207</v>
      </c>
      <c r="CZ423" s="855" t="s">
        <v>24</v>
      </c>
      <c r="DA423" s="855" t="s">
        <v>24</v>
      </c>
      <c r="DB423" s="267" t="s">
        <v>7821</v>
      </c>
      <c r="DC423" s="186">
        <f>DC419-DC417</f>
        <v>-6.3399999999999892</v>
      </c>
      <c r="DD423" s="855" t="s">
        <v>24</v>
      </c>
      <c r="DE423" s="855" t="s">
        <v>24</v>
      </c>
      <c r="DF423" s="1813"/>
      <c r="DG423" s="295"/>
      <c r="DH423" s="1217"/>
      <c r="DI423" s="676"/>
      <c r="DJ423" s="1189"/>
      <c r="DK423" s="676"/>
      <c r="DL423" s="1192"/>
      <c r="DM423" s="676"/>
      <c r="DN423" s="1189"/>
      <c r="DO423" s="1152"/>
      <c r="DP423" s="294"/>
      <c r="DQ423" s="295"/>
      <c r="DR423" s="1168"/>
      <c r="DS423" s="865"/>
      <c r="DT423" s="1192"/>
      <c r="DU423" s="676"/>
      <c r="DV423" s="1189"/>
      <c r="DW423" s="676"/>
      <c r="DX423" s="1192"/>
      <c r="DY423" s="676"/>
      <c r="DZ423" s="1189"/>
      <c r="EA423" s="676"/>
      <c r="EB423" s="1193"/>
      <c r="EC423" s="1190"/>
      <c r="ED423" s="1189"/>
      <c r="EE423" s="676"/>
      <c r="EF423" s="1189"/>
      <c r="EG423" s="676"/>
      <c r="EH423" s="1192"/>
      <c r="EI423" s="676"/>
      <c r="EJ423" s="1189"/>
      <c r="EK423" s="676"/>
      <c r="EL423" s="1193"/>
      <c r="EM423" s="1190"/>
      <c r="EN423" s="319"/>
      <c r="EO423" s="1191"/>
      <c r="EP423" s="1278"/>
      <c r="EQ423" s="346"/>
      <c r="ER423" s="346"/>
      <c r="ES423" s="346"/>
      <c r="ET423" s="1278"/>
      <c r="EU423" s="346"/>
      <c r="EV423" s="346"/>
      <c r="EW423" s="346"/>
      <c r="EX423" s="315"/>
      <c r="EY423" s="315"/>
      <c r="EZ423" s="1192"/>
      <c r="FA423" s="1189"/>
      <c r="FB423" s="1189"/>
      <c r="FC423" s="1189"/>
      <c r="FD423" s="1192"/>
      <c r="FE423" s="1189"/>
      <c r="FF423" s="1189"/>
      <c r="FG423" s="1189"/>
      <c r="FH423" s="1190"/>
      <c r="FI423" s="1190"/>
      <c r="FJ423" s="1191"/>
    </row>
    <row r="424" spans="1:166" ht="14" customHeight="1">
      <c r="A424" s="79" t="s">
        <v>153</v>
      </c>
      <c r="B424" s="768">
        <v>17</v>
      </c>
      <c r="C424" s="768"/>
      <c r="D424" s="768"/>
      <c r="E424" s="608" t="s">
        <v>1955</v>
      </c>
      <c r="F424" s="181" t="s">
        <v>2177</v>
      </c>
      <c r="G424" s="182">
        <v>1998</v>
      </c>
      <c r="H424" s="79">
        <v>9821567</v>
      </c>
      <c r="I424" s="79">
        <v>1</v>
      </c>
      <c r="J424" s="79"/>
      <c r="K424" s="79"/>
      <c r="L424" s="79">
        <v>1</v>
      </c>
      <c r="M424" s="79"/>
      <c r="N424" s="79">
        <v>1</v>
      </c>
      <c r="O424" s="128">
        <v>1</v>
      </c>
      <c r="P424" s="79" t="s">
        <v>468</v>
      </c>
      <c r="Q424" s="79" t="s">
        <v>1162</v>
      </c>
      <c r="R424" s="79" t="s">
        <v>25</v>
      </c>
      <c r="S424" s="79">
        <v>1</v>
      </c>
      <c r="T424" s="79"/>
      <c r="U424" s="79"/>
      <c r="V424" s="79"/>
      <c r="W424" s="79" t="s">
        <v>11</v>
      </c>
      <c r="X424" s="79" t="s">
        <v>24</v>
      </c>
      <c r="Y424" s="79" t="s">
        <v>13</v>
      </c>
      <c r="Z424" s="79"/>
      <c r="AA424" s="79"/>
      <c r="AB424" s="79"/>
      <c r="AC424" s="506"/>
      <c r="AD424" s="573">
        <v>1</v>
      </c>
      <c r="AE424" s="573">
        <v>2</v>
      </c>
      <c r="AF424" s="352">
        <v>1</v>
      </c>
      <c r="AG424" s="353" t="s">
        <v>8162</v>
      </c>
      <c r="AH424" s="963" t="s">
        <v>7806</v>
      </c>
      <c r="AI424" s="346">
        <v>0</v>
      </c>
      <c r="AJ424" s="487"/>
      <c r="AK424" s="459" t="s">
        <v>2881</v>
      </c>
      <c r="AL424" s="348">
        <v>1</v>
      </c>
      <c r="AM424" s="349">
        <v>0</v>
      </c>
      <c r="AN424" s="346">
        <f>Table66[[#This Row],[Data_Subjects_n_ptsd]]+Table66[[#This Row],[Data_Subjects_n_control]]</f>
        <v>48</v>
      </c>
      <c r="AO424" s="346">
        <f>34</f>
        <v>34</v>
      </c>
      <c r="AP424" s="346">
        <v>14</v>
      </c>
      <c r="AQ424" s="346" t="s">
        <v>24</v>
      </c>
      <c r="AR424" s="346" t="s">
        <v>24</v>
      </c>
      <c r="AS424" s="186">
        <v>46</v>
      </c>
      <c r="AT424" s="186">
        <v>3.4</v>
      </c>
      <c r="AU424" s="186">
        <v>44.5</v>
      </c>
      <c r="AV424" s="186">
        <v>3.9</v>
      </c>
      <c r="AW424" s="186" t="s">
        <v>1874</v>
      </c>
      <c r="AX424" s="346"/>
      <c r="AY424" s="346"/>
      <c r="AZ424" s="346" t="s">
        <v>1874</v>
      </c>
      <c r="BA424" s="346" t="s">
        <v>24</v>
      </c>
      <c r="BB424" s="346" t="s">
        <v>24</v>
      </c>
      <c r="BC424" s="346" t="s">
        <v>7804</v>
      </c>
      <c r="BD424" s="346" t="s">
        <v>7522</v>
      </c>
      <c r="BE424" s="187">
        <v>1</v>
      </c>
      <c r="BF424" s="346" t="s">
        <v>2875</v>
      </c>
      <c r="BG424" s="346" t="s">
        <v>2876</v>
      </c>
      <c r="BH424" s="598"/>
      <c r="BI424" s="598"/>
      <c r="BJ424" s="184">
        <v>1</v>
      </c>
      <c r="BK424" s="184"/>
      <c r="BL424" s="184"/>
      <c r="BM424" s="184"/>
      <c r="BN424" s="184"/>
      <c r="BO424" s="184"/>
      <c r="BP424" s="184"/>
      <c r="BQ424" s="184"/>
      <c r="BR424" s="184"/>
      <c r="BS424" s="184"/>
      <c r="BT424" s="184"/>
      <c r="BU424" s="184"/>
      <c r="BV424" s="184"/>
      <c r="BW424" s="600" t="s">
        <v>2879</v>
      </c>
      <c r="BX424" s="185" t="s">
        <v>6598</v>
      </c>
      <c r="BY424" s="812" t="s">
        <v>7615</v>
      </c>
      <c r="BZ424" s="791" t="s">
        <v>803</v>
      </c>
      <c r="CA424" s="765">
        <v>4</v>
      </c>
      <c r="CB424" s="765" t="s">
        <v>7556</v>
      </c>
      <c r="CC424" s="765" t="s">
        <v>7384</v>
      </c>
      <c r="CD424" s="186" t="s">
        <v>1876</v>
      </c>
      <c r="CE424" s="186">
        <v>3</v>
      </c>
      <c r="CF424" s="186"/>
      <c r="CG424" s="186" t="s">
        <v>7825</v>
      </c>
      <c r="CH424" s="186" t="s">
        <v>1488</v>
      </c>
      <c r="CI424" s="186" t="s">
        <v>24</v>
      </c>
      <c r="CJ424" s="186">
        <v>1</v>
      </c>
      <c r="CK424" s="186" t="s">
        <v>2878</v>
      </c>
      <c r="CL424" s="186" t="s">
        <v>6638</v>
      </c>
      <c r="CM424" s="261" t="s">
        <v>2906</v>
      </c>
      <c r="CN424" s="620" t="s">
        <v>6627</v>
      </c>
      <c r="CO424" s="830">
        <v>25</v>
      </c>
      <c r="CP424" s="830">
        <v>1</v>
      </c>
      <c r="CQ424" s="830">
        <v>2</v>
      </c>
      <c r="CR424" s="830">
        <v>1</v>
      </c>
      <c r="CS424" s="830">
        <v>1</v>
      </c>
      <c r="CT424" s="969"/>
      <c r="CU424" s="1291" t="s">
        <v>8102</v>
      </c>
      <c r="CV424" s="1295">
        <v>14</v>
      </c>
      <c r="CW424" s="1295">
        <v>13</v>
      </c>
      <c r="CX424" s="267" t="s">
        <v>7819</v>
      </c>
      <c r="CY424" s="186">
        <f>CY421-CY419</f>
        <v>51.042999999999978</v>
      </c>
      <c r="CZ424" s="855" t="s">
        <v>24</v>
      </c>
      <c r="DA424" s="855" t="s">
        <v>24</v>
      </c>
      <c r="DB424" s="267" t="s">
        <v>7821</v>
      </c>
      <c r="DC424" s="186">
        <f>DC420-DC418</f>
        <v>-20.838700000000003</v>
      </c>
      <c r="DD424" s="855" t="s">
        <v>24</v>
      </c>
      <c r="DE424" s="855" t="s">
        <v>24</v>
      </c>
      <c r="DF424" s="1813"/>
      <c r="DG424" s="295"/>
      <c r="DH424" s="346"/>
      <c r="DI424" s="346"/>
      <c r="DJ424" s="1189"/>
      <c r="DK424" s="346"/>
      <c r="DL424" s="1192"/>
      <c r="DM424" s="1189"/>
      <c r="DN424" s="1189"/>
      <c r="DO424" s="1189"/>
      <c r="DP424" s="294"/>
      <c r="DQ424" s="295"/>
      <c r="DR424" s="1168"/>
      <c r="DS424" s="865"/>
      <c r="DT424" s="1192"/>
      <c r="DU424" s="346"/>
      <c r="DV424" s="1189"/>
      <c r="DW424" s="346"/>
      <c r="DX424" s="1192"/>
      <c r="DY424" s="346"/>
      <c r="DZ424" s="1189"/>
      <c r="EA424" s="346"/>
      <c r="EB424" s="1193"/>
      <c r="EC424" s="1190"/>
      <c r="ED424" s="1189"/>
      <c r="EE424" s="346"/>
      <c r="EF424" s="1189"/>
      <c r="EG424" s="346"/>
      <c r="EH424" s="1192"/>
      <c r="EI424" s="1189"/>
      <c r="EJ424" s="1189"/>
      <c r="EK424" s="1189"/>
      <c r="EL424" s="1193"/>
      <c r="EM424" s="1190"/>
      <c r="EN424" s="319"/>
      <c r="EO424" s="1191"/>
      <c r="EP424" s="1278"/>
      <c r="EQ424" s="346"/>
      <c r="ER424" s="346"/>
      <c r="ES424" s="346"/>
      <c r="ET424" s="1278"/>
      <c r="EU424" s="346"/>
      <c r="EV424" s="346"/>
      <c r="EW424" s="346"/>
      <c r="EX424" s="315"/>
      <c r="EY424" s="315"/>
      <c r="EZ424" s="1192"/>
      <c r="FA424" s="1189"/>
      <c r="FB424" s="1189"/>
      <c r="FC424" s="1189"/>
      <c r="FD424" s="1192"/>
      <c r="FE424" s="1189"/>
      <c r="FF424" s="1189"/>
      <c r="FG424" s="1189"/>
      <c r="FH424" s="1190"/>
      <c r="FI424" s="1190"/>
      <c r="FJ424" s="1191"/>
    </row>
    <row r="425" spans="1:166" ht="14" customHeight="1">
      <c r="A425" s="118" t="s">
        <v>153</v>
      </c>
      <c r="B425" s="614">
        <v>17</v>
      </c>
      <c r="C425" s="614"/>
      <c r="D425" s="614"/>
      <c r="E425" s="605" t="s">
        <v>1955</v>
      </c>
      <c r="F425" s="140" t="s">
        <v>2177</v>
      </c>
      <c r="G425" s="141">
        <v>1998</v>
      </c>
      <c r="H425" s="118">
        <v>9821567</v>
      </c>
      <c r="I425" s="118">
        <v>1</v>
      </c>
      <c r="J425" s="118"/>
      <c r="K425" s="118"/>
      <c r="L425" s="118">
        <v>1</v>
      </c>
      <c r="M425" s="118"/>
      <c r="N425" s="118">
        <v>1</v>
      </c>
      <c r="O425" s="142">
        <v>1</v>
      </c>
      <c r="P425" s="118" t="s">
        <v>468</v>
      </c>
      <c r="Q425" s="118" t="s">
        <v>1162</v>
      </c>
      <c r="R425" s="118" t="s">
        <v>25</v>
      </c>
      <c r="S425" s="118">
        <v>1</v>
      </c>
      <c r="T425" s="118"/>
      <c r="U425" s="118"/>
      <c r="V425" s="118"/>
      <c r="W425" s="118" t="s">
        <v>11</v>
      </c>
      <c r="X425" s="118" t="s">
        <v>24</v>
      </c>
      <c r="Y425" s="118" t="s">
        <v>13</v>
      </c>
      <c r="Z425" s="118"/>
      <c r="AA425" s="118"/>
      <c r="AB425" s="118"/>
      <c r="AC425" s="145"/>
      <c r="AD425" s="573">
        <v>1</v>
      </c>
      <c r="AE425" s="573">
        <v>2</v>
      </c>
      <c r="AF425" s="159">
        <v>1</v>
      </c>
      <c r="AG425" s="353" t="s">
        <v>8162</v>
      </c>
      <c r="AH425" s="887" t="s">
        <v>7806</v>
      </c>
      <c r="AI425" s="122">
        <v>0</v>
      </c>
      <c r="AJ425" s="485"/>
      <c r="AK425" s="204" t="s">
        <v>2909</v>
      </c>
      <c r="AL425" s="192">
        <v>1</v>
      </c>
      <c r="AM425" s="205">
        <v>0</v>
      </c>
      <c r="AN425" s="121">
        <f>Table66[[#This Row],[Data_Subjects_n_ptsd]]+Table66[[#This Row],[Data_Subjects_n_control]]</f>
        <v>48</v>
      </c>
      <c r="AO425" s="121">
        <f>34</f>
        <v>34</v>
      </c>
      <c r="AP425" s="121">
        <v>14</v>
      </c>
      <c r="AQ425" s="121" t="s">
        <v>24</v>
      </c>
      <c r="AR425" s="121" t="s">
        <v>24</v>
      </c>
      <c r="AS425" s="134">
        <v>46</v>
      </c>
      <c r="AT425" s="134">
        <v>3.4</v>
      </c>
      <c r="AU425" s="134">
        <v>44.5</v>
      </c>
      <c r="AV425" s="134">
        <v>3.9</v>
      </c>
      <c r="AW425" s="134" t="s">
        <v>1874</v>
      </c>
      <c r="AX425" s="121"/>
      <c r="AY425" s="121"/>
      <c r="AZ425" s="754" t="s">
        <v>1874</v>
      </c>
      <c r="BA425" s="121" t="s">
        <v>24</v>
      </c>
      <c r="BB425" s="121" t="s">
        <v>24</v>
      </c>
      <c r="BC425" s="121" t="s">
        <v>7804</v>
      </c>
      <c r="BD425" s="754" t="s">
        <v>7522</v>
      </c>
      <c r="BE425" s="187">
        <v>1</v>
      </c>
      <c r="BF425" s="122" t="s">
        <v>2875</v>
      </c>
      <c r="BG425" s="122" t="s">
        <v>2876</v>
      </c>
      <c r="BH425" s="588"/>
      <c r="BI425" s="588"/>
      <c r="BJ425" s="161">
        <v>1</v>
      </c>
      <c r="BK425" s="161"/>
      <c r="BL425" s="161"/>
      <c r="BM425" s="161"/>
      <c r="BN425" s="161"/>
      <c r="BO425" s="161"/>
      <c r="BP425" s="161"/>
      <c r="BQ425" s="161"/>
      <c r="BR425" s="161"/>
      <c r="BS425" s="161"/>
      <c r="BT425" s="161"/>
      <c r="BU425" s="161"/>
      <c r="BV425" s="161"/>
      <c r="BW425" s="596" t="s">
        <v>2880</v>
      </c>
      <c r="BX425" s="162" t="s">
        <v>6596</v>
      </c>
      <c r="BY425" s="797" t="s">
        <v>7615</v>
      </c>
      <c r="BZ425" s="790" t="s">
        <v>803</v>
      </c>
      <c r="CA425" s="765">
        <v>4</v>
      </c>
      <c r="CB425" s="765" t="s">
        <v>7556</v>
      </c>
      <c r="CC425" s="765" t="s">
        <v>7807</v>
      </c>
      <c r="CD425" s="150" t="s">
        <v>1876</v>
      </c>
      <c r="CE425" s="150">
        <v>3</v>
      </c>
      <c r="CF425" s="400"/>
      <c r="CG425" s="150" t="s">
        <v>2877</v>
      </c>
      <c r="CH425" s="753" t="s">
        <v>1488</v>
      </c>
      <c r="CI425" s="150" t="s">
        <v>24</v>
      </c>
      <c r="CJ425" s="150"/>
      <c r="CK425" s="150" t="s">
        <v>2878</v>
      </c>
      <c r="CL425" s="150" t="s">
        <v>6638</v>
      </c>
      <c r="CM425" s="258" t="s">
        <v>2908</v>
      </c>
      <c r="CN425" s="257">
        <v>0</v>
      </c>
      <c r="CO425" s="830">
        <v>25</v>
      </c>
      <c r="CP425" s="829">
        <v>1</v>
      </c>
      <c r="CQ425" s="829">
        <v>8</v>
      </c>
      <c r="CR425" s="829">
        <v>1</v>
      </c>
      <c r="CS425" s="829">
        <v>1</v>
      </c>
      <c r="CT425" s="968" t="s">
        <v>7836</v>
      </c>
      <c r="CU425" s="1291" t="s">
        <v>8102</v>
      </c>
      <c r="CV425" s="1295">
        <v>14</v>
      </c>
      <c r="CW425" s="1295">
        <v>13</v>
      </c>
      <c r="CX425" s="151" t="s">
        <v>2903</v>
      </c>
      <c r="CY425" s="150">
        <v>316.15499999999997</v>
      </c>
      <c r="CZ425" s="855" t="s">
        <v>24</v>
      </c>
      <c r="DA425" s="855" t="s">
        <v>24</v>
      </c>
      <c r="DB425" s="151" t="s">
        <v>2899</v>
      </c>
      <c r="DC425" s="150">
        <v>169.233</v>
      </c>
      <c r="DD425" s="855" t="s">
        <v>24</v>
      </c>
      <c r="DE425" s="855" t="s">
        <v>24</v>
      </c>
      <c r="DF425" s="1113" t="s">
        <v>2907</v>
      </c>
      <c r="DG425" s="295"/>
      <c r="DH425" s="526"/>
      <c r="DI425" s="122"/>
      <c r="DJ425" s="1164"/>
      <c r="DK425" s="122"/>
      <c r="DL425" s="1166"/>
      <c r="DM425" s="1164"/>
      <c r="DN425" s="1164"/>
      <c r="DO425" s="1164"/>
      <c r="DP425" s="290"/>
      <c r="DQ425" s="291"/>
      <c r="DR425" s="1168"/>
      <c r="DS425" s="865"/>
      <c r="DT425" s="1166"/>
      <c r="DU425" s="122"/>
      <c r="DV425" s="1164"/>
      <c r="DW425" s="122"/>
      <c r="DX425" s="1166"/>
      <c r="DY425" s="1164"/>
      <c r="DZ425" s="1164"/>
      <c r="EA425" s="1164"/>
      <c r="EB425" s="311"/>
      <c r="EC425" s="313"/>
      <c r="ED425" s="1166"/>
      <c r="EE425" s="122"/>
      <c r="EF425" s="1164"/>
      <c r="EG425" s="122"/>
      <c r="EH425" s="1166"/>
      <c r="EI425" s="1164"/>
      <c r="EJ425" s="1164"/>
      <c r="EK425" s="1164"/>
      <c r="EL425" s="311"/>
      <c r="EM425" s="313"/>
      <c r="EN425" s="1167"/>
      <c r="EO425" s="1165"/>
      <c r="EP425" s="526"/>
      <c r="EQ425" s="122"/>
      <c r="ER425" s="122"/>
      <c r="ES425" s="122"/>
      <c r="ET425" s="526"/>
      <c r="EU425" s="122"/>
      <c r="EV425" s="122"/>
      <c r="EW425" s="122"/>
      <c r="EX425" s="303"/>
      <c r="EY425" s="303"/>
      <c r="EZ425" s="1166"/>
      <c r="FA425" s="1164"/>
      <c r="FB425" s="1164"/>
      <c r="FC425" s="1164"/>
      <c r="FD425" s="1166"/>
      <c r="FE425" s="1164"/>
      <c r="FF425" s="1164"/>
      <c r="FG425" s="1164"/>
      <c r="FH425" s="313"/>
      <c r="FI425" s="313"/>
      <c r="FJ425" s="1167"/>
    </row>
    <row r="426" spans="1:166" ht="14" customHeight="1">
      <c r="A426" s="118" t="s">
        <v>153</v>
      </c>
      <c r="B426" s="614">
        <v>17</v>
      </c>
      <c r="C426" s="614"/>
      <c r="D426" s="614"/>
      <c r="E426" s="605" t="s">
        <v>1955</v>
      </c>
      <c r="F426" s="140" t="s">
        <v>2177</v>
      </c>
      <c r="G426" s="141">
        <v>1998</v>
      </c>
      <c r="H426" s="118">
        <v>9821567</v>
      </c>
      <c r="I426" s="118">
        <v>1</v>
      </c>
      <c r="J426" s="118"/>
      <c r="K426" s="118"/>
      <c r="L426" s="118">
        <v>1</v>
      </c>
      <c r="M426" s="118"/>
      <c r="N426" s="118">
        <v>1</v>
      </c>
      <c r="O426" s="142">
        <v>1</v>
      </c>
      <c r="P426" s="118" t="s">
        <v>468</v>
      </c>
      <c r="Q426" s="118" t="s">
        <v>1162</v>
      </c>
      <c r="R426" s="118" t="s">
        <v>25</v>
      </c>
      <c r="S426" s="118">
        <v>1</v>
      </c>
      <c r="T426" s="118"/>
      <c r="U426" s="118"/>
      <c r="V426" s="118"/>
      <c r="W426" s="118" t="s">
        <v>11</v>
      </c>
      <c r="X426" s="118" t="s">
        <v>24</v>
      </c>
      <c r="Y426" s="118" t="s">
        <v>13</v>
      </c>
      <c r="Z426" s="118"/>
      <c r="AA426" s="118"/>
      <c r="AB426" s="118"/>
      <c r="AC426" s="145"/>
      <c r="AD426" s="573">
        <v>1</v>
      </c>
      <c r="AE426" s="573">
        <v>2</v>
      </c>
      <c r="AF426" s="159">
        <v>1</v>
      </c>
      <c r="AG426" s="353" t="s">
        <v>8162</v>
      </c>
      <c r="AH426" s="887" t="s">
        <v>7806</v>
      </c>
      <c r="AI426" s="122">
        <v>0</v>
      </c>
      <c r="AJ426" s="485"/>
      <c r="AK426" s="204" t="s">
        <v>2909</v>
      </c>
      <c r="AL426" s="192">
        <v>1</v>
      </c>
      <c r="AM426" s="205">
        <v>0</v>
      </c>
      <c r="AN426" s="121">
        <f>Table66[[#This Row],[Data_Subjects_n_ptsd]]+Table66[[#This Row],[Data_Subjects_n_control]]</f>
        <v>48</v>
      </c>
      <c r="AO426" s="121">
        <f>34</f>
        <v>34</v>
      </c>
      <c r="AP426" s="121">
        <v>14</v>
      </c>
      <c r="AQ426" s="121" t="s">
        <v>24</v>
      </c>
      <c r="AR426" s="121" t="s">
        <v>24</v>
      </c>
      <c r="AS426" s="134">
        <v>46</v>
      </c>
      <c r="AT426" s="134">
        <v>3.4</v>
      </c>
      <c r="AU426" s="134">
        <v>44.5</v>
      </c>
      <c r="AV426" s="134">
        <v>3.9</v>
      </c>
      <c r="AW426" s="134" t="s">
        <v>1874</v>
      </c>
      <c r="AX426" s="121"/>
      <c r="AY426" s="121"/>
      <c r="AZ426" s="754" t="s">
        <v>1874</v>
      </c>
      <c r="BA426" s="121" t="s">
        <v>24</v>
      </c>
      <c r="BB426" s="121" t="s">
        <v>24</v>
      </c>
      <c r="BC426" s="121" t="s">
        <v>7804</v>
      </c>
      <c r="BD426" s="754" t="s">
        <v>7522</v>
      </c>
      <c r="BE426" s="187">
        <v>1</v>
      </c>
      <c r="BF426" s="122" t="s">
        <v>2875</v>
      </c>
      <c r="BG426" s="122" t="s">
        <v>2876</v>
      </c>
      <c r="BH426" s="588"/>
      <c r="BI426" s="588"/>
      <c r="BJ426" s="161">
        <v>1</v>
      </c>
      <c r="BK426" s="161"/>
      <c r="BL426" s="161"/>
      <c r="BM426" s="161"/>
      <c r="BN426" s="161"/>
      <c r="BO426" s="161"/>
      <c r="BP426" s="161"/>
      <c r="BQ426" s="161"/>
      <c r="BR426" s="161"/>
      <c r="BS426" s="161"/>
      <c r="BT426" s="161"/>
      <c r="BU426" s="161"/>
      <c r="BV426" s="161"/>
      <c r="BW426" s="596" t="s">
        <v>2880</v>
      </c>
      <c r="BX426" s="162" t="s">
        <v>6596</v>
      </c>
      <c r="BY426" s="797" t="s">
        <v>7615</v>
      </c>
      <c r="BZ426" s="790" t="s">
        <v>803</v>
      </c>
      <c r="CA426" s="765">
        <v>4</v>
      </c>
      <c r="CB426" s="765" t="s">
        <v>7556</v>
      </c>
      <c r="CC426" s="765" t="s">
        <v>7808</v>
      </c>
      <c r="CD426" s="150" t="s">
        <v>1876</v>
      </c>
      <c r="CE426" s="150">
        <v>3</v>
      </c>
      <c r="CF426" s="400"/>
      <c r="CG426" s="150" t="s">
        <v>2877</v>
      </c>
      <c r="CH426" s="753" t="s">
        <v>1488</v>
      </c>
      <c r="CI426" s="150" t="s">
        <v>24</v>
      </c>
      <c r="CJ426" s="150"/>
      <c r="CK426" s="150" t="s">
        <v>2878</v>
      </c>
      <c r="CL426" s="150" t="s">
        <v>6638</v>
      </c>
      <c r="CM426" s="258" t="s">
        <v>2908</v>
      </c>
      <c r="CN426" s="257">
        <v>0</v>
      </c>
      <c r="CO426" s="830">
        <v>25</v>
      </c>
      <c r="CP426" s="829">
        <v>1</v>
      </c>
      <c r="CQ426" s="829">
        <v>10</v>
      </c>
      <c r="CR426" s="829">
        <v>1</v>
      </c>
      <c r="CS426" s="829">
        <v>-1</v>
      </c>
      <c r="CT426" s="968" t="s">
        <v>7837</v>
      </c>
      <c r="CU426" s="1291" t="s">
        <v>8102</v>
      </c>
      <c r="CV426" s="1295">
        <v>14</v>
      </c>
      <c r="CW426" s="1295">
        <v>13</v>
      </c>
      <c r="CX426" s="151" t="s">
        <v>2904</v>
      </c>
      <c r="CY426" s="150">
        <v>184.51900000000001</v>
      </c>
      <c r="CZ426" s="855" t="s">
        <v>24</v>
      </c>
      <c r="DA426" s="855" t="s">
        <v>24</v>
      </c>
      <c r="DB426" s="151" t="s">
        <v>2900</v>
      </c>
      <c r="DC426" s="150">
        <v>94.518799999999999</v>
      </c>
      <c r="DD426" s="855" t="s">
        <v>24</v>
      </c>
      <c r="DE426" s="855" t="s">
        <v>24</v>
      </c>
      <c r="DF426" s="1113" t="s">
        <v>2907</v>
      </c>
      <c r="DG426" s="295"/>
      <c r="DH426" s="526"/>
      <c r="DI426" s="122"/>
      <c r="DJ426" s="1164"/>
      <c r="DK426" s="122"/>
      <c r="DL426" s="1166"/>
      <c r="DM426" s="1164"/>
      <c r="DN426" s="1164"/>
      <c r="DO426" s="1164"/>
      <c r="DP426" s="290"/>
      <c r="DQ426" s="291"/>
      <c r="DR426" s="1168"/>
      <c r="DS426" s="865"/>
      <c r="DT426" s="1166"/>
      <c r="DU426" s="122"/>
      <c r="DV426" s="1164"/>
      <c r="DW426" s="122"/>
      <c r="DX426" s="1166"/>
      <c r="DY426" s="122"/>
      <c r="DZ426" s="1164"/>
      <c r="EA426" s="122"/>
      <c r="EB426" s="311"/>
      <c r="EC426" s="313"/>
      <c r="ED426" s="1166"/>
      <c r="EE426" s="122"/>
      <c r="EF426" s="1164"/>
      <c r="EG426" s="122"/>
      <c r="EH426" s="1166"/>
      <c r="EI426" s="1164"/>
      <c r="EJ426" s="1164"/>
      <c r="EK426" s="1164"/>
      <c r="EL426" s="311"/>
      <c r="EM426" s="313"/>
      <c r="EN426" s="1167"/>
      <c r="EO426" s="1165"/>
      <c r="EP426" s="526"/>
      <c r="EQ426" s="122"/>
      <c r="ER426" s="122"/>
      <c r="ES426" s="122"/>
      <c r="ET426" s="526"/>
      <c r="EU426" s="122"/>
      <c r="EV426" s="122"/>
      <c r="EW426" s="122"/>
      <c r="EX426" s="303"/>
      <c r="EY426" s="303"/>
      <c r="EZ426" s="1166"/>
      <c r="FA426" s="1164"/>
      <c r="FB426" s="1164"/>
      <c r="FC426" s="1164"/>
      <c r="FD426" s="1166"/>
      <c r="FE426" s="1164"/>
      <c r="FF426" s="1164"/>
      <c r="FG426" s="1164"/>
      <c r="FH426" s="313"/>
      <c r="FI426" s="313"/>
      <c r="FJ426" s="1167"/>
    </row>
    <row r="427" spans="1:166" ht="14" customHeight="1">
      <c r="A427" s="1025" t="s">
        <v>153</v>
      </c>
      <c r="B427" s="1643">
        <v>17</v>
      </c>
      <c r="C427" s="1643"/>
      <c r="D427" s="1643"/>
      <c r="E427" s="1027" t="s">
        <v>1955</v>
      </c>
      <c r="F427" s="1028" t="s">
        <v>2177</v>
      </c>
      <c r="G427" s="1029">
        <v>1998</v>
      </c>
      <c r="H427" s="1025">
        <v>9821567</v>
      </c>
      <c r="I427" s="1025">
        <v>1</v>
      </c>
      <c r="J427" s="1025"/>
      <c r="K427" s="1025"/>
      <c r="L427" s="1025">
        <v>1</v>
      </c>
      <c r="M427" s="1025"/>
      <c r="N427" s="1025">
        <v>1</v>
      </c>
      <c r="O427" s="1030">
        <v>1</v>
      </c>
      <c r="P427" s="1025" t="s">
        <v>468</v>
      </c>
      <c r="Q427" s="1025" t="s">
        <v>1162</v>
      </c>
      <c r="R427" s="1025" t="s">
        <v>25</v>
      </c>
      <c r="S427" s="1025">
        <v>1</v>
      </c>
      <c r="T427" s="1025"/>
      <c r="U427" s="1025"/>
      <c r="V427" s="1025"/>
      <c r="W427" s="1025" t="s">
        <v>11</v>
      </c>
      <c r="X427" s="1025" t="s">
        <v>24</v>
      </c>
      <c r="Y427" s="1025" t="s">
        <v>13</v>
      </c>
      <c r="Z427" s="1025"/>
      <c r="AA427" s="1025"/>
      <c r="AB427" s="1025"/>
      <c r="AC427" s="1031"/>
      <c r="AD427" s="1032">
        <v>1</v>
      </c>
      <c r="AE427" s="1032">
        <v>2</v>
      </c>
      <c r="AF427" s="1644">
        <v>1</v>
      </c>
      <c r="AG427" s="1067" t="s">
        <v>8161</v>
      </c>
      <c r="AH427" s="1068"/>
      <c r="AI427" s="1645">
        <v>0</v>
      </c>
      <c r="AJ427" s="1646"/>
      <c r="AK427" s="1647"/>
      <c r="AL427" s="1648">
        <v>1</v>
      </c>
      <c r="AM427" s="1649">
        <v>0</v>
      </c>
      <c r="AN427" s="1645">
        <f>Table66[[#This Row],[Data_Subjects_n_ptsd]]+Table66[[#This Row],[Data_Subjects_n_ptsd]]</f>
        <v>34</v>
      </c>
      <c r="AO427" s="1645">
        <v>17</v>
      </c>
      <c r="AP427" s="1645">
        <v>14</v>
      </c>
      <c r="AQ427" s="121" t="s">
        <v>24</v>
      </c>
      <c r="AR427" s="121" t="s">
        <v>24</v>
      </c>
      <c r="AS427" s="1107">
        <v>42.2</v>
      </c>
      <c r="AT427" s="1107">
        <v>4.8</v>
      </c>
      <c r="AU427" s="1107">
        <v>44.5</v>
      </c>
      <c r="AV427" s="1107">
        <v>3.9</v>
      </c>
      <c r="AW427" s="1107" t="s">
        <v>1874</v>
      </c>
      <c r="AX427" s="1645"/>
      <c r="AY427" s="1645"/>
      <c r="AZ427" s="1645" t="s">
        <v>1874</v>
      </c>
      <c r="BA427" s="1645" t="s">
        <v>24</v>
      </c>
      <c r="BB427" s="1645" t="s">
        <v>24</v>
      </c>
      <c r="BC427" s="1645" t="s">
        <v>7804</v>
      </c>
      <c r="BD427" s="1645" t="s">
        <v>7522</v>
      </c>
      <c r="BE427" s="1651">
        <v>1</v>
      </c>
      <c r="BF427" s="1645" t="s">
        <v>2875</v>
      </c>
      <c r="BG427" s="1645" t="s">
        <v>4508</v>
      </c>
      <c r="BH427" s="1652"/>
      <c r="BI427" s="1652"/>
      <c r="BJ427" s="1653">
        <v>1</v>
      </c>
      <c r="BK427" s="1653"/>
      <c r="BL427" s="1653"/>
      <c r="BM427" s="1653"/>
      <c r="BN427" s="1653"/>
      <c r="BO427" s="1653"/>
      <c r="BP427" s="1653"/>
      <c r="BQ427" s="1653"/>
      <c r="BR427" s="1653"/>
      <c r="BS427" s="1653"/>
      <c r="BT427" s="1653"/>
      <c r="BU427" s="1653"/>
      <c r="BV427" s="1653"/>
      <c r="BW427" s="1654" t="s">
        <v>2879</v>
      </c>
      <c r="BX427" s="1627" t="s">
        <v>6598</v>
      </c>
      <c r="BY427" s="1628" t="s">
        <v>7615</v>
      </c>
      <c r="BZ427" s="1655" t="s">
        <v>803</v>
      </c>
      <c r="CA427" s="1656">
        <v>4</v>
      </c>
      <c r="CB427" s="1656" t="s">
        <v>7556</v>
      </c>
      <c r="CC427" s="1656" t="s">
        <v>7384</v>
      </c>
      <c r="CD427" s="1107" t="s">
        <v>1876</v>
      </c>
      <c r="CE427" s="1107">
        <v>3</v>
      </c>
      <c r="CF427" s="1107"/>
      <c r="CG427" s="1107" t="s">
        <v>7825</v>
      </c>
      <c r="CH427" s="1107" t="s">
        <v>1488</v>
      </c>
      <c r="CI427" s="1107" t="s">
        <v>24</v>
      </c>
      <c r="CJ427" s="1107">
        <v>1</v>
      </c>
      <c r="CK427" s="1107" t="s">
        <v>2878</v>
      </c>
      <c r="CL427" s="1107" t="s">
        <v>6638</v>
      </c>
      <c r="CM427" s="1657"/>
      <c r="CN427" s="1658"/>
      <c r="CO427" s="1659"/>
      <c r="CP427" s="1659"/>
      <c r="CQ427" s="1659"/>
      <c r="CR427" s="1659"/>
      <c r="CS427" s="1659"/>
      <c r="CT427" s="1660"/>
      <c r="CU427" s="1630" t="s">
        <v>8155</v>
      </c>
      <c r="CV427" s="1661" t="s">
        <v>8158</v>
      </c>
      <c r="CW427" s="1661">
        <v>13</v>
      </c>
      <c r="CX427" s="1106" t="s">
        <v>7822</v>
      </c>
      <c r="CY427" s="1107">
        <f>CY417-CY415</f>
        <v>129.17659999999998</v>
      </c>
      <c r="CZ427" s="1079" t="s">
        <v>24</v>
      </c>
      <c r="DA427" s="1079" t="s">
        <v>24</v>
      </c>
      <c r="DB427" s="1106" t="s">
        <v>7821</v>
      </c>
      <c r="DC427" s="1107">
        <f>DC423-DC421</f>
        <v>-223.05</v>
      </c>
      <c r="DD427" s="1079" t="s">
        <v>24</v>
      </c>
      <c r="DE427" s="1079" t="s">
        <v>24</v>
      </c>
      <c r="DF427" s="1812"/>
      <c r="DG427" s="1664"/>
      <c r="DH427" s="1645"/>
      <c r="DI427" s="1645"/>
      <c r="DJ427" s="1645"/>
      <c r="DK427" s="1645"/>
      <c r="DL427" s="1677"/>
      <c r="DM427" s="1645"/>
      <c r="DN427" s="1645"/>
      <c r="DO427" s="1645"/>
      <c r="DP427" s="1667"/>
      <c r="DQ427" s="1664"/>
      <c r="DR427" s="1668"/>
      <c r="DS427" s="1669"/>
      <c r="DT427" s="1637"/>
      <c r="DU427" s="1639"/>
      <c r="DV427" s="1639"/>
      <c r="DW427" s="1639"/>
      <c r="DX427" s="1639"/>
      <c r="DY427" s="1639"/>
      <c r="DZ427" s="1639"/>
      <c r="EA427" s="1639"/>
      <c r="EB427" s="1640"/>
      <c r="EC427" s="1641"/>
      <c r="ED427" s="1639"/>
      <c r="EE427" s="1639"/>
      <c r="EF427" s="1639"/>
      <c r="EG427" s="1645"/>
      <c r="EH427" s="1637"/>
      <c r="EI427" s="1645"/>
      <c r="EJ427" s="1639"/>
      <c r="EK427" s="1645"/>
      <c r="EL427" s="1640"/>
      <c r="EM427" s="1641"/>
      <c r="EN427" s="1670"/>
      <c r="EO427" s="1671"/>
      <c r="EP427" s="1637"/>
      <c r="EQ427" s="1639"/>
      <c r="ER427" s="1639"/>
      <c r="ES427" s="1639"/>
      <c r="ET427" s="1637"/>
      <c r="EU427" s="1639"/>
      <c r="EV427" s="1639"/>
      <c r="EW427" s="1639"/>
      <c r="EX427" s="1641"/>
      <c r="EY427" s="1641"/>
      <c r="EZ427" s="1637"/>
      <c r="FA427" s="1639"/>
      <c r="FB427" s="1639"/>
      <c r="FC427" s="1639"/>
      <c r="FD427" s="1637"/>
      <c r="FE427" s="1639"/>
      <c r="FF427" s="1639"/>
      <c r="FG427" s="1639"/>
      <c r="FH427" s="1641"/>
      <c r="FI427" s="1641"/>
      <c r="FJ427" s="1671"/>
    </row>
    <row r="428" spans="1:166" ht="15" customHeight="1">
      <c r="A428" s="1025" t="s">
        <v>153</v>
      </c>
      <c r="B428" s="1643">
        <v>17</v>
      </c>
      <c r="C428" s="1643"/>
      <c r="D428" s="1643"/>
      <c r="E428" s="1027" t="s">
        <v>1955</v>
      </c>
      <c r="F428" s="1028" t="s">
        <v>2177</v>
      </c>
      <c r="G428" s="1029">
        <v>1998</v>
      </c>
      <c r="H428" s="1025">
        <v>9821567</v>
      </c>
      <c r="I428" s="1025">
        <v>1</v>
      </c>
      <c r="J428" s="1025"/>
      <c r="K428" s="1025"/>
      <c r="L428" s="1025">
        <v>1</v>
      </c>
      <c r="M428" s="1025"/>
      <c r="N428" s="1025">
        <v>1</v>
      </c>
      <c r="O428" s="1030">
        <v>1</v>
      </c>
      <c r="P428" s="1025" t="s">
        <v>468</v>
      </c>
      <c r="Q428" s="1025" t="s">
        <v>1162</v>
      </c>
      <c r="R428" s="1025" t="s">
        <v>25</v>
      </c>
      <c r="S428" s="1025">
        <v>1</v>
      </c>
      <c r="T428" s="1025"/>
      <c r="U428" s="1025"/>
      <c r="V428" s="1025"/>
      <c r="W428" s="1025" t="s">
        <v>11</v>
      </c>
      <c r="X428" s="1025" t="s">
        <v>24</v>
      </c>
      <c r="Y428" s="1025" t="s">
        <v>13</v>
      </c>
      <c r="Z428" s="1025"/>
      <c r="AA428" s="1025"/>
      <c r="AB428" s="1025"/>
      <c r="AC428" s="1031"/>
      <c r="AD428" s="1032">
        <v>1</v>
      </c>
      <c r="AE428" s="1032">
        <v>2</v>
      </c>
      <c r="AF428" s="1644">
        <v>1</v>
      </c>
      <c r="AG428" s="1067" t="s">
        <v>8161</v>
      </c>
      <c r="AH428" s="1068"/>
      <c r="AI428" s="1645">
        <v>0</v>
      </c>
      <c r="AJ428" s="1646"/>
      <c r="AK428" s="1647"/>
      <c r="AL428" s="1648">
        <v>1</v>
      </c>
      <c r="AM428" s="1649">
        <v>0</v>
      </c>
      <c r="AN428" s="1645">
        <f>Table66[[#This Row],[Data_Subjects_n_ptsd]]+Table66[[#This Row],[Data_Subjects_n_ptsd]]</f>
        <v>34</v>
      </c>
      <c r="AO428" s="1645">
        <v>17</v>
      </c>
      <c r="AP428" s="1645">
        <v>14</v>
      </c>
      <c r="AQ428" s="121" t="s">
        <v>24</v>
      </c>
      <c r="AR428" s="121" t="s">
        <v>24</v>
      </c>
      <c r="AS428" s="1107">
        <v>42.2</v>
      </c>
      <c r="AT428" s="1107">
        <v>4.8</v>
      </c>
      <c r="AU428" s="1107">
        <v>44.5</v>
      </c>
      <c r="AV428" s="1107">
        <v>3.9</v>
      </c>
      <c r="AW428" s="1107" t="s">
        <v>1874</v>
      </c>
      <c r="AX428" s="1645"/>
      <c r="AY428" s="1645"/>
      <c r="AZ428" s="1645" t="s">
        <v>1874</v>
      </c>
      <c r="BA428" s="1645" t="s">
        <v>24</v>
      </c>
      <c r="BB428" s="1645" t="s">
        <v>24</v>
      </c>
      <c r="BC428" s="1645" t="s">
        <v>7804</v>
      </c>
      <c r="BD428" s="1645" t="s">
        <v>7522</v>
      </c>
      <c r="BE428" s="1651">
        <v>1</v>
      </c>
      <c r="BF428" s="1645" t="s">
        <v>2875</v>
      </c>
      <c r="BG428" s="1645" t="s">
        <v>4508</v>
      </c>
      <c r="BH428" s="1652"/>
      <c r="BI428" s="1652"/>
      <c r="BJ428" s="1653">
        <v>1</v>
      </c>
      <c r="BK428" s="1653"/>
      <c r="BL428" s="1653"/>
      <c r="BM428" s="1653"/>
      <c r="BN428" s="1653"/>
      <c r="BO428" s="1653"/>
      <c r="BP428" s="1653"/>
      <c r="BQ428" s="1653"/>
      <c r="BR428" s="1653"/>
      <c r="BS428" s="1653"/>
      <c r="BT428" s="1653"/>
      <c r="BU428" s="1653"/>
      <c r="BV428" s="1653"/>
      <c r="BW428" s="1654" t="s">
        <v>2879</v>
      </c>
      <c r="BX428" s="1627" t="s">
        <v>6598</v>
      </c>
      <c r="BY428" s="1628" t="s">
        <v>7615</v>
      </c>
      <c r="BZ428" s="1655" t="s">
        <v>803</v>
      </c>
      <c r="CA428" s="1656">
        <v>4</v>
      </c>
      <c r="CB428" s="1656" t="s">
        <v>7556</v>
      </c>
      <c r="CC428" s="1656" t="s">
        <v>7384</v>
      </c>
      <c r="CD428" s="1107" t="s">
        <v>1876</v>
      </c>
      <c r="CE428" s="1107">
        <v>3</v>
      </c>
      <c r="CF428" s="1107"/>
      <c r="CG428" s="1107" t="s">
        <v>7825</v>
      </c>
      <c r="CH428" s="1107" t="s">
        <v>1488</v>
      </c>
      <c r="CI428" s="1107" t="s">
        <v>24</v>
      </c>
      <c r="CJ428" s="1107">
        <v>1</v>
      </c>
      <c r="CK428" s="1107" t="s">
        <v>2878</v>
      </c>
      <c r="CL428" s="1107" t="s">
        <v>6638</v>
      </c>
      <c r="CM428" s="1657"/>
      <c r="CN428" s="1658"/>
      <c r="CO428" s="1659"/>
      <c r="CP428" s="1659"/>
      <c r="CQ428" s="1659"/>
      <c r="CR428" s="1659"/>
      <c r="CS428" s="1659"/>
      <c r="CT428" s="1660"/>
      <c r="CU428" s="1630" t="s">
        <v>8155</v>
      </c>
      <c r="CV428" s="1661" t="s">
        <v>8158</v>
      </c>
      <c r="CW428" s="1661">
        <v>13</v>
      </c>
      <c r="CX428" s="1106" t="s">
        <v>7822</v>
      </c>
      <c r="CY428" s="1107">
        <f>CY418-CY416</f>
        <v>149.91309999999999</v>
      </c>
      <c r="CZ428" s="1079" t="s">
        <v>24</v>
      </c>
      <c r="DA428" s="1079" t="s">
        <v>24</v>
      </c>
      <c r="DB428" s="1106" t="s">
        <v>7821</v>
      </c>
      <c r="DC428" s="1107">
        <f>DC424-DC422</f>
        <v>-252.8587</v>
      </c>
      <c r="DD428" s="1079" t="s">
        <v>24</v>
      </c>
      <c r="DE428" s="1079" t="s">
        <v>24</v>
      </c>
      <c r="DF428" s="1812"/>
      <c r="DG428" s="1664"/>
      <c r="DH428" s="1645"/>
      <c r="DI428" s="1645"/>
      <c r="DJ428" s="1639"/>
      <c r="DK428" s="1645"/>
      <c r="DL428" s="1637"/>
      <c r="DM428" s="1645"/>
      <c r="DN428" s="1639"/>
      <c r="DO428" s="1645"/>
      <c r="DP428" s="1667"/>
      <c r="DQ428" s="1664"/>
      <c r="DR428" s="1676"/>
      <c r="DS428" s="1669"/>
      <c r="DT428" s="1637"/>
      <c r="DU428" s="1645"/>
      <c r="DV428" s="1639"/>
      <c r="DW428" s="1645"/>
      <c r="DX428" s="1639"/>
      <c r="DY428" s="1645"/>
      <c r="DZ428" s="1639"/>
      <c r="EA428" s="1639"/>
      <c r="EB428" s="1640"/>
      <c r="EC428" s="1641"/>
      <c r="ED428" s="1639"/>
      <c r="EE428" s="1639"/>
      <c r="EF428" s="1639"/>
      <c r="EG428" s="1639"/>
      <c r="EH428" s="1637"/>
      <c r="EI428" s="1639"/>
      <c r="EJ428" s="1639"/>
      <c r="EK428" s="1639"/>
      <c r="EL428" s="1640"/>
      <c r="EM428" s="1641"/>
      <c r="EN428" s="1670"/>
      <c r="EO428" s="1671"/>
      <c r="EP428" s="1637"/>
      <c r="EQ428" s="1639"/>
      <c r="ER428" s="1639"/>
      <c r="ES428" s="1639"/>
      <c r="ET428" s="1637"/>
      <c r="EU428" s="1639"/>
      <c r="EV428" s="1639"/>
      <c r="EW428" s="1639"/>
      <c r="EX428" s="1641"/>
      <c r="EY428" s="1641"/>
      <c r="EZ428" s="1637"/>
      <c r="FA428" s="1639"/>
      <c r="FB428" s="1639"/>
      <c r="FC428" s="1639"/>
      <c r="FD428" s="1637"/>
      <c r="FE428" s="1639"/>
      <c r="FF428" s="1639"/>
      <c r="FG428" s="1639"/>
      <c r="FH428" s="1641"/>
      <c r="FI428" s="1641"/>
      <c r="FJ428" s="1671"/>
    </row>
    <row r="429" spans="1:166" ht="14" customHeight="1">
      <c r="A429" s="1025" t="s">
        <v>153</v>
      </c>
      <c r="B429" s="1643">
        <v>17</v>
      </c>
      <c r="C429" s="1643"/>
      <c r="D429" s="1643"/>
      <c r="E429" s="1027" t="s">
        <v>1955</v>
      </c>
      <c r="F429" s="1028" t="s">
        <v>2177</v>
      </c>
      <c r="G429" s="1029">
        <v>1998</v>
      </c>
      <c r="H429" s="1025">
        <v>9821567</v>
      </c>
      <c r="I429" s="1025">
        <v>1</v>
      </c>
      <c r="J429" s="1025"/>
      <c r="K429" s="1025"/>
      <c r="L429" s="1025">
        <v>1</v>
      </c>
      <c r="M429" s="1025"/>
      <c r="N429" s="1025">
        <v>1</v>
      </c>
      <c r="O429" s="1030">
        <v>1</v>
      </c>
      <c r="P429" s="1025" t="s">
        <v>468</v>
      </c>
      <c r="Q429" s="1025" t="s">
        <v>1162</v>
      </c>
      <c r="R429" s="1025" t="s">
        <v>25</v>
      </c>
      <c r="S429" s="1025">
        <v>1</v>
      </c>
      <c r="T429" s="1025"/>
      <c r="U429" s="1025"/>
      <c r="V429" s="1025"/>
      <c r="W429" s="1025" t="s">
        <v>11</v>
      </c>
      <c r="X429" s="1025" t="s">
        <v>24</v>
      </c>
      <c r="Y429" s="1025" t="s">
        <v>13</v>
      </c>
      <c r="Z429" s="1025"/>
      <c r="AA429" s="1025"/>
      <c r="AB429" s="1025"/>
      <c r="AC429" s="1031"/>
      <c r="AD429" s="1032">
        <v>1</v>
      </c>
      <c r="AE429" s="1032">
        <v>2</v>
      </c>
      <c r="AF429" s="1644">
        <v>1</v>
      </c>
      <c r="AG429" s="1067" t="s">
        <v>8161</v>
      </c>
      <c r="AH429" s="1068"/>
      <c r="AI429" s="1645">
        <v>0</v>
      </c>
      <c r="AJ429" s="1646"/>
      <c r="AK429" s="1647"/>
      <c r="AL429" s="1648">
        <v>1</v>
      </c>
      <c r="AM429" s="1649">
        <v>0</v>
      </c>
      <c r="AN429" s="1645">
        <f>Table66[[#This Row],[Data_Subjects_n_ptsd]]+Table66[[#This Row],[Data_Subjects_n_ptsd]]</f>
        <v>34</v>
      </c>
      <c r="AO429" s="1645">
        <v>17</v>
      </c>
      <c r="AP429" s="1645">
        <v>14</v>
      </c>
      <c r="AQ429" s="121" t="s">
        <v>24</v>
      </c>
      <c r="AR429" s="121" t="s">
        <v>24</v>
      </c>
      <c r="AS429" s="1107">
        <v>42.2</v>
      </c>
      <c r="AT429" s="1107">
        <v>4.8</v>
      </c>
      <c r="AU429" s="1107">
        <v>44.5</v>
      </c>
      <c r="AV429" s="1107">
        <v>3.9</v>
      </c>
      <c r="AW429" s="1107" t="s">
        <v>1874</v>
      </c>
      <c r="AX429" s="1645"/>
      <c r="AY429" s="1645"/>
      <c r="AZ429" s="1645" t="s">
        <v>1874</v>
      </c>
      <c r="BA429" s="1645" t="s">
        <v>24</v>
      </c>
      <c r="BB429" s="1645" t="s">
        <v>24</v>
      </c>
      <c r="BC429" s="1645" t="s">
        <v>7804</v>
      </c>
      <c r="BD429" s="1645" t="s">
        <v>7522</v>
      </c>
      <c r="BE429" s="1651">
        <v>1</v>
      </c>
      <c r="BF429" s="1645" t="s">
        <v>2875</v>
      </c>
      <c r="BG429" s="1645" t="s">
        <v>4508</v>
      </c>
      <c r="BH429" s="1652"/>
      <c r="BI429" s="1652"/>
      <c r="BJ429" s="1653">
        <v>1</v>
      </c>
      <c r="BK429" s="1653"/>
      <c r="BL429" s="1653"/>
      <c r="BM429" s="1653"/>
      <c r="BN429" s="1653"/>
      <c r="BO429" s="1653"/>
      <c r="BP429" s="1653"/>
      <c r="BQ429" s="1653"/>
      <c r="BR429" s="1653"/>
      <c r="BS429" s="1653"/>
      <c r="BT429" s="1653"/>
      <c r="BU429" s="1653"/>
      <c r="BV429" s="1653"/>
      <c r="BW429" s="1654" t="s">
        <v>2880</v>
      </c>
      <c r="BX429" s="1627" t="s">
        <v>6596</v>
      </c>
      <c r="BY429" s="1628" t="s">
        <v>7615</v>
      </c>
      <c r="BZ429" s="1655" t="s">
        <v>803</v>
      </c>
      <c r="CA429" s="1656">
        <v>4</v>
      </c>
      <c r="CB429" s="1656" t="s">
        <v>7556</v>
      </c>
      <c r="CC429" s="1656" t="s">
        <v>7807</v>
      </c>
      <c r="CD429" s="1107" t="s">
        <v>1876</v>
      </c>
      <c r="CE429" s="1107">
        <v>3</v>
      </c>
      <c r="CF429" s="1107"/>
      <c r="CG429" s="1107" t="s">
        <v>2877</v>
      </c>
      <c r="CH429" s="1107" t="s">
        <v>1488</v>
      </c>
      <c r="CI429" s="1107" t="s">
        <v>24</v>
      </c>
      <c r="CJ429" s="1107"/>
      <c r="CK429" s="1107" t="s">
        <v>2878</v>
      </c>
      <c r="CL429" s="1107" t="s">
        <v>6638</v>
      </c>
      <c r="CM429" s="1657"/>
      <c r="CN429" s="1658"/>
      <c r="CO429" s="1659"/>
      <c r="CP429" s="1659"/>
      <c r="CQ429" s="1659"/>
      <c r="CR429" s="1659"/>
      <c r="CS429" s="1659"/>
      <c r="CT429" s="1660"/>
      <c r="CU429" s="1630" t="s">
        <v>8155</v>
      </c>
      <c r="CV429" s="1661" t="s">
        <v>8158</v>
      </c>
      <c r="CW429" s="1661">
        <v>13</v>
      </c>
      <c r="CX429" s="1106" t="s">
        <v>2901</v>
      </c>
      <c r="CY429" s="1107">
        <v>142.31200000000001</v>
      </c>
      <c r="CZ429" s="1079" t="s">
        <v>24</v>
      </c>
      <c r="DA429" s="1079" t="s">
        <v>24</v>
      </c>
      <c r="DB429" s="1106" t="s">
        <v>2899</v>
      </c>
      <c r="DC429" s="1107">
        <v>169.233</v>
      </c>
      <c r="DD429" s="1079" t="s">
        <v>24</v>
      </c>
      <c r="DE429" s="1079" t="s">
        <v>24</v>
      </c>
      <c r="DF429" s="1814"/>
      <c r="DG429" s="1664"/>
      <c r="DH429" s="1816"/>
      <c r="DI429" s="1638"/>
      <c r="DJ429" s="1645"/>
      <c r="DK429" s="1638"/>
      <c r="DL429" s="1677"/>
      <c r="DM429" s="1638"/>
      <c r="DN429" s="1645"/>
      <c r="DO429" s="1672"/>
      <c r="DP429" s="1667"/>
      <c r="DQ429" s="1664"/>
      <c r="DR429" s="1668"/>
      <c r="DS429" s="1669"/>
      <c r="DT429" s="1637"/>
      <c r="DU429" s="1638"/>
      <c r="DV429" s="1639"/>
      <c r="DW429" s="1638"/>
      <c r="DX429" s="1637"/>
      <c r="DY429" s="1638"/>
      <c r="DZ429" s="1639"/>
      <c r="EA429" s="1638"/>
      <c r="EB429" s="1640"/>
      <c r="EC429" s="1641"/>
      <c r="ED429" s="1637"/>
      <c r="EE429" s="1638"/>
      <c r="EF429" s="1639"/>
      <c r="EG429" s="1638"/>
      <c r="EH429" s="1637"/>
      <c r="EI429" s="1638"/>
      <c r="EJ429" s="1639"/>
      <c r="EK429" s="1638"/>
      <c r="EL429" s="1640"/>
      <c r="EM429" s="1641"/>
      <c r="EN429" s="1668"/>
      <c r="EO429" s="1671"/>
      <c r="EP429" s="1637"/>
      <c r="EQ429" s="1639"/>
      <c r="ER429" s="1639"/>
      <c r="ES429" s="1639"/>
      <c r="ET429" s="1637"/>
      <c r="EU429" s="1639"/>
      <c r="EV429" s="1639"/>
      <c r="EW429" s="1639"/>
      <c r="EX429" s="1641"/>
      <c r="EY429" s="1641"/>
      <c r="EZ429" s="1637"/>
      <c r="FA429" s="1639"/>
      <c r="FB429" s="1639"/>
      <c r="FC429" s="1639"/>
      <c r="FD429" s="1637"/>
      <c r="FE429" s="1639"/>
      <c r="FF429" s="1639"/>
      <c r="FG429" s="1639"/>
      <c r="FH429" s="1641"/>
      <c r="FI429" s="1641"/>
      <c r="FJ429" s="1668"/>
    </row>
    <row r="430" spans="1:166" ht="14" customHeight="1">
      <c r="A430" s="1025" t="s">
        <v>153</v>
      </c>
      <c r="B430" s="1643">
        <v>17</v>
      </c>
      <c r="C430" s="1643"/>
      <c r="D430" s="1643"/>
      <c r="E430" s="1027" t="s">
        <v>1955</v>
      </c>
      <c r="F430" s="1028" t="s">
        <v>2177</v>
      </c>
      <c r="G430" s="1029">
        <v>1998</v>
      </c>
      <c r="H430" s="1025">
        <v>9821567</v>
      </c>
      <c r="I430" s="1025">
        <v>1</v>
      </c>
      <c r="J430" s="1025"/>
      <c r="K430" s="1025"/>
      <c r="L430" s="1025">
        <v>1</v>
      </c>
      <c r="M430" s="1025"/>
      <c r="N430" s="1025">
        <v>1</v>
      </c>
      <c r="O430" s="1030">
        <v>1</v>
      </c>
      <c r="P430" s="1025" t="s">
        <v>468</v>
      </c>
      <c r="Q430" s="1025" t="s">
        <v>1162</v>
      </c>
      <c r="R430" s="1025" t="s">
        <v>25</v>
      </c>
      <c r="S430" s="1025">
        <v>1</v>
      </c>
      <c r="T430" s="1025"/>
      <c r="U430" s="1025"/>
      <c r="V430" s="1025"/>
      <c r="W430" s="1025" t="s">
        <v>11</v>
      </c>
      <c r="X430" s="1025" t="s">
        <v>24</v>
      </c>
      <c r="Y430" s="1025" t="s">
        <v>13</v>
      </c>
      <c r="Z430" s="1025"/>
      <c r="AA430" s="1025"/>
      <c r="AB430" s="1025"/>
      <c r="AC430" s="1031"/>
      <c r="AD430" s="1032">
        <v>1</v>
      </c>
      <c r="AE430" s="1032">
        <v>2</v>
      </c>
      <c r="AF430" s="1644">
        <v>1</v>
      </c>
      <c r="AG430" s="1067" t="s">
        <v>8161</v>
      </c>
      <c r="AH430" s="1068"/>
      <c r="AI430" s="1645">
        <v>0</v>
      </c>
      <c r="AJ430" s="1646"/>
      <c r="AK430" s="1647"/>
      <c r="AL430" s="1648">
        <v>1</v>
      </c>
      <c r="AM430" s="1649">
        <v>0</v>
      </c>
      <c r="AN430" s="1645">
        <f>Table66[[#This Row],[Data_Subjects_n_ptsd]]+Table66[[#This Row],[Data_Subjects_n_ptsd]]</f>
        <v>34</v>
      </c>
      <c r="AO430" s="1645">
        <v>17</v>
      </c>
      <c r="AP430" s="1645">
        <v>14</v>
      </c>
      <c r="AQ430" s="121" t="s">
        <v>24</v>
      </c>
      <c r="AR430" s="121" t="s">
        <v>24</v>
      </c>
      <c r="AS430" s="1107">
        <v>42.2</v>
      </c>
      <c r="AT430" s="1107">
        <v>4.8</v>
      </c>
      <c r="AU430" s="1107">
        <v>44.5</v>
      </c>
      <c r="AV430" s="1107">
        <v>3.9</v>
      </c>
      <c r="AW430" s="1107" t="s">
        <v>1874</v>
      </c>
      <c r="AX430" s="1645"/>
      <c r="AY430" s="1645"/>
      <c r="AZ430" s="1645" t="s">
        <v>1874</v>
      </c>
      <c r="BA430" s="1645" t="s">
        <v>24</v>
      </c>
      <c r="BB430" s="1645" t="s">
        <v>24</v>
      </c>
      <c r="BC430" s="1645" t="s">
        <v>7804</v>
      </c>
      <c r="BD430" s="1645" t="s">
        <v>7522</v>
      </c>
      <c r="BE430" s="1651">
        <v>1</v>
      </c>
      <c r="BF430" s="1645" t="s">
        <v>2875</v>
      </c>
      <c r="BG430" s="1645" t="s">
        <v>4508</v>
      </c>
      <c r="BH430" s="1652"/>
      <c r="BI430" s="1652"/>
      <c r="BJ430" s="1653">
        <v>1</v>
      </c>
      <c r="BK430" s="1653"/>
      <c r="BL430" s="1653"/>
      <c r="BM430" s="1653"/>
      <c r="BN430" s="1653"/>
      <c r="BO430" s="1653"/>
      <c r="BP430" s="1653"/>
      <c r="BQ430" s="1653"/>
      <c r="BR430" s="1653"/>
      <c r="BS430" s="1653"/>
      <c r="BT430" s="1653"/>
      <c r="BU430" s="1653"/>
      <c r="BV430" s="1653"/>
      <c r="BW430" s="1654" t="s">
        <v>2880</v>
      </c>
      <c r="BX430" s="1627" t="s">
        <v>6596</v>
      </c>
      <c r="BY430" s="1628" t="s">
        <v>7615</v>
      </c>
      <c r="BZ430" s="1655" t="s">
        <v>803</v>
      </c>
      <c r="CA430" s="1656">
        <v>4</v>
      </c>
      <c r="CB430" s="1656" t="s">
        <v>7556</v>
      </c>
      <c r="CC430" s="1656" t="s">
        <v>7808</v>
      </c>
      <c r="CD430" s="1107" t="s">
        <v>1876</v>
      </c>
      <c r="CE430" s="1107">
        <v>3</v>
      </c>
      <c r="CF430" s="1107"/>
      <c r="CG430" s="1107" t="s">
        <v>2877</v>
      </c>
      <c r="CH430" s="1107" t="s">
        <v>1488</v>
      </c>
      <c r="CI430" s="1107" t="s">
        <v>24</v>
      </c>
      <c r="CJ430" s="1107"/>
      <c r="CK430" s="1107" t="s">
        <v>2878</v>
      </c>
      <c r="CL430" s="1107" t="s">
        <v>6638</v>
      </c>
      <c r="CM430" s="1657"/>
      <c r="CN430" s="1658"/>
      <c r="CO430" s="1659"/>
      <c r="CP430" s="1659"/>
      <c r="CQ430" s="1659"/>
      <c r="CR430" s="1659"/>
      <c r="CS430" s="1659"/>
      <c r="CT430" s="1660"/>
      <c r="CU430" s="1630" t="s">
        <v>8155</v>
      </c>
      <c r="CV430" s="1661" t="s">
        <v>8158</v>
      </c>
      <c r="CW430" s="1661">
        <v>13</v>
      </c>
      <c r="CX430" s="1106" t="s">
        <v>2902</v>
      </c>
      <c r="CY430" s="1107">
        <v>62.982300000000002</v>
      </c>
      <c r="CZ430" s="1079" t="s">
        <v>24</v>
      </c>
      <c r="DA430" s="1079" t="s">
        <v>24</v>
      </c>
      <c r="DB430" s="1106" t="s">
        <v>2900</v>
      </c>
      <c r="DC430" s="1107">
        <v>94.518799999999999</v>
      </c>
      <c r="DD430" s="1079" t="s">
        <v>24</v>
      </c>
      <c r="DE430" s="1079" t="s">
        <v>24</v>
      </c>
      <c r="DF430" s="1814"/>
      <c r="DG430" s="1664"/>
      <c r="DH430" s="1677"/>
      <c r="DI430" s="1645"/>
      <c r="DJ430" s="1645"/>
      <c r="DK430" s="1645"/>
      <c r="DL430" s="1677"/>
      <c r="DM430" s="1645"/>
      <c r="DN430" s="1645"/>
      <c r="DO430" s="1645"/>
      <c r="DP430" s="1667"/>
      <c r="DQ430" s="1664"/>
      <c r="DR430" s="1668"/>
      <c r="DS430" s="1669"/>
      <c r="DT430" s="1637"/>
      <c r="DU430" s="1639"/>
      <c r="DV430" s="1639"/>
      <c r="DW430" s="1639"/>
      <c r="DX430" s="1637"/>
      <c r="DY430" s="1639"/>
      <c r="DZ430" s="1639"/>
      <c r="EA430" s="1639"/>
      <c r="EB430" s="1640"/>
      <c r="EC430" s="1641"/>
      <c r="ED430" s="1637"/>
      <c r="EE430" s="1639"/>
      <c r="EF430" s="1639"/>
      <c r="EG430" s="1639"/>
      <c r="EH430" s="1637"/>
      <c r="EI430" s="1639"/>
      <c r="EJ430" s="1639"/>
      <c r="EK430" s="1639"/>
      <c r="EL430" s="1640"/>
      <c r="EM430" s="1641"/>
      <c r="EN430" s="1668"/>
      <c r="EO430" s="1671"/>
      <c r="EP430" s="1637"/>
      <c r="EQ430" s="1639"/>
      <c r="ER430" s="1639"/>
      <c r="ES430" s="1639"/>
      <c r="ET430" s="1637"/>
      <c r="EU430" s="1639"/>
      <c r="EV430" s="1639"/>
      <c r="EW430" s="1639"/>
      <c r="EX430" s="1641"/>
      <c r="EY430" s="1641"/>
      <c r="EZ430" s="1637"/>
      <c r="FA430" s="1639"/>
      <c r="FB430" s="1639"/>
      <c r="FC430" s="1639"/>
      <c r="FD430" s="1637"/>
      <c r="FE430" s="1639"/>
      <c r="FF430" s="1639"/>
      <c r="FG430" s="1639"/>
      <c r="FH430" s="1641"/>
      <c r="FI430" s="1641"/>
      <c r="FJ430" s="1668"/>
    </row>
    <row r="431" spans="1:166" ht="14" customHeight="1">
      <c r="A431" s="79" t="s">
        <v>153</v>
      </c>
      <c r="B431" s="768">
        <v>17</v>
      </c>
      <c r="C431" s="768"/>
      <c r="D431" s="768"/>
      <c r="E431" s="608" t="s">
        <v>1955</v>
      </c>
      <c r="F431" s="181" t="s">
        <v>2177</v>
      </c>
      <c r="G431" s="182">
        <v>1998</v>
      </c>
      <c r="H431" s="79">
        <v>9821567</v>
      </c>
      <c r="I431" s="79">
        <v>1</v>
      </c>
      <c r="J431" s="79"/>
      <c r="K431" s="79"/>
      <c r="L431" s="79">
        <v>1</v>
      </c>
      <c r="M431" s="79"/>
      <c r="N431" s="79">
        <v>1</v>
      </c>
      <c r="O431" s="128">
        <v>1</v>
      </c>
      <c r="P431" s="79" t="s">
        <v>468</v>
      </c>
      <c r="Q431" s="79" t="s">
        <v>1162</v>
      </c>
      <c r="R431" s="79" t="s">
        <v>25</v>
      </c>
      <c r="S431" s="79">
        <v>1</v>
      </c>
      <c r="T431" s="79"/>
      <c r="U431" s="79"/>
      <c r="V431" s="79"/>
      <c r="W431" s="79" t="s">
        <v>11</v>
      </c>
      <c r="X431" s="79" t="s">
        <v>24</v>
      </c>
      <c r="Y431" s="79" t="s">
        <v>13</v>
      </c>
      <c r="Z431" s="79"/>
      <c r="AA431" s="79"/>
      <c r="AB431" s="79"/>
      <c r="AC431" s="506"/>
      <c r="AD431" s="573">
        <v>1</v>
      </c>
      <c r="AE431" s="573">
        <v>2</v>
      </c>
      <c r="AF431" s="352">
        <v>1</v>
      </c>
      <c r="AG431" s="353" t="s">
        <v>8162</v>
      </c>
      <c r="AH431" s="963" t="s">
        <v>7805</v>
      </c>
      <c r="AI431" s="346">
        <v>0</v>
      </c>
      <c r="AJ431" s="487"/>
      <c r="AK431" s="459" t="s">
        <v>2881</v>
      </c>
      <c r="AL431" s="348">
        <v>1</v>
      </c>
      <c r="AM431" s="349">
        <v>0</v>
      </c>
      <c r="AN431" s="346">
        <f>Table66[[#This Row],[Data_Subjects_n_ptsd]]+Table66[[#This Row],[Data_Subjects_n_control]]</f>
        <v>51</v>
      </c>
      <c r="AO431" s="346">
        <f>34</f>
        <v>34</v>
      </c>
      <c r="AP431" s="346">
        <v>17</v>
      </c>
      <c r="AQ431" s="346" t="s">
        <v>24</v>
      </c>
      <c r="AR431" s="346" t="s">
        <v>24</v>
      </c>
      <c r="AS431" s="186">
        <v>46</v>
      </c>
      <c r="AT431" s="186">
        <v>3.4</v>
      </c>
      <c r="AU431" s="186">
        <v>42.2</v>
      </c>
      <c r="AV431" s="186">
        <v>4.8</v>
      </c>
      <c r="AW431" s="186" t="s">
        <v>1874</v>
      </c>
      <c r="AX431" s="346"/>
      <c r="AY431" s="346"/>
      <c r="AZ431" s="346" t="s">
        <v>1874</v>
      </c>
      <c r="BA431" s="346" t="s">
        <v>24</v>
      </c>
      <c r="BB431" s="346" t="s">
        <v>24</v>
      </c>
      <c r="BC431" s="346" t="s">
        <v>8156</v>
      </c>
      <c r="BD431" s="346" t="s">
        <v>7521</v>
      </c>
      <c r="BE431" s="187">
        <v>1</v>
      </c>
      <c r="BF431" s="346" t="s">
        <v>2875</v>
      </c>
      <c r="BG431" s="346" t="s">
        <v>2876</v>
      </c>
      <c r="BH431" s="598"/>
      <c r="BI431" s="598"/>
      <c r="BJ431" s="184">
        <v>1</v>
      </c>
      <c r="BK431" s="184"/>
      <c r="BL431" s="184"/>
      <c r="BM431" s="184"/>
      <c r="BN431" s="184"/>
      <c r="BO431" s="184"/>
      <c r="BP431" s="184"/>
      <c r="BQ431" s="184"/>
      <c r="BR431" s="184"/>
      <c r="BS431" s="184"/>
      <c r="BT431" s="184"/>
      <c r="BU431" s="184"/>
      <c r="BV431" s="184"/>
      <c r="BW431" s="600" t="s">
        <v>2879</v>
      </c>
      <c r="BX431" s="185" t="s">
        <v>6598</v>
      </c>
      <c r="BY431" s="812" t="s">
        <v>7615</v>
      </c>
      <c r="BZ431" s="791" t="s">
        <v>803</v>
      </c>
      <c r="CA431" s="765">
        <v>4</v>
      </c>
      <c r="CB431" s="765" t="s">
        <v>7556</v>
      </c>
      <c r="CC431" s="765" t="s">
        <v>7384</v>
      </c>
      <c r="CD431" s="186" t="s">
        <v>1876</v>
      </c>
      <c r="CE431" s="186">
        <v>3</v>
      </c>
      <c r="CF431" s="186"/>
      <c r="CG431" s="186" t="s">
        <v>7825</v>
      </c>
      <c r="CH431" s="186" t="s">
        <v>1488</v>
      </c>
      <c r="CI431" s="186" t="s">
        <v>24</v>
      </c>
      <c r="CJ431" s="186">
        <v>1</v>
      </c>
      <c r="CK431" s="186" t="s">
        <v>2878</v>
      </c>
      <c r="CL431" s="186" t="s">
        <v>6638</v>
      </c>
      <c r="CM431" s="261" t="s">
        <v>2906</v>
      </c>
      <c r="CN431" s="620" t="s">
        <v>6627</v>
      </c>
      <c r="CO431" s="830">
        <v>25</v>
      </c>
      <c r="CP431" s="830">
        <v>1</v>
      </c>
      <c r="CQ431" s="830">
        <v>6</v>
      </c>
      <c r="CR431" s="830">
        <v>1</v>
      </c>
      <c r="CS431" s="830">
        <v>1</v>
      </c>
      <c r="CT431" s="969"/>
      <c r="CU431" s="1288" t="s">
        <v>8103</v>
      </c>
      <c r="CV431" s="1295">
        <v>14</v>
      </c>
      <c r="CW431" s="1295">
        <v>14</v>
      </c>
      <c r="CX431" s="267" t="s">
        <v>7820</v>
      </c>
      <c r="CY431" s="186">
        <f>CY420-CY418</f>
        <v>-3.1739999999999782</v>
      </c>
      <c r="CZ431" s="855" t="s">
        <v>24</v>
      </c>
      <c r="DA431" s="855" t="s">
        <v>24</v>
      </c>
      <c r="DB431" s="267" t="s">
        <v>7822</v>
      </c>
      <c r="DC431" s="186">
        <f>DC421-DC419</f>
        <v>94.38000000000001</v>
      </c>
      <c r="DD431" s="855" t="s">
        <v>24</v>
      </c>
      <c r="DE431" s="855" t="s">
        <v>24</v>
      </c>
      <c r="DF431" s="1813"/>
      <c r="DG431" s="295"/>
      <c r="DH431" s="346"/>
      <c r="DI431" s="346"/>
      <c r="DJ431" s="346"/>
      <c r="DK431" s="346"/>
      <c r="DL431" s="1278"/>
      <c r="DM431" s="346"/>
      <c r="DN431" s="346"/>
      <c r="DO431" s="346"/>
      <c r="DP431" s="294"/>
      <c r="DQ431" s="295"/>
      <c r="DR431" s="1168"/>
      <c r="DS431" s="865"/>
      <c r="DT431" s="1192"/>
      <c r="DU431" s="1189"/>
      <c r="DV431" s="1189"/>
      <c r="DW431" s="1189"/>
      <c r="DX431" s="1189"/>
      <c r="DY431" s="1189"/>
      <c r="DZ431" s="1189"/>
      <c r="EA431" s="1189"/>
      <c r="EB431" s="1193"/>
      <c r="EC431" s="1190"/>
      <c r="ED431" s="1189"/>
      <c r="EE431" s="1189"/>
      <c r="EF431" s="1189"/>
      <c r="EG431" s="346"/>
      <c r="EH431" s="1192"/>
      <c r="EI431" s="346"/>
      <c r="EJ431" s="1189"/>
      <c r="EK431" s="346"/>
      <c r="EL431" s="1193"/>
      <c r="EM431" s="1190"/>
      <c r="EN431" s="319"/>
      <c r="EO431" s="1191"/>
      <c r="EP431" s="1192"/>
      <c r="EQ431" s="1189"/>
      <c r="ER431" s="1189"/>
      <c r="ES431" s="1189"/>
      <c r="ET431" s="1192"/>
      <c r="EU431" s="1189"/>
      <c r="EV431" s="1189"/>
      <c r="EW431" s="1189"/>
      <c r="EX431" s="1190"/>
      <c r="EY431" s="1190"/>
      <c r="EZ431" s="1192"/>
      <c r="FA431" s="1189"/>
      <c r="FB431" s="1189"/>
      <c r="FC431" s="1189"/>
      <c r="FD431" s="1192"/>
      <c r="FE431" s="1189"/>
      <c r="FF431" s="1189"/>
      <c r="FG431" s="1189"/>
      <c r="FH431" s="1190"/>
      <c r="FI431" s="1190"/>
      <c r="FJ431" s="1191"/>
    </row>
    <row r="432" spans="1:166" ht="14" customHeight="1">
      <c r="A432" s="79" t="s">
        <v>153</v>
      </c>
      <c r="B432" s="768">
        <v>17</v>
      </c>
      <c r="C432" s="768"/>
      <c r="D432" s="768"/>
      <c r="E432" s="608" t="s">
        <v>1955</v>
      </c>
      <c r="F432" s="181" t="s">
        <v>2177</v>
      </c>
      <c r="G432" s="182">
        <v>1998</v>
      </c>
      <c r="H432" s="79">
        <v>9821567</v>
      </c>
      <c r="I432" s="79">
        <v>1</v>
      </c>
      <c r="J432" s="79"/>
      <c r="K432" s="79"/>
      <c r="L432" s="79">
        <v>1</v>
      </c>
      <c r="M432" s="79"/>
      <c r="N432" s="79">
        <v>1</v>
      </c>
      <c r="O432" s="128">
        <v>1</v>
      </c>
      <c r="P432" s="79" t="s">
        <v>468</v>
      </c>
      <c r="Q432" s="79" t="s">
        <v>1162</v>
      </c>
      <c r="R432" s="79" t="s">
        <v>25</v>
      </c>
      <c r="S432" s="79">
        <v>1</v>
      </c>
      <c r="T432" s="79"/>
      <c r="U432" s="79"/>
      <c r="V432" s="79"/>
      <c r="W432" s="79" t="s">
        <v>11</v>
      </c>
      <c r="X432" s="79" t="s">
        <v>24</v>
      </c>
      <c r="Y432" s="79" t="s">
        <v>13</v>
      </c>
      <c r="Z432" s="79"/>
      <c r="AA432" s="79"/>
      <c r="AB432" s="79"/>
      <c r="AC432" s="506"/>
      <c r="AD432" s="573">
        <v>1</v>
      </c>
      <c r="AE432" s="573">
        <v>2</v>
      </c>
      <c r="AF432" s="352">
        <v>1</v>
      </c>
      <c r="AG432" s="353" t="s">
        <v>8162</v>
      </c>
      <c r="AH432" s="963" t="s">
        <v>7805</v>
      </c>
      <c r="AI432" s="346">
        <v>0</v>
      </c>
      <c r="AJ432" s="487"/>
      <c r="AK432" s="459" t="s">
        <v>2881</v>
      </c>
      <c r="AL432" s="348">
        <v>1</v>
      </c>
      <c r="AM432" s="349">
        <v>0</v>
      </c>
      <c r="AN432" s="346">
        <f>Table66[[#This Row],[Data_Subjects_n_ptsd]]+Table66[[#This Row],[Data_Subjects_n_control]]</f>
        <v>51</v>
      </c>
      <c r="AO432" s="346">
        <f>34</f>
        <v>34</v>
      </c>
      <c r="AP432" s="346">
        <v>17</v>
      </c>
      <c r="AQ432" s="346" t="s">
        <v>24</v>
      </c>
      <c r="AR432" s="346" t="s">
        <v>24</v>
      </c>
      <c r="AS432" s="186">
        <v>46</v>
      </c>
      <c r="AT432" s="186">
        <v>3.4</v>
      </c>
      <c r="AU432" s="186">
        <v>42.2</v>
      </c>
      <c r="AV432" s="186">
        <v>4.8</v>
      </c>
      <c r="AW432" s="186" t="s">
        <v>1874</v>
      </c>
      <c r="AX432" s="346"/>
      <c r="AY432" s="346"/>
      <c r="AZ432" s="346" t="s">
        <v>1874</v>
      </c>
      <c r="BA432" s="346" t="s">
        <v>24</v>
      </c>
      <c r="BB432" s="346" t="s">
        <v>24</v>
      </c>
      <c r="BC432" s="346" t="s">
        <v>2874</v>
      </c>
      <c r="BD432" s="346" t="s">
        <v>7521</v>
      </c>
      <c r="BE432" s="187">
        <v>1</v>
      </c>
      <c r="BF432" s="346" t="s">
        <v>2875</v>
      </c>
      <c r="BG432" s="346" t="s">
        <v>2876</v>
      </c>
      <c r="BH432" s="598"/>
      <c r="BI432" s="598"/>
      <c r="BJ432" s="184">
        <v>1</v>
      </c>
      <c r="BK432" s="184"/>
      <c r="BL432" s="184"/>
      <c r="BM432" s="184"/>
      <c r="BN432" s="184"/>
      <c r="BO432" s="184"/>
      <c r="BP432" s="184"/>
      <c r="BQ432" s="184"/>
      <c r="BR432" s="184"/>
      <c r="BS432" s="184"/>
      <c r="BT432" s="184"/>
      <c r="BU432" s="184"/>
      <c r="BV432" s="184"/>
      <c r="BW432" s="600" t="s">
        <v>2879</v>
      </c>
      <c r="BX432" s="185" t="s">
        <v>6598</v>
      </c>
      <c r="BY432" s="812" t="s">
        <v>7615</v>
      </c>
      <c r="BZ432" s="791" t="s">
        <v>803</v>
      </c>
      <c r="CA432" s="765">
        <v>4</v>
      </c>
      <c r="CB432" s="765" t="s">
        <v>7556</v>
      </c>
      <c r="CC432" s="765" t="s">
        <v>7384</v>
      </c>
      <c r="CD432" s="186" t="s">
        <v>1876</v>
      </c>
      <c r="CE432" s="186">
        <v>3</v>
      </c>
      <c r="CF432" s="186"/>
      <c r="CG432" s="186" t="s">
        <v>7825</v>
      </c>
      <c r="CH432" s="186" t="s">
        <v>1488</v>
      </c>
      <c r="CI432" s="186" t="s">
        <v>24</v>
      </c>
      <c r="CJ432" s="186">
        <v>1</v>
      </c>
      <c r="CK432" s="186" t="s">
        <v>2878</v>
      </c>
      <c r="CL432" s="186" t="s">
        <v>6638</v>
      </c>
      <c r="CM432" s="261" t="s">
        <v>2906</v>
      </c>
      <c r="CN432" s="620" t="s">
        <v>6627</v>
      </c>
      <c r="CO432" s="830">
        <v>25</v>
      </c>
      <c r="CP432" s="830">
        <v>1</v>
      </c>
      <c r="CQ432" s="830">
        <v>3</v>
      </c>
      <c r="CR432" s="830">
        <v>1</v>
      </c>
      <c r="CS432" s="830">
        <v>1</v>
      </c>
      <c r="CT432" s="969"/>
      <c r="CU432" s="1288" t="s">
        <v>8103</v>
      </c>
      <c r="CV432" s="1295">
        <v>14</v>
      </c>
      <c r="CW432" s="1295">
        <v>14</v>
      </c>
      <c r="CX432" s="267" t="s">
        <v>7819</v>
      </c>
      <c r="CY432" s="186">
        <f>CY422-CY420</f>
        <v>46.218999999999994</v>
      </c>
      <c r="CZ432" s="855" t="s">
        <v>24</v>
      </c>
      <c r="DA432" s="855" t="s">
        <v>24</v>
      </c>
      <c r="DB432" s="267" t="s">
        <v>7822</v>
      </c>
      <c r="DC432" s="186">
        <f>DC422-DC420</f>
        <v>133.31870000000001</v>
      </c>
      <c r="DD432" s="855" t="s">
        <v>24</v>
      </c>
      <c r="DE432" s="855" t="s">
        <v>24</v>
      </c>
      <c r="DF432" s="1813"/>
      <c r="DG432" s="295"/>
      <c r="DH432" s="346"/>
      <c r="DI432" s="346"/>
      <c r="DJ432" s="1189"/>
      <c r="DK432" s="346"/>
      <c r="DL432" s="1192"/>
      <c r="DM432" s="346"/>
      <c r="DN432" s="1189"/>
      <c r="DO432" s="346"/>
      <c r="DP432" s="294"/>
      <c r="DQ432" s="295"/>
      <c r="DR432" s="280"/>
      <c r="DS432" s="865"/>
      <c r="DT432" s="1192"/>
      <c r="DU432" s="346"/>
      <c r="DV432" s="1189"/>
      <c r="DW432" s="346"/>
      <c r="DX432" s="1189"/>
      <c r="DY432" s="346"/>
      <c r="DZ432" s="1189"/>
      <c r="EA432" s="1189"/>
      <c r="EB432" s="1193"/>
      <c r="EC432" s="1190"/>
      <c r="ED432" s="1189"/>
      <c r="EE432" s="1189"/>
      <c r="EF432" s="1189"/>
      <c r="EG432" s="1189"/>
      <c r="EH432" s="1192"/>
      <c r="EI432" s="1189"/>
      <c r="EJ432" s="1189"/>
      <c r="EK432" s="1189"/>
      <c r="EL432" s="1193"/>
      <c r="EM432" s="1190"/>
      <c r="EN432" s="319"/>
      <c r="EO432" s="1191"/>
      <c r="EP432" s="1192"/>
      <c r="EQ432" s="1189"/>
      <c r="ER432" s="1189"/>
      <c r="ES432" s="1189"/>
      <c r="ET432" s="1192"/>
      <c r="EU432" s="1189"/>
      <c r="EV432" s="1189"/>
      <c r="EW432" s="1189"/>
      <c r="EX432" s="1190"/>
      <c r="EY432" s="1190"/>
      <c r="EZ432" s="1192"/>
      <c r="FA432" s="1189"/>
      <c r="FB432" s="1189"/>
      <c r="FC432" s="1189"/>
      <c r="FD432" s="1192"/>
      <c r="FE432" s="1189"/>
      <c r="FF432" s="1189"/>
      <c r="FG432" s="1189"/>
      <c r="FH432" s="1190"/>
      <c r="FI432" s="1190"/>
      <c r="FJ432" s="1191"/>
    </row>
    <row r="433" spans="1:166" ht="14" customHeight="1">
      <c r="A433" s="118" t="s">
        <v>153</v>
      </c>
      <c r="B433" s="614">
        <v>17</v>
      </c>
      <c r="C433" s="614"/>
      <c r="D433" s="614"/>
      <c r="E433" s="605" t="s">
        <v>1955</v>
      </c>
      <c r="F433" s="140" t="s">
        <v>2177</v>
      </c>
      <c r="G433" s="141">
        <v>1998</v>
      </c>
      <c r="H433" s="118">
        <v>9821567</v>
      </c>
      <c r="I433" s="118">
        <v>1</v>
      </c>
      <c r="J433" s="118"/>
      <c r="K433" s="118"/>
      <c r="L433" s="118">
        <v>1</v>
      </c>
      <c r="M433" s="118"/>
      <c r="N433" s="118">
        <v>1</v>
      </c>
      <c r="O433" s="142">
        <v>1</v>
      </c>
      <c r="P433" s="118" t="s">
        <v>468</v>
      </c>
      <c r="Q433" s="118" t="s">
        <v>1162</v>
      </c>
      <c r="R433" s="118" t="s">
        <v>25</v>
      </c>
      <c r="S433" s="118">
        <v>1</v>
      </c>
      <c r="T433" s="118"/>
      <c r="U433" s="118"/>
      <c r="V433" s="118"/>
      <c r="W433" s="118" t="s">
        <v>11</v>
      </c>
      <c r="X433" s="118" t="s">
        <v>24</v>
      </c>
      <c r="Y433" s="118" t="s">
        <v>13</v>
      </c>
      <c r="Z433" s="118"/>
      <c r="AA433" s="118"/>
      <c r="AB433" s="118"/>
      <c r="AC433" s="145"/>
      <c r="AD433" s="573">
        <v>1</v>
      </c>
      <c r="AE433" s="573">
        <v>2</v>
      </c>
      <c r="AF433" s="159">
        <v>1</v>
      </c>
      <c r="AG433" s="353" t="s">
        <v>8162</v>
      </c>
      <c r="AH433" s="887" t="s">
        <v>7805</v>
      </c>
      <c r="AI433" s="122">
        <v>0</v>
      </c>
      <c r="AJ433" s="485"/>
      <c r="AK433" s="204" t="s">
        <v>2909</v>
      </c>
      <c r="AL433" s="192">
        <v>1</v>
      </c>
      <c r="AM433" s="205">
        <v>0</v>
      </c>
      <c r="AN433" s="121">
        <f>Table66[[#This Row],[Data_Subjects_n_ptsd]]+Table66[[#This Row],[Data_Subjects_n_control]]</f>
        <v>51</v>
      </c>
      <c r="AO433" s="121">
        <f>34</f>
        <v>34</v>
      </c>
      <c r="AP433" s="121">
        <v>17</v>
      </c>
      <c r="AQ433" s="121" t="s">
        <v>24</v>
      </c>
      <c r="AR433" s="121" t="s">
        <v>24</v>
      </c>
      <c r="AS433" s="134">
        <v>46</v>
      </c>
      <c r="AT433" s="134">
        <v>3.4</v>
      </c>
      <c r="AU433" s="134">
        <v>42.2</v>
      </c>
      <c r="AV433" s="134">
        <v>4.8</v>
      </c>
      <c r="AW433" s="134" t="s">
        <v>1874</v>
      </c>
      <c r="AX433" s="121"/>
      <c r="AY433" s="121"/>
      <c r="AZ433" s="754" t="s">
        <v>1874</v>
      </c>
      <c r="BA433" s="121" t="s">
        <v>24</v>
      </c>
      <c r="BB433" s="121" t="s">
        <v>24</v>
      </c>
      <c r="BC433" s="121" t="s">
        <v>2874</v>
      </c>
      <c r="BD433" s="754" t="s">
        <v>7521</v>
      </c>
      <c r="BE433" s="187">
        <v>1</v>
      </c>
      <c r="BF433" s="122" t="s">
        <v>2875</v>
      </c>
      <c r="BG433" s="122" t="s">
        <v>2876</v>
      </c>
      <c r="BH433" s="588"/>
      <c r="BI433" s="588"/>
      <c r="BJ433" s="161">
        <v>1</v>
      </c>
      <c r="BK433" s="161"/>
      <c r="BL433" s="161"/>
      <c r="BM433" s="161"/>
      <c r="BN433" s="161"/>
      <c r="BO433" s="161"/>
      <c r="BP433" s="161"/>
      <c r="BQ433" s="161"/>
      <c r="BR433" s="161"/>
      <c r="BS433" s="161"/>
      <c r="BT433" s="161"/>
      <c r="BU433" s="161"/>
      <c r="BV433" s="161"/>
      <c r="BW433" s="596" t="s">
        <v>2880</v>
      </c>
      <c r="BX433" s="162" t="s">
        <v>6596</v>
      </c>
      <c r="BY433" s="797" t="s">
        <v>7615</v>
      </c>
      <c r="BZ433" s="790" t="s">
        <v>803</v>
      </c>
      <c r="CA433" s="765">
        <v>4</v>
      </c>
      <c r="CB433" s="765" t="s">
        <v>7556</v>
      </c>
      <c r="CC433" s="765" t="s">
        <v>7807</v>
      </c>
      <c r="CD433" s="150" t="s">
        <v>1876</v>
      </c>
      <c r="CE433" s="150">
        <v>3</v>
      </c>
      <c r="CF433" s="400"/>
      <c r="CG433" s="150" t="s">
        <v>2877</v>
      </c>
      <c r="CH433" s="753" t="s">
        <v>1488</v>
      </c>
      <c r="CI433" s="150" t="s">
        <v>24</v>
      </c>
      <c r="CJ433" s="150"/>
      <c r="CK433" s="150" t="s">
        <v>2878</v>
      </c>
      <c r="CL433" s="150" t="s">
        <v>6638</v>
      </c>
      <c r="CM433" s="258" t="s">
        <v>2908</v>
      </c>
      <c r="CN433" s="257">
        <v>0</v>
      </c>
      <c r="CO433" s="830">
        <v>25</v>
      </c>
      <c r="CP433" s="829">
        <v>1</v>
      </c>
      <c r="CQ433" s="829">
        <v>8</v>
      </c>
      <c r="CR433" s="829">
        <v>1</v>
      </c>
      <c r="CS433" s="829">
        <v>1</v>
      </c>
      <c r="CT433" s="968" t="s">
        <v>7836</v>
      </c>
      <c r="CU433" s="1288" t="s">
        <v>8103</v>
      </c>
      <c r="CV433" s="1295">
        <v>14</v>
      </c>
      <c r="CW433" s="1295">
        <v>14</v>
      </c>
      <c r="CX433" s="151" t="s">
        <v>2903</v>
      </c>
      <c r="CY433" s="150">
        <v>316.15499999999997</v>
      </c>
      <c r="CZ433" s="855" t="s">
        <v>24</v>
      </c>
      <c r="DA433" s="855" t="s">
        <v>24</v>
      </c>
      <c r="DB433" s="151" t="s">
        <v>2901</v>
      </c>
      <c r="DC433" s="150">
        <v>142.31200000000001</v>
      </c>
      <c r="DD433" s="855" t="s">
        <v>24</v>
      </c>
      <c r="DE433" s="855" t="s">
        <v>24</v>
      </c>
      <c r="DF433" s="1113" t="s">
        <v>2907</v>
      </c>
      <c r="DG433" s="295"/>
      <c r="DH433" s="526"/>
      <c r="DI433" s="122"/>
      <c r="DJ433" s="122"/>
      <c r="DK433" s="122"/>
      <c r="DL433" s="526"/>
      <c r="DM433" s="122"/>
      <c r="DN433" s="122"/>
      <c r="DO433" s="122"/>
      <c r="DP433" s="290"/>
      <c r="DQ433" s="291"/>
      <c r="DR433" s="1168"/>
      <c r="DS433" s="865"/>
      <c r="DT433" s="1166"/>
      <c r="DU433" s="1164"/>
      <c r="DV433" s="1164"/>
      <c r="DW433" s="1164"/>
      <c r="DX433" s="1166"/>
      <c r="DY433" s="1164"/>
      <c r="DZ433" s="1164"/>
      <c r="EA433" s="1164"/>
      <c r="EB433" s="311"/>
      <c r="EC433" s="313"/>
      <c r="ED433" s="1166"/>
      <c r="EE433" s="1164"/>
      <c r="EF433" s="1164"/>
      <c r="EG433" s="1164"/>
      <c r="EH433" s="1166"/>
      <c r="EI433" s="1164"/>
      <c r="EJ433" s="1164"/>
      <c r="EK433" s="1164"/>
      <c r="EL433" s="311"/>
      <c r="EM433" s="313"/>
      <c r="EN433" s="1167"/>
      <c r="EO433" s="1165"/>
      <c r="EP433" s="1166"/>
      <c r="EQ433" s="1164"/>
      <c r="ER433" s="1164"/>
      <c r="ES433" s="1164"/>
      <c r="ET433" s="1166"/>
      <c r="EU433" s="1164"/>
      <c r="EV433" s="1164"/>
      <c r="EW433" s="1164"/>
      <c r="EX433" s="313"/>
      <c r="EY433" s="313"/>
      <c r="EZ433" s="1166"/>
      <c r="FA433" s="1164"/>
      <c r="FB433" s="1164"/>
      <c r="FC433" s="1164"/>
      <c r="FD433" s="1166"/>
      <c r="FE433" s="1164"/>
      <c r="FF433" s="1164"/>
      <c r="FG433" s="1164"/>
      <c r="FH433" s="313"/>
      <c r="FI433" s="313"/>
      <c r="FJ433" s="1167"/>
    </row>
    <row r="434" spans="1:166" s="1019" customFormat="1" ht="14" customHeight="1">
      <c r="A434" s="118" t="s">
        <v>153</v>
      </c>
      <c r="B434" s="614">
        <v>17</v>
      </c>
      <c r="C434" s="614"/>
      <c r="D434" s="614"/>
      <c r="E434" s="605" t="s">
        <v>1955</v>
      </c>
      <c r="F434" s="140" t="s">
        <v>2177</v>
      </c>
      <c r="G434" s="141">
        <v>1998</v>
      </c>
      <c r="H434" s="118">
        <v>9821567</v>
      </c>
      <c r="I434" s="118">
        <v>1</v>
      </c>
      <c r="J434" s="118"/>
      <c r="K434" s="118"/>
      <c r="L434" s="118">
        <v>1</v>
      </c>
      <c r="M434" s="118"/>
      <c r="N434" s="118">
        <v>1</v>
      </c>
      <c r="O434" s="142">
        <v>1</v>
      </c>
      <c r="P434" s="118" t="s">
        <v>468</v>
      </c>
      <c r="Q434" s="118" t="s">
        <v>1162</v>
      </c>
      <c r="R434" s="118" t="s">
        <v>25</v>
      </c>
      <c r="S434" s="118">
        <v>1</v>
      </c>
      <c r="T434" s="118"/>
      <c r="U434" s="118"/>
      <c r="V434" s="118"/>
      <c r="W434" s="118" t="s">
        <v>11</v>
      </c>
      <c r="X434" s="118" t="s">
        <v>24</v>
      </c>
      <c r="Y434" s="118" t="s">
        <v>13</v>
      </c>
      <c r="Z434" s="118"/>
      <c r="AA434" s="118"/>
      <c r="AB434" s="118"/>
      <c r="AC434" s="145"/>
      <c r="AD434" s="573">
        <v>1</v>
      </c>
      <c r="AE434" s="573">
        <v>2</v>
      </c>
      <c r="AF434" s="159">
        <v>1</v>
      </c>
      <c r="AG434" s="353" t="s">
        <v>8162</v>
      </c>
      <c r="AH434" s="887" t="s">
        <v>7805</v>
      </c>
      <c r="AI434" s="122">
        <v>0</v>
      </c>
      <c r="AJ434" s="485"/>
      <c r="AK434" s="204" t="s">
        <v>2909</v>
      </c>
      <c r="AL434" s="192">
        <v>1</v>
      </c>
      <c r="AM434" s="205">
        <v>0</v>
      </c>
      <c r="AN434" s="121">
        <f>Table66[[#This Row],[Data_Subjects_n_ptsd]]+Table66[[#This Row],[Data_Subjects_n_control]]</f>
        <v>51</v>
      </c>
      <c r="AO434" s="121">
        <f>34</f>
        <v>34</v>
      </c>
      <c r="AP434" s="121">
        <v>17</v>
      </c>
      <c r="AQ434" s="121" t="s">
        <v>24</v>
      </c>
      <c r="AR434" s="121" t="s">
        <v>24</v>
      </c>
      <c r="AS434" s="134">
        <v>46</v>
      </c>
      <c r="AT434" s="134">
        <v>3.4</v>
      </c>
      <c r="AU434" s="134">
        <v>42.2</v>
      </c>
      <c r="AV434" s="134">
        <v>4.8</v>
      </c>
      <c r="AW434" s="134" t="s">
        <v>1874</v>
      </c>
      <c r="AX434" s="121"/>
      <c r="AY434" s="121"/>
      <c r="AZ434" s="754" t="s">
        <v>1874</v>
      </c>
      <c r="BA434" s="121" t="s">
        <v>24</v>
      </c>
      <c r="BB434" s="121" t="s">
        <v>24</v>
      </c>
      <c r="BC434" s="121" t="s">
        <v>2874</v>
      </c>
      <c r="BD434" s="754" t="s">
        <v>7521</v>
      </c>
      <c r="BE434" s="187">
        <v>1</v>
      </c>
      <c r="BF434" s="122" t="s">
        <v>2875</v>
      </c>
      <c r="BG434" s="122" t="s">
        <v>2876</v>
      </c>
      <c r="BH434" s="588"/>
      <c r="BI434" s="588"/>
      <c r="BJ434" s="161">
        <v>1</v>
      </c>
      <c r="BK434" s="161"/>
      <c r="BL434" s="161"/>
      <c r="BM434" s="161"/>
      <c r="BN434" s="161"/>
      <c r="BO434" s="161"/>
      <c r="BP434" s="161"/>
      <c r="BQ434" s="161"/>
      <c r="BR434" s="161"/>
      <c r="BS434" s="161"/>
      <c r="BT434" s="161"/>
      <c r="BU434" s="161"/>
      <c r="BV434" s="161"/>
      <c r="BW434" s="596" t="s">
        <v>2880</v>
      </c>
      <c r="BX434" s="162" t="s">
        <v>6596</v>
      </c>
      <c r="BY434" s="797" t="s">
        <v>7615</v>
      </c>
      <c r="BZ434" s="790" t="s">
        <v>803</v>
      </c>
      <c r="CA434" s="765">
        <v>4</v>
      </c>
      <c r="CB434" s="765" t="s">
        <v>7556</v>
      </c>
      <c r="CC434" s="765" t="s">
        <v>7808</v>
      </c>
      <c r="CD434" s="150" t="s">
        <v>1876</v>
      </c>
      <c r="CE434" s="150">
        <v>3</v>
      </c>
      <c r="CF434" s="400"/>
      <c r="CG434" s="150" t="s">
        <v>2877</v>
      </c>
      <c r="CH434" s="753" t="s">
        <v>1488</v>
      </c>
      <c r="CI434" s="150" t="s">
        <v>24</v>
      </c>
      <c r="CJ434" s="150"/>
      <c r="CK434" s="150" t="s">
        <v>2878</v>
      </c>
      <c r="CL434" s="150" t="s">
        <v>6638</v>
      </c>
      <c r="CM434" s="258" t="s">
        <v>2908</v>
      </c>
      <c r="CN434" s="257">
        <v>0</v>
      </c>
      <c r="CO434" s="830">
        <v>25</v>
      </c>
      <c r="CP434" s="829">
        <v>1</v>
      </c>
      <c r="CQ434" s="829">
        <v>11</v>
      </c>
      <c r="CR434" s="829">
        <v>1</v>
      </c>
      <c r="CS434" s="829">
        <v>-1</v>
      </c>
      <c r="CT434" s="968" t="s">
        <v>7837</v>
      </c>
      <c r="CU434" s="1288" t="s">
        <v>8103</v>
      </c>
      <c r="CV434" s="1295">
        <v>14</v>
      </c>
      <c r="CW434" s="1295">
        <v>14</v>
      </c>
      <c r="CX434" s="151" t="s">
        <v>2904</v>
      </c>
      <c r="CY434" s="150">
        <v>184.51900000000001</v>
      </c>
      <c r="CZ434" s="855" t="s">
        <v>24</v>
      </c>
      <c r="DA434" s="855" t="s">
        <v>24</v>
      </c>
      <c r="DB434" s="151" t="s">
        <v>2902</v>
      </c>
      <c r="DC434" s="150">
        <v>62.982300000000002</v>
      </c>
      <c r="DD434" s="855" t="s">
        <v>24</v>
      </c>
      <c r="DE434" s="855" t="s">
        <v>24</v>
      </c>
      <c r="DF434" s="1113" t="s">
        <v>2907</v>
      </c>
      <c r="DG434" s="295"/>
      <c r="DH434" s="526"/>
      <c r="DI434" s="122"/>
      <c r="DJ434" s="122"/>
      <c r="DK434" s="122"/>
      <c r="DL434" s="526"/>
      <c r="DM434" s="122"/>
      <c r="DN434" s="122"/>
      <c r="DO434" s="122"/>
      <c r="DP434" s="290"/>
      <c r="DQ434" s="291"/>
      <c r="DR434" s="1168"/>
      <c r="DS434" s="865"/>
      <c r="DT434" s="1166"/>
      <c r="DU434" s="1164"/>
      <c r="DV434" s="1164"/>
      <c r="DW434" s="1164"/>
      <c r="DX434" s="1166"/>
      <c r="DY434" s="1164"/>
      <c r="DZ434" s="1164"/>
      <c r="EA434" s="1164"/>
      <c r="EB434" s="311"/>
      <c r="EC434" s="313"/>
      <c r="ED434" s="1166"/>
      <c r="EE434" s="1164"/>
      <c r="EF434" s="1164"/>
      <c r="EG434" s="1164"/>
      <c r="EH434" s="1166"/>
      <c r="EI434" s="1164"/>
      <c r="EJ434" s="1164"/>
      <c r="EK434" s="1164"/>
      <c r="EL434" s="311"/>
      <c r="EM434" s="313"/>
      <c r="EN434" s="1167"/>
      <c r="EO434" s="1165"/>
      <c r="EP434" s="1166"/>
      <c r="EQ434" s="1164"/>
      <c r="ER434" s="1164"/>
      <c r="ES434" s="1164"/>
      <c r="ET434" s="1166"/>
      <c r="EU434" s="1164"/>
      <c r="EV434" s="1164"/>
      <c r="EW434" s="1164"/>
      <c r="EX434" s="313"/>
      <c r="EY434" s="313"/>
      <c r="EZ434" s="1166"/>
      <c r="FA434" s="1164"/>
      <c r="FB434" s="1164"/>
      <c r="FC434" s="1164"/>
      <c r="FD434" s="1166"/>
      <c r="FE434" s="1164"/>
      <c r="FF434" s="1164"/>
      <c r="FG434" s="1164"/>
      <c r="FH434" s="313"/>
      <c r="FI434" s="313"/>
      <c r="FJ434" s="1167"/>
    </row>
    <row r="435" spans="1:166" ht="14" customHeight="1">
      <c r="A435" s="1698" t="s">
        <v>1052</v>
      </c>
      <c r="B435" s="1699">
        <v>19</v>
      </c>
      <c r="C435" s="1699"/>
      <c r="D435" s="1699"/>
      <c r="E435" s="1700" t="s">
        <v>2075</v>
      </c>
      <c r="F435" s="181" t="s">
        <v>2329</v>
      </c>
      <c r="G435" s="1701">
        <v>2014</v>
      </c>
      <c r="H435" s="1698">
        <v>24335837</v>
      </c>
      <c r="I435" s="1698">
        <v>1</v>
      </c>
      <c r="J435" s="1698">
        <v>1</v>
      </c>
      <c r="K435" s="1698"/>
      <c r="L435" s="1698">
        <v>1</v>
      </c>
      <c r="M435" s="1698"/>
      <c r="N435" s="1698">
        <v>1</v>
      </c>
      <c r="O435" s="1698">
        <v>2</v>
      </c>
      <c r="P435" s="1698" t="s">
        <v>1347</v>
      </c>
      <c r="Q435" s="1698" t="s">
        <v>1224</v>
      </c>
      <c r="R435" s="1698" t="s">
        <v>1138</v>
      </c>
      <c r="S435" s="1698"/>
      <c r="T435" s="1698" t="s">
        <v>1499</v>
      </c>
      <c r="U435" s="1698" t="s">
        <v>803</v>
      </c>
      <c r="V435" s="1698" t="s">
        <v>23</v>
      </c>
      <c r="W435" s="1698" t="s">
        <v>1692</v>
      </c>
      <c r="X435" s="1698" t="s">
        <v>1348</v>
      </c>
      <c r="Y435" s="1698" t="s">
        <v>1349</v>
      </c>
      <c r="Z435" s="1698"/>
      <c r="AA435" s="1698" t="s">
        <v>1350</v>
      </c>
      <c r="AB435" s="1698"/>
      <c r="AC435" s="1702"/>
      <c r="AD435" s="1702">
        <v>1</v>
      </c>
      <c r="AE435" s="1702">
        <v>2</v>
      </c>
      <c r="AF435" s="1703">
        <v>1</v>
      </c>
      <c r="AG435" s="1704" t="s">
        <v>8176</v>
      </c>
      <c r="AH435" s="1705">
        <v>0</v>
      </c>
      <c r="AI435" s="1705">
        <v>5</v>
      </c>
      <c r="AJ435" s="1705"/>
      <c r="AK435" s="1720" t="s">
        <v>2933</v>
      </c>
      <c r="AL435" s="1706">
        <v>1</v>
      </c>
      <c r="AM435" s="1707" t="s">
        <v>2934</v>
      </c>
      <c r="AN435" s="1705">
        <v>24</v>
      </c>
      <c r="AO435" s="1705">
        <v>12</v>
      </c>
      <c r="AP435" s="1705">
        <v>12</v>
      </c>
      <c r="AQ435" s="1705" t="s">
        <v>803</v>
      </c>
      <c r="AR435" s="1705" t="s">
        <v>803</v>
      </c>
      <c r="AS435" s="1705" t="s">
        <v>7499</v>
      </c>
      <c r="AT435" s="1705" t="s">
        <v>24</v>
      </c>
      <c r="AU435" s="1705" t="s">
        <v>7499</v>
      </c>
      <c r="AV435" s="1705" t="s">
        <v>24</v>
      </c>
      <c r="AW435" s="1705" t="s">
        <v>2944</v>
      </c>
      <c r="AX435" s="1705" t="s">
        <v>7644</v>
      </c>
      <c r="AY435" s="1705" t="s">
        <v>7645</v>
      </c>
      <c r="AZ435" s="1705" t="s">
        <v>7629</v>
      </c>
      <c r="BA435" s="1705">
        <v>1</v>
      </c>
      <c r="BB435" s="1705">
        <v>1</v>
      </c>
      <c r="BC435" s="1705" t="s">
        <v>7535</v>
      </c>
      <c r="BD435" s="1705" t="s">
        <v>7523</v>
      </c>
      <c r="BE435" s="1705"/>
      <c r="BF435" s="1705" t="s">
        <v>2932</v>
      </c>
      <c r="BG435" s="1705" t="s">
        <v>2554</v>
      </c>
      <c r="BH435" s="1706"/>
      <c r="BI435" s="1706"/>
      <c r="BJ435" s="1708">
        <v>1</v>
      </c>
      <c r="BK435" s="1708"/>
      <c r="BL435" s="1708"/>
      <c r="BM435" s="1708"/>
      <c r="BN435" s="1708"/>
      <c r="BO435" s="1708"/>
      <c r="BP435" s="1708"/>
      <c r="BQ435" s="1708"/>
      <c r="BR435" s="1708"/>
      <c r="BS435" s="1708"/>
      <c r="BT435" s="1708"/>
      <c r="BU435" s="1708"/>
      <c r="BV435" s="1708"/>
      <c r="BW435" s="1708" t="s">
        <v>7565</v>
      </c>
      <c r="BX435" s="1709" t="s">
        <v>6595</v>
      </c>
      <c r="BY435" s="1709" t="s">
        <v>7615</v>
      </c>
      <c r="BZ435" s="1709" t="s">
        <v>803</v>
      </c>
      <c r="CA435" s="1708">
        <v>4</v>
      </c>
      <c r="CB435" s="1708" t="s">
        <v>7556</v>
      </c>
      <c r="CC435" s="1708" t="s">
        <v>7384</v>
      </c>
      <c r="CD435" s="1705" t="s">
        <v>1876</v>
      </c>
      <c r="CE435" s="1705" t="s">
        <v>2942</v>
      </c>
      <c r="CF435" s="1705" t="s">
        <v>7580</v>
      </c>
      <c r="CG435" s="1705" t="s">
        <v>7323</v>
      </c>
      <c r="CH435" s="1705" t="s">
        <v>1488</v>
      </c>
      <c r="CI435" s="1705" t="s">
        <v>2471</v>
      </c>
      <c r="CJ435" s="1705"/>
      <c r="CK435" s="1705" t="s">
        <v>2945</v>
      </c>
      <c r="CL435" s="1705" t="s">
        <v>6640</v>
      </c>
      <c r="CM435" s="1710" t="s">
        <v>2949</v>
      </c>
      <c r="CN435" s="1711" t="s">
        <v>6627</v>
      </c>
      <c r="CO435" s="1711">
        <v>30</v>
      </c>
      <c r="CP435" s="1711">
        <v>1</v>
      </c>
      <c r="CQ435" s="1711">
        <v>1</v>
      </c>
      <c r="CR435" s="1711">
        <v>1</v>
      </c>
      <c r="CS435" s="1711">
        <v>1</v>
      </c>
      <c r="CT435" s="1711"/>
      <c r="CU435" s="1711" t="s">
        <v>8104</v>
      </c>
      <c r="CV435" s="1710">
        <v>141</v>
      </c>
      <c r="CW435" s="1710">
        <v>132</v>
      </c>
      <c r="CX435" s="1709" t="s">
        <v>2953</v>
      </c>
      <c r="CY435" s="1705">
        <v>67.2667</v>
      </c>
      <c r="CZ435" s="1705">
        <f>84.4451-Table66[[#This Row],[Data_Outcome1_M]]</f>
        <v>17.178399999999996</v>
      </c>
      <c r="DA435" s="1705" t="s">
        <v>24</v>
      </c>
      <c r="DB435" s="1709" t="s">
        <v>2952</v>
      </c>
      <c r="DC435" s="1705">
        <v>22.13</v>
      </c>
      <c r="DD435" s="1705">
        <f>36.5472-Table66[[#This Row],[Data_Outcome2_M]]</f>
        <v>14.417199999999998</v>
      </c>
      <c r="DE435" s="1705" t="s">
        <v>24</v>
      </c>
      <c r="DF435" s="1710" t="s">
        <v>2946</v>
      </c>
      <c r="DG435" s="1706" t="s">
        <v>2555</v>
      </c>
      <c r="DH435" s="1712"/>
      <c r="DI435" s="1713"/>
      <c r="DJ435" s="1714"/>
      <c r="DK435" s="1713"/>
      <c r="DL435" s="1715"/>
      <c r="DM435" s="1718"/>
      <c r="DN435" s="1715"/>
      <c r="DO435" s="1721"/>
      <c r="DP435" s="1710"/>
      <c r="DQ435" s="1722"/>
      <c r="DR435" s="1716"/>
      <c r="DS435" s="1717"/>
      <c r="DT435" s="1717"/>
      <c r="DU435" s="1718"/>
      <c r="DV435" s="1715"/>
      <c r="DW435" s="1718"/>
      <c r="DX435" s="1715"/>
      <c r="DY435" s="1718"/>
      <c r="DZ435" s="1715"/>
      <c r="EA435" s="1718"/>
      <c r="EB435" s="1716"/>
      <c r="EC435" s="1715"/>
      <c r="ED435" s="1715"/>
      <c r="EE435" s="1718"/>
      <c r="EF435" s="1715"/>
      <c r="EG435" s="1718"/>
      <c r="EH435" s="1715"/>
      <c r="EI435" s="1718"/>
      <c r="EJ435" s="1715"/>
      <c r="EK435" s="1718"/>
      <c r="EL435" s="1716"/>
      <c r="EM435" s="1715"/>
      <c r="EN435" s="1716"/>
      <c r="EO435" s="1715"/>
      <c r="EP435" s="1718"/>
      <c r="EQ435" s="1718"/>
      <c r="ER435" s="1718"/>
      <c r="ES435" s="1718"/>
      <c r="ET435" s="1819"/>
      <c r="EU435" s="1718"/>
      <c r="EV435" s="1718"/>
      <c r="EW435" s="1718"/>
      <c r="EX435" s="1718"/>
      <c r="EY435" s="1718"/>
      <c r="EZ435" s="1819"/>
      <c r="FA435" s="1718"/>
      <c r="FB435" s="1718"/>
      <c r="FC435" s="1718"/>
      <c r="FD435" s="1819"/>
      <c r="FE435" s="1718"/>
      <c r="FF435" s="1718"/>
      <c r="FG435" s="1718"/>
      <c r="FH435" s="1718"/>
      <c r="FI435" s="1718"/>
      <c r="FJ435" s="1715"/>
    </row>
    <row r="436" spans="1:166" ht="14" customHeight="1">
      <c r="A436" s="1698" t="s">
        <v>1052</v>
      </c>
      <c r="B436" s="1699">
        <v>19</v>
      </c>
      <c r="C436" s="1699"/>
      <c r="D436" s="1699"/>
      <c r="E436" s="1700" t="s">
        <v>2075</v>
      </c>
      <c r="F436" s="181" t="s">
        <v>2329</v>
      </c>
      <c r="G436" s="1701">
        <v>2014</v>
      </c>
      <c r="H436" s="1698">
        <v>24335837</v>
      </c>
      <c r="I436" s="1698">
        <v>1</v>
      </c>
      <c r="J436" s="1698">
        <v>1</v>
      </c>
      <c r="K436" s="1698"/>
      <c r="L436" s="1698">
        <v>1</v>
      </c>
      <c r="M436" s="1698"/>
      <c r="N436" s="1698">
        <v>1</v>
      </c>
      <c r="O436" s="1698">
        <v>2</v>
      </c>
      <c r="P436" s="1698" t="s">
        <v>1347</v>
      </c>
      <c r="Q436" s="1698" t="s">
        <v>1224</v>
      </c>
      <c r="R436" s="1698" t="s">
        <v>1138</v>
      </c>
      <c r="S436" s="1698"/>
      <c r="T436" s="1698" t="s">
        <v>1499</v>
      </c>
      <c r="U436" s="1698" t="s">
        <v>803</v>
      </c>
      <c r="V436" s="1698" t="s">
        <v>23</v>
      </c>
      <c r="W436" s="1698" t="s">
        <v>1692</v>
      </c>
      <c r="X436" s="1698" t="s">
        <v>1348</v>
      </c>
      <c r="Y436" s="1698" t="s">
        <v>1349</v>
      </c>
      <c r="Z436" s="1698"/>
      <c r="AA436" s="1698" t="s">
        <v>1350</v>
      </c>
      <c r="AB436" s="1698"/>
      <c r="AC436" s="1702"/>
      <c r="AD436" s="1702">
        <v>1</v>
      </c>
      <c r="AE436" s="1702">
        <v>2</v>
      </c>
      <c r="AF436" s="1703">
        <v>1</v>
      </c>
      <c r="AG436" s="1704" t="s">
        <v>8177</v>
      </c>
      <c r="AH436" s="1705">
        <v>0</v>
      </c>
      <c r="AI436" s="1705">
        <v>5</v>
      </c>
      <c r="AJ436" s="1705"/>
      <c r="AK436" s="1720" t="s">
        <v>2933</v>
      </c>
      <c r="AL436" s="1706">
        <v>1</v>
      </c>
      <c r="AM436" s="1707" t="s">
        <v>2934</v>
      </c>
      <c r="AN436" s="1705">
        <v>24</v>
      </c>
      <c r="AO436" s="1705">
        <v>12</v>
      </c>
      <c r="AP436" s="1705">
        <v>12</v>
      </c>
      <c r="AQ436" s="1705" t="s">
        <v>803</v>
      </c>
      <c r="AR436" s="1705" t="s">
        <v>803</v>
      </c>
      <c r="AS436" s="1705" t="s">
        <v>7499</v>
      </c>
      <c r="AT436" s="1705" t="s">
        <v>24</v>
      </c>
      <c r="AU436" s="1705" t="s">
        <v>7499</v>
      </c>
      <c r="AV436" s="1705" t="s">
        <v>24</v>
      </c>
      <c r="AW436" s="1705" t="s">
        <v>2944</v>
      </c>
      <c r="AX436" s="1705" t="s">
        <v>7644</v>
      </c>
      <c r="AY436" s="1705" t="s">
        <v>7645</v>
      </c>
      <c r="AZ436" s="1705" t="s">
        <v>7629</v>
      </c>
      <c r="BA436" s="1705">
        <v>1</v>
      </c>
      <c r="BB436" s="1705">
        <v>1</v>
      </c>
      <c r="BC436" s="1705" t="s">
        <v>7535</v>
      </c>
      <c r="BD436" s="1705" t="s">
        <v>7523</v>
      </c>
      <c r="BE436" s="1705"/>
      <c r="BF436" s="1705" t="s">
        <v>2932</v>
      </c>
      <c r="BG436" s="1705" t="s">
        <v>2554</v>
      </c>
      <c r="BH436" s="1706"/>
      <c r="BI436" s="1706"/>
      <c r="BJ436" s="1708">
        <v>1</v>
      </c>
      <c r="BK436" s="1708"/>
      <c r="BL436" s="1708"/>
      <c r="BM436" s="1708"/>
      <c r="BN436" s="1708"/>
      <c r="BO436" s="1708"/>
      <c r="BP436" s="1708"/>
      <c r="BQ436" s="1708"/>
      <c r="BR436" s="1708"/>
      <c r="BS436" s="1708"/>
      <c r="BT436" s="1708"/>
      <c r="BU436" s="1708"/>
      <c r="BV436" s="1708"/>
      <c r="BW436" s="1708" t="s">
        <v>7565</v>
      </c>
      <c r="BX436" s="1709" t="s">
        <v>6595</v>
      </c>
      <c r="BY436" s="1709" t="s">
        <v>7615</v>
      </c>
      <c r="BZ436" s="1709" t="s">
        <v>803</v>
      </c>
      <c r="CA436" s="1708">
        <v>4</v>
      </c>
      <c r="CB436" s="1708" t="s">
        <v>7556</v>
      </c>
      <c r="CC436" s="1708" t="s">
        <v>7380</v>
      </c>
      <c r="CD436" s="1705" t="s">
        <v>1876</v>
      </c>
      <c r="CE436" s="1705" t="s">
        <v>2942</v>
      </c>
      <c r="CF436" s="1705" t="s">
        <v>7580</v>
      </c>
      <c r="CG436" s="1705" t="s">
        <v>7323</v>
      </c>
      <c r="CH436" s="1705" t="s">
        <v>1488</v>
      </c>
      <c r="CI436" s="1705" t="s">
        <v>2471</v>
      </c>
      <c r="CJ436" s="1705"/>
      <c r="CK436" s="1705" t="s">
        <v>2945</v>
      </c>
      <c r="CL436" s="1705" t="s">
        <v>6640</v>
      </c>
      <c r="CM436" s="1710" t="s">
        <v>2949</v>
      </c>
      <c r="CN436" s="1711" t="s">
        <v>6627</v>
      </c>
      <c r="CO436" s="1711">
        <v>30</v>
      </c>
      <c r="CP436" s="1711">
        <v>1</v>
      </c>
      <c r="CQ436" s="1711">
        <v>2</v>
      </c>
      <c r="CR436" s="1711">
        <v>1</v>
      </c>
      <c r="CS436" s="1711">
        <v>1</v>
      </c>
      <c r="CT436" s="1711"/>
      <c r="CU436" s="1711" t="s">
        <v>8104</v>
      </c>
      <c r="CV436" s="1710">
        <v>141</v>
      </c>
      <c r="CW436" s="1710">
        <v>132</v>
      </c>
      <c r="CX436" s="1709" t="s">
        <v>2955</v>
      </c>
      <c r="CY436" s="1705">
        <v>46.452599999999997</v>
      </c>
      <c r="CZ436" s="1705">
        <f>60.581-Table66[[#This Row],[Data_Outcome1_M]]</f>
        <v>14.128400000000006</v>
      </c>
      <c r="DA436" s="1705" t="s">
        <v>24</v>
      </c>
      <c r="DB436" s="1709" t="s">
        <v>2954</v>
      </c>
      <c r="DC436" s="1705">
        <v>21.192699999999999</v>
      </c>
      <c r="DD436" s="1705">
        <f>34.6789-Table66[[#This Row],[Data_Outcome2_M]]</f>
        <v>13.4862</v>
      </c>
      <c r="DE436" s="1705" t="s">
        <v>24</v>
      </c>
      <c r="DF436" s="1710" t="s">
        <v>2947</v>
      </c>
      <c r="DG436" s="1706" t="s">
        <v>2555</v>
      </c>
      <c r="DH436" s="1817"/>
      <c r="DI436" s="1817"/>
      <c r="DJ436" s="1714"/>
      <c r="DK436" s="1817"/>
      <c r="DL436" s="1717"/>
      <c r="DM436" s="1705"/>
      <c r="DN436" s="1715"/>
      <c r="DO436" s="1705"/>
      <c r="DP436" s="1710"/>
      <c r="DQ436" s="1706"/>
      <c r="DR436" s="1716"/>
      <c r="DS436" s="1717"/>
      <c r="DT436" s="1717"/>
      <c r="DU436" s="1715"/>
      <c r="DV436" s="1715"/>
      <c r="DW436" s="1715"/>
      <c r="DX436" s="1715"/>
      <c r="DY436" s="1715"/>
      <c r="DZ436" s="1715"/>
      <c r="EA436" s="1715"/>
      <c r="EB436" s="1716"/>
      <c r="EC436" s="1715"/>
      <c r="ED436" s="1715"/>
      <c r="EE436" s="1715"/>
      <c r="EF436" s="1715"/>
      <c r="EG436" s="1715"/>
      <c r="EH436" s="1715"/>
      <c r="EI436" s="1715"/>
      <c r="EJ436" s="1715"/>
      <c r="EK436" s="1715"/>
      <c r="EL436" s="1716"/>
      <c r="EM436" s="1715"/>
      <c r="EN436" s="1716"/>
      <c r="EO436" s="1715"/>
      <c r="EP436" s="1715"/>
      <c r="EQ436" s="1715"/>
      <c r="ER436" s="1715"/>
      <c r="ES436" s="1715"/>
      <c r="ET436" s="1717"/>
      <c r="EU436" s="1715"/>
      <c r="EV436" s="1715"/>
      <c r="EW436" s="1715"/>
      <c r="EX436" s="1715"/>
      <c r="EY436" s="1715"/>
      <c r="EZ436" s="1717"/>
      <c r="FA436" s="1715"/>
      <c r="FB436" s="1715"/>
      <c r="FC436" s="1715"/>
      <c r="FD436" s="1717"/>
      <c r="FE436" s="1715"/>
      <c r="FF436" s="1715"/>
      <c r="FG436" s="1715"/>
      <c r="FH436" s="1715"/>
      <c r="FI436" s="1715"/>
      <c r="FJ436" s="1715"/>
    </row>
    <row r="437" spans="1:166" ht="14" customHeight="1">
      <c r="A437" s="79" t="s">
        <v>1051</v>
      </c>
      <c r="B437" s="362">
        <v>129</v>
      </c>
      <c r="C437" s="362">
        <v>35</v>
      </c>
      <c r="D437" s="362"/>
      <c r="E437" s="604" t="s">
        <v>2076</v>
      </c>
      <c r="F437" s="124" t="s">
        <v>2330</v>
      </c>
      <c r="G437" s="125">
        <v>2006</v>
      </c>
      <c r="H437" s="79">
        <v>16860405</v>
      </c>
      <c r="I437" s="79">
        <v>1</v>
      </c>
      <c r="J437" s="126">
        <v>1</v>
      </c>
      <c r="K437" s="127"/>
      <c r="L437" s="79">
        <v>1</v>
      </c>
      <c r="M437" s="79"/>
      <c r="N437" s="79">
        <v>1</v>
      </c>
      <c r="O437" s="128">
        <v>2</v>
      </c>
      <c r="P437" s="79" t="s">
        <v>1352</v>
      </c>
      <c r="Q437" s="79" t="s">
        <v>1224</v>
      </c>
      <c r="R437" s="79" t="s">
        <v>1127</v>
      </c>
      <c r="S437" s="79"/>
      <c r="T437" s="79" t="s">
        <v>1487</v>
      </c>
      <c r="U437" s="79" t="s">
        <v>23</v>
      </c>
      <c r="V437" s="79" t="s">
        <v>23</v>
      </c>
      <c r="W437" s="79" t="s">
        <v>1691</v>
      </c>
      <c r="X437" s="79"/>
      <c r="Y437" s="79"/>
      <c r="Z437" s="79"/>
      <c r="AA437" s="79"/>
      <c r="AB437" s="79" t="s">
        <v>1351</v>
      </c>
      <c r="AC437" s="506"/>
      <c r="AD437" s="573">
        <v>1</v>
      </c>
      <c r="AE437" s="573">
        <v>2</v>
      </c>
      <c r="AF437" s="154">
        <v>1</v>
      </c>
      <c r="AG437" s="155" t="s">
        <v>7290</v>
      </c>
      <c r="AH437" s="704">
        <v>0</v>
      </c>
      <c r="AI437" s="121">
        <v>4</v>
      </c>
      <c r="AJ437" s="484"/>
      <c r="AK437" s="202" t="s">
        <v>4647</v>
      </c>
      <c r="AL437" s="192">
        <v>0</v>
      </c>
      <c r="AM437" s="203">
        <v>0</v>
      </c>
      <c r="AN437" s="121">
        <f>Table66[[#This Row],[Data_Subjects_n_ptsd]]+Table66[[#This Row],[Data_Subjects_n_control]]</f>
        <v>23</v>
      </c>
      <c r="AO437" s="121">
        <v>11</v>
      </c>
      <c r="AP437" s="121">
        <v>12</v>
      </c>
      <c r="AQ437" s="121" t="s">
        <v>803</v>
      </c>
      <c r="AR437" s="121" t="s">
        <v>803</v>
      </c>
      <c r="AS437" s="121" t="s">
        <v>4648</v>
      </c>
      <c r="AT437" s="121" t="s">
        <v>24</v>
      </c>
      <c r="AU437" s="121" t="s">
        <v>4649</v>
      </c>
      <c r="AV437" s="121" t="s">
        <v>24</v>
      </c>
      <c r="AW437" s="121" t="s">
        <v>4650</v>
      </c>
      <c r="AX437" s="121"/>
      <c r="AY437" s="121"/>
      <c r="AZ437" s="754" t="s">
        <v>1487</v>
      </c>
      <c r="BA437" s="121">
        <v>1</v>
      </c>
      <c r="BB437" s="121">
        <v>1</v>
      </c>
      <c r="BC437" s="121" t="s">
        <v>4651</v>
      </c>
      <c r="BD437" s="754" t="s">
        <v>7522</v>
      </c>
      <c r="BE437" s="754"/>
      <c r="BF437" s="121" t="s">
        <v>1130</v>
      </c>
      <c r="BG437" s="121" t="s">
        <v>4508</v>
      </c>
      <c r="BH437" s="594"/>
      <c r="BI437" s="594"/>
      <c r="BJ437" s="156">
        <v>1</v>
      </c>
      <c r="BK437" s="156"/>
      <c r="BL437" s="156"/>
      <c r="BM437" s="156"/>
      <c r="BN437" s="156"/>
      <c r="BO437" s="156"/>
      <c r="BP437" s="156"/>
      <c r="BQ437" s="156"/>
      <c r="BR437" s="156"/>
      <c r="BS437" s="156"/>
      <c r="BT437" s="156"/>
      <c r="BU437" s="156"/>
      <c r="BV437" s="156"/>
      <c r="BW437" s="595" t="s">
        <v>6602</v>
      </c>
      <c r="BX437" s="157" t="s">
        <v>6595</v>
      </c>
      <c r="BY437" s="797" t="s">
        <v>7615</v>
      </c>
      <c r="BZ437" s="789" t="s">
        <v>803</v>
      </c>
      <c r="CA437" s="765">
        <v>4</v>
      </c>
      <c r="CB437" s="765" t="s">
        <v>7556</v>
      </c>
      <c r="CC437" s="765" t="s">
        <v>7384</v>
      </c>
      <c r="CD437" s="134" t="s">
        <v>1876</v>
      </c>
      <c r="CE437" s="134" t="s">
        <v>4652</v>
      </c>
      <c r="CF437" s="400" t="s">
        <v>8017</v>
      </c>
      <c r="CG437" s="134" t="s">
        <v>4654</v>
      </c>
      <c r="CH437" s="753" t="s">
        <v>1488</v>
      </c>
      <c r="CI437" s="134" t="s">
        <v>4653</v>
      </c>
      <c r="CJ437" s="134"/>
      <c r="CK437" s="134" t="s">
        <v>4655</v>
      </c>
      <c r="CL437" s="134" t="s">
        <v>6640</v>
      </c>
      <c r="CM437" s="259" t="s">
        <v>4659</v>
      </c>
      <c r="CN437" s="454" t="s">
        <v>6627</v>
      </c>
      <c r="CO437" s="828">
        <v>31</v>
      </c>
      <c r="CP437" s="828">
        <v>1</v>
      </c>
      <c r="CQ437" s="828">
        <v>1</v>
      </c>
      <c r="CR437" s="828">
        <v>0</v>
      </c>
      <c r="CS437" s="828">
        <v>1</v>
      </c>
      <c r="CT437" s="967"/>
      <c r="CU437" s="1289" t="s">
        <v>8104</v>
      </c>
      <c r="CV437" s="1295">
        <v>86</v>
      </c>
      <c r="CW437" s="1295">
        <v>78</v>
      </c>
      <c r="CX437" s="138" t="s">
        <v>4656</v>
      </c>
      <c r="CY437" s="134">
        <v>110.364</v>
      </c>
      <c r="CZ437" s="134" t="s">
        <v>24</v>
      </c>
      <c r="DA437" s="134">
        <f>119.639-Table66[[#This Row],[Data_Outcome1_M]]</f>
        <v>9.2749999999999915</v>
      </c>
      <c r="DB437" s="138" t="s">
        <v>8016</v>
      </c>
      <c r="DC437" s="134">
        <v>77.115899999999996</v>
      </c>
      <c r="DD437" s="134" t="s">
        <v>24</v>
      </c>
      <c r="DE437" s="134">
        <f>83.7406-Table66[[#This Row],[Data_Outcome2_M]]</f>
        <v>6.6247000000000043</v>
      </c>
      <c r="DF437" s="549" t="s">
        <v>4658</v>
      </c>
      <c r="DG437" s="551" t="s">
        <v>7728</v>
      </c>
      <c r="DH437" s="1276"/>
      <c r="DI437" s="1169"/>
      <c r="DJ437" s="1169"/>
      <c r="DK437" s="1169"/>
      <c r="DL437" s="1276"/>
      <c r="DM437" s="1169"/>
      <c r="DN437" s="1169"/>
      <c r="DO437" s="1169"/>
      <c r="DP437" s="288"/>
      <c r="DQ437" s="289"/>
      <c r="DR437" s="1168"/>
      <c r="DS437" s="865"/>
      <c r="DT437" s="1171"/>
      <c r="DU437" s="1169"/>
      <c r="DV437" s="1169"/>
      <c r="DW437" s="1169"/>
      <c r="DX437" s="1169"/>
      <c r="DY437" s="1169"/>
      <c r="DZ437" s="1169"/>
      <c r="EA437" s="1169"/>
      <c r="EB437" s="304"/>
      <c r="EC437" s="312"/>
      <c r="ED437" s="1169"/>
      <c r="EE437" s="1169"/>
      <c r="EF437" s="1169"/>
      <c r="EG437" s="1169"/>
      <c r="EH437" s="1169"/>
      <c r="EI437" s="1169"/>
      <c r="EJ437" s="1169"/>
      <c r="EK437" s="1169"/>
      <c r="EL437" s="304"/>
      <c r="EM437" s="312"/>
      <c r="EN437" s="309"/>
      <c r="EO437" s="1170"/>
      <c r="EP437" s="1169"/>
      <c r="EQ437" s="1169"/>
      <c r="ER437" s="1169"/>
      <c r="ES437" s="1169"/>
      <c r="ET437" s="1171"/>
      <c r="EU437" s="1169"/>
      <c r="EV437" s="1169"/>
      <c r="EW437" s="1169"/>
      <c r="EX437" s="312"/>
      <c r="EY437" s="312"/>
      <c r="EZ437" s="1171"/>
      <c r="FA437" s="1169"/>
      <c r="FB437" s="1169"/>
      <c r="FC437" s="1169"/>
      <c r="FD437" s="1171"/>
      <c r="FE437" s="1169"/>
      <c r="FF437" s="1169"/>
      <c r="FG437" s="1169"/>
      <c r="FH437" s="312"/>
      <c r="FI437" s="312"/>
      <c r="FJ437" s="1170"/>
    </row>
    <row r="438" spans="1:166" ht="14" customHeight="1">
      <c r="A438" s="79" t="s">
        <v>1027</v>
      </c>
      <c r="B438" s="614">
        <v>23</v>
      </c>
      <c r="C438" s="614"/>
      <c r="D438" s="614"/>
      <c r="E438" s="604" t="s">
        <v>2087</v>
      </c>
      <c r="F438" s="124" t="s">
        <v>2342</v>
      </c>
      <c r="G438" s="125">
        <v>2015</v>
      </c>
      <c r="H438" s="79">
        <v>26650043</v>
      </c>
      <c r="I438" s="79">
        <v>1</v>
      </c>
      <c r="J438" s="126">
        <v>1</v>
      </c>
      <c r="K438" s="127"/>
      <c r="L438" s="79">
        <v>1</v>
      </c>
      <c r="M438" s="79"/>
      <c r="N438" s="79">
        <v>1</v>
      </c>
      <c r="O438" s="128">
        <v>2</v>
      </c>
      <c r="P438" s="79" t="s">
        <v>1401</v>
      </c>
      <c r="Q438" s="79" t="s">
        <v>1169</v>
      </c>
      <c r="R438" s="79" t="s">
        <v>1127</v>
      </c>
      <c r="S438" s="79"/>
      <c r="T438" s="79" t="s">
        <v>1487</v>
      </c>
      <c r="U438" s="79"/>
      <c r="V438" s="79"/>
      <c r="W438" s="79" t="s">
        <v>1676</v>
      </c>
      <c r="X438" s="79" t="s">
        <v>1402</v>
      </c>
      <c r="Y438" s="79"/>
      <c r="Z438" s="79"/>
      <c r="AA438" s="79"/>
      <c r="AB438" s="79"/>
      <c r="AC438" s="506"/>
      <c r="AD438" s="573">
        <v>1</v>
      </c>
      <c r="AE438" s="573">
        <v>2</v>
      </c>
      <c r="AF438" s="154">
        <v>1</v>
      </c>
      <c r="AG438" s="155"/>
      <c r="AH438" s="704"/>
      <c r="AI438" s="121">
        <v>4</v>
      </c>
      <c r="AJ438" s="484"/>
      <c r="AK438" s="202" t="s">
        <v>3030</v>
      </c>
      <c r="AL438" s="192">
        <v>1</v>
      </c>
      <c r="AM438" s="215">
        <v>1</v>
      </c>
      <c r="AN438" s="134">
        <v>24</v>
      </c>
      <c r="AO438" s="134">
        <v>12</v>
      </c>
      <c r="AP438" s="134">
        <v>12</v>
      </c>
      <c r="AQ438" s="134" t="s">
        <v>803</v>
      </c>
      <c r="AR438" s="134" t="s">
        <v>803</v>
      </c>
      <c r="AS438" s="1605" t="s">
        <v>7509</v>
      </c>
      <c r="AT438" s="134" t="s">
        <v>24</v>
      </c>
      <c r="AU438" s="1605" t="s">
        <v>7509</v>
      </c>
      <c r="AV438" s="134" t="s">
        <v>24</v>
      </c>
      <c r="AW438" s="134" t="s">
        <v>2963</v>
      </c>
      <c r="AX438" s="134"/>
      <c r="AY438" s="134"/>
      <c r="AZ438" s="753" t="s">
        <v>1487</v>
      </c>
      <c r="BA438" s="134">
        <v>1</v>
      </c>
      <c r="BB438" s="134">
        <v>1</v>
      </c>
      <c r="BC438" s="134" t="s">
        <v>7544</v>
      </c>
      <c r="BD438" s="753" t="s">
        <v>7522</v>
      </c>
      <c r="BE438" s="753"/>
      <c r="BF438" s="134" t="s">
        <v>1130</v>
      </c>
      <c r="BG438" s="134" t="s">
        <v>3005</v>
      </c>
      <c r="BH438" s="594"/>
      <c r="BI438" s="594"/>
      <c r="BJ438" s="156">
        <v>1</v>
      </c>
      <c r="BK438" s="156"/>
      <c r="BL438" s="156"/>
      <c r="BM438" s="156"/>
      <c r="BN438" s="156"/>
      <c r="BO438" s="156"/>
      <c r="BP438" s="156"/>
      <c r="BQ438" s="156"/>
      <c r="BR438" s="156"/>
      <c r="BS438" s="156"/>
      <c r="BT438" s="156"/>
      <c r="BU438" s="156"/>
      <c r="BV438" s="156"/>
      <c r="BW438" s="595" t="s">
        <v>2999</v>
      </c>
      <c r="BX438" s="157" t="s">
        <v>6595</v>
      </c>
      <c r="BY438" s="797" t="s">
        <v>7615</v>
      </c>
      <c r="BZ438" s="789" t="s">
        <v>803</v>
      </c>
      <c r="CA438" s="765">
        <v>4</v>
      </c>
      <c r="CB438" s="765" t="s">
        <v>7556</v>
      </c>
      <c r="CC438" s="765" t="s">
        <v>7384</v>
      </c>
      <c r="CD438" s="134" t="s">
        <v>1876</v>
      </c>
      <c r="CE438" s="134" t="s">
        <v>2942</v>
      </c>
      <c r="CF438" s="400" t="s">
        <v>7606</v>
      </c>
      <c r="CG438" s="134" t="s">
        <v>3006</v>
      </c>
      <c r="CH438" s="753" t="s">
        <v>1488</v>
      </c>
      <c r="CI438" s="134" t="s">
        <v>2606</v>
      </c>
      <c r="CJ438" s="134"/>
      <c r="CK438" s="134" t="s">
        <v>2659</v>
      </c>
      <c r="CL438" s="134" t="s">
        <v>2659</v>
      </c>
      <c r="CM438" s="259" t="s">
        <v>3027</v>
      </c>
      <c r="CN438" s="454" t="s">
        <v>6627</v>
      </c>
      <c r="CO438" s="828">
        <v>42</v>
      </c>
      <c r="CP438" s="828">
        <v>1</v>
      </c>
      <c r="CQ438" s="828">
        <v>1</v>
      </c>
      <c r="CR438" s="828">
        <v>1</v>
      </c>
      <c r="CS438" s="828">
        <v>1</v>
      </c>
      <c r="CT438" s="967"/>
      <c r="CU438" s="1289" t="s">
        <v>8104</v>
      </c>
      <c r="CV438" s="1295">
        <v>94</v>
      </c>
      <c r="CW438" s="1295">
        <v>86</v>
      </c>
      <c r="CX438" s="138" t="s">
        <v>3008</v>
      </c>
      <c r="CY438" s="134">
        <v>67.106700000000004</v>
      </c>
      <c r="CZ438" s="134" t="s">
        <v>24</v>
      </c>
      <c r="DA438" s="134">
        <f>68.9045-Table66[[#This Row],[Data_Outcome1_M]]</f>
        <v>1.7977999999999952</v>
      </c>
      <c r="DB438" s="138" t="s">
        <v>3007</v>
      </c>
      <c r="DC438" s="134">
        <v>33.960299999999997</v>
      </c>
      <c r="DD438" s="134" t="s">
        <v>24</v>
      </c>
      <c r="DE438" s="134">
        <f>37.1059-Table66[[#This Row],[Data_Outcome2_M]]</f>
        <v>3.1456000000000017</v>
      </c>
      <c r="DF438" s="549" t="s">
        <v>3015</v>
      </c>
      <c r="DG438" s="1128" t="s">
        <v>7730</v>
      </c>
      <c r="DH438" s="121"/>
      <c r="DI438" s="121"/>
      <c r="DJ438" s="1169"/>
      <c r="DK438" s="121"/>
      <c r="DL438" s="1169"/>
      <c r="DM438" s="121"/>
      <c r="DN438" s="1169"/>
      <c r="DO438" s="121"/>
      <c r="DP438" s="288"/>
      <c r="DQ438" s="289"/>
      <c r="DR438" s="1168"/>
      <c r="DS438" s="865"/>
      <c r="DT438" s="1171"/>
      <c r="DU438" s="1169"/>
      <c r="DV438" s="1169"/>
      <c r="DW438" s="1169"/>
      <c r="DX438" s="1169"/>
      <c r="DY438" s="1169"/>
      <c r="DZ438" s="1169"/>
      <c r="EA438" s="1169"/>
      <c r="EB438" s="304"/>
      <c r="EC438" s="312"/>
      <c r="ED438" s="1169"/>
      <c r="EE438" s="1169"/>
      <c r="EF438" s="1169"/>
      <c r="EG438" s="1169"/>
      <c r="EH438" s="1169"/>
      <c r="EI438" s="1169"/>
      <c r="EJ438" s="1169"/>
      <c r="EK438" s="1169"/>
      <c r="EL438" s="304"/>
      <c r="EM438" s="312"/>
      <c r="EN438" s="309"/>
      <c r="EO438" s="1170"/>
      <c r="EP438" s="1169"/>
      <c r="EQ438" s="1169"/>
      <c r="ER438" s="1169"/>
      <c r="ES438" s="1169"/>
      <c r="ET438" s="1171"/>
      <c r="EU438" s="1169"/>
      <c r="EV438" s="1169"/>
      <c r="EW438" s="1169"/>
      <c r="EX438" s="312"/>
      <c r="EY438" s="312"/>
      <c r="EZ438" s="1171"/>
      <c r="FA438" s="1169"/>
      <c r="FB438" s="1169"/>
      <c r="FC438" s="1169"/>
      <c r="FD438" s="1171"/>
      <c r="FE438" s="1169"/>
      <c r="FF438" s="1169"/>
      <c r="FG438" s="1169"/>
      <c r="FH438" s="312"/>
      <c r="FI438" s="312"/>
      <c r="FJ438" s="1170"/>
    </row>
    <row r="439" spans="1:166" ht="14" customHeight="1">
      <c r="A439" s="79" t="s">
        <v>1027</v>
      </c>
      <c r="B439" s="614">
        <v>23</v>
      </c>
      <c r="C439" s="614"/>
      <c r="D439" s="614"/>
      <c r="E439" s="604" t="s">
        <v>2087</v>
      </c>
      <c r="F439" s="124" t="s">
        <v>2342</v>
      </c>
      <c r="G439" s="125">
        <v>2015</v>
      </c>
      <c r="H439" s="79">
        <v>26650043</v>
      </c>
      <c r="I439" s="79">
        <v>1</v>
      </c>
      <c r="J439" s="126">
        <v>1</v>
      </c>
      <c r="K439" s="127"/>
      <c r="L439" s="79">
        <v>1</v>
      </c>
      <c r="M439" s="79"/>
      <c r="N439" s="79">
        <v>1</v>
      </c>
      <c r="O439" s="128">
        <v>2</v>
      </c>
      <c r="P439" s="79" t="s">
        <v>1401</v>
      </c>
      <c r="Q439" s="79" t="s">
        <v>1169</v>
      </c>
      <c r="R439" s="79" t="s">
        <v>1127</v>
      </c>
      <c r="S439" s="79"/>
      <c r="T439" s="79" t="s">
        <v>1487</v>
      </c>
      <c r="U439" s="79"/>
      <c r="V439" s="79"/>
      <c r="W439" s="79" t="s">
        <v>1676</v>
      </c>
      <c r="X439" s="79" t="s">
        <v>1402</v>
      </c>
      <c r="Y439" s="79"/>
      <c r="Z439" s="79"/>
      <c r="AA439" s="79"/>
      <c r="AB439" s="79"/>
      <c r="AC439" s="506"/>
      <c r="AD439" s="573">
        <v>1</v>
      </c>
      <c r="AE439" s="573">
        <v>2</v>
      </c>
      <c r="AF439" s="154">
        <v>1</v>
      </c>
      <c r="AG439" s="155"/>
      <c r="AH439" s="704"/>
      <c r="AI439" s="121">
        <v>4</v>
      </c>
      <c r="AJ439" s="484"/>
      <c r="AK439" s="202" t="s">
        <v>3030</v>
      </c>
      <c r="AL439" s="192">
        <v>1</v>
      </c>
      <c r="AM439" s="215">
        <v>1</v>
      </c>
      <c r="AN439" s="134">
        <v>24</v>
      </c>
      <c r="AO439" s="134">
        <v>12</v>
      </c>
      <c r="AP439" s="134">
        <v>12</v>
      </c>
      <c r="AQ439" s="134" t="s">
        <v>803</v>
      </c>
      <c r="AR439" s="134" t="s">
        <v>803</v>
      </c>
      <c r="AS439" s="1605" t="s">
        <v>7509</v>
      </c>
      <c r="AT439" s="134" t="s">
        <v>24</v>
      </c>
      <c r="AU439" s="1605" t="s">
        <v>7509</v>
      </c>
      <c r="AV439" s="134" t="s">
        <v>24</v>
      </c>
      <c r="AW439" s="134" t="s">
        <v>2963</v>
      </c>
      <c r="AX439" s="134"/>
      <c r="AY439" s="134"/>
      <c r="AZ439" s="753" t="s">
        <v>1487</v>
      </c>
      <c r="BA439" s="134">
        <v>1</v>
      </c>
      <c r="BB439" s="134">
        <v>1</v>
      </c>
      <c r="BC439" s="134" t="s">
        <v>7544</v>
      </c>
      <c r="BD439" s="753" t="s">
        <v>7522</v>
      </c>
      <c r="BE439" s="753"/>
      <c r="BF439" s="134" t="s">
        <v>1130</v>
      </c>
      <c r="BG439" s="134" t="s">
        <v>3005</v>
      </c>
      <c r="BH439" s="594"/>
      <c r="BI439" s="594"/>
      <c r="BJ439" s="156">
        <v>1</v>
      </c>
      <c r="BK439" s="156"/>
      <c r="BL439" s="156"/>
      <c r="BM439" s="156"/>
      <c r="BN439" s="156"/>
      <c r="BO439" s="156"/>
      <c r="BP439" s="156"/>
      <c r="BQ439" s="156"/>
      <c r="BR439" s="156"/>
      <c r="BS439" s="156"/>
      <c r="BT439" s="156"/>
      <c r="BU439" s="156"/>
      <c r="BV439" s="156"/>
      <c r="BW439" s="595" t="s">
        <v>2999</v>
      </c>
      <c r="BX439" s="157" t="s">
        <v>6601</v>
      </c>
      <c r="BY439" s="797" t="s">
        <v>7615</v>
      </c>
      <c r="BZ439" s="789" t="s">
        <v>803</v>
      </c>
      <c r="CA439" s="765">
        <v>4</v>
      </c>
      <c r="CB439" s="765" t="s">
        <v>7556</v>
      </c>
      <c r="CC439" s="765" t="s">
        <v>7380</v>
      </c>
      <c r="CD439" s="134" t="s">
        <v>1876</v>
      </c>
      <c r="CE439" s="134" t="s">
        <v>2942</v>
      </c>
      <c r="CF439" s="400" t="s">
        <v>7606</v>
      </c>
      <c r="CG439" s="134" t="s">
        <v>3006</v>
      </c>
      <c r="CH439" s="753" t="s">
        <v>1488</v>
      </c>
      <c r="CI439" s="134" t="s">
        <v>2606</v>
      </c>
      <c r="CJ439" s="134"/>
      <c r="CK439" s="134" t="s">
        <v>2659</v>
      </c>
      <c r="CL439" s="134" t="s">
        <v>2659</v>
      </c>
      <c r="CM439" s="259" t="s">
        <v>3027</v>
      </c>
      <c r="CN439" s="454" t="s">
        <v>6627</v>
      </c>
      <c r="CO439" s="828">
        <v>42</v>
      </c>
      <c r="CP439" s="828">
        <v>1</v>
      </c>
      <c r="CQ439" s="828">
        <v>2</v>
      </c>
      <c r="CR439" s="828">
        <v>1</v>
      </c>
      <c r="CS439" s="828">
        <v>1</v>
      </c>
      <c r="CT439" s="967"/>
      <c r="CU439" s="1289" t="s">
        <v>8104</v>
      </c>
      <c r="CV439" s="1295">
        <v>94</v>
      </c>
      <c r="CW439" s="1295">
        <v>86</v>
      </c>
      <c r="CX439" s="138" t="s">
        <v>3010</v>
      </c>
      <c r="CY439" s="134">
        <v>66.252300000000005</v>
      </c>
      <c r="CZ439" s="134" t="s">
        <v>24</v>
      </c>
      <c r="DA439" s="134">
        <f>68.2748-Table66[[#This Row],[Data_Outcome1_M]]</f>
        <v>2.0224999999999937</v>
      </c>
      <c r="DB439" s="138" t="s">
        <v>3009</v>
      </c>
      <c r="DC439" s="134">
        <v>34.791899999999998</v>
      </c>
      <c r="DD439" s="134" t="s">
        <v>24</v>
      </c>
      <c r="DE439" s="134">
        <f>37.1522-Table66[[#This Row],[Data_Outcome2_M]]</f>
        <v>2.3603000000000023</v>
      </c>
      <c r="DF439" s="435" t="s">
        <v>3016</v>
      </c>
      <c r="DG439" s="1815" t="s">
        <v>3020</v>
      </c>
      <c r="DH439" s="1276"/>
      <c r="DI439" s="121"/>
      <c r="DJ439" s="1169"/>
      <c r="DK439" s="121"/>
      <c r="DL439" s="1171"/>
      <c r="DM439" s="121"/>
      <c r="DN439" s="1169"/>
      <c r="DO439" s="121"/>
      <c r="DP439" s="288"/>
      <c r="DQ439" s="293"/>
      <c r="DR439" s="1168"/>
      <c r="DS439" s="865"/>
      <c r="DT439" s="1171"/>
      <c r="DU439" s="121"/>
      <c r="DV439" s="1169"/>
      <c r="DW439" s="121"/>
      <c r="DX439" s="1171"/>
      <c r="DY439" s="121"/>
      <c r="DZ439" s="1169"/>
      <c r="EA439" s="121"/>
      <c r="EB439" s="304"/>
      <c r="EC439" s="314"/>
      <c r="ED439" s="1171"/>
      <c r="EE439" s="121"/>
      <c r="EF439" s="1169"/>
      <c r="EG439" s="121"/>
      <c r="EH439" s="1171"/>
      <c r="EI439" s="121"/>
      <c r="EJ439" s="1169"/>
      <c r="EK439" s="121"/>
      <c r="EL439" s="304"/>
      <c r="EM439" s="314"/>
      <c r="EN439" s="309"/>
      <c r="EO439" s="1170"/>
      <c r="EP439" s="1169"/>
      <c r="EQ439" s="1169"/>
      <c r="ER439" s="1169"/>
      <c r="ES439" s="1169"/>
      <c r="ET439" s="1171"/>
      <c r="EU439" s="1169"/>
      <c r="EV439" s="1169"/>
      <c r="EW439" s="1169"/>
      <c r="EX439" s="312"/>
      <c r="EY439" s="312"/>
      <c r="EZ439" s="1171"/>
      <c r="FA439" s="1169"/>
      <c r="FB439" s="1169"/>
      <c r="FC439" s="1169"/>
      <c r="FD439" s="1171"/>
      <c r="FE439" s="1169"/>
      <c r="FF439" s="1169"/>
      <c r="FG439" s="1169"/>
      <c r="FH439" s="312"/>
      <c r="FI439" s="312"/>
      <c r="FJ439" s="1170"/>
    </row>
    <row r="440" spans="1:166" s="1019" customFormat="1" ht="14" hidden="1" customHeight="1">
      <c r="A440" s="153" t="s">
        <v>1017</v>
      </c>
      <c r="B440" s="1535">
        <v>30</v>
      </c>
      <c r="C440" s="1535"/>
      <c r="D440" s="1535"/>
      <c r="E440" s="610" t="s">
        <v>2095</v>
      </c>
      <c r="F440" s="368" t="s">
        <v>2350</v>
      </c>
      <c r="G440" s="369">
        <v>2010</v>
      </c>
      <c r="H440" s="153">
        <v>20844476</v>
      </c>
      <c r="I440" s="153">
        <v>1</v>
      </c>
      <c r="J440" s="370">
        <v>1</v>
      </c>
      <c r="K440" s="371"/>
      <c r="L440" s="153">
        <v>1</v>
      </c>
      <c r="M440" s="153"/>
      <c r="N440" s="153">
        <v>1</v>
      </c>
      <c r="O440" s="153">
        <v>2</v>
      </c>
      <c r="P440" s="153" t="s">
        <v>1220</v>
      </c>
      <c r="Q440" s="153" t="s">
        <v>1422</v>
      </c>
      <c r="R440" s="153" t="s">
        <v>1127</v>
      </c>
      <c r="S440" s="153"/>
      <c r="T440" s="153" t="s">
        <v>1488</v>
      </c>
      <c r="U440" s="153"/>
      <c r="V440" s="153"/>
      <c r="W440" s="153" t="s">
        <v>1501</v>
      </c>
      <c r="X440" s="153"/>
      <c r="Y440" s="153" t="s">
        <v>1123</v>
      </c>
      <c r="Z440" s="153"/>
      <c r="AA440" s="153" t="s">
        <v>1423</v>
      </c>
      <c r="AB440" s="153"/>
      <c r="AC440" s="536"/>
      <c r="AD440" s="536">
        <v>1</v>
      </c>
      <c r="AE440" s="536">
        <v>2</v>
      </c>
      <c r="AF440" s="165">
        <v>0</v>
      </c>
      <c r="AG440" s="166" t="s">
        <v>7679</v>
      </c>
      <c r="AH440" s="509">
        <v>0</v>
      </c>
      <c r="AI440" s="120">
        <v>4</v>
      </c>
      <c r="AJ440" s="120"/>
      <c r="AK440" s="206" t="s">
        <v>7490</v>
      </c>
      <c r="AL440" s="372">
        <v>0</v>
      </c>
      <c r="AM440" s="207"/>
      <c r="AN440" s="120"/>
      <c r="AO440" s="120"/>
      <c r="AP440" s="120"/>
      <c r="AQ440" s="120" t="s">
        <v>803</v>
      </c>
      <c r="AR440" s="120" t="s">
        <v>803</v>
      </c>
      <c r="AS440" s="120" t="s">
        <v>7489</v>
      </c>
      <c r="AT440" s="120" t="s">
        <v>24</v>
      </c>
      <c r="AU440" s="120" t="s">
        <v>7489</v>
      </c>
      <c r="AV440" s="120" t="s">
        <v>24</v>
      </c>
      <c r="AW440" s="120" t="s">
        <v>7491</v>
      </c>
      <c r="AX440" s="120">
        <v>5</v>
      </c>
      <c r="AY440" s="120">
        <v>0.6</v>
      </c>
      <c r="AZ440" s="755" t="s">
        <v>1814</v>
      </c>
      <c r="BA440" s="120"/>
      <c r="BB440" s="120"/>
      <c r="BC440" s="120"/>
      <c r="BD440" s="755"/>
      <c r="BE440" s="755"/>
      <c r="BF440" s="120" t="s">
        <v>1130</v>
      </c>
      <c r="BG440" s="120"/>
      <c r="BH440" s="377"/>
      <c r="BI440" s="377"/>
      <c r="BJ440" s="373">
        <v>1</v>
      </c>
      <c r="BK440" s="373"/>
      <c r="BL440" s="373"/>
      <c r="BM440" s="373"/>
      <c r="BN440" s="373"/>
      <c r="BO440" s="373"/>
      <c r="BP440" s="373"/>
      <c r="BQ440" s="373"/>
      <c r="BR440" s="373"/>
      <c r="BS440" s="373"/>
      <c r="BT440" s="373"/>
      <c r="BU440" s="373"/>
      <c r="BV440" s="373"/>
      <c r="BW440" s="599" t="s">
        <v>3204</v>
      </c>
      <c r="BX440" s="374" t="s">
        <v>6600</v>
      </c>
      <c r="BY440" s="374"/>
      <c r="BZ440" s="374"/>
      <c r="CA440" s="511"/>
      <c r="CB440" s="511"/>
      <c r="CC440" s="511"/>
      <c r="CD440" s="120"/>
      <c r="CE440" s="120"/>
      <c r="CF440" s="120" t="s">
        <v>7657</v>
      </c>
      <c r="CG440" s="120" t="s">
        <v>7492</v>
      </c>
      <c r="CH440" s="755"/>
      <c r="CI440" s="120" t="s">
        <v>2471</v>
      </c>
      <c r="CJ440" s="120"/>
      <c r="CK440" s="120"/>
      <c r="CL440" s="120"/>
      <c r="CM440" s="375" t="s">
        <v>24</v>
      </c>
      <c r="CN440" s="380"/>
      <c r="CO440" s="380"/>
      <c r="CP440" s="380"/>
      <c r="CQ440" s="380"/>
      <c r="CR440" s="380"/>
      <c r="CS440" s="380"/>
      <c r="CT440" s="380"/>
      <c r="CU440" s="380"/>
      <c r="CV440" s="380"/>
      <c r="CW440" s="380"/>
      <c r="CX440" s="376"/>
      <c r="CY440" s="120"/>
      <c r="CZ440" s="120"/>
      <c r="DA440" s="120"/>
      <c r="DB440" s="376"/>
      <c r="DC440" s="120"/>
      <c r="DD440" s="120"/>
      <c r="DE440" s="120"/>
      <c r="DF440" s="621"/>
      <c r="DG440" s="509"/>
      <c r="DH440" s="727"/>
      <c r="DI440" s="384"/>
      <c r="DJ440" s="384"/>
      <c r="DK440" s="384"/>
      <c r="DL440" s="727"/>
      <c r="DM440" s="384"/>
      <c r="DN440" s="384"/>
      <c r="DO440" s="384"/>
      <c r="DP440" s="375"/>
      <c r="DQ440" s="377"/>
      <c r="DR440" s="1182"/>
      <c r="DS440" s="956"/>
      <c r="DT440" s="727"/>
      <c r="DU440" s="384"/>
      <c r="DV440" s="384"/>
      <c r="DW440" s="384"/>
      <c r="DX440" s="384"/>
      <c r="DY440" s="384"/>
      <c r="DZ440" s="384"/>
      <c r="EA440" s="384"/>
      <c r="EB440" s="1012"/>
      <c r="EC440" s="384"/>
      <c r="ED440" s="384"/>
      <c r="EE440" s="384"/>
      <c r="EF440" s="384"/>
      <c r="EG440" s="384"/>
      <c r="EH440" s="384"/>
      <c r="EI440" s="384"/>
      <c r="EJ440" s="384"/>
      <c r="EK440" s="384"/>
      <c r="EL440" s="1012"/>
      <c r="EM440" s="384"/>
      <c r="EN440" s="1012"/>
      <c r="EO440" s="384"/>
      <c r="EP440" s="384"/>
      <c r="EQ440" s="384"/>
      <c r="ER440" s="384"/>
      <c r="ES440" s="384"/>
      <c r="ET440" s="727"/>
      <c r="EU440" s="384"/>
      <c r="EV440" s="384"/>
      <c r="EW440" s="384"/>
      <c r="EX440" s="384"/>
      <c r="EY440" s="384"/>
      <c r="EZ440" s="727"/>
      <c r="FA440" s="384"/>
      <c r="FB440" s="384"/>
      <c r="FC440" s="384"/>
      <c r="FD440" s="727"/>
      <c r="FE440" s="384"/>
      <c r="FF440" s="384"/>
      <c r="FG440" s="384"/>
      <c r="FH440" s="384"/>
      <c r="FI440" s="384"/>
      <c r="FJ440" s="384"/>
    </row>
    <row r="441" spans="1:166" ht="14" hidden="1" customHeight="1">
      <c r="A441" s="153" t="s">
        <v>1015</v>
      </c>
      <c r="B441" s="1535">
        <v>31</v>
      </c>
      <c r="C441" s="1535"/>
      <c r="D441" s="1535"/>
      <c r="E441" s="610" t="s">
        <v>2096</v>
      </c>
      <c r="F441" s="368" t="s">
        <v>2351</v>
      </c>
      <c r="G441" s="369">
        <v>2015</v>
      </c>
      <c r="H441" s="153">
        <v>25430781</v>
      </c>
      <c r="I441" s="153">
        <v>1</v>
      </c>
      <c r="J441" s="370">
        <v>1</v>
      </c>
      <c r="K441" s="371"/>
      <c r="L441" s="153">
        <v>1</v>
      </c>
      <c r="M441" s="153"/>
      <c r="N441" s="153">
        <v>1</v>
      </c>
      <c r="O441" s="153">
        <v>2</v>
      </c>
      <c r="P441" s="153" t="s">
        <v>1426</v>
      </c>
      <c r="Q441" s="153" t="s">
        <v>1216</v>
      </c>
      <c r="R441" s="153" t="s">
        <v>1127</v>
      </c>
      <c r="S441" s="153"/>
      <c r="T441" s="153" t="s">
        <v>1488</v>
      </c>
      <c r="U441" s="153" t="s">
        <v>803</v>
      </c>
      <c r="V441" s="153" t="s">
        <v>23</v>
      </c>
      <c r="W441" s="153" t="s">
        <v>1427</v>
      </c>
      <c r="X441" s="153" t="s">
        <v>1428</v>
      </c>
      <c r="Y441" s="153"/>
      <c r="Z441" s="153"/>
      <c r="AA441" s="153" t="s">
        <v>1425</v>
      </c>
      <c r="AB441" s="153"/>
      <c r="AC441" s="536"/>
      <c r="AD441" s="536">
        <v>1</v>
      </c>
      <c r="AE441" s="536">
        <v>2</v>
      </c>
      <c r="AF441" s="165">
        <v>0</v>
      </c>
      <c r="AG441" s="166" t="s">
        <v>7682</v>
      </c>
      <c r="AH441" s="509">
        <v>0</v>
      </c>
      <c r="AI441" s="120">
        <v>4</v>
      </c>
      <c r="AJ441" s="120"/>
      <c r="AK441" s="206"/>
      <c r="AL441" s="372">
        <v>0</v>
      </c>
      <c r="AM441" s="207"/>
      <c r="AN441" s="120"/>
      <c r="AO441" s="120"/>
      <c r="AP441" s="120"/>
      <c r="AQ441" s="120"/>
      <c r="AR441" s="120"/>
      <c r="AS441" s="120"/>
      <c r="AT441" s="120"/>
      <c r="AU441" s="120"/>
      <c r="AV441" s="120"/>
      <c r="AW441" s="120"/>
      <c r="AX441" s="120">
        <v>2</v>
      </c>
      <c r="AY441" s="120">
        <v>0.5</v>
      </c>
      <c r="AZ441" s="755" t="s">
        <v>1814</v>
      </c>
      <c r="BA441" s="120"/>
      <c r="BB441" s="120"/>
      <c r="BC441" s="120"/>
      <c r="BD441" s="755"/>
      <c r="BE441" s="755"/>
      <c r="BF441" s="120"/>
      <c r="BG441" s="120"/>
      <c r="BH441" s="377"/>
      <c r="BI441" s="377"/>
      <c r="BJ441" s="373">
        <v>1</v>
      </c>
      <c r="BK441" s="373"/>
      <c r="BL441" s="373"/>
      <c r="BM441" s="373"/>
      <c r="BN441" s="373"/>
      <c r="BO441" s="373"/>
      <c r="BP441" s="373"/>
      <c r="BQ441" s="373"/>
      <c r="BR441" s="373"/>
      <c r="BS441" s="373"/>
      <c r="BT441" s="373"/>
      <c r="BU441" s="373"/>
      <c r="BV441" s="373"/>
      <c r="BW441" s="599"/>
      <c r="BX441" s="374"/>
      <c r="BY441" s="799"/>
      <c r="BZ441" s="374"/>
      <c r="CA441" s="511"/>
      <c r="CB441" s="511"/>
      <c r="CC441" s="511"/>
      <c r="CD441" s="120"/>
      <c r="CE441" s="120"/>
      <c r="CF441" s="786"/>
      <c r="CG441" s="120"/>
      <c r="CH441" s="755"/>
      <c r="CI441" s="120"/>
      <c r="CJ441" s="120"/>
      <c r="CK441" s="120"/>
      <c r="CL441" s="120"/>
      <c r="CM441" s="375" t="s">
        <v>24</v>
      </c>
      <c r="CN441" s="380"/>
      <c r="CO441" s="380"/>
      <c r="CP441" s="380"/>
      <c r="CQ441" s="380"/>
      <c r="CR441" s="380"/>
      <c r="CS441" s="380"/>
      <c r="CT441" s="380"/>
      <c r="CU441" s="380"/>
      <c r="CV441" s="380"/>
      <c r="CW441" s="380"/>
      <c r="CX441" s="376"/>
      <c r="CY441" s="120"/>
      <c r="CZ441" s="120"/>
      <c r="DA441" s="120"/>
      <c r="DB441" s="376"/>
      <c r="DC441" s="120"/>
      <c r="DD441" s="120"/>
      <c r="DE441" s="120"/>
      <c r="DF441" s="515"/>
      <c r="DG441" s="513"/>
      <c r="DH441" s="727"/>
      <c r="DI441" s="384"/>
      <c r="DJ441" s="384"/>
      <c r="DK441" s="384"/>
      <c r="DL441" s="727"/>
      <c r="DM441" s="384"/>
      <c r="DN441" s="384"/>
      <c r="DO441" s="384"/>
      <c r="DP441" s="375"/>
      <c r="DQ441" s="377"/>
      <c r="DR441" s="1182"/>
      <c r="DS441" s="956"/>
      <c r="DT441" s="727"/>
      <c r="DU441" s="384"/>
      <c r="DV441" s="384"/>
      <c r="DW441" s="384"/>
      <c r="DX441" s="384"/>
      <c r="DY441" s="384"/>
      <c r="DZ441" s="384"/>
      <c r="EA441" s="384"/>
      <c r="EB441" s="1012"/>
      <c r="EC441" s="384"/>
      <c r="ED441" s="384"/>
      <c r="EE441" s="384"/>
      <c r="EF441" s="384"/>
      <c r="EG441" s="384"/>
      <c r="EH441" s="384"/>
      <c r="EI441" s="384"/>
      <c r="EJ441" s="384"/>
      <c r="EK441" s="384"/>
      <c r="EL441" s="1012"/>
      <c r="EM441" s="384"/>
      <c r="EN441" s="1012"/>
      <c r="EO441" s="384"/>
      <c r="EP441" s="384"/>
      <c r="EQ441" s="384"/>
      <c r="ER441" s="384"/>
      <c r="ES441" s="384"/>
      <c r="ET441" s="727"/>
      <c r="EU441" s="384"/>
      <c r="EV441" s="384"/>
      <c r="EW441" s="384"/>
      <c r="EX441" s="384"/>
      <c r="EY441" s="384"/>
      <c r="EZ441" s="727"/>
      <c r="FA441" s="384"/>
      <c r="FB441" s="384"/>
      <c r="FC441" s="384"/>
      <c r="FD441" s="727"/>
      <c r="FE441" s="384"/>
      <c r="FF441" s="384"/>
      <c r="FG441" s="384"/>
      <c r="FH441" s="384"/>
      <c r="FI441" s="384"/>
      <c r="FJ441" s="384"/>
    </row>
    <row r="442" spans="1:166" ht="14" hidden="1" customHeight="1">
      <c r="A442" s="153" t="s">
        <v>227</v>
      </c>
      <c r="B442" s="618">
        <v>166</v>
      </c>
      <c r="C442" s="618">
        <v>56</v>
      </c>
      <c r="D442" s="618"/>
      <c r="E442" s="610" t="s">
        <v>1988</v>
      </c>
      <c r="F442" s="368" t="s">
        <v>2214</v>
      </c>
      <c r="G442" s="369">
        <v>2008</v>
      </c>
      <c r="H442" s="153">
        <v>17853136</v>
      </c>
      <c r="I442" s="153">
        <v>1</v>
      </c>
      <c r="J442" s="370"/>
      <c r="K442" s="371"/>
      <c r="L442" s="153">
        <v>1</v>
      </c>
      <c r="M442" s="153"/>
      <c r="N442" s="153">
        <v>1</v>
      </c>
      <c r="O442" s="153">
        <v>1</v>
      </c>
      <c r="P442" s="153" t="s">
        <v>73</v>
      </c>
      <c r="Q442" s="153" t="s">
        <v>1147</v>
      </c>
      <c r="R442" s="153" t="s">
        <v>634</v>
      </c>
      <c r="S442" s="153">
        <v>1</v>
      </c>
      <c r="T442" s="153"/>
      <c r="U442" s="153"/>
      <c r="V442" s="153"/>
      <c r="W442" s="153" t="s">
        <v>635</v>
      </c>
      <c r="X442" s="153"/>
      <c r="Y442" s="153"/>
      <c r="Z442" s="153"/>
      <c r="AA442" s="153"/>
      <c r="AB442" s="153"/>
      <c r="AC442" s="536"/>
      <c r="AD442" s="536">
        <v>1</v>
      </c>
      <c r="AE442" s="536">
        <v>2</v>
      </c>
      <c r="AF442" s="165">
        <v>0</v>
      </c>
      <c r="AG442" s="166" t="s">
        <v>7217</v>
      </c>
      <c r="AH442" s="509">
        <v>0</v>
      </c>
      <c r="AI442" s="120">
        <v>2</v>
      </c>
      <c r="AJ442" s="120"/>
      <c r="AK442" s="206" t="s">
        <v>5114</v>
      </c>
      <c r="AL442" s="372"/>
      <c r="AM442" s="207"/>
      <c r="AN442" s="120">
        <v>37</v>
      </c>
      <c r="AO442" s="120"/>
      <c r="AP442" s="120"/>
      <c r="AQ442" s="120"/>
      <c r="AR442" s="120"/>
      <c r="AS442" s="120"/>
      <c r="AT442" s="120"/>
      <c r="AU442" s="120"/>
      <c r="AV442" s="120"/>
      <c r="AW442" s="120"/>
      <c r="AX442" s="120"/>
      <c r="AY442" s="120"/>
      <c r="AZ442" s="755"/>
      <c r="BA442" s="120"/>
      <c r="BB442" s="120"/>
      <c r="BC442" s="120"/>
      <c r="BD442" s="755"/>
      <c r="BE442" s="755"/>
      <c r="BF442" s="120"/>
      <c r="BG442" s="509"/>
      <c r="BH442" s="513"/>
      <c r="BI442" s="513"/>
      <c r="BJ442" s="511"/>
      <c r="BK442" s="511"/>
      <c r="BL442" s="511"/>
      <c r="BM442" s="511"/>
      <c r="BN442" s="511"/>
      <c r="BO442" s="511"/>
      <c r="BP442" s="511">
        <v>1</v>
      </c>
      <c r="BQ442" s="511"/>
      <c r="BR442" s="511"/>
      <c r="BS442" s="511"/>
      <c r="BT442" s="511"/>
      <c r="BU442" s="511"/>
      <c r="BV442" s="511"/>
      <c r="BW442" s="511"/>
      <c r="BX442" s="510"/>
      <c r="BY442" s="510"/>
      <c r="BZ442" s="510"/>
      <c r="CA442" s="511"/>
      <c r="CB442" s="511"/>
      <c r="CC442" s="511"/>
      <c r="CD442" s="120"/>
      <c r="CE442" s="120"/>
      <c r="CF442" s="120"/>
      <c r="CG442" s="120"/>
      <c r="CH442" s="755"/>
      <c r="CI442" s="120"/>
      <c r="CJ442" s="120"/>
      <c r="CK442" s="120"/>
      <c r="CL442" s="120"/>
      <c r="CM442" s="375"/>
      <c r="CN442" s="380"/>
      <c r="CO442" s="380"/>
      <c r="CP442" s="380"/>
      <c r="CQ442" s="380"/>
      <c r="CR442" s="380"/>
      <c r="CS442" s="380"/>
      <c r="CT442" s="380"/>
      <c r="CU442" s="380"/>
      <c r="CV442" s="380"/>
      <c r="CW442" s="380"/>
      <c r="CX442" s="376"/>
      <c r="CY442" s="120"/>
      <c r="CZ442" s="120"/>
      <c r="DA442" s="120"/>
      <c r="DB442" s="376"/>
      <c r="DC442" s="120"/>
      <c r="DD442" s="120"/>
      <c r="DE442" s="120"/>
      <c r="DF442" s="515"/>
      <c r="DG442" s="513"/>
      <c r="DH442" s="727"/>
      <c r="DI442" s="384"/>
      <c r="DJ442" s="384"/>
      <c r="DK442" s="384"/>
      <c r="DL442" s="727"/>
      <c r="DM442" s="384"/>
      <c r="DN442" s="384"/>
      <c r="DO442" s="384"/>
      <c r="DP442" s="375" t="s">
        <v>24</v>
      </c>
      <c r="DQ442" s="377" t="s">
        <v>24</v>
      </c>
      <c r="DR442" s="1182" t="s">
        <v>5109</v>
      </c>
      <c r="DS442" s="956" t="s">
        <v>5110</v>
      </c>
      <c r="DT442" s="727" t="s">
        <v>24</v>
      </c>
      <c r="DU442" s="384"/>
      <c r="DV442" s="384"/>
      <c r="DW442" s="384"/>
      <c r="DX442" s="384"/>
      <c r="DY442" s="384"/>
      <c r="DZ442" s="384"/>
      <c r="EA442" s="384"/>
      <c r="EB442" s="1012"/>
      <c r="EC442" s="384"/>
      <c r="ED442" s="384"/>
      <c r="EE442" s="384"/>
      <c r="EF442" s="384"/>
      <c r="EG442" s="384"/>
      <c r="EH442" s="384"/>
      <c r="EI442" s="384"/>
      <c r="EJ442" s="384"/>
      <c r="EK442" s="384"/>
      <c r="EL442" s="1012"/>
      <c r="EM442" s="384"/>
      <c r="EN442" s="1012"/>
      <c r="EO442" s="384"/>
      <c r="EP442" s="384"/>
      <c r="EQ442" s="384"/>
      <c r="ER442" s="384"/>
      <c r="ES442" s="384"/>
      <c r="ET442" s="727"/>
      <c r="EU442" s="384"/>
      <c r="EV442" s="384"/>
      <c r="EW442" s="384"/>
      <c r="EX442" s="384"/>
      <c r="EY442" s="384"/>
      <c r="EZ442" s="727"/>
      <c r="FA442" s="384"/>
      <c r="FB442" s="384"/>
      <c r="FC442" s="384"/>
      <c r="FD442" s="727"/>
      <c r="FE442" s="384"/>
      <c r="FF442" s="384"/>
      <c r="FG442" s="384"/>
      <c r="FH442" s="384"/>
      <c r="FI442" s="384"/>
      <c r="FJ442" s="384"/>
    </row>
    <row r="443" spans="1:166" ht="14" hidden="1" customHeight="1">
      <c r="A443" s="79" t="s">
        <v>228</v>
      </c>
      <c r="B443" s="362">
        <v>167</v>
      </c>
      <c r="C443" s="362"/>
      <c r="D443" s="362">
        <v>58</v>
      </c>
      <c r="E443" s="604" t="s">
        <v>1989</v>
      </c>
      <c r="F443" s="124" t="s">
        <v>2215</v>
      </c>
      <c r="G443" s="125">
        <v>2009</v>
      </c>
      <c r="H443" s="79">
        <v>19091328</v>
      </c>
      <c r="I443" s="79">
        <v>1</v>
      </c>
      <c r="J443" s="126"/>
      <c r="K443" s="127"/>
      <c r="L443" s="79">
        <v>1</v>
      </c>
      <c r="M443" s="79"/>
      <c r="N443" s="79">
        <v>1</v>
      </c>
      <c r="O443" s="128">
        <v>1</v>
      </c>
      <c r="P443" s="79" t="s">
        <v>636</v>
      </c>
      <c r="Q443" s="79" t="s">
        <v>1158</v>
      </c>
      <c r="R443" s="79" t="s">
        <v>591</v>
      </c>
      <c r="S443" s="79">
        <v>1</v>
      </c>
      <c r="T443" s="79"/>
      <c r="U443" s="79"/>
      <c r="V443" s="79"/>
      <c r="W443" s="79" t="s">
        <v>637</v>
      </c>
      <c r="X443" s="79" t="s">
        <v>56</v>
      </c>
      <c r="Y443" s="79"/>
      <c r="Z443" s="79"/>
      <c r="AA443" s="79"/>
      <c r="AB443" s="79"/>
      <c r="AC443" s="506" t="s">
        <v>6241</v>
      </c>
      <c r="AD443" s="573">
        <v>1</v>
      </c>
      <c r="AE443" s="573">
        <v>0</v>
      </c>
      <c r="AF443" s="924">
        <v>2</v>
      </c>
      <c r="AG443" s="925"/>
      <c r="AH443" s="911"/>
      <c r="AI443" s="923">
        <v>2</v>
      </c>
      <c r="AJ443" s="923"/>
      <c r="AK443" s="926"/>
      <c r="AL443" s="588"/>
      <c r="AM443" s="927"/>
      <c r="AN443" s="923"/>
      <c r="AO443" s="923"/>
      <c r="AP443" s="923"/>
      <c r="AQ443" s="923"/>
      <c r="AR443" s="923"/>
      <c r="AS443" s="923"/>
      <c r="AT443" s="923"/>
      <c r="AU443" s="923"/>
      <c r="AV443" s="923"/>
      <c r="AW443" s="923"/>
      <c r="AX443" s="923"/>
      <c r="AY443" s="923"/>
      <c r="AZ443" s="915"/>
      <c r="BA443" s="923"/>
      <c r="BB443" s="923"/>
      <c r="BC443" s="923"/>
      <c r="BD443" s="915"/>
      <c r="BE443" s="915"/>
      <c r="BF443" s="923"/>
      <c r="BG443" s="923"/>
      <c r="BH443" s="594"/>
      <c r="BI443" s="594"/>
      <c r="BJ443" s="156"/>
      <c r="BK443" s="156"/>
      <c r="BL443" s="156"/>
      <c r="BM443" s="156"/>
      <c r="BN443" s="156"/>
      <c r="BO443" s="156" t="s">
        <v>4727</v>
      </c>
      <c r="BP443" s="156"/>
      <c r="BQ443" s="156" t="s">
        <v>6240</v>
      </c>
      <c r="BR443" s="156" t="s">
        <v>5207</v>
      </c>
      <c r="BS443" s="156"/>
      <c r="BT443" s="156"/>
      <c r="BU443" s="156"/>
      <c r="BV443" s="156"/>
      <c r="BW443" s="928"/>
      <c r="BX443" s="929"/>
      <c r="BY443" s="929"/>
      <c r="BZ443" s="929"/>
      <c r="CA443" s="184"/>
      <c r="CB443" s="184"/>
      <c r="CC443" s="184"/>
      <c r="CD443" s="923"/>
      <c r="CE443" s="923"/>
      <c r="CF443" s="923"/>
      <c r="CG443" s="923"/>
      <c r="CH443" s="915"/>
      <c r="CI443" s="923"/>
      <c r="CJ443" s="923"/>
      <c r="CK443" s="923"/>
      <c r="CL443" s="923"/>
      <c r="CM443" s="930"/>
      <c r="CN443" s="931"/>
      <c r="CO443" s="931"/>
      <c r="CP443" s="931"/>
      <c r="CQ443" s="931"/>
      <c r="CR443" s="931"/>
      <c r="CS443" s="931"/>
      <c r="CT443" s="967"/>
      <c r="CU443" s="967"/>
      <c r="CV443" s="967"/>
      <c r="CW443" s="967"/>
      <c r="CX443" s="932"/>
      <c r="CY443" s="923"/>
      <c r="CZ443" s="923"/>
      <c r="DA443" s="923"/>
      <c r="DB443" s="932"/>
      <c r="DC443" s="923"/>
      <c r="DD443" s="923"/>
      <c r="DE443" s="923"/>
      <c r="DF443" s="920"/>
      <c r="DG443" s="598"/>
      <c r="DH443" s="950"/>
      <c r="DI443" s="951"/>
      <c r="DJ443" s="951"/>
      <c r="DK443" s="951"/>
      <c r="DL443" s="950"/>
      <c r="DM443" s="951"/>
      <c r="DN443" s="951"/>
      <c r="DO443" s="951"/>
      <c r="DP443" s="930"/>
      <c r="DQ443" s="594"/>
      <c r="DR443" s="1187"/>
      <c r="DS443" s="1186"/>
      <c r="DT443" s="950"/>
      <c r="DU443" s="951"/>
      <c r="DV443" s="951"/>
      <c r="DW443" s="951"/>
      <c r="DX443" s="951"/>
      <c r="DY443" s="951"/>
      <c r="DZ443" s="951"/>
      <c r="EA443" s="951"/>
      <c r="EB443" s="1185"/>
      <c r="EC443" s="951"/>
      <c r="ED443" s="951"/>
      <c r="EE443" s="951"/>
      <c r="EF443" s="951"/>
      <c r="EG443" s="951"/>
      <c r="EH443" s="951"/>
      <c r="EI443" s="951"/>
      <c r="EJ443" s="951"/>
      <c r="EK443" s="951"/>
      <c r="EL443" s="1185"/>
      <c r="EM443" s="951"/>
      <c r="EN443" s="1185"/>
      <c r="EO443" s="951"/>
      <c r="EP443" s="951"/>
      <c r="EQ443" s="951"/>
      <c r="ER443" s="951"/>
      <c r="ES443" s="951"/>
      <c r="ET443" s="950"/>
      <c r="EU443" s="951"/>
      <c r="EV443" s="951"/>
      <c r="EW443" s="951"/>
      <c r="EX443" s="951"/>
      <c r="EY443" s="951"/>
      <c r="EZ443" s="950"/>
      <c r="FA443" s="951"/>
      <c r="FB443" s="951"/>
      <c r="FC443" s="951"/>
      <c r="FD443" s="950"/>
      <c r="FE443" s="951"/>
      <c r="FF443" s="951"/>
      <c r="FG443" s="951"/>
      <c r="FH443" s="951"/>
      <c r="FI443" s="951"/>
      <c r="FJ443" s="951"/>
    </row>
    <row r="444" spans="1:166" ht="14" hidden="1" customHeight="1">
      <c r="A444" s="79" t="s">
        <v>229</v>
      </c>
      <c r="B444" s="362">
        <v>168</v>
      </c>
      <c r="C444" s="362"/>
      <c r="D444" s="362">
        <v>59</v>
      </c>
      <c r="E444" s="604" t="s">
        <v>1989</v>
      </c>
      <c r="F444" s="124" t="s">
        <v>2216</v>
      </c>
      <c r="G444" s="125">
        <v>2011</v>
      </c>
      <c r="H444" s="79">
        <v>21545724</v>
      </c>
      <c r="I444" s="79">
        <v>1</v>
      </c>
      <c r="J444" s="126"/>
      <c r="K444" s="127"/>
      <c r="L444" s="79">
        <v>1</v>
      </c>
      <c r="M444" s="79"/>
      <c r="N444" s="79">
        <v>1</v>
      </c>
      <c r="O444" s="128">
        <v>1</v>
      </c>
      <c r="P444" s="79" t="s">
        <v>609</v>
      </c>
      <c r="Q444" s="79" t="s">
        <v>1158</v>
      </c>
      <c r="R444" s="79" t="s">
        <v>591</v>
      </c>
      <c r="S444" s="79">
        <v>1</v>
      </c>
      <c r="T444" s="79"/>
      <c r="U444" s="79"/>
      <c r="V444" s="79"/>
      <c r="W444" s="79" t="s">
        <v>610</v>
      </c>
      <c r="X444" s="79" t="s">
        <v>42</v>
      </c>
      <c r="Y444" s="79" t="s">
        <v>638</v>
      </c>
      <c r="Z444" s="79"/>
      <c r="AA444" s="79"/>
      <c r="AB444" s="79" t="s">
        <v>639</v>
      </c>
      <c r="AC444" s="506" t="s">
        <v>6242</v>
      </c>
      <c r="AD444" s="573">
        <v>1</v>
      </c>
      <c r="AE444" s="573">
        <v>0</v>
      </c>
      <c r="AF444" s="924">
        <v>2</v>
      </c>
      <c r="AG444" s="925"/>
      <c r="AH444" s="911"/>
      <c r="AI444" s="923">
        <v>2</v>
      </c>
      <c r="AJ444" s="923"/>
      <c r="AK444" s="926"/>
      <c r="AL444" s="588"/>
      <c r="AM444" s="927"/>
      <c r="AN444" s="923"/>
      <c r="AO444" s="923"/>
      <c r="AP444" s="923"/>
      <c r="AQ444" s="923"/>
      <c r="AR444" s="923"/>
      <c r="AS444" s="923"/>
      <c r="AT444" s="923"/>
      <c r="AU444" s="923"/>
      <c r="AV444" s="923"/>
      <c r="AW444" s="923"/>
      <c r="AX444" s="923"/>
      <c r="AY444" s="923"/>
      <c r="AZ444" s="915"/>
      <c r="BA444" s="923"/>
      <c r="BB444" s="923"/>
      <c r="BC444" s="923"/>
      <c r="BD444" s="915"/>
      <c r="BE444" s="915"/>
      <c r="BF444" s="923"/>
      <c r="BG444" s="923"/>
      <c r="BH444" s="594"/>
      <c r="BI444" s="594"/>
      <c r="BJ444" s="156"/>
      <c r="BK444" s="156"/>
      <c r="BL444" s="156"/>
      <c r="BM444" s="156"/>
      <c r="BN444" s="156"/>
      <c r="BO444" s="156" t="s">
        <v>4727</v>
      </c>
      <c r="BP444" s="156"/>
      <c r="BQ444" s="156" t="s">
        <v>6243</v>
      </c>
      <c r="BR444" s="156" t="s">
        <v>5207</v>
      </c>
      <c r="BS444" s="156"/>
      <c r="BT444" s="156"/>
      <c r="BU444" s="156"/>
      <c r="BV444" s="156"/>
      <c r="BW444" s="928"/>
      <c r="BX444" s="929"/>
      <c r="BY444" s="929"/>
      <c r="BZ444" s="929"/>
      <c r="CA444" s="184"/>
      <c r="CB444" s="184"/>
      <c r="CC444" s="184"/>
      <c r="CD444" s="923"/>
      <c r="CE444" s="923"/>
      <c r="CF444" s="923"/>
      <c r="CG444" s="923"/>
      <c r="CH444" s="915"/>
      <c r="CI444" s="923"/>
      <c r="CJ444" s="923"/>
      <c r="CK444" s="923"/>
      <c r="CL444" s="923"/>
      <c r="CM444" s="930"/>
      <c r="CN444" s="931"/>
      <c r="CO444" s="931"/>
      <c r="CP444" s="931"/>
      <c r="CQ444" s="931"/>
      <c r="CR444" s="931"/>
      <c r="CS444" s="931"/>
      <c r="CT444" s="967"/>
      <c r="CU444" s="967"/>
      <c r="CV444" s="967"/>
      <c r="CW444" s="967"/>
      <c r="CX444" s="932"/>
      <c r="CY444" s="923"/>
      <c r="CZ444" s="923"/>
      <c r="DA444" s="923"/>
      <c r="DB444" s="932"/>
      <c r="DC444" s="923"/>
      <c r="DD444" s="923"/>
      <c r="DE444" s="923"/>
      <c r="DF444" s="920"/>
      <c r="DG444" s="598"/>
      <c r="DH444" s="950"/>
      <c r="DI444" s="951"/>
      <c r="DJ444" s="951"/>
      <c r="DK444" s="951"/>
      <c r="DL444" s="950"/>
      <c r="DM444" s="951"/>
      <c r="DN444" s="951"/>
      <c r="DO444" s="951"/>
      <c r="DP444" s="930"/>
      <c r="DQ444" s="594"/>
      <c r="DR444" s="1187"/>
      <c r="DS444" s="1186"/>
      <c r="DT444" s="950"/>
      <c r="DU444" s="951"/>
      <c r="DV444" s="951"/>
      <c r="DW444" s="951"/>
      <c r="DX444" s="951"/>
      <c r="DY444" s="951"/>
      <c r="DZ444" s="951"/>
      <c r="EA444" s="951"/>
      <c r="EB444" s="1185"/>
      <c r="EC444" s="951"/>
      <c r="ED444" s="951"/>
      <c r="EE444" s="951"/>
      <c r="EF444" s="951"/>
      <c r="EG444" s="951"/>
      <c r="EH444" s="951"/>
      <c r="EI444" s="951"/>
      <c r="EJ444" s="951"/>
      <c r="EK444" s="951"/>
      <c r="EL444" s="1185"/>
      <c r="EM444" s="951"/>
      <c r="EN444" s="1185"/>
      <c r="EO444" s="951"/>
      <c r="EP444" s="951"/>
      <c r="EQ444" s="951"/>
      <c r="ER444" s="951"/>
      <c r="ES444" s="951"/>
      <c r="ET444" s="950"/>
      <c r="EU444" s="951"/>
      <c r="EV444" s="951"/>
      <c r="EW444" s="951"/>
      <c r="EX444" s="951"/>
      <c r="EY444" s="951"/>
      <c r="EZ444" s="950"/>
      <c r="FA444" s="951"/>
      <c r="FB444" s="951"/>
      <c r="FC444" s="951"/>
      <c r="FD444" s="950"/>
      <c r="FE444" s="951"/>
      <c r="FF444" s="951"/>
      <c r="FG444" s="951"/>
      <c r="FH444" s="951"/>
      <c r="FI444" s="951"/>
      <c r="FJ444" s="951"/>
    </row>
    <row r="445" spans="1:166" ht="14" hidden="1" customHeight="1">
      <c r="A445" s="79" t="s">
        <v>230</v>
      </c>
      <c r="B445" s="362">
        <v>169</v>
      </c>
      <c r="C445" s="362"/>
      <c r="D445" s="362">
        <v>60</v>
      </c>
      <c r="E445" s="604" t="s">
        <v>1989</v>
      </c>
      <c r="F445" s="124" t="s">
        <v>2217</v>
      </c>
      <c r="G445" s="125">
        <v>2008</v>
      </c>
      <c r="H445" s="79">
        <v>18093809</v>
      </c>
      <c r="I445" s="79">
        <v>1</v>
      </c>
      <c r="J445" s="126"/>
      <c r="K445" s="127"/>
      <c r="L445" s="79">
        <v>1</v>
      </c>
      <c r="M445" s="79"/>
      <c r="N445" s="79">
        <v>1</v>
      </c>
      <c r="O445" s="128">
        <v>1</v>
      </c>
      <c r="P445" s="79"/>
      <c r="Q445" s="79" t="s">
        <v>642</v>
      </c>
      <c r="R445" s="79" t="s">
        <v>376</v>
      </c>
      <c r="S445" s="79">
        <v>1</v>
      </c>
      <c r="T445" s="79"/>
      <c r="U445" s="79"/>
      <c r="V445" s="79"/>
      <c r="W445" s="79" t="s">
        <v>641</v>
      </c>
      <c r="X445" s="79" t="s">
        <v>56</v>
      </c>
      <c r="Y445" s="79"/>
      <c r="Z445" s="79"/>
      <c r="AA445" s="79"/>
      <c r="AB445" s="79" t="s">
        <v>640</v>
      </c>
      <c r="AC445" s="506" t="s">
        <v>6245</v>
      </c>
      <c r="AD445" s="573">
        <v>1</v>
      </c>
      <c r="AE445" s="573">
        <v>0</v>
      </c>
      <c r="AF445" s="924">
        <v>2</v>
      </c>
      <c r="AG445" s="925"/>
      <c r="AH445" s="911"/>
      <c r="AI445" s="923">
        <v>2</v>
      </c>
      <c r="AJ445" s="923"/>
      <c r="AK445" s="926"/>
      <c r="AL445" s="588"/>
      <c r="AM445" s="927"/>
      <c r="AN445" s="923"/>
      <c r="AO445" s="923"/>
      <c r="AP445" s="923"/>
      <c r="AQ445" s="923"/>
      <c r="AR445" s="923"/>
      <c r="AS445" s="923"/>
      <c r="AT445" s="923"/>
      <c r="AU445" s="923"/>
      <c r="AV445" s="923"/>
      <c r="AW445" s="923"/>
      <c r="AX445" s="923"/>
      <c r="AY445" s="923"/>
      <c r="AZ445" s="915"/>
      <c r="BA445" s="923"/>
      <c r="BB445" s="923"/>
      <c r="BC445" s="923"/>
      <c r="BD445" s="915"/>
      <c r="BE445" s="915"/>
      <c r="BF445" s="923"/>
      <c r="BG445" s="923"/>
      <c r="BH445" s="594"/>
      <c r="BI445" s="594"/>
      <c r="BJ445" s="156"/>
      <c r="BK445" s="156"/>
      <c r="BL445" s="156"/>
      <c r="BM445" s="156"/>
      <c r="BN445" s="156"/>
      <c r="BO445" s="156" t="s">
        <v>4727</v>
      </c>
      <c r="BP445" s="156"/>
      <c r="BQ445" s="156"/>
      <c r="BR445" s="156"/>
      <c r="BS445" s="156"/>
      <c r="BT445" s="156"/>
      <c r="BU445" s="156"/>
      <c r="BV445" s="156" t="s">
        <v>6244</v>
      </c>
      <c r="BW445" s="928"/>
      <c r="BX445" s="929"/>
      <c r="BY445" s="929"/>
      <c r="BZ445" s="929"/>
      <c r="CA445" s="917"/>
      <c r="CB445" s="917"/>
      <c r="CC445" s="917"/>
      <c r="CD445" s="923"/>
      <c r="CE445" s="923"/>
      <c r="CF445" s="923"/>
      <c r="CG445" s="923"/>
      <c r="CH445" s="915"/>
      <c r="CI445" s="923"/>
      <c r="CJ445" s="923"/>
      <c r="CK445" s="923"/>
      <c r="CL445" s="923"/>
      <c r="CM445" s="930"/>
      <c r="CN445" s="931"/>
      <c r="CO445" s="931"/>
      <c r="CP445" s="931"/>
      <c r="CQ445" s="931"/>
      <c r="CR445" s="931"/>
      <c r="CS445" s="931"/>
      <c r="CT445" s="967"/>
      <c r="CU445" s="967"/>
      <c r="CV445" s="967"/>
      <c r="CW445" s="967"/>
      <c r="CX445" s="932"/>
      <c r="CY445" s="923"/>
      <c r="CZ445" s="923"/>
      <c r="DA445" s="923"/>
      <c r="DB445" s="932"/>
      <c r="DC445" s="923"/>
      <c r="DD445" s="923"/>
      <c r="DE445" s="923"/>
      <c r="DF445" s="920"/>
      <c r="DG445" s="598"/>
      <c r="DH445" s="950"/>
      <c r="DI445" s="951"/>
      <c r="DJ445" s="951"/>
      <c r="DK445" s="951"/>
      <c r="DL445" s="950"/>
      <c r="DM445" s="951"/>
      <c r="DN445" s="951"/>
      <c r="DO445" s="951"/>
      <c r="DP445" s="930"/>
      <c r="DQ445" s="594"/>
      <c r="DR445" s="1187"/>
      <c r="DS445" s="1186"/>
      <c r="DT445" s="950"/>
      <c r="DU445" s="951"/>
      <c r="DV445" s="951"/>
      <c r="DW445" s="951"/>
      <c r="DX445" s="951"/>
      <c r="DY445" s="951"/>
      <c r="DZ445" s="951"/>
      <c r="EA445" s="951"/>
      <c r="EB445" s="1185"/>
      <c r="EC445" s="951"/>
      <c r="ED445" s="951"/>
      <c r="EE445" s="951"/>
      <c r="EF445" s="951"/>
      <c r="EG445" s="951"/>
      <c r="EH445" s="951"/>
      <c r="EI445" s="951"/>
      <c r="EJ445" s="951"/>
      <c r="EK445" s="951"/>
      <c r="EL445" s="1185"/>
      <c r="EM445" s="951"/>
      <c r="EN445" s="1185"/>
      <c r="EO445" s="951"/>
      <c r="EP445" s="951"/>
      <c r="EQ445" s="951"/>
      <c r="ER445" s="951"/>
      <c r="ES445" s="951"/>
      <c r="ET445" s="950"/>
      <c r="EU445" s="951"/>
      <c r="EV445" s="951"/>
      <c r="EW445" s="951"/>
      <c r="EX445" s="951"/>
      <c r="EY445" s="951"/>
      <c r="EZ445" s="950"/>
      <c r="FA445" s="951"/>
      <c r="FB445" s="951"/>
      <c r="FC445" s="951"/>
      <c r="FD445" s="950"/>
      <c r="FE445" s="951"/>
      <c r="FF445" s="951"/>
      <c r="FG445" s="951"/>
      <c r="FH445" s="951"/>
      <c r="FI445" s="951"/>
      <c r="FJ445" s="951"/>
    </row>
    <row r="446" spans="1:166" ht="14" customHeight="1">
      <c r="A446" s="79" t="s">
        <v>1027</v>
      </c>
      <c r="B446" s="614">
        <v>23</v>
      </c>
      <c r="C446" s="614"/>
      <c r="D446" s="614"/>
      <c r="E446" s="604" t="s">
        <v>2087</v>
      </c>
      <c r="F446" s="124" t="s">
        <v>2342</v>
      </c>
      <c r="G446" s="125">
        <v>2015</v>
      </c>
      <c r="H446" s="79">
        <v>26650043</v>
      </c>
      <c r="I446" s="79">
        <v>1</v>
      </c>
      <c r="J446" s="126">
        <v>1</v>
      </c>
      <c r="K446" s="127"/>
      <c r="L446" s="79">
        <v>1</v>
      </c>
      <c r="M446" s="79"/>
      <c r="N446" s="79">
        <v>1</v>
      </c>
      <c r="O446" s="128">
        <v>2</v>
      </c>
      <c r="P446" s="79" t="s">
        <v>1401</v>
      </c>
      <c r="Q446" s="79" t="s">
        <v>1169</v>
      </c>
      <c r="R446" s="79" t="s">
        <v>1127</v>
      </c>
      <c r="S446" s="79"/>
      <c r="T446" s="79" t="s">
        <v>1487</v>
      </c>
      <c r="U446" s="79"/>
      <c r="V446" s="79"/>
      <c r="W446" s="79" t="s">
        <v>1676</v>
      </c>
      <c r="X446" s="79" t="s">
        <v>1402</v>
      </c>
      <c r="Y446" s="79"/>
      <c r="Z446" s="79"/>
      <c r="AA446" s="79"/>
      <c r="AB446" s="79"/>
      <c r="AC446" s="506"/>
      <c r="AD446" s="573">
        <v>1</v>
      </c>
      <c r="AE446" s="573">
        <v>2</v>
      </c>
      <c r="AF446" s="154">
        <v>1</v>
      </c>
      <c r="AG446" s="155"/>
      <c r="AH446" s="704"/>
      <c r="AI446" s="121">
        <v>4</v>
      </c>
      <c r="AJ446" s="484"/>
      <c r="AK446" s="202" t="s">
        <v>3030</v>
      </c>
      <c r="AL446" s="192">
        <v>1</v>
      </c>
      <c r="AM446" s="215">
        <v>1</v>
      </c>
      <c r="AN446" s="134">
        <v>24</v>
      </c>
      <c r="AO446" s="134">
        <v>12</v>
      </c>
      <c r="AP446" s="134">
        <v>12</v>
      </c>
      <c r="AQ446" s="134" t="s">
        <v>803</v>
      </c>
      <c r="AR446" s="134" t="s">
        <v>803</v>
      </c>
      <c r="AS446" s="1605" t="s">
        <v>7509</v>
      </c>
      <c r="AT446" s="134" t="s">
        <v>24</v>
      </c>
      <c r="AU446" s="1605" t="s">
        <v>7509</v>
      </c>
      <c r="AV446" s="134" t="s">
        <v>24</v>
      </c>
      <c r="AW446" s="134" t="s">
        <v>2963</v>
      </c>
      <c r="AX446" s="134"/>
      <c r="AY446" s="134"/>
      <c r="AZ446" s="753" t="s">
        <v>1487</v>
      </c>
      <c r="BA446" s="134">
        <v>1</v>
      </c>
      <c r="BB446" s="134">
        <v>1</v>
      </c>
      <c r="BC446" s="134" t="s">
        <v>7544</v>
      </c>
      <c r="BD446" s="753" t="s">
        <v>7522</v>
      </c>
      <c r="BE446" s="753"/>
      <c r="BF446" s="134" t="s">
        <v>1130</v>
      </c>
      <c r="BG446" s="134" t="s">
        <v>3005</v>
      </c>
      <c r="BH446" s="594"/>
      <c r="BI446" s="594"/>
      <c r="BJ446" s="156">
        <v>1</v>
      </c>
      <c r="BK446" s="156"/>
      <c r="BL446" s="156"/>
      <c r="BM446" s="156"/>
      <c r="BN446" s="156"/>
      <c r="BO446" s="156"/>
      <c r="BP446" s="156"/>
      <c r="BQ446" s="156"/>
      <c r="BR446" s="156"/>
      <c r="BS446" s="156"/>
      <c r="BT446" s="156"/>
      <c r="BU446" s="156"/>
      <c r="BV446" s="156"/>
      <c r="BW446" s="595" t="s">
        <v>2999</v>
      </c>
      <c r="BX446" s="157" t="s">
        <v>6595</v>
      </c>
      <c r="BY446" s="797" t="s">
        <v>7615</v>
      </c>
      <c r="BZ446" s="789" t="s">
        <v>803</v>
      </c>
      <c r="CA446" s="660">
        <v>4</v>
      </c>
      <c r="CB446" s="660" t="s">
        <v>7556</v>
      </c>
      <c r="CC446" s="660" t="s">
        <v>7384</v>
      </c>
      <c r="CD446" s="134" t="s">
        <v>1876</v>
      </c>
      <c r="CE446" s="134" t="s">
        <v>2942</v>
      </c>
      <c r="CF446" s="400" t="s">
        <v>7606</v>
      </c>
      <c r="CG446" s="134" t="s">
        <v>3006</v>
      </c>
      <c r="CH446" s="753" t="s">
        <v>1488</v>
      </c>
      <c r="CI446" s="134" t="s">
        <v>2606</v>
      </c>
      <c r="CJ446" s="134"/>
      <c r="CK446" s="134" t="s">
        <v>2659</v>
      </c>
      <c r="CL446" s="134" t="s">
        <v>2659</v>
      </c>
      <c r="CM446" s="259" t="s">
        <v>3027</v>
      </c>
      <c r="CN446" s="454" t="s">
        <v>6627</v>
      </c>
      <c r="CO446" s="828">
        <v>42</v>
      </c>
      <c r="CP446" s="828">
        <v>2</v>
      </c>
      <c r="CQ446" s="828">
        <v>1</v>
      </c>
      <c r="CR446" s="828">
        <v>1</v>
      </c>
      <c r="CS446" s="828">
        <v>1</v>
      </c>
      <c r="CT446" s="967"/>
      <c r="CU446" s="1289" t="s">
        <v>8104</v>
      </c>
      <c r="CV446" s="1295">
        <v>95</v>
      </c>
      <c r="CW446" s="1295">
        <v>87</v>
      </c>
      <c r="CX446" s="138" t="s">
        <v>3012</v>
      </c>
      <c r="CY446" s="134">
        <v>64.409400000000005</v>
      </c>
      <c r="CZ446" s="134" t="s">
        <v>24</v>
      </c>
      <c r="DA446" s="134">
        <f>68.2296-Table66[[#This Row],[Data_Outcome1_M]]</f>
        <v>3.8201999999999998</v>
      </c>
      <c r="DB446" s="138" t="s">
        <v>3011</v>
      </c>
      <c r="DC446" s="134">
        <v>33.061500000000002</v>
      </c>
      <c r="DD446" s="134" t="s">
        <v>24</v>
      </c>
      <c r="DE446" s="134">
        <f>35.3086-Table66[[#This Row],[Data_Outcome2_M]]</f>
        <v>2.2470999999999961</v>
      </c>
      <c r="DF446" s="434" t="s">
        <v>3023</v>
      </c>
      <c r="DG446" s="1129" t="s">
        <v>3021</v>
      </c>
      <c r="DH446" s="1171"/>
      <c r="DI446" s="1169"/>
      <c r="DJ446" s="1169"/>
      <c r="DK446" s="1169"/>
      <c r="DL446" s="1171"/>
      <c r="DM446" s="1169"/>
      <c r="DN446" s="1169"/>
      <c r="DO446" s="1169"/>
      <c r="DP446" s="288"/>
      <c r="DQ446" s="293"/>
      <c r="DR446" s="1168"/>
      <c r="DS446" s="865"/>
      <c r="DT446" s="1171"/>
      <c r="DU446" s="1169"/>
      <c r="DV446" s="1169"/>
      <c r="DW446" s="1169"/>
      <c r="DX446" s="1171"/>
      <c r="DY446" s="1169"/>
      <c r="DZ446" s="1169"/>
      <c r="EA446" s="1169"/>
      <c r="EB446" s="304"/>
      <c r="EC446" s="314"/>
      <c r="ED446" s="1171"/>
      <c r="EE446" s="1169"/>
      <c r="EF446" s="1169"/>
      <c r="EG446" s="1169"/>
      <c r="EH446" s="1171"/>
      <c r="EI446" s="1169"/>
      <c r="EJ446" s="1169"/>
      <c r="EK446" s="1169"/>
      <c r="EL446" s="304"/>
      <c r="EM446" s="314"/>
      <c r="EN446" s="309"/>
      <c r="EO446" s="1170"/>
      <c r="EP446" s="1169"/>
      <c r="EQ446" s="1169"/>
      <c r="ER446" s="1169"/>
      <c r="ES446" s="1169"/>
      <c r="ET446" s="1171"/>
      <c r="EU446" s="1169"/>
      <c r="EV446" s="1169"/>
      <c r="EW446" s="1169"/>
      <c r="EX446" s="312"/>
      <c r="EY446" s="312"/>
      <c r="EZ446" s="1171"/>
      <c r="FA446" s="1169"/>
      <c r="FB446" s="1169"/>
      <c r="FC446" s="1169"/>
      <c r="FD446" s="1171"/>
      <c r="FE446" s="1169"/>
      <c r="FF446" s="1169"/>
      <c r="FG446" s="1169"/>
      <c r="FH446" s="312"/>
      <c r="FI446" s="312"/>
      <c r="FJ446" s="1170"/>
    </row>
    <row r="447" spans="1:166" ht="14" customHeight="1">
      <c r="A447" s="79" t="s">
        <v>1027</v>
      </c>
      <c r="B447" s="614">
        <v>23</v>
      </c>
      <c r="C447" s="614"/>
      <c r="D447" s="614"/>
      <c r="E447" s="604" t="s">
        <v>2087</v>
      </c>
      <c r="F447" s="124" t="s">
        <v>2342</v>
      </c>
      <c r="G447" s="125">
        <v>2015</v>
      </c>
      <c r="H447" s="79">
        <v>26650043</v>
      </c>
      <c r="I447" s="79">
        <v>1</v>
      </c>
      <c r="J447" s="126">
        <v>1</v>
      </c>
      <c r="K447" s="127"/>
      <c r="L447" s="79">
        <v>1</v>
      </c>
      <c r="M447" s="79"/>
      <c r="N447" s="79">
        <v>1</v>
      </c>
      <c r="O447" s="128">
        <v>2</v>
      </c>
      <c r="P447" s="79" t="s">
        <v>1401</v>
      </c>
      <c r="Q447" s="79" t="s">
        <v>1169</v>
      </c>
      <c r="R447" s="79" t="s">
        <v>1127</v>
      </c>
      <c r="S447" s="79"/>
      <c r="T447" s="79" t="s">
        <v>1487</v>
      </c>
      <c r="U447" s="79"/>
      <c r="V447" s="79"/>
      <c r="W447" s="79" t="s">
        <v>1676</v>
      </c>
      <c r="X447" s="79" t="s">
        <v>1402</v>
      </c>
      <c r="Y447" s="79"/>
      <c r="Z447" s="79"/>
      <c r="AA447" s="79"/>
      <c r="AB447" s="79"/>
      <c r="AC447" s="506"/>
      <c r="AD447" s="573">
        <v>1</v>
      </c>
      <c r="AE447" s="573">
        <v>2</v>
      </c>
      <c r="AF447" s="154">
        <v>1</v>
      </c>
      <c r="AG447" s="155"/>
      <c r="AH447" s="704"/>
      <c r="AI447" s="121">
        <v>4</v>
      </c>
      <c r="AJ447" s="484"/>
      <c r="AK447" s="202" t="s">
        <v>3030</v>
      </c>
      <c r="AL447" s="192">
        <v>1</v>
      </c>
      <c r="AM447" s="215">
        <v>1</v>
      </c>
      <c r="AN447" s="134">
        <v>24</v>
      </c>
      <c r="AO447" s="134">
        <v>12</v>
      </c>
      <c r="AP447" s="134">
        <v>12</v>
      </c>
      <c r="AQ447" s="134" t="s">
        <v>803</v>
      </c>
      <c r="AR447" s="134" t="s">
        <v>803</v>
      </c>
      <c r="AS447" s="1605" t="s">
        <v>7509</v>
      </c>
      <c r="AT447" s="134" t="s">
        <v>24</v>
      </c>
      <c r="AU447" s="1605" t="s">
        <v>7509</v>
      </c>
      <c r="AV447" s="134" t="s">
        <v>24</v>
      </c>
      <c r="AW447" s="134" t="s">
        <v>2963</v>
      </c>
      <c r="AX447" s="134"/>
      <c r="AY447" s="134"/>
      <c r="AZ447" s="753" t="s">
        <v>1487</v>
      </c>
      <c r="BA447" s="134">
        <v>1</v>
      </c>
      <c r="BB447" s="134">
        <v>1</v>
      </c>
      <c r="BC447" s="134" t="s">
        <v>7544</v>
      </c>
      <c r="BD447" s="753" t="s">
        <v>7522</v>
      </c>
      <c r="BE447" s="753"/>
      <c r="BF447" s="134" t="s">
        <v>1130</v>
      </c>
      <c r="BG447" s="134" t="s">
        <v>3005</v>
      </c>
      <c r="BH447" s="594"/>
      <c r="BI447" s="594"/>
      <c r="BJ447" s="156">
        <v>1</v>
      </c>
      <c r="BK447" s="156"/>
      <c r="BL447" s="156"/>
      <c r="BM447" s="156"/>
      <c r="BN447" s="156"/>
      <c r="BO447" s="156"/>
      <c r="BP447" s="156"/>
      <c r="BQ447" s="156"/>
      <c r="BR447" s="156"/>
      <c r="BS447" s="156"/>
      <c r="BT447" s="156"/>
      <c r="BU447" s="156"/>
      <c r="BV447" s="156"/>
      <c r="BW447" s="595" t="s">
        <v>2999</v>
      </c>
      <c r="BX447" s="157" t="s">
        <v>6601</v>
      </c>
      <c r="BY447" s="797" t="s">
        <v>7615</v>
      </c>
      <c r="BZ447" s="789" t="s">
        <v>803</v>
      </c>
      <c r="CA447" s="660">
        <v>4</v>
      </c>
      <c r="CB447" s="660" t="s">
        <v>7556</v>
      </c>
      <c r="CC447" s="660" t="s">
        <v>7380</v>
      </c>
      <c r="CD447" s="134" t="s">
        <v>1876</v>
      </c>
      <c r="CE447" s="134" t="s">
        <v>2942</v>
      </c>
      <c r="CF447" s="400" t="s">
        <v>7606</v>
      </c>
      <c r="CG447" s="134" t="s">
        <v>3006</v>
      </c>
      <c r="CH447" s="753" t="s">
        <v>1488</v>
      </c>
      <c r="CI447" s="134" t="s">
        <v>2606</v>
      </c>
      <c r="CJ447" s="134"/>
      <c r="CK447" s="134" t="s">
        <v>2659</v>
      </c>
      <c r="CL447" s="134" t="s">
        <v>2659</v>
      </c>
      <c r="CM447" s="259" t="s">
        <v>3027</v>
      </c>
      <c r="CN447" s="454" t="s">
        <v>6627</v>
      </c>
      <c r="CO447" s="828">
        <v>42</v>
      </c>
      <c r="CP447" s="828">
        <v>2</v>
      </c>
      <c r="CQ447" s="828">
        <v>2</v>
      </c>
      <c r="CR447" s="828">
        <v>1</v>
      </c>
      <c r="CS447" s="828">
        <v>1</v>
      </c>
      <c r="CT447" s="967"/>
      <c r="CU447" s="1289" t="s">
        <v>8104</v>
      </c>
      <c r="CV447" s="1295">
        <v>95</v>
      </c>
      <c r="CW447" s="1295">
        <v>87</v>
      </c>
      <c r="CX447" s="138" t="s">
        <v>3014</v>
      </c>
      <c r="CY447" s="134">
        <v>62.430599999999998</v>
      </c>
      <c r="CZ447" s="134" t="s">
        <v>24</v>
      </c>
      <c r="DA447" s="134">
        <f>65.3519-Table66[[#This Row],[Data_Outcome1_M]]</f>
        <v>2.9213000000000022</v>
      </c>
      <c r="DB447" s="138" t="s">
        <v>3013</v>
      </c>
      <c r="DC447" s="134">
        <v>37.150399999999998</v>
      </c>
      <c r="DD447" s="134" t="s">
        <v>24</v>
      </c>
      <c r="DE447" s="134">
        <f>40.2965-Table66[[#This Row],[Data_Outcome2_M]]</f>
        <v>3.1461000000000041</v>
      </c>
      <c r="DF447" s="434" t="s">
        <v>3024</v>
      </c>
      <c r="DG447" s="773" t="s">
        <v>3022</v>
      </c>
      <c r="DH447" s="1175"/>
      <c r="DI447" s="417"/>
      <c r="DJ447" s="1169"/>
      <c r="DK447" s="417"/>
      <c r="DL447" s="1171"/>
      <c r="DM447" s="417"/>
      <c r="DN447" s="1169"/>
      <c r="DO447" s="1151"/>
      <c r="DP447" s="288"/>
      <c r="DQ447" s="1143"/>
      <c r="DR447" s="864"/>
      <c r="DS447" s="865"/>
      <c r="DT447" s="1171"/>
      <c r="DU447" s="1169"/>
      <c r="DV447" s="1169"/>
      <c r="DW447" s="1169"/>
      <c r="DX447" s="1171"/>
      <c r="DY447" s="1169"/>
      <c r="DZ447" s="1169"/>
      <c r="EA447" s="1169"/>
      <c r="EB447" s="304"/>
      <c r="EC447" s="314"/>
      <c r="ED447" s="1171"/>
      <c r="EE447" s="1169"/>
      <c r="EF447" s="1169"/>
      <c r="EG447" s="1169"/>
      <c r="EH447" s="1171"/>
      <c r="EI447" s="1169"/>
      <c r="EJ447" s="1169"/>
      <c r="EK447" s="1169"/>
      <c r="EL447" s="304"/>
      <c r="EM447" s="314"/>
      <c r="EN447" s="309"/>
      <c r="EO447" s="1170"/>
      <c r="EP447" s="1169"/>
      <c r="EQ447" s="1169"/>
      <c r="ER447" s="1169"/>
      <c r="ES447" s="1169"/>
      <c r="ET447" s="1171"/>
      <c r="EU447" s="1169"/>
      <c r="EV447" s="1169"/>
      <c r="EW447" s="1169"/>
      <c r="EX447" s="312"/>
      <c r="EY447" s="312"/>
      <c r="EZ447" s="1171"/>
      <c r="FA447" s="1169"/>
      <c r="FB447" s="1169"/>
      <c r="FC447" s="1169"/>
      <c r="FD447" s="1171"/>
      <c r="FE447" s="1169"/>
      <c r="FF447" s="1169"/>
      <c r="FG447" s="1169"/>
      <c r="FH447" s="312"/>
      <c r="FI447" s="312"/>
      <c r="FJ447" s="1170"/>
    </row>
    <row r="448" spans="1:166" ht="14" hidden="1" customHeight="1">
      <c r="A448" s="79" t="s">
        <v>233</v>
      </c>
      <c r="B448" s="362">
        <v>170</v>
      </c>
      <c r="C448" s="362"/>
      <c r="D448" s="362">
        <v>61</v>
      </c>
      <c r="E448" s="604" t="s">
        <v>1991</v>
      </c>
      <c r="F448" s="124" t="s">
        <v>2219</v>
      </c>
      <c r="G448" s="125">
        <v>1997</v>
      </c>
      <c r="H448" s="79">
        <v>9403392</v>
      </c>
      <c r="I448" s="79">
        <v>1</v>
      </c>
      <c r="J448" s="170" t="s">
        <v>1777</v>
      </c>
      <c r="K448" s="127"/>
      <c r="L448" s="164">
        <v>1</v>
      </c>
      <c r="M448" s="79" t="s">
        <v>1746</v>
      </c>
      <c r="N448" s="164">
        <v>0</v>
      </c>
      <c r="O448" s="128">
        <v>1</v>
      </c>
      <c r="P448" s="79" t="s">
        <v>647</v>
      </c>
      <c r="Q448" s="79"/>
      <c r="R448" s="79" t="s">
        <v>644</v>
      </c>
      <c r="S448" s="79"/>
      <c r="T448" s="79"/>
      <c r="U448" s="79"/>
      <c r="V448" s="79"/>
      <c r="W448" s="79" t="s">
        <v>645</v>
      </c>
      <c r="X448" s="79"/>
      <c r="Y448" s="79"/>
      <c r="Z448" s="79"/>
      <c r="AA448" s="79"/>
      <c r="AB448" s="79" t="s">
        <v>646</v>
      </c>
      <c r="AC448" s="506" t="s">
        <v>645</v>
      </c>
      <c r="AD448" s="573">
        <v>1</v>
      </c>
      <c r="AE448" s="573">
        <v>0</v>
      </c>
      <c r="AF448" s="924">
        <v>2</v>
      </c>
      <c r="AG448" s="925"/>
      <c r="AH448" s="911"/>
      <c r="AI448" s="923"/>
      <c r="AJ448" s="923"/>
      <c r="AK448" s="926"/>
      <c r="AL448" s="588"/>
      <c r="AM448" s="927"/>
      <c r="AN448" s="923"/>
      <c r="AO448" s="923"/>
      <c r="AP448" s="923"/>
      <c r="AQ448" s="923"/>
      <c r="AR448" s="923"/>
      <c r="AS448" s="923"/>
      <c r="AT448" s="923"/>
      <c r="AU448" s="923"/>
      <c r="AV448" s="923"/>
      <c r="AW448" s="923"/>
      <c r="AX448" s="923"/>
      <c r="AY448" s="923"/>
      <c r="AZ448" s="915"/>
      <c r="BA448" s="923"/>
      <c r="BB448" s="923"/>
      <c r="BC448" s="923"/>
      <c r="BD448" s="915"/>
      <c r="BE448" s="915"/>
      <c r="BF448" s="923"/>
      <c r="BG448" s="923"/>
      <c r="BH448" s="594"/>
      <c r="BI448" s="594"/>
      <c r="BJ448" s="156"/>
      <c r="BK448" s="156"/>
      <c r="BL448" s="156" t="s">
        <v>5207</v>
      </c>
      <c r="BM448" s="156" t="s">
        <v>6175</v>
      </c>
      <c r="BN448" s="156"/>
      <c r="BO448" s="156"/>
      <c r="BP448" s="156"/>
      <c r="BQ448" s="156"/>
      <c r="BR448" s="156" t="s">
        <v>4727</v>
      </c>
      <c r="BS448" s="156"/>
      <c r="BT448" s="156"/>
      <c r="BU448" s="156"/>
      <c r="BV448" s="156"/>
      <c r="BW448" s="928"/>
      <c r="BX448" s="929"/>
      <c r="BY448" s="929"/>
      <c r="BZ448" s="929"/>
      <c r="CA448" s="917"/>
      <c r="CB448" s="917"/>
      <c r="CC448" s="917"/>
      <c r="CD448" s="923"/>
      <c r="CE448" s="923"/>
      <c r="CF448" s="923"/>
      <c r="CG448" s="923"/>
      <c r="CH448" s="915"/>
      <c r="CI448" s="923"/>
      <c r="CJ448" s="923"/>
      <c r="CK448" s="923"/>
      <c r="CL448" s="923"/>
      <c r="CM448" s="930"/>
      <c r="CN448" s="931"/>
      <c r="CO448" s="931"/>
      <c r="CP448" s="931"/>
      <c r="CQ448" s="931"/>
      <c r="CR448" s="931"/>
      <c r="CS448" s="931"/>
      <c r="CT448" s="967"/>
      <c r="CU448" s="967"/>
      <c r="CV448" s="967"/>
      <c r="CW448" s="967"/>
      <c r="CX448" s="932"/>
      <c r="CY448" s="923"/>
      <c r="CZ448" s="923"/>
      <c r="DA448" s="923"/>
      <c r="DB448" s="932"/>
      <c r="DC448" s="923"/>
      <c r="DD448" s="923"/>
      <c r="DE448" s="923"/>
      <c r="DF448" s="920"/>
      <c r="DG448" s="911"/>
      <c r="DH448" s="950"/>
      <c r="DI448" s="951"/>
      <c r="DJ448" s="951"/>
      <c r="DK448" s="951"/>
      <c r="DL448" s="950"/>
      <c r="DM448" s="951"/>
      <c r="DN448" s="951"/>
      <c r="DO448" s="951"/>
      <c r="DP448" s="930"/>
      <c r="DQ448" s="594"/>
      <c r="DR448" s="1187"/>
      <c r="DS448" s="1186"/>
      <c r="DT448" s="950"/>
      <c r="DU448" s="951"/>
      <c r="DV448" s="951"/>
      <c r="DW448" s="951"/>
      <c r="DX448" s="951"/>
      <c r="DY448" s="951"/>
      <c r="DZ448" s="951"/>
      <c r="EA448" s="951"/>
      <c r="EB448" s="1185"/>
      <c r="EC448" s="951"/>
      <c r="ED448" s="951"/>
      <c r="EE448" s="951"/>
      <c r="EF448" s="951"/>
      <c r="EG448" s="951"/>
      <c r="EH448" s="951"/>
      <c r="EI448" s="951"/>
      <c r="EJ448" s="951"/>
      <c r="EK448" s="951"/>
      <c r="EL448" s="1185"/>
      <c r="EM448" s="951"/>
      <c r="EN448" s="1185"/>
      <c r="EO448" s="951"/>
      <c r="EP448" s="951"/>
      <c r="EQ448" s="951"/>
      <c r="ER448" s="951"/>
      <c r="ES448" s="951"/>
      <c r="ET448" s="950"/>
      <c r="EU448" s="951"/>
      <c r="EV448" s="951"/>
      <c r="EW448" s="951"/>
      <c r="EX448" s="951"/>
      <c r="EY448" s="951"/>
      <c r="EZ448" s="950"/>
      <c r="FA448" s="951"/>
      <c r="FB448" s="951"/>
      <c r="FC448" s="951"/>
      <c r="FD448" s="950"/>
      <c r="FE448" s="951"/>
      <c r="FF448" s="951"/>
      <c r="FG448" s="951"/>
      <c r="FH448" s="951"/>
      <c r="FI448" s="951"/>
      <c r="FJ448" s="951"/>
    </row>
    <row r="449" spans="1:166" ht="14" hidden="1" customHeight="1">
      <c r="A449" s="153" t="s">
        <v>235</v>
      </c>
      <c r="B449" s="618">
        <v>171</v>
      </c>
      <c r="C449" s="618">
        <v>57</v>
      </c>
      <c r="D449" s="618"/>
      <c r="E449" s="610" t="s">
        <v>1992</v>
      </c>
      <c r="F449" s="368" t="s">
        <v>2220</v>
      </c>
      <c r="G449" s="369">
        <v>2013</v>
      </c>
      <c r="H449" s="153">
        <v>24015254</v>
      </c>
      <c r="I449" s="153">
        <v>1</v>
      </c>
      <c r="J449" s="370"/>
      <c r="K449" s="371"/>
      <c r="L449" s="153">
        <v>1</v>
      </c>
      <c r="M449" s="153"/>
      <c r="N449" s="153">
        <v>1</v>
      </c>
      <c r="O449" s="153">
        <v>1</v>
      </c>
      <c r="P449" s="153" t="s">
        <v>652</v>
      </c>
      <c r="Q449" s="153"/>
      <c r="R449" s="153" t="s">
        <v>591</v>
      </c>
      <c r="S449" s="153">
        <v>1</v>
      </c>
      <c r="T449" s="153"/>
      <c r="U449" s="153"/>
      <c r="V449" s="153"/>
      <c r="W449" s="153" t="s">
        <v>653</v>
      </c>
      <c r="X449" s="153" t="s">
        <v>24</v>
      </c>
      <c r="Y449" s="153"/>
      <c r="Z449" s="153"/>
      <c r="AA449" s="153"/>
      <c r="AB449" s="153"/>
      <c r="AC449" s="536"/>
      <c r="AD449" s="536">
        <v>1</v>
      </c>
      <c r="AE449" s="536">
        <v>2</v>
      </c>
      <c r="AF449" s="165">
        <v>0</v>
      </c>
      <c r="AG449" s="166" t="s">
        <v>7282</v>
      </c>
      <c r="AH449" s="509" t="s">
        <v>7283</v>
      </c>
      <c r="AI449" s="120">
        <v>2</v>
      </c>
      <c r="AJ449" s="120"/>
      <c r="AK449" s="206" t="s">
        <v>5138</v>
      </c>
      <c r="AL449" s="372">
        <v>0</v>
      </c>
      <c r="AM449" s="207" t="s">
        <v>24</v>
      </c>
      <c r="AN449" s="120">
        <f>Table66[[#This Row],[Data_Subjects_n_ptsd]]+Table66[[#This Row],[Data_Subjects_n_control]]</f>
        <v>87</v>
      </c>
      <c r="AO449" s="120">
        <v>48</v>
      </c>
      <c r="AP449" s="120">
        <v>39</v>
      </c>
      <c r="AQ449" s="120" t="s">
        <v>803</v>
      </c>
      <c r="AR449" s="120" t="s">
        <v>803</v>
      </c>
      <c r="AS449" s="120">
        <v>54</v>
      </c>
      <c r="AT449" s="120">
        <v>8.4</v>
      </c>
      <c r="AU449" s="120">
        <v>52.2</v>
      </c>
      <c r="AV449" s="120">
        <v>10.8</v>
      </c>
      <c r="AW449" s="120" t="s">
        <v>5117</v>
      </c>
      <c r="AX449" s="120"/>
      <c r="AY449" s="120"/>
      <c r="AZ449" s="755"/>
      <c r="BA449" s="120" t="s">
        <v>24</v>
      </c>
      <c r="BB449" s="120" t="s">
        <v>24</v>
      </c>
      <c r="BC449" s="120" t="s">
        <v>5118</v>
      </c>
      <c r="BD449" s="755"/>
      <c r="BE449" s="755"/>
      <c r="BF449" s="120" t="s">
        <v>5116</v>
      </c>
      <c r="BG449" s="120" t="s">
        <v>5115</v>
      </c>
      <c r="BH449" s="377"/>
      <c r="BI449" s="377"/>
      <c r="BJ449" s="373"/>
      <c r="BK449" s="373"/>
      <c r="BL449" s="373"/>
      <c r="BM449" s="373"/>
      <c r="BN449" s="373"/>
      <c r="BO449" s="373"/>
      <c r="BP449" s="373">
        <v>1</v>
      </c>
      <c r="BQ449" s="373"/>
      <c r="BR449" s="373"/>
      <c r="BS449" s="373"/>
      <c r="BT449" s="373"/>
      <c r="BU449" s="373"/>
      <c r="BV449" s="373"/>
      <c r="BW449" s="599" t="s">
        <v>5123</v>
      </c>
      <c r="BX449" s="374" t="s">
        <v>6620</v>
      </c>
      <c r="BY449" s="374"/>
      <c r="BZ449" s="374"/>
      <c r="CA449" s="510"/>
      <c r="CB449" s="510"/>
      <c r="CC449" s="510"/>
      <c r="CD449" s="120" t="s">
        <v>1876</v>
      </c>
      <c r="CE449" s="120" t="s">
        <v>5119</v>
      </c>
      <c r="CF449" s="120"/>
      <c r="CG449" s="120" t="s">
        <v>5124</v>
      </c>
      <c r="CH449" s="755"/>
      <c r="CI449" s="120" t="s">
        <v>24</v>
      </c>
      <c r="CJ449" s="120"/>
      <c r="CK449" s="120" t="s">
        <v>5125</v>
      </c>
      <c r="CL449" s="120"/>
      <c r="CM449" s="375" t="s">
        <v>5137</v>
      </c>
      <c r="CN449" s="380" t="s">
        <v>6629</v>
      </c>
      <c r="CO449" s="380"/>
      <c r="CP449" s="380"/>
      <c r="CQ449" s="380"/>
      <c r="CR449" s="380"/>
      <c r="CS449" s="380"/>
      <c r="CT449" s="380"/>
      <c r="CU449" s="380"/>
      <c r="CV449" s="380"/>
      <c r="CW449" s="380"/>
      <c r="CX449" s="376" t="s">
        <v>5121</v>
      </c>
      <c r="CY449" s="120">
        <v>704.89200000000005</v>
      </c>
      <c r="CZ449" s="120" t="s">
        <v>24</v>
      </c>
      <c r="DA449" s="120">
        <f>759.936-Table66[[#This Row],[Data_Outcome1_M]]</f>
        <v>55.043999999999983</v>
      </c>
      <c r="DB449" s="376" t="s">
        <v>5122</v>
      </c>
      <c r="DC449" s="120">
        <v>512.23199999999997</v>
      </c>
      <c r="DD449" s="120" t="s">
        <v>24</v>
      </c>
      <c r="DE449" s="120">
        <f>547.706-Table66[[#This Row],[Data_Outcome2_M]]</f>
        <v>35.474000000000046</v>
      </c>
      <c r="DF449" s="515" t="s">
        <v>5136</v>
      </c>
      <c r="DG449" s="513" t="s">
        <v>5120</v>
      </c>
      <c r="DH449" s="376" t="s">
        <v>5126</v>
      </c>
      <c r="DI449" s="120">
        <v>59.181100000000001</v>
      </c>
      <c r="DJ449" s="384" t="s">
        <v>24</v>
      </c>
      <c r="DK449" s="120">
        <f>62.8919-Table66[[#This Row],[Data_Outcome3_M]]</f>
        <v>3.710799999999999</v>
      </c>
      <c r="DL449" s="727" t="s">
        <v>5127</v>
      </c>
      <c r="DM449" s="120">
        <v>46.001300000000001</v>
      </c>
      <c r="DN449" s="384" t="s">
        <v>24</v>
      </c>
      <c r="DO449" s="120">
        <f>48.9443-Table66[[#This Row],[Data_Outcome4_M]]</f>
        <v>2.9429999999999978</v>
      </c>
      <c r="DP449" s="375" t="s">
        <v>5130</v>
      </c>
      <c r="DQ449" s="377" t="s">
        <v>5131</v>
      </c>
      <c r="DR449" s="1182" t="s">
        <v>5134</v>
      </c>
      <c r="DS449" s="956" t="s">
        <v>5133</v>
      </c>
      <c r="DT449" s="727" t="s">
        <v>5128</v>
      </c>
      <c r="DU449" s="120">
        <v>61.1004</v>
      </c>
      <c r="DV449" s="384" t="s">
        <v>24</v>
      </c>
      <c r="DW449" s="120">
        <f>63.0198-Table66[[#This Row],[Data_Outcome5_M]]</f>
        <v>1.919399999999996</v>
      </c>
      <c r="DX449" s="727" t="s">
        <v>5129</v>
      </c>
      <c r="DY449" s="120">
        <v>59.564900000000002</v>
      </c>
      <c r="DZ449" s="384" t="s">
        <v>24</v>
      </c>
      <c r="EA449" s="120">
        <f>61.7402-Table66[[#This Row],[Data_Outcome6_M]]</f>
        <v>2.1753</v>
      </c>
      <c r="EB449" s="1012" t="s">
        <v>5132</v>
      </c>
      <c r="EC449" s="120" t="s">
        <v>5135</v>
      </c>
      <c r="ED449" s="384" t="s">
        <v>24</v>
      </c>
      <c r="EE449" s="384"/>
      <c r="EF449" s="384"/>
      <c r="EG449" s="384"/>
      <c r="EH449" s="384"/>
      <c r="EI449" s="384"/>
      <c r="EJ449" s="384"/>
      <c r="EK449" s="384"/>
      <c r="EL449" s="380"/>
      <c r="EM449" s="120"/>
      <c r="EN449" s="1012"/>
      <c r="EO449" s="384"/>
      <c r="EP449" s="120"/>
      <c r="EQ449" s="120"/>
      <c r="ER449" s="120"/>
      <c r="ES449" s="120"/>
      <c r="ET449" s="376"/>
      <c r="EU449" s="120"/>
      <c r="EV449" s="120"/>
      <c r="EW449" s="120"/>
      <c r="EX449" s="120"/>
      <c r="EY449" s="120"/>
      <c r="EZ449" s="727"/>
      <c r="FA449" s="384"/>
      <c r="FB449" s="384"/>
      <c r="FC449" s="384"/>
      <c r="FD449" s="727"/>
      <c r="FE449" s="384"/>
      <c r="FF449" s="384"/>
      <c r="FG449" s="384"/>
      <c r="FH449" s="384"/>
      <c r="FI449" s="384"/>
      <c r="FJ449" s="384"/>
    </row>
    <row r="450" spans="1:166" ht="14" hidden="1" customHeight="1">
      <c r="A450" s="153" t="s">
        <v>236</v>
      </c>
      <c r="B450" s="618">
        <v>172</v>
      </c>
      <c r="C450" s="618"/>
      <c r="D450" s="618">
        <v>62</v>
      </c>
      <c r="E450" s="610" t="s">
        <v>1992</v>
      </c>
      <c r="F450" s="368" t="s">
        <v>2221</v>
      </c>
      <c r="G450" s="369">
        <v>2016</v>
      </c>
      <c r="H450" s="153">
        <v>27594113</v>
      </c>
      <c r="I450" s="153">
        <v>1</v>
      </c>
      <c r="J450" s="370"/>
      <c r="K450" s="371"/>
      <c r="L450" s="153">
        <v>1</v>
      </c>
      <c r="M450" s="153"/>
      <c r="N450" s="153">
        <v>1</v>
      </c>
      <c r="O450" s="153">
        <v>1</v>
      </c>
      <c r="P450" s="153" t="s">
        <v>651</v>
      </c>
      <c r="Q450" s="153"/>
      <c r="R450" s="153" t="s">
        <v>591</v>
      </c>
      <c r="S450" s="153">
        <v>1</v>
      </c>
      <c r="T450" s="153"/>
      <c r="U450" s="153"/>
      <c r="V450" s="153"/>
      <c r="W450" s="153" t="s">
        <v>650</v>
      </c>
      <c r="X450" s="153"/>
      <c r="Y450" s="153"/>
      <c r="Z450" s="153"/>
      <c r="AA450" s="153"/>
      <c r="AB450" s="153" t="s">
        <v>649</v>
      </c>
      <c r="AC450" s="536" t="s">
        <v>6247</v>
      </c>
      <c r="AD450" s="536">
        <v>1</v>
      </c>
      <c r="AE450" s="536">
        <v>0</v>
      </c>
      <c r="AF450" s="165">
        <v>0</v>
      </c>
      <c r="AG450" s="166" t="s">
        <v>7959</v>
      </c>
      <c r="AH450" s="509"/>
      <c r="AI450" s="120">
        <v>2</v>
      </c>
      <c r="AJ450" s="120"/>
      <c r="AK450" s="206"/>
      <c r="AL450" s="372"/>
      <c r="AM450" s="207">
        <v>0</v>
      </c>
      <c r="AN450" s="120"/>
      <c r="AO450" s="120"/>
      <c r="AP450" s="120"/>
      <c r="AQ450" s="120"/>
      <c r="AR450" s="120"/>
      <c r="AS450" s="120"/>
      <c r="AT450" s="120"/>
      <c r="AU450" s="120"/>
      <c r="AV450" s="120"/>
      <c r="AW450" s="120"/>
      <c r="AX450" s="120"/>
      <c r="AY450" s="120"/>
      <c r="AZ450" s="755"/>
      <c r="BA450" s="120"/>
      <c r="BB450" s="120"/>
      <c r="BC450" s="120"/>
      <c r="BD450" s="755"/>
      <c r="BE450" s="755"/>
      <c r="BF450" s="120"/>
      <c r="BG450" s="120"/>
      <c r="BH450" s="377"/>
      <c r="BI450" s="377"/>
      <c r="BJ450" s="377"/>
      <c r="BK450" s="373" t="s">
        <v>6246</v>
      </c>
      <c r="BL450" s="373"/>
      <c r="BM450" s="373"/>
      <c r="BN450" s="373"/>
      <c r="BO450" s="373"/>
      <c r="BP450" s="373"/>
      <c r="BQ450" s="373"/>
      <c r="BR450" s="373"/>
      <c r="BS450" s="373"/>
      <c r="BT450" s="373"/>
      <c r="BU450" s="373"/>
      <c r="BV450" s="373"/>
      <c r="BW450" s="599"/>
      <c r="BX450" s="374"/>
      <c r="BY450" s="799"/>
      <c r="BZ450" s="374"/>
      <c r="CA450" s="511"/>
      <c r="CB450" s="511"/>
      <c r="CC450" s="511"/>
      <c r="CD450" s="120"/>
      <c r="CE450" s="120"/>
      <c r="CF450" s="786"/>
      <c r="CG450" s="120"/>
      <c r="CH450" s="755"/>
      <c r="CI450" s="120"/>
      <c r="CJ450" s="120"/>
      <c r="CK450" s="120"/>
      <c r="CL450" s="120"/>
      <c r="CM450" s="375"/>
      <c r="CN450" s="380"/>
      <c r="CO450" s="380"/>
      <c r="CP450" s="380"/>
      <c r="CQ450" s="380"/>
      <c r="CR450" s="380"/>
      <c r="CS450" s="380"/>
      <c r="CT450" s="380"/>
      <c r="CU450" s="380"/>
      <c r="CV450" s="380"/>
      <c r="CW450" s="380"/>
      <c r="CX450" s="376"/>
      <c r="CY450" s="120"/>
      <c r="CZ450" s="120"/>
      <c r="DA450" s="120"/>
      <c r="DB450" s="376"/>
      <c r="DC450" s="120"/>
      <c r="DD450" s="120"/>
      <c r="DE450" s="120"/>
      <c r="DF450" s="515"/>
      <c r="DG450" s="513"/>
      <c r="DH450" s="727"/>
      <c r="DI450" s="384"/>
      <c r="DJ450" s="384"/>
      <c r="DK450" s="384"/>
      <c r="DL450" s="727"/>
      <c r="DM450" s="384"/>
      <c r="DN450" s="384"/>
      <c r="DO450" s="384"/>
      <c r="DP450" s="375"/>
      <c r="DQ450" s="377"/>
      <c r="DR450" s="1182"/>
      <c r="DS450" s="956"/>
      <c r="DT450" s="727"/>
      <c r="DU450" s="384"/>
      <c r="DV450" s="384"/>
      <c r="DW450" s="384"/>
      <c r="DX450" s="384"/>
      <c r="DY450" s="384"/>
      <c r="DZ450" s="384"/>
      <c r="EA450" s="384"/>
      <c r="EB450" s="1012"/>
      <c r="EC450" s="384"/>
      <c r="ED450" s="384"/>
      <c r="EE450" s="384"/>
      <c r="EF450" s="384"/>
      <c r="EG450" s="384"/>
      <c r="EH450" s="384"/>
      <c r="EI450" s="384"/>
      <c r="EJ450" s="384"/>
      <c r="EK450" s="384"/>
      <c r="EL450" s="1012"/>
      <c r="EM450" s="384"/>
      <c r="EN450" s="1012"/>
      <c r="EO450" s="384"/>
      <c r="EP450" s="384"/>
      <c r="EQ450" s="384"/>
      <c r="ER450" s="384"/>
      <c r="ES450" s="384"/>
      <c r="ET450" s="727"/>
      <c r="EU450" s="384"/>
      <c r="EV450" s="384"/>
      <c r="EW450" s="384"/>
      <c r="EX450" s="384"/>
      <c r="EY450" s="384"/>
      <c r="EZ450" s="727"/>
      <c r="FA450" s="384"/>
      <c r="FB450" s="384"/>
      <c r="FC450" s="384"/>
      <c r="FD450" s="727"/>
      <c r="FE450" s="384"/>
      <c r="FF450" s="384"/>
      <c r="FG450" s="384"/>
      <c r="FH450" s="384"/>
      <c r="FI450" s="384"/>
      <c r="FJ450" s="384"/>
    </row>
    <row r="451" spans="1:166" ht="14" hidden="1" customHeight="1">
      <c r="A451" s="153" t="s">
        <v>237</v>
      </c>
      <c r="B451" s="618">
        <v>173</v>
      </c>
      <c r="C451" s="618">
        <v>58</v>
      </c>
      <c r="D451" s="618"/>
      <c r="E451" s="610" t="s">
        <v>1993</v>
      </c>
      <c r="F451" s="368" t="s">
        <v>2222</v>
      </c>
      <c r="G451" s="369">
        <v>2010</v>
      </c>
      <c r="H451" s="153">
        <v>20144193</v>
      </c>
      <c r="I451" s="153">
        <v>1</v>
      </c>
      <c r="J451" s="370"/>
      <c r="K451" s="371"/>
      <c r="L451" s="153">
        <v>1</v>
      </c>
      <c r="M451" s="153"/>
      <c r="N451" s="153">
        <v>1</v>
      </c>
      <c r="O451" s="153">
        <v>1</v>
      </c>
      <c r="P451" s="153" t="s">
        <v>23</v>
      </c>
      <c r="Q451" s="153"/>
      <c r="R451" s="153" t="s">
        <v>523</v>
      </c>
      <c r="S451" s="153">
        <v>0</v>
      </c>
      <c r="T451" s="153"/>
      <c r="U451" s="153"/>
      <c r="V451" s="153"/>
      <c r="W451" s="153" t="s">
        <v>654</v>
      </c>
      <c r="X451" s="153" t="s">
        <v>24</v>
      </c>
      <c r="Y451" s="153"/>
      <c r="Z451" s="153"/>
      <c r="AA451" s="153"/>
      <c r="AB451" s="153" t="s">
        <v>655</v>
      </c>
      <c r="AC451" s="536"/>
      <c r="AD451" s="536">
        <v>1</v>
      </c>
      <c r="AE451" s="536">
        <v>2</v>
      </c>
      <c r="AF451" s="165">
        <v>0</v>
      </c>
      <c r="AG451" s="166" t="s">
        <v>7252</v>
      </c>
      <c r="AH451" s="509">
        <v>0</v>
      </c>
      <c r="AI451" s="120">
        <v>3</v>
      </c>
      <c r="AJ451" s="120"/>
      <c r="AK451" s="206" t="s">
        <v>5142</v>
      </c>
      <c r="AL451" s="372"/>
      <c r="AM451" s="207"/>
      <c r="AN451" s="120"/>
      <c r="AO451" s="120"/>
      <c r="AP451" s="120"/>
      <c r="AQ451" s="120"/>
      <c r="AR451" s="120"/>
      <c r="AS451" s="120"/>
      <c r="AT451" s="120"/>
      <c r="AU451" s="120"/>
      <c r="AV451" s="120"/>
      <c r="AW451" s="120"/>
      <c r="AX451" s="120"/>
      <c r="AY451" s="120"/>
      <c r="AZ451" s="755"/>
      <c r="BA451" s="120"/>
      <c r="BB451" s="120"/>
      <c r="BC451" s="120"/>
      <c r="BD451" s="755"/>
      <c r="BE451" s="755"/>
      <c r="BF451" s="120" t="s">
        <v>5140</v>
      </c>
      <c r="BG451" s="509" t="s">
        <v>5139</v>
      </c>
      <c r="BH451" s="513"/>
      <c r="BI451" s="513"/>
      <c r="BJ451" s="511"/>
      <c r="BK451" s="511"/>
      <c r="BL451" s="511"/>
      <c r="BM451" s="511"/>
      <c r="BN451" s="511"/>
      <c r="BO451" s="511"/>
      <c r="BP451" s="511">
        <v>1</v>
      </c>
      <c r="BQ451" s="511"/>
      <c r="BR451" s="511"/>
      <c r="BS451" s="511"/>
      <c r="BT451" s="511"/>
      <c r="BU451" s="511"/>
      <c r="BV451" s="511"/>
      <c r="BW451" s="511"/>
      <c r="BX451" s="510"/>
      <c r="BY451" s="510"/>
      <c r="BZ451" s="510"/>
      <c r="CA451" s="510"/>
      <c r="CB451" s="510"/>
      <c r="CC451" s="510"/>
      <c r="CD451" s="120"/>
      <c r="CE451" s="120"/>
      <c r="CF451" s="120"/>
      <c r="CG451" s="120"/>
      <c r="CH451" s="755"/>
      <c r="CI451" s="120"/>
      <c r="CJ451" s="120"/>
      <c r="CK451" s="120"/>
      <c r="CL451" s="120"/>
      <c r="CM451" s="375"/>
      <c r="CN451" s="380"/>
      <c r="CO451" s="380"/>
      <c r="CP451" s="380"/>
      <c r="CQ451" s="380"/>
      <c r="CR451" s="380"/>
      <c r="CS451" s="380"/>
      <c r="CT451" s="380"/>
      <c r="CU451" s="380"/>
      <c r="CV451" s="380"/>
      <c r="CW451" s="380"/>
      <c r="CX451" s="376"/>
      <c r="CY451" s="120"/>
      <c r="CZ451" s="120"/>
      <c r="DA451" s="120"/>
      <c r="DB451" s="376"/>
      <c r="DC451" s="120"/>
      <c r="DD451" s="120"/>
      <c r="DE451" s="120"/>
      <c r="DF451" s="515"/>
      <c r="DG451" s="513"/>
      <c r="DH451" s="376"/>
      <c r="DI451" s="120"/>
      <c r="DJ451" s="384"/>
      <c r="DK451" s="120"/>
      <c r="DL451" s="727"/>
      <c r="DM451" s="120"/>
      <c r="DN451" s="384"/>
      <c r="DO451" s="120"/>
      <c r="DP451" s="375"/>
      <c r="DQ451" s="377"/>
      <c r="DR451" s="1182"/>
      <c r="DS451" s="956"/>
      <c r="DT451" s="727"/>
      <c r="DU451" s="120"/>
      <c r="DV451" s="384"/>
      <c r="DW451" s="120"/>
      <c r="DX451" s="384"/>
      <c r="DY451" s="120"/>
      <c r="DZ451" s="384"/>
      <c r="EA451" s="120"/>
      <c r="EB451" s="1012"/>
      <c r="EC451" s="384"/>
      <c r="ED451" s="384"/>
      <c r="EE451" s="120"/>
      <c r="EF451" s="384"/>
      <c r="EG451" s="120"/>
      <c r="EH451" s="384"/>
      <c r="EI451" s="120"/>
      <c r="EJ451" s="384"/>
      <c r="EK451" s="120"/>
      <c r="EL451" s="1012"/>
      <c r="EM451" s="384"/>
      <c r="EN451" s="380"/>
      <c r="EO451" s="120"/>
      <c r="EP451" s="120"/>
      <c r="EQ451" s="120"/>
      <c r="ER451" s="120"/>
      <c r="ES451" s="120"/>
      <c r="ET451" s="376"/>
      <c r="EU451" s="120"/>
      <c r="EV451" s="120"/>
      <c r="EW451" s="120"/>
      <c r="EX451" s="120"/>
      <c r="EY451" s="120"/>
      <c r="EZ451" s="376"/>
      <c r="FA451" s="120"/>
      <c r="FB451" s="384"/>
      <c r="FC451" s="384"/>
      <c r="FD451" s="727"/>
      <c r="FE451" s="384"/>
      <c r="FF451" s="384"/>
      <c r="FG451" s="384"/>
      <c r="FH451" s="384"/>
      <c r="FI451" s="120"/>
      <c r="FJ451" s="384"/>
    </row>
    <row r="452" spans="1:166" ht="14" hidden="1" customHeight="1">
      <c r="A452" s="153" t="s">
        <v>238</v>
      </c>
      <c r="B452" s="618">
        <v>174</v>
      </c>
      <c r="C452" s="618">
        <v>59</v>
      </c>
      <c r="D452" s="618"/>
      <c r="E452" s="610" t="s">
        <v>1993</v>
      </c>
      <c r="F452" s="368" t="s">
        <v>2223</v>
      </c>
      <c r="G452" s="369">
        <v>2009</v>
      </c>
      <c r="H452" s="153">
        <v>19756511</v>
      </c>
      <c r="I452" s="153">
        <v>1</v>
      </c>
      <c r="J452" s="370"/>
      <c r="K452" s="371"/>
      <c r="L452" s="153">
        <v>1</v>
      </c>
      <c r="M452" s="153"/>
      <c r="N452" s="153">
        <v>1</v>
      </c>
      <c r="O452" s="153">
        <v>1</v>
      </c>
      <c r="P452" s="153" t="s">
        <v>23</v>
      </c>
      <c r="Q452" s="153"/>
      <c r="R452" s="153" t="s">
        <v>523</v>
      </c>
      <c r="S452" s="153">
        <v>0</v>
      </c>
      <c r="T452" s="153"/>
      <c r="U452" s="153"/>
      <c r="V452" s="153"/>
      <c r="W452" s="153" t="s">
        <v>654</v>
      </c>
      <c r="X452" s="153" t="s">
        <v>24</v>
      </c>
      <c r="Y452" s="153"/>
      <c r="Z452" s="153"/>
      <c r="AA452" s="153"/>
      <c r="AB452" s="153" t="s">
        <v>656</v>
      </c>
      <c r="AC452" s="536"/>
      <c r="AD452" s="536">
        <v>1</v>
      </c>
      <c r="AE452" s="536">
        <v>2</v>
      </c>
      <c r="AF452" s="165">
        <v>0</v>
      </c>
      <c r="AG452" s="166" t="s">
        <v>7251</v>
      </c>
      <c r="AH452" s="509">
        <v>0</v>
      </c>
      <c r="AI452" s="120">
        <v>3</v>
      </c>
      <c r="AJ452" s="120"/>
      <c r="AK452" s="206"/>
      <c r="AL452" s="372"/>
      <c r="AM452" s="207"/>
      <c r="AN452" s="120"/>
      <c r="AO452" s="120"/>
      <c r="AP452" s="120"/>
      <c r="AQ452" s="120"/>
      <c r="AR452" s="120"/>
      <c r="AS452" s="120"/>
      <c r="AT452" s="120"/>
      <c r="AU452" s="120"/>
      <c r="AV452" s="120"/>
      <c r="AW452" s="120"/>
      <c r="AX452" s="120"/>
      <c r="AY452" s="120"/>
      <c r="AZ452" s="755"/>
      <c r="BA452" s="120"/>
      <c r="BB452" s="120"/>
      <c r="BC452" s="120"/>
      <c r="BD452" s="755"/>
      <c r="BE452" s="755"/>
      <c r="BF452" s="120"/>
      <c r="BG452" s="509"/>
      <c r="BH452" s="513"/>
      <c r="BI452" s="513"/>
      <c r="BJ452" s="511"/>
      <c r="BK452" s="511"/>
      <c r="BL452" s="511"/>
      <c r="BM452" s="511"/>
      <c r="BN452" s="511"/>
      <c r="BO452" s="511"/>
      <c r="BP452" s="511">
        <v>1</v>
      </c>
      <c r="BQ452" s="511"/>
      <c r="BR452" s="511"/>
      <c r="BS452" s="511"/>
      <c r="BT452" s="511"/>
      <c r="BU452" s="511"/>
      <c r="BV452" s="511"/>
      <c r="BW452" s="511"/>
      <c r="BX452" s="510"/>
      <c r="BY452" s="510"/>
      <c r="BZ452" s="510"/>
      <c r="CA452" s="510"/>
      <c r="CB452" s="510"/>
      <c r="CC452" s="510"/>
      <c r="CD452" s="120"/>
      <c r="CE452" s="120"/>
      <c r="CF452" s="120"/>
      <c r="CG452" s="120"/>
      <c r="CH452" s="755"/>
      <c r="CI452" s="120"/>
      <c r="CJ452" s="120"/>
      <c r="CK452" s="120"/>
      <c r="CL452" s="120"/>
      <c r="CM452" s="375"/>
      <c r="CN452" s="380"/>
      <c r="CO452" s="380"/>
      <c r="CP452" s="380"/>
      <c r="CQ452" s="380"/>
      <c r="CR452" s="380"/>
      <c r="CS452" s="380"/>
      <c r="CT452" s="380"/>
      <c r="CU452" s="380"/>
      <c r="CV452" s="380"/>
      <c r="CW452" s="380"/>
      <c r="CX452" s="376"/>
      <c r="CY452" s="120"/>
      <c r="CZ452" s="120"/>
      <c r="DA452" s="120"/>
      <c r="DB452" s="376"/>
      <c r="DC452" s="120"/>
      <c r="DD452" s="120"/>
      <c r="DE452" s="120"/>
      <c r="DF452" s="515"/>
      <c r="DG452" s="513"/>
      <c r="DH452" s="376"/>
      <c r="DI452" s="120"/>
      <c r="DJ452" s="384"/>
      <c r="DK452" s="120"/>
      <c r="DL452" s="727"/>
      <c r="DM452" s="384"/>
      <c r="DN452" s="384"/>
      <c r="DO452" s="120"/>
      <c r="DP452" s="375"/>
      <c r="DQ452" s="377"/>
      <c r="DR452" s="621"/>
      <c r="DS452" s="956"/>
      <c r="DT452" s="727"/>
      <c r="DU452" s="120"/>
      <c r="DV452" s="384"/>
      <c r="DW452" s="384"/>
      <c r="DX452" s="384"/>
      <c r="DY452" s="120"/>
      <c r="DZ452" s="384"/>
      <c r="EA452" s="120"/>
      <c r="EB452" s="1012"/>
      <c r="EC452" s="384"/>
      <c r="ED452" s="384"/>
      <c r="EE452" s="120"/>
      <c r="EF452" s="384"/>
      <c r="EG452" s="120"/>
      <c r="EH452" s="384"/>
      <c r="EI452" s="120"/>
      <c r="EJ452" s="384"/>
      <c r="EK452" s="120"/>
      <c r="EL452" s="1012"/>
      <c r="EM452" s="384"/>
      <c r="EN452" s="380"/>
      <c r="EO452" s="120"/>
      <c r="EP452" s="120"/>
      <c r="EQ452" s="120"/>
      <c r="ER452" s="120"/>
      <c r="ES452" s="120"/>
      <c r="ET452" s="376"/>
      <c r="EU452" s="120"/>
      <c r="EV452" s="120"/>
      <c r="EW452" s="120"/>
      <c r="EX452" s="120"/>
      <c r="EY452" s="120"/>
      <c r="EZ452" s="376"/>
      <c r="FA452" s="120"/>
      <c r="FB452" s="384"/>
      <c r="FC452" s="384"/>
      <c r="FD452" s="727"/>
      <c r="FE452" s="384"/>
      <c r="FF452" s="384"/>
      <c r="FG452" s="384"/>
      <c r="FH452" s="384"/>
      <c r="FI452" s="120"/>
      <c r="FJ452" s="384"/>
    </row>
    <row r="453" spans="1:166" ht="14" customHeight="1">
      <c r="A453" s="1305" t="s">
        <v>1026</v>
      </c>
      <c r="B453" s="1310">
        <v>24</v>
      </c>
      <c r="C453" s="1310"/>
      <c r="D453" s="1310"/>
      <c r="E453" s="1311" t="s">
        <v>2088</v>
      </c>
      <c r="F453" s="1312" t="s">
        <v>2343</v>
      </c>
      <c r="G453" s="1313">
        <v>2012</v>
      </c>
      <c r="H453" s="1305">
        <v>22176467</v>
      </c>
      <c r="I453" s="1305">
        <v>1</v>
      </c>
      <c r="J453" s="1305" t="s">
        <v>1855</v>
      </c>
      <c r="K453" s="1305"/>
      <c r="L453" s="1305">
        <v>0</v>
      </c>
      <c r="M453" s="1305"/>
      <c r="N453" s="1305">
        <v>0</v>
      </c>
      <c r="O453" s="1305">
        <v>2</v>
      </c>
      <c r="P453" s="1305" t="s">
        <v>1404</v>
      </c>
      <c r="Q453" s="1305" t="s">
        <v>1212</v>
      </c>
      <c r="R453" s="1305" t="s">
        <v>1127</v>
      </c>
      <c r="S453" s="1305"/>
      <c r="T453" s="1305" t="s">
        <v>1488</v>
      </c>
      <c r="U453" s="1305" t="s">
        <v>803</v>
      </c>
      <c r="V453" s="1305"/>
      <c r="W453" s="1305" t="s">
        <v>1403</v>
      </c>
      <c r="X453" s="1305"/>
      <c r="Y453" s="1305"/>
      <c r="Z453" s="1305"/>
      <c r="AA453" s="1305"/>
      <c r="AB453" s="1305"/>
      <c r="AC453" s="1306"/>
      <c r="AD453" s="1306">
        <v>1</v>
      </c>
      <c r="AE453" s="1306">
        <v>2</v>
      </c>
      <c r="AF453" s="1314">
        <v>1</v>
      </c>
      <c r="AG453" s="1315" t="s">
        <v>8122</v>
      </c>
      <c r="AH453" s="1306" t="s">
        <v>7704</v>
      </c>
      <c r="AI453" s="1306">
        <v>4</v>
      </c>
      <c r="AJ453" s="1306"/>
      <c r="AK453" s="1316" t="s">
        <v>3050</v>
      </c>
      <c r="AL453" s="1312">
        <v>1</v>
      </c>
      <c r="AM453" s="1317">
        <v>0</v>
      </c>
      <c r="AN453" s="1306">
        <f>Table66[[#This Row],[Data_Subjects_n_ptsd]]+Table66[[#This Row],[Data_Subjects_n_control]]</f>
        <v>15</v>
      </c>
      <c r="AO453" s="1306">
        <v>7</v>
      </c>
      <c r="AP453" s="1306">
        <v>8</v>
      </c>
      <c r="AQ453" s="1306" t="s">
        <v>803</v>
      </c>
      <c r="AR453" s="1306" t="s">
        <v>803</v>
      </c>
      <c r="AS453" s="1306" t="s">
        <v>3031</v>
      </c>
      <c r="AT453" s="1306" t="s">
        <v>24</v>
      </c>
      <c r="AU453" s="1306" t="s">
        <v>3031</v>
      </c>
      <c r="AV453" s="1306" t="s">
        <v>24</v>
      </c>
      <c r="AW453" s="1306" t="s">
        <v>7697</v>
      </c>
      <c r="AX453" s="1306">
        <v>15</v>
      </c>
      <c r="AY453" s="1306">
        <v>1</v>
      </c>
      <c r="AZ453" s="1306" t="s">
        <v>1814</v>
      </c>
      <c r="BA453" s="1306">
        <v>1</v>
      </c>
      <c r="BB453" s="1306" t="s">
        <v>7690</v>
      </c>
      <c r="BC453" s="1306" t="s">
        <v>3032</v>
      </c>
      <c r="BD453" s="1306" t="s">
        <v>7523</v>
      </c>
      <c r="BE453" s="1306"/>
      <c r="BF453" s="1306" t="s">
        <v>2730</v>
      </c>
      <c r="BG453" s="1306" t="s">
        <v>2554</v>
      </c>
      <c r="BH453" s="1312"/>
      <c r="BI453" s="1312"/>
      <c r="BJ453" s="1318">
        <v>1</v>
      </c>
      <c r="BK453" s="1318"/>
      <c r="BL453" s="1318"/>
      <c r="BM453" s="1318"/>
      <c r="BN453" s="1318"/>
      <c r="BO453" s="1318"/>
      <c r="BP453" s="1318"/>
      <c r="BQ453" s="1318"/>
      <c r="BR453" s="1318"/>
      <c r="BS453" s="1318"/>
      <c r="BT453" s="1318"/>
      <c r="BU453" s="1318"/>
      <c r="BV453" s="1318"/>
      <c r="BW453" s="1318" t="s">
        <v>3039</v>
      </c>
      <c r="BX453" s="1309" t="s">
        <v>6595</v>
      </c>
      <c r="BY453" s="1309" t="s">
        <v>7615</v>
      </c>
      <c r="BZ453" s="1309" t="s">
        <v>803</v>
      </c>
      <c r="CA453" s="1318">
        <v>4</v>
      </c>
      <c r="CB453" s="1318" t="s">
        <v>7556</v>
      </c>
      <c r="CC453" s="1318" t="s">
        <v>7384</v>
      </c>
      <c r="CD453" s="1306" t="s">
        <v>1876</v>
      </c>
      <c r="CE453" s="1306" t="s">
        <v>3041</v>
      </c>
      <c r="CF453" s="1306" t="s">
        <v>7700</v>
      </c>
      <c r="CG453" s="1306" t="s">
        <v>7691</v>
      </c>
      <c r="CH453" s="1306" t="s">
        <v>1488</v>
      </c>
      <c r="CI453" s="1306" t="s">
        <v>2471</v>
      </c>
      <c r="CJ453" s="1306"/>
      <c r="CK453" s="1306" t="s">
        <v>2659</v>
      </c>
      <c r="CL453" s="1306" t="s">
        <v>2659</v>
      </c>
      <c r="CM453" s="1319" t="s">
        <v>3065</v>
      </c>
      <c r="CN453" s="1307" t="s">
        <v>6627</v>
      </c>
      <c r="CO453" s="1307">
        <v>44</v>
      </c>
      <c r="CP453" s="1307">
        <v>1</v>
      </c>
      <c r="CQ453" s="1307"/>
      <c r="CR453" s="1307">
        <v>1</v>
      </c>
      <c r="CS453" s="1307"/>
      <c r="CT453" s="1307"/>
      <c r="CU453" s="830" t="s">
        <v>8104</v>
      </c>
      <c r="CV453" s="1320">
        <v>96</v>
      </c>
      <c r="CW453" s="1320">
        <v>88</v>
      </c>
      <c r="CX453" s="1323" t="s">
        <v>3037</v>
      </c>
      <c r="CY453" s="1306">
        <v>83.581699999999998</v>
      </c>
      <c r="CZ453" s="1321" t="s">
        <v>24</v>
      </c>
      <c r="DA453" s="1306">
        <f>87.1702-Table66[[#This Row],[Data_Outcome1_M]]</f>
        <v>3.5884999999999962</v>
      </c>
      <c r="DB453" s="1323" t="s">
        <v>3038</v>
      </c>
      <c r="DC453" s="1306">
        <v>22.278099999999998</v>
      </c>
      <c r="DD453" s="1321" t="s">
        <v>24</v>
      </c>
      <c r="DE453" s="1306">
        <f>30.1733-Table66[[#This Row],[Data_Outcome2_M]]</f>
        <v>7.8952000000000027</v>
      </c>
      <c r="DF453" s="1319" t="s">
        <v>3063</v>
      </c>
      <c r="DG453" s="1312" t="s">
        <v>3060</v>
      </c>
      <c r="DH453" s="1309"/>
      <c r="DI453" s="1306"/>
      <c r="DJ453" s="1321"/>
      <c r="DK453" s="1306"/>
      <c r="DL453" s="1323"/>
      <c r="DM453" s="1306"/>
      <c r="DN453" s="1321"/>
      <c r="DO453" s="1306"/>
      <c r="DP453" s="1319"/>
      <c r="DQ453" s="1312"/>
      <c r="DR453" s="1322"/>
      <c r="DS453" s="1323"/>
      <c r="DT453" s="1323"/>
      <c r="DU453" s="1306"/>
      <c r="DV453" s="1321"/>
      <c r="DW453" s="1306"/>
      <c r="DX453" s="1323"/>
      <c r="DY453" s="1306"/>
      <c r="DZ453" s="1321"/>
      <c r="EA453" s="1306"/>
      <c r="EB453" s="1322"/>
      <c r="EC453" s="1321"/>
      <c r="ED453" s="1321"/>
      <c r="EE453" s="1306"/>
      <c r="EF453" s="1321"/>
      <c r="EG453" s="1306"/>
      <c r="EH453" s="1321"/>
      <c r="EI453" s="1306"/>
      <c r="EJ453" s="1321"/>
      <c r="EK453" s="1306"/>
      <c r="EL453" s="1322"/>
      <c r="EM453" s="1321"/>
      <c r="EN453" s="1322"/>
      <c r="EO453" s="1321"/>
      <c r="EP453" s="1321"/>
      <c r="EQ453" s="1306"/>
      <c r="ER453" s="1306"/>
      <c r="ES453" s="1306"/>
      <c r="ET453" s="1309"/>
      <c r="EU453" s="1306"/>
      <c r="EV453" s="1321"/>
      <c r="EW453" s="1321"/>
      <c r="EX453" s="1321"/>
      <c r="EY453" s="1321"/>
      <c r="EZ453" s="1323"/>
      <c r="FA453" s="1321"/>
      <c r="FB453" s="1321"/>
      <c r="FC453" s="1321"/>
      <c r="FD453" s="1323"/>
      <c r="FE453" s="1321"/>
      <c r="FF453" s="1321"/>
      <c r="FG453" s="1321"/>
      <c r="FH453" s="1321"/>
      <c r="FI453" s="1321"/>
      <c r="FJ453" s="1321"/>
    </row>
    <row r="454" spans="1:166" ht="14" hidden="1" customHeight="1">
      <c r="A454" s="153" t="s">
        <v>240</v>
      </c>
      <c r="B454" s="618">
        <v>175</v>
      </c>
      <c r="C454" s="618"/>
      <c r="D454" s="618">
        <v>63</v>
      </c>
      <c r="E454" s="610" t="s">
        <v>1994</v>
      </c>
      <c r="F454" s="368" t="s">
        <v>2224</v>
      </c>
      <c r="G454" s="369">
        <v>2014</v>
      </c>
      <c r="H454" s="153">
        <v>25180439</v>
      </c>
      <c r="I454" s="153">
        <v>1</v>
      </c>
      <c r="J454" s="370" t="s">
        <v>1778</v>
      </c>
      <c r="K454" s="371" t="s">
        <v>1761</v>
      </c>
      <c r="L454" s="153">
        <v>1</v>
      </c>
      <c r="M454" s="153" t="s">
        <v>1744</v>
      </c>
      <c r="N454" s="153">
        <v>0</v>
      </c>
      <c r="O454" s="153">
        <v>1</v>
      </c>
      <c r="P454" s="153"/>
      <c r="Q454" s="153" t="s">
        <v>1167</v>
      </c>
      <c r="R454" s="153" t="s">
        <v>659</v>
      </c>
      <c r="S454" s="153">
        <v>1</v>
      </c>
      <c r="T454" s="153"/>
      <c r="U454" s="153"/>
      <c r="V454" s="153"/>
      <c r="W454" s="153" t="s">
        <v>658</v>
      </c>
      <c r="X454" s="153" t="s">
        <v>24</v>
      </c>
      <c r="Y454" s="153"/>
      <c r="Z454" s="153"/>
      <c r="AA454" s="153"/>
      <c r="AB454" s="153" t="s">
        <v>660</v>
      </c>
      <c r="AC454" s="536" t="s">
        <v>6250</v>
      </c>
      <c r="AD454" s="536">
        <v>1</v>
      </c>
      <c r="AE454" s="536">
        <v>0</v>
      </c>
      <c r="AF454" s="576">
        <v>0</v>
      </c>
      <c r="AG454" s="577" t="s">
        <v>7272</v>
      </c>
      <c r="AH454" s="509" t="s">
        <v>7273</v>
      </c>
      <c r="AI454" s="120">
        <v>2</v>
      </c>
      <c r="AJ454" s="120"/>
      <c r="AK454" s="206"/>
      <c r="AL454" s="372"/>
      <c r="AM454" s="207"/>
      <c r="AN454" s="120"/>
      <c r="AO454" s="120"/>
      <c r="AP454" s="120"/>
      <c r="AQ454" s="120"/>
      <c r="AR454" s="120"/>
      <c r="AS454" s="120"/>
      <c r="AT454" s="120"/>
      <c r="AU454" s="120"/>
      <c r="AV454" s="120"/>
      <c r="AW454" s="120"/>
      <c r="AX454" s="120"/>
      <c r="AY454" s="120"/>
      <c r="AZ454" s="755"/>
      <c r="BA454" s="120"/>
      <c r="BB454" s="120"/>
      <c r="BC454" s="120"/>
      <c r="BD454" s="755"/>
      <c r="BE454" s="755"/>
      <c r="BF454" s="120"/>
      <c r="BG454" s="120"/>
      <c r="BH454" s="377"/>
      <c r="BI454" s="377"/>
      <c r="BJ454" s="373"/>
      <c r="BK454" s="373"/>
      <c r="BL454" s="373" t="s">
        <v>5207</v>
      </c>
      <c r="BM454" s="373"/>
      <c r="BN454" s="373"/>
      <c r="BO454" s="373" t="s">
        <v>5207</v>
      </c>
      <c r="BP454" s="373"/>
      <c r="BQ454" s="373"/>
      <c r="BR454" s="373" t="s">
        <v>5207</v>
      </c>
      <c r="BS454" s="373"/>
      <c r="BT454" s="373"/>
      <c r="BU454" s="373"/>
      <c r="BV454" s="373"/>
      <c r="BW454" s="599"/>
      <c r="BX454" s="374"/>
      <c r="BY454" s="374"/>
      <c r="BZ454" s="374"/>
      <c r="CA454" s="510"/>
      <c r="CB454" s="510"/>
      <c r="CC454" s="510"/>
      <c r="CD454" s="120"/>
      <c r="CE454" s="120"/>
      <c r="CF454" s="120"/>
      <c r="CG454" s="120"/>
      <c r="CH454" s="755"/>
      <c r="CI454" s="120"/>
      <c r="CJ454" s="120"/>
      <c r="CK454" s="120"/>
      <c r="CL454" s="120"/>
      <c r="CM454" s="375"/>
      <c r="CN454" s="380"/>
      <c r="CO454" s="380"/>
      <c r="CP454" s="380"/>
      <c r="CQ454" s="380"/>
      <c r="CR454" s="380"/>
      <c r="CS454" s="380"/>
      <c r="CT454" s="380"/>
      <c r="CU454" s="380"/>
      <c r="CV454" s="380"/>
      <c r="CW454" s="380"/>
      <c r="CX454" s="376"/>
      <c r="CY454" s="120"/>
      <c r="CZ454" s="120"/>
      <c r="DA454" s="120"/>
      <c r="DB454" s="376"/>
      <c r="DC454" s="120"/>
      <c r="DD454" s="120"/>
      <c r="DE454" s="120"/>
      <c r="DF454" s="515"/>
      <c r="DG454" s="513"/>
      <c r="DH454" s="376"/>
      <c r="DI454" s="120"/>
      <c r="DJ454" s="384"/>
      <c r="DK454" s="120"/>
      <c r="DL454" s="727"/>
      <c r="DM454" s="120"/>
      <c r="DN454" s="384"/>
      <c r="DO454" s="120"/>
      <c r="DP454" s="375"/>
      <c r="DQ454" s="377"/>
      <c r="DR454" s="1182"/>
      <c r="DS454" s="956"/>
      <c r="DT454" s="727"/>
      <c r="DU454" s="120"/>
      <c r="DV454" s="384"/>
      <c r="DW454" s="120"/>
      <c r="DX454" s="384"/>
      <c r="DY454" s="120"/>
      <c r="DZ454" s="384"/>
      <c r="EA454" s="120"/>
      <c r="EB454" s="380"/>
      <c r="EC454" s="120"/>
      <c r="ED454" s="384"/>
      <c r="EE454" s="120"/>
      <c r="EF454" s="384"/>
      <c r="EG454" s="120"/>
      <c r="EH454" s="384"/>
      <c r="EI454" s="120"/>
      <c r="EJ454" s="384"/>
      <c r="EK454" s="120"/>
      <c r="EL454" s="1012"/>
      <c r="EM454" s="384"/>
      <c r="EN454" s="1012"/>
      <c r="EO454" s="384"/>
      <c r="EP454" s="120"/>
      <c r="EQ454" s="120"/>
      <c r="ER454" s="120"/>
      <c r="ES454" s="120"/>
      <c r="ET454" s="376"/>
      <c r="EU454" s="120"/>
      <c r="EV454" s="120"/>
      <c r="EW454" s="120"/>
      <c r="EX454" s="120"/>
      <c r="EY454" s="120"/>
      <c r="EZ454" s="376"/>
      <c r="FA454" s="120"/>
      <c r="FB454" s="120"/>
      <c r="FC454" s="120"/>
      <c r="FD454" s="376"/>
      <c r="FE454" s="120"/>
      <c r="FF454" s="120"/>
      <c r="FG454" s="120"/>
      <c r="FH454" s="120"/>
      <c r="FI454" s="120"/>
      <c r="FJ454" s="384"/>
    </row>
    <row r="455" spans="1:166" ht="14" hidden="1" customHeight="1">
      <c r="A455" s="153" t="s">
        <v>241</v>
      </c>
      <c r="B455" s="618">
        <v>176</v>
      </c>
      <c r="C455" s="618">
        <v>60</v>
      </c>
      <c r="D455" s="618"/>
      <c r="E455" s="610" t="s">
        <v>1995</v>
      </c>
      <c r="F455" s="368" t="s">
        <v>2225</v>
      </c>
      <c r="G455" s="369">
        <v>2012</v>
      </c>
      <c r="H455" s="153">
        <v>22687547</v>
      </c>
      <c r="I455" s="153">
        <v>1</v>
      </c>
      <c r="J455" s="370" t="s">
        <v>1779</v>
      </c>
      <c r="K455" s="371" t="s">
        <v>1745</v>
      </c>
      <c r="L455" s="153">
        <v>1</v>
      </c>
      <c r="M455" s="153" t="s">
        <v>1745</v>
      </c>
      <c r="N455" s="153">
        <v>0</v>
      </c>
      <c r="O455" s="153">
        <v>1</v>
      </c>
      <c r="P455" s="153" t="s">
        <v>661</v>
      </c>
      <c r="Q455" s="153"/>
      <c r="R455" s="153" t="s">
        <v>659</v>
      </c>
      <c r="S455" s="153">
        <v>1</v>
      </c>
      <c r="T455" s="153"/>
      <c r="U455" s="153"/>
      <c r="V455" s="153"/>
      <c r="W455" s="153" t="s">
        <v>492</v>
      </c>
      <c r="X455" s="153" t="s">
        <v>24</v>
      </c>
      <c r="Y455" s="153" t="s">
        <v>24</v>
      </c>
      <c r="Z455" s="153"/>
      <c r="AA455" s="153"/>
      <c r="AB455" s="153" t="s">
        <v>660</v>
      </c>
      <c r="AC455" s="536"/>
      <c r="AD455" s="536">
        <v>1</v>
      </c>
      <c r="AE455" s="536">
        <v>2</v>
      </c>
      <c r="AF455" s="165">
        <v>0</v>
      </c>
      <c r="AG455" s="166" t="s">
        <v>7274</v>
      </c>
      <c r="AH455" s="509" t="s">
        <v>7273</v>
      </c>
      <c r="AI455" s="120">
        <v>2</v>
      </c>
      <c r="AJ455" s="120"/>
      <c r="AK455" s="206" t="s">
        <v>5147</v>
      </c>
      <c r="AL455" s="372"/>
      <c r="AM455" s="207"/>
      <c r="AN455" s="120"/>
      <c r="AO455" s="120"/>
      <c r="AP455" s="120"/>
      <c r="AQ455" s="120"/>
      <c r="AR455" s="120"/>
      <c r="AS455" s="120"/>
      <c r="AT455" s="120"/>
      <c r="AU455" s="120"/>
      <c r="AV455" s="120"/>
      <c r="AW455" s="120"/>
      <c r="AX455" s="120"/>
      <c r="AY455" s="120"/>
      <c r="AZ455" s="755"/>
      <c r="BA455" s="120"/>
      <c r="BB455" s="120"/>
      <c r="BC455" s="120"/>
      <c r="BD455" s="755"/>
      <c r="BE455" s="755"/>
      <c r="BF455" s="120"/>
      <c r="BG455" s="509"/>
      <c r="BH455" s="513"/>
      <c r="BI455" s="513"/>
      <c r="BJ455" s="511"/>
      <c r="BK455" s="511"/>
      <c r="BL455" s="511"/>
      <c r="BM455" s="511"/>
      <c r="BN455" s="511"/>
      <c r="BO455" s="511"/>
      <c r="BP455" s="511">
        <v>1</v>
      </c>
      <c r="BQ455" s="511"/>
      <c r="BR455" s="511"/>
      <c r="BS455" s="511"/>
      <c r="BT455" s="511"/>
      <c r="BU455" s="511"/>
      <c r="BV455" s="511"/>
      <c r="BW455" s="511"/>
      <c r="BX455" s="510"/>
      <c r="BY455" s="510"/>
      <c r="BZ455" s="510"/>
      <c r="CA455" s="510"/>
      <c r="CB455" s="510"/>
      <c r="CC455" s="510"/>
      <c r="CD455" s="120"/>
      <c r="CE455" s="120"/>
      <c r="CF455" s="120"/>
      <c r="CG455" s="120"/>
      <c r="CH455" s="755"/>
      <c r="CI455" s="120"/>
      <c r="CJ455" s="120"/>
      <c r="CK455" s="120"/>
      <c r="CL455" s="120"/>
      <c r="CM455" s="375"/>
      <c r="CN455" s="380"/>
      <c r="CO455" s="380"/>
      <c r="CP455" s="380"/>
      <c r="CQ455" s="380"/>
      <c r="CR455" s="380"/>
      <c r="CS455" s="380"/>
      <c r="CT455" s="380"/>
      <c r="CU455" s="380"/>
      <c r="CV455" s="380"/>
      <c r="CW455" s="380"/>
      <c r="CX455" s="376"/>
      <c r="CY455" s="120"/>
      <c r="CZ455" s="120"/>
      <c r="DA455" s="120"/>
      <c r="DB455" s="376"/>
      <c r="DC455" s="120"/>
      <c r="DD455" s="120"/>
      <c r="DE455" s="120"/>
      <c r="DF455" s="515"/>
      <c r="DG455" s="513"/>
      <c r="DH455" s="727"/>
      <c r="DI455" s="384"/>
      <c r="DJ455" s="384"/>
      <c r="DK455" s="384"/>
      <c r="DL455" s="727"/>
      <c r="DM455" s="384"/>
      <c r="DN455" s="384"/>
      <c r="DO455" s="384"/>
      <c r="DP455" s="375"/>
      <c r="DQ455" s="377"/>
      <c r="DR455" s="1182"/>
      <c r="DS455" s="956"/>
      <c r="DT455" s="727"/>
      <c r="DU455" s="120"/>
      <c r="DV455" s="384"/>
      <c r="DW455" s="120"/>
      <c r="DX455" s="384"/>
      <c r="DY455" s="384"/>
      <c r="DZ455" s="384"/>
      <c r="EA455" s="384"/>
      <c r="EB455" s="380"/>
      <c r="EC455" s="120"/>
      <c r="ED455" s="384"/>
      <c r="EE455" s="384"/>
      <c r="EF455" s="384"/>
      <c r="EG455" s="384"/>
      <c r="EH455" s="384"/>
      <c r="EI455" s="384"/>
      <c r="EJ455" s="384"/>
      <c r="EK455" s="384"/>
      <c r="EL455" s="1012"/>
      <c r="EM455" s="384"/>
      <c r="EN455" s="1012"/>
      <c r="EO455" s="384"/>
      <c r="EP455" s="384"/>
      <c r="EQ455" s="384"/>
      <c r="ER455" s="384"/>
      <c r="ES455" s="384"/>
      <c r="ET455" s="727"/>
      <c r="EU455" s="384"/>
      <c r="EV455" s="384"/>
      <c r="EW455" s="384"/>
      <c r="EX455" s="384"/>
      <c r="EY455" s="384"/>
      <c r="EZ455" s="727"/>
      <c r="FA455" s="384"/>
      <c r="FB455" s="384"/>
      <c r="FC455" s="384"/>
      <c r="FD455" s="727"/>
      <c r="FE455" s="384"/>
      <c r="FF455" s="384"/>
      <c r="FG455" s="384"/>
      <c r="FH455" s="384"/>
      <c r="FI455" s="384"/>
      <c r="FJ455" s="384"/>
    </row>
    <row r="456" spans="1:166" ht="14" hidden="1" customHeight="1">
      <c r="A456" s="153" t="s">
        <v>242</v>
      </c>
      <c r="B456" s="618">
        <v>177</v>
      </c>
      <c r="C456" s="618"/>
      <c r="D456" s="618">
        <v>64</v>
      </c>
      <c r="E456" s="610" t="s">
        <v>1996</v>
      </c>
      <c r="F456" s="368" t="s">
        <v>2226</v>
      </c>
      <c r="G456" s="369">
        <v>2015</v>
      </c>
      <c r="H456" s="153">
        <v>26110112</v>
      </c>
      <c r="I456" s="153">
        <v>1</v>
      </c>
      <c r="J456" s="370"/>
      <c r="K456" s="371" t="s">
        <v>1745</v>
      </c>
      <c r="L456" s="153">
        <v>1</v>
      </c>
      <c r="M456" s="153" t="s">
        <v>1745</v>
      </c>
      <c r="N456" s="153">
        <v>0</v>
      </c>
      <c r="O456" s="153">
        <v>1</v>
      </c>
      <c r="P456" s="153"/>
      <c r="Q456" s="153" t="s">
        <v>1158</v>
      </c>
      <c r="R456" s="153" t="s">
        <v>659</v>
      </c>
      <c r="S456" s="153">
        <v>1</v>
      </c>
      <c r="T456" s="153"/>
      <c r="U456" s="153"/>
      <c r="V456" s="153"/>
      <c r="W456" s="153"/>
      <c r="X456" s="153" t="s">
        <v>56</v>
      </c>
      <c r="Y456" s="153"/>
      <c r="Z456" s="153"/>
      <c r="AA456" s="153"/>
      <c r="AB456" s="153" t="s">
        <v>516</v>
      </c>
      <c r="AC456" s="536" t="s">
        <v>433</v>
      </c>
      <c r="AD456" s="536">
        <v>1</v>
      </c>
      <c r="AE456" s="536">
        <v>0</v>
      </c>
      <c r="AF456" s="165">
        <v>0</v>
      </c>
      <c r="AG456" s="577" t="s">
        <v>7272</v>
      </c>
      <c r="AH456" s="509" t="s">
        <v>7286</v>
      </c>
      <c r="AI456" s="120">
        <v>2</v>
      </c>
      <c r="AJ456" s="120"/>
      <c r="AK456" s="206"/>
      <c r="AL456" s="372"/>
      <c r="AM456" s="207"/>
      <c r="AN456" s="120"/>
      <c r="AO456" s="120"/>
      <c r="AP456" s="120"/>
      <c r="AQ456" s="120"/>
      <c r="AR456" s="120"/>
      <c r="AS456" s="120"/>
      <c r="AT456" s="120"/>
      <c r="AU456" s="120"/>
      <c r="AV456" s="120"/>
      <c r="AW456" s="120"/>
      <c r="AX456" s="120"/>
      <c r="AY456" s="120"/>
      <c r="AZ456" s="755"/>
      <c r="BA456" s="120"/>
      <c r="BB456" s="120"/>
      <c r="BC456" s="120"/>
      <c r="BD456" s="755"/>
      <c r="BE456" s="755"/>
      <c r="BF456" s="120"/>
      <c r="BG456" s="120"/>
      <c r="BH456" s="377"/>
      <c r="BI456" s="377"/>
      <c r="BJ456" s="373"/>
      <c r="BK456" s="373"/>
      <c r="BL456" s="373"/>
      <c r="BM456" s="373"/>
      <c r="BN456" s="373"/>
      <c r="BO456" s="373"/>
      <c r="BP456" s="373"/>
      <c r="BQ456" s="373"/>
      <c r="BR456" s="373" t="s">
        <v>5207</v>
      </c>
      <c r="BS456" s="373"/>
      <c r="BT456" s="373"/>
      <c r="BU456" s="373"/>
      <c r="BV456" s="373"/>
      <c r="BW456" s="599"/>
      <c r="BX456" s="374"/>
      <c r="BY456" s="374"/>
      <c r="BZ456" s="374"/>
      <c r="CA456" s="511"/>
      <c r="CB456" s="511"/>
      <c r="CC456" s="511"/>
      <c r="CD456" s="120"/>
      <c r="CE456" s="120"/>
      <c r="CF456" s="120"/>
      <c r="CG456" s="120"/>
      <c r="CH456" s="755"/>
      <c r="CI456" s="120"/>
      <c r="CJ456" s="120"/>
      <c r="CK456" s="120"/>
      <c r="CL456" s="120"/>
      <c r="CM456" s="375"/>
      <c r="CN456" s="380"/>
      <c r="CO456" s="380"/>
      <c r="CP456" s="380"/>
      <c r="CQ456" s="380"/>
      <c r="CR456" s="380"/>
      <c r="CS456" s="380"/>
      <c r="CT456" s="380"/>
      <c r="CU456" s="380"/>
      <c r="CV456" s="380"/>
      <c r="CW456" s="380"/>
      <c r="CX456" s="376"/>
      <c r="CY456" s="120"/>
      <c r="CZ456" s="120"/>
      <c r="DA456" s="120"/>
      <c r="DB456" s="376"/>
      <c r="DC456" s="120"/>
      <c r="DD456" s="120"/>
      <c r="DE456" s="120"/>
      <c r="DF456" s="515"/>
      <c r="DG456" s="513"/>
      <c r="DH456" s="727"/>
      <c r="DI456" s="384"/>
      <c r="DJ456" s="384"/>
      <c r="DK456" s="384"/>
      <c r="DL456" s="727"/>
      <c r="DM456" s="384"/>
      <c r="DN456" s="384"/>
      <c r="DO456" s="384"/>
      <c r="DP456" s="375"/>
      <c r="DQ456" s="377"/>
      <c r="DR456" s="1182"/>
      <c r="DS456" s="956"/>
      <c r="DT456" s="727"/>
      <c r="DU456" s="120"/>
      <c r="DV456" s="384"/>
      <c r="DW456" s="120"/>
      <c r="DX456" s="384"/>
      <c r="DY456" s="384"/>
      <c r="DZ456" s="384"/>
      <c r="EA456" s="384"/>
      <c r="EB456" s="380"/>
      <c r="EC456" s="120"/>
      <c r="ED456" s="384"/>
      <c r="EE456" s="384"/>
      <c r="EF456" s="384"/>
      <c r="EG456" s="384"/>
      <c r="EH456" s="384"/>
      <c r="EI456" s="384"/>
      <c r="EJ456" s="384"/>
      <c r="EK456" s="384"/>
      <c r="EL456" s="380"/>
      <c r="EM456" s="384"/>
      <c r="EN456" s="1012"/>
      <c r="EO456" s="384"/>
      <c r="EP456" s="384"/>
      <c r="EQ456" s="384"/>
      <c r="ER456" s="384"/>
      <c r="ES456" s="384"/>
      <c r="ET456" s="727"/>
      <c r="EU456" s="384"/>
      <c r="EV456" s="384"/>
      <c r="EW456" s="384"/>
      <c r="EX456" s="384"/>
      <c r="EY456" s="384"/>
      <c r="EZ456" s="727"/>
      <c r="FA456" s="120"/>
      <c r="FB456" s="120"/>
      <c r="FC456" s="120"/>
      <c r="FD456" s="376"/>
      <c r="FE456" s="384"/>
      <c r="FF456" s="384"/>
      <c r="FG456" s="384"/>
      <c r="FH456" s="384"/>
      <c r="FI456" s="384"/>
      <c r="FJ456" s="384"/>
    </row>
    <row r="457" spans="1:166" ht="14" hidden="1" customHeight="1">
      <c r="A457" s="79" t="s">
        <v>279</v>
      </c>
      <c r="B457" s="362">
        <v>199</v>
      </c>
      <c r="C457" s="362">
        <v>69</v>
      </c>
      <c r="D457" s="362"/>
      <c r="E457" s="604" t="s">
        <v>2009</v>
      </c>
      <c r="F457" s="124" t="s">
        <v>2240</v>
      </c>
      <c r="G457" s="125">
        <v>2009</v>
      </c>
      <c r="H457" s="79">
        <v>19703319</v>
      </c>
      <c r="I457" s="79">
        <v>1</v>
      </c>
      <c r="J457" s="126"/>
      <c r="K457" s="127"/>
      <c r="L457" s="79">
        <v>1</v>
      </c>
      <c r="M457" s="79"/>
      <c r="N457" s="79">
        <v>1</v>
      </c>
      <c r="O457" s="128">
        <v>1</v>
      </c>
      <c r="P457" s="79" t="s">
        <v>733</v>
      </c>
      <c r="Q457" s="79" t="s">
        <v>1147</v>
      </c>
      <c r="R457" s="79" t="s">
        <v>25</v>
      </c>
      <c r="S457" s="79">
        <v>1</v>
      </c>
      <c r="T457" s="79"/>
      <c r="U457" s="79"/>
      <c r="V457" s="79"/>
      <c r="W457" s="79" t="s">
        <v>732</v>
      </c>
      <c r="X457" s="79"/>
      <c r="Y457" s="79"/>
      <c r="Z457" s="79"/>
      <c r="AA457" s="79"/>
      <c r="AB457" s="79" t="s">
        <v>734</v>
      </c>
      <c r="AC457" s="506"/>
      <c r="AD457" s="573">
        <v>1</v>
      </c>
      <c r="AE457" s="573">
        <v>2</v>
      </c>
      <c r="AF457" s="154">
        <v>1</v>
      </c>
      <c r="AG457" s="155" t="s">
        <v>5335</v>
      </c>
      <c r="AH457" s="704"/>
      <c r="AI457" s="121">
        <v>2</v>
      </c>
      <c r="AJ457" s="484"/>
      <c r="AK457" s="202" t="s">
        <v>5393</v>
      </c>
      <c r="AL457" s="192">
        <v>1</v>
      </c>
      <c r="AM457" s="203">
        <v>0</v>
      </c>
      <c r="AN457" s="121">
        <v>47</v>
      </c>
      <c r="AO457" s="121">
        <v>25</v>
      </c>
      <c r="AP457" s="121">
        <v>22</v>
      </c>
      <c r="AQ457" s="121" t="s">
        <v>803</v>
      </c>
      <c r="AR457" s="121" t="s">
        <v>803</v>
      </c>
      <c r="AS457" s="121" t="s">
        <v>7997</v>
      </c>
      <c r="AT457" s="121">
        <v>5.6</v>
      </c>
      <c r="AU457" s="121" t="s">
        <v>7999</v>
      </c>
      <c r="AV457" s="121">
        <v>5.7</v>
      </c>
      <c r="AW457" s="121" t="s">
        <v>4249</v>
      </c>
      <c r="AX457" s="121"/>
      <c r="AY457" s="121"/>
      <c r="AZ457" s="754" t="s">
        <v>1874</v>
      </c>
      <c r="BA457" s="121" t="s">
        <v>24</v>
      </c>
      <c r="BB457" s="121" t="s">
        <v>24</v>
      </c>
      <c r="BC457" s="121" t="s">
        <v>2423</v>
      </c>
      <c r="BD457" s="754" t="s">
        <v>7521</v>
      </c>
      <c r="BE457" s="187">
        <v>0</v>
      </c>
      <c r="BF457" s="121" t="s">
        <v>3835</v>
      </c>
      <c r="BG457" s="121" t="s">
        <v>4521</v>
      </c>
      <c r="BH457" s="594"/>
      <c r="BI457" s="594"/>
      <c r="BJ457" s="156"/>
      <c r="BK457" s="156"/>
      <c r="BL457" s="156"/>
      <c r="BM457" s="156"/>
      <c r="BN457" s="156"/>
      <c r="BO457" s="156"/>
      <c r="BP457" s="156">
        <v>1</v>
      </c>
      <c r="BQ457" s="156"/>
      <c r="BR457" s="156" t="s">
        <v>4727</v>
      </c>
      <c r="BS457" s="156"/>
      <c r="BT457" s="156" t="s">
        <v>4727</v>
      </c>
      <c r="BU457" s="156"/>
      <c r="BV457" s="156"/>
      <c r="BW457" s="595" t="s">
        <v>5336</v>
      </c>
      <c r="BX457" s="157" t="s">
        <v>6609</v>
      </c>
      <c r="BY457" s="797" t="s">
        <v>7616</v>
      </c>
      <c r="BZ457" s="789" t="s">
        <v>7610</v>
      </c>
      <c r="CA457" s="811">
        <v>2</v>
      </c>
      <c r="CB457" s="660" t="s">
        <v>7556</v>
      </c>
      <c r="CC457" s="660" t="s">
        <v>7380</v>
      </c>
      <c r="CD457" s="134" t="s">
        <v>1876</v>
      </c>
      <c r="CE457" s="134">
        <v>2</v>
      </c>
      <c r="CF457" s="400"/>
      <c r="CG457" s="134" t="s">
        <v>4409</v>
      </c>
      <c r="CH457" s="753" t="s">
        <v>7313</v>
      </c>
      <c r="CI457" s="134" t="s">
        <v>24</v>
      </c>
      <c r="CJ457" s="134"/>
      <c r="CK457" s="134" t="s">
        <v>8001</v>
      </c>
      <c r="CL457" s="150" t="s">
        <v>7826</v>
      </c>
      <c r="CM457" s="259" t="s">
        <v>5392</v>
      </c>
      <c r="CN457" s="454">
        <v>0</v>
      </c>
      <c r="CO457" s="828">
        <v>63</v>
      </c>
      <c r="CP457" s="828">
        <v>1</v>
      </c>
      <c r="CQ457" s="828">
        <v>2</v>
      </c>
      <c r="CR457" s="828">
        <v>1</v>
      </c>
      <c r="CS457" s="828">
        <v>1</v>
      </c>
      <c r="CT457" s="967"/>
      <c r="CU457" s="1288" t="s">
        <v>8103</v>
      </c>
      <c r="CV457" s="1294">
        <v>32</v>
      </c>
      <c r="CW457" s="1294">
        <v>25</v>
      </c>
      <c r="CX457" s="138" t="s">
        <v>5342</v>
      </c>
      <c r="CY457" s="134">
        <v>49.92</v>
      </c>
      <c r="CZ457" s="134">
        <v>9.1</v>
      </c>
      <c r="DA457" s="134" t="s">
        <v>24</v>
      </c>
      <c r="DB457" s="138" t="s">
        <v>5343</v>
      </c>
      <c r="DC457" s="134">
        <v>52.81</v>
      </c>
      <c r="DD457" s="134">
        <v>9.6999999999999993</v>
      </c>
      <c r="DE457" s="134" t="s">
        <v>24</v>
      </c>
      <c r="DF457" s="288" t="s">
        <v>5351</v>
      </c>
      <c r="DG457" s="289" t="s">
        <v>5352</v>
      </c>
      <c r="DH457" s="1276"/>
      <c r="DI457" s="121"/>
      <c r="DJ457" s="1169"/>
      <c r="DK457" s="121"/>
      <c r="DL457" s="1171"/>
      <c r="DM457" s="121"/>
      <c r="DN457" s="1169"/>
      <c r="DO457" s="121"/>
      <c r="DP457" s="288"/>
      <c r="DQ457" s="289"/>
      <c r="DR457" s="1168"/>
      <c r="DS457" s="865"/>
      <c r="DT457" s="1171"/>
      <c r="DU457" s="121"/>
      <c r="DV457" s="1169"/>
      <c r="DW457" s="121"/>
      <c r="DX457" s="1171"/>
      <c r="DY457" s="121"/>
      <c r="DZ457" s="1169"/>
      <c r="EA457" s="121"/>
      <c r="EB457" s="304"/>
      <c r="EC457" s="312"/>
      <c r="ED457" s="1171"/>
      <c r="EE457" s="121"/>
      <c r="EF457" s="1169"/>
      <c r="EG457" s="121"/>
      <c r="EH457" s="1171"/>
      <c r="EI457" s="121"/>
      <c r="EJ457" s="1169"/>
      <c r="EK457" s="121"/>
      <c r="EL457" s="304"/>
      <c r="EM457" s="312"/>
      <c r="EN457" s="309"/>
      <c r="EO457" s="1170"/>
      <c r="EP457" s="1169"/>
      <c r="EQ457" s="1169"/>
      <c r="ER457" s="1169"/>
      <c r="ES457" s="1169"/>
      <c r="ET457" s="1171"/>
      <c r="EU457" s="1169"/>
      <c r="EV457" s="1169"/>
      <c r="EW457" s="1169"/>
      <c r="EX457" s="312"/>
      <c r="EY457" s="312"/>
      <c r="EZ457" s="1169"/>
      <c r="FA457" s="1169"/>
      <c r="FB457" s="1169"/>
      <c r="FC457" s="1169"/>
      <c r="FD457" s="1171"/>
      <c r="FE457" s="1169"/>
      <c r="FF457" s="1169"/>
      <c r="FG457" s="1169"/>
      <c r="FH457" s="312"/>
      <c r="FI457" s="312"/>
      <c r="FJ457" s="1170"/>
    </row>
    <row r="458" spans="1:166" ht="14" hidden="1" customHeight="1">
      <c r="A458" s="79" t="s">
        <v>358</v>
      </c>
      <c r="B458" s="362">
        <v>258</v>
      </c>
      <c r="C458" s="362"/>
      <c r="D458" s="362">
        <v>112</v>
      </c>
      <c r="E458" s="604" t="s">
        <v>2046</v>
      </c>
      <c r="F458" s="124" t="s">
        <v>2286</v>
      </c>
      <c r="G458" s="125">
        <v>2016</v>
      </c>
      <c r="H458" s="79">
        <v>26892753</v>
      </c>
      <c r="I458" s="79">
        <v>1</v>
      </c>
      <c r="J458" s="126"/>
      <c r="K458" s="127"/>
      <c r="L458" s="79">
        <v>1</v>
      </c>
      <c r="M458" s="79"/>
      <c r="N458" s="79">
        <v>1</v>
      </c>
      <c r="O458" s="128">
        <v>1</v>
      </c>
      <c r="P458" s="79" t="s">
        <v>924</v>
      </c>
      <c r="Q458" s="79" t="s">
        <v>1196</v>
      </c>
      <c r="R458" s="79" t="s">
        <v>819</v>
      </c>
      <c r="S458" s="79">
        <v>1</v>
      </c>
      <c r="T458" s="79"/>
      <c r="U458" s="79"/>
      <c r="V458" s="79"/>
      <c r="W458" s="79" t="s">
        <v>923</v>
      </c>
      <c r="X458" s="79" t="s">
        <v>24</v>
      </c>
      <c r="Y458" s="79" t="s">
        <v>24</v>
      </c>
      <c r="Z458" s="79" t="s">
        <v>925</v>
      </c>
      <c r="AA458" s="79"/>
      <c r="AB458" s="79"/>
      <c r="AC458" s="506" t="s">
        <v>6331</v>
      </c>
      <c r="AD458" s="573">
        <v>1</v>
      </c>
      <c r="AE458" s="573">
        <v>1</v>
      </c>
      <c r="AF458" s="154">
        <v>1</v>
      </c>
      <c r="AG458" s="155"/>
      <c r="AH458" s="704"/>
      <c r="AI458" s="121">
        <v>2</v>
      </c>
      <c r="AJ458" s="484"/>
      <c r="AK458" s="202"/>
      <c r="AL458" s="192">
        <v>1</v>
      </c>
      <c r="AM458" s="203">
        <v>0</v>
      </c>
      <c r="AN458" s="121">
        <f>Table66[[#This Row],[Data_Subjects_n_ptsd]]+Table66[[#This Row],[Data_Subjects_n_control]]</f>
        <v>80</v>
      </c>
      <c r="AO458" s="121">
        <v>40</v>
      </c>
      <c r="AP458" s="121">
        <v>40</v>
      </c>
      <c r="AQ458" s="121" t="s">
        <v>7156</v>
      </c>
      <c r="AR458" s="121" t="s">
        <v>7157</v>
      </c>
      <c r="AS458" s="121">
        <v>35.200000000000003</v>
      </c>
      <c r="AT458" s="121">
        <v>9.8000000000000007</v>
      </c>
      <c r="AU458" s="121">
        <v>32.9</v>
      </c>
      <c r="AV458" s="121">
        <v>8.6999999999999993</v>
      </c>
      <c r="AW458" s="121" t="s">
        <v>1874</v>
      </c>
      <c r="AX458" s="121"/>
      <c r="AY458" s="121"/>
      <c r="AZ458" s="754" t="s">
        <v>1874</v>
      </c>
      <c r="BA458" s="121" t="s">
        <v>24</v>
      </c>
      <c r="BB458" s="121" t="s">
        <v>24</v>
      </c>
      <c r="BC458" s="121" t="s">
        <v>2423</v>
      </c>
      <c r="BD458" s="754" t="s">
        <v>7521</v>
      </c>
      <c r="BE458" s="187">
        <v>0</v>
      </c>
      <c r="BF458" s="121" t="s">
        <v>3835</v>
      </c>
      <c r="BG458" s="121" t="s">
        <v>1875</v>
      </c>
      <c r="BH458" s="594"/>
      <c r="BI458" s="594" t="s">
        <v>6332</v>
      </c>
      <c r="BJ458" s="156"/>
      <c r="BK458" s="156"/>
      <c r="BL458" s="156" t="s">
        <v>5207</v>
      </c>
      <c r="BM458" s="156"/>
      <c r="BN458" s="156"/>
      <c r="BO458" s="156" t="s">
        <v>5207</v>
      </c>
      <c r="BP458" s="156" t="s">
        <v>6174</v>
      </c>
      <c r="BQ458" s="156"/>
      <c r="BR458" s="156" t="s">
        <v>5207</v>
      </c>
      <c r="BS458" s="156"/>
      <c r="BT458" s="156" t="s">
        <v>4727</v>
      </c>
      <c r="BU458" s="156" t="s">
        <v>5207</v>
      </c>
      <c r="BV458" s="156" t="s">
        <v>6293</v>
      </c>
      <c r="BW458" s="595" t="s">
        <v>7173</v>
      </c>
      <c r="BX458" s="157" t="s">
        <v>6609</v>
      </c>
      <c r="BY458" s="797" t="s">
        <v>7616</v>
      </c>
      <c r="BZ458" s="789" t="s">
        <v>7610</v>
      </c>
      <c r="CA458" s="660">
        <v>2</v>
      </c>
      <c r="CB458" s="660" t="s">
        <v>7556</v>
      </c>
      <c r="CC458" s="660" t="s">
        <v>7380</v>
      </c>
      <c r="CD458" s="134" t="s">
        <v>1876</v>
      </c>
      <c r="CE458" s="134">
        <v>2</v>
      </c>
      <c r="CF458" s="400"/>
      <c r="CG458" s="134" t="s">
        <v>7158</v>
      </c>
      <c r="CH458" s="753" t="s">
        <v>7313</v>
      </c>
      <c r="CI458" s="134" t="s">
        <v>24</v>
      </c>
      <c r="CJ458" s="134"/>
      <c r="CK458" s="134" t="s">
        <v>8081</v>
      </c>
      <c r="CL458" s="134" t="s">
        <v>8205</v>
      </c>
      <c r="CM458" s="259" t="s">
        <v>7172</v>
      </c>
      <c r="CN458" s="454">
        <v>0</v>
      </c>
      <c r="CO458" s="828">
        <v>86</v>
      </c>
      <c r="CP458" s="828">
        <v>1</v>
      </c>
      <c r="CQ458" s="828">
        <v>1</v>
      </c>
      <c r="CR458" s="828">
        <v>1</v>
      </c>
      <c r="CS458" s="828">
        <v>1</v>
      </c>
      <c r="CT458" s="967"/>
      <c r="CU458" s="1288" t="s">
        <v>8103</v>
      </c>
      <c r="CV458" s="1294">
        <v>42</v>
      </c>
      <c r="CW458" s="1294">
        <v>36</v>
      </c>
      <c r="CX458" s="138" t="s">
        <v>7162</v>
      </c>
      <c r="CY458" s="134">
        <v>49.3</v>
      </c>
      <c r="CZ458" s="134">
        <v>9.9</v>
      </c>
      <c r="DA458" s="134" t="s">
        <v>24</v>
      </c>
      <c r="DB458" s="138" t="s">
        <v>7163</v>
      </c>
      <c r="DC458" s="134">
        <v>50.2</v>
      </c>
      <c r="DD458" s="134">
        <v>8</v>
      </c>
      <c r="DE458" s="134" t="s">
        <v>24</v>
      </c>
      <c r="DF458" s="294" t="s">
        <v>7168</v>
      </c>
      <c r="DG458" s="295" t="s">
        <v>3790</v>
      </c>
      <c r="DH458" s="1179"/>
      <c r="DI458" s="417"/>
      <c r="DJ458" s="1169"/>
      <c r="DK458" s="417"/>
      <c r="DL458" s="121"/>
      <c r="DM458" s="417"/>
      <c r="DN458" s="1169"/>
      <c r="DO458" s="1151"/>
      <c r="DP458" s="288"/>
      <c r="DQ458" s="441"/>
      <c r="DR458" s="1168"/>
      <c r="DS458" s="865"/>
      <c r="DT458" s="1171"/>
      <c r="DU458" s="417"/>
      <c r="DV458" s="1169"/>
      <c r="DW458" s="417"/>
      <c r="DX458" s="1169"/>
      <c r="DY458" s="417"/>
      <c r="DZ458" s="1169"/>
      <c r="EA458" s="417"/>
      <c r="EB458" s="304"/>
      <c r="EC458" s="312"/>
      <c r="ED458" s="1169"/>
      <c r="EE458" s="417"/>
      <c r="EF458" s="1169"/>
      <c r="EG458" s="417"/>
      <c r="EH458" s="1169"/>
      <c r="EI458" s="417"/>
      <c r="EJ458" s="1169"/>
      <c r="EK458" s="417"/>
      <c r="EL458" s="304"/>
      <c r="EM458" s="312"/>
      <c r="EN458" s="309"/>
      <c r="EO458" s="1170"/>
      <c r="EP458" s="121"/>
      <c r="EQ458" s="121"/>
      <c r="ER458" s="121"/>
      <c r="ES458" s="121"/>
      <c r="ET458" s="1276"/>
      <c r="EU458" s="1169"/>
      <c r="EV458" s="1169"/>
      <c r="EW458" s="1169"/>
      <c r="EX458" s="312"/>
      <c r="EY458" s="312"/>
      <c r="EZ458" s="1171"/>
      <c r="FA458" s="1169"/>
      <c r="FB458" s="1169"/>
      <c r="FC458" s="1169"/>
      <c r="FD458" s="1171"/>
      <c r="FE458" s="1169"/>
      <c r="FF458" s="1169"/>
      <c r="FG458" s="1169"/>
      <c r="FH458" s="312"/>
      <c r="FI458" s="312"/>
      <c r="FJ458" s="1170"/>
    </row>
    <row r="459" spans="1:166" ht="14" hidden="1" customHeight="1">
      <c r="A459" s="118" t="s">
        <v>243</v>
      </c>
      <c r="B459" s="616">
        <v>178</v>
      </c>
      <c r="C459" s="616">
        <v>61</v>
      </c>
      <c r="D459" s="616"/>
      <c r="E459" s="605" t="s">
        <v>1997</v>
      </c>
      <c r="F459" s="140" t="s">
        <v>2227</v>
      </c>
      <c r="G459" s="141">
        <v>2004</v>
      </c>
      <c r="H459" s="118">
        <v>15027792</v>
      </c>
      <c r="I459" s="118">
        <v>1</v>
      </c>
      <c r="J459" s="118"/>
      <c r="K459" s="118"/>
      <c r="L459" s="118">
        <v>1</v>
      </c>
      <c r="M459" s="118"/>
      <c r="N459" s="118">
        <v>1</v>
      </c>
      <c r="O459" s="142">
        <v>1</v>
      </c>
      <c r="P459" s="118" t="s">
        <v>662</v>
      </c>
      <c r="Q459" s="118" t="s">
        <v>1172</v>
      </c>
      <c r="R459" s="118" t="s">
        <v>1174</v>
      </c>
      <c r="S459" s="118">
        <v>1</v>
      </c>
      <c r="T459" s="118"/>
      <c r="U459" s="118"/>
      <c r="V459" s="118"/>
      <c r="W459" s="118" t="s">
        <v>665</v>
      </c>
      <c r="X459" s="118" t="s">
        <v>663</v>
      </c>
      <c r="Y459" s="118"/>
      <c r="Z459" s="118" t="s">
        <v>664</v>
      </c>
      <c r="AA459" s="118"/>
      <c r="AB459" s="118"/>
      <c r="AC459" s="145"/>
      <c r="AD459" s="573">
        <v>1</v>
      </c>
      <c r="AE459" s="573">
        <v>2</v>
      </c>
      <c r="AF459" s="159">
        <v>1</v>
      </c>
      <c r="AG459" s="160" t="s">
        <v>3157</v>
      </c>
      <c r="AH459" s="704" t="s">
        <v>7519</v>
      </c>
      <c r="AI459" s="122">
        <v>2</v>
      </c>
      <c r="AJ459" s="485" t="s">
        <v>5189</v>
      </c>
      <c r="AK459" s="204" t="s">
        <v>5208</v>
      </c>
      <c r="AL459" s="192">
        <v>1</v>
      </c>
      <c r="AM459" s="205">
        <v>0</v>
      </c>
      <c r="AN459" s="122">
        <f>Table66[[#This Row],[Data_Subjects_n_ptsd]]+Table66[[#This Row],[Data_Subjects_n_control]]</f>
        <v>47</v>
      </c>
      <c r="AO459" s="122">
        <v>24</v>
      </c>
      <c r="AP459" s="122">
        <v>23</v>
      </c>
      <c r="AQ459" s="122" t="s">
        <v>803</v>
      </c>
      <c r="AR459" s="150" t="s">
        <v>803</v>
      </c>
      <c r="AS459" s="150">
        <v>51</v>
      </c>
      <c r="AT459" s="150">
        <v>2.5</v>
      </c>
      <c r="AU459" s="150">
        <v>52.4</v>
      </c>
      <c r="AV459" s="150">
        <v>3.1</v>
      </c>
      <c r="AW459" s="150" t="s">
        <v>5151</v>
      </c>
      <c r="AX459" s="122"/>
      <c r="AY459" s="122"/>
      <c r="AZ459" s="754" t="s">
        <v>1874</v>
      </c>
      <c r="BA459" s="122" t="s">
        <v>24</v>
      </c>
      <c r="BB459" s="122" t="s">
        <v>24</v>
      </c>
      <c r="BC459" s="122" t="s">
        <v>5150</v>
      </c>
      <c r="BD459" s="754" t="s">
        <v>7521</v>
      </c>
      <c r="BE459" s="187">
        <v>0</v>
      </c>
      <c r="BF459" s="122" t="s">
        <v>3835</v>
      </c>
      <c r="BG459" s="122" t="s">
        <v>5149</v>
      </c>
      <c r="BH459" s="588"/>
      <c r="BI459" s="588"/>
      <c r="BJ459" s="161"/>
      <c r="BK459" s="161"/>
      <c r="BL459" s="161" t="s">
        <v>5207</v>
      </c>
      <c r="BM459" s="161"/>
      <c r="BN459" s="161"/>
      <c r="BO459" s="161"/>
      <c r="BP459" s="161">
        <v>1</v>
      </c>
      <c r="BQ459" s="161"/>
      <c r="BR459" s="161"/>
      <c r="BS459" s="161"/>
      <c r="BT459" s="161"/>
      <c r="BU459" s="161"/>
      <c r="BV459" s="161"/>
      <c r="BW459" s="596" t="s">
        <v>5156</v>
      </c>
      <c r="BX459" s="162" t="s">
        <v>6621</v>
      </c>
      <c r="BY459" s="797" t="s">
        <v>7617</v>
      </c>
      <c r="BZ459" s="790" t="s">
        <v>803</v>
      </c>
      <c r="CA459" s="811">
        <v>2</v>
      </c>
      <c r="CB459" s="660" t="s">
        <v>7556</v>
      </c>
      <c r="CC459" s="811" t="s">
        <v>24</v>
      </c>
      <c r="CD459" s="150" t="s">
        <v>1876</v>
      </c>
      <c r="CE459" s="150">
        <v>2</v>
      </c>
      <c r="CF459" s="400"/>
      <c r="CG459" s="150" t="s">
        <v>7970</v>
      </c>
      <c r="CH459" s="753" t="s">
        <v>8211</v>
      </c>
      <c r="CI459" s="150" t="s">
        <v>24</v>
      </c>
      <c r="CJ459" s="150"/>
      <c r="CK459" s="150" t="s">
        <v>7973</v>
      </c>
      <c r="CL459" s="150" t="s">
        <v>8213</v>
      </c>
      <c r="CM459" s="258" t="s">
        <v>5204</v>
      </c>
      <c r="CN459" s="257">
        <v>0</v>
      </c>
      <c r="CO459" s="829">
        <v>55</v>
      </c>
      <c r="CP459" s="829">
        <v>1</v>
      </c>
      <c r="CQ459" s="829">
        <v>11</v>
      </c>
      <c r="CR459" s="829">
        <v>1</v>
      </c>
      <c r="CS459" s="829">
        <v>1</v>
      </c>
      <c r="CT459" s="968"/>
      <c r="CU459" s="1288" t="s">
        <v>8103</v>
      </c>
      <c r="CV459" s="1294">
        <v>22</v>
      </c>
      <c r="CW459" s="1294">
        <v>24</v>
      </c>
      <c r="CX459" s="151" t="s">
        <v>5169</v>
      </c>
      <c r="CY459" s="150">
        <v>28.3</v>
      </c>
      <c r="CZ459" s="150">
        <v>3</v>
      </c>
      <c r="DA459" s="150" t="s">
        <v>24</v>
      </c>
      <c r="DB459" s="151" t="s">
        <v>5171</v>
      </c>
      <c r="DC459" s="150">
        <v>27.9</v>
      </c>
      <c r="DD459" s="150">
        <v>2.5</v>
      </c>
      <c r="DE459" s="150" t="s">
        <v>24</v>
      </c>
      <c r="DF459" s="290" t="s">
        <v>3229</v>
      </c>
      <c r="DG459" s="502" t="s">
        <v>5197</v>
      </c>
      <c r="DH459" s="1166"/>
      <c r="DI459" s="1164"/>
      <c r="DJ459" s="1164"/>
      <c r="DK459" s="1164"/>
      <c r="DL459" s="1166"/>
      <c r="DM459" s="1164"/>
      <c r="DN459" s="1164"/>
      <c r="DO459" s="1164"/>
      <c r="DP459" s="290"/>
      <c r="DQ459" s="502"/>
      <c r="DR459" s="1168"/>
      <c r="DS459" s="865"/>
      <c r="DT459" s="1166" t="s">
        <v>5169</v>
      </c>
      <c r="DU459" s="1164">
        <v>28.3</v>
      </c>
      <c r="DV459" s="1164">
        <v>3</v>
      </c>
      <c r="DW459" s="1164" t="s">
        <v>24</v>
      </c>
      <c r="DX459" s="1166" t="s">
        <v>5171</v>
      </c>
      <c r="DY459" s="1164">
        <v>27.9</v>
      </c>
      <c r="DZ459" s="1164">
        <v>2.5</v>
      </c>
      <c r="EA459" s="1164" t="s">
        <v>24</v>
      </c>
      <c r="EB459" s="1214" t="s">
        <v>3229</v>
      </c>
      <c r="EC459" s="1203" t="s">
        <v>5197</v>
      </c>
      <c r="ED459" s="1164" t="s">
        <v>24</v>
      </c>
      <c r="EE459" s="1164" t="s">
        <v>24</v>
      </c>
      <c r="EF459" s="1164" t="s">
        <v>24</v>
      </c>
      <c r="EG459" s="1164" t="s">
        <v>24</v>
      </c>
      <c r="EH459" s="1164" t="s">
        <v>24</v>
      </c>
      <c r="EI459" s="1164" t="s">
        <v>24</v>
      </c>
      <c r="EJ459" s="1164" t="s">
        <v>24</v>
      </c>
      <c r="EK459" s="1164" t="s">
        <v>24</v>
      </c>
      <c r="EL459" s="311" t="s">
        <v>24</v>
      </c>
      <c r="EM459" s="313" t="s">
        <v>24</v>
      </c>
      <c r="EN459" s="1167" t="s">
        <v>24</v>
      </c>
      <c r="EO459" s="1165" t="s">
        <v>24</v>
      </c>
      <c r="EP459" s="1164"/>
      <c r="EQ459" s="1164"/>
      <c r="ER459" s="1164"/>
      <c r="ES459" s="1164"/>
      <c r="ET459" s="1166"/>
      <c r="EU459" s="1164"/>
      <c r="EV459" s="1164"/>
      <c r="EW459" s="1164"/>
      <c r="EX459" s="313"/>
      <c r="EY459" s="313"/>
      <c r="EZ459" s="1166"/>
      <c r="FA459" s="1164"/>
      <c r="FB459" s="1164"/>
      <c r="FC459" s="1164"/>
      <c r="FD459" s="1166"/>
      <c r="FE459" s="1164"/>
      <c r="FF459" s="1164"/>
      <c r="FG459" s="1164"/>
      <c r="FH459" s="313"/>
      <c r="FI459" s="313"/>
      <c r="FJ459" s="1165"/>
    </row>
    <row r="460" spans="1:166" ht="14" hidden="1" customHeight="1">
      <c r="A460" s="79" t="s">
        <v>243</v>
      </c>
      <c r="B460" s="362">
        <v>178</v>
      </c>
      <c r="C460" s="362">
        <v>61</v>
      </c>
      <c r="D460" s="362"/>
      <c r="E460" s="604" t="s">
        <v>1997</v>
      </c>
      <c r="F460" s="124" t="s">
        <v>2227</v>
      </c>
      <c r="G460" s="125">
        <v>2004</v>
      </c>
      <c r="H460" s="79">
        <v>15027792</v>
      </c>
      <c r="I460" s="79">
        <v>1</v>
      </c>
      <c r="J460" s="126"/>
      <c r="K460" s="127"/>
      <c r="L460" s="79">
        <v>1</v>
      </c>
      <c r="M460" s="79"/>
      <c r="N460" s="79">
        <v>1</v>
      </c>
      <c r="O460" s="128">
        <v>1</v>
      </c>
      <c r="P460" s="79" t="s">
        <v>662</v>
      </c>
      <c r="Q460" s="79" t="s">
        <v>1172</v>
      </c>
      <c r="R460" s="79" t="s">
        <v>1174</v>
      </c>
      <c r="S460" s="79">
        <v>1</v>
      </c>
      <c r="T460" s="79"/>
      <c r="U460" s="79"/>
      <c r="V460" s="79"/>
      <c r="W460" s="79" t="s">
        <v>665</v>
      </c>
      <c r="X460" s="79" t="s">
        <v>663</v>
      </c>
      <c r="Y460" s="79"/>
      <c r="Z460" s="79" t="s">
        <v>664</v>
      </c>
      <c r="AA460" s="79"/>
      <c r="AB460" s="79"/>
      <c r="AC460" s="506"/>
      <c r="AD460" s="573">
        <v>1</v>
      </c>
      <c r="AE460" s="573">
        <v>2</v>
      </c>
      <c r="AF460" s="154">
        <v>1</v>
      </c>
      <c r="AG460" s="155" t="s">
        <v>3157</v>
      </c>
      <c r="AH460" s="704" t="s">
        <v>7519</v>
      </c>
      <c r="AI460" s="121">
        <v>2</v>
      </c>
      <c r="AJ460" s="484" t="s">
        <v>5189</v>
      </c>
      <c r="AK460" s="202" t="s">
        <v>5208</v>
      </c>
      <c r="AL460" s="192">
        <v>1</v>
      </c>
      <c r="AM460" s="203">
        <v>0</v>
      </c>
      <c r="AN460" s="121">
        <f>Table66[[#This Row],[Data_Subjects_n_ptsd]]+Table66[[#This Row],[Data_Subjects_n_control]]</f>
        <v>47</v>
      </c>
      <c r="AO460" s="121">
        <v>24</v>
      </c>
      <c r="AP460" s="121">
        <v>23</v>
      </c>
      <c r="AQ460" s="121" t="s">
        <v>803</v>
      </c>
      <c r="AR460" s="134" t="s">
        <v>803</v>
      </c>
      <c r="AS460" s="134">
        <v>51</v>
      </c>
      <c r="AT460" s="134">
        <v>2.5</v>
      </c>
      <c r="AU460" s="134">
        <v>52.4</v>
      </c>
      <c r="AV460" s="134">
        <v>3.1</v>
      </c>
      <c r="AW460" s="134" t="s">
        <v>5151</v>
      </c>
      <c r="AX460" s="121"/>
      <c r="AY460" s="121"/>
      <c r="AZ460" s="754" t="s">
        <v>1874</v>
      </c>
      <c r="BA460" s="121" t="s">
        <v>24</v>
      </c>
      <c r="BB460" s="121" t="s">
        <v>24</v>
      </c>
      <c r="BC460" s="121" t="s">
        <v>5150</v>
      </c>
      <c r="BD460" s="754" t="s">
        <v>7521</v>
      </c>
      <c r="BE460" s="187">
        <v>0</v>
      </c>
      <c r="BF460" s="121" t="s">
        <v>3835</v>
      </c>
      <c r="BG460" s="121" t="s">
        <v>5149</v>
      </c>
      <c r="BH460" s="594"/>
      <c r="BI460" s="594"/>
      <c r="BJ460" s="156"/>
      <c r="BK460" s="156"/>
      <c r="BL460" s="156" t="s">
        <v>5207</v>
      </c>
      <c r="BM460" s="156"/>
      <c r="BN460" s="156"/>
      <c r="BO460" s="156"/>
      <c r="BP460" s="156">
        <v>1</v>
      </c>
      <c r="BQ460" s="156"/>
      <c r="BR460" s="156"/>
      <c r="BS460" s="156"/>
      <c r="BT460" s="156"/>
      <c r="BU460" s="156"/>
      <c r="BV460" s="156"/>
      <c r="BW460" s="595" t="s">
        <v>5157</v>
      </c>
      <c r="BX460" s="157" t="s">
        <v>6611</v>
      </c>
      <c r="BY460" s="797" t="s">
        <v>7616</v>
      </c>
      <c r="BZ460" s="789" t="s">
        <v>7610</v>
      </c>
      <c r="CA460" s="811">
        <v>2</v>
      </c>
      <c r="CB460" s="660" t="s">
        <v>7556</v>
      </c>
      <c r="CC460" s="660" t="s">
        <v>7380</v>
      </c>
      <c r="CD460" s="134" t="s">
        <v>1876</v>
      </c>
      <c r="CE460" s="134">
        <v>2</v>
      </c>
      <c r="CF460" s="400"/>
      <c r="CG460" s="134" t="s">
        <v>5158</v>
      </c>
      <c r="CH460" s="753" t="s">
        <v>7313</v>
      </c>
      <c r="CI460" s="134" t="s">
        <v>24</v>
      </c>
      <c r="CJ460" s="134"/>
      <c r="CK460" s="134" t="s">
        <v>8183</v>
      </c>
      <c r="CL460" s="168" t="s">
        <v>8199</v>
      </c>
      <c r="CM460" s="259" t="s">
        <v>5203</v>
      </c>
      <c r="CN460" s="454">
        <v>0</v>
      </c>
      <c r="CO460" s="829">
        <v>55</v>
      </c>
      <c r="CP460" s="829">
        <v>1</v>
      </c>
      <c r="CQ460" s="829">
        <v>6</v>
      </c>
      <c r="CR460" s="829">
        <v>1</v>
      </c>
      <c r="CS460" s="829">
        <v>1</v>
      </c>
      <c r="CT460" s="967"/>
      <c r="CU460" s="1288" t="s">
        <v>8103</v>
      </c>
      <c r="CV460" s="1294">
        <v>22</v>
      </c>
      <c r="CW460" s="1294">
        <v>24</v>
      </c>
      <c r="CX460" s="138" t="s">
        <v>5153</v>
      </c>
      <c r="CY460" s="134">
        <v>12.1</v>
      </c>
      <c r="CZ460" s="134">
        <v>2.2999999999999998</v>
      </c>
      <c r="DA460" s="134" t="s">
        <v>24</v>
      </c>
      <c r="DB460" s="138" t="s">
        <v>5173</v>
      </c>
      <c r="DC460" s="134">
        <v>12.1</v>
      </c>
      <c r="DD460" s="134">
        <v>2.2000000000000002</v>
      </c>
      <c r="DE460" s="134" t="s">
        <v>24</v>
      </c>
      <c r="DF460" s="435" t="s">
        <v>3229</v>
      </c>
      <c r="DG460" s="552" t="s">
        <v>5192</v>
      </c>
      <c r="DH460" s="1276"/>
      <c r="DI460" s="121"/>
      <c r="DJ460" s="1169"/>
      <c r="DK460" s="121"/>
      <c r="DL460" s="1171"/>
      <c r="DM460" s="121"/>
      <c r="DN460" s="1169"/>
      <c r="DO460" s="121"/>
      <c r="DP460" s="288"/>
      <c r="DQ460" s="501"/>
      <c r="DR460" s="280"/>
      <c r="DS460" s="865"/>
      <c r="DT460" s="1171"/>
      <c r="DU460" s="121"/>
      <c r="DV460" s="1169"/>
      <c r="DW460" s="121"/>
      <c r="DX460" s="1171"/>
      <c r="DY460" s="121"/>
      <c r="DZ460" s="1169"/>
      <c r="EA460" s="121"/>
      <c r="EB460" s="1226"/>
      <c r="EC460" s="1250"/>
      <c r="ED460" s="1169"/>
      <c r="EE460" s="121"/>
      <c r="EF460" s="1169"/>
      <c r="EG460" s="121"/>
      <c r="EH460" s="1169"/>
      <c r="EI460" s="121"/>
      <c r="EJ460" s="1169"/>
      <c r="EK460" s="121"/>
      <c r="EL460" s="1226"/>
      <c r="EM460" s="1250"/>
      <c r="EN460" s="276"/>
      <c r="EO460" s="277"/>
      <c r="EP460" s="1169"/>
      <c r="EQ460" s="1169"/>
      <c r="ER460" s="1169"/>
      <c r="ES460" s="1169"/>
      <c r="ET460" s="1171"/>
      <c r="EU460" s="1169"/>
      <c r="EV460" s="1169"/>
      <c r="EW460" s="1169"/>
      <c r="EX460" s="312"/>
      <c r="EY460" s="312"/>
      <c r="EZ460" s="1171"/>
      <c r="FA460" s="1169"/>
      <c r="FB460" s="1169"/>
      <c r="FC460" s="1169"/>
      <c r="FD460" s="1171"/>
      <c r="FE460" s="1169"/>
      <c r="FF460" s="1169"/>
      <c r="FG460" s="1169"/>
      <c r="FH460" s="312"/>
      <c r="FI460" s="312"/>
      <c r="FJ460" s="1170"/>
    </row>
    <row r="461" spans="1:166" ht="14" hidden="1" customHeight="1">
      <c r="A461" s="79" t="s">
        <v>361</v>
      </c>
      <c r="B461" s="362">
        <v>262</v>
      </c>
      <c r="C461" s="362">
        <v>95</v>
      </c>
      <c r="D461" s="362"/>
      <c r="E461" s="604" t="s">
        <v>2047</v>
      </c>
      <c r="F461" s="124" t="s">
        <v>2290</v>
      </c>
      <c r="G461" s="125">
        <v>1995</v>
      </c>
      <c r="H461" s="79">
        <v>7802106</v>
      </c>
      <c r="I461" s="79">
        <v>1</v>
      </c>
      <c r="J461" s="126"/>
      <c r="K461" s="127"/>
      <c r="L461" s="79">
        <v>1</v>
      </c>
      <c r="M461" s="79"/>
      <c r="N461" s="79">
        <v>1</v>
      </c>
      <c r="O461" s="128">
        <v>1</v>
      </c>
      <c r="P461" s="79" t="s">
        <v>931</v>
      </c>
      <c r="Q461" s="79" t="s">
        <v>1154</v>
      </c>
      <c r="R461" s="79" t="s">
        <v>819</v>
      </c>
      <c r="S461" s="79">
        <v>1</v>
      </c>
      <c r="T461" s="79"/>
      <c r="U461" s="79"/>
      <c r="V461" s="79"/>
      <c r="W461" s="79" t="s">
        <v>930</v>
      </c>
      <c r="X461" s="79"/>
      <c r="Y461" s="79"/>
      <c r="Z461" s="79"/>
      <c r="AA461" s="79"/>
      <c r="AB461" s="79"/>
      <c r="AC461" s="506"/>
      <c r="AD461" s="573">
        <v>1</v>
      </c>
      <c r="AE461" s="573">
        <v>2</v>
      </c>
      <c r="AF461" s="154">
        <v>1</v>
      </c>
      <c r="AG461" s="155"/>
      <c r="AH461" s="704"/>
      <c r="AI461" s="121">
        <v>2</v>
      </c>
      <c r="AJ461" s="484" t="s">
        <v>6152</v>
      </c>
      <c r="AK461" s="202"/>
      <c r="AL461" s="192"/>
      <c r="AM461" s="203">
        <v>0</v>
      </c>
      <c r="AN461" s="121">
        <f>Table66[[#This Row],[Data_Subjects_n_ptsd]]+Table66[[#This Row],[Data_Subjects_n_control]]</f>
        <v>32</v>
      </c>
      <c r="AO461" s="121">
        <v>20</v>
      </c>
      <c r="AP461" s="121">
        <v>12</v>
      </c>
      <c r="AQ461" s="121" t="s">
        <v>803</v>
      </c>
      <c r="AR461" s="121" t="s">
        <v>803</v>
      </c>
      <c r="AS461" s="121">
        <v>44.7</v>
      </c>
      <c r="AT461" s="121">
        <v>3.4</v>
      </c>
      <c r="AU461" s="121">
        <v>43.9</v>
      </c>
      <c r="AV461" s="121">
        <v>7.3</v>
      </c>
      <c r="AW461" s="121" t="s">
        <v>1874</v>
      </c>
      <c r="AX461" s="121"/>
      <c r="AY461" s="121"/>
      <c r="AZ461" s="754" t="s">
        <v>1874</v>
      </c>
      <c r="BA461" s="121" t="s">
        <v>24</v>
      </c>
      <c r="BB461" s="121" t="s">
        <v>24</v>
      </c>
      <c r="BC461" s="121" t="s">
        <v>7534</v>
      </c>
      <c r="BD461" s="754" t="s">
        <v>7522</v>
      </c>
      <c r="BE461" s="187">
        <v>0</v>
      </c>
      <c r="BF461" s="121" t="s">
        <v>3835</v>
      </c>
      <c r="BG461" s="121" t="s">
        <v>6123</v>
      </c>
      <c r="BH461" s="594"/>
      <c r="BI461" s="594"/>
      <c r="BJ461" s="156"/>
      <c r="BK461" s="156"/>
      <c r="BL461" s="156"/>
      <c r="BM461" s="156"/>
      <c r="BN461" s="156"/>
      <c r="BO461" s="156"/>
      <c r="BP461" s="156">
        <v>1</v>
      </c>
      <c r="BQ461" s="156"/>
      <c r="BR461" s="156"/>
      <c r="BS461" s="156"/>
      <c r="BT461" s="156" t="s">
        <v>4727</v>
      </c>
      <c r="BU461" s="156"/>
      <c r="BV461" s="156"/>
      <c r="BW461" s="595" t="s">
        <v>4208</v>
      </c>
      <c r="BX461" s="157" t="s">
        <v>6611</v>
      </c>
      <c r="BY461" s="797" t="s">
        <v>7616</v>
      </c>
      <c r="BZ461" s="789" t="s">
        <v>7610</v>
      </c>
      <c r="CA461" s="660">
        <v>2</v>
      </c>
      <c r="CB461" s="660" t="s">
        <v>7556</v>
      </c>
      <c r="CC461" s="660" t="s">
        <v>7380</v>
      </c>
      <c r="CD461" s="134" t="s">
        <v>1876</v>
      </c>
      <c r="CE461" s="134">
        <v>2</v>
      </c>
      <c r="CF461" s="400"/>
      <c r="CG461" s="134" t="s">
        <v>6124</v>
      </c>
      <c r="CH461" s="753" t="s">
        <v>7313</v>
      </c>
      <c r="CI461" s="134" t="s">
        <v>24</v>
      </c>
      <c r="CJ461" s="134"/>
      <c r="CK461" s="168" t="s">
        <v>8195</v>
      </c>
      <c r="CL461" s="168" t="s">
        <v>8199</v>
      </c>
      <c r="CM461" s="259" t="s">
        <v>6151</v>
      </c>
      <c r="CN461" s="454">
        <v>0</v>
      </c>
      <c r="CO461" s="828">
        <v>89</v>
      </c>
      <c r="CP461" s="828">
        <v>1</v>
      </c>
      <c r="CQ461" s="828">
        <v>2</v>
      </c>
      <c r="CR461" s="828">
        <v>1</v>
      </c>
      <c r="CS461" s="828">
        <v>1</v>
      </c>
      <c r="CT461" s="967"/>
      <c r="CU461" s="1291" t="s">
        <v>8102</v>
      </c>
      <c r="CV461" s="1295">
        <v>44</v>
      </c>
      <c r="CW461" s="1295">
        <v>38</v>
      </c>
      <c r="CX461" s="138" t="s">
        <v>6126</v>
      </c>
      <c r="CY461" s="134">
        <v>9.1</v>
      </c>
      <c r="CZ461" s="134">
        <v>2.9</v>
      </c>
      <c r="DA461" s="134" t="s">
        <v>24</v>
      </c>
      <c r="DB461" s="138" t="s">
        <v>6129</v>
      </c>
      <c r="DC461" s="134">
        <v>10.199999999999999</v>
      </c>
      <c r="DD461" s="134">
        <v>3.1</v>
      </c>
      <c r="DE461" s="134" t="s">
        <v>24</v>
      </c>
      <c r="DF461" s="435" t="s">
        <v>8083</v>
      </c>
      <c r="DG461" s="437" t="s">
        <v>6140</v>
      </c>
      <c r="DH461" s="1276"/>
      <c r="DI461" s="121"/>
      <c r="DJ461" s="1169"/>
      <c r="DK461" s="121"/>
      <c r="DL461" s="1171"/>
      <c r="DM461" s="121"/>
      <c r="DN461" s="1169"/>
      <c r="DO461" s="121"/>
      <c r="DP461" s="288"/>
      <c r="DQ461" s="289"/>
      <c r="DR461" s="1168"/>
      <c r="DS461" s="865"/>
      <c r="DT461" s="1171"/>
      <c r="DU461" s="121"/>
      <c r="DV461" s="1169"/>
      <c r="DW461" s="121"/>
      <c r="DX461" s="1171"/>
      <c r="DY461" s="121"/>
      <c r="DZ461" s="1169"/>
      <c r="EA461" s="121"/>
      <c r="EB461" s="304"/>
      <c r="EC461" s="312"/>
      <c r="ED461" s="1171"/>
      <c r="EE461" s="121"/>
      <c r="EF461" s="1169"/>
      <c r="EG461" s="121"/>
      <c r="EH461" s="1171"/>
      <c r="EI461" s="121"/>
      <c r="EJ461" s="1169"/>
      <c r="EK461" s="121"/>
      <c r="EL461" s="304"/>
      <c r="EM461" s="312"/>
      <c r="EN461" s="309"/>
      <c r="EO461" s="1170"/>
      <c r="EP461" s="121"/>
      <c r="EQ461" s="121"/>
      <c r="ER461" s="121"/>
      <c r="ES461" s="121"/>
      <c r="ET461" s="121"/>
      <c r="EU461" s="121"/>
      <c r="EV461" s="121"/>
      <c r="EW461" s="121"/>
      <c r="EX461" s="301"/>
      <c r="EY461" s="301"/>
      <c r="EZ461" s="1276"/>
      <c r="FA461" s="121"/>
      <c r="FB461" s="121"/>
      <c r="FC461" s="121"/>
      <c r="FD461" s="1276"/>
      <c r="FE461" s="121"/>
      <c r="FF461" s="121"/>
      <c r="FG461" s="121"/>
      <c r="FH461" s="301"/>
      <c r="FI461" s="301"/>
      <c r="FJ461" s="1170"/>
    </row>
    <row r="462" spans="1:166" ht="14" hidden="1" customHeight="1">
      <c r="A462" s="118" t="s">
        <v>243</v>
      </c>
      <c r="B462" s="616">
        <v>178</v>
      </c>
      <c r="C462" s="616">
        <v>61</v>
      </c>
      <c r="D462" s="616"/>
      <c r="E462" s="605" t="s">
        <v>1997</v>
      </c>
      <c r="F462" s="140" t="s">
        <v>2227</v>
      </c>
      <c r="G462" s="141">
        <v>2004</v>
      </c>
      <c r="H462" s="118">
        <v>15027792</v>
      </c>
      <c r="I462" s="118">
        <v>1</v>
      </c>
      <c r="J462" s="118"/>
      <c r="K462" s="118"/>
      <c r="L462" s="118">
        <v>1</v>
      </c>
      <c r="M462" s="118"/>
      <c r="N462" s="118">
        <v>1</v>
      </c>
      <c r="O462" s="142">
        <v>1</v>
      </c>
      <c r="P462" s="118" t="s">
        <v>662</v>
      </c>
      <c r="Q462" s="118" t="s">
        <v>1172</v>
      </c>
      <c r="R462" s="118" t="s">
        <v>1174</v>
      </c>
      <c r="S462" s="118">
        <v>1</v>
      </c>
      <c r="T462" s="118"/>
      <c r="U462" s="118"/>
      <c r="V462" s="118"/>
      <c r="W462" s="118" t="s">
        <v>665</v>
      </c>
      <c r="X462" s="118" t="s">
        <v>663</v>
      </c>
      <c r="Y462" s="118"/>
      <c r="Z462" s="118" t="s">
        <v>664</v>
      </c>
      <c r="AA462" s="118"/>
      <c r="AB462" s="118"/>
      <c r="AC462" s="145"/>
      <c r="AD462" s="573">
        <v>1</v>
      </c>
      <c r="AE462" s="573">
        <v>2</v>
      </c>
      <c r="AF462" s="159">
        <v>1</v>
      </c>
      <c r="AG462" s="160" t="s">
        <v>3157</v>
      </c>
      <c r="AH462" s="704" t="s">
        <v>7519</v>
      </c>
      <c r="AI462" s="122">
        <v>2</v>
      </c>
      <c r="AJ462" s="485" t="s">
        <v>5189</v>
      </c>
      <c r="AK462" s="204" t="s">
        <v>5208</v>
      </c>
      <c r="AL462" s="192">
        <v>1</v>
      </c>
      <c r="AM462" s="205">
        <v>0</v>
      </c>
      <c r="AN462" s="122">
        <f>Table66[[#This Row],[Data_Subjects_n_ptsd]]+Table66[[#This Row],[Data_Subjects_n_control]]</f>
        <v>47</v>
      </c>
      <c r="AO462" s="122">
        <v>24</v>
      </c>
      <c r="AP462" s="122">
        <v>23</v>
      </c>
      <c r="AQ462" s="122" t="s">
        <v>803</v>
      </c>
      <c r="AR462" s="150" t="s">
        <v>803</v>
      </c>
      <c r="AS462" s="150">
        <v>51</v>
      </c>
      <c r="AT462" s="150">
        <v>2.5</v>
      </c>
      <c r="AU462" s="150">
        <v>52.4</v>
      </c>
      <c r="AV462" s="150">
        <v>3.1</v>
      </c>
      <c r="AW462" s="150" t="s">
        <v>5151</v>
      </c>
      <c r="AX462" s="122"/>
      <c r="AY462" s="122"/>
      <c r="AZ462" s="754" t="s">
        <v>1874</v>
      </c>
      <c r="BA462" s="122" t="s">
        <v>24</v>
      </c>
      <c r="BB462" s="122" t="s">
        <v>24</v>
      </c>
      <c r="BC462" s="122" t="s">
        <v>5150</v>
      </c>
      <c r="BD462" s="754" t="s">
        <v>7521</v>
      </c>
      <c r="BE462" s="187">
        <v>0</v>
      </c>
      <c r="BF462" s="122" t="s">
        <v>3835</v>
      </c>
      <c r="BG462" s="122" t="s">
        <v>5149</v>
      </c>
      <c r="BH462" s="588"/>
      <c r="BI462" s="588"/>
      <c r="BJ462" s="161"/>
      <c r="BK462" s="161"/>
      <c r="BL462" s="161" t="s">
        <v>5207</v>
      </c>
      <c r="BM462" s="161"/>
      <c r="BN462" s="161"/>
      <c r="BO462" s="161"/>
      <c r="BP462" s="161">
        <v>1</v>
      </c>
      <c r="BQ462" s="161"/>
      <c r="BR462" s="161"/>
      <c r="BS462" s="161"/>
      <c r="BT462" s="161"/>
      <c r="BU462" s="161"/>
      <c r="BV462" s="161"/>
      <c r="BW462" s="596" t="s">
        <v>5162</v>
      </c>
      <c r="BX462" s="162" t="s">
        <v>6611</v>
      </c>
      <c r="BY462" s="797" t="s">
        <v>7616</v>
      </c>
      <c r="BZ462" s="789" t="s">
        <v>7610</v>
      </c>
      <c r="CA462" s="811">
        <v>2</v>
      </c>
      <c r="CB462" s="660" t="s">
        <v>7556</v>
      </c>
      <c r="CC462" s="660" t="s">
        <v>7380</v>
      </c>
      <c r="CD462" s="150" t="s">
        <v>1876</v>
      </c>
      <c r="CE462" s="150">
        <v>2</v>
      </c>
      <c r="CF462" s="400"/>
      <c r="CG462" s="150" t="s">
        <v>5158</v>
      </c>
      <c r="CH462" s="753" t="s">
        <v>7313</v>
      </c>
      <c r="CI462" s="150" t="s">
        <v>24</v>
      </c>
      <c r="CJ462" s="150"/>
      <c r="CK462" s="150" t="s">
        <v>8207</v>
      </c>
      <c r="CL462" s="150" t="s">
        <v>8208</v>
      </c>
      <c r="CM462" s="258" t="s">
        <v>5205</v>
      </c>
      <c r="CN462" s="257">
        <v>0</v>
      </c>
      <c r="CO462" s="829">
        <v>55</v>
      </c>
      <c r="CP462" s="829">
        <v>1</v>
      </c>
      <c r="CQ462" s="829">
        <v>4</v>
      </c>
      <c r="CR462" s="829">
        <v>1</v>
      </c>
      <c r="CS462" s="829">
        <v>1</v>
      </c>
      <c r="CT462" s="968"/>
      <c r="CU462" s="1288" t="s">
        <v>8103</v>
      </c>
      <c r="CV462" s="1294">
        <v>22</v>
      </c>
      <c r="CW462" s="1294">
        <v>24</v>
      </c>
      <c r="CX462" s="151" t="s">
        <v>5180</v>
      </c>
      <c r="CY462" s="150">
        <v>95.1</v>
      </c>
      <c r="CZ462" s="150">
        <v>4.3</v>
      </c>
      <c r="DA462" s="150" t="s">
        <v>24</v>
      </c>
      <c r="DB462" s="151" t="s">
        <v>5186</v>
      </c>
      <c r="DC462" s="150">
        <v>93.9</v>
      </c>
      <c r="DD462" s="150">
        <v>6.1</v>
      </c>
      <c r="DE462" s="150" t="s">
        <v>24</v>
      </c>
      <c r="DF462" s="290" t="s">
        <v>3229</v>
      </c>
      <c r="DG462" s="502" t="s">
        <v>5201</v>
      </c>
      <c r="DH462" s="1178"/>
      <c r="DI462" s="500"/>
      <c r="DJ462" s="1164"/>
      <c r="DK462" s="500"/>
      <c r="DL462" s="1166"/>
      <c r="DM462" s="500"/>
      <c r="DN462" s="1164"/>
      <c r="DO462" s="1150"/>
      <c r="DP462" s="290"/>
      <c r="DQ462" s="1117"/>
      <c r="DR462" s="1168"/>
      <c r="DS462" s="865"/>
      <c r="DT462" s="1166"/>
      <c r="DU462" s="500"/>
      <c r="DV462" s="1164"/>
      <c r="DW462" s="500"/>
      <c r="DX462" s="1166"/>
      <c r="DY462" s="500"/>
      <c r="DZ462" s="1164"/>
      <c r="EA462" s="500"/>
      <c r="EB462" s="1214"/>
      <c r="EC462" s="1203"/>
      <c r="ED462" s="1166"/>
      <c r="EE462" s="500"/>
      <c r="EF462" s="1164"/>
      <c r="EG462" s="500"/>
      <c r="EH462" s="1166"/>
      <c r="EI462" s="500"/>
      <c r="EJ462" s="1164"/>
      <c r="EK462" s="500"/>
      <c r="EL462" s="1214"/>
      <c r="EM462" s="1203"/>
      <c r="EN462" s="1167"/>
      <c r="EO462" s="1165"/>
      <c r="EP462" s="1164"/>
      <c r="EQ462" s="1164"/>
      <c r="ER462" s="1164"/>
      <c r="ES462" s="1164"/>
      <c r="ET462" s="1166"/>
      <c r="EU462" s="1164"/>
      <c r="EV462" s="1164"/>
      <c r="EW462" s="1164"/>
      <c r="EX462" s="313"/>
      <c r="EY462" s="313"/>
      <c r="EZ462" s="1166"/>
      <c r="FA462" s="1164"/>
      <c r="FB462" s="1164"/>
      <c r="FC462" s="1164"/>
      <c r="FD462" s="1166"/>
      <c r="FE462" s="1164"/>
      <c r="FF462" s="1164"/>
      <c r="FG462" s="1164"/>
      <c r="FH462" s="313"/>
      <c r="FI462" s="313"/>
      <c r="FJ462" s="279"/>
    </row>
    <row r="463" spans="1:166" ht="14" hidden="1" customHeight="1">
      <c r="A463" s="79" t="s">
        <v>313</v>
      </c>
      <c r="B463" s="362">
        <v>222</v>
      </c>
      <c r="C463" s="362">
        <v>80</v>
      </c>
      <c r="D463" s="362"/>
      <c r="E463" s="604" t="s">
        <v>2027</v>
      </c>
      <c r="F463" s="124" t="s">
        <v>2260</v>
      </c>
      <c r="G463" s="125">
        <v>2015</v>
      </c>
      <c r="H463" s="79">
        <v>25847622</v>
      </c>
      <c r="I463" s="79">
        <v>1</v>
      </c>
      <c r="J463" s="126"/>
      <c r="K463" s="127"/>
      <c r="L463" s="79">
        <v>1</v>
      </c>
      <c r="M463" s="79"/>
      <c r="N463" s="79">
        <v>1</v>
      </c>
      <c r="O463" s="128">
        <v>1</v>
      </c>
      <c r="P463" s="79" t="s">
        <v>815</v>
      </c>
      <c r="Q463" s="79" t="s">
        <v>1147</v>
      </c>
      <c r="R463" s="79" t="s">
        <v>1195</v>
      </c>
      <c r="S463" s="79">
        <v>1</v>
      </c>
      <c r="T463" s="79"/>
      <c r="U463" s="79"/>
      <c r="V463" s="79"/>
      <c r="W463" s="79" t="s">
        <v>813</v>
      </c>
      <c r="X463" s="79" t="s">
        <v>24</v>
      </c>
      <c r="Y463" s="79" t="s">
        <v>24</v>
      </c>
      <c r="Z463" s="79" t="s">
        <v>814</v>
      </c>
      <c r="AA463" s="79"/>
      <c r="AB463" s="79"/>
      <c r="AC463" s="506"/>
      <c r="AD463" s="573">
        <v>1</v>
      </c>
      <c r="AE463" s="573">
        <v>2</v>
      </c>
      <c r="AF463" s="154">
        <v>1</v>
      </c>
      <c r="AG463" s="155" t="s">
        <v>7289</v>
      </c>
      <c r="AH463" s="704">
        <v>0</v>
      </c>
      <c r="AI463" s="121">
        <v>2</v>
      </c>
      <c r="AJ463" s="484" t="s">
        <v>5656</v>
      </c>
      <c r="AK463" s="202" t="s">
        <v>5646</v>
      </c>
      <c r="AL463" s="192" t="s">
        <v>8055</v>
      </c>
      <c r="AM463" s="215">
        <v>0</v>
      </c>
      <c r="AN463" s="134">
        <f>Table66[[#This Row],[Data_Subjects_n_ptsd]]+Table66[[#This Row],[Data_Subjects_n_control]]</f>
        <v>109</v>
      </c>
      <c r="AO463" s="134">
        <v>56</v>
      </c>
      <c r="AP463" s="134">
        <v>53</v>
      </c>
      <c r="AQ463" s="134" t="s">
        <v>1878</v>
      </c>
      <c r="AR463" s="134" t="s">
        <v>1878</v>
      </c>
      <c r="AS463" s="134">
        <v>36.770000000000003</v>
      </c>
      <c r="AT463" s="134">
        <v>11.48</v>
      </c>
      <c r="AU463" s="134">
        <v>37.130000000000003</v>
      </c>
      <c r="AV463" s="134">
        <v>11.67</v>
      </c>
      <c r="AW463" s="134" t="s">
        <v>5645</v>
      </c>
      <c r="AX463" s="134"/>
      <c r="AY463" s="134"/>
      <c r="AZ463" s="753" t="s">
        <v>7362</v>
      </c>
      <c r="BA463" s="134" t="s">
        <v>24</v>
      </c>
      <c r="BB463" s="134" t="s">
        <v>24</v>
      </c>
      <c r="BC463" s="134" t="s">
        <v>7528</v>
      </c>
      <c r="BD463" s="753" t="s">
        <v>7521</v>
      </c>
      <c r="BE463" s="187">
        <v>0</v>
      </c>
      <c r="BF463" s="134" t="s">
        <v>5644</v>
      </c>
      <c r="BG463" s="134" t="s">
        <v>5648</v>
      </c>
      <c r="BH463" s="594"/>
      <c r="BI463" s="594"/>
      <c r="BJ463" s="156"/>
      <c r="BK463" s="156"/>
      <c r="BL463" s="156"/>
      <c r="BM463" s="156"/>
      <c r="BN463" s="156"/>
      <c r="BO463" s="156" t="s">
        <v>4727</v>
      </c>
      <c r="BP463" s="156">
        <v>1</v>
      </c>
      <c r="BQ463" s="156"/>
      <c r="BR463" s="156"/>
      <c r="BS463" s="156"/>
      <c r="BT463" s="156" t="s">
        <v>4727</v>
      </c>
      <c r="BU463" s="156"/>
      <c r="BV463" s="156"/>
      <c r="BW463" s="595" t="s">
        <v>4208</v>
      </c>
      <c r="BX463" s="157" t="s">
        <v>6611</v>
      </c>
      <c r="BY463" s="797" t="s">
        <v>7616</v>
      </c>
      <c r="BZ463" s="789" t="s">
        <v>7610</v>
      </c>
      <c r="CA463" s="811">
        <v>2</v>
      </c>
      <c r="CB463" s="660" t="s">
        <v>7556</v>
      </c>
      <c r="CC463" s="660" t="s">
        <v>7380</v>
      </c>
      <c r="CD463" s="134" t="s">
        <v>1876</v>
      </c>
      <c r="CE463" s="134">
        <v>2</v>
      </c>
      <c r="CF463" s="400"/>
      <c r="CG463" s="134" t="s">
        <v>5649</v>
      </c>
      <c r="CH463" s="753" t="s">
        <v>7313</v>
      </c>
      <c r="CI463" s="134" t="s">
        <v>24</v>
      </c>
      <c r="CJ463" s="134"/>
      <c r="CK463" s="134" t="s">
        <v>8188</v>
      </c>
      <c r="CL463" s="134" t="s">
        <v>7826</v>
      </c>
      <c r="CM463" s="259" t="s">
        <v>5659</v>
      </c>
      <c r="CN463" s="454" t="s">
        <v>24</v>
      </c>
      <c r="CO463" s="828">
        <v>71</v>
      </c>
      <c r="CP463" s="828">
        <v>1</v>
      </c>
      <c r="CQ463" s="828">
        <v>1</v>
      </c>
      <c r="CR463" s="828">
        <v>1</v>
      </c>
      <c r="CS463" s="828">
        <v>1</v>
      </c>
      <c r="CT463" s="967"/>
      <c r="CU463" s="1288" t="s">
        <v>8103</v>
      </c>
      <c r="CV463" s="1294">
        <v>37</v>
      </c>
      <c r="CW463" s="1294">
        <v>30</v>
      </c>
      <c r="CX463" s="138" t="s">
        <v>5651</v>
      </c>
      <c r="CY463" s="134">
        <v>0.04</v>
      </c>
      <c r="CZ463" s="134">
        <v>0.59</v>
      </c>
      <c r="DA463" s="134" t="s">
        <v>24</v>
      </c>
      <c r="DB463" s="138" t="s">
        <v>5652</v>
      </c>
      <c r="DC463" s="134">
        <v>0.42</v>
      </c>
      <c r="DD463" s="168">
        <v>0.44</v>
      </c>
      <c r="DE463" s="134" t="s">
        <v>24</v>
      </c>
      <c r="DF463" s="294" t="s">
        <v>5653</v>
      </c>
      <c r="DG463" s="295" t="s">
        <v>5660</v>
      </c>
      <c r="DH463" s="121"/>
      <c r="DI463" s="121"/>
      <c r="DJ463" s="1169"/>
      <c r="DK463" s="121"/>
      <c r="DL463" s="121"/>
      <c r="DM463" s="121"/>
      <c r="DN463" s="1169"/>
      <c r="DO463" s="121"/>
      <c r="DP463" s="288"/>
      <c r="DQ463" s="289"/>
      <c r="DR463" s="1168"/>
      <c r="DS463" s="865"/>
      <c r="DT463" s="1171"/>
      <c r="DU463" s="121"/>
      <c r="DV463" s="1169"/>
      <c r="DW463" s="121"/>
      <c r="DX463" s="1169"/>
      <c r="DY463" s="1169"/>
      <c r="DZ463" s="1169"/>
      <c r="EA463" s="1169"/>
      <c r="EB463" s="304"/>
      <c r="EC463" s="312"/>
      <c r="ED463" s="1169"/>
      <c r="EE463" s="1169"/>
      <c r="EF463" s="1169"/>
      <c r="EG463" s="1169"/>
      <c r="EH463" s="1169"/>
      <c r="EI463" s="1169"/>
      <c r="EJ463" s="1169"/>
      <c r="EK463" s="1169"/>
      <c r="EL463" s="304"/>
      <c r="EM463" s="312"/>
      <c r="EN463" s="309"/>
      <c r="EO463" s="1170"/>
      <c r="EP463" s="1169"/>
      <c r="EQ463" s="1169"/>
      <c r="ER463" s="1169"/>
      <c r="ES463" s="1169"/>
      <c r="ET463" s="1171"/>
      <c r="EU463" s="1169"/>
      <c r="EV463" s="1169"/>
      <c r="EW463" s="1169"/>
      <c r="EX463" s="312"/>
      <c r="EY463" s="312"/>
      <c r="EZ463" s="1171"/>
      <c r="FA463" s="1169"/>
      <c r="FB463" s="1169"/>
      <c r="FC463" s="1169"/>
      <c r="FD463" s="1171"/>
      <c r="FE463" s="1169"/>
      <c r="FF463" s="1169"/>
      <c r="FG463" s="1169"/>
      <c r="FH463" s="312"/>
      <c r="FI463" s="312"/>
      <c r="FJ463" s="1170"/>
    </row>
    <row r="464" spans="1:166" ht="14" hidden="1" customHeight="1">
      <c r="A464" s="79" t="s">
        <v>361</v>
      </c>
      <c r="B464" s="362">
        <v>262</v>
      </c>
      <c r="C464" s="362">
        <v>95</v>
      </c>
      <c r="D464" s="362"/>
      <c r="E464" s="604" t="s">
        <v>2047</v>
      </c>
      <c r="F464" s="124" t="s">
        <v>2290</v>
      </c>
      <c r="G464" s="125">
        <v>1995</v>
      </c>
      <c r="H464" s="79">
        <v>7802106</v>
      </c>
      <c r="I464" s="79">
        <v>1</v>
      </c>
      <c r="J464" s="126"/>
      <c r="K464" s="127"/>
      <c r="L464" s="79">
        <v>1</v>
      </c>
      <c r="M464" s="79"/>
      <c r="N464" s="79">
        <v>1</v>
      </c>
      <c r="O464" s="128">
        <v>1</v>
      </c>
      <c r="P464" s="79" t="s">
        <v>931</v>
      </c>
      <c r="Q464" s="79" t="s">
        <v>1154</v>
      </c>
      <c r="R464" s="79" t="s">
        <v>819</v>
      </c>
      <c r="S464" s="79">
        <v>1</v>
      </c>
      <c r="T464" s="79"/>
      <c r="U464" s="79"/>
      <c r="V464" s="79"/>
      <c r="W464" s="79" t="s">
        <v>930</v>
      </c>
      <c r="X464" s="79"/>
      <c r="Y464" s="79"/>
      <c r="Z464" s="79"/>
      <c r="AA464" s="79"/>
      <c r="AB464" s="79"/>
      <c r="AC464" s="506"/>
      <c r="AD464" s="573">
        <v>1</v>
      </c>
      <c r="AE464" s="573">
        <v>2</v>
      </c>
      <c r="AF464" s="154">
        <v>1</v>
      </c>
      <c r="AG464" s="155"/>
      <c r="AH464" s="704"/>
      <c r="AI464" s="121">
        <v>2</v>
      </c>
      <c r="AJ464" s="484" t="s">
        <v>6152</v>
      </c>
      <c r="AK464" s="202"/>
      <c r="AL464" s="192"/>
      <c r="AM464" s="203">
        <v>0</v>
      </c>
      <c r="AN464" s="121">
        <f>Table66[[#This Row],[Data_Subjects_n_ptsd]]+Table66[[#This Row],[Data_Subjects_n_control]]</f>
        <v>32</v>
      </c>
      <c r="AO464" s="121">
        <v>20</v>
      </c>
      <c r="AP464" s="121">
        <v>12</v>
      </c>
      <c r="AQ464" s="121" t="s">
        <v>803</v>
      </c>
      <c r="AR464" s="121" t="s">
        <v>803</v>
      </c>
      <c r="AS464" s="121">
        <v>44.7</v>
      </c>
      <c r="AT464" s="121">
        <v>3.4</v>
      </c>
      <c r="AU464" s="121">
        <v>43.9</v>
      </c>
      <c r="AV464" s="121">
        <v>7.3</v>
      </c>
      <c r="AW464" s="121" t="s">
        <v>1874</v>
      </c>
      <c r="AX464" s="121"/>
      <c r="AY464" s="121"/>
      <c r="AZ464" s="754" t="s">
        <v>1874</v>
      </c>
      <c r="BA464" s="121" t="s">
        <v>24</v>
      </c>
      <c r="BB464" s="121" t="s">
        <v>24</v>
      </c>
      <c r="BC464" s="121" t="s">
        <v>7534</v>
      </c>
      <c r="BD464" s="754" t="s">
        <v>7522</v>
      </c>
      <c r="BE464" s="187">
        <v>0</v>
      </c>
      <c r="BF464" s="121" t="s">
        <v>3835</v>
      </c>
      <c r="BG464" s="121" t="s">
        <v>6123</v>
      </c>
      <c r="BH464" s="594"/>
      <c r="BI464" s="594"/>
      <c r="BJ464" s="156"/>
      <c r="BK464" s="156"/>
      <c r="BL464" s="156"/>
      <c r="BM464" s="156"/>
      <c r="BN464" s="156"/>
      <c r="BO464" s="156"/>
      <c r="BP464" s="156">
        <v>1</v>
      </c>
      <c r="BQ464" s="156"/>
      <c r="BR464" s="156"/>
      <c r="BS464" s="156"/>
      <c r="BT464" s="156" t="s">
        <v>4727</v>
      </c>
      <c r="BU464" s="156"/>
      <c r="BV464" s="156"/>
      <c r="BW464" s="595" t="s">
        <v>4208</v>
      </c>
      <c r="BX464" s="157" t="s">
        <v>6611</v>
      </c>
      <c r="BY464" s="797" t="s">
        <v>7616</v>
      </c>
      <c r="BZ464" s="789" t="s">
        <v>803</v>
      </c>
      <c r="CA464" s="660">
        <v>2</v>
      </c>
      <c r="CB464" s="660" t="s">
        <v>7556</v>
      </c>
      <c r="CC464" s="660" t="s">
        <v>7380</v>
      </c>
      <c r="CD464" s="134" t="s">
        <v>1876</v>
      </c>
      <c r="CE464" s="134">
        <v>2</v>
      </c>
      <c r="CF464" s="400"/>
      <c r="CG464" s="134" t="s">
        <v>6124</v>
      </c>
      <c r="CH464" s="753" t="s">
        <v>7313</v>
      </c>
      <c r="CI464" s="134" t="s">
        <v>24</v>
      </c>
      <c r="CJ464" s="134"/>
      <c r="CK464" s="168" t="s">
        <v>8193</v>
      </c>
      <c r="CL464" s="168" t="s">
        <v>8209</v>
      </c>
      <c r="CM464" s="259" t="s">
        <v>6151</v>
      </c>
      <c r="CN464" s="454">
        <v>0</v>
      </c>
      <c r="CO464" s="828">
        <v>89</v>
      </c>
      <c r="CP464" s="828">
        <v>1</v>
      </c>
      <c r="CQ464" s="828">
        <v>5</v>
      </c>
      <c r="CR464" s="828">
        <v>1</v>
      </c>
      <c r="CS464" s="722">
        <v>-1</v>
      </c>
      <c r="CT464" s="967"/>
      <c r="CU464" s="1291" t="s">
        <v>8102</v>
      </c>
      <c r="CV464" s="1295">
        <v>44</v>
      </c>
      <c r="CW464" s="1295">
        <v>38</v>
      </c>
      <c r="CX464" s="134" t="s">
        <v>6142</v>
      </c>
      <c r="CY464" s="134">
        <v>2</v>
      </c>
      <c r="CZ464" s="134">
        <v>2.1</v>
      </c>
      <c r="DA464" s="134" t="s">
        <v>24</v>
      </c>
      <c r="DB464" s="134" t="s">
        <v>6143</v>
      </c>
      <c r="DC464" s="134">
        <v>0</v>
      </c>
      <c r="DD464" s="134">
        <v>1.35</v>
      </c>
      <c r="DE464" s="134" t="s">
        <v>24</v>
      </c>
      <c r="DF464" s="301" t="s">
        <v>6144</v>
      </c>
      <c r="DG464" s="301" t="s">
        <v>6145</v>
      </c>
      <c r="DH464" s="1276"/>
      <c r="DI464" s="121"/>
      <c r="DJ464" s="1169"/>
      <c r="DK464" s="121"/>
      <c r="DL464" s="1171"/>
      <c r="DM464" s="121"/>
      <c r="DN464" s="1169"/>
      <c r="DO464" s="121"/>
      <c r="DP464" s="288"/>
      <c r="DQ464" s="289"/>
      <c r="DR464" s="1168"/>
      <c r="DS464" s="865"/>
      <c r="DT464" s="1171"/>
      <c r="DU464" s="121"/>
      <c r="DV464" s="1169"/>
      <c r="DW464" s="121"/>
      <c r="DX464" s="1171"/>
      <c r="DY464" s="121"/>
      <c r="DZ464" s="1169"/>
      <c r="EA464" s="121"/>
      <c r="EB464" s="304"/>
      <c r="EC464" s="312"/>
      <c r="ED464" s="1171"/>
      <c r="EE464" s="121"/>
      <c r="EF464" s="1169"/>
      <c r="EG464" s="121"/>
      <c r="EH464" s="1171"/>
      <c r="EI464" s="121"/>
      <c r="EJ464" s="1169"/>
      <c r="EK464" s="121"/>
      <c r="EL464" s="304"/>
      <c r="EM464" s="312"/>
      <c r="EN464" s="309"/>
      <c r="EO464" s="1170"/>
      <c r="EP464" s="121"/>
      <c r="EQ464" s="121"/>
      <c r="ER464" s="121"/>
      <c r="ES464" s="121"/>
      <c r="ET464" s="121"/>
      <c r="EU464" s="121"/>
      <c r="EV464" s="121"/>
      <c r="EW464" s="121"/>
      <c r="EX464" s="301"/>
      <c r="EY464" s="301"/>
      <c r="EZ464" s="1276"/>
      <c r="FA464" s="121"/>
      <c r="FB464" s="121"/>
      <c r="FC464" s="121"/>
      <c r="FD464" s="1276"/>
      <c r="FE464" s="121"/>
      <c r="FF464" s="121"/>
      <c r="FG464" s="121"/>
      <c r="FH464" s="301"/>
      <c r="FI464" s="301"/>
      <c r="FJ464" s="1170"/>
    </row>
    <row r="465" spans="1:166" ht="14" hidden="1" customHeight="1">
      <c r="A465" s="79" t="s">
        <v>361</v>
      </c>
      <c r="B465" s="362">
        <v>262</v>
      </c>
      <c r="C465" s="362">
        <v>95</v>
      </c>
      <c r="D465" s="362"/>
      <c r="E465" s="604" t="s">
        <v>2047</v>
      </c>
      <c r="F465" s="124" t="s">
        <v>2290</v>
      </c>
      <c r="G465" s="125">
        <v>1995</v>
      </c>
      <c r="H465" s="79">
        <v>7802106</v>
      </c>
      <c r="I465" s="79">
        <v>1</v>
      </c>
      <c r="J465" s="126"/>
      <c r="K465" s="127"/>
      <c r="L465" s="79">
        <v>1</v>
      </c>
      <c r="M465" s="79"/>
      <c r="N465" s="79">
        <v>1</v>
      </c>
      <c r="O465" s="128">
        <v>1</v>
      </c>
      <c r="P465" s="79" t="s">
        <v>931</v>
      </c>
      <c r="Q465" s="79" t="s">
        <v>1154</v>
      </c>
      <c r="R465" s="79" t="s">
        <v>819</v>
      </c>
      <c r="S465" s="79">
        <v>1</v>
      </c>
      <c r="T465" s="79"/>
      <c r="U465" s="79"/>
      <c r="V465" s="79"/>
      <c r="W465" s="79" t="s">
        <v>930</v>
      </c>
      <c r="X465" s="79"/>
      <c r="Y465" s="79"/>
      <c r="Z465" s="79"/>
      <c r="AA465" s="79"/>
      <c r="AB465" s="79"/>
      <c r="AC465" s="506"/>
      <c r="AD465" s="573">
        <v>1</v>
      </c>
      <c r="AE465" s="573">
        <v>2</v>
      </c>
      <c r="AF465" s="154">
        <v>1</v>
      </c>
      <c r="AG465" s="155"/>
      <c r="AH465" s="704"/>
      <c r="AI465" s="121">
        <v>2</v>
      </c>
      <c r="AJ465" s="484" t="s">
        <v>6152</v>
      </c>
      <c r="AK465" s="202"/>
      <c r="AL465" s="192"/>
      <c r="AM465" s="203">
        <v>0</v>
      </c>
      <c r="AN465" s="121">
        <f>Table66[[#This Row],[Data_Subjects_n_ptsd]]+Table66[[#This Row],[Data_Subjects_n_control]]</f>
        <v>32</v>
      </c>
      <c r="AO465" s="121">
        <v>20</v>
      </c>
      <c r="AP465" s="121">
        <v>12</v>
      </c>
      <c r="AQ465" s="121" t="s">
        <v>803</v>
      </c>
      <c r="AR465" s="121" t="s">
        <v>803</v>
      </c>
      <c r="AS465" s="121">
        <v>44.7</v>
      </c>
      <c r="AT465" s="121">
        <v>3.4</v>
      </c>
      <c r="AU465" s="121">
        <v>43.9</v>
      </c>
      <c r="AV465" s="121">
        <v>7.3</v>
      </c>
      <c r="AW465" s="121" t="s">
        <v>1874</v>
      </c>
      <c r="AX465" s="121"/>
      <c r="AY465" s="121"/>
      <c r="AZ465" s="754" t="s">
        <v>1874</v>
      </c>
      <c r="BA465" s="121" t="s">
        <v>24</v>
      </c>
      <c r="BB465" s="121" t="s">
        <v>24</v>
      </c>
      <c r="BC465" s="121" t="s">
        <v>7534</v>
      </c>
      <c r="BD465" s="754" t="s">
        <v>7522</v>
      </c>
      <c r="BE465" s="187">
        <v>0</v>
      </c>
      <c r="BF465" s="121" t="s">
        <v>3835</v>
      </c>
      <c r="BG465" s="121" t="s">
        <v>6123</v>
      </c>
      <c r="BH465" s="594"/>
      <c r="BI465" s="594"/>
      <c r="BJ465" s="156"/>
      <c r="BK465" s="156"/>
      <c r="BL465" s="156"/>
      <c r="BM465" s="156"/>
      <c r="BN465" s="156"/>
      <c r="BO465" s="156"/>
      <c r="BP465" s="156">
        <v>1</v>
      </c>
      <c r="BQ465" s="156"/>
      <c r="BR465" s="156"/>
      <c r="BS465" s="156"/>
      <c r="BT465" s="156" t="s">
        <v>4727</v>
      </c>
      <c r="BU465" s="156"/>
      <c r="BV465" s="156"/>
      <c r="BW465" s="595" t="s">
        <v>4208</v>
      </c>
      <c r="BX465" s="157" t="s">
        <v>6611</v>
      </c>
      <c r="BY465" s="797" t="s">
        <v>7616</v>
      </c>
      <c r="BZ465" s="789" t="s">
        <v>803</v>
      </c>
      <c r="CA465" s="660">
        <v>2</v>
      </c>
      <c r="CB465" s="660" t="s">
        <v>7556</v>
      </c>
      <c r="CC465" s="660" t="s">
        <v>7380</v>
      </c>
      <c r="CD465" s="134" t="s">
        <v>1876</v>
      </c>
      <c r="CE465" s="134">
        <v>2</v>
      </c>
      <c r="CF465" s="400"/>
      <c r="CG465" s="134" t="s">
        <v>6124</v>
      </c>
      <c r="CH465" s="753" t="s">
        <v>7313</v>
      </c>
      <c r="CI465" s="134" t="s">
        <v>24</v>
      </c>
      <c r="CJ465" s="134"/>
      <c r="CK465" s="168" t="s">
        <v>8206</v>
      </c>
      <c r="CL465" s="168" t="s">
        <v>7828</v>
      </c>
      <c r="CM465" s="259" t="s">
        <v>6151</v>
      </c>
      <c r="CN465" s="454">
        <v>0</v>
      </c>
      <c r="CO465" s="828">
        <v>89</v>
      </c>
      <c r="CP465" s="828">
        <v>1</v>
      </c>
      <c r="CQ465" s="828">
        <v>6</v>
      </c>
      <c r="CR465" s="828">
        <v>1</v>
      </c>
      <c r="CS465" s="828">
        <v>1</v>
      </c>
      <c r="CT465" s="967"/>
      <c r="CU465" s="1291" t="s">
        <v>8102</v>
      </c>
      <c r="CV465" s="1295">
        <v>44</v>
      </c>
      <c r="CW465" s="1295">
        <v>38</v>
      </c>
      <c r="CX465" s="138" t="s">
        <v>6146</v>
      </c>
      <c r="CY465" s="134">
        <v>1.9</v>
      </c>
      <c r="CZ465" s="134">
        <v>2.2000000000000002</v>
      </c>
      <c r="DA465" s="134" t="s">
        <v>24</v>
      </c>
      <c r="DB465" s="138" t="s">
        <v>6147</v>
      </c>
      <c r="DC465" s="134">
        <v>0.2</v>
      </c>
      <c r="DD465" s="134">
        <v>2.2999999999999998</v>
      </c>
      <c r="DE465" s="134" t="s">
        <v>24</v>
      </c>
      <c r="DF465" s="301" t="s">
        <v>8085</v>
      </c>
      <c r="DG465" s="301" t="s">
        <v>6149</v>
      </c>
      <c r="DH465" s="1171"/>
      <c r="DI465" s="1169"/>
      <c r="DJ465" s="1169"/>
      <c r="DK465" s="1169"/>
      <c r="DL465" s="1171"/>
      <c r="DM465" s="1169"/>
      <c r="DN465" s="1169"/>
      <c r="DO465" s="1169"/>
      <c r="DP465" s="288"/>
      <c r="DQ465" s="289"/>
      <c r="DR465" s="1168"/>
      <c r="DS465" s="865"/>
      <c r="DT465" s="1171"/>
      <c r="DU465" s="1169"/>
      <c r="DV465" s="1169"/>
      <c r="DW465" s="1169"/>
      <c r="DX465" s="1171"/>
      <c r="DY465" s="1169"/>
      <c r="DZ465" s="1169"/>
      <c r="EA465" s="1169"/>
      <c r="EB465" s="304"/>
      <c r="EC465" s="312"/>
      <c r="ED465" s="1171"/>
      <c r="EE465" s="1169"/>
      <c r="EF465" s="1169"/>
      <c r="EG465" s="1169"/>
      <c r="EH465" s="1171"/>
      <c r="EI465" s="1169"/>
      <c r="EJ465" s="1169"/>
      <c r="EK465" s="1169"/>
      <c r="EL465" s="304"/>
      <c r="EM465" s="312"/>
      <c r="EN465" s="309"/>
      <c r="EO465" s="1170"/>
      <c r="EP465" s="1169"/>
      <c r="EQ465" s="1169"/>
      <c r="ER465" s="1169"/>
      <c r="ES465" s="1169"/>
      <c r="ET465" s="1169"/>
      <c r="EU465" s="1169"/>
      <c r="EV465" s="1169"/>
      <c r="EW465" s="1169"/>
      <c r="EX465" s="312"/>
      <c r="EY465" s="312"/>
      <c r="EZ465" s="1171"/>
      <c r="FA465" s="1169"/>
      <c r="FB465" s="1169"/>
      <c r="FC465" s="1169"/>
      <c r="FD465" s="1171"/>
      <c r="FE465" s="1169"/>
      <c r="FF465" s="1169"/>
      <c r="FG465" s="1169"/>
      <c r="FH465" s="312"/>
      <c r="FI465" s="312"/>
      <c r="FJ465" s="1170"/>
    </row>
    <row r="466" spans="1:166" ht="14" hidden="1" customHeight="1">
      <c r="A466" s="118" t="s">
        <v>145</v>
      </c>
      <c r="B466" s="616">
        <v>111</v>
      </c>
      <c r="C466" s="616">
        <v>24</v>
      </c>
      <c r="D466" s="616"/>
      <c r="E466" s="605" t="s">
        <v>1952</v>
      </c>
      <c r="F466" s="140" t="s">
        <v>2172</v>
      </c>
      <c r="G466" s="141">
        <v>2001</v>
      </c>
      <c r="H466" s="118">
        <v>11469166</v>
      </c>
      <c r="I466" s="118">
        <v>1</v>
      </c>
      <c r="J466" s="118"/>
      <c r="K466" s="118"/>
      <c r="L466" s="118">
        <v>1</v>
      </c>
      <c r="M466" s="118"/>
      <c r="N466" s="118">
        <v>1</v>
      </c>
      <c r="O466" s="142">
        <v>1</v>
      </c>
      <c r="P466" s="118" t="s">
        <v>452</v>
      </c>
      <c r="Q466" s="118"/>
      <c r="R466" s="118" t="s">
        <v>25</v>
      </c>
      <c r="S466" s="118">
        <v>1</v>
      </c>
      <c r="T466" s="118"/>
      <c r="U466" s="118"/>
      <c r="V466" s="118"/>
      <c r="W466" s="118" t="s">
        <v>24</v>
      </c>
      <c r="X466" s="118"/>
      <c r="Y466" s="118"/>
      <c r="Z466" s="118"/>
      <c r="AA466" s="118"/>
      <c r="AB466" s="118"/>
      <c r="AC466" s="145"/>
      <c r="AD466" s="573">
        <v>1</v>
      </c>
      <c r="AE466" s="573">
        <v>2</v>
      </c>
      <c r="AF466" s="154">
        <v>1</v>
      </c>
      <c r="AG466" s="160"/>
      <c r="AH466" s="704"/>
      <c r="AI466" s="122">
        <v>2</v>
      </c>
      <c r="AJ466" s="485"/>
      <c r="AK466" s="204" t="s">
        <v>4250</v>
      </c>
      <c r="AL466" s="192">
        <v>1</v>
      </c>
      <c r="AM466" s="205">
        <v>0</v>
      </c>
      <c r="AN466" s="122">
        <f>Table66[[#This Row],[Data_Subjects_n_ptsd]]+Table66[[#This Row],[Data_Subjects_n_control]]</f>
        <v>32</v>
      </c>
      <c r="AO466" s="122">
        <v>19</v>
      </c>
      <c r="AP466" s="122">
        <v>13</v>
      </c>
      <c r="AQ466" s="122" t="s">
        <v>803</v>
      </c>
      <c r="AR466" s="122" t="s">
        <v>803</v>
      </c>
      <c r="AS466" s="150" t="s">
        <v>4248</v>
      </c>
      <c r="AT466" s="150">
        <v>2.81</v>
      </c>
      <c r="AU466" s="150" t="s">
        <v>4247</v>
      </c>
      <c r="AV466" s="150">
        <v>3.09</v>
      </c>
      <c r="AW466" s="150" t="s">
        <v>4249</v>
      </c>
      <c r="AX466" s="122"/>
      <c r="AY466" s="122"/>
      <c r="AZ466" s="754" t="s">
        <v>1874</v>
      </c>
      <c r="BA466" s="122" t="s">
        <v>24</v>
      </c>
      <c r="BB466" s="122" t="s">
        <v>24</v>
      </c>
      <c r="BC466" s="122" t="s">
        <v>4161</v>
      </c>
      <c r="BD466" s="754" t="s">
        <v>7521</v>
      </c>
      <c r="BE466" s="187">
        <v>0</v>
      </c>
      <c r="BF466" s="122" t="s">
        <v>3835</v>
      </c>
      <c r="BG466" s="122" t="s">
        <v>4251</v>
      </c>
      <c r="BH466" s="588"/>
      <c r="BI466" s="588"/>
      <c r="BJ466" s="161"/>
      <c r="BK466" s="161"/>
      <c r="BL466" s="161"/>
      <c r="BM466" s="161"/>
      <c r="BN466" s="161"/>
      <c r="BO466" s="161"/>
      <c r="BP466" s="161">
        <v>1</v>
      </c>
      <c r="BQ466" s="161"/>
      <c r="BR466" s="161"/>
      <c r="BS466" s="161"/>
      <c r="BT466" s="161"/>
      <c r="BU466" s="161"/>
      <c r="BV466" s="161"/>
      <c r="BW466" s="596" t="s">
        <v>4267</v>
      </c>
      <c r="BX466" s="162" t="s">
        <v>7786</v>
      </c>
      <c r="BY466" s="797" t="s">
        <v>7787</v>
      </c>
      <c r="BZ466" s="790" t="s">
        <v>803</v>
      </c>
      <c r="CA466" s="765">
        <v>2</v>
      </c>
      <c r="CB466" s="765" t="s">
        <v>7556</v>
      </c>
      <c r="CC466" s="854" t="s">
        <v>7380</v>
      </c>
      <c r="CD466" s="150" t="s">
        <v>1876</v>
      </c>
      <c r="CE466" s="150">
        <v>2</v>
      </c>
      <c r="CF466" s="400"/>
      <c r="CG466" s="150" t="s">
        <v>4266</v>
      </c>
      <c r="CH466" s="855" t="s">
        <v>7308</v>
      </c>
      <c r="CI466" s="150" t="s">
        <v>24</v>
      </c>
      <c r="CJ466" s="150"/>
      <c r="CK466" s="150" t="s">
        <v>4270</v>
      </c>
      <c r="CL466" s="150" t="s">
        <v>8250</v>
      </c>
      <c r="CM466" s="258" t="s">
        <v>4310</v>
      </c>
      <c r="CN466" s="257" t="s">
        <v>24</v>
      </c>
      <c r="CO466" s="829">
        <v>22</v>
      </c>
      <c r="CP466" s="829">
        <v>1</v>
      </c>
      <c r="CQ466" s="829">
        <v>2</v>
      </c>
      <c r="CR466" s="829">
        <v>1</v>
      </c>
      <c r="CS466" s="829">
        <v>1</v>
      </c>
      <c r="CT466" s="968"/>
      <c r="CU466" s="1288" t="s">
        <v>8103</v>
      </c>
      <c r="CV466" s="1294">
        <v>12</v>
      </c>
      <c r="CW466" s="1294">
        <v>11</v>
      </c>
      <c r="CX466" s="151" t="s">
        <v>4272</v>
      </c>
      <c r="CY466" s="150">
        <v>96.05</v>
      </c>
      <c r="CZ466" s="150">
        <v>12.27</v>
      </c>
      <c r="DA466" s="150" t="s">
        <v>24</v>
      </c>
      <c r="DB466" s="151" t="s">
        <v>4281</v>
      </c>
      <c r="DC466" s="150">
        <v>113.46</v>
      </c>
      <c r="DD466" s="150">
        <v>10.67</v>
      </c>
      <c r="DE466" s="150" t="s">
        <v>24</v>
      </c>
      <c r="DF466" s="294" t="s">
        <v>4297</v>
      </c>
      <c r="DG466" s="295" t="s">
        <v>4298</v>
      </c>
      <c r="DH466" s="1178" t="s">
        <v>24</v>
      </c>
      <c r="DI466" s="500" t="s">
        <v>24</v>
      </c>
      <c r="DJ466" s="122" t="s">
        <v>24</v>
      </c>
      <c r="DK466" s="500" t="s">
        <v>24</v>
      </c>
      <c r="DL466" s="1166" t="s">
        <v>24</v>
      </c>
      <c r="DM466" s="500" t="s">
        <v>24</v>
      </c>
      <c r="DN466" s="1164" t="s">
        <v>24</v>
      </c>
      <c r="DO466" s="1150" t="s">
        <v>24</v>
      </c>
      <c r="DP466" s="290" t="s">
        <v>24</v>
      </c>
      <c r="DQ466" s="388"/>
      <c r="DR466" s="1168"/>
      <c r="DS466" s="865"/>
      <c r="DT466" s="1166"/>
      <c r="DU466" s="500"/>
      <c r="DV466" s="1164"/>
      <c r="DW466" s="500"/>
      <c r="DX466" s="1164"/>
      <c r="DY466" s="500"/>
      <c r="DZ466" s="1164"/>
      <c r="EA466" s="500"/>
      <c r="EB466" s="311"/>
      <c r="EC466" s="313"/>
      <c r="ED466" s="1164"/>
      <c r="EE466" s="1164"/>
      <c r="EF466" s="1164"/>
      <c r="EG466" s="1164"/>
      <c r="EH466" s="1164"/>
      <c r="EI466" s="1164"/>
      <c r="EJ466" s="1164"/>
      <c r="EK466" s="1164"/>
      <c r="EL466" s="311"/>
      <c r="EM466" s="313"/>
      <c r="EN466" s="1167"/>
      <c r="EO466" s="1165"/>
      <c r="EP466" s="1164"/>
      <c r="EQ466" s="1164"/>
      <c r="ER466" s="1164"/>
      <c r="ES466" s="1164"/>
      <c r="ET466" s="1166"/>
      <c r="EU466" s="1164"/>
      <c r="EV466" s="1164"/>
      <c r="EW466" s="1164"/>
      <c r="EX466" s="313"/>
      <c r="EY466" s="313"/>
      <c r="EZ466" s="1166"/>
      <c r="FA466" s="1164"/>
      <c r="FB466" s="1164"/>
      <c r="FC466" s="1164"/>
      <c r="FD466" s="1166"/>
      <c r="FE466" s="1164"/>
      <c r="FF466" s="1164"/>
      <c r="FG466" s="1164"/>
      <c r="FH466" s="313"/>
      <c r="FI466" s="313"/>
      <c r="FJ466" s="1165"/>
    </row>
    <row r="467" spans="1:166" ht="14" hidden="1" customHeight="1">
      <c r="A467" s="79" t="s">
        <v>280</v>
      </c>
      <c r="B467" s="617">
        <v>200</v>
      </c>
      <c r="C467" s="617">
        <v>70</v>
      </c>
      <c r="D467" s="617"/>
      <c r="E467" s="608" t="s">
        <v>2009</v>
      </c>
      <c r="F467" s="181" t="s">
        <v>2241</v>
      </c>
      <c r="G467" s="182">
        <v>2006</v>
      </c>
      <c r="H467" s="79">
        <v>17100516</v>
      </c>
      <c r="I467" s="79">
        <v>1</v>
      </c>
      <c r="J467" s="79"/>
      <c r="K467" s="79"/>
      <c r="L467" s="79">
        <v>1</v>
      </c>
      <c r="M467" s="79"/>
      <c r="N467" s="79">
        <v>1</v>
      </c>
      <c r="O467" s="128">
        <v>1</v>
      </c>
      <c r="P467" s="79" t="s">
        <v>735</v>
      </c>
      <c r="Q467" s="79" t="s">
        <v>1154</v>
      </c>
      <c r="R467" s="79" t="s">
        <v>736</v>
      </c>
      <c r="S467" s="79">
        <v>1</v>
      </c>
      <c r="T467" s="79"/>
      <c r="U467" s="79"/>
      <c r="V467" s="79"/>
      <c r="W467" s="79" t="s">
        <v>492</v>
      </c>
      <c r="X467" s="79" t="s">
        <v>24</v>
      </c>
      <c r="Y467" s="79" t="s">
        <v>24</v>
      </c>
      <c r="Z467" s="79" t="s">
        <v>737</v>
      </c>
      <c r="AA467" s="79"/>
      <c r="AB467" s="79"/>
      <c r="AC467" s="506"/>
      <c r="AD467" s="573">
        <v>1</v>
      </c>
      <c r="AE467" s="573">
        <v>2</v>
      </c>
      <c r="AF467" s="352">
        <v>1</v>
      </c>
      <c r="AG467" s="353"/>
      <c r="AH467" s="704"/>
      <c r="AI467" s="346">
        <v>2</v>
      </c>
      <c r="AJ467" s="487" t="s">
        <v>5426</v>
      </c>
      <c r="AK467" s="459" t="s">
        <v>5394</v>
      </c>
      <c r="AL467" s="348">
        <v>1</v>
      </c>
      <c r="AM467" s="349">
        <v>0</v>
      </c>
      <c r="AN467" s="346">
        <f>Table66[[#This Row],[Data_Subjects_n_ptsd]]+Table66[[#This Row],[Data_Subjects_n_control]]</f>
        <v>68</v>
      </c>
      <c r="AO467" s="346">
        <v>37</v>
      </c>
      <c r="AP467" s="346">
        <v>31</v>
      </c>
      <c r="AQ467" s="346" t="s">
        <v>5395</v>
      </c>
      <c r="AR467" s="346" t="s">
        <v>5395</v>
      </c>
      <c r="AS467" s="346">
        <v>47.89</v>
      </c>
      <c r="AT467" s="346">
        <v>9.4</v>
      </c>
      <c r="AU467" s="346">
        <v>46.42</v>
      </c>
      <c r="AV467" s="346">
        <v>9.6</v>
      </c>
      <c r="AW467" s="346" t="s">
        <v>5414</v>
      </c>
      <c r="AX467" s="346"/>
      <c r="AY467" s="346"/>
      <c r="AZ467" s="754" t="s">
        <v>1874</v>
      </c>
      <c r="BA467" s="346" t="s">
        <v>24</v>
      </c>
      <c r="BB467" s="346" t="s">
        <v>24</v>
      </c>
      <c r="BC467" s="346" t="s">
        <v>2423</v>
      </c>
      <c r="BD467" s="754" t="s">
        <v>7521</v>
      </c>
      <c r="BE467" s="187">
        <v>0</v>
      </c>
      <c r="BF467" s="346" t="s">
        <v>3835</v>
      </c>
      <c r="BG467" s="346" t="s">
        <v>5209</v>
      </c>
      <c r="BH467" s="598"/>
      <c r="BI467" s="598"/>
      <c r="BJ467" s="184"/>
      <c r="BK467" s="184"/>
      <c r="BL467" s="184" t="s">
        <v>4727</v>
      </c>
      <c r="BM467" s="184"/>
      <c r="BN467" s="184"/>
      <c r="BO467" s="184" t="s">
        <v>4727</v>
      </c>
      <c r="BP467" s="184">
        <v>1</v>
      </c>
      <c r="BQ467" s="184"/>
      <c r="BR467" s="184" t="s">
        <v>4727</v>
      </c>
      <c r="BS467" s="184"/>
      <c r="BT467" s="184" t="s">
        <v>4727</v>
      </c>
      <c r="BU467" s="184"/>
      <c r="BV467" s="184"/>
      <c r="BW467" s="600" t="s">
        <v>5398</v>
      </c>
      <c r="BX467" s="185" t="s">
        <v>6611</v>
      </c>
      <c r="BY467" s="797" t="s">
        <v>7616</v>
      </c>
      <c r="BZ467" s="789" t="s">
        <v>803</v>
      </c>
      <c r="CA467" s="769">
        <v>2</v>
      </c>
      <c r="CB467" s="765" t="s">
        <v>7556</v>
      </c>
      <c r="CC467" s="854" t="s">
        <v>7380</v>
      </c>
      <c r="CD467" s="186" t="s">
        <v>1876</v>
      </c>
      <c r="CE467" s="186" t="s">
        <v>5396</v>
      </c>
      <c r="CF467" s="400"/>
      <c r="CG467" s="186" t="s">
        <v>8006</v>
      </c>
      <c r="CH467" s="855" t="s">
        <v>7308</v>
      </c>
      <c r="CI467" s="186" t="s">
        <v>24</v>
      </c>
      <c r="CJ467" s="186"/>
      <c r="CK467" s="186" t="s">
        <v>8253</v>
      </c>
      <c r="CL467" s="186" t="s">
        <v>8252</v>
      </c>
      <c r="CM467" s="261" t="s">
        <v>5430</v>
      </c>
      <c r="CN467" s="620" t="s">
        <v>6630</v>
      </c>
      <c r="CO467" s="830">
        <v>64</v>
      </c>
      <c r="CP467" s="830">
        <v>1</v>
      </c>
      <c r="CQ467" s="830">
        <v>6</v>
      </c>
      <c r="CR467" s="830">
        <v>1</v>
      </c>
      <c r="CS467" s="830">
        <v>1</v>
      </c>
      <c r="CT467" s="969"/>
      <c r="CU467" s="1288" t="s">
        <v>8103</v>
      </c>
      <c r="CV467" s="1294">
        <v>33</v>
      </c>
      <c r="CW467" s="1294">
        <v>26</v>
      </c>
      <c r="CX467" s="186" t="s">
        <v>5412</v>
      </c>
      <c r="CY467" s="186">
        <v>85.16</v>
      </c>
      <c r="CZ467" s="186">
        <v>10.3</v>
      </c>
      <c r="DA467" s="186"/>
      <c r="DB467" s="186" t="s">
        <v>5413</v>
      </c>
      <c r="DC467" s="186">
        <v>91.35</v>
      </c>
      <c r="DD467" s="186">
        <v>6.5</v>
      </c>
      <c r="DE467" s="186" t="s">
        <v>24</v>
      </c>
      <c r="DF467" s="821" t="s">
        <v>5379</v>
      </c>
      <c r="DG467" s="821" t="s">
        <v>5428</v>
      </c>
      <c r="DH467" s="281" t="s">
        <v>5429</v>
      </c>
      <c r="DI467" s="346"/>
      <c r="DJ467" s="1189"/>
      <c r="DK467" s="346"/>
      <c r="DL467" s="1192"/>
      <c r="DM467" s="346"/>
      <c r="DN467" s="1189"/>
      <c r="DO467" s="346"/>
      <c r="DP467" s="294"/>
      <c r="DQ467" s="295"/>
      <c r="DR467" s="280"/>
      <c r="DS467" s="865"/>
      <c r="DT467" s="1192"/>
      <c r="DU467" s="346"/>
      <c r="DV467" s="1189"/>
      <c r="DW467" s="346"/>
      <c r="DX467" s="1192"/>
      <c r="DY467" s="346"/>
      <c r="DZ467" s="1189"/>
      <c r="EA467" s="346"/>
      <c r="EB467" s="1193"/>
      <c r="EC467" s="1190"/>
      <c r="ED467" s="1189"/>
      <c r="EE467" s="346"/>
      <c r="EF467" s="1189"/>
      <c r="EG467" s="346"/>
      <c r="EH467" s="1189"/>
      <c r="EI467" s="346"/>
      <c r="EJ467" s="1189"/>
      <c r="EK467" s="346"/>
      <c r="EL467" s="1193"/>
      <c r="EM467" s="1190"/>
      <c r="EN467" s="1168"/>
      <c r="EO467" s="1191"/>
      <c r="EP467" s="1189"/>
      <c r="EQ467" s="1189"/>
      <c r="ER467" s="1189"/>
      <c r="ES467" s="1189"/>
      <c r="ET467" s="1189"/>
      <c r="EU467" s="1189"/>
      <c r="EV467" s="1189"/>
      <c r="EW467" s="1189"/>
      <c r="EX467" s="1190"/>
      <c r="EY467" s="1190"/>
      <c r="EZ467" s="1189"/>
      <c r="FA467" s="1189"/>
      <c r="FB467" s="1189"/>
      <c r="FC467" s="1189"/>
      <c r="FD467" s="1189"/>
      <c r="FE467" s="1189"/>
      <c r="FF467" s="1189"/>
      <c r="FG467" s="1189"/>
      <c r="FH467" s="1190"/>
      <c r="FI467" s="1190"/>
      <c r="FJ467" s="1191"/>
    </row>
    <row r="468" spans="1:166" ht="14" hidden="1" customHeight="1">
      <c r="A468" s="153" t="s">
        <v>1011</v>
      </c>
      <c r="B468" s="618">
        <v>34</v>
      </c>
      <c r="C468" s="618"/>
      <c r="D468" s="618"/>
      <c r="E468" s="610" t="s">
        <v>2098</v>
      </c>
      <c r="F468" s="368" t="s">
        <v>2353</v>
      </c>
      <c r="G468" s="369">
        <v>2010</v>
      </c>
      <c r="H468" s="153">
        <v>20599458</v>
      </c>
      <c r="I468" s="153">
        <v>1</v>
      </c>
      <c r="J468" s="370">
        <v>1</v>
      </c>
      <c r="K468" s="371"/>
      <c r="L468" s="153">
        <v>1</v>
      </c>
      <c r="M468" s="153"/>
      <c r="N468" s="153">
        <v>1</v>
      </c>
      <c r="O468" s="153">
        <v>2</v>
      </c>
      <c r="P468" s="153" t="s">
        <v>1220</v>
      </c>
      <c r="Q468" s="153" t="s">
        <v>1212</v>
      </c>
      <c r="R468" s="153" t="s">
        <v>1127</v>
      </c>
      <c r="S468" s="153"/>
      <c r="T468" s="153" t="s">
        <v>1501</v>
      </c>
      <c r="U468" s="153"/>
      <c r="V468" s="153"/>
      <c r="W468" s="153" t="s">
        <v>1438</v>
      </c>
      <c r="X468" s="153"/>
      <c r="Y468" s="153"/>
      <c r="Z468" s="153"/>
      <c r="AA468" s="153" t="s">
        <v>1439</v>
      </c>
      <c r="AB468" s="153"/>
      <c r="AC468" s="536"/>
      <c r="AD468" s="536">
        <v>1</v>
      </c>
      <c r="AE468" s="536">
        <v>2</v>
      </c>
      <c r="AF468" s="165">
        <v>0</v>
      </c>
      <c r="AG468" s="166" t="s">
        <v>7301</v>
      </c>
      <c r="AH468" s="509">
        <v>0</v>
      </c>
      <c r="AI468" s="120">
        <v>4</v>
      </c>
      <c r="AJ468" s="120"/>
      <c r="AK468" s="206" t="s">
        <v>3238</v>
      </c>
      <c r="AL468" s="372">
        <v>2</v>
      </c>
      <c r="AM468" s="207" t="s">
        <v>3242</v>
      </c>
      <c r="AN468" s="120">
        <v>10</v>
      </c>
      <c r="AO468" s="120" t="s">
        <v>3235</v>
      </c>
      <c r="AP468" s="120" t="s">
        <v>24</v>
      </c>
      <c r="AQ468" s="120" t="s">
        <v>803</v>
      </c>
      <c r="AR468" s="120" t="s">
        <v>24</v>
      </c>
      <c r="AS468" s="120" t="s">
        <v>2687</v>
      </c>
      <c r="AT468" s="120" t="s">
        <v>24</v>
      </c>
      <c r="AU468" s="120" t="s">
        <v>24</v>
      </c>
      <c r="AV468" s="120" t="s">
        <v>24</v>
      </c>
      <c r="AW468" s="120" t="s">
        <v>3231</v>
      </c>
      <c r="AX468" s="120">
        <v>1</v>
      </c>
      <c r="AY468" s="120">
        <v>1.5</v>
      </c>
      <c r="AZ468" s="755" t="s">
        <v>1814</v>
      </c>
      <c r="BA468" s="120">
        <v>1</v>
      </c>
      <c r="BB468" s="120" t="s">
        <v>3336</v>
      </c>
      <c r="BC468" s="120" t="s">
        <v>24</v>
      </c>
      <c r="BD468" s="755"/>
      <c r="BE468" s="755"/>
      <c r="BF468" s="120" t="s">
        <v>2912</v>
      </c>
      <c r="BG468" s="120" t="s">
        <v>3236</v>
      </c>
      <c r="BH468" s="377"/>
      <c r="BI468" s="377"/>
      <c r="BJ468" s="373">
        <v>1</v>
      </c>
      <c r="BK468" s="373"/>
      <c r="BL468" s="373"/>
      <c r="BM468" s="373"/>
      <c r="BN468" s="373"/>
      <c r="BO468" s="373"/>
      <c r="BP468" s="373"/>
      <c r="BQ468" s="373"/>
      <c r="BR468" s="373"/>
      <c r="BS468" s="373"/>
      <c r="BT468" s="373"/>
      <c r="BU468" s="373"/>
      <c r="BV468" s="373"/>
      <c r="BW468" s="599" t="s">
        <v>2529</v>
      </c>
      <c r="BX468" s="374" t="s">
        <v>6597</v>
      </c>
      <c r="BY468" s="374"/>
      <c r="BZ468" s="374"/>
      <c r="CA468" s="511"/>
      <c r="CB468" s="511"/>
      <c r="CC468" s="781"/>
      <c r="CD468" s="120" t="s">
        <v>2789</v>
      </c>
      <c r="CE468" s="120" t="s">
        <v>3233</v>
      </c>
      <c r="CF468" s="120"/>
      <c r="CG468" s="120" t="s">
        <v>3232</v>
      </c>
      <c r="CH468" s="755"/>
      <c r="CI468" s="120" t="s">
        <v>2471</v>
      </c>
      <c r="CJ468" s="120"/>
      <c r="CK468" s="120" t="s">
        <v>3237</v>
      </c>
      <c r="CL468" s="120" t="s">
        <v>6640</v>
      </c>
      <c r="CM468" s="375" t="s">
        <v>3275</v>
      </c>
      <c r="CN468" s="380" t="s">
        <v>23</v>
      </c>
      <c r="CO468" s="380"/>
      <c r="CP468" s="380"/>
      <c r="CQ468" s="380"/>
      <c r="CR468" s="380"/>
      <c r="CS468" s="380"/>
      <c r="CT468" s="380"/>
      <c r="CU468" s="380"/>
      <c r="CV468" s="380"/>
      <c r="CW468" s="380"/>
      <c r="CX468" s="376" t="s">
        <v>3246</v>
      </c>
      <c r="CY468" s="120">
        <v>175.61500000000001</v>
      </c>
      <c r="CZ468" s="120" t="s">
        <v>24</v>
      </c>
      <c r="DA468" s="120">
        <f>203.637-Table66[[#This Row],[Data_Outcome1_M]]</f>
        <v>28.021999999999991</v>
      </c>
      <c r="DB468" s="720" t="s">
        <v>3251</v>
      </c>
      <c r="DC468" s="120">
        <v>98.436499999999995</v>
      </c>
      <c r="DD468" s="120" t="s">
        <v>24</v>
      </c>
      <c r="DE468" s="120">
        <f>119.039-Table66[[#This Row],[Data_Outcome2_M]]</f>
        <v>20.602500000000006</v>
      </c>
      <c r="DF468" s="621" t="s">
        <v>24</v>
      </c>
      <c r="DG468" s="509" t="s">
        <v>24</v>
      </c>
      <c r="DH468" s="1270" t="s">
        <v>3257</v>
      </c>
      <c r="DI468" s="120">
        <v>64.945300000000003</v>
      </c>
      <c r="DJ468" s="384" t="s">
        <v>24</v>
      </c>
      <c r="DK468" s="120">
        <f>87.195-Table66[[#This Row],[Data_Outcome3_M]]</f>
        <v>22.24969999999999</v>
      </c>
      <c r="DL468" s="727" t="s">
        <v>24</v>
      </c>
      <c r="DM468" s="384" t="s">
        <v>24</v>
      </c>
      <c r="DN468" s="384" t="s">
        <v>24</v>
      </c>
      <c r="DO468" s="384" t="s">
        <v>24</v>
      </c>
      <c r="DP468" s="375" t="s">
        <v>3263</v>
      </c>
      <c r="DQ468" s="377" t="s">
        <v>3264</v>
      </c>
      <c r="DR468" s="1182"/>
      <c r="DS468" s="956"/>
      <c r="DT468" s="727"/>
      <c r="DU468" s="384"/>
      <c r="DV468" s="384"/>
      <c r="DW468" s="384"/>
      <c r="DX468" s="384"/>
      <c r="DY468" s="120"/>
      <c r="DZ468" s="384"/>
      <c r="EA468" s="120"/>
      <c r="EB468" s="1012"/>
      <c r="EC468" s="384"/>
      <c r="ED468" s="384"/>
      <c r="EE468" s="120"/>
      <c r="EF468" s="384"/>
      <c r="EG468" s="120"/>
      <c r="EH468" s="384"/>
      <c r="EI468" s="120"/>
      <c r="EJ468" s="384"/>
      <c r="EK468" s="120"/>
      <c r="EL468" s="1012"/>
      <c r="EM468" s="384"/>
      <c r="EN468" s="380"/>
      <c r="EO468" s="120"/>
      <c r="EP468" s="120"/>
      <c r="EQ468" s="120"/>
      <c r="ER468" s="120"/>
      <c r="ES468" s="120"/>
      <c r="ET468" s="376"/>
      <c r="EU468" s="120"/>
      <c r="EV468" s="120"/>
      <c r="EW468" s="120"/>
      <c r="EX468" s="120"/>
      <c r="EY468" s="120"/>
      <c r="EZ468" s="376"/>
      <c r="FA468" s="120"/>
      <c r="FB468" s="384"/>
      <c r="FC468" s="384"/>
      <c r="FD468" s="727"/>
      <c r="FE468" s="384"/>
      <c r="FF468" s="384"/>
      <c r="FG468" s="384"/>
      <c r="FH468" s="384"/>
      <c r="FI468" s="120"/>
      <c r="FJ468" s="384"/>
    </row>
    <row r="469" spans="1:166" ht="14" hidden="1" customHeight="1">
      <c r="A469" s="158" t="s">
        <v>1011</v>
      </c>
      <c r="B469" s="618">
        <v>34</v>
      </c>
      <c r="C469" s="618"/>
      <c r="D469" s="618"/>
      <c r="E469" s="1095" t="s">
        <v>2098</v>
      </c>
      <c r="F469" s="711" t="s">
        <v>2353</v>
      </c>
      <c r="G469" s="1096">
        <v>2010</v>
      </c>
      <c r="H469" s="158">
        <v>20599458</v>
      </c>
      <c r="I469" s="158">
        <v>1</v>
      </c>
      <c r="J469" s="158">
        <v>1</v>
      </c>
      <c r="K469" s="158"/>
      <c r="L469" s="158">
        <v>1</v>
      </c>
      <c r="M469" s="158"/>
      <c r="N469" s="158">
        <v>1</v>
      </c>
      <c r="O469" s="158">
        <v>2</v>
      </c>
      <c r="P469" s="158" t="s">
        <v>1220</v>
      </c>
      <c r="Q469" s="158" t="s">
        <v>1212</v>
      </c>
      <c r="R469" s="158" t="s">
        <v>1127</v>
      </c>
      <c r="S469" s="158"/>
      <c r="T469" s="158" t="s">
        <v>1501</v>
      </c>
      <c r="U469" s="158"/>
      <c r="V469" s="158"/>
      <c r="W469" s="158" t="s">
        <v>1438</v>
      </c>
      <c r="X469" s="158"/>
      <c r="Y469" s="158"/>
      <c r="Z469" s="158"/>
      <c r="AA469" s="158" t="s">
        <v>1439</v>
      </c>
      <c r="AB469" s="158"/>
      <c r="AC469" s="800"/>
      <c r="AD469" s="536">
        <v>1</v>
      </c>
      <c r="AE469" s="536">
        <v>2</v>
      </c>
      <c r="AF469" s="165">
        <v>0</v>
      </c>
      <c r="AG469" s="166" t="s">
        <v>7301</v>
      </c>
      <c r="AH469" s="509">
        <v>0</v>
      </c>
      <c r="AI469" s="734">
        <v>4</v>
      </c>
      <c r="AJ469" s="734"/>
      <c r="AK469" s="739" t="s">
        <v>3238</v>
      </c>
      <c r="AL469" s="372">
        <v>2</v>
      </c>
      <c r="AM469" s="724" t="s">
        <v>3241</v>
      </c>
      <c r="AN469" s="749" t="s">
        <v>3273</v>
      </c>
      <c r="AO469" s="734" t="s">
        <v>3271</v>
      </c>
      <c r="AP469" s="734" t="s">
        <v>24</v>
      </c>
      <c r="AQ469" s="734" t="s">
        <v>803</v>
      </c>
      <c r="AR469" s="734" t="s">
        <v>24</v>
      </c>
      <c r="AS469" s="120" t="s">
        <v>2687</v>
      </c>
      <c r="AT469" s="734" t="s">
        <v>24</v>
      </c>
      <c r="AU469" s="734" t="s">
        <v>24</v>
      </c>
      <c r="AV469" s="734" t="s">
        <v>24</v>
      </c>
      <c r="AW469" s="734" t="s">
        <v>3231</v>
      </c>
      <c r="AX469" s="120">
        <v>1</v>
      </c>
      <c r="AY469" s="120">
        <v>1.5</v>
      </c>
      <c r="AZ469" s="755" t="s">
        <v>1814</v>
      </c>
      <c r="BA469" s="734">
        <v>1</v>
      </c>
      <c r="BB469" s="120" t="s">
        <v>3336</v>
      </c>
      <c r="BC469" s="734" t="s">
        <v>24</v>
      </c>
      <c r="BD469" s="755"/>
      <c r="BE469" s="755"/>
      <c r="BF469" s="734" t="s">
        <v>2912</v>
      </c>
      <c r="BG469" s="734" t="s">
        <v>3236</v>
      </c>
      <c r="BH469" s="372"/>
      <c r="BI469" s="372"/>
      <c r="BJ469" s="735">
        <v>1</v>
      </c>
      <c r="BK469" s="735"/>
      <c r="BL469" s="735"/>
      <c r="BM469" s="735"/>
      <c r="BN469" s="735"/>
      <c r="BO469" s="735"/>
      <c r="BP469" s="735"/>
      <c r="BQ469" s="735"/>
      <c r="BR469" s="735"/>
      <c r="BS469" s="735"/>
      <c r="BT469" s="735"/>
      <c r="BU469" s="735"/>
      <c r="BV469" s="735"/>
      <c r="BW469" s="735" t="s">
        <v>2529</v>
      </c>
      <c r="BX469" s="374" t="s">
        <v>6597</v>
      </c>
      <c r="BY469" s="374"/>
      <c r="BZ469" s="374"/>
      <c r="CA469" s="511"/>
      <c r="CB469" s="781"/>
      <c r="CC469" s="781"/>
      <c r="CD469" s="734" t="s">
        <v>2789</v>
      </c>
      <c r="CE469" s="734" t="s">
        <v>3233</v>
      </c>
      <c r="CF469" s="734"/>
      <c r="CG469" s="734" t="s">
        <v>3232</v>
      </c>
      <c r="CH469" s="755"/>
      <c r="CI469" s="734" t="s">
        <v>2471</v>
      </c>
      <c r="CJ469" s="734"/>
      <c r="CK469" s="734" t="s">
        <v>3237</v>
      </c>
      <c r="CL469" s="120" t="s">
        <v>6640</v>
      </c>
      <c r="CM469" s="737" t="s">
        <v>3275</v>
      </c>
      <c r="CN469" s="380" t="s">
        <v>23</v>
      </c>
      <c r="CO469" s="380"/>
      <c r="CP469" s="380"/>
      <c r="CQ469" s="380"/>
      <c r="CR469" s="380"/>
      <c r="CS469" s="380"/>
      <c r="CT469" s="380"/>
      <c r="CU469" s="380"/>
      <c r="CV469" s="380"/>
      <c r="CW469" s="380"/>
      <c r="CX469" s="736" t="s">
        <v>3245</v>
      </c>
      <c r="CY469" s="734">
        <v>223.06100000000001</v>
      </c>
      <c r="CZ469" s="734" t="s">
        <v>24</v>
      </c>
      <c r="DA469" s="734">
        <f>241.429-Table66[[#This Row],[Data_Outcome1_M]]</f>
        <v>18.367999999999995</v>
      </c>
      <c r="DB469" s="745" t="s">
        <v>3252</v>
      </c>
      <c r="DC469" s="734">
        <v>178.571</v>
      </c>
      <c r="DD469" s="734" t="s">
        <v>24</v>
      </c>
      <c r="DE469" s="734">
        <f>200.204-Table66[[#This Row],[Data_Outcome2_M]]</f>
        <v>21.63300000000001</v>
      </c>
      <c r="DF469" s="515" t="s">
        <v>24</v>
      </c>
      <c r="DG469" s="513" t="s">
        <v>24</v>
      </c>
      <c r="DH469" s="1272" t="s">
        <v>3258</v>
      </c>
      <c r="DI469" s="734">
        <v>120.61199999999999</v>
      </c>
      <c r="DJ469" s="778" t="s">
        <v>24</v>
      </c>
      <c r="DK469" s="734">
        <f>141.837-Table66[[#This Row],[Data_Outcome3_M]]</f>
        <v>21.224999999999994</v>
      </c>
      <c r="DL469" s="1180" t="s">
        <v>24</v>
      </c>
      <c r="DM469" s="778" t="s">
        <v>24</v>
      </c>
      <c r="DN469" s="778" t="s">
        <v>24</v>
      </c>
      <c r="DO469" s="778" t="s">
        <v>24</v>
      </c>
      <c r="DP469" s="737" t="s">
        <v>3263</v>
      </c>
      <c r="DQ469" s="372" t="s">
        <v>3264</v>
      </c>
      <c r="DR469" s="1182"/>
      <c r="DS469" s="956"/>
      <c r="DT469" s="1180"/>
      <c r="DU469" s="778"/>
      <c r="DV469" s="778"/>
      <c r="DW469" s="778"/>
      <c r="DX469" s="778"/>
      <c r="DY469" s="734"/>
      <c r="DZ469" s="778"/>
      <c r="EA469" s="734"/>
      <c r="EB469" s="1181"/>
      <c r="EC469" s="778"/>
      <c r="ED469" s="778"/>
      <c r="EE469" s="734"/>
      <c r="EF469" s="778"/>
      <c r="EG469" s="734"/>
      <c r="EH469" s="778"/>
      <c r="EI469" s="734"/>
      <c r="EJ469" s="778"/>
      <c r="EK469" s="734"/>
      <c r="EL469" s="1181"/>
      <c r="EM469" s="778"/>
      <c r="EN469" s="738"/>
      <c r="EO469" s="734"/>
      <c r="EP469" s="734"/>
      <c r="EQ469" s="734"/>
      <c r="ER469" s="734"/>
      <c r="ES469" s="734"/>
      <c r="ET469" s="736"/>
      <c r="EU469" s="734"/>
      <c r="EV469" s="734"/>
      <c r="EW469" s="734"/>
      <c r="EX469" s="734"/>
      <c r="EY469" s="734"/>
      <c r="EZ469" s="736"/>
      <c r="FA469" s="734"/>
      <c r="FB469" s="778"/>
      <c r="FC469" s="778"/>
      <c r="FD469" s="1180"/>
      <c r="FE469" s="778"/>
      <c r="FF469" s="778"/>
      <c r="FG469" s="778"/>
      <c r="FH469" s="778"/>
      <c r="FI469" s="734"/>
      <c r="FJ469" s="778"/>
    </row>
    <row r="470" spans="1:166" ht="14" hidden="1" customHeight="1">
      <c r="A470" s="158" t="s">
        <v>1011</v>
      </c>
      <c r="B470" s="618">
        <v>34</v>
      </c>
      <c r="C470" s="618"/>
      <c r="D470" s="618"/>
      <c r="E470" s="1095" t="s">
        <v>2098</v>
      </c>
      <c r="F470" s="711" t="s">
        <v>2353</v>
      </c>
      <c r="G470" s="1096">
        <v>2010</v>
      </c>
      <c r="H470" s="158">
        <v>20599458</v>
      </c>
      <c r="I470" s="158">
        <v>1</v>
      </c>
      <c r="J470" s="158">
        <v>1</v>
      </c>
      <c r="K470" s="158"/>
      <c r="L470" s="158">
        <v>1</v>
      </c>
      <c r="M470" s="158"/>
      <c r="N470" s="158">
        <v>1</v>
      </c>
      <c r="O470" s="158">
        <v>2</v>
      </c>
      <c r="P470" s="158" t="s">
        <v>1220</v>
      </c>
      <c r="Q470" s="158" t="s">
        <v>1212</v>
      </c>
      <c r="R470" s="158" t="s">
        <v>1127</v>
      </c>
      <c r="S470" s="158"/>
      <c r="T470" s="158" t="s">
        <v>1501</v>
      </c>
      <c r="U470" s="158"/>
      <c r="V470" s="158"/>
      <c r="W470" s="158" t="s">
        <v>1438</v>
      </c>
      <c r="X470" s="158"/>
      <c r="Y470" s="158"/>
      <c r="Z470" s="158"/>
      <c r="AA470" s="158" t="s">
        <v>1439</v>
      </c>
      <c r="AB470" s="158"/>
      <c r="AC470" s="800"/>
      <c r="AD470" s="536">
        <v>1</v>
      </c>
      <c r="AE470" s="536">
        <v>2</v>
      </c>
      <c r="AF470" s="165">
        <v>0</v>
      </c>
      <c r="AG470" s="166" t="s">
        <v>7302</v>
      </c>
      <c r="AH470" s="509">
        <v>0</v>
      </c>
      <c r="AI470" s="734">
        <v>4</v>
      </c>
      <c r="AJ470" s="734"/>
      <c r="AK470" s="739" t="s">
        <v>3238</v>
      </c>
      <c r="AL470" s="372">
        <v>2</v>
      </c>
      <c r="AM470" s="724" t="s">
        <v>3240</v>
      </c>
      <c r="AN470" s="734">
        <v>10</v>
      </c>
      <c r="AO470" s="734" t="s">
        <v>3235</v>
      </c>
      <c r="AP470" s="734" t="s">
        <v>24</v>
      </c>
      <c r="AQ470" s="734" t="s">
        <v>803</v>
      </c>
      <c r="AR470" s="734" t="s">
        <v>24</v>
      </c>
      <c r="AS470" s="120" t="s">
        <v>2687</v>
      </c>
      <c r="AT470" s="734" t="s">
        <v>24</v>
      </c>
      <c r="AU470" s="734" t="s">
        <v>24</v>
      </c>
      <c r="AV470" s="734" t="s">
        <v>24</v>
      </c>
      <c r="AW470" s="734" t="s">
        <v>3231</v>
      </c>
      <c r="AX470" s="120">
        <v>1</v>
      </c>
      <c r="AY470" s="120">
        <v>1.5</v>
      </c>
      <c r="AZ470" s="755" t="s">
        <v>1814</v>
      </c>
      <c r="BA470" s="734">
        <v>1</v>
      </c>
      <c r="BB470" s="120" t="s">
        <v>3320</v>
      </c>
      <c r="BC470" s="734" t="s">
        <v>24</v>
      </c>
      <c r="BD470" s="755"/>
      <c r="BE470" s="755"/>
      <c r="BF470" s="734" t="s">
        <v>2912</v>
      </c>
      <c r="BG470" s="734" t="s">
        <v>3236</v>
      </c>
      <c r="BH470" s="372"/>
      <c r="BI470" s="372"/>
      <c r="BJ470" s="735">
        <v>1</v>
      </c>
      <c r="BK470" s="735"/>
      <c r="BL470" s="735"/>
      <c r="BM470" s="735"/>
      <c r="BN470" s="735"/>
      <c r="BO470" s="735"/>
      <c r="BP470" s="735"/>
      <c r="BQ470" s="735"/>
      <c r="BR470" s="735"/>
      <c r="BS470" s="735"/>
      <c r="BT470" s="735"/>
      <c r="BU470" s="735"/>
      <c r="BV470" s="735"/>
      <c r="BW470" s="735" t="s">
        <v>2529</v>
      </c>
      <c r="BX470" s="374" t="s">
        <v>6597</v>
      </c>
      <c r="BY470" s="374"/>
      <c r="BZ470" s="374"/>
      <c r="CA470" s="511"/>
      <c r="CB470" s="781"/>
      <c r="CC470" s="781"/>
      <c r="CD470" s="734" t="s">
        <v>2789</v>
      </c>
      <c r="CE470" s="734" t="s">
        <v>3233</v>
      </c>
      <c r="CF470" s="734"/>
      <c r="CG470" s="734" t="s">
        <v>3232</v>
      </c>
      <c r="CH470" s="755"/>
      <c r="CI470" s="734" t="s">
        <v>2471</v>
      </c>
      <c r="CJ470" s="734"/>
      <c r="CK470" s="734" t="s">
        <v>3237</v>
      </c>
      <c r="CL470" s="120" t="s">
        <v>6640</v>
      </c>
      <c r="CM470" s="737" t="s">
        <v>3275</v>
      </c>
      <c r="CN470" s="380" t="s">
        <v>23</v>
      </c>
      <c r="CO470" s="380"/>
      <c r="CP470" s="380"/>
      <c r="CQ470" s="380"/>
      <c r="CR470" s="380"/>
      <c r="CS470" s="380"/>
      <c r="CT470" s="380"/>
      <c r="CU470" s="380"/>
      <c r="CV470" s="380"/>
      <c r="CW470" s="380"/>
      <c r="CX470" s="736" t="s">
        <v>3247</v>
      </c>
      <c r="CY470" s="734">
        <v>160.44399999999999</v>
      </c>
      <c r="CZ470" s="734" t="s">
        <v>24</v>
      </c>
      <c r="DA470" s="734">
        <f>181.262-Table66[[#This Row],[Data_Outcome1_M]]</f>
        <v>20.818000000000012</v>
      </c>
      <c r="DB470" s="745" t="s">
        <v>3253</v>
      </c>
      <c r="DC470" s="734">
        <v>96.985200000000006</v>
      </c>
      <c r="DD470" s="734" t="s">
        <v>24</v>
      </c>
      <c r="DE470" s="734">
        <f>118.411-Table66[[#This Row],[Data_Outcome2_M]]</f>
        <v>21.425799999999995</v>
      </c>
      <c r="DF470" s="515" t="s">
        <v>24</v>
      </c>
      <c r="DG470" s="513" t="s">
        <v>24</v>
      </c>
      <c r="DH470" s="1272" t="s">
        <v>3259</v>
      </c>
      <c r="DI470" s="734">
        <v>88.628799999999998</v>
      </c>
      <c r="DJ470" s="778" t="s">
        <v>24</v>
      </c>
      <c r="DK470" s="734">
        <f>110.056-Table66[[#This Row],[Data_Outcome3_M]]</f>
        <v>21.427199999999999</v>
      </c>
      <c r="DL470" s="1180" t="s">
        <v>24</v>
      </c>
      <c r="DM470" s="778" t="s">
        <v>24</v>
      </c>
      <c r="DN470" s="778" t="s">
        <v>24</v>
      </c>
      <c r="DO470" s="778" t="s">
        <v>24</v>
      </c>
      <c r="DP470" s="737" t="s">
        <v>3263</v>
      </c>
      <c r="DQ470" s="372" t="s">
        <v>3264</v>
      </c>
      <c r="DR470" s="1182"/>
      <c r="DS470" s="956"/>
      <c r="DT470" s="1180"/>
      <c r="DU470" s="778"/>
      <c r="DV470" s="778"/>
      <c r="DW470" s="778"/>
      <c r="DX470" s="778"/>
      <c r="DY470" s="734"/>
      <c r="DZ470" s="778"/>
      <c r="EA470" s="734"/>
      <c r="EB470" s="1181"/>
      <c r="EC470" s="778"/>
      <c r="ED470" s="778"/>
      <c r="EE470" s="734"/>
      <c r="EF470" s="778"/>
      <c r="EG470" s="734"/>
      <c r="EH470" s="778"/>
      <c r="EI470" s="734"/>
      <c r="EJ470" s="778"/>
      <c r="EK470" s="734"/>
      <c r="EL470" s="1181"/>
      <c r="EM470" s="778"/>
      <c r="EN470" s="738"/>
      <c r="EO470" s="734"/>
      <c r="EP470" s="734"/>
      <c r="EQ470" s="734"/>
      <c r="ER470" s="734"/>
      <c r="ES470" s="734"/>
      <c r="ET470" s="736"/>
      <c r="EU470" s="734"/>
      <c r="EV470" s="734"/>
      <c r="EW470" s="734"/>
      <c r="EX470" s="734"/>
      <c r="EY470" s="734"/>
      <c r="EZ470" s="736"/>
      <c r="FA470" s="734"/>
      <c r="FB470" s="778"/>
      <c r="FC470" s="778"/>
      <c r="FD470" s="1180"/>
      <c r="FE470" s="778"/>
      <c r="FF470" s="778"/>
      <c r="FG470" s="778"/>
      <c r="FH470" s="778"/>
      <c r="FI470" s="734"/>
      <c r="FJ470" s="778"/>
    </row>
    <row r="471" spans="1:166" ht="14" hidden="1" customHeight="1">
      <c r="A471" s="158" t="s">
        <v>1011</v>
      </c>
      <c r="B471" s="618">
        <v>34</v>
      </c>
      <c r="C471" s="618"/>
      <c r="D471" s="618"/>
      <c r="E471" s="1095" t="s">
        <v>2098</v>
      </c>
      <c r="F471" s="711" t="s">
        <v>2353</v>
      </c>
      <c r="G471" s="1096">
        <v>2010</v>
      </c>
      <c r="H471" s="158">
        <v>20599458</v>
      </c>
      <c r="I471" s="158">
        <v>1</v>
      </c>
      <c r="J471" s="158">
        <v>1</v>
      </c>
      <c r="K471" s="158"/>
      <c r="L471" s="158">
        <v>1</v>
      </c>
      <c r="M471" s="158"/>
      <c r="N471" s="158">
        <v>1</v>
      </c>
      <c r="O471" s="158">
        <v>2</v>
      </c>
      <c r="P471" s="158" t="s">
        <v>1220</v>
      </c>
      <c r="Q471" s="158" t="s">
        <v>1212</v>
      </c>
      <c r="R471" s="158" t="s">
        <v>1127</v>
      </c>
      <c r="S471" s="158"/>
      <c r="T471" s="158" t="s">
        <v>1501</v>
      </c>
      <c r="U471" s="158"/>
      <c r="V471" s="158"/>
      <c r="W471" s="158" t="s">
        <v>1438</v>
      </c>
      <c r="X471" s="158"/>
      <c r="Y471" s="158"/>
      <c r="Z471" s="158"/>
      <c r="AA471" s="158" t="s">
        <v>1439</v>
      </c>
      <c r="AB471" s="158"/>
      <c r="AC471" s="800"/>
      <c r="AD471" s="536">
        <v>1</v>
      </c>
      <c r="AE471" s="536">
        <v>2</v>
      </c>
      <c r="AF471" s="165">
        <v>0</v>
      </c>
      <c r="AG471" s="166" t="s">
        <v>7302</v>
      </c>
      <c r="AH471" s="509">
        <v>0</v>
      </c>
      <c r="AI471" s="734">
        <v>4</v>
      </c>
      <c r="AJ471" s="734"/>
      <c r="AK471" s="739" t="s">
        <v>3238</v>
      </c>
      <c r="AL471" s="372">
        <v>2</v>
      </c>
      <c r="AM471" s="750" t="s">
        <v>3239</v>
      </c>
      <c r="AN471" s="734">
        <v>10</v>
      </c>
      <c r="AO471" s="734" t="s">
        <v>3235</v>
      </c>
      <c r="AP471" s="734" t="s">
        <v>24</v>
      </c>
      <c r="AQ471" s="734" t="s">
        <v>803</v>
      </c>
      <c r="AR471" s="734" t="s">
        <v>24</v>
      </c>
      <c r="AS471" s="120" t="s">
        <v>2687</v>
      </c>
      <c r="AT471" s="734" t="s">
        <v>24</v>
      </c>
      <c r="AU471" s="734" t="s">
        <v>24</v>
      </c>
      <c r="AV471" s="734" t="s">
        <v>24</v>
      </c>
      <c r="AW471" s="734" t="s">
        <v>3231</v>
      </c>
      <c r="AX471" s="120">
        <v>1</v>
      </c>
      <c r="AY471" s="120">
        <v>1.5</v>
      </c>
      <c r="AZ471" s="755" t="s">
        <v>1814</v>
      </c>
      <c r="BA471" s="734">
        <v>1</v>
      </c>
      <c r="BB471" s="120" t="s">
        <v>3336</v>
      </c>
      <c r="BC471" s="734" t="s">
        <v>24</v>
      </c>
      <c r="BD471" s="755"/>
      <c r="BE471" s="755"/>
      <c r="BF471" s="734" t="s">
        <v>2912</v>
      </c>
      <c r="BG471" s="734" t="s">
        <v>3236</v>
      </c>
      <c r="BH471" s="372"/>
      <c r="BI471" s="372"/>
      <c r="BJ471" s="735">
        <v>1</v>
      </c>
      <c r="BK471" s="735"/>
      <c r="BL471" s="735"/>
      <c r="BM471" s="735"/>
      <c r="BN471" s="735"/>
      <c r="BO471" s="735"/>
      <c r="BP471" s="735"/>
      <c r="BQ471" s="735"/>
      <c r="BR471" s="735"/>
      <c r="BS471" s="735"/>
      <c r="BT471" s="735"/>
      <c r="BU471" s="735"/>
      <c r="BV471" s="735"/>
      <c r="BW471" s="735" t="s">
        <v>2529</v>
      </c>
      <c r="BX471" s="374" t="s">
        <v>6597</v>
      </c>
      <c r="BY471" s="374"/>
      <c r="BZ471" s="374"/>
      <c r="CA471" s="510"/>
      <c r="CB471" s="510"/>
      <c r="CC471" s="510"/>
      <c r="CD471" s="734" t="s">
        <v>2789</v>
      </c>
      <c r="CE471" s="734" t="s">
        <v>3233</v>
      </c>
      <c r="CF471" s="734"/>
      <c r="CG471" s="734" t="s">
        <v>3232</v>
      </c>
      <c r="CH471" s="755"/>
      <c r="CI471" s="734" t="s">
        <v>2471</v>
      </c>
      <c r="CJ471" s="734"/>
      <c r="CK471" s="734" t="s">
        <v>3237</v>
      </c>
      <c r="CL471" s="120" t="s">
        <v>6640</v>
      </c>
      <c r="CM471" s="737" t="s">
        <v>3275</v>
      </c>
      <c r="CN471" s="380" t="s">
        <v>23</v>
      </c>
      <c r="CO471" s="380"/>
      <c r="CP471" s="380"/>
      <c r="CQ471" s="380"/>
      <c r="CR471" s="380"/>
      <c r="CS471" s="380"/>
      <c r="CT471" s="380"/>
      <c r="CU471" s="380"/>
      <c r="CV471" s="380"/>
      <c r="CW471" s="380"/>
      <c r="CX471" s="736" t="s">
        <v>3248</v>
      </c>
      <c r="CY471" s="734">
        <v>243.60900000000001</v>
      </c>
      <c r="CZ471" s="734" t="s">
        <v>24</v>
      </c>
      <c r="DA471" s="734">
        <f>275.51-Table66[[#This Row],[Data_Outcome1_M]]</f>
        <v>31.900999999999982</v>
      </c>
      <c r="DB471" s="745" t="s">
        <v>3254</v>
      </c>
      <c r="DC471" s="734">
        <v>192.291</v>
      </c>
      <c r="DD471" s="734" t="s">
        <v>24</v>
      </c>
      <c r="DE471" s="734">
        <f>218.67-Table66[[#This Row],[Data_Outcome2_M]]</f>
        <v>26.378999999999991</v>
      </c>
      <c r="DF471" s="515" t="s">
        <v>24</v>
      </c>
      <c r="DG471" s="513" t="s">
        <v>24</v>
      </c>
      <c r="DH471" s="745" t="s">
        <v>3260</v>
      </c>
      <c r="DI471" s="734">
        <v>107.236</v>
      </c>
      <c r="DJ471" s="778" t="s">
        <v>24</v>
      </c>
      <c r="DK471" s="734">
        <f>126.253-Table66[[#This Row],[Data_Outcome3_M]]</f>
        <v>19.016999999999996</v>
      </c>
      <c r="DL471" s="1180" t="s">
        <v>24</v>
      </c>
      <c r="DM471" s="778" t="s">
        <v>24</v>
      </c>
      <c r="DN471" s="778" t="s">
        <v>24</v>
      </c>
      <c r="DO471" s="778" t="s">
        <v>24</v>
      </c>
      <c r="DP471" s="737" t="s">
        <v>3265</v>
      </c>
      <c r="DQ471" s="372" t="s">
        <v>3266</v>
      </c>
      <c r="DR471" s="1182"/>
      <c r="DS471" s="956"/>
      <c r="DT471" s="1180"/>
      <c r="DU471" s="778"/>
      <c r="DV471" s="778"/>
      <c r="DW471" s="778"/>
      <c r="DX471" s="778"/>
      <c r="DY471" s="778"/>
      <c r="DZ471" s="778"/>
      <c r="EA471" s="734"/>
      <c r="EB471" s="1181"/>
      <c r="EC471" s="778"/>
      <c r="ED471" s="778"/>
      <c r="EE471" s="778"/>
      <c r="EF471" s="778"/>
      <c r="EG471" s="778"/>
      <c r="EH471" s="778"/>
      <c r="EI471" s="778"/>
      <c r="EJ471" s="778"/>
      <c r="EK471" s="778"/>
      <c r="EL471" s="1181"/>
      <c r="EM471" s="778"/>
      <c r="EN471" s="1181"/>
      <c r="EO471" s="778"/>
      <c r="EP471" s="778"/>
      <c r="EQ471" s="778"/>
      <c r="ER471" s="778"/>
      <c r="ES471" s="778"/>
      <c r="ET471" s="1180"/>
      <c r="EU471" s="778"/>
      <c r="EV471" s="778"/>
      <c r="EW471" s="778"/>
      <c r="EX471" s="778"/>
      <c r="EY471" s="778"/>
      <c r="EZ471" s="1180"/>
      <c r="FA471" s="778"/>
      <c r="FB471" s="778"/>
      <c r="FC471" s="778"/>
      <c r="FD471" s="1180"/>
      <c r="FE471" s="778"/>
      <c r="FF471" s="778"/>
      <c r="FG471" s="778"/>
      <c r="FH471" s="778"/>
      <c r="FI471" s="778"/>
      <c r="FJ471" s="778"/>
    </row>
    <row r="472" spans="1:166" ht="14" hidden="1" customHeight="1">
      <c r="A472" s="158" t="s">
        <v>1011</v>
      </c>
      <c r="B472" s="618">
        <v>34</v>
      </c>
      <c r="C472" s="618"/>
      <c r="D472" s="618"/>
      <c r="E472" s="1095" t="s">
        <v>2098</v>
      </c>
      <c r="F472" s="711" t="s">
        <v>2353</v>
      </c>
      <c r="G472" s="1096">
        <v>2010</v>
      </c>
      <c r="H472" s="158">
        <v>20599458</v>
      </c>
      <c r="I472" s="158">
        <v>1</v>
      </c>
      <c r="J472" s="158">
        <v>1</v>
      </c>
      <c r="K472" s="158"/>
      <c r="L472" s="158">
        <v>1</v>
      </c>
      <c r="M472" s="158"/>
      <c r="N472" s="158">
        <v>1</v>
      </c>
      <c r="O472" s="158">
        <v>2</v>
      </c>
      <c r="P472" s="158" t="s">
        <v>1220</v>
      </c>
      <c r="Q472" s="158" t="s">
        <v>1212</v>
      </c>
      <c r="R472" s="158" t="s">
        <v>1127</v>
      </c>
      <c r="S472" s="158"/>
      <c r="T472" s="158" t="s">
        <v>1501</v>
      </c>
      <c r="U472" s="158"/>
      <c r="V472" s="158"/>
      <c r="W472" s="158" t="s">
        <v>1438</v>
      </c>
      <c r="X472" s="158"/>
      <c r="Y472" s="158"/>
      <c r="Z472" s="158"/>
      <c r="AA472" s="158" t="s">
        <v>1439</v>
      </c>
      <c r="AB472" s="158"/>
      <c r="AC472" s="800"/>
      <c r="AD472" s="536">
        <v>1</v>
      </c>
      <c r="AE472" s="536">
        <v>2</v>
      </c>
      <c r="AF472" s="165">
        <v>0</v>
      </c>
      <c r="AG472" s="166" t="s">
        <v>7302</v>
      </c>
      <c r="AH472" s="509">
        <v>0</v>
      </c>
      <c r="AI472" s="734">
        <v>4</v>
      </c>
      <c r="AJ472" s="734"/>
      <c r="AK472" s="739" t="s">
        <v>3244</v>
      </c>
      <c r="AL472" s="372">
        <v>2</v>
      </c>
      <c r="AM472" s="750" t="s">
        <v>3272</v>
      </c>
      <c r="AN472" s="734">
        <v>10</v>
      </c>
      <c r="AO472" s="734" t="s">
        <v>3235</v>
      </c>
      <c r="AP472" s="734" t="s">
        <v>24</v>
      </c>
      <c r="AQ472" s="734" t="s">
        <v>803</v>
      </c>
      <c r="AR472" s="734" t="s">
        <v>24</v>
      </c>
      <c r="AS472" s="120" t="s">
        <v>2687</v>
      </c>
      <c r="AT472" s="734" t="s">
        <v>24</v>
      </c>
      <c r="AU472" s="734" t="s">
        <v>24</v>
      </c>
      <c r="AV472" s="734" t="s">
        <v>24</v>
      </c>
      <c r="AW472" s="734" t="s">
        <v>3231</v>
      </c>
      <c r="AX472" s="120">
        <v>1</v>
      </c>
      <c r="AY472" s="120">
        <v>1.5</v>
      </c>
      <c r="AZ472" s="755" t="s">
        <v>1814</v>
      </c>
      <c r="BA472" s="734">
        <v>1</v>
      </c>
      <c r="BB472" s="120" t="s">
        <v>3336</v>
      </c>
      <c r="BC472" s="734" t="s">
        <v>24</v>
      </c>
      <c r="BD472" s="755"/>
      <c r="BE472" s="755"/>
      <c r="BF472" s="734" t="s">
        <v>2912</v>
      </c>
      <c r="BG472" s="734" t="s">
        <v>3236</v>
      </c>
      <c r="BH472" s="372"/>
      <c r="BI472" s="372"/>
      <c r="BJ472" s="735">
        <v>1</v>
      </c>
      <c r="BK472" s="735"/>
      <c r="BL472" s="735"/>
      <c r="BM472" s="735"/>
      <c r="BN472" s="735"/>
      <c r="BO472" s="735"/>
      <c r="BP472" s="735"/>
      <c r="BQ472" s="735"/>
      <c r="BR472" s="735"/>
      <c r="BS472" s="735"/>
      <c r="BT472" s="735"/>
      <c r="BU472" s="735"/>
      <c r="BV472" s="735"/>
      <c r="BW472" s="735" t="s">
        <v>2529</v>
      </c>
      <c r="BX472" s="374" t="s">
        <v>6597</v>
      </c>
      <c r="BY472" s="374"/>
      <c r="BZ472" s="374"/>
      <c r="CA472" s="510"/>
      <c r="CB472" s="510"/>
      <c r="CC472" s="510"/>
      <c r="CD472" s="734" t="s">
        <v>2789</v>
      </c>
      <c r="CE472" s="734" t="s">
        <v>3233</v>
      </c>
      <c r="CF472" s="734"/>
      <c r="CG472" s="734" t="s">
        <v>3232</v>
      </c>
      <c r="CH472" s="755"/>
      <c r="CI472" s="734" t="s">
        <v>2471</v>
      </c>
      <c r="CJ472" s="734"/>
      <c r="CK472" s="734" t="s">
        <v>3237</v>
      </c>
      <c r="CL472" s="120" t="s">
        <v>6640</v>
      </c>
      <c r="CM472" s="737" t="s">
        <v>3276</v>
      </c>
      <c r="CN472" s="380" t="s">
        <v>23</v>
      </c>
      <c r="CO472" s="380"/>
      <c r="CP472" s="380"/>
      <c r="CQ472" s="380"/>
      <c r="CR472" s="380"/>
      <c r="CS472" s="380"/>
      <c r="CT472" s="380"/>
      <c r="CU472" s="380"/>
      <c r="CV472" s="380"/>
      <c r="CW472" s="380"/>
      <c r="CX472" s="736" t="s">
        <v>3249</v>
      </c>
      <c r="CY472" s="734">
        <v>195.12200000000001</v>
      </c>
      <c r="CZ472" s="734" t="s">
        <v>24</v>
      </c>
      <c r="DA472" s="734">
        <f>225-Table66[[#This Row],[Data_Outcome1_M]]</f>
        <v>29.877999999999986</v>
      </c>
      <c r="DB472" s="745" t="s">
        <v>3255</v>
      </c>
      <c r="DC472" s="734">
        <v>139.024</v>
      </c>
      <c r="DD472" s="734" t="s">
        <v>24</v>
      </c>
      <c r="DE472" s="734">
        <f>159.756-Table66[[#This Row],[Data_Outcome2_M]]</f>
        <v>20.731999999999999</v>
      </c>
      <c r="DF472" s="515" t="s">
        <v>24</v>
      </c>
      <c r="DG472" s="513" t="s">
        <v>24</v>
      </c>
      <c r="DH472" s="1272" t="s">
        <v>3261</v>
      </c>
      <c r="DI472" s="778">
        <v>85.9756</v>
      </c>
      <c r="DJ472" s="778" t="s">
        <v>24</v>
      </c>
      <c r="DK472" s="778">
        <f>101.829-Table66[[#This Row],[Data_Outcome3_M]]</f>
        <v>15.853399999999993</v>
      </c>
      <c r="DL472" s="1180" t="s">
        <v>24</v>
      </c>
      <c r="DM472" s="778" t="s">
        <v>24</v>
      </c>
      <c r="DN472" s="778" t="s">
        <v>24</v>
      </c>
      <c r="DO472" s="778" t="s">
        <v>24</v>
      </c>
      <c r="DP472" s="737" t="s">
        <v>3267</v>
      </c>
      <c r="DQ472" s="372" t="s">
        <v>3268</v>
      </c>
      <c r="DR472" s="1182"/>
      <c r="DS472" s="956"/>
      <c r="DT472" s="1180"/>
      <c r="DU472" s="734"/>
      <c r="DV472" s="778"/>
      <c r="DW472" s="734"/>
      <c r="DX472" s="778"/>
      <c r="DY472" s="778"/>
      <c r="DZ472" s="778"/>
      <c r="EA472" s="778"/>
      <c r="EB472" s="1181"/>
      <c r="EC472" s="778"/>
      <c r="ED472" s="778"/>
      <c r="EE472" s="778"/>
      <c r="EF472" s="778"/>
      <c r="EG472" s="778"/>
      <c r="EH472" s="778"/>
      <c r="EI472" s="778"/>
      <c r="EJ472" s="778"/>
      <c r="EK472" s="778"/>
      <c r="EL472" s="1181"/>
      <c r="EM472" s="778"/>
      <c r="EN472" s="1181"/>
      <c r="EO472" s="778"/>
      <c r="EP472" s="778"/>
      <c r="EQ472" s="778"/>
      <c r="ER472" s="778"/>
      <c r="ES472" s="778"/>
      <c r="ET472" s="1180"/>
      <c r="EU472" s="778"/>
      <c r="EV472" s="778"/>
      <c r="EW472" s="778"/>
      <c r="EX472" s="778"/>
      <c r="EY472" s="778"/>
      <c r="EZ472" s="1180"/>
      <c r="FA472" s="778"/>
      <c r="FB472" s="778"/>
      <c r="FC472" s="778"/>
      <c r="FD472" s="736"/>
      <c r="FE472" s="734"/>
      <c r="FF472" s="734"/>
      <c r="FG472" s="734"/>
      <c r="FH472" s="778"/>
      <c r="FI472" s="734"/>
      <c r="FJ472" s="778"/>
    </row>
    <row r="473" spans="1:166" ht="14" hidden="1" customHeight="1">
      <c r="A473" s="158" t="s">
        <v>1011</v>
      </c>
      <c r="B473" s="618">
        <v>34</v>
      </c>
      <c r="C473" s="618"/>
      <c r="D473" s="618"/>
      <c r="E473" s="1095" t="s">
        <v>2098</v>
      </c>
      <c r="F473" s="711" t="s">
        <v>2353</v>
      </c>
      <c r="G473" s="1096">
        <v>2010</v>
      </c>
      <c r="H473" s="158">
        <v>20599458</v>
      </c>
      <c r="I473" s="158">
        <v>1</v>
      </c>
      <c r="J473" s="158">
        <v>1</v>
      </c>
      <c r="K473" s="158"/>
      <c r="L473" s="158">
        <v>1</v>
      </c>
      <c r="M473" s="158"/>
      <c r="N473" s="158">
        <v>1</v>
      </c>
      <c r="O473" s="158">
        <v>2</v>
      </c>
      <c r="P473" s="158" t="s">
        <v>1220</v>
      </c>
      <c r="Q473" s="158" t="s">
        <v>1212</v>
      </c>
      <c r="R473" s="158" t="s">
        <v>1127</v>
      </c>
      <c r="S473" s="158"/>
      <c r="T473" s="158" t="s">
        <v>1501</v>
      </c>
      <c r="U473" s="158"/>
      <c r="V473" s="158"/>
      <c r="W473" s="158" t="s">
        <v>1438</v>
      </c>
      <c r="X473" s="158"/>
      <c r="Y473" s="158"/>
      <c r="Z473" s="158"/>
      <c r="AA473" s="158" t="s">
        <v>1439</v>
      </c>
      <c r="AB473" s="158"/>
      <c r="AC473" s="800"/>
      <c r="AD473" s="536">
        <v>1</v>
      </c>
      <c r="AE473" s="536">
        <v>2</v>
      </c>
      <c r="AF473" s="165">
        <v>0</v>
      </c>
      <c r="AG473" s="166" t="s">
        <v>7302</v>
      </c>
      <c r="AH473" s="509">
        <v>0</v>
      </c>
      <c r="AI473" s="734">
        <v>4</v>
      </c>
      <c r="AJ473" s="734"/>
      <c r="AK473" s="739" t="s">
        <v>3238</v>
      </c>
      <c r="AL473" s="372">
        <v>2</v>
      </c>
      <c r="AM473" s="750" t="s">
        <v>3243</v>
      </c>
      <c r="AN473" s="734" t="s">
        <v>3274</v>
      </c>
      <c r="AO473" s="734" t="s">
        <v>3270</v>
      </c>
      <c r="AP473" s="734" t="s">
        <v>24</v>
      </c>
      <c r="AQ473" s="734" t="s">
        <v>803</v>
      </c>
      <c r="AR473" s="734" t="s">
        <v>24</v>
      </c>
      <c r="AS473" s="120" t="s">
        <v>2687</v>
      </c>
      <c r="AT473" s="734" t="s">
        <v>24</v>
      </c>
      <c r="AU473" s="734" t="s">
        <v>24</v>
      </c>
      <c r="AV473" s="734" t="s">
        <v>24</v>
      </c>
      <c r="AW473" s="734" t="s">
        <v>3231</v>
      </c>
      <c r="AX473" s="120">
        <v>1</v>
      </c>
      <c r="AY473" s="120">
        <v>1.5</v>
      </c>
      <c r="AZ473" s="755" t="s">
        <v>1814</v>
      </c>
      <c r="BA473" s="734">
        <v>1</v>
      </c>
      <c r="BB473" s="120" t="s">
        <v>3336</v>
      </c>
      <c r="BC473" s="734" t="s">
        <v>24</v>
      </c>
      <c r="BD473" s="755"/>
      <c r="BE473" s="755"/>
      <c r="BF473" s="734" t="s">
        <v>2912</v>
      </c>
      <c r="BG473" s="734" t="s">
        <v>3236</v>
      </c>
      <c r="BH473" s="372"/>
      <c r="BI473" s="372"/>
      <c r="BJ473" s="735">
        <v>1</v>
      </c>
      <c r="BK473" s="735"/>
      <c r="BL473" s="735"/>
      <c r="BM473" s="735"/>
      <c r="BN473" s="735"/>
      <c r="BO473" s="735"/>
      <c r="BP473" s="735"/>
      <c r="BQ473" s="735"/>
      <c r="BR473" s="735"/>
      <c r="BS473" s="735"/>
      <c r="BT473" s="735"/>
      <c r="BU473" s="735"/>
      <c r="BV473" s="735"/>
      <c r="BW473" s="735" t="s">
        <v>2529</v>
      </c>
      <c r="BX473" s="374" t="s">
        <v>6597</v>
      </c>
      <c r="BY473" s="374"/>
      <c r="BZ473" s="374"/>
      <c r="CA473" s="510"/>
      <c r="CB473" s="510"/>
      <c r="CC473" s="510"/>
      <c r="CD473" s="734" t="s">
        <v>2789</v>
      </c>
      <c r="CE473" s="734" t="s">
        <v>3233</v>
      </c>
      <c r="CF473" s="734"/>
      <c r="CG473" s="734" t="s">
        <v>3232</v>
      </c>
      <c r="CH473" s="755"/>
      <c r="CI473" s="734" t="s">
        <v>2471</v>
      </c>
      <c r="CJ473" s="734"/>
      <c r="CK473" s="734" t="s">
        <v>3237</v>
      </c>
      <c r="CL473" s="120" t="s">
        <v>6640</v>
      </c>
      <c r="CM473" s="751" t="s">
        <v>3275</v>
      </c>
      <c r="CN473" s="380" t="s">
        <v>23</v>
      </c>
      <c r="CO473" s="380"/>
      <c r="CP473" s="380"/>
      <c r="CQ473" s="380"/>
      <c r="CR473" s="380"/>
      <c r="CS473" s="380"/>
      <c r="CT473" s="380"/>
      <c r="CU473" s="380"/>
      <c r="CV473" s="380"/>
      <c r="CW473" s="380"/>
      <c r="CX473" s="736" t="s">
        <v>3250</v>
      </c>
      <c r="CY473" s="734">
        <v>151.52099999999999</v>
      </c>
      <c r="CZ473" s="734" t="s">
        <v>24</v>
      </c>
      <c r="DA473" s="734">
        <f>159.432-Table66[[#This Row],[Data_Outcome1_M]]</f>
        <v>7.9110000000000014</v>
      </c>
      <c r="DB473" s="745" t="s">
        <v>3256</v>
      </c>
      <c r="DC473" s="734">
        <v>116.227</v>
      </c>
      <c r="DD473" s="734" t="s">
        <v>24</v>
      </c>
      <c r="DE473" s="734">
        <f>124.746-Table66[[#This Row],[Data_Outcome2_M]]</f>
        <v>8.5189999999999912</v>
      </c>
      <c r="DF473" s="515" t="s">
        <v>24</v>
      </c>
      <c r="DG473" s="513" t="s">
        <v>24</v>
      </c>
      <c r="DH473" s="1272" t="s">
        <v>3262</v>
      </c>
      <c r="DI473" s="778">
        <v>55.375300000000003</v>
      </c>
      <c r="DJ473" s="778" t="s">
        <v>24</v>
      </c>
      <c r="DK473" s="778">
        <f>60.2434-Table66[[#This Row],[Data_Outcome3_M]]</f>
        <v>4.8680999999999983</v>
      </c>
      <c r="DL473" s="1180" t="s">
        <v>24</v>
      </c>
      <c r="DM473" s="778" t="s">
        <v>24</v>
      </c>
      <c r="DN473" s="778" t="s">
        <v>24</v>
      </c>
      <c r="DO473" s="778" t="s">
        <v>24</v>
      </c>
      <c r="DP473" s="737" t="s">
        <v>3263</v>
      </c>
      <c r="DQ473" s="372" t="s">
        <v>3269</v>
      </c>
      <c r="DR473" s="1182"/>
      <c r="DS473" s="956"/>
      <c r="DT473" s="1180"/>
      <c r="DU473" s="778"/>
      <c r="DV473" s="778"/>
      <c r="DW473" s="778"/>
      <c r="DX473" s="778"/>
      <c r="DY473" s="778"/>
      <c r="DZ473" s="778"/>
      <c r="EA473" s="734"/>
      <c r="EB473" s="1181"/>
      <c r="EC473" s="778"/>
      <c r="ED473" s="778"/>
      <c r="EE473" s="778"/>
      <c r="EF473" s="778"/>
      <c r="EG473" s="778"/>
      <c r="EH473" s="778"/>
      <c r="EI473" s="778"/>
      <c r="EJ473" s="778"/>
      <c r="EK473" s="778"/>
      <c r="EL473" s="1181"/>
      <c r="EM473" s="778"/>
      <c r="EN473" s="1181"/>
      <c r="EO473" s="778"/>
      <c r="EP473" s="778"/>
      <c r="EQ473" s="778"/>
      <c r="ER473" s="778"/>
      <c r="ES473" s="778"/>
      <c r="ET473" s="1180"/>
      <c r="EU473" s="778"/>
      <c r="EV473" s="778"/>
      <c r="EW473" s="778"/>
      <c r="EX473" s="778"/>
      <c r="EY473" s="778"/>
      <c r="EZ473" s="1180"/>
      <c r="FA473" s="778"/>
      <c r="FB473" s="778"/>
      <c r="FC473" s="778"/>
      <c r="FD473" s="1180"/>
      <c r="FE473" s="778"/>
      <c r="FF473" s="778"/>
      <c r="FG473" s="778"/>
      <c r="FH473" s="778"/>
      <c r="FI473" s="778"/>
      <c r="FJ473" s="778"/>
    </row>
    <row r="474" spans="1:166" ht="14" hidden="1" customHeight="1">
      <c r="A474" s="153" t="s">
        <v>1010</v>
      </c>
      <c r="B474" s="618">
        <v>35</v>
      </c>
      <c r="C474" s="618"/>
      <c r="D474" s="618"/>
      <c r="E474" s="610" t="s">
        <v>2099</v>
      </c>
      <c r="F474" s="368" t="s">
        <v>2354</v>
      </c>
      <c r="G474" s="369">
        <v>2014</v>
      </c>
      <c r="H474" s="153">
        <v>25002839</v>
      </c>
      <c r="I474" s="153">
        <v>1</v>
      </c>
      <c r="J474" s="370"/>
      <c r="K474" s="371"/>
      <c r="L474" s="153">
        <v>1</v>
      </c>
      <c r="M474" s="153"/>
      <c r="N474" s="153">
        <v>1</v>
      </c>
      <c r="O474" s="153">
        <v>2</v>
      </c>
      <c r="P474" s="153" t="s">
        <v>1587</v>
      </c>
      <c r="Q474" s="153" t="s">
        <v>1216</v>
      </c>
      <c r="R474" s="153" t="s">
        <v>672</v>
      </c>
      <c r="S474" s="153"/>
      <c r="T474" s="153" t="s">
        <v>1504</v>
      </c>
      <c r="U474" s="153"/>
      <c r="V474" s="153"/>
      <c r="W474" s="153" t="s">
        <v>674</v>
      </c>
      <c r="X474" s="153"/>
      <c r="Y474" s="153" t="s">
        <v>1410</v>
      </c>
      <c r="Z474" s="153"/>
      <c r="AA474" s="153"/>
      <c r="AB474" s="153" t="s">
        <v>1410</v>
      </c>
      <c r="AC474" s="536"/>
      <c r="AD474" s="536">
        <v>1</v>
      </c>
      <c r="AE474" s="536">
        <v>2</v>
      </c>
      <c r="AF474" s="165">
        <v>0</v>
      </c>
      <c r="AG474" s="166" t="s">
        <v>7293</v>
      </c>
      <c r="AH474" s="509" t="s">
        <v>7264</v>
      </c>
      <c r="AI474" s="120">
        <v>5</v>
      </c>
      <c r="AJ474" s="120"/>
      <c r="AK474" s="206" t="s">
        <v>3281</v>
      </c>
      <c r="AL474" s="372">
        <v>1</v>
      </c>
      <c r="AM474" s="207">
        <v>0</v>
      </c>
      <c r="AN474" s="120" t="s">
        <v>3303</v>
      </c>
      <c r="AO474" s="120" t="s">
        <v>3278</v>
      </c>
      <c r="AP474" s="120" t="s">
        <v>3278</v>
      </c>
      <c r="AQ474" s="120" t="s">
        <v>803</v>
      </c>
      <c r="AR474" s="120" t="s">
        <v>803</v>
      </c>
      <c r="AS474" s="120" t="s">
        <v>3277</v>
      </c>
      <c r="AT474" s="120" t="s">
        <v>24</v>
      </c>
      <c r="AU474" s="721" t="s">
        <v>3277</v>
      </c>
      <c r="AV474" s="120" t="s">
        <v>24</v>
      </c>
      <c r="AW474" s="120" t="s">
        <v>7320</v>
      </c>
      <c r="AX474" s="120">
        <v>1</v>
      </c>
      <c r="AY474" s="120">
        <v>1</v>
      </c>
      <c r="AZ474" s="755" t="s">
        <v>7324</v>
      </c>
      <c r="BA474" s="120">
        <v>1</v>
      </c>
      <c r="BB474" s="120" t="s">
        <v>3344</v>
      </c>
      <c r="BC474" s="120"/>
      <c r="BD474" s="755"/>
      <c r="BE474" s="755"/>
      <c r="BF474" s="120" t="s">
        <v>2668</v>
      </c>
      <c r="BG474" s="120" t="s">
        <v>3279</v>
      </c>
      <c r="BH474" s="377"/>
      <c r="BI474" s="377"/>
      <c r="BJ474" s="373">
        <v>1</v>
      </c>
      <c r="BK474" s="373"/>
      <c r="BL474" s="373"/>
      <c r="BM474" s="373"/>
      <c r="BN474" s="373"/>
      <c r="BO474" s="373"/>
      <c r="BP474" s="373"/>
      <c r="BQ474" s="373"/>
      <c r="BR474" s="373"/>
      <c r="BS474" s="373"/>
      <c r="BT474" s="373"/>
      <c r="BU474" s="373"/>
      <c r="BV474" s="373"/>
      <c r="BW474" s="599" t="s">
        <v>3285</v>
      </c>
      <c r="BX474" s="374" t="s">
        <v>6604</v>
      </c>
      <c r="BY474" s="374"/>
      <c r="BZ474" s="374"/>
      <c r="CA474" s="510"/>
      <c r="CB474" s="510"/>
      <c r="CC474" s="510"/>
      <c r="CD474" s="120" t="s">
        <v>1876</v>
      </c>
      <c r="CE474" s="120" t="s">
        <v>3283</v>
      </c>
      <c r="CF474" s="120"/>
      <c r="CG474" s="120" t="s">
        <v>7321</v>
      </c>
      <c r="CH474" s="755" t="s">
        <v>7322</v>
      </c>
      <c r="CI474" s="120" t="s">
        <v>3299</v>
      </c>
      <c r="CJ474" s="120"/>
      <c r="CK474" s="120" t="s">
        <v>3297</v>
      </c>
      <c r="CL474" s="120" t="s">
        <v>2659</v>
      </c>
      <c r="CM474" s="375" t="s">
        <v>3298</v>
      </c>
      <c r="CN474" s="380" t="s">
        <v>6627</v>
      </c>
      <c r="CO474" s="380"/>
      <c r="CP474" s="380"/>
      <c r="CQ474" s="380"/>
      <c r="CR474" s="380"/>
      <c r="CS474" s="380"/>
      <c r="CT474" s="380"/>
      <c r="CU474" s="380"/>
      <c r="CV474" s="380"/>
      <c r="CW474" s="380"/>
      <c r="CX474" s="376" t="s">
        <v>3286</v>
      </c>
      <c r="CY474" s="120">
        <v>29.9331</v>
      </c>
      <c r="CZ474" s="120" t="s">
        <v>24</v>
      </c>
      <c r="DA474" s="120">
        <f>34.1001-Table66[[#This Row],[Data_Outcome1_M]]</f>
        <v>4.166999999999998</v>
      </c>
      <c r="DB474" s="376" t="s">
        <v>3287</v>
      </c>
      <c r="DC474" s="120">
        <v>8.8148099999999996</v>
      </c>
      <c r="DD474" s="120" t="s">
        <v>24</v>
      </c>
      <c r="DE474" s="120">
        <f>11.4666-Table66[[#This Row],[Data_Outcome2_M]]</f>
        <v>2.6517900000000001</v>
      </c>
      <c r="DF474" s="515" t="s">
        <v>3293</v>
      </c>
      <c r="DG474" s="513" t="s">
        <v>3294</v>
      </c>
      <c r="DH474" s="376" t="s">
        <v>3288</v>
      </c>
      <c r="DI474" s="120">
        <v>14.192600000000001</v>
      </c>
      <c r="DJ474" s="384" t="s">
        <v>24</v>
      </c>
      <c r="DK474" s="120">
        <f>17.4612-Table66[[#This Row],[Data_Outcome3_M]]</f>
        <v>3.2686000000000011</v>
      </c>
      <c r="DL474" s="727" t="s">
        <v>3289</v>
      </c>
      <c r="DM474" s="120">
        <v>7.35799</v>
      </c>
      <c r="DN474" s="384" t="s">
        <v>24</v>
      </c>
      <c r="DO474" s="120">
        <f>9.85729-Table66[[#This Row],[Data_Outcome3_M]]</f>
        <v>-4.3353099999999998</v>
      </c>
      <c r="DP474" s="375" t="s">
        <v>3295</v>
      </c>
      <c r="DQ474" s="377" t="s">
        <v>24</v>
      </c>
      <c r="DR474" s="1182" t="s">
        <v>24</v>
      </c>
      <c r="DS474" s="956" t="s">
        <v>24</v>
      </c>
      <c r="DT474" s="727" t="s">
        <v>3290</v>
      </c>
      <c r="DU474" s="120">
        <v>51.9467</v>
      </c>
      <c r="DV474" s="384" t="s">
        <v>24</v>
      </c>
      <c r="DW474" s="120">
        <f>58.6775-Table66[[#This Row],[Data_Outcome5_M]]</f>
        <v>6.7308000000000021</v>
      </c>
      <c r="DX474" s="727" t="s">
        <v>3291</v>
      </c>
      <c r="DY474" s="120">
        <v>24.5379</v>
      </c>
      <c r="DZ474" s="384" t="s">
        <v>24</v>
      </c>
      <c r="EA474" s="120">
        <f>30.6897-Table66[[#This Row],[Data_Outcome6_M]]</f>
        <v>6.1517999999999979</v>
      </c>
      <c r="EB474" s="1012" t="s">
        <v>3292</v>
      </c>
      <c r="EC474" s="384" t="s">
        <v>3296</v>
      </c>
      <c r="ED474" s="384"/>
      <c r="EE474" s="120"/>
      <c r="EF474" s="384"/>
      <c r="EG474" s="120"/>
      <c r="EH474" s="384"/>
      <c r="EI474" s="120"/>
      <c r="EJ474" s="384"/>
      <c r="EK474" s="120"/>
      <c r="EL474" s="1012"/>
      <c r="EM474" s="384"/>
      <c r="EN474" s="1012"/>
      <c r="EO474" s="384"/>
      <c r="EP474" s="120"/>
      <c r="EQ474" s="120"/>
      <c r="ER474" s="120"/>
      <c r="ES474" s="120"/>
      <c r="ET474" s="376"/>
      <c r="EU474" s="120"/>
      <c r="EV474" s="120"/>
      <c r="EW474" s="120"/>
      <c r="EX474" s="120"/>
      <c r="EY474" s="120"/>
      <c r="EZ474" s="376"/>
      <c r="FA474" s="120"/>
      <c r="FB474" s="120"/>
      <c r="FC474" s="120"/>
      <c r="FD474" s="376"/>
      <c r="FE474" s="120"/>
      <c r="FF474" s="120"/>
      <c r="FG474" s="120"/>
      <c r="FH474" s="120"/>
      <c r="FI474" s="120"/>
      <c r="FJ474" s="384"/>
    </row>
    <row r="475" spans="1:166" ht="14" hidden="1" customHeight="1">
      <c r="A475" s="153" t="s">
        <v>1010</v>
      </c>
      <c r="B475" s="1534">
        <v>35</v>
      </c>
      <c r="C475" s="618">
        <v>2</v>
      </c>
      <c r="D475" s="618"/>
      <c r="E475" s="610" t="s">
        <v>2099</v>
      </c>
      <c r="F475" s="368" t="s">
        <v>2354</v>
      </c>
      <c r="G475" s="369">
        <v>2014</v>
      </c>
      <c r="H475" s="153">
        <v>25002839</v>
      </c>
      <c r="I475" s="153">
        <v>1</v>
      </c>
      <c r="J475" s="370"/>
      <c r="K475" s="371"/>
      <c r="L475" s="153">
        <v>1</v>
      </c>
      <c r="M475" s="153"/>
      <c r="N475" s="153">
        <v>1</v>
      </c>
      <c r="O475" s="153">
        <v>2</v>
      </c>
      <c r="P475" s="153" t="s">
        <v>1587</v>
      </c>
      <c r="Q475" s="153" t="s">
        <v>1216</v>
      </c>
      <c r="R475" s="153" t="s">
        <v>672</v>
      </c>
      <c r="S475" s="153"/>
      <c r="T475" s="153" t="s">
        <v>1504</v>
      </c>
      <c r="U475" s="153"/>
      <c r="V475" s="153"/>
      <c r="W475" s="153" t="s">
        <v>674</v>
      </c>
      <c r="X475" s="153"/>
      <c r="Y475" s="153" t="s">
        <v>1410</v>
      </c>
      <c r="Z475" s="153"/>
      <c r="AA475" s="153"/>
      <c r="AB475" s="153" t="s">
        <v>1410</v>
      </c>
      <c r="AC475" s="536"/>
      <c r="AD475" s="536">
        <v>1</v>
      </c>
      <c r="AE475" s="536">
        <v>2</v>
      </c>
      <c r="AF475" s="165">
        <v>0</v>
      </c>
      <c r="AG475" s="166" t="s">
        <v>7293</v>
      </c>
      <c r="AH475" s="509" t="s">
        <v>7264</v>
      </c>
      <c r="AI475" s="120">
        <v>5</v>
      </c>
      <c r="AJ475" s="120"/>
      <c r="AK475" s="206" t="s">
        <v>3280</v>
      </c>
      <c r="AL475" s="372">
        <v>1</v>
      </c>
      <c r="AM475" s="207">
        <v>0</v>
      </c>
      <c r="AN475" s="120" t="s">
        <v>3303</v>
      </c>
      <c r="AO475" s="120" t="s">
        <v>3278</v>
      </c>
      <c r="AP475" s="120" t="s">
        <v>3278</v>
      </c>
      <c r="AQ475" s="120" t="s">
        <v>803</v>
      </c>
      <c r="AR475" s="120" t="s">
        <v>803</v>
      </c>
      <c r="AS475" s="120" t="s">
        <v>3277</v>
      </c>
      <c r="AT475" s="120" t="s">
        <v>24</v>
      </c>
      <c r="AU475" s="721" t="s">
        <v>3277</v>
      </c>
      <c r="AV475" s="120" t="s">
        <v>24</v>
      </c>
      <c r="AW475" s="120" t="s">
        <v>7320</v>
      </c>
      <c r="AX475" s="120">
        <v>1</v>
      </c>
      <c r="AY475" s="120">
        <v>1</v>
      </c>
      <c r="AZ475" s="755" t="s">
        <v>7324</v>
      </c>
      <c r="BA475" s="120">
        <v>1</v>
      </c>
      <c r="BB475" s="120" t="s">
        <v>3344</v>
      </c>
      <c r="BC475" s="120"/>
      <c r="BD475" s="755"/>
      <c r="BE475" s="755"/>
      <c r="BF475" s="120" t="s">
        <v>2668</v>
      </c>
      <c r="BG475" s="120" t="s">
        <v>3279</v>
      </c>
      <c r="BH475" s="377"/>
      <c r="BI475" s="377"/>
      <c r="BJ475" s="373"/>
      <c r="BK475" s="373"/>
      <c r="BL475" s="373"/>
      <c r="BM475" s="373"/>
      <c r="BN475" s="373"/>
      <c r="BO475" s="373"/>
      <c r="BP475" s="373">
        <v>1</v>
      </c>
      <c r="BQ475" s="373"/>
      <c r="BR475" s="373"/>
      <c r="BS475" s="373"/>
      <c r="BT475" s="373"/>
      <c r="BU475" s="373"/>
      <c r="BV475" s="373"/>
      <c r="BW475" s="599" t="s">
        <v>3282</v>
      </c>
      <c r="BX475" s="374" t="s">
        <v>6617</v>
      </c>
      <c r="BY475" s="374"/>
      <c r="BZ475" s="374"/>
      <c r="CA475" s="510"/>
      <c r="CB475" s="510"/>
      <c r="CC475" s="510"/>
      <c r="CD475" s="120" t="s">
        <v>1876</v>
      </c>
      <c r="CE475" s="120" t="s">
        <v>3283</v>
      </c>
      <c r="CF475" s="120"/>
      <c r="CG475" s="120" t="s">
        <v>3301</v>
      </c>
      <c r="CH475" s="755"/>
      <c r="CI475" s="120" t="s">
        <v>3299</v>
      </c>
      <c r="CJ475" s="120"/>
      <c r="CK475" s="120" t="s">
        <v>3304</v>
      </c>
      <c r="CL475" s="120"/>
      <c r="CM475" s="375" t="s">
        <v>3308</v>
      </c>
      <c r="CN475" s="380">
        <v>0</v>
      </c>
      <c r="CO475" s="380"/>
      <c r="CP475" s="380"/>
      <c r="CQ475" s="380"/>
      <c r="CR475" s="380"/>
      <c r="CS475" s="380"/>
      <c r="CT475" s="380"/>
      <c r="CU475" s="380"/>
      <c r="CV475" s="380"/>
      <c r="CW475" s="380"/>
      <c r="CX475" s="376" t="s">
        <v>3305</v>
      </c>
      <c r="CY475" s="120">
        <v>0.20216600000000001</v>
      </c>
      <c r="CZ475" s="120" t="s">
        <v>24</v>
      </c>
      <c r="DA475" s="120">
        <f>0.341155-Table66[[#This Row],[Data_Outcome1_M]]</f>
        <v>0.13898899999999997</v>
      </c>
      <c r="DB475" s="376" t="s">
        <v>3306</v>
      </c>
      <c r="DC475" s="120">
        <v>0.24007200000000001</v>
      </c>
      <c r="DD475" s="384" t="s">
        <v>24</v>
      </c>
      <c r="DE475" s="120">
        <f>0.290614-Table66[[#This Row],[Data_Outcome2_M]]</f>
        <v>5.0541999999999976E-2</v>
      </c>
      <c r="DF475" s="515" t="s">
        <v>3307</v>
      </c>
      <c r="DG475" s="513" t="s">
        <v>2480</v>
      </c>
      <c r="DH475" s="376" t="s">
        <v>24</v>
      </c>
      <c r="DI475" s="384"/>
      <c r="DJ475" s="384"/>
      <c r="DK475" s="384"/>
      <c r="DL475" s="376"/>
      <c r="DM475" s="384"/>
      <c r="DN475" s="384"/>
      <c r="DO475" s="384"/>
      <c r="DP475" s="375"/>
      <c r="DQ475" s="377"/>
      <c r="DR475" s="1182"/>
      <c r="DS475" s="956"/>
      <c r="DT475" s="727"/>
      <c r="DU475" s="120"/>
      <c r="DV475" s="384"/>
      <c r="DW475" s="120"/>
      <c r="DX475" s="384"/>
      <c r="DY475" s="384"/>
      <c r="DZ475" s="384"/>
      <c r="EA475" s="384"/>
      <c r="EB475" s="1012"/>
      <c r="EC475" s="384"/>
      <c r="ED475" s="384"/>
      <c r="EE475" s="384"/>
      <c r="EF475" s="384"/>
      <c r="EG475" s="384"/>
      <c r="EH475" s="384"/>
      <c r="EI475" s="384"/>
      <c r="EJ475" s="384"/>
      <c r="EK475" s="384"/>
      <c r="EL475" s="1012"/>
      <c r="EM475" s="384"/>
      <c r="EN475" s="1012"/>
      <c r="EO475" s="384"/>
      <c r="EP475" s="384"/>
      <c r="EQ475" s="384"/>
      <c r="ER475" s="384"/>
      <c r="ES475" s="384"/>
      <c r="ET475" s="727"/>
      <c r="EU475" s="384"/>
      <c r="EV475" s="384"/>
      <c r="EW475" s="384"/>
      <c r="EX475" s="384"/>
      <c r="EY475" s="384"/>
      <c r="EZ475" s="727"/>
      <c r="FA475" s="384"/>
      <c r="FB475" s="384"/>
      <c r="FC475" s="384"/>
      <c r="FD475" s="727"/>
      <c r="FE475" s="384"/>
      <c r="FF475" s="384"/>
      <c r="FG475" s="384"/>
      <c r="FH475" s="384"/>
      <c r="FI475" s="384"/>
      <c r="FJ475" s="384"/>
    </row>
    <row r="476" spans="1:166" ht="14" hidden="1" customHeight="1">
      <c r="A476" s="79" t="s">
        <v>248</v>
      </c>
      <c r="B476" s="362">
        <v>179</v>
      </c>
      <c r="C476" s="362"/>
      <c r="D476" s="362">
        <v>65</v>
      </c>
      <c r="E476" s="604" t="s">
        <v>1998</v>
      </c>
      <c r="F476" s="124" t="s">
        <v>2228</v>
      </c>
      <c r="G476" s="125">
        <v>2015</v>
      </c>
      <c r="H476" s="79">
        <v>26254798</v>
      </c>
      <c r="I476" s="79">
        <v>1</v>
      </c>
      <c r="J476" s="126"/>
      <c r="K476" s="127"/>
      <c r="L476" s="79">
        <v>1</v>
      </c>
      <c r="M476" s="79"/>
      <c r="N476" s="79">
        <v>1</v>
      </c>
      <c r="O476" s="128">
        <v>1</v>
      </c>
      <c r="P476" s="79" t="s">
        <v>31</v>
      </c>
      <c r="Q476" s="79" t="s">
        <v>1157</v>
      </c>
      <c r="R476" s="79" t="s">
        <v>591</v>
      </c>
      <c r="S476" s="79">
        <v>1</v>
      </c>
      <c r="T476" s="79"/>
      <c r="U476" s="79"/>
      <c r="V476" s="79"/>
      <c r="W476" s="79" t="s">
        <v>675</v>
      </c>
      <c r="X476" s="79"/>
      <c r="Y476" s="79"/>
      <c r="Z476" s="79"/>
      <c r="AA476" s="79"/>
      <c r="AB476" s="79"/>
      <c r="AC476" s="506" t="s">
        <v>6253</v>
      </c>
      <c r="AD476" s="573">
        <v>1</v>
      </c>
      <c r="AE476" s="573">
        <v>0</v>
      </c>
      <c r="AF476" s="924">
        <v>2</v>
      </c>
      <c r="AG476" s="925"/>
      <c r="AH476" s="911"/>
      <c r="AI476" s="923">
        <v>2</v>
      </c>
      <c r="AJ476" s="923"/>
      <c r="AK476" s="926"/>
      <c r="AL476" s="588"/>
      <c r="AM476" s="927"/>
      <c r="AN476" s="923"/>
      <c r="AO476" s="923"/>
      <c r="AP476" s="923"/>
      <c r="AQ476" s="923"/>
      <c r="AR476" s="923"/>
      <c r="AS476" s="923"/>
      <c r="AT476" s="923"/>
      <c r="AU476" s="923"/>
      <c r="AV476" s="923"/>
      <c r="AW476" s="923"/>
      <c r="AX476" s="923"/>
      <c r="AY476" s="923"/>
      <c r="AZ476" s="915"/>
      <c r="BA476" s="923"/>
      <c r="BB476" s="923"/>
      <c r="BC476" s="923"/>
      <c r="BD476" s="915"/>
      <c r="BE476" s="915"/>
      <c r="BF476" s="923"/>
      <c r="BG476" s="923"/>
      <c r="BH476" s="594"/>
      <c r="BI476" s="594"/>
      <c r="BJ476" s="156"/>
      <c r="BK476" s="156"/>
      <c r="BL476" s="156" t="s">
        <v>5207</v>
      </c>
      <c r="BM476" s="156"/>
      <c r="BN476" s="156"/>
      <c r="BO476" s="156" t="s">
        <v>6252</v>
      </c>
      <c r="BP476" s="156"/>
      <c r="BQ476" s="156" t="s">
        <v>6251</v>
      </c>
      <c r="BR476" s="156"/>
      <c r="BS476" s="156"/>
      <c r="BT476" s="156"/>
      <c r="BU476" s="156"/>
      <c r="BV476" s="156"/>
      <c r="BW476" s="928"/>
      <c r="BX476" s="929"/>
      <c r="BY476" s="929"/>
      <c r="BZ476" s="929"/>
      <c r="CA476" s="917"/>
      <c r="CB476" s="917"/>
      <c r="CC476" s="917"/>
      <c r="CD476" s="923"/>
      <c r="CE476" s="923"/>
      <c r="CF476" s="923"/>
      <c r="CG476" s="923"/>
      <c r="CH476" s="915"/>
      <c r="CI476" s="923"/>
      <c r="CJ476" s="923"/>
      <c r="CK476" s="923"/>
      <c r="CL476" s="923"/>
      <c r="CM476" s="930"/>
      <c r="CN476" s="931"/>
      <c r="CO476" s="931"/>
      <c r="CP476" s="931"/>
      <c r="CQ476" s="931"/>
      <c r="CR476" s="931"/>
      <c r="CS476" s="931"/>
      <c r="CT476" s="967"/>
      <c r="CU476" s="967"/>
      <c r="CV476" s="967"/>
      <c r="CW476" s="967"/>
      <c r="CX476" s="932"/>
      <c r="CY476" s="923"/>
      <c r="CZ476" s="923"/>
      <c r="DA476" s="923"/>
      <c r="DB476" s="932"/>
      <c r="DC476" s="923"/>
      <c r="DD476" s="923"/>
      <c r="DE476" s="923"/>
      <c r="DF476" s="920"/>
      <c r="DG476" s="598"/>
      <c r="DH476" s="950"/>
      <c r="DI476" s="951"/>
      <c r="DJ476" s="951"/>
      <c r="DK476" s="951"/>
      <c r="DL476" s="950"/>
      <c r="DM476" s="951"/>
      <c r="DN476" s="951"/>
      <c r="DO476" s="951"/>
      <c r="DP476" s="930"/>
      <c r="DQ476" s="594"/>
      <c r="DR476" s="1187"/>
      <c r="DS476" s="1186"/>
      <c r="DT476" s="950"/>
      <c r="DU476" s="951"/>
      <c r="DV476" s="951"/>
      <c r="DW476" s="951"/>
      <c r="DX476" s="951"/>
      <c r="DY476" s="951"/>
      <c r="DZ476" s="951"/>
      <c r="EA476" s="951"/>
      <c r="EB476" s="1185"/>
      <c r="EC476" s="951"/>
      <c r="ED476" s="951"/>
      <c r="EE476" s="951"/>
      <c r="EF476" s="951"/>
      <c r="EG476" s="951"/>
      <c r="EH476" s="951"/>
      <c r="EI476" s="951"/>
      <c r="EJ476" s="951"/>
      <c r="EK476" s="951"/>
      <c r="EL476" s="1185"/>
      <c r="EM476" s="951"/>
      <c r="EN476" s="1185"/>
      <c r="EO476" s="951"/>
      <c r="EP476" s="951"/>
      <c r="EQ476" s="951"/>
      <c r="ER476" s="951"/>
      <c r="ES476" s="951"/>
      <c r="ET476" s="950"/>
      <c r="EU476" s="951"/>
      <c r="EV476" s="951"/>
      <c r="EW476" s="951"/>
      <c r="EX476" s="951"/>
      <c r="EY476" s="951"/>
      <c r="EZ476" s="950"/>
      <c r="FA476" s="951"/>
      <c r="FB476" s="951"/>
      <c r="FC476" s="951"/>
      <c r="FD476" s="950"/>
      <c r="FE476" s="951"/>
      <c r="FF476" s="951"/>
      <c r="FG476" s="951"/>
      <c r="FH476" s="951"/>
      <c r="FI476" s="951"/>
      <c r="FJ476" s="951"/>
    </row>
    <row r="477" spans="1:166" ht="14" hidden="1" customHeight="1">
      <c r="A477" s="79" t="s">
        <v>249</v>
      </c>
      <c r="B477" s="362">
        <v>180</v>
      </c>
      <c r="C477" s="362"/>
      <c r="D477" s="362">
        <v>66</v>
      </c>
      <c r="E477" s="604" t="s">
        <v>1998</v>
      </c>
      <c r="F477" s="124" t="s">
        <v>2229</v>
      </c>
      <c r="G477" s="125">
        <v>2013</v>
      </c>
      <c r="H477" s="79">
        <v>23148782</v>
      </c>
      <c r="I477" s="79">
        <v>1</v>
      </c>
      <c r="J477" s="126"/>
      <c r="K477" s="127"/>
      <c r="L477" s="79">
        <v>1</v>
      </c>
      <c r="M477" s="79"/>
      <c r="N477" s="79">
        <v>1</v>
      </c>
      <c r="O477" s="128">
        <v>1</v>
      </c>
      <c r="P477" s="79" t="s">
        <v>676</v>
      </c>
      <c r="Q477" s="79" t="s">
        <v>1157</v>
      </c>
      <c r="R477" s="79" t="s">
        <v>591</v>
      </c>
      <c r="S477" s="79">
        <v>1</v>
      </c>
      <c r="T477" s="79"/>
      <c r="U477" s="79"/>
      <c r="V477" s="79"/>
      <c r="W477" s="79" t="s">
        <v>677</v>
      </c>
      <c r="X477" s="79"/>
      <c r="Y477" s="79"/>
      <c r="Z477" s="79"/>
      <c r="AA477" s="79"/>
      <c r="AB477" s="79"/>
      <c r="AC477" s="506" t="s">
        <v>6254</v>
      </c>
      <c r="AD477" s="573">
        <v>1</v>
      </c>
      <c r="AE477" s="573">
        <v>0</v>
      </c>
      <c r="AF477" s="924">
        <v>2</v>
      </c>
      <c r="AG477" s="925"/>
      <c r="AH477" s="911"/>
      <c r="AI477" s="923">
        <v>2</v>
      </c>
      <c r="AJ477" s="923"/>
      <c r="AK477" s="926"/>
      <c r="AL477" s="588"/>
      <c r="AM477" s="927"/>
      <c r="AN477" s="923"/>
      <c r="AO477" s="923"/>
      <c r="AP477" s="923"/>
      <c r="AQ477" s="923"/>
      <c r="AR477" s="923"/>
      <c r="AS477" s="923"/>
      <c r="AT477" s="923"/>
      <c r="AU477" s="923"/>
      <c r="AV477" s="923"/>
      <c r="AW477" s="923"/>
      <c r="AX477" s="923"/>
      <c r="AY477" s="923"/>
      <c r="AZ477" s="915"/>
      <c r="BA477" s="923"/>
      <c r="BB477" s="923"/>
      <c r="BC477" s="923"/>
      <c r="BD477" s="915"/>
      <c r="BE477" s="915"/>
      <c r="BF477" s="923"/>
      <c r="BG477" s="923"/>
      <c r="BH477" s="594"/>
      <c r="BI477" s="594"/>
      <c r="BJ477" s="156"/>
      <c r="BK477" s="156"/>
      <c r="BL477" s="156" t="s">
        <v>5207</v>
      </c>
      <c r="BM477" s="156"/>
      <c r="BN477" s="156"/>
      <c r="BO477" s="156"/>
      <c r="BP477" s="156"/>
      <c r="BQ477" s="156"/>
      <c r="BR477" s="156"/>
      <c r="BS477" s="156"/>
      <c r="BT477" s="156"/>
      <c r="BU477" s="156"/>
      <c r="BV477" s="156"/>
      <c r="BW477" s="928"/>
      <c r="BX477" s="929"/>
      <c r="BY477" s="929"/>
      <c r="BZ477" s="929"/>
      <c r="CA477" s="917"/>
      <c r="CB477" s="917"/>
      <c r="CC477" s="917"/>
      <c r="CD477" s="923"/>
      <c r="CE477" s="923"/>
      <c r="CF477" s="923"/>
      <c r="CG477" s="923"/>
      <c r="CH477" s="915"/>
      <c r="CI477" s="923"/>
      <c r="CJ477" s="923"/>
      <c r="CK477" s="923"/>
      <c r="CL477" s="923"/>
      <c r="CM477" s="930"/>
      <c r="CN477" s="931"/>
      <c r="CO477" s="931"/>
      <c r="CP477" s="931"/>
      <c r="CQ477" s="931"/>
      <c r="CR477" s="931"/>
      <c r="CS477" s="931"/>
      <c r="CT477" s="967"/>
      <c r="CU477" s="967"/>
      <c r="CV477" s="967"/>
      <c r="CW477" s="967"/>
      <c r="CX477" s="932"/>
      <c r="CY477" s="923"/>
      <c r="CZ477" s="923"/>
      <c r="DA477" s="923"/>
      <c r="DB477" s="932"/>
      <c r="DC477" s="923"/>
      <c r="DD477" s="923"/>
      <c r="DE477" s="923"/>
      <c r="DF477" s="920"/>
      <c r="DG477" s="598"/>
      <c r="DH477" s="950"/>
      <c r="DI477" s="951"/>
      <c r="DJ477" s="951"/>
      <c r="DK477" s="951"/>
      <c r="DL477" s="950"/>
      <c r="DM477" s="951"/>
      <c r="DN477" s="951"/>
      <c r="DO477" s="951"/>
      <c r="DP477" s="930"/>
      <c r="DQ477" s="594"/>
      <c r="DR477" s="1187"/>
      <c r="DS477" s="1186"/>
      <c r="DT477" s="950"/>
      <c r="DU477" s="951"/>
      <c r="DV477" s="951"/>
      <c r="DW477" s="951"/>
      <c r="DX477" s="951"/>
      <c r="DY477" s="951"/>
      <c r="DZ477" s="951"/>
      <c r="EA477" s="951"/>
      <c r="EB477" s="1185"/>
      <c r="EC477" s="951"/>
      <c r="ED477" s="951"/>
      <c r="EE477" s="951"/>
      <c r="EF477" s="951"/>
      <c r="EG477" s="951"/>
      <c r="EH477" s="951"/>
      <c r="EI477" s="951"/>
      <c r="EJ477" s="951"/>
      <c r="EK477" s="951"/>
      <c r="EL477" s="1185"/>
      <c r="EM477" s="951"/>
      <c r="EN477" s="1185"/>
      <c r="EO477" s="951"/>
      <c r="EP477" s="951"/>
      <c r="EQ477" s="951"/>
      <c r="ER477" s="951"/>
      <c r="ES477" s="951"/>
      <c r="ET477" s="950"/>
      <c r="EU477" s="951"/>
      <c r="EV477" s="951"/>
      <c r="EW477" s="951"/>
      <c r="EX477" s="951"/>
      <c r="EY477" s="951"/>
      <c r="EZ477" s="950"/>
      <c r="FA477" s="951"/>
      <c r="FB477" s="951"/>
      <c r="FC477" s="951"/>
      <c r="FD477" s="950"/>
      <c r="FE477" s="951"/>
      <c r="FF477" s="951"/>
      <c r="FG477" s="951"/>
      <c r="FH477" s="951"/>
      <c r="FI477" s="951"/>
      <c r="FJ477" s="951"/>
    </row>
    <row r="478" spans="1:166" ht="14" hidden="1" customHeight="1">
      <c r="A478" s="153" t="s">
        <v>252</v>
      </c>
      <c r="B478" s="618">
        <v>181</v>
      </c>
      <c r="C478" s="618">
        <v>62</v>
      </c>
      <c r="D478" s="618"/>
      <c r="E478" s="610" t="s">
        <v>1999</v>
      </c>
      <c r="F478" s="368" t="s">
        <v>2230</v>
      </c>
      <c r="G478" s="369">
        <v>2015</v>
      </c>
      <c r="H478" s="153">
        <v>25893970</v>
      </c>
      <c r="I478" s="153">
        <v>1</v>
      </c>
      <c r="J478" s="370" t="s">
        <v>1745</v>
      </c>
      <c r="K478" s="371" t="s">
        <v>1745</v>
      </c>
      <c r="L478" s="153">
        <v>1</v>
      </c>
      <c r="M478" s="153" t="s">
        <v>1748</v>
      </c>
      <c r="N478" s="153">
        <v>0</v>
      </c>
      <c r="O478" s="153">
        <v>1</v>
      </c>
      <c r="P478" s="153" t="s">
        <v>682</v>
      </c>
      <c r="Q478" s="153"/>
      <c r="R478" s="153" t="s">
        <v>514</v>
      </c>
      <c r="S478" s="153">
        <v>1</v>
      </c>
      <c r="T478" s="153"/>
      <c r="U478" s="153"/>
      <c r="V478" s="153"/>
      <c r="W478" s="153" t="s">
        <v>683</v>
      </c>
      <c r="X478" s="153" t="s">
        <v>24</v>
      </c>
      <c r="Y478" s="153" t="s">
        <v>24</v>
      </c>
      <c r="Z478" s="153"/>
      <c r="AA478" s="153"/>
      <c r="AB478" s="153" t="s">
        <v>684</v>
      </c>
      <c r="AC478" s="536"/>
      <c r="AD478" s="536">
        <v>1</v>
      </c>
      <c r="AE478" s="536">
        <v>2</v>
      </c>
      <c r="AF478" s="165">
        <v>0</v>
      </c>
      <c r="AG478" s="166" t="s">
        <v>7275</v>
      </c>
      <c r="AH478" s="509" t="s">
        <v>7273</v>
      </c>
      <c r="AI478" s="120">
        <v>2</v>
      </c>
      <c r="AJ478" s="120"/>
      <c r="AK478" s="206"/>
      <c r="AL478" s="372"/>
      <c r="AM478" s="207"/>
      <c r="AN478" s="120"/>
      <c r="AO478" s="120"/>
      <c r="AP478" s="120"/>
      <c r="AQ478" s="120"/>
      <c r="AR478" s="120"/>
      <c r="AS478" s="120"/>
      <c r="AT478" s="120"/>
      <c r="AU478" s="120"/>
      <c r="AV478" s="120"/>
      <c r="AW478" s="120"/>
      <c r="AX478" s="120"/>
      <c r="AY478" s="120"/>
      <c r="AZ478" s="755"/>
      <c r="BA478" s="120"/>
      <c r="BB478" s="120"/>
      <c r="BC478" s="120"/>
      <c r="BD478" s="755"/>
      <c r="BE478" s="755"/>
      <c r="BF478" s="120"/>
      <c r="BG478" s="509" t="s">
        <v>5209</v>
      </c>
      <c r="BH478" s="513"/>
      <c r="BI478" s="513"/>
      <c r="BJ478" s="511"/>
      <c r="BK478" s="511"/>
      <c r="BL478" s="511"/>
      <c r="BM478" s="511"/>
      <c r="BN478" s="511"/>
      <c r="BO478" s="511"/>
      <c r="BP478" s="511">
        <v>1</v>
      </c>
      <c r="BQ478" s="511"/>
      <c r="BR478" s="511"/>
      <c r="BS478" s="511"/>
      <c r="BT478" s="511"/>
      <c r="BU478" s="511"/>
      <c r="BV478" s="511"/>
      <c r="BW478" s="511"/>
      <c r="BX478" s="510"/>
      <c r="BY478" s="510"/>
      <c r="BZ478" s="510"/>
      <c r="CA478" s="510"/>
      <c r="CB478" s="510"/>
      <c r="CC478" s="510"/>
      <c r="CD478" s="120"/>
      <c r="CE478" s="120"/>
      <c r="CF478" s="120"/>
      <c r="CG478" s="120"/>
      <c r="CH478" s="755"/>
      <c r="CI478" s="120"/>
      <c r="CJ478" s="120"/>
      <c r="CK478" s="120"/>
      <c r="CL478" s="120"/>
      <c r="CM478" s="375"/>
      <c r="CN478" s="380"/>
      <c r="CO478" s="380"/>
      <c r="CP478" s="380"/>
      <c r="CQ478" s="380"/>
      <c r="CR478" s="380"/>
      <c r="CS478" s="380"/>
      <c r="CT478" s="380"/>
      <c r="CU478" s="380"/>
      <c r="CV478" s="380"/>
      <c r="CW478" s="380"/>
      <c r="CX478" s="376"/>
      <c r="CY478" s="120"/>
      <c r="CZ478" s="120"/>
      <c r="DA478" s="120"/>
      <c r="DB478" s="376"/>
      <c r="DC478" s="120"/>
      <c r="DD478" s="120"/>
      <c r="DE478" s="120"/>
      <c r="DF478" s="515"/>
      <c r="DG478" s="513"/>
      <c r="DH478" s="727"/>
      <c r="DI478" s="384"/>
      <c r="DJ478" s="384"/>
      <c r="DK478" s="384"/>
      <c r="DL478" s="727"/>
      <c r="DM478" s="384"/>
      <c r="DN478" s="384"/>
      <c r="DO478" s="384"/>
      <c r="DP478" s="375"/>
      <c r="DQ478" s="377"/>
      <c r="DR478" s="1182"/>
      <c r="DS478" s="956"/>
      <c r="DT478" s="727"/>
      <c r="DU478" s="120"/>
      <c r="DV478" s="384"/>
      <c r="DW478" s="120"/>
      <c r="DX478" s="384"/>
      <c r="DY478" s="384"/>
      <c r="DZ478" s="384"/>
      <c r="EA478" s="384"/>
      <c r="EB478" s="380"/>
      <c r="EC478" s="120"/>
      <c r="ED478" s="384"/>
      <c r="EE478" s="384"/>
      <c r="EF478" s="384"/>
      <c r="EG478" s="384"/>
      <c r="EH478" s="384"/>
      <c r="EI478" s="384"/>
      <c r="EJ478" s="384"/>
      <c r="EK478" s="384"/>
      <c r="EL478" s="1012"/>
      <c r="EM478" s="384"/>
      <c r="EN478" s="1012"/>
      <c r="EO478" s="384"/>
      <c r="EP478" s="384"/>
      <c r="EQ478" s="384"/>
      <c r="ER478" s="384"/>
      <c r="ES478" s="384"/>
      <c r="ET478" s="727"/>
      <c r="EU478" s="384"/>
      <c r="EV478" s="384"/>
      <c r="EW478" s="384"/>
      <c r="EX478" s="384"/>
      <c r="EY478" s="384"/>
      <c r="EZ478" s="727"/>
      <c r="FA478" s="384"/>
      <c r="FB478" s="384"/>
      <c r="FC478" s="384"/>
      <c r="FD478" s="727"/>
      <c r="FE478" s="384"/>
      <c r="FF478" s="384"/>
      <c r="FG478" s="384"/>
      <c r="FH478" s="384"/>
      <c r="FI478" s="384"/>
      <c r="FJ478" s="384"/>
    </row>
    <row r="479" spans="1:166" ht="14" hidden="1" customHeight="1">
      <c r="A479" s="79" t="s">
        <v>253</v>
      </c>
      <c r="B479" s="362">
        <v>182</v>
      </c>
      <c r="C479" s="362"/>
      <c r="D479" s="362">
        <v>67</v>
      </c>
      <c r="E479" s="604" t="s">
        <v>2000</v>
      </c>
      <c r="F479" s="124" t="s">
        <v>2231</v>
      </c>
      <c r="G479" s="125">
        <v>2014</v>
      </c>
      <c r="H479" s="79">
        <v>25093599</v>
      </c>
      <c r="I479" s="79">
        <v>1</v>
      </c>
      <c r="J479" s="126"/>
      <c r="K479" s="127"/>
      <c r="L479" s="79">
        <v>1</v>
      </c>
      <c r="M479" s="79"/>
      <c r="N479" s="79">
        <v>1</v>
      </c>
      <c r="O479" s="128">
        <v>1</v>
      </c>
      <c r="P479" s="79" t="s">
        <v>685</v>
      </c>
      <c r="Q479" s="79" t="s">
        <v>1166</v>
      </c>
      <c r="R479" s="79" t="s">
        <v>686</v>
      </c>
      <c r="S479" s="79">
        <v>1</v>
      </c>
      <c r="T479" s="79"/>
      <c r="U479" s="79"/>
      <c r="V479" s="79"/>
      <c r="W479" s="79" t="s">
        <v>687</v>
      </c>
      <c r="X479" s="79" t="s">
        <v>39</v>
      </c>
      <c r="Y479" s="79"/>
      <c r="Z479" s="79"/>
      <c r="AA479" s="79"/>
      <c r="AB479" s="79"/>
      <c r="AC479" s="506" t="s">
        <v>6255</v>
      </c>
      <c r="AD479" s="573">
        <v>1</v>
      </c>
      <c r="AE479" s="573">
        <v>0</v>
      </c>
      <c r="AF479" s="924">
        <v>2</v>
      </c>
      <c r="AG479" s="925"/>
      <c r="AH479" s="911"/>
      <c r="AI479" s="923"/>
      <c r="AJ479" s="923"/>
      <c r="AK479" s="926"/>
      <c r="AL479" s="588"/>
      <c r="AM479" s="927"/>
      <c r="AN479" s="923"/>
      <c r="AO479" s="923"/>
      <c r="AP479" s="923"/>
      <c r="AQ479" s="923"/>
      <c r="AR479" s="923"/>
      <c r="AS479" s="923"/>
      <c r="AT479" s="923"/>
      <c r="AU479" s="923"/>
      <c r="AV479" s="923"/>
      <c r="AW479" s="923"/>
      <c r="AX479" s="923"/>
      <c r="AY479" s="923"/>
      <c r="AZ479" s="915"/>
      <c r="BA479" s="923"/>
      <c r="BB479" s="923"/>
      <c r="BC479" s="923"/>
      <c r="BD479" s="915"/>
      <c r="BE479" s="915"/>
      <c r="BF479" s="923"/>
      <c r="BG479" s="923"/>
      <c r="BH479" s="594"/>
      <c r="BI479" s="594"/>
      <c r="BJ479" s="156"/>
      <c r="BK479" s="156"/>
      <c r="BL479" s="156" t="s">
        <v>5207</v>
      </c>
      <c r="BM479" s="156"/>
      <c r="BN479" s="156"/>
      <c r="BO479" s="156" t="s">
        <v>5207</v>
      </c>
      <c r="BP479" s="156"/>
      <c r="BQ479" s="156"/>
      <c r="BR479" s="156"/>
      <c r="BS479" s="156"/>
      <c r="BT479" s="156"/>
      <c r="BU479" s="156"/>
      <c r="BV479" s="156"/>
      <c r="BW479" s="928"/>
      <c r="BX479" s="929"/>
      <c r="BY479" s="929"/>
      <c r="BZ479" s="929"/>
      <c r="CA479" s="917"/>
      <c r="CB479" s="917"/>
      <c r="CC479" s="917"/>
      <c r="CD479" s="923"/>
      <c r="CE479" s="923"/>
      <c r="CF479" s="923"/>
      <c r="CG479" s="923"/>
      <c r="CH479" s="915"/>
      <c r="CI479" s="923"/>
      <c r="CJ479" s="923"/>
      <c r="CK479" s="923"/>
      <c r="CL479" s="923"/>
      <c r="CM479" s="930"/>
      <c r="CN479" s="931"/>
      <c r="CO479" s="931"/>
      <c r="CP479" s="931"/>
      <c r="CQ479" s="931"/>
      <c r="CR479" s="931"/>
      <c r="CS479" s="931"/>
      <c r="CT479" s="967"/>
      <c r="CU479" s="967"/>
      <c r="CV479" s="967"/>
      <c r="CW479" s="967"/>
      <c r="CX479" s="932"/>
      <c r="CY479" s="923"/>
      <c r="CZ479" s="923"/>
      <c r="DA479" s="923"/>
      <c r="DB479" s="932"/>
      <c r="DC479" s="923"/>
      <c r="DD479" s="923"/>
      <c r="DE479" s="923"/>
      <c r="DF479" s="920"/>
      <c r="DG479" s="598"/>
      <c r="DH479" s="950"/>
      <c r="DI479" s="951"/>
      <c r="DJ479" s="951"/>
      <c r="DK479" s="951"/>
      <c r="DL479" s="950"/>
      <c r="DM479" s="951"/>
      <c r="DN479" s="951"/>
      <c r="DO479" s="951"/>
      <c r="DP479" s="930"/>
      <c r="DQ479" s="594"/>
      <c r="DR479" s="1187"/>
      <c r="DS479" s="1186"/>
      <c r="DT479" s="950"/>
      <c r="DU479" s="951"/>
      <c r="DV479" s="951"/>
      <c r="DW479" s="951"/>
      <c r="DX479" s="951"/>
      <c r="DY479" s="951"/>
      <c r="DZ479" s="951"/>
      <c r="EA479" s="951"/>
      <c r="EB479" s="1185"/>
      <c r="EC479" s="951"/>
      <c r="ED479" s="951"/>
      <c r="EE479" s="951"/>
      <c r="EF479" s="951"/>
      <c r="EG479" s="951"/>
      <c r="EH479" s="951"/>
      <c r="EI479" s="951"/>
      <c r="EJ479" s="951"/>
      <c r="EK479" s="951"/>
      <c r="EL479" s="1185"/>
      <c r="EM479" s="951"/>
      <c r="EN479" s="1185"/>
      <c r="EO479" s="951"/>
      <c r="EP479" s="951"/>
      <c r="EQ479" s="951"/>
      <c r="ER479" s="951"/>
      <c r="ES479" s="951"/>
      <c r="ET479" s="950"/>
      <c r="EU479" s="951"/>
      <c r="EV479" s="951"/>
      <c r="EW479" s="951"/>
      <c r="EX479" s="951"/>
      <c r="EY479" s="951"/>
      <c r="EZ479" s="950"/>
      <c r="FA479" s="951"/>
      <c r="FB479" s="951"/>
      <c r="FC479" s="951"/>
      <c r="FD479" s="950"/>
      <c r="FE479" s="951"/>
      <c r="FF479" s="951"/>
      <c r="FG479" s="951"/>
      <c r="FH479" s="951"/>
      <c r="FI479" s="951"/>
      <c r="FJ479" s="951"/>
    </row>
    <row r="480" spans="1:166" ht="14" hidden="1" customHeight="1">
      <c r="A480" s="1090" t="s">
        <v>1007</v>
      </c>
      <c r="B480" s="1405">
        <v>183</v>
      </c>
      <c r="C480" s="1405"/>
      <c r="D480" s="1405">
        <v>68</v>
      </c>
      <c r="E480" s="1406" t="s">
        <v>2100</v>
      </c>
      <c r="F480" s="1407" t="s">
        <v>2355</v>
      </c>
      <c r="G480" s="1408">
        <v>1996</v>
      </c>
      <c r="H480" s="1090">
        <v>8731522</v>
      </c>
      <c r="I480" s="1090">
        <v>1</v>
      </c>
      <c r="J480" s="1090">
        <v>1</v>
      </c>
      <c r="K480" s="1090"/>
      <c r="L480" s="1090">
        <v>1</v>
      </c>
      <c r="M480" s="1090"/>
      <c r="N480" s="1090">
        <v>1</v>
      </c>
      <c r="O480" s="1090">
        <v>2</v>
      </c>
      <c r="P480" s="1090"/>
      <c r="Q480" s="1090"/>
      <c r="R480" s="1090" t="s">
        <v>1234</v>
      </c>
      <c r="S480" s="1090"/>
      <c r="T480" s="1090" t="s">
        <v>1446</v>
      </c>
      <c r="U480" s="1090" t="s">
        <v>803</v>
      </c>
      <c r="V480" s="1090"/>
      <c r="W480" s="1090" t="s">
        <v>1447</v>
      </c>
      <c r="X480" s="1090"/>
      <c r="Y480" s="1090"/>
      <c r="Z480" s="1090"/>
      <c r="AA480" s="1090"/>
      <c r="AB480" s="1090" t="s">
        <v>1448</v>
      </c>
      <c r="AC480" s="1409" t="s">
        <v>6256</v>
      </c>
      <c r="AD480" s="1409">
        <v>1</v>
      </c>
      <c r="AE480" s="1409">
        <v>1</v>
      </c>
      <c r="AF480" s="1410">
        <v>0</v>
      </c>
      <c r="AG480" s="1411" t="s">
        <v>7975</v>
      </c>
      <c r="AH480" s="1409"/>
      <c r="AI480" s="1409">
        <v>4</v>
      </c>
      <c r="AJ480" s="1409" t="s">
        <v>6979</v>
      </c>
      <c r="AK480" s="1564" t="s">
        <v>6964</v>
      </c>
      <c r="AL480" s="1407" t="s">
        <v>4089</v>
      </c>
      <c r="AM480" s="1413">
        <v>0</v>
      </c>
      <c r="AN480" s="1409">
        <v>12</v>
      </c>
      <c r="AO480" s="1409">
        <v>6</v>
      </c>
      <c r="AP480" s="1409">
        <v>6</v>
      </c>
      <c r="AQ480" s="1409" t="s">
        <v>803</v>
      </c>
      <c r="AR480" s="1409" t="s">
        <v>803</v>
      </c>
      <c r="AS480" s="1409" t="s">
        <v>6959</v>
      </c>
      <c r="AT480" s="1409" t="s">
        <v>2882</v>
      </c>
      <c r="AU480" s="1409" t="s">
        <v>6959</v>
      </c>
      <c r="AV480" s="1409" t="s">
        <v>2882</v>
      </c>
      <c r="AW480" s="1409" t="s">
        <v>6978</v>
      </c>
      <c r="AX480" s="1409">
        <v>55</v>
      </c>
      <c r="AY480" s="1409" t="s">
        <v>7647</v>
      </c>
      <c r="AZ480" s="1409" t="s">
        <v>7332</v>
      </c>
      <c r="BA480" s="1409">
        <v>1</v>
      </c>
      <c r="BB480" s="1409">
        <v>1</v>
      </c>
      <c r="BC480" s="1409" t="s">
        <v>6960</v>
      </c>
      <c r="BD480" s="1409" t="s">
        <v>7523</v>
      </c>
      <c r="BE480" s="1409"/>
      <c r="BF480" s="1409" t="s">
        <v>2912</v>
      </c>
      <c r="BG480" s="1409" t="s">
        <v>6653</v>
      </c>
      <c r="BH480" s="1407"/>
      <c r="BI480" s="1407"/>
      <c r="BJ480" s="1565">
        <v>1</v>
      </c>
      <c r="BK480" s="1565" t="s">
        <v>6205</v>
      </c>
      <c r="BL480" s="1565"/>
      <c r="BM480" s="1565"/>
      <c r="BN480" s="1565"/>
      <c r="BO480" s="1565"/>
      <c r="BP480" s="1565"/>
      <c r="BQ480" s="1565"/>
      <c r="BR480" s="1565"/>
      <c r="BS480" s="1565"/>
      <c r="BT480" s="1565"/>
      <c r="BU480" s="1565"/>
      <c r="BV480" s="1565"/>
      <c r="BW480" s="1565" t="s">
        <v>7372</v>
      </c>
      <c r="BX480" s="1416" t="s">
        <v>6657</v>
      </c>
      <c r="BY480" s="1416" t="s">
        <v>7613</v>
      </c>
      <c r="BZ480" s="1416" t="s">
        <v>7974</v>
      </c>
      <c r="CA480" s="1416">
        <v>1</v>
      </c>
      <c r="CB480" s="1416" t="s">
        <v>7556</v>
      </c>
      <c r="CC480" s="1416" t="s">
        <v>7384</v>
      </c>
      <c r="CD480" s="1409" t="s">
        <v>1876</v>
      </c>
      <c r="CE480" s="1409">
        <v>2</v>
      </c>
      <c r="CF480" s="1409" t="s">
        <v>23</v>
      </c>
      <c r="CG480" s="1409" t="s">
        <v>6962</v>
      </c>
      <c r="CH480" s="1409" t="s">
        <v>7309</v>
      </c>
      <c r="CI480" s="1409" t="s">
        <v>6961</v>
      </c>
      <c r="CJ480" s="1409"/>
      <c r="CK480" s="1409" t="s">
        <v>8025</v>
      </c>
      <c r="CL480" s="1409" t="s">
        <v>6639</v>
      </c>
      <c r="CM480" s="1414" t="s">
        <v>6981</v>
      </c>
      <c r="CN480" s="1415" t="s">
        <v>6627</v>
      </c>
      <c r="CO480" s="1415"/>
      <c r="CP480" s="1415"/>
      <c r="CQ480" s="1415"/>
      <c r="CR480" s="1415"/>
      <c r="CS480" s="1415"/>
      <c r="CT480" s="1415"/>
      <c r="CU480" s="1415"/>
      <c r="CV480" s="1415"/>
      <c r="CW480" s="1415"/>
      <c r="CX480" s="1418" t="s">
        <v>8026</v>
      </c>
      <c r="CY480" s="1409">
        <v>19.045200000000001</v>
      </c>
      <c r="CZ480" s="1409" t="s">
        <v>24</v>
      </c>
      <c r="DA480" s="1409" t="s">
        <v>24</v>
      </c>
      <c r="DB480" s="1409" t="s">
        <v>6967</v>
      </c>
      <c r="DC480" s="1409">
        <v>15.3697</v>
      </c>
      <c r="DD480" s="1409" t="s">
        <v>24</v>
      </c>
      <c r="DE480" s="1409" t="s">
        <v>24</v>
      </c>
      <c r="DF480" s="1414" t="s">
        <v>24</v>
      </c>
      <c r="DG480" s="1407" t="s">
        <v>24</v>
      </c>
      <c r="DH480" s="1409"/>
      <c r="DI480" s="1409"/>
      <c r="DJ480" s="1418"/>
      <c r="DK480" s="1409"/>
      <c r="DL480" s="1418"/>
      <c r="DM480" s="1409"/>
      <c r="DN480" s="1418"/>
      <c r="DO480" s="1409"/>
      <c r="DP480" s="1414"/>
      <c r="DQ480" s="1407"/>
      <c r="DR480" s="1415"/>
      <c r="DS480" s="1420"/>
      <c r="DT480" s="1420"/>
      <c r="DU480" s="1418"/>
      <c r="DV480" s="1418"/>
      <c r="DW480" s="1418"/>
      <c r="DX480" s="1418"/>
      <c r="DY480" s="1418"/>
      <c r="DZ480" s="1418"/>
      <c r="EA480" s="1418"/>
      <c r="EB480" s="1419"/>
      <c r="EC480" s="1418"/>
      <c r="ED480" s="1418"/>
      <c r="EE480" s="1418"/>
      <c r="EF480" s="1418"/>
      <c r="EG480" s="1418"/>
      <c r="EH480" s="1418"/>
      <c r="EI480" s="1418"/>
      <c r="EJ480" s="1418"/>
      <c r="EK480" s="1418"/>
      <c r="EL480" s="1419"/>
      <c r="EM480" s="1418"/>
      <c r="EN480" s="1419"/>
      <c r="EO480" s="1418"/>
      <c r="EP480" s="1418"/>
      <c r="EQ480" s="1418"/>
      <c r="ER480" s="1418"/>
      <c r="ES480" s="1418"/>
      <c r="ET480" s="1418"/>
      <c r="EU480" s="1418"/>
      <c r="EV480" s="1418"/>
      <c r="EW480" s="1418"/>
      <c r="EX480" s="1419"/>
      <c r="EY480" s="1418"/>
      <c r="EZ480" s="1420"/>
      <c r="FA480" s="1418"/>
      <c r="FB480" s="1420"/>
      <c r="FC480" s="1418"/>
      <c r="FD480" s="1420"/>
      <c r="FE480" s="1418"/>
      <c r="FF480" s="1420"/>
      <c r="FG480" s="1418"/>
      <c r="FH480" s="1418"/>
      <c r="FI480" s="1418"/>
      <c r="FJ480" s="1418"/>
    </row>
    <row r="481" spans="1:166" s="1089" customFormat="1" ht="14" hidden="1" customHeight="1">
      <c r="A481" s="1090" t="s">
        <v>1007</v>
      </c>
      <c r="B481" s="1405">
        <v>183</v>
      </c>
      <c r="C481" s="1405"/>
      <c r="D481" s="1405">
        <v>68</v>
      </c>
      <c r="E481" s="1406" t="s">
        <v>2100</v>
      </c>
      <c r="F481" s="1407" t="s">
        <v>2355</v>
      </c>
      <c r="G481" s="1408">
        <v>1996</v>
      </c>
      <c r="H481" s="1090">
        <v>8731522</v>
      </c>
      <c r="I481" s="1090">
        <v>1</v>
      </c>
      <c r="J481" s="1090">
        <v>1</v>
      </c>
      <c r="K481" s="1090"/>
      <c r="L481" s="1090">
        <v>1</v>
      </c>
      <c r="M481" s="1090"/>
      <c r="N481" s="1090">
        <v>1</v>
      </c>
      <c r="O481" s="1090">
        <v>2</v>
      </c>
      <c r="P481" s="1090"/>
      <c r="Q481" s="1090"/>
      <c r="R481" s="1090" t="s">
        <v>1234</v>
      </c>
      <c r="S481" s="1090"/>
      <c r="T481" s="1090" t="s">
        <v>1446</v>
      </c>
      <c r="U481" s="1090" t="s">
        <v>803</v>
      </c>
      <c r="V481" s="1090"/>
      <c r="W481" s="1090" t="s">
        <v>1447</v>
      </c>
      <c r="X481" s="1090"/>
      <c r="Y481" s="1090"/>
      <c r="Z481" s="1090"/>
      <c r="AA481" s="1090"/>
      <c r="AB481" s="1090" t="s">
        <v>1448</v>
      </c>
      <c r="AC481" s="1409" t="s">
        <v>6256</v>
      </c>
      <c r="AD481" s="1409">
        <v>1</v>
      </c>
      <c r="AE481" s="1409">
        <v>1</v>
      </c>
      <c r="AF481" s="1410">
        <v>0</v>
      </c>
      <c r="AG481" s="1411" t="s">
        <v>8024</v>
      </c>
      <c r="AH481" s="1409"/>
      <c r="AI481" s="1409">
        <v>4</v>
      </c>
      <c r="AJ481" s="1409" t="s">
        <v>6979</v>
      </c>
      <c r="AK481" s="1564" t="s">
        <v>6964</v>
      </c>
      <c r="AL481" s="1407" t="s">
        <v>4089</v>
      </c>
      <c r="AM481" s="1413">
        <v>0</v>
      </c>
      <c r="AN481" s="1409">
        <v>12</v>
      </c>
      <c r="AO481" s="1409">
        <v>6</v>
      </c>
      <c r="AP481" s="1409">
        <v>6</v>
      </c>
      <c r="AQ481" s="1409" t="s">
        <v>803</v>
      </c>
      <c r="AR481" s="1409" t="s">
        <v>803</v>
      </c>
      <c r="AS481" s="1409" t="s">
        <v>6959</v>
      </c>
      <c r="AT481" s="1409" t="s">
        <v>2882</v>
      </c>
      <c r="AU481" s="1409" t="s">
        <v>6959</v>
      </c>
      <c r="AV481" s="1409" t="s">
        <v>2882</v>
      </c>
      <c r="AW481" s="1409" t="s">
        <v>6978</v>
      </c>
      <c r="AX481" s="1409">
        <v>55</v>
      </c>
      <c r="AY481" s="1409" t="s">
        <v>7647</v>
      </c>
      <c r="AZ481" s="1409" t="s">
        <v>7332</v>
      </c>
      <c r="BA481" s="1409">
        <v>1</v>
      </c>
      <c r="BB481" s="1409">
        <v>1</v>
      </c>
      <c r="BC481" s="1409" t="s">
        <v>6960</v>
      </c>
      <c r="BD481" s="1409" t="s">
        <v>7523</v>
      </c>
      <c r="BE481" s="1409"/>
      <c r="BF481" s="1409" t="s">
        <v>2912</v>
      </c>
      <c r="BG481" s="1409" t="s">
        <v>6653</v>
      </c>
      <c r="BH481" s="1407"/>
      <c r="BI481" s="1407"/>
      <c r="BJ481" s="1565">
        <v>1</v>
      </c>
      <c r="BK481" s="1565" t="s">
        <v>6205</v>
      </c>
      <c r="BL481" s="1565"/>
      <c r="BM481" s="1565"/>
      <c r="BN481" s="1565"/>
      <c r="BO481" s="1565"/>
      <c r="BP481" s="1565"/>
      <c r="BQ481" s="1565"/>
      <c r="BR481" s="1565"/>
      <c r="BS481" s="1565"/>
      <c r="BT481" s="1565"/>
      <c r="BU481" s="1565"/>
      <c r="BV481" s="1565"/>
      <c r="BW481" s="1565" t="s">
        <v>7372</v>
      </c>
      <c r="BX481" s="1416" t="s">
        <v>6657</v>
      </c>
      <c r="BY481" s="1416" t="s">
        <v>7613</v>
      </c>
      <c r="BZ481" s="1416" t="s">
        <v>7976</v>
      </c>
      <c r="CA481" s="1416">
        <v>1</v>
      </c>
      <c r="CB481" s="1416" t="s">
        <v>7556</v>
      </c>
      <c r="CC481" s="1416" t="s">
        <v>7384</v>
      </c>
      <c r="CD481" s="1409" t="s">
        <v>1876</v>
      </c>
      <c r="CE481" s="1409">
        <v>2</v>
      </c>
      <c r="CF481" s="1409" t="s">
        <v>23</v>
      </c>
      <c r="CG481" s="1409" t="s">
        <v>6962</v>
      </c>
      <c r="CH481" s="1409" t="s">
        <v>7309</v>
      </c>
      <c r="CI481" s="1409" t="s">
        <v>6961</v>
      </c>
      <c r="CJ481" s="1409"/>
      <c r="CK481" s="1409" t="s">
        <v>8025</v>
      </c>
      <c r="CL481" s="1409" t="s">
        <v>6639</v>
      </c>
      <c r="CM481" s="1414" t="s">
        <v>6981</v>
      </c>
      <c r="CN481" s="1415" t="s">
        <v>6627</v>
      </c>
      <c r="CO481" s="1415"/>
      <c r="CP481" s="1415"/>
      <c r="CQ481" s="1415"/>
      <c r="CR481" s="1415"/>
      <c r="CS481" s="1415"/>
      <c r="CT481" s="1415"/>
      <c r="CU481" s="1415"/>
      <c r="CV481" s="1415"/>
      <c r="CW481" s="1415"/>
      <c r="CX481" s="1409" t="s">
        <v>8027</v>
      </c>
      <c r="CY481" s="1409">
        <v>12.3447</v>
      </c>
      <c r="CZ481" s="1409" t="s">
        <v>24</v>
      </c>
      <c r="DA481" s="1409" t="s">
        <v>24</v>
      </c>
      <c r="DB481" s="1409" t="s">
        <v>6969</v>
      </c>
      <c r="DC481" s="1409">
        <v>5.8039399999999999</v>
      </c>
      <c r="DD481" s="1409" t="s">
        <v>24</v>
      </c>
      <c r="DE481" s="1409" t="s">
        <v>24</v>
      </c>
      <c r="DF481" s="1414"/>
      <c r="DG481" s="1407"/>
      <c r="DH481" s="1566"/>
      <c r="DI481" s="1090"/>
      <c r="DJ481" s="1418"/>
      <c r="DK481" s="1090"/>
      <c r="DL481" s="1418"/>
      <c r="DM481" s="1090"/>
      <c r="DN481" s="1418"/>
      <c r="DO481" s="1567"/>
      <c r="DP481" s="1414"/>
      <c r="DQ481" s="1407"/>
      <c r="DR481" s="1419"/>
      <c r="DS481" s="1420"/>
      <c r="DT481" s="1418"/>
      <c r="DU481" s="1090"/>
      <c r="DV481" s="1418"/>
      <c r="DW481" s="1090"/>
      <c r="DX481" s="1418"/>
      <c r="DY481" s="1090"/>
      <c r="DZ481" s="1418"/>
      <c r="EA481" s="1090"/>
      <c r="EB481" s="1419"/>
      <c r="EC481" s="1418"/>
      <c r="ED481" s="1418"/>
      <c r="EE481" s="1090"/>
      <c r="EF481" s="1418"/>
      <c r="EG481" s="1090"/>
      <c r="EH481" s="1418"/>
      <c r="EI481" s="1090"/>
      <c r="EJ481" s="1418"/>
      <c r="EK481" s="1090"/>
      <c r="EL481" s="1419"/>
      <c r="EM481" s="1418"/>
      <c r="EN481" s="1419"/>
      <c r="EO481" s="1418"/>
      <c r="EP481" s="1090"/>
      <c r="EQ481" s="1090"/>
      <c r="ER481" s="1090"/>
      <c r="ES481" s="1090"/>
      <c r="ET481" s="1090"/>
      <c r="EU481" s="1090"/>
      <c r="EV481" s="1090"/>
      <c r="EW481" s="1090"/>
      <c r="EX481" s="1419"/>
      <c r="EY481" s="1418"/>
      <c r="EZ481" s="1420"/>
      <c r="FA481" s="1418"/>
      <c r="FB481" s="1420"/>
      <c r="FC481" s="1418"/>
      <c r="FD481" s="1420"/>
      <c r="FE481" s="1418"/>
      <c r="FF481" s="1420"/>
      <c r="FG481" s="1418"/>
      <c r="FH481" s="1418"/>
      <c r="FI481" s="1418"/>
      <c r="FJ481" s="1418"/>
    </row>
    <row r="482" spans="1:166" s="1089" customFormat="1" ht="14" hidden="1" customHeight="1">
      <c r="A482" s="118" t="s">
        <v>1007</v>
      </c>
      <c r="B482" s="616">
        <v>183</v>
      </c>
      <c r="C482" s="616"/>
      <c r="D482" s="616">
        <v>68</v>
      </c>
      <c r="E482" s="605" t="s">
        <v>2100</v>
      </c>
      <c r="F482" s="140" t="s">
        <v>2355</v>
      </c>
      <c r="G482" s="141">
        <v>1996</v>
      </c>
      <c r="H482" s="118">
        <v>8731522</v>
      </c>
      <c r="I482" s="118">
        <v>1</v>
      </c>
      <c r="J482" s="118">
        <v>1</v>
      </c>
      <c r="K482" s="118"/>
      <c r="L482" s="118">
        <v>1</v>
      </c>
      <c r="M482" s="118"/>
      <c r="N482" s="118">
        <v>1</v>
      </c>
      <c r="O482" s="142">
        <v>2</v>
      </c>
      <c r="P482" s="118"/>
      <c r="Q482" s="118"/>
      <c r="R482" s="118" t="s">
        <v>1234</v>
      </c>
      <c r="S482" s="118"/>
      <c r="T482" s="118" t="s">
        <v>1446</v>
      </c>
      <c r="U482" s="118" t="s">
        <v>803</v>
      </c>
      <c r="V482" s="118"/>
      <c r="W482" s="118" t="s">
        <v>1447</v>
      </c>
      <c r="X482" s="118"/>
      <c r="Y482" s="118"/>
      <c r="Z482" s="118"/>
      <c r="AA482" s="118"/>
      <c r="AB482" s="118" t="s">
        <v>1448</v>
      </c>
      <c r="AC482" s="145" t="s">
        <v>6256</v>
      </c>
      <c r="AD482" s="653">
        <v>1</v>
      </c>
      <c r="AE482" s="653">
        <v>1</v>
      </c>
      <c r="AF482" s="159">
        <v>1</v>
      </c>
      <c r="AG482" s="160" t="s">
        <v>6963</v>
      </c>
      <c r="AH482" s="704"/>
      <c r="AI482" s="122">
        <v>4</v>
      </c>
      <c r="AJ482" s="485" t="s">
        <v>6979</v>
      </c>
      <c r="AK482" s="677" t="s">
        <v>6964</v>
      </c>
      <c r="AL482" s="192" t="s">
        <v>4089</v>
      </c>
      <c r="AM482" s="205">
        <v>0</v>
      </c>
      <c r="AN482" s="122">
        <v>12</v>
      </c>
      <c r="AO482" s="122">
        <v>6</v>
      </c>
      <c r="AP482" s="122">
        <v>6</v>
      </c>
      <c r="AQ482" s="122" t="s">
        <v>803</v>
      </c>
      <c r="AR482" s="150" t="s">
        <v>803</v>
      </c>
      <c r="AS482" s="150" t="s">
        <v>6959</v>
      </c>
      <c r="AT482" s="150" t="s">
        <v>2882</v>
      </c>
      <c r="AU482" s="150" t="s">
        <v>6959</v>
      </c>
      <c r="AV482" s="150" t="s">
        <v>2882</v>
      </c>
      <c r="AW482" s="150" t="s">
        <v>6978</v>
      </c>
      <c r="AX482" s="122">
        <v>55</v>
      </c>
      <c r="AY482" s="122" t="s">
        <v>7647</v>
      </c>
      <c r="AZ482" s="754" t="s">
        <v>7332</v>
      </c>
      <c r="BA482" s="122">
        <v>1</v>
      </c>
      <c r="BB482" s="122">
        <v>1</v>
      </c>
      <c r="BC482" s="122" t="s">
        <v>6960</v>
      </c>
      <c r="BD482" s="754" t="s">
        <v>7523</v>
      </c>
      <c r="BE482" s="754"/>
      <c r="BF482" s="122" t="s">
        <v>2912</v>
      </c>
      <c r="BG482" s="122" t="s">
        <v>6653</v>
      </c>
      <c r="BH482" s="588"/>
      <c r="BI482" s="588"/>
      <c r="BJ482" s="161">
        <v>1</v>
      </c>
      <c r="BK482" s="161" t="s">
        <v>6205</v>
      </c>
      <c r="BL482" s="161"/>
      <c r="BM482" s="161"/>
      <c r="BN482" s="161"/>
      <c r="BO482" s="161"/>
      <c r="BP482" s="161"/>
      <c r="BQ482" s="161"/>
      <c r="BR482" s="161"/>
      <c r="BS482" s="161"/>
      <c r="BT482" s="161"/>
      <c r="BU482" s="161"/>
      <c r="BV482" s="161"/>
      <c r="BW482" s="596" t="s">
        <v>7372</v>
      </c>
      <c r="BX482" s="162" t="s">
        <v>6657</v>
      </c>
      <c r="BY482" s="797" t="s">
        <v>7613</v>
      </c>
      <c r="BZ482" s="790" t="s">
        <v>803</v>
      </c>
      <c r="CA482" s="659">
        <v>1</v>
      </c>
      <c r="CB482" s="660" t="s">
        <v>7556</v>
      </c>
      <c r="CC482" s="659" t="s">
        <v>7384</v>
      </c>
      <c r="CD482" s="150" t="s">
        <v>1876</v>
      </c>
      <c r="CE482" s="150">
        <v>2</v>
      </c>
      <c r="CF482" s="400" t="s">
        <v>23</v>
      </c>
      <c r="CG482" s="150" t="s">
        <v>6962</v>
      </c>
      <c r="CH482" s="753" t="s">
        <v>7309</v>
      </c>
      <c r="CI482" s="150" t="s">
        <v>6961</v>
      </c>
      <c r="CJ482" s="150"/>
      <c r="CK482" s="1079" t="s">
        <v>8025</v>
      </c>
      <c r="CL482" s="150" t="s">
        <v>6639</v>
      </c>
      <c r="CM482" s="258" t="s">
        <v>6981</v>
      </c>
      <c r="CN482" s="257" t="s">
        <v>6627</v>
      </c>
      <c r="CO482" s="829">
        <v>56</v>
      </c>
      <c r="CP482" s="829">
        <v>1</v>
      </c>
      <c r="CQ482" s="829">
        <v>1</v>
      </c>
      <c r="CR482" s="829">
        <v>1</v>
      </c>
      <c r="CS482" s="829">
        <v>1</v>
      </c>
      <c r="CT482" s="968"/>
      <c r="CU482" s="1289" t="s">
        <v>8104</v>
      </c>
      <c r="CV482" s="1295">
        <v>108</v>
      </c>
      <c r="CW482" s="1295">
        <v>99</v>
      </c>
      <c r="CX482" s="150" t="s">
        <v>8028</v>
      </c>
      <c r="CY482" s="150">
        <v>184.90700000000001</v>
      </c>
      <c r="CZ482" s="150" t="s">
        <v>24</v>
      </c>
      <c r="DA482" s="150" t="s">
        <v>24</v>
      </c>
      <c r="DB482" s="150" t="s">
        <v>6971</v>
      </c>
      <c r="DC482" s="150">
        <v>132.99799999999999</v>
      </c>
      <c r="DD482" s="150" t="s">
        <v>24</v>
      </c>
      <c r="DE482" s="150" t="s">
        <v>24</v>
      </c>
      <c r="DF482" s="294"/>
      <c r="DG482" s="295"/>
      <c r="DH482" s="1164"/>
      <c r="DI482" s="1164"/>
      <c r="DJ482" s="1164"/>
      <c r="DK482" s="1164"/>
      <c r="DL482" s="1164"/>
      <c r="DM482" s="1164"/>
      <c r="DN482" s="1164"/>
      <c r="DO482" s="1164"/>
      <c r="DP482" s="290"/>
      <c r="DQ482" s="291"/>
      <c r="DR482" s="1168"/>
      <c r="DS482" s="865"/>
      <c r="DT482" s="1164"/>
      <c r="DU482" s="1164"/>
      <c r="DV482" s="1164"/>
      <c r="DW482" s="1164"/>
      <c r="DX482" s="1164"/>
      <c r="DY482" s="1164"/>
      <c r="DZ482" s="1164"/>
      <c r="EA482" s="1164"/>
      <c r="EB482" s="1214"/>
      <c r="EC482" s="1213"/>
      <c r="ED482" s="1164"/>
      <c r="EE482" s="1164"/>
      <c r="EF482" s="1164"/>
      <c r="EG482" s="1164"/>
      <c r="EH482" s="1164"/>
      <c r="EI482" s="1164"/>
      <c r="EJ482" s="1164"/>
      <c r="EK482" s="1164"/>
      <c r="EL482" s="1214"/>
      <c r="EM482" s="1213"/>
      <c r="EN482" s="1167"/>
      <c r="EO482" s="1165"/>
      <c r="EP482" s="146"/>
      <c r="EQ482" s="146"/>
      <c r="ER482" s="146"/>
      <c r="ES482" s="146"/>
      <c r="ET482" s="146"/>
      <c r="EU482" s="1164"/>
      <c r="EV482" s="1164"/>
      <c r="EW482" s="1164"/>
      <c r="EX482" s="1214"/>
      <c r="EY482" s="1213"/>
      <c r="EZ482" s="1166"/>
      <c r="FA482" s="1164"/>
      <c r="FB482" s="1166"/>
      <c r="FC482" s="1164"/>
      <c r="FD482" s="1166"/>
      <c r="FE482" s="1164"/>
      <c r="FF482" s="1166"/>
      <c r="FG482" s="1164"/>
      <c r="FH482" s="313"/>
      <c r="FI482" s="313"/>
      <c r="FJ482" s="1165"/>
    </row>
    <row r="483" spans="1:166" ht="14" hidden="1" customHeight="1">
      <c r="A483" s="118" t="s">
        <v>1007</v>
      </c>
      <c r="B483" s="616">
        <v>183</v>
      </c>
      <c r="C483" s="616"/>
      <c r="D483" s="616">
        <v>68</v>
      </c>
      <c r="E483" s="605" t="s">
        <v>2100</v>
      </c>
      <c r="F483" s="140" t="s">
        <v>2355</v>
      </c>
      <c r="G483" s="141">
        <v>1996</v>
      </c>
      <c r="H483" s="118">
        <v>8731522</v>
      </c>
      <c r="I483" s="118">
        <v>1</v>
      </c>
      <c r="J483" s="118">
        <v>1</v>
      </c>
      <c r="K483" s="118"/>
      <c r="L483" s="118">
        <v>1</v>
      </c>
      <c r="M483" s="118"/>
      <c r="N483" s="118">
        <v>1</v>
      </c>
      <c r="O483" s="142">
        <v>2</v>
      </c>
      <c r="P483" s="118"/>
      <c r="Q483" s="118"/>
      <c r="R483" s="118" t="s">
        <v>1234</v>
      </c>
      <c r="S483" s="118"/>
      <c r="T483" s="118" t="s">
        <v>1446</v>
      </c>
      <c r="U483" s="118" t="s">
        <v>803</v>
      </c>
      <c r="V483" s="118"/>
      <c r="W483" s="118" t="s">
        <v>1447</v>
      </c>
      <c r="X483" s="118"/>
      <c r="Y483" s="118"/>
      <c r="Z483" s="118"/>
      <c r="AA483" s="118"/>
      <c r="AB483" s="118" t="s">
        <v>1448</v>
      </c>
      <c r="AC483" s="145" t="s">
        <v>6256</v>
      </c>
      <c r="AD483" s="653">
        <v>1</v>
      </c>
      <c r="AE483" s="653">
        <v>1</v>
      </c>
      <c r="AF483" s="159">
        <v>1</v>
      </c>
      <c r="AG483" s="160" t="s">
        <v>6963</v>
      </c>
      <c r="AH483" s="704"/>
      <c r="AI483" s="122">
        <v>4</v>
      </c>
      <c r="AJ483" s="485" t="s">
        <v>6979</v>
      </c>
      <c r="AK483" s="677" t="s">
        <v>6964</v>
      </c>
      <c r="AL483" s="192" t="s">
        <v>4089</v>
      </c>
      <c r="AM483" s="205">
        <v>0</v>
      </c>
      <c r="AN483" s="122">
        <v>12</v>
      </c>
      <c r="AO483" s="122">
        <v>6</v>
      </c>
      <c r="AP483" s="122">
        <v>6</v>
      </c>
      <c r="AQ483" s="122" t="s">
        <v>803</v>
      </c>
      <c r="AR483" s="150" t="s">
        <v>803</v>
      </c>
      <c r="AS483" s="150" t="s">
        <v>6959</v>
      </c>
      <c r="AT483" s="150" t="s">
        <v>2882</v>
      </c>
      <c r="AU483" s="150" t="s">
        <v>6959</v>
      </c>
      <c r="AV483" s="150" t="s">
        <v>2882</v>
      </c>
      <c r="AW483" s="150" t="s">
        <v>6978</v>
      </c>
      <c r="AX483" s="122">
        <v>55</v>
      </c>
      <c r="AY483" s="122" t="s">
        <v>7647</v>
      </c>
      <c r="AZ483" s="754" t="s">
        <v>7332</v>
      </c>
      <c r="BA483" s="122">
        <v>1</v>
      </c>
      <c r="BB483" s="122">
        <v>1</v>
      </c>
      <c r="BC483" s="122" t="s">
        <v>6960</v>
      </c>
      <c r="BD483" s="754" t="s">
        <v>7523</v>
      </c>
      <c r="BE483" s="754"/>
      <c r="BF483" s="122" t="s">
        <v>2912</v>
      </c>
      <c r="BG483" s="122" t="s">
        <v>6653</v>
      </c>
      <c r="BH483" s="588"/>
      <c r="BI483" s="588"/>
      <c r="BJ483" s="161">
        <v>1</v>
      </c>
      <c r="BK483" s="161" t="s">
        <v>6205</v>
      </c>
      <c r="BL483" s="161"/>
      <c r="BM483" s="161"/>
      <c r="BN483" s="161"/>
      <c r="BO483" s="161"/>
      <c r="BP483" s="161"/>
      <c r="BQ483" s="161"/>
      <c r="BR483" s="161"/>
      <c r="BS483" s="161"/>
      <c r="BT483" s="161"/>
      <c r="BU483" s="161"/>
      <c r="BV483" s="161"/>
      <c r="BW483" s="596" t="s">
        <v>7372</v>
      </c>
      <c r="BX483" s="162" t="s">
        <v>6657</v>
      </c>
      <c r="BY483" s="797" t="s">
        <v>7613</v>
      </c>
      <c r="BZ483" s="790" t="s">
        <v>803</v>
      </c>
      <c r="CA483" s="659">
        <v>1</v>
      </c>
      <c r="CB483" s="660" t="s">
        <v>7556</v>
      </c>
      <c r="CC483" s="659" t="s">
        <v>7384</v>
      </c>
      <c r="CD483" s="150" t="s">
        <v>1876</v>
      </c>
      <c r="CE483" s="150">
        <v>2</v>
      </c>
      <c r="CF483" s="400" t="s">
        <v>23</v>
      </c>
      <c r="CG483" s="150" t="s">
        <v>6962</v>
      </c>
      <c r="CH483" s="753" t="s">
        <v>7309</v>
      </c>
      <c r="CI483" s="150" t="s">
        <v>6961</v>
      </c>
      <c r="CJ483" s="150"/>
      <c r="CK483" s="1079" t="s">
        <v>8025</v>
      </c>
      <c r="CL483" s="150" t="s">
        <v>6639</v>
      </c>
      <c r="CM483" s="258" t="s">
        <v>6981</v>
      </c>
      <c r="CN483" s="257" t="s">
        <v>6627</v>
      </c>
      <c r="CO483" s="829">
        <v>56</v>
      </c>
      <c r="CP483" s="829">
        <v>1</v>
      </c>
      <c r="CQ483" s="829">
        <v>2</v>
      </c>
      <c r="CR483" s="829">
        <v>1</v>
      </c>
      <c r="CS483" s="829">
        <v>1</v>
      </c>
      <c r="CT483" s="968"/>
      <c r="CU483" s="1289" t="s">
        <v>8104</v>
      </c>
      <c r="CV483" s="1295">
        <v>108</v>
      </c>
      <c r="CW483" s="1295">
        <v>99</v>
      </c>
      <c r="CX483" s="150" t="s">
        <v>8029</v>
      </c>
      <c r="CY483" s="150">
        <v>194.959</v>
      </c>
      <c r="CZ483" s="150" t="s">
        <v>24</v>
      </c>
      <c r="DA483" s="150" t="s">
        <v>24</v>
      </c>
      <c r="DB483" s="150" t="s">
        <v>6973</v>
      </c>
      <c r="DC483" s="150">
        <v>128.75</v>
      </c>
      <c r="DD483" s="150" t="s">
        <v>24</v>
      </c>
      <c r="DE483" s="150" t="s">
        <v>24</v>
      </c>
      <c r="DF483" s="294"/>
      <c r="DG483" s="295"/>
      <c r="DH483" s="1164"/>
      <c r="DI483" s="1164"/>
      <c r="DJ483" s="1164"/>
      <c r="DK483" s="1164"/>
      <c r="DL483" s="1164"/>
      <c r="DM483" s="1164"/>
      <c r="DN483" s="1164"/>
      <c r="DO483" s="1164"/>
      <c r="DP483" s="290"/>
      <c r="DQ483" s="291"/>
      <c r="DR483" s="1168"/>
      <c r="DS483" s="865"/>
      <c r="DT483" s="1164"/>
      <c r="DU483" s="1164"/>
      <c r="DV483" s="1164"/>
      <c r="DW483" s="1164"/>
      <c r="DX483" s="1164"/>
      <c r="DY483" s="1164"/>
      <c r="DZ483" s="1164"/>
      <c r="EA483" s="1164"/>
      <c r="EB483" s="1214"/>
      <c r="EC483" s="1213"/>
      <c r="ED483" s="1164"/>
      <c r="EE483" s="1164"/>
      <c r="EF483" s="1164"/>
      <c r="EG483" s="1164"/>
      <c r="EH483" s="1164"/>
      <c r="EI483" s="1164"/>
      <c r="EJ483" s="1164"/>
      <c r="EK483" s="1164"/>
      <c r="EL483" s="1214"/>
      <c r="EM483" s="1213"/>
      <c r="EN483" s="1167"/>
      <c r="EO483" s="1165"/>
      <c r="EP483" s="146"/>
      <c r="EQ483" s="146"/>
      <c r="ER483" s="146"/>
      <c r="ES483" s="146"/>
      <c r="ET483" s="146"/>
      <c r="EU483" s="1164"/>
      <c r="EV483" s="1164"/>
      <c r="EW483" s="1164"/>
      <c r="EX483" s="1214"/>
      <c r="EY483" s="1213"/>
      <c r="EZ483" s="1166"/>
      <c r="FA483" s="1164"/>
      <c r="FB483" s="1166"/>
      <c r="FC483" s="1164"/>
      <c r="FD483" s="1166"/>
      <c r="FE483" s="1164"/>
      <c r="FF483" s="1166"/>
      <c r="FG483" s="1164"/>
      <c r="FH483" s="313"/>
      <c r="FI483" s="313"/>
      <c r="FJ483" s="1165"/>
    </row>
    <row r="484" spans="1:166" ht="14" hidden="1" customHeight="1">
      <c r="A484" s="876" t="s">
        <v>1007</v>
      </c>
      <c r="B484" s="877">
        <v>183</v>
      </c>
      <c r="C484" s="877"/>
      <c r="D484" s="877">
        <v>68</v>
      </c>
      <c r="E484" s="878" t="s">
        <v>2100</v>
      </c>
      <c r="F484" s="879" t="s">
        <v>2355</v>
      </c>
      <c r="G484" s="880">
        <v>1996</v>
      </c>
      <c r="H484" s="876">
        <v>8731522</v>
      </c>
      <c r="I484" s="876">
        <v>1</v>
      </c>
      <c r="J484" s="876">
        <v>1</v>
      </c>
      <c r="K484" s="876"/>
      <c r="L484" s="876">
        <v>1</v>
      </c>
      <c r="M484" s="876"/>
      <c r="N484" s="876">
        <v>1</v>
      </c>
      <c r="O484" s="882">
        <v>2</v>
      </c>
      <c r="P484" s="876"/>
      <c r="Q484" s="876"/>
      <c r="R484" s="876" t="s">
        <v>1234</v>
      </c>
      <c r="S484" s="876"/>
      <c r="T484" s="876" t="s">
        <v>1446</v>
      </c>
      <c r="U484" s="876" t="s">
        <v>803</v>
      </c>
      <c r="V484" s="876"/>
      <c r="W484" s="876" t="s">
        <v>1447</v>
      </c>
      <c r="X484" s="876"/>
      <c r="Y484" s="876"/>
      <c r="Z484" s="876"/>
      <c r="AA484" s="876"/>
      <c r="AB484" s="876" t="s">
        <v>1448</v>
      </c>
      <c r="AC484" s="883" t="s">
        <v>6256</v>
      </c>
      <c r="AD484" s="884">
        <v>1</v>
      </c>
      <c r="AE484" s="884">
        <v>1</v>
      </c>
      <c r="AF484" s="885">
        <v>1</v>
      </c>
      <c r="AG484" s="886" t="s">
        <v>6963</v>
      </c>
      <c r="AH484" s="887"/>
      <c r="AI484" s="883">
        <v>4</v>
      </c>
      <c r="AJ484" s="888" t="s">
        <v>6979</v>
      </c>
      <c r="AK484" s="1024" t="s">
        <v>6964</v>
      </c>
      <c r="AL484" s="890" t="s">
        <v>4089</v>
      </c>
      <c r="AM484" s="891">
        <v>0</v>
      </c>
      <c r="AN484" s="883">
        <v>12</v>
      </c>
      <c r="AO484" s="883">
        <v>6</v>
      </c>
      <c r="AP484" s="883">
        <v>6</v>
      </c>
      <c r="AQ484" s="883" t="s">
        <v>803</v>
      </c>
      <c r="AR484" s="883" t="s">
        <v>803</v>
      </c>
      <c r="AS484" s="883" t="s">
        <v>6959</v>
      </c>
      <c r="AT484" s="883" t="s">
        <v>2882</v>
      </c>
      <c r="AU484" s="883" t="s">
        <v>6959</v>
      </c>
      <c r="AV484" s="883" t="s">
        <v>2882</v>
      </c>
      <c r="AW484" s="883" t="s">
        <v>6978</v>
      </c>
      <c r="AX484" s="883">
        <v>55</v>
      </c>
      <c r="AY484" s="883" t="s">
        <v>7647</v>
      </c>
      <c r="AZ484" s="883" t="s">
        <v>7332</v>
      </c>
      <c r="BA484" s="883">
        <v>1</v>
      </c>
      <c r="BB484" s="883">
        <v>1</v>
      </c>
      <c r="BC484" s="883" t="s">
        <v>6960</v>
      </c>
      <c r="BD484" s="883" t="s">
        <v>7523</v>
      </c>
      <c r="BE484" s="883"/>
      <c r="BF484" s="883" t="s">
        <v>2912</v>
      </c>
      <c r="BG484" s="883" t="s">
        <v>6653</v>
      </c>
      <c r="BH484" s="892"/>
      <c r="BI484" s="892"/>
      <c r="BJ484" s="893">
        <v>1</v>
      </c>
      <c r="BK484" s="893" t="s">
        <v>6205</v>
      </c>
      <c r="BL484" s="893"/>
      <c r="BM484" s="893"/>
      <c r="BN484" s="893"/>
      <c r="BO484" s="893"/>
      <c r="BP484" s="893"/>
      <c r="BQ484" s="893"/>
      <c r="BR484" s="893"/>
      <c r="BS484" s="893"/>
      <c r="BT484" s="893"/>
      <c r="BU484" s="893"/>
      <c r="BV484" s="893"/>
      <c r="BW484" s="894" t="s">
        <v>7372</v>
      </c>
      <c r="BX484" s="895" t="s">
        <v>6657</v>
      </c>
      <c r="BY484" s="896" t="s">
        <v>7613</v>
      </c>
      <c r="BZ484" s="897" t="s">
        <v>803</v>
      </c>
      <c r="CA484" s="1001">
        <v>1</v>
      </c>
      <c r="CB484" s="1001" t="s">
        <v>7556</v>
      </c>
      <c r="CC484" s="1001" t="s">
        <v>7384</v>
      </c>
      <c r="CD484" s="899" t="s">
        <v>1876</v>
      </c>
      <c r="CE484" s="899">
        <v>2</v>
      </c>
      <c r="CF484" s="899" t="s">
        <v>23</v>
      </c>
      <c r="CG484" s="899" t="s">
        <v>6962</v>
      </c>
      <c r="CH484" s="899" t="s">
        <v>7309</v>
      </c>
      <c r="CI484" s="899" t="s">
        <v>6961</v>
      </c>
      <c r="CJ484" s="899"/>
      <c r="CK484" s="1079" t="s">
        <v>8025</v>
      </c>
      <c r="CL484" s="899" t="s">
        <v>6639</v>
      </c>
      <c r="CM484" s="900" t="s">
        <v>6981</v>
      </c>
      <c r="CN484" s="901" t="s">
        <v>6627</v>
      </c>
      <c r="CO484" s="902">
        <v>56</v>
      </c>
      <c r="CP484" s="902">
        <v>1</v>
      </c>
      <c r="CQ484" s="902">
        <v>3</v>
      </c>
      <c r="CR484" s="902">
        <v>1</v>
      </c>
      <c r="CS484" s="902">
        <v>1</v>
      </c>
      <c r="CT484" s="971"/>
      <c r="CU484" s="1289" t="s">
        <v>8104</v>
      </c>
      <c r="CV484" s="1295">
        <v>108</v>
      </c>
      <c r="CW484" s="1295">
        <v>99</v>
      </c>
      <c r="CX484" s="145" t="s">
        <v>8030</v>
      </c>
      <c r="CY484" s="145">
        <v>186.62200000000001</v>
      </c>
      <c r="CZ484" s="145" t="s">
        <v>24</v>
      </c>
      <c r="DA484" s="145" t="s">
        <v>24</v>
      </c>
      <c r="DB484" s="145" t="s">
        <v>6975</v>
      </c>
      <c r="DC484" s="150">
        <v>122.455</v>
      </c>
      <c r="DD484" s="150" t="s">
        <v>24</v>
      </c>
      <c r="DE484" s="150" t="s">
        <v>24</v>
      </c>
      <c r="DF484" s="904"/>
      <c r="DG484" s="905"/>
      <c r="DH484" s="883"/>
      <c r="DI484" s="883"/>
      <c r="DJ484" s="1218"/>
      <c r="DK484" s="883"/>
      <c r="DL484" s="1218"/>
      <c r="DM484" s="883"/>
      <c r="DN484" s="1218"/>
      <c r="DO484" s="883"/>
      <c r="DP484" s="904"/>
      <c r="DQ484" s="905"/>
      <c r="DR484" s="906"/>
      <c r="DS484" s="1224"/>
      <c r="DT484" s="1218"/>
      <c r="DU484" s="1218"/>
      <c r="DV484" s="1218"/>
      <c r="DW484" s="1218"/>
      <c r="DX484" s="1218"/>
      <c r="DY484" s="1218"/>
      <c r="DZ484" s="1218"/>
      <c r="EA484" s="1218"/>
      <c r="EB484" s="1222"/>
      <c r="EC484" s="1221"/>
      <c r="ED484" s="1218"/>
      <c r="EE484" s="1218"/>
      <c r="EF484" s="1218"/>
      <c r="EG484" s="1218"/>
      <c r="EH484" s="1218"/>
      <c r="EI484" s="1218"/>
      <c r="EJ484" s="1218"/>
      <c r="EK484" s="1218"/>
      <c r="EL484" s="1222"/>
      <c r="EM484" s="1221"/>
      <c r="EN484" s="1223"/>
      <c r="EO484" s="1219"/>
      <c r="EP484" s="1218"/>
      <c r="EQ484" s="1218"/>
      <c r="ER484" s="1218"/>
      <c r="ES484" s="1218"/>
      <c r="ET484" s="1218"/>
      <c r="EU484" s="1218"/>
      <c r="EV484" s="1218"/>
      <c r="EW484" s="1218"/>
      <c r="EX484" s="1222"/>
      <c r="EY484" s="1221"/>
      <c r="EZ484" s="1220"/>
      <c r="FA484" s="1218"/>
      <c r="FB484" s="1220"/>
      <c r="FC484" s="1218"/>
      <c r="FD484" s="1220"/>
      <c r="FE484" s="1218"/>
      <c r="FF484" s="1220"/>
      <c r="FG484" s="1218"/>
      <c r="FH484" s="1011"/>
      <c r="FI484" s="1011"/>
      <c r="FJ484" s="1219"/>
    </row>
    <row r="485" spans="1:166" s="1019" customFormat="1" ht="14" hidden="1" customHeight="1">
      <c r="A485" s="1090" t="s">
        <v>1007</v>
      </c>
      <c r="B485" s="1405">
        <v>183</v>
      </c>
      <c r="C485" s="1405"/>
      <c r="D485" s="1405">
        <v>68</v>
      </c>
      <c r="E485" s="1406" t="s">
        <v>2100</v>
      </c>
      <c r="F485" s="1407" t="s">
        <v>2355</v>
      </c>
      <c r="G485" s="1408">
        <v>1996</v>
      </c>
      <c r="H485" s="1090">
        <v>8731522</v>
      </c>
      <c r="I485" s="1090">
        <v>1</v>
      </c>
      <c r="J485" s="1090">
        <v>1</v>
      </c>
      <c r="K485" s="1090"/>
      <c r="L485" s="1090">
        <v>1</v>
      </c>
      <c r="M485" s="1090"/>
      <c r="N485" s="1090">
        <v>1</v>
      </c>
      <c r="O485" s="1090">
        <v>2</v>
      </c>
      <c r="P485" s="1090"/>
      <c r="Q485" s="1090"/>
      <c r="R485" s="1090" t="s">
        <v>1234</v>
      </c>
      <c r="S485" s="1090"/>
      <c r="T485" s="1090" t="s">
        <v>1446</v>
      </c>
      <c r="U485" s="1090" t="s">
        <v>803</v>
      </c>
      <c r="V485" s="1090"/>
      <c r="W485" s="1090" t="s">
        <v>1447</v>
      </c>
      <c r="X485" s="1090"/>
      <c r="Y485" s="1090"/>
      <c r="Z485" s="1090"/>
      <c r="AA485" s="1090"/>
      <c r="AB485" s="1090" t="s">
        <v>1448</v>
      </c>
      <c r="AC485" s="1409" t="s">
        <v>6256</v>
      </c>
      <c r="AD485" s="1409">
        <v>1</v>
      </c>
      <c r="AE485" s="1409">
        <v>1</v>
      </c>
      <c r="AF485" s="1410">
        <v>0</v>
      </c>
      <c r="AG485" s="1411" t="s">
        <v>7975</v>
      </c>
      <c r="AH485" s="1409"/>
      <c r="AI485" s="1409">
        <v>4</v>
      </c>
      <c r="AJ485" s="1409" t="s">
        <v>6979</v>
      </c>
      <c r="AK485" s="1564" t="s">
        <v>6964</v>
      </c>
      <c r="AL485" s="1407" t="s">
        <v>4089</v>
      </c>
      <c r="AM485" s="1413">
        <v>0</v>
      </c>
      <c r="AN485" s="1409">
        <v>12</v>
      </c>
      <c r="AO485" s="1409">
        <v>6</v>
      </c>
      <c r="AP485" s="1409">
        <v>6</v>
      </c>
      <c r="AQ485" s="1409" t="s">
        <v>803</v>
      </c>
      <c r="AR485" s="1409" t="s">
        <v>803</v>
      </c>
      <c r="AS485" s="1409" t="s">
        <v>6959</v>
      </c>
      <c r="AT485" s="1409" t="s">
        <v>2882</v>
      </c>
      <c r="AU485" s="1409" t="s">
        <v>6959</v>
      </c>
      <c r="AV485" s="1409" t="s">
        <v>2882</v>
      </c>
      <c r="AW485" s="1409" t="s">
        <v>6977</v>
      </c>
      <c r="AX485" s="1409">
        <v>55</v>
      </c>
      <c r="AY485" s="1409" t="s">
        <v>7647</v>
      </c>
      <c r="AZ485" s="1409" t="s">
        <v>7332</v>
      </c>
      <c r="BA485" s="1409">
        <v>1</v>
      </c>
      <c r="BB485" s="1409">
        <v>1</v>
      </c>
      <c r="BC485" s="1409" t="s">
        <v>6960</v>
      </c>
      <c r="BD485" s="1409" t="s">
        <v>7523</v>
      </c>
      <c r="BE485" s="1409"/>
      <c r="BF485" s="1409" t="s">
        <v>2912</v>
      </c>
      <c r="BG485" s="1409" t="s">
        <v>6653</v>
      </c>
      <c r="BH485" s="1407"/>
      <c r="BI485" s="1407"/>
      <c r="BJ485" s="1565">
        <v>1</v>
      </c>
      <c r="BK485" s="1565" t="s">
        <v>6205</v>
      </c>
      <c r="BL485" s="1565"/>
      <c r="BM485" s="1565"/>
      <c r="BN485" s="1565"/>
      <c r="BO485" s="1565"/>
      <c r="BP485" s="1565"/>
      <c r="BQ485" s="1565"/>
      <c r="BR485" s="1565"/>
      <c r="BS485" s="1565"/>
      <c r="BT485" s="1565"/>
      <c r="BU485" s="1565"/>
      <c r="BV485" s="1565"/>
      <c r="BW485" s="1565" t="s">
        <v>7372</v>
      </c>
      <c r="BX485" s="1416" t="s">
        <v>6657</v>
      </c>
      <c r="BY485" s="1416" t="s">
        <v>7613</v>
      </c>
      <c r="BZ485" s="1416" t="s">
        <v>7974</v>
      </c>
      <c r="CA485" s="1416">
        <v>1</v>
      </c>
      <c r="CB485" s="1416" t="s">
        <v>7556</v>
      </c>
      <c r="CC485" s="1416" t="s">
        <v>7384</v>
      </c>
      <c r="CD485" s="1409" t="s">
        <v>1876</v>
      </c>
      <c r="CE485" s="1409">
        <v>2</v>
      </c>
      <c r="CF485" s="1409" t="s">
        <v>23</v>
      </c>
      <c r="CG485" s="1409" t="s">
        <v>6962</v>
      </c>
      <c r="CH485" s="1409" t="s">
        <v>7309</v>
      </c>
      <c r="CI485" s="1409" t="s">
        <v>6961</v>
      </c>
      <c r="CJ485" s="1409"/>
      <c r="CK485" s="1409" t="s">
        <v>8025</v>
      </c>
      <c r="CL485" s="1409" t="s">
        <v>6639</v>
      </c>
      <c r="CM485" s="1414" t="s">
        <v>6981</v>
      </c>
      <c r="CN485" s="1415" t="s">
        <v>6627</v>
      </c>
      <c r="CO485" s="1415"/>
      <c r="CP485" s="1415"/>
      <c r="CQ485" s="1415"/>
      <c r="CR485" s="1415"/>
      <c r="CS485" s="1415"/>
      <c r="CT485" s="1415"/>
      <c r="CU485" s="1415"/>
      <c r="CV485" s="1415"/>
      <c r="CW485" s="1415"/>
      <c r="CX485" s="1409" t="s">
        <v>8026</v>
      </c>
      <c r="CY485" s="1409">
        <v>29.828099999999999</v>
      </c>
      <c r="CZ485" s="1409" t="s">
        <v>24</v>
      </c>
      <c r="DA485" s="1409" t="s">
        <v>24</v>
      </c>
      <c r="DB485" s="1409" t="s">
        <v>6967</v>
      </c>
      <c r="DC485" s="1409">
        <v>24.895199999999999</v>
      </c>
      <c r="DD485" s="1409" t="s">
        <v>24</v>
      </c>
      <c r="DE485" s="1409" t="s">
        <v>24</v>
      </c>
      <c r="DF485" s="1414" t="s">
        <v>6980</v>
      </c>
      <c r="DG485" s="1407"/>
      <c r="DH485" s="1418"/>
      <c r="DI485" s="1418"/>
      <c r="DJ485" s="1418"/>
      <c r="DK485" s="1418"/>
      <c r="DL485" s="1418"/>
      <c r="DM485" s="1418"/>
      <c r="DN485" s="1418"/>
      <c r="DO485" s="1418"/>
      <c r="DP485" s="1414"/>
      <c r="DQ485" s="1407"/>
      <c r="DR485" s="1419"/>
      <c r="DS485" s="1420"/>
      <c r="DT485" s="1420"/>
      <c r="DU485" s="1418"/>
      <c r="DV485" s="1418"/>
      <c r="DW485" s="1418"/>
      <c r="DX485" s="1418"/>
      <c r="DY485" s="1418"/>
      <c r="DZ485" s="1418"/>
      <c r="EA485" s="1418"/>
      <c r="EB485" s="1419"/>
      <c r="EC485" s="1418"/>
      <c r="ED485" s="1418"/>
      <c r="EE485" s="1418"/>
      <c r="EF485" s="1418"/>
      <c r="EG485" s="1418"/>
      <c r="EH485" s="1418"/>
      <c r="EI485" s="1418"/>
      <c r="EJ485" s="1418"/>
      <c r="EK485" s="1418"/>
      <c r="EL485" s="1419"/>
      <c r="EM485" s="1418"/>
      <c r="EN485" s="1419"/>
      <c r="EO485" s="1418"/>
      <c r="EP485" s="1418"/>
      <c r="EQ485" s="1418"/>
      <c r="ER485" s="1418"/>
      <c r="ES485" s="1418"/>
      <c r="ET485" s="1418"/>
      <c r="EU485" s="1418"/>
      <c r="EV485" s="1418"/>
      <c r="EW485" s="1418"/>
      <c r="EX485" s="1419"/>
      <c r="EY485" s="1418"/>
      <c r="EZ485" s="1420"/>
      <c r="FA485" s="1418"/>
      <c r="FB485" s="1420"/>
      <c r="FC485" s="1418"/>
      <c r="FD485" s="1420"/>
      <c r="FE485" s="1418"/>
      <c r="FF485" s="1420"/>
      <c r="FG485" s="1418"/>
      <c r="FH485" s="1418"/>
      <c r="FI485" s="1418"/>
      <c r="FJ485" s="1418"/>
    </row>
    <row r="486" spans="1:166" s="1089" customFormat="1" ht="15" hidden="1" customHeight="1">
      <c r="A486" s="1090" t="s">
        <v>1007</v>
      </c>
      <c r="B486" s="1405">
        <v>183</v>
      </c>
      <c r="C486" s="1405"/>
      <c r="D486" s="1405">
        <v>68</v>
      </c>
      <c r="E486" s="1406" t="s">
        <v>2100</v>
      </c>
      <c r="F486" s="1407" t="s">
        <v>2355</v>
      </c>
      <c r="G486" s="1408">
        <v>1996</v>
      </c>
      <c r="H486" s="1090">
        <v>8731522</v>
      </c>
      <c r="I486" s="1090">
        <v>1</v>
      </c>
      <c r="J486" s="1090">
        <v>1</v>
      </c>
      <c r="K486" s="1090"/>
      <c r="L486" s="1090">
        <v>1</v>
      </c>
      <c r="M486" s="1090"/>
      <c r="N486" s="1090">
        <v>1</v>
      </c>
      <c r="O486" s="1090">
        <v>2</v>
      </c>
      <c r="P486" s="1090"/>
      <c r="Q486" s="1090"/>
      <c r="R486" s="1090" t="s">
        <v>1234</v>
      </c>
      <c r="S486" s="1090"/>
      <c r="T486" s="1090" t="s">
        <v>1446</v>
      </c>
      <c r="U486" s="1090" t="s">
        <v>803</v>
      </c>
      <c r="V486" s="1090"/>
      <c r="W486" s="1090" t="s">
        <v>1447</v>
      </c>
      <c r="X486" s="1090"/>
      <c r="Y486" s="1090"/>
      <c r="Z486" s="1090"/>
      <c r="AA486" s="1090"/>
      <c r="AB486" s="1090" t="s">
        <v>1448</v>
      </c>
      <c r="AC486" s="1409" t="s">
        <v>6256</v>
      </c>
      <c r="AD486" s="1409">
        <v>1</v>
      </c>
      <c r="AE486" s="1409">
        <v>1</v>
      </c>
      <c r="AF486" s="1410">
        <v>0</v>
      </c>
      <c r="AG486" s="1411" t="s">
        <v>8024</v>
      </c>
      <c r="AH486" s="1409"/>
      <c r="AI486" s="1409">
        <v>4</v>
      </c>
      <c r="AJ486" s="1409" t="s">
        <v>6979</v>
      </c>
      <c r="AK486" s="1564" t="s">
        <v>6964</v>
      </c>
      <c r="AL486" s="1407" t="s">
        <v>4089</v>
      </c>
      <c r="AM486" s="1413">
        <v>0</v>
      </c>
      <c r="AN486" s="1409">
        <v>12</v>
      </c>
      <c r="AO486" s="1409">
        <v>6</v>
      </c>
      <c r="AP486" s="1409">
        <v>6</v>
      </c>
      <c r="AQ486" s="1409" t="s">
        <v>803</v>
      </c>
      <c r="AR486" s="1409" t="s">
        <v>803</v>
      </c>
      <c r="AS486" s="1409" t="s">
        <v>6959</v>
      </c>
      <c r="AT486" s="1409" t="s">
        <v>2882</v>
      </c>
      <c r="AU486" s="1409" t="s">
        <v>6959</v>
      </c>
      <c r="AV486" s="1409" t="s">
        <v>2882</v>
      </c>
      <c r="AW486" s="1409" t="s">
        <v>6977</v>
      </c>
      <c r="AX486" s="1409">
        <v>55</v>
      </c>
      <c r="AY486" s="1409" t="s">
        <v>7647</v>
      </c>
      <c r="AZ486" s="1409" t="s">
        <v>7332</v>
      </c>
      <c r="BA486" s="1409">
        <v>1</v>
      </c>
      <c r="BB486" s="1409">
        <v>1</v>
      </c>
      <c r="BC486" s="1409" t="s">
        <v>6960</v>
      </c>
      <c r="BD486" s="1409" t="s">
        <v>7523</v>
      </c>
      <c r="BE486" s="1409"/>
      <c r="BF486" s="1409" t="s">
        <v>2912</v>
      </c>
      <c r="BG486" s="1409" t="s">
        <v>6653</v>
      </c>
      <c r="BH486" s="1407"/>
      <c r="BI486" s="1407"/>
      <c r="BJ486" s="1565">
        <v>1</v>
      </c>
      <c r="BK486" s="1565" t="s">
        <v>6205</v>
      </c>
      <c r="BL486" s="1565"/>
      <c r="BM486" s="1565"/>
      <c r="BN486" s="1565"/>
      <c r="BO486" s="1565"/>
      <c r="BP486" s="1565"/>
      <c r="BQ486" s="1565"/>
      <c r="BR486" s="1565"/>
      <c r="BS486" s="1565"/>
      <c r="BT486" s="1565"/>
      <c r="BU486" s="1565"/>
      <c r="BV486" s="1565"/>
      <c r="BW486" s="1565" t="s">
        <v>7372</v>
      </c>
      <c r="BX486" s="1416" t="s">
        <v>6657</v>
      </c>
      <c r="BY486" s="1416" t="s">
        <v>7613</v>
      </c>
      <c r="BZ486" s="1416" t="s">
        <v>7976</v>
      </c>
      <c r="CA486" s="1416">
        <v>1</v>
      </c>
      <c r="CB486" s="1416" t="s">
        <v>7556</v>
      </c>
      <c r="CC486" s="1416" t="s">
        <v>7384</v>
      </c>
      <c r="CD486" s="1409" t="s">
        <v>1876</v>
      </c>
      <c r="CE486" s="1409">
        <v>2</v>
      </c>
      <c r="CF486" s="1409" t="s">
        <v>23</v>
      </c>
      <c r="CG486" s="1409" t="s">
        <v>6962</v>
      </c>
      <c r="CH486" s="1409" t="s">
        <v>7309</v>
      </c>
      <c r="CI486" s="1409" t="s">
        <v>6961</v>
      </c>
      <c r="CJ486" s="1409"/>
      <c r="CK486" s="1409" t="s">
        <v>8025</v>
      </c>
      <c r="CL486" s="1409" t="s">
        <v>6639</v>
      </c>
      <c r="CM486" s="1414" t="s">
        <v>6981</v>
      </c>
      <c r="CN486" s="1415" t="s">
        <v>6627</v>
      </c>
      <c r="CO486" s="1415"/>
      <c r="CP486" s="1415"/>
      <c r="CQ486" s="1415"/>
      <c r="CR486" s="1415"/>
      <c r="CS486" s="1415"/>
      <c r="CT486" s="1415"/>
      <c r="CU486" s="1415"/>
      <c r="CV486" s="1415"/>
      <c r="CW486" s="1415"/>
      <c r="CX486" s="1409" t="s">
        <v>8027</v>
      </c>
      <c r="CY486" s="1409">
        <v>3.6684000000000001</v>
      </c>
      <c r="CZ486" s="1409" t="s">
        <v>24</v>
      </c>
      <c r="DA486" s="1409" t="s">
        <v>24</v>
      </c>
      <c r="DB486" s="1409" t="s">
        <v>6969</v>
      </c>
      <c r="DC486" s="1409">
        <v>8.1870600000000007</v>
      </c>
      <c r="DD486" s="1409" t="s">
        <v>24</v>
      </c>
      <c r="DE486" s="1409" t="s">
        <v>24</v>
      </c>
      <c r="DF486" s="1415"/>
      <c r="DG486" s="1407"/>
      <c r="DH486" s="1566"/>
      <c r="DI486" s="1090"/>
      <c r="DJ486" s="1418"/>
      <c r="DK486" s="1090"/>
      <c r="DL486" s="1418"/>
      <c r="DM486" s="1090"/>
      <c r="DN486" s="1418"/>
      <c r="DO486" s="1567"/>
      <c r="DP486" s="1414"/>
      <c r="DQ486" s="1407"/>
      <c r="DR486" s="1419"/>
      <c r="DS486" s="1420"/>
      <c r="DT486" s="1418"/>
      <c r="DU486" s="1090"/>
      <c r="DV486" s="1418"/>
      <c r="DW486" s="1090"/>
      <c r="DX486" s="1418"/>
      <c r="DY486" s="1090"/>
      <c r="DZ486" s="1418"/>
      <c r="EA486" s="1090"/>
      <c r="EB486" s="1419"/>
      <c r="EC486" s="1418"/>
      <c r="ED486" s="1418"/>
      <c r="EE486" s="1090"/>
      <c r="EF486" s="1418"/>
      <c r="EG486" s="1090"/>
      <c r="EH486" s="1418"/>
      <c r="EI486" s="1090"/>
      <c r="EJ486" s="1418"/>
      <c r="EK486" s="1090"/>
      <c r="EL486" s="1419"/>
      <c r="EM486" s="1418"/>
      <c r="EN486" s="1568"/>
      <c r="EO486" s="1418"/>
      <c r="EP486" s="1090"/>
      <c r="EQ486" s="1090"/>
      <c r="ER486" s="1090"/>
      <c r="ES486" s="1090"/>
      <c r="ET486" s="1090"/>
      <c r="EU486" s="1090"/>
      <c r="EV486" s="1090"/>
      <c r="EW486" s="1090"/>
      <c r="EX486" s="1419"/>
      <c r="EY486" s="1418"/>
      <c r="EZ486" s="1420"/>
      <c r="FA486" s="1418"/>
      <c r="FB486" s="1420"/>
      <c r="FC486" s="1418"/>
      <c r="FD486" s="1420"/>
      <c r="FE486" s="1418"/>
      <c r="FF486" s="1420"/>
      <c r="FG486" s="1418"/>
      <c r="FH486" s="1418"/>
      <c r="FI486" s="1418"/>
      <c r="FJ486" s="1418"/>
    </row>
    <row r="487" spans="1:166" s="1089" customFormat="1" ht="14" hidden="1" customHeight="1">
      <c r="A487" s="79" t="s">
        <v>1007</v>
      </c>
      <c r="B487" s="617">
        <v>183</v>
      </c>
      <c r="C487" s="617"/>
      <c r="D487" s="617">
        <v>68</v>
      </c>
      <c r="E487" s="608" t="s">
        <v>2100</v>
      </c>
      <c r="F487" s="181" t="s">
        <v>2355</v>
      </c>
      <c r="G487" s="182">
        <v>1996</v>
      </c>
      <c r="H487" s="79">
        <v>8731522</v>
      </c>
      <c r="I487" s="79">
        <v>1</v>
      </c>
      <c r="J487" s="79">
        <v>1</v>
      </c>
      <c r="K487" s="79"/>
      <c r="L487" s="79">
        <v>1</v>
      </c>
      <c r="M487" s="79"/>
      <c r="N487" s="79">
        <v>1</v>
      </c>
      <c r="O487" s="128">
        <v>2</v>
      </c>
      <c r="P487" s="79"/>
      <c r="Q487" s="79"/>
      <c r="R487" s="79" t="s">
        <v>1234</v>
      </c>
      <c r="S487" s="79"/>
      <c r="T487" s="79" t="s">
        <v>1446</v>
      </c>
      <c r="U487" s="79" t="s">
        <v>803</v>
      </c>
      <c r="V487" s="79"/>
      <c r="W487" s="79" t="s">
        <v>1447</v>
      </c>
      <c r="X487" s="79"/>
      <c r="Y487" s="79"/>
      <c r="Z487" s="79"/>
      <c r="AA487" s="79"/>
      <c r="AB487" s="79" t="s">
        <v>1448</v>
      </c>
      <c r="AC487" s="506" t="s">
        <v>6256</v>
      </c>
      <c r="AD487" s="573">
        <v>1</v>
      </c>
      <c r="AE487" s="573">
        <v>1</v>
      </c>
      <c r="AF487" s="352">
        <v>1</v>
      </c>
      <c r="AG487" s="353" t="s">
        <v>6963</v>
      </c>
      <c r="AH487" s="704"/>
      <c r="AI487" s="346">
        <v>4</v>
      </c>
      <c r="AJ487" s="487" t="s">
        <v>6979</v>
      </c>
      <c r="AK487" s="678" t="s">
        <v>6964</v>
      </c>
      <c r="AL487" s="348" t="s">
        <v>4089</v>
      </c>
      <c r="AM487" s="349">
        <v>0</v>
      </c>
      <c r="AN487" s="346">
        <v>12</v>
      </c>
      <c r="AO487" s="346">
        <v>6</v>
      </c>
      <c r="AP487" s="346">
        <v>6</v>
      </c>
      <c r="AQ487" s="346" t="s">
        <v>803</v>
      </c>
      <c r="AR487" s="346" t="s">
        <v>803</v>
      </c>
      <c r="AS487" s="346" t="s">
        <v>6959</v>
      </c>
      <c r="AT487" s="346" t="s">
        <v>2882</v>
      </c>
      <c r="AU487" s="346" t="s">
        <v>6959</v>
      </c>
      <c r="AV487" s="346" t="s">
        <v>2882</v>
      </c>
      <c r="AW487" s="346" t="s">
        <v>6977</v>
      </c>
      <c r="AX487" s="346">
        <v>55</v>
      </c>
      <c r="AY487" s="122" t="s">
        <v>7647</v>
      </c>
      <c r="AZ487" s="754" t="s">
        <v>7332</v>
      </c>
      <c r="BA487" s="346">
        <v>1</v>
      </c>
      <c r="BB487" s="346">
        <v>1</v>
      </c>
      <c r="BC487" s="346" t="s">
        <v>6960</v>
      </c>
      <c r="BD487" s="754" t="s">
        <v>7523</v>
      </c>
      <c r="BE487" s="754"/>
      <c r="BF487" s="346" t="s">
        <v>2912</v>
      </c>
      <c r="BG487" s="346" t="s">
        <v>6653</v>
      </c>
      <c r="BH487" s="598"/>
      <c r="BI487" s="598"/>
      <c r="BJ487" s="184">
        <v>1</v>
      </c>
      <c r="BK487" s="184" t="s">
        <v>6205</v>
      </c>
      <c r="BL487" s="184"/>
      <c r="BM487" s="184"/>
      <c r="BN487" s="184"/>
      <c r="BO487" s="184"/>
      <c r="BP487" s="184"/>
      <c r="BQ487" s="184"/>
      <c r="BR487" s="184"/>
      <c r="BS487" s="184"/>
      <c r="BT487" s="184"/>
      <c r="BU487" s="184"/>
      <c r="BV487" s="184"/>
      <c r="BW487" s="596" t="s">
        <v>7372</v>
      </c>
      <c r="BX487" s="162" t="s">
        <v>6657</v>
      </c>
      <c r="BY487" s="797" t="s">
        <v>7613</v>
      </c>
      <c r="BZ487" s="790" t="s">
        <v>803</v>
      </c>
      <c r="CA487" s="660">
        <v>1</v>
      </c>
      <c r="CB487" s="660" t="s">
        <v>7556</v>
      </c>
      <c r="CC487" s="660" t="s">
        <v>7384</v>
      </c>
      <c r="CD487" s="186" t="s">
        <v>1876</v>
      </c>
      <c r="CE487" s="186">
        <v>2</v>
      </c>
      <c r="CF487" s="400" t="s">
        <v>23</v>
      </c>
      <c r="CG487" s="186" t="s">
        <v>6962</v>
      </c>
      <c r="CH487" s="753" t="s">
        <v>7309</v>
      </c>
      <c r="CI487" s="186" t="s">
        <v>6961</v>
      </c>
      <c r="CJ487" s="186"/>
      <c r="CK487" s="1079" t="s">
        <v>8025</v>
      </c>
      <c r="CL487" s="186" t="s">
        <v>6639</v>
      </c>
      <c r="CM487" s="261" t="s">
        <v>6981</v>
      </c>
      <c r="CN487" s="620" t="s">
        <v>6627</v>
      </c>
      <c r="CO487" s="830">
        <v>56</v>
      </c>
      <c r="CP487" s="830">
        <v>2</v>
      </c>
      <c r="CQ487" s="830">
        <v>1</v>
      </c>
      <c r="CR487" s="830">
        <v>1</v>
      </c>
      <c r="CS487" s="830">
        <v>1</v>
      </c>
      <c r="CT487" s="969"/>
      <c r="CU487" s="1289" t="s">
        <v>8104</v>
      </c>
      <c r="CV487" s="1295">
        <v>109</v>
      </c>
      <c r="CW487" s="1295">
        <v>100</v>
      </c>
      <c r="CX487" s="272" t="s">
        <v>8028</v>
      </c>
      <c r="CY487" s="186">
        <v>209.82</v>
      </c>
      <c r="CZ487" s="186" t="s">
        <v>24</v>
      </c>
      <c r="DA487" s="186" t="s">
        <v>24</v>
      </c>
      <c r="DB487" s="272" t="s">
        <v>6971</v>
      </c>
      <c r="DC487" s="186">
        <v>105.345</v>
      </c>
      <c r="DD487" s="186" t="s">
        <v>24</v>
      </c>
      <c r="DE487" s="186" t="s">
        <v>24</v>
      </c>
      <c r="DF487" s="294" t="s">
        <v>24</v>
      </c>
      <c r="DG487" s="295" t="s">
        <v>24</v>
      </c>
      <c r="DH487" s="1189"/>
      <c r="DI487" s="1189"/>
      <c r="DJ487" s="1189"/>
      <c r="DK487" s="1189"/>
      <c r="DL487" s="1189"/>
      <c r="DM487" s="1189"/>
      <c r="DN487" s="1189"/>
      <c r="DO487" s="1189"/>
      <c r="DP487" s="294"/>
      <c r="DQ487" s="295"/>
      <c r="DR487" s="1168"/>
      <c r="DS487" s="865"/>
      <c r="DT487" s="1189"/>
      <c r="DU487" s="1189"/>
      <c r="DV487" s="1189"/>
      <c r="DW487" s="1189"/>
      <c r="DX487" s="1189"/>
      <c r="DY487" s="1189"/>
      <c r="DZ487" s="1189"/>
      <c r="EA487" s="1189"/>
      <c r="EB487" s="1216"/>
      <c r="EC487" s="1215"/>
      <c r="ED487" s="1189"/>
      <c r="EE487" s="1189"/>
      <c r="EF487" s="1189"/>
      <c r="EG487" s="1189"/>
      <c r="EH487" s="1189"/>
      <c r="EI487" s="1189"/>
      <c r="EJ487" s="1189"/>
      <c r="EK487" s="1189"/>
      <c r="EL487" s="1216"/>
      <c r="EM487" s="1215"/>
      <c r="EN487" s="1168"/>
      <c r="EO487" s="1191"/>
      <c r="EP487" s="16"/>
      <c r="EQ487" s="16"/>
      <c r="ER487" s="16"/>
      <c r="ES487" s="16"/>
      <c r="ET487" s="16"/>
      <c r="EU487" s="1189"/>
      <c r="EV487" s="1189"/>
      <c r="EW487" s="1189"/>
      <c r="EX487" s="1216"/>
      <c r="EY487" s="1215"/>
      <c r="EZ487" s="1192"/>
      <c r="FA487" s="1189"/>
      <c r="FB487" s="1192"/>
      <c r="FC487" s="1189"/>
      <c r="FD487" s="1192"/>
      <c r="FE487" s="1189"/>
      <c r="FF487" s="1192"/>
      <c r="FG487" s="1189"/>
      <c r="FH487" s="1190"/>
      <c r="FI487" s="1190"/>
      <c r="FJ487" s="1191"/>
    </row>
    <row r="488" spans="1:166" ht="14" hidden="1" customHeight="1">
      <c r="A488" s="79" t="s">
        <v>1007</v>
      </c>
      <c r="B488" s="617">
        <v>183</v>
      </c>
      <c r="C488" s="617"/>
      <c r="D488" s="617">
        <v>68</v>
      </c>
      <c r="E488" s="608" t="s">
        <v>2100</v>
      </c>
      <c r="F488" s="181" t="s">
        <v>2355</v>
      </c>
      <c r="G488" s="182">
        <v>1996</v>
      </c>
      <c r="H488" s="79">
        <v>8731522</v>
      </c>
      <c r="I488" s="79">
        <v>1</v>
      </c>
      <c r="J488" s="79">
        <v>1</v>
      </c>
      <c r="K488" s="79"/>
      <c r="L488" s="79">
        <v>1</v>
      </c>
      <c r="M488" s="79"/>
      <c r="N488" s="79">
        <v>1</v>
      </c>
      <c r="O488" s="128">
        <v>2</v>
      </c>
      <c r="P488" s="79"/>
      <c r="Q488" s="79"/>
      <c r="R488" s="79" t="s">
        <v>1234</v>
      </c>
      <c r="S488" s="79"/>
      <c r="T488" s="79" t="s">
        <v>1446</v>
      </c>
      <c r="U488" s="79" t="s">
        <v>803</v>
      </c>
      <c r="V488" s="79"/>
      <c r="W488" s="79" t="s">
        <v>1447</v>
      </c>
      <c r="X488" s="79"/>
      <c r="Y488" s="79"/>
      <c r="Z488" s="79"/>
      <c r="AA488" s="79"/>
      <c r="AB488" s="79" t="s">
        <v>1448</v>
      </c>
      <c r="AC488" s="506" t="s">
        <v>6256</v>
      </c>
      <c r="AD488" s="573">
        <v>1</v>
      </c>
      <c r="AE488" s="573">
        <v>1</v>
      </c>
      <c r="AF488" s="352">
        <v>1</v>
      </c>
      <c r="AG488" s="353" t="s">
        <v>6963</v>
      </c>
      <c r="AH488" s="704"/>
      <c r="AI488" s="346">
        <v>4</v>
      </c>
      <c r="AJ488" s="487" t="s">
        <v>6979</v>
      </c>
      <c r="AK488" s="678" t="s">
        <v>6964</v>
      </c>
      <c r="AL488" s="348" t="s">
        <v>4089</v>
      </c>
      <c r="AM488" s="349">
        <v>0</v>
      </c>
      <c r="AN488" s="346">
        <v>12</v>
      </c>
      <c r="AO488" s="346">
        <v>6</v>
      </c>
      <c r="AP488" s="346">
        <v>6</v>
      </c>
      <c r="AQ488" s="346" t="s">
        <v>803</v>
      </c>
      <c r="AR488" s="346" t="s">
        <v>803</v>
      </c>
      <c r="AS488" s="346" t="s">
        <v>6959</v>
      </c>
      <c r="AT488" s="346" t="s">
        <v>2882</v>
      </c>
      <c r="AU488" s="346" t="s">
        <v>6959</v>
      </c>
      <c r="AV488" s="346" t="s">
        <v>2882</v>
      </c>
      <c r="AW488" s="346" t="s">
        <v>6977</v>
      </c>
      <c r="AX488" s="346">
        <v>55</v>
      </c>
      <c r="AY488" s="122" t="s">
        <v>7647</v>
      </c>
      <c r="AZ488" s="754" t="s">
        <v>7332</v>
      </c>
      <c r="BA488" s="346">
        <v>1</v>
      </c>
      <c r="BB488" s="346">
        <v>1</v>
      </c>
      <c r="BC488" s="346" t="s">
        <v>6960</v>
      </c>
      <c r="BD488" s="754" t="s">
        <v>7523</v>
      </c>
      <c r="BE488" s="754"/>
      <c r="BF488" s="346" t="s">
        <v>2912</v>
      </c>
      <c r="BG488" s="346" t="s">
        <v>6653</v>
      </c>
      <c r="BH488" s="598"/>
      <c r="BI488" s="598"/>
      <c r="BJ488" s="184">
        <v>1</v>
      </c>
      <c r="BK488" s="184" t="s">
        <v>6205</v>
      </c>
      <c r="BL488" s="184"/>
      <c r="BM488" s="184"/>
      <c r="BN488" s="184"/>
      <c r="BO488" s="184"/>
      <c r="BP488" s="184"/>
      <c r="BQ488" s="184"/>
      <c r="BR488" s="184"/>
      <c r="BS488" s="184"/>
      <c r="BT488" s="184"/>
      <c r="BU488" s="184"/>
      <c r="BV488" s="184"/>
      <c r="BW488" s="596" t="s">
        <v>7372</v>
      </c>
      <c r="BX488" s="162" t="s">
        <v>6657</v>
      </c>
      <c r="BY488" s="797" t="s">
        <v>7613</v>
      </c>
      <c r="BZ488" s="790" t="s">
        <v>803</v>
      </c>
      <c r="CA488" s="660">
        <v>1</v>
      </c>
      <c r="CB488" s="660" t="s">
        <v>7556</v>
      </c>
      <c r="CC488" s="660" t="s">
        <v>7384</v>
      </c>
      <c r="CD488" s="186" t="s">
        <v>1876</v>
      </c>
      <c r="CE488" s="186">
        <v>2</v>
      </c>
      <c r="CF488" s="400" t="s">
        <v>23</v>
      </c>
      <c r="CG488" s="186" t="s">
        <v>6962</v>
      </c>
      <c r="CH488" s="753" t="s">
        <v>7309</v>
      </c>
      <c r="CI488" s="186" t="s">
        <v>6961</v>
      </c>
      <c r="CJ488" s="186"/>
      <c r="CK488" s="1079" t="s">
        <v>8025</v>
      </c>
      <c r="CL488" s="186" t="s">
        <v>6639</v>
      </c>
      <c r="CM488" s="261" t="s">
        <v>6981</v>
      </c>
      <c r="CN488" s="620" t="s">
        <v>6627</v>
      </c>
      <c r="CO488" s="830">
        <v>56</v>
      </c>
      <c r="CP488" s="830">
        <v>2</v>
      </c>
      <c r="CQ488" s="830">
        <v>2</v>
      </c>
      <c r="CR488" s="830">
        <v>1</v>
      </c>
      <c r="CS488" s="830">
        <v>1</v>
      </c>
      <c r="CT488" s="969"/>
      <c r="CU488" s="1289" t="s">
        <v>8104</v>
      </c>
      <c r="CV488" s="1295">
        <v>109</v>
      </c>
      <c r="CW488" s="1295">
        <v>100</v>
      </c>
      <c r="CX488" s="272" t="s">
        <v>8029</v>
      </c>
      <c r="CY488" s="186">
        <v>188.92400000000001</v>
      </c>
      <c r="CZ488" s="186" t="s">
        <v>24</v>
      </c>
      <c r="DA488" s="186" t="s">
        <v>24</v>
      </c>
      <c r="DB488" s="272" t="s">
        <v>6973</v>
      </c>
      <c r="DC488" s="186">
        <v>152.31899999999999</v>
      </c>
      <c r="DD488" s="186" t="s">
        <v>24</v>
      </c>
      <c r="DE488" s="186" t="s">
        <v>24</v>
      </c>
      <c r="DF488" s="549" t="s">
        <v>24</v>
      </c>
      <c r="DG488" s="551" t="s">
        <v>24</v>
      </c>
      <c r="DH488" s="346"/>
      <c r="DI488" s="346"/>
      <c r="DJ488" s="1189"/>
      <c r="DK488" s="346"/>
      <c r="DL488" s="1189"/>
      <c r="DM488" s="346"/>
      <c r="DN488" s="1189"/>
      <c r="DO488" s="346"/>
      <c r="DP488" s="294"/>
      <c r="DQ488" s="295"/>
      <c r="DR488" s="280"/>
      <c r="DS488" s="865"/>
      <c r="DT488" s="1189"/>
      <c r="DU488" s="346"/>
      <c r="DV488" s="1189"/>
      <c r="DW488" s="346"/>
      <c r="DX488" s="1189"/>
      <c r="DY488" s="346"/>
      <c r="DZ488" s="1189"/>
      <c r="EA488" s="346"/>
      <c r="EB488" s="1216"/>
      <c r="EC488" s="1215"/>
      <c r="ED488" s="1189"/>
      <c r="EE488" s="346"/>
      <c r="EF488" s="1189"/>
      <c r="EG488" s="346"/>
      <c r="EH488" s="1189"/>
      <c r="EI488" s="346"/>
      <c r="EJ488" s="1189"/>
      <c r="EK488" s="346"/>
      <c r="EL488" s="1216"/>
      <c r="EM488" s="1215"/>
      <c r="EN488" s="1168"/>
      <c r="EO488" s="1191"/>
      <c r="EP488" s="16"/>
      <c r="EQ488" s="16"/>
      <c r="ER488" s="16"/>
      <c r="ES488" s="16"/>
      <c r="ET488" s="16"/>
      <c r="EU488" s="1189"/>
      <c r="EV488" s="1189"/>
      <c r="EW488" s="1189"/>
      <c r="EX488" s="1216"/>
      <c r="EY488" s="1215"/>
      <c r="EZ488" s="1192"/>
      <c r="FA488" s="1189"/>
      <c r="FB488" s="1192"/>
      <c r="FC488" s="1189"/>
      <c r="FD488" s="1192"/>
      <c r="FE488" s="1189"/>
      <c r="FF488" s="1192"/>
      <c r="FG488" s="1189"/>
      <c r="FH488" s="1190"/>
      <c r="FI488" s="1190"/>
      <c r="FJ488" s="1191"/>
    </row>
    <row r="489" spans="1:166" ht="14" hidden="1" customHeight="1">
      <c r="A489" s="79" t="s">
        <v>1007</v>
      </c>
      <c r="B489" s="617">
        <v>183</v>
      </c>
      <c r="C489" s="617"/>
      <c r="D489" s="617">
        <v>68</v>
      </c>
      <c r="E489" s="608" t="s">
        <v>2100</v>
      </c>
      <c r="F489" s="181" t="s">
        <v>2355</v>
      </c>
      <c r="G489" s="182">
        <v>1996</v>
      </c>
      <c r="H489" s="79">
        <v>8731522</v>
      </c>
      <c r="I489" s="79">
        <v>1</v>
      </c>
      <c r="J489" s="79">
        <v>1</v>
      </c>
      <c r="K489" s="79"/>
      <c r="L489" s="79">
        <v>1</v>
      </c>
      <c r="M489" s="79"/>
      <c r="N489" s="79">
        <v>1</v>
      </c>
      <c r="O489" s="128">
        <v>2</v>
      </c>
      <c r="P489" s="79"/>
      <c r="Q489" s="79"/>
      <c r="R489" s="79" t="s">
        <v>1234</v>
      </c>
      <c r="S489" s="79"/>
      <c r="T489" s="79" t="s">
        <v>1446</v>
      </c>
      <c r="U489" s="79" t="s">
        <v>803</v>
      </c>
      <c r="V489" s="79"/>
      <c r="W489" s="79" t="s">
        <v>1447</v>
      </c>
      <c r="X489" s="79"/>
      <c r="Y489" s="79"/>
      <c r="Z489" s="79"/>
      <c r="AA489" s="79"/>
      <c r="AB489" s="79" t="s">
        <v>1448</v>
      </c>
      <c r="AC489" s="506" t="s">
        <v>6256</v>
      </c>
      <c r="AD489" s="573">
        <v>1</v>
      </c>
      <c r="AE489" s="573">
        <v>1</v>
      </c>
      <c r="AF489" s="352">
        <v>1</v>
      </c>
      <c r="AG489" s="353" t="s">
        <v>6963</v>
      </c>
      <c r="AH489" s="704"/>
      <c r="AI489" s="346">
        <v>4</v>
      </c>
      <c r="AJ489" s="487" t="s">
        <v>6979</v>
      </c>
      <c r="AK489" s="678" t="s">
        <v>6964</v>
      </c>
      <c r="AL489" s="348" t="s">
        <v>4089</v>
      </c>
      <c r="AM489" s="349">
        <v>0</v>
      </c>
      <c r="AN489" s="346">
        <v>12</v>
      </c>
      <c r="AO489" s="346">
        <v>6</v>
      </c>
      <c r="AP489" s="346">
        <v>6</v>
      </c>
      <c r="AQ489" s="346" t="s">
        <v>803</v>
      </c>
      <c r="AR489" s="346" t="s">
        <v>803</v>
      </c>
      <c r="AS489" s="346" t="s">
        <v>6959</v>
      </c>
      <c r="AT489" s="346" t="s">
        <v>2882</v>
      </c>
      <c r="AU489" s="346" t="s">
        <v>6959</v>
      </c>
      <c r="AV489" s="346" t="s">
        <v>2882</v>
      </c>
      <c r="AW489" s="346" t="s">
        <v>6977</v>
      </c>
      <c r="AX489" s="346">
        <v>55</v>
      </c>
      <c r="AY489" s="122" t="s">
        <v>7647</v>
      </c>
      <c r="AZ489" s="754" t="s">
        <v>7332</v>
      </c>
      <c r="BA489" s="346">
        <v>1</v>
      </c>
      <c r="BB489" s="346">
        <v>1</v>
      </c>
      <c r="BC489" s="346" t="s">
        <v>6960</v>
      </c>
      <c r="BD489" s="754" t="s">
        <v>7523</v>
      </c>
      <c r="BE489" s="754"/>
      <c r="BF489" s="346" t="s">
        <v>2912</v>
      </c>
      <c r="BG489" s="346" t="s">
        <v>6653</v>
      </c>
      <c r="BH489" s="598"/>
      <c r="BI489" s="598"/>
      <c r="BJ489" s="184">
        <v>1</v>
      </c>
      <c r="BK489" s="184" t="s">
        <v>6205</v>
      </c>
      <c r="BL489" s="184"/>
      <c r="BM489" s="184"/>
      <c r="BN489" s="184"/>
      <c r="BO489" s="184"/>
      <c r="BP489" s="184"/>
      <c r="BQ489" s="184"/>
      <c r="BR489" s="184"/>
      <c r="BS489" s="184"/>
      <c r="BT489" s="184"/>
      <c r="BU489" s="184"/>
      <c r="BV489" s="184"/>
      <c r="BW489" s="596" t="s">
        <v>7372</v>
      </c>
      <c r="BX489" s="162" t="s">
        <v>6657</v>
      </c>
      <c r="BY489" s="797" t="s">
        <v>7613</v>
      </c>
      <c r="BZ489" s="897" t="s">
        <v>803</v>
      </c>
      <c r="CA489" s="660">
        <v>1</v>
      </c>
      <c r="CB489" s="660" t="s">
        <v>7556</v>
      </c>
      <c r="CC489" s="660" t="s">
        <v>7384</v>
      </c>
      <c r="CD489" s="186" t="s">
        <v>1876</v>
      </c>
      <c r="CE489" s="186">
        <v>2</v>
      </c>
      <c r="CF489" s="400" t="s">
        <v>23</v>
      </c>
      <c r="CG489" s="186" t="s">
        <v>6962</v>
      </c>
      <c r="CH489" s="753" t="s">
        <v>7309</v>
      </c>
      <c r="CI489" s="186" t="s">
        <v>6961</v>
      </c>
      <c r="CJ489" s="186"/>
      <c r="CK489" s="1079" t="s">
        <v>8025</v>
      </c>
      <c r="CL489" s="186" t="s">
        <v>6639</v>
      </c>
      <c r="CM489" s="261" t="s">
        <v>6981</v>
      </c>
      <c r="CN489" s="620" t="s">
        <v>6627</v>
      </c>
      <c r="CO489" s="830">
        <v>56</v>
      </c>
      <c r="CP489" s="830">
        <v>2</v>
      </c>
      <c r="CQ489" s="830">
        <v>3</v>
      </c>
      <c r="CR489" s="830">
        <v>1</v>
      </c>
      <c r="CS489" s="830">
        <v>1</v>
      </c>
      <c r="CT489" s="969"/>
      <c r="CU489" s="1289" t="s">
        <v>8104</v>
      </c>
      <c r="CV489" s="1295">
        <v>109</v>
      </c>
      <c r="CW489" s="1295">
        <v>100</v>
      </c>
      <c r="CX489" s="506" t="s">
        <v>8030</v>
      </c>
      <c r="CY489" s="506">
        <v>171.31800000000001</v>
      </c>
      <c r="CZ489" s="506" t="s">
        <v>24</v>
      </c>
      <c r="DA489" s="506" t="s">
        <v>24</v>
      </c>
      <c r="DB489" s="506" t="s">
        <v>6975</v>
      </c>
      <c r="DC489" s="186">
        <v>144.17099999999999</v>
      </c>
      <c r="DD489" s="186" t="s">
        <v>24</v>
      </c>
      <c r="DE489" s="186" t="s">
        <v>24</v>
      </c>
      <c r="DF489" s="549"/>
      <c r="DG489" s="551"/>
      <c r="DH489" s="1189"/>
      <c r="DI489" s="1189"/>
      <c r="DJ489" s="1189"/>
      <c r="DK489" s="1189"/>
      <c r="DL489" s="1189"/>
      <c r="DM489" s="1189"/>
      <c r="DN489" s="1189"/>
      <c r="DO489" s="1189"/>
      <c r="DP489" s="294"/>
      <c r="DQ489" s="295"/>
      <c r="DR489" s="1168"/>
      <c r="DS489" s="865"/>
      <c r="DT489" s="1189"/>
      <c r="DU489" s="1189"/>
      <c r="DV489" s="1189"/>
      <c r="DW489" s="1189"/>
      <c r="DX489" s="1189"/>
      <c r="DY489" s="1189"/>
      <c r="DZ489" s="1189"/>
      <c r="EA489" s="1189"/>
      <c r="EB489" s="1216"/>
      <c r="EC489" s="1215"/>
      <c r="ED489" s="1189"/>
      <c r="EE489" s="1189"/>
      <c r="EF489" s="1189"/>
      <c r="EG489" s="1189"/>
      <c r="EH489" s="1189"/>
      <c r="EI489" s="1189"/>
      <c r="EJ489" s="1189"/>
      <c r="EK489" s="1189"/>
      <c r="EL489" s="1216"/>
      <c r="EM489" s="1215"/>
      <c r="EN489" s="1168"/>
      <c r="EO489" s="1191"/>
      <c r="EP489" s="16"/>
      <c r="EQ489" s="16"/>
      <c r="ER489" s="16"/>
      <c r="ES489" s="16"/>
      <c r="ET489" s="16"/>
      <c r="EU489" s="1189"/>
      <c r="EV489" s="1189"/>
      <c r="EW489" s="1189"/>
      <c r="EX489" s="1216"/>
      <c r="EY489" s="1215"/>
      <c r="EZ489" s="1192"/>
      <c r="FA489" s="1189"/>
      <c r="FB489" s="1192"/>
      <c r="FC489" s="1189"/>
      <c r="FD489" s="1192"/>
      <c r="FE489" s="1189"/>
      <c r="FF489" s="1192"/>
      <c r="FG489" s="1189"/>
      <c r="FH489" s="1190"/>
      <c r="FI489" s="1190"/>
      <c r="FJ489" s="1191"/>
    </row>
    <row r="490" spans="1:166" ht="14" hidden="1" customHeight="1">
      <c r="A490" s="1090" t="s">
        <v>1007</v>
      </c>
      <c r="B490" s="1405">
        <v>183</v>
      </c>
      <c r="C490" s="1405"/>
      <c r="D490" s="1405">
        <v>68</v>
      </c>
      <c r="E490" s="1406" t="s">
        <v>2100</v>
      </c>
      <c r="F490" s="1407" t="s">
        <v>2355</v>
      </c>
      <c r="G490" s="1408">
        <v>1996</v>
      </c>
      <c r="H490" s="1090">
        <v>8731522</v>
      </c>
      <c r="I490" s="1090">
        <v>1</v>
      </c>
      <c r="J490" s="1090">
        <v>1</v>
      </c>
      <c r="K490" s="1090"/>
      <c r="L490" s="1090">
        <v>1</v>
      </c>
      <c r="M490" s="1090"/>
      <c r="N490" s="1090">
        <v>1</v>
      </c>
      <c r="O490" s="1090">
        <v>2</v>
      </c>
      <c r="P490" s="1090"/>
      <c r="Q490" s="1090"/>
      <c r="R490" s="1090" t="s">
        <v>1234</v>
      </c>
      <c r="S490" s="1090"/>
      <c r="T490" s="1090" t="s">
        <v>1446</v>
      </c>
      <c r="U490" s="1090" t="s">
        <v>803</v>
      </c>
      <c r="V490" s="1090"/>
      <c r="W490" s="1090" t="s">
        <v>1447</v>
      </c>
      <c r="X490" s="1090"/>
      <c r="Y490" s="1090"/>
      <c r="Z490" s="1090"/>
      <c r="AA490" s="1090"/>
      <c r="AB490" s="1090" t="s">
        <v>1448</v>
      </c>
      <c r="AC490" s="1409" t="s">
        <v>6256</v>
      </c>
      <c r="AD490" s="1409">
        <v>1</v>
      </c>
      <c r="AE490" s="1409">
        <v>1</v>
      </c>
      <c r="AF490" s="1410">
        <v>0</v>
      </c>
      <c r="AG490" s="1411" t="s">
        <v>7975</v>
      </c>
      <c r="AH490" s="1409"/>
      <c r="AI490" s="1409">
        <v>4</v>
      </c>
      <c r="AJ490" s="1409" t="s">
        <v>6979</v>
      </c>
      <c r="AK490" s="1564" t="s">
        <v>6964</v>
      </c>
      <c r="AL490" s="1407" t="s">
        <v>4089</v>
      </c>
      <c r="AM490" s="1413">
        <v>0</v>
      </c>
      <c r="AN490" s="1409">
        <v>12</v>
      </c>
      <c r="AO490" s="1409">
        <v>6</v>
      </c>
      <c r="AP490" s="1409">
        <v>6</v>
      </c>
      <c r="AQ490" s="1409" t="s">
        <v>803</v>
      </c>
      <c r="AR490" s="1409" t="s">
        <v>803</v>
      </c>
      <c r="AS490" s="1409" t="s">
        <v>6959</v>
      </c>
      <c r="AT490" s="1409" t="s">
        <v>2882</v>
      </c>
      <c r="AU490" s="1409" t="s">
        <v>6959</v>
      </c>
      <c r="AV490" s="1409" t="s">
        <v>2882</v>
      </c>
      <c r="AW490" s="1409" t="s">
        <v>6978</v>
      </c>
      <c r="AX490" s="1409">
        <v>55</v>
      </c>
      <c r="AY490" s="1409" t="s">
        <v>7647</v>
      </c>
      <c r="AZ490" s="1409" t="s">
        <v>7332</v>
      </c>
      <c r="BA490" s="1409">
        <v>1</v>
      </c>
      <c r="BB490" s="1409">
        <v>1</v>
      </c>
      <c r="BC490" s="1409" t="s">
        <v>6960</v>
      </c>
      <c r="BD490" s="1409" t="s">
        <v>7523</v>
      </c>
      <c r="BE490" s="1409"/>
      <c r="BF490" s="1409" t="s">
        <v>6976</v>
      </c>
      <c r="BG490" s="1409" t="s">
        <v>6653</v>
      </c>
      <c r="BH490" s="1407"/>
      <c r="BI490" s="1407"/>
      <c r="BJ490" s="1565">
        <v>1</v>
      </c>
      <c r="BK490" s="1565" t="s">
        <v>6205</v>
      </c>
      <c r="BL490" s="1565"/>
      <c r="BM490" s="1565"/>
      <c r="BN490" s="1565"/>
      <c r="BO490" s="1565"/>
      <c r="BP490" s="1565"/>
      <c r="BQ490" s="1565"/>
      <c r="BR490" s="1565"/>
      <c r="BS490" s="1565"/>
      <c r="BT490" s="1565"/>
      <c r="BU490" s="1565"/>
      <c r="BV490" s="1565"/>
      <c r="BW490" s="1565" t="s">
        <v>7372</v>
      </c>
      <c r="BX490" s="1416" t="s">
        <v>6657</v>
      </c>
      <c r="BY490" s="1416" t="s">
        <v>7613</v>
      </c>
      <c r="BZ490" s="1416" t="s">
        <v>7974</v>
      </c>
      <c r="CA490" s="1416">
        <v>1</v>
      </c>
      <c r="CB490" s="1416" t="s">
        <v>7556</v>
      </c>
      <c r="CC490" s="1416" t="s">
        <v>7384</v>
      </c>
      <c r="CD490" s="1409" t="s">
        <v>1876</v>
      </c>
      <c r="CE490" s="1409">
        <v>2</v>
      </c>
      <c r="CF490" s="1409" t="s">
        <v>23</v>
      </c>
      <c r="CG490" s="1409" t="s">
        <v>6962</v>
      </c>
      <c r="CH490" s="1409" t="s">
        <v>7309</v>
      </c>
      <c r="CI490" s="1409" t="s">
        <v>6961</v>
      </c>
      <c r="CJ490" s="1409"/>
      <c r="CK490" s="1409" t="s">
        <v>8025</v>
      </c>
      <c r="CL490" s="1409" t="s">
        <v>6639</v>
      </c>
      <c r="CM490" s="1414" t="s">
        <v>6981</v>
      </c>
      <c r="CN490" s="1415" t="s">
        <v>6627</v>
      </c>
      <c r="CO490" s="1415"/>
      <c r="CP490" s="1415"/>
      <c r="CQ490" s="1415"/>
      <c r="CR490" s="1415"/>
      <c r="CS490" s="1415"/>
      <c r="CT490" s="1415"/>
      <c r="CU490" s="1415"/>
      <c r="CV490" s="1415"/>
      <c r="CW490" s="1415"/>
      <c r="CX490" s="1409" t="s">
        <v>8026</v>
      </c>
      <c r="CY490" s="1409">
        <v>28.2851</v>
      </c>
      <c r="CZ490" s="1409" t="s">
        <v>24</v>
      </c>
      <c r="DA490" s="1409" t="s">
        <v>24</v>
      </c>
      <c r="DB490" s="1409" t="s">
        <v>6967</v>
      </c>
      <c r="DC490" s="1409">
        <v>12.4262</v>
      </c>
      <c r="DD490" s="1409" t="s">
        <v>24</v>
      </c>
      <c r="DE490" s="1409" t="s">
        <v>24</v>
      </c>
      <c r="DF490" s="1414" t="s">
        <v>6980</v>
      </c>
      <c r="DG490" s="1407"/>
      <c r="DH490" s="1418"/>
      <c r="DI490" s="1418"/>
      <c r="DJ490" s="1418"/>
      <c r="DK490" s="1418"/>
      <c r="DL490" s="1418"/>
      <c r="DM490" s="1418"/>
      <c r="DN490" s="1418"/>
      <c r="DO490" s="1418"/>
      <c r="DP490" s="1414"/>
      <c r="DQ490" s="1407"/>
      <c r="DR490" s="1419"/>
      <c r="DS490" s="1420"/>
      <c r="DT490" s="1420"/>
      <c r="DU490" s="1418"/>
      <c r="DV490" s="1418"/>
      <c r="DW490" s="1418"/>
      <c r="DX490" s="1418"/>
      <c r="DY490" s="1418"/>
      <c r="DZ490" s="1418"/>
      <c r="EA490" s="1418"/>
      <c r="EB490" s="1419"/>
      <c r="EC490" s="1418"/>
      <c r="ED490" s="1418"/>
      <c r="EE490" s="1418"/>
      <c r="EF490" s="1418"/>
      <c r="EG490" s="1418"/>
      <c r="EH490" s="1418"/>
      <c r="EI490" s="1418"/>
      <c r="EJ490" s="1418"/>
      <c r="EK490" s="1418"/>
      <c r="EL490" s="1419"/>
      <c r="EM490" s="1418"/>
      <c r="EN490" s="1419"/>
      <c r="EO490" s="1418"/>
      <c r="EP490" s="1418"/>
      <c r="EQ490" s="1418"/>
      <c r="ER490" s="1418"/>
      <c r="ES490" s="1418"/>
      <c r="ET490" s="1418"/>
      <c r="EU490" s="1418"/>
      <c r="EV490" s="1418"/>
      <c r="EW490" s="1418"/>
      <c r="EX490" s="1418"/>
      <c r="EY490" s="1418"/>
      <c r="EZ490" s="1420"/>
      <c r="FA490" s="1418"/>
      <c r="FB490" s="1420"/>
      <c r="FC490" s="1418"/>
      <c r="FD490" s="1420"/>
      <c r="FE490" s="1418"/>
      <c r="FF490" s="1420"/>
      <c r="FG490" s="1418"/>
      <c r="FH490" s="1418"/>
      <c r="FI490" s="1418"/>
      <c r="FJ490" s="1418"/>
    </row>
    <row r="491" spans="1:166" s="1089" customFormat="1" ht="15" hidden="1" customHeight="1">
      <c r="A491" s="1090" t="s">
        <v>1007</v>
      </c>
      <c r="B491" s="1405">
        <v>183</v>
      </c>
      <c r="C491" s="1405"/>
      <c r="D491" s="1405">
        <v>68</v>
      </c>
      <c r="E491" s="1406" t="s">
        <v>2100</v>
      </c>
      <c r="F491" s="1407" t="s">
        <v>2355</v>
      </c>
      <c r="G491" s="1408">
        <v>1996</v>
      </c>
      <c r="H491" s="1090">
        <v>8731522</v>
      </c>
      <c r="I491" s="1090">
        <v>1</v>
      </c>
      <c r="J491" s="1090">
        <v>1</v>
      </c>
      <c r="K491" s="1090"/>
      <c r="L491" s="1090">
        <v>1</v>
      </c>
      <c r="M491" s="1090"/>
      <c r="N491" s="1090">
        <v>1</v>
      </c>
      <c r="O491" s="1090">
        <v>2</v>
      </c>
      <c r="P491" s="1090"/>
      <c r="Q491" s="1090"/>
      <c r="R491" s="1090" t="s">
        <v>1234</v>
      </c>
      <c r="S491" s="1090"/>
      <c r="T491" s="1090" t="s">
        <v>1446</v>
      </c>
      <c r="U491" s="1090" t="s">
        <v>803</v>
      </c>
      <c r="V491" s="1090"/>
      <c r="W491" s="1090" t="s">
        <v>1447</v>
      </c>
      <c r="X491" s="1090"/>
      <c r="Y491" s="1090"/>
      <c r="Z491" s="1090"/>
      <c r="AA491" s="1090"/>
      <c r="AB491" s="1090" t="s">
        <v>1448</v>
      </c>
      <c r="AC491" s="1409" t="s">
        <v>6256</v>
      </c>
      <c r="AD491" s="1409">
        <v>1</v>
      </c>
      <c r="AE491" s="1409">
        <v>1</v>
      </c>
      <c r="AF491" s="1410">
        <v>0</v>
      </c>
      <c r="AG491" s="1411" t="s">
        <v>8024</v>
      </c>
      <c r="AH491" s="1409"/>
      <c r="AI491" s="1409">
        <v>4</v>
      </c>
      <c r="AJ491" s="1409" t="s">
        <v>6979</v>
      </c>
      <c r="AK491" s="1564" t="s">
        <v>6964</v>
      </c>
      <c r="AL491" s="1407" t="s">
        <v>4089</v>
      </c>
      <c r="AM491" s="1413">
        <v>0</v>
      </c>
      <c r="AN491" s="1409">
        <v>12</v>
      </c>
      <c r="AO491" s="1409">
        <v>6</v>
      </c>
      <c r="AP491" s="1409">
        <v>6</v>
      </c>
      <c r="AQ491" s="1409" t="s">
        <v>803</v>
      </c>
      <c r="AR491" s="1409" t="s">
        <v>803</v>
      </c>
      <c r="AS491" s="1409" t="s">
        <v>6959</v>
      </c>
      <c r="AT491" s="1409" t="s">
        <v>2882</v>
      </c>
      <c r="AU491" s="1409" t="s">
        <v>6959</v>
      </c>
      <c r="AV491" s="1409" t="s">
        <v>2882</v>
      </c>
      <c r="AW491" s="1409" t="s">
        <v>6977</v>
      </c>
      <c r="AX491" s="1409">
        <v>55</v>
      </c>
      <c r="AY491" s="1409" t="s">
        <v>7647</v>
      </c>
      <c r="AZ491" s="1409" t="s">
        <v>7332</v>
      </c>
      <c r="BA491" s="1409">
        <v>1</v>
      </c>
      <c r="BB491" s="1409">
        <v>1</v>
      </c>
      <c r="BC491" s="1409" t="s">
        <v>6960</v>
      </c>
      <c r="BD491" s="1409" t="s">
        <v>7523</v>
      </c>
      <c r="BE491" s="1409"/>
      <c r="BF491" s="1409" t="s">
        <v>6976</v>
      </c>
      <c r="BG491" s="1409" t="s">
        <v>6653</v>
      </c>
      <c r="BH491" s="1407"/>
      <c r="BI491" s="1407"/>
      <c r="BJ491" s="1565">
        <v>1</v>
      </c>
      <c r="BK491" s="1565" t="s">
        <v>6205</v>
      </c>
      <c r="BL491" s="1565"/>
      <c r="BM491" s="1565"/>
      <c r="BN491" s="1565"/>
      <c r="BO491" s="1565"/>
      <c r="BP491" s="1565"/>
      <c r="BQ491" s="1565"/>
      <c r="BR491" s="1565"/>
      <c r="BS491" s="1565"/>
      <c r="BT491" s="1565"/>
      <c r="BU491" s="1565"/>
      <c r="BV491" s="1565"/>
      <c r="BW491" s="1565" t="s">
        <v>7372</v>
      </c>
      <c r="BX491" s="1416" t="s">
        <v>6657</v>
      </c>
      <c r="BY491" s="1416" t="s">
        <v>7613</v>
      </c>
      <c r="BZ491" s="1416" t="s">
        <v>7976</v>
      </c>
      <c r="CA491" s="1565">
        <v>1</v>
      </c>
      <c r="CB491" s="1565" t="s">
        <v>7556</v>
      </c>
      <c r="CC491" s="1565" t="s">
        <v>7384</v>
      </c>
      <c r="CD491" s="1409" t="s">
        <v>1876</v>
      </c>
      <c r="CE491" s="1409">
        <v>2</v>
      </c>
      <c r="CF491" s="1409" t="s">
        <v>23</v>
      </c>
      <c r="CG491" s="1409" t="s">
        <v>6962</v>
      </c>
      <c r="CH491" s="1409" t="s">
        <v>7309</v>
      </c>
      <c r="CI491" s="1409" t="s">
        <v>6961</v>
      </c>
      <c r="CJ491" s="1409"/>
      <c r="CK491" s="1409" t="s">
        <v>8025</v>
      </c>
      <c r="CL491" s="1409" t="s">
        <v>6639</v>
      </c>
      <c r="CM491" s="1414" t="s">
        <v>6981</v>
      </c>
      <c r="CN491" s="1415" t="s">
        <v>6627</v>
      </c>
      <c r="CO491" s="1415"/>
      <c r="CP491" s="1415"/>
      <c r="CQ491" s="1415"/>
      <c r="CR491" s="1415"/>
      <c r="CS491" s="1415"/>
      <c r="CT491" s="1415"/>
      <c r="CU491" s="1415"/>
      <c r="CV491" s="1415"/>
      <c r="CW491" s="1415"/>
      <c r="CX491" s="1409" t="s">
        <v>8027</v>
      </c>
      <c r="CY491" s="1409">
        <v>34.205399999999997</v>
      </c>
      <c r="CZ491" s="1409" t="s">
        <v>24</v>
      </c>
      <c r="DA491" s="1409" t="s">
        <v>24</v>
      </c>
      <c r="DB491" s="1409" t="s">
        <v>6969</v>
      </c>
      <c r="DC491" s="1409">
        <v>8.0639400000000006</v>
      </c>
      <c r="DD491" s="1409" t="s">
        <v>24</v>
      </c>
      <c r="DE491" s="1409" t="s">
        <v>24</v>
      </c>
      <c r="DF491" s="1415" t="s">
        <v>24</v>
      </c>
      <c r="DG491" s="1407" t="s">
        <v>24</v>
      </c>
      <c r="DH491" s="1418"/>
      <c r="DI491" s="1418"/>
      <c r="DJ491" s="1418"/>
      <c r="DK491" s="1418"/>
      <c r="DL491" s="1418"/>
      <c r="DM491" s="1418"/>
      <c r="DN491" s="1418"/>
      <c r="DO491" s="1418"/>
      <c r="DP491" s="1414"/>
      <c r="DQ491" s="1407"/>
      <c r="DR491" s="1419"/>
      <c r="DS491" s="1420"/>
      <c r="DT491" s="1418"/>
      <c r="DU491" s="1090"/>
      <c r="DV491" s="1418"/>
      <c r="DW491" s="1090"/>
      <c r="DX491" s="1418"/>
      <c r="DY491" s="1090"/>
      <c r="DZ491" s="1418"/>
      <c r="EA491" s="1090"/>
      <c r="EB491" s="1419"/>
      <c r="EC491" s="1418"/>
      <c r="ED491" s="1418"/>
      <c r="EE491" s="1090"/>
      <c r="EF491" s="1418"/>
      <c r="EG491" s="1090"/>
      <c r="EH491" s="1418"/>
      <c r="EI491" s="1090"/>
      <c r="EJ491" s="1418"/>
      <c r="EK491" s="1090"/>
      <c r="EL491" s="1419"/>
      <c r="EM491" s="1418"/>
      <c r="EN491" s="1568"/>
      <c r="EO491" s="1418"/>
      <c r="EP491" s="1090"/>
      <c r="EQ491" s="1090"/>
      <c r="ER491" s="1090"/>
      <c r="ES491" s="1090"/>
      <c r="ET491" s="1090"/>
      <c r="EU491" s="1090"/>
      <c r="EV491" s="1090"/>
      <c r="EW491" s="1090"/>
      <c r="EX491" s="1568"/>
      <c r="EY491" s="1090"/>
      <c r="EZ491" s="1420"/>
      <c r="FA491" s="1418"/>
      <c r="FB491" s="1420"/>
      <c r="FC491" s="1418"/>
      <c r="FD491" s="1420"/>
      <c r="FE491" s="1418"/>
      <c r="FF491" s="1420"/>
      <c r="FG491" s="1418"/>
      <c r="FH491" s="1418"/>
      <c r="FI491" s="1418"/>
      <c r="FJ491" s="1418"/>
    </row>
    <row r="492" spans="1:166" s="1089" customFormat="1" ht="14" hidden="1" customHeight="1">
      <c r="A492" s="118" t="s">
        <v>1007</v>
      </c>
      <c r="B492" s="616">
        <v>183</v>
      </c>
      <c r="C492" s="616"/>
      <c r="D492" s="616">
        <v>68</v>
      </c>
      <c r="E492" s="605" t="s">
        <v>2100</v>
      </c>
      <c r="F492" s="140" t="s">
        <v>2355</v>
      </c>
      <c r="G492" s="141">
        <v>1996</v>
      </c>
      <c r="H492" s="118">
        <v>8731522</v>
      </c>
      <c r="I492" s="118">
        <v>1</v>
      </c>
      <c r="J492" s="118">
        <v>1</v>
      </c>
      <c r="K492" s="118"/>
      <c r="L492" s="118">
        <v>1</v>
      </c>
      <c r="M492" s="118"/>
      <c r="N492" s="118">
        <v>1</v>
      </c>
      <c r="O492" s="142">
        <v>2</v>
      </c>
      <c r="P492" s="118"/>
      <c r="Q492" s="118"/>
      <c r="R492" s="118" t="s">
        <v>1234</v>
      </c>
      <c r="S492" s="118"/>
      <c r="T492" s="118" t="s">
        <v>1446</v>
      </c>
      <c r="U492" s="118" t="s">
        <v>803</v>
      </c>
      <c r="V492" s="118"/>
      <c r="W492" s="118" t="s">
        <v>1447</v>
      </c>
      <c r="X492" s="118"/>
      <c r="Y492" s="118"/>
      <c r="Z492" s="118"/>
      <c r="AA492" s="118"/>
      <c r="AB492" s="118" t="s">
        <v>1448</v>
      </c>
      <c r="AC492" s="145" t="s">
        <v>6256</v>
      </c>
      <c r="AD492" s="653">
        <v>1</v>
      </c>
      <c r="AE492" s="653">
        <v>1</v>
      </c>
      <c r="AF492" s="159">
        <v>1</v>
      </c>
      <c r="AG492" s="160" t="s">
        <v>6963</v>
      </c>
      <c r="AH492" s="704"/>
      <c r="AI492" s="122">
        <v>4</v>
      </c>
      <c r="AJ492" s="485" t="s">
        <v>6979</v>
      </c>
      <c r="AK492" s="677" t="s">
        <v>6964</v>
      </c>
      <c r="AL492" s="192" t="s">
        <v>4089</v>
      </c>
      <c r="AM492" s="205">
        <v>0</v>
      </c>
      <c r="AN492" s="122">
        <v>12</v>
      </c>
      <c r="AO492" s="122">
        <v>6</v>
      </c>
      <c r="AP492" s="122">
        <v>6</v>
      </c>
      <c r="AQ492" s="122" t="s">
        <v>803</v>
      </c>
      <c r="AR492" s="122" t="s">
        <v>803</v>
      </c>
      <c r="AS492" s="122" t="s">
        <v>6959</v>
      </c>
      <c r="AT492" s="122" t="s">
        <v>2882</v>
      </c>
      <c r="AU492" s="122" t="s">
        <v>6959</v>
      </c>
      <c r="AV492" s="122" t="s">
        <v>2882</v>
      </c>
      <c r="AW492" s="122" t="s">
        <v>6977</v>
      </c>
      <c r="AX492" s="122">
        <v>55</v>
      </c>
      <c r="AY492" s="122" t="s">
        <v>7647</v>
      </c>
      <c r="AZ492" s="754" t="s">
        <v>7332</v>
      </c>
      <c r="BA492" s="122">
        <v>1</v>
      </c>
      <c r="BB492" s="122">
        <v>1</v>
      </c>
      <c r="BC492" s="122" t="s">
        <v>6960</v>
      </c>
      <c r="BD492" s="754" t="s">
        <v>7523</v>
      </c>
      <c r="BE492" s="754"/>
      <c r="BF492" s="122" t="s">
        <v>6976</v>
      </c>
      <c r="BG492" s="122" t="s">
        <v>6653</v>
      </c>
      <c r="BH492" s="588"/>
      <c r="BI492" s="588"/>
      <c r="BJ492" s="161">
        <v>1</v>
      </c>
      <c r="BK492" s="161" t="s">
        <v>6205</v>
      </c>
      <c r="BL492" s="161"/>
      <c r="BM492" s="161"/>
      <c r="BN492" s="161"/>
      <c r="BO492" s="161"/>
      <c r="BP492" s="161"/>
      <c r="BQ492" s="161"/>
      <c r="BR492" s="161"/>
      <c r="BS492" s="161"/>
      <c r="BT492" s="161"/>
      <c r="BU492" s="161"/>
      <c r="BV492" s="161"/>
      <c r="BW492" s="596" t="s">
        <v>7372</v>
      </c>
      <c r="BX492" s="162" t="s">
        <v>6657</v>
      </c>
      <c r="BY492" s="797" t="s">
        <v>7613</v>
      </c>
      <c r="BZ492" s="790" t="s">
        <v>803</v>
      </c>
      <c r="CA492" s="766">
        <v>1</v>
      </c>
      <c r="CB492" s="765" t="s">
        <v>7556</v>
      </c>
      <c r="CC492" s="766" t="s">
        <v>7384</v>
      </c>
      <c r="CD492" s="150" t="s">
        <v>1876</v>
      </c>
      <c r="CE492" s="150">
        <v>2</v>
      </c>
      <c r="CF492" s="400" t="s">
        <v>23</v>
      </c>
      <c r="CG492" s="150" t="s">
        <v>6962</v>
      </c>
      <c r="CH492" s="753" t="s">
        <v>7309</v>
      </c>
      <c r="CI492" s="150" t="s">
        <v>6961</v>
      </c>
      <c r="CJ492" s="150"/>
      <c r="CK492" s="1079" t="s">
        <v>8025</v>
      </c>
      <c r="CL492" s="150" t="s">
        <v>6639</v>
      </c>
      <c r="CM492" s="258" t="s">
        <v>6981</v>
      </c>
      <c r="CN492" s="257" t="s">
        <v>6627</v>
      </c>
      <c r="CO492" s="829">
        <v>56</v>
      </c>
      <c r="CP492" s="829">
        <v>3</v>
      </c>
      <c r="CQ492" s="829">
        <v>1</v>
      </c>
      <c r="CR492" s="829">
        <v>1</v>
      </c>
      <c r="CS492" s="829">
        <v>1</v>
      </c>
      <c r="CT492" s="968"/>
      <c r="CU492" s="1289" t="s">
        <v>8104</v>
      </c>
      <c r="CV492" s="1295">
        <v>110</v>
      </c>
      <c r="CW492" s="1295">
        <v>101</v>
      </c>
      <c r="CX492" s="228" t="s">
        <v>8028</v>
      </c>
      <c r="CY492" s="150">
        <v>287.54599999999999</v>
      </c>
      <c r="CZ492" s="150" t="s">
        <v>24</v>
      </c>
      <c r="DA492" s="150" t="s">
        <v>24</v>
      </c>
      <c r="DB492" s="150" t="s">
        <v>6971</v>
      </c>
      <c r="DC492" s="150">
        <v>142.86199999999999</v>
      </c>
      <c r="DD492" s="150" t="s">
        <v>24</v>
      </c>
      <c r="DE492" s="150" t="s">
        <v>24</v>
      </c>
      <c r="DF492" s="290" t="s">
        <v>24</v>
      </c>
      <c r="DG492" s="291" t="s">
        <v>24</v>
      </c>
      <c r="DH492" s="1179"/>
      <c r="DI492" s="417"/>
      <c r="DJ492" s="1169"/>
      <c r="DK492" s="417"/>
      <c r="DL492" s="1169"/>
      <c r="DM492" s="417"/>
      <c r="DN492" s="1169"/>
      <c r="DO492" s="1151"/>
      <c r="DP492" s="290"/>
      <c r="DQ492" s="291"/>
      <c r="DR492" s="280"/>
      <c r="DS492" s="865"/>
      <c r="DT492" s="1164"/>
      <c r="DU492" s="122"/>
      <c r="DV492" s="1164"/>
      <c r="DW492" s="122"/>
      <c r="DX492" s="1164"/>
      <c r="DY492" s="122"/>
      <c r="DZ492" s="1164"/>
      <c r="EA492" s="122"/>
      <c r="EB492" s="1214"/>
      <c r="EC492" s="1213"/>
      <c r="ED492" s="1164"/>
      <c r="EE492" s="122"/>
      <c r="EF492" s="1164"/>
      <c r="EG492" s="122"/>
      <c r="EH492" s="1164"/>
      <c r="EI492" s="122"/>
      <c r="EJ492" s="1164"/>
      <c r="EK492" s="122"/>
      <c r="EL492" s="1214"/>
      <c r="EM492" s="1213"/>
      <c r="EN492" s="1167"/>
      <c r="EO492" s="1165"/>
      <c r="EP492" s="146"/>
      <c r="EQ492" s="146"/>
      <c r="ER492" s="146"/>
      <c r="ES492" s="146"/>
      <c r="ET492" s="146"/>
      <c r="EU492" s="1164"/>
      <c r="EV492" s="1164"/>
      <c r="EW492" s="1164"/>
      <c r="EX492" s="1214"/>
      <c r="EY492" s="1213"/>
      <c r="EZ492" s="1166"/>
      <c r="FA492" s="1164"/>
      <c r="FB492" s="1166"/>
      <c r="FC492" s="1164"/>
      <c r="FD492" s="1166"/>
      <c r="FE492" s="1164"/>
      <c r="FF492" s="1166"/>
      <c r="FG492" s="1164"/>
      <c r="FH492" s="313"/>
      <c r="FI492" s="313"/>
      <c r="FJ492" s="1165"/>
    </row>
    <row r="493" spans="1:166" ht="14" hidden="1" customHeight="1">
      <c r="A493" s="118" t="s">
        <v>1007</v>
      </c>
      <c r="B493" s="616">
        <v>183</v>
      </c>
      <c r="C493" s="616"/>
      <c r="D493" s="616">
        <v>68</v>
      </c>
      <c r="E493" s="605" t="s">
        <v>2100</v>
      </c>
      <c r="F493" s="140" t="s">
        <v>2355</v>
      </c>
      <c r="G493" s="141">
        <v>1996</v>
      </c>
      <c r="H493" s="118">
        <v>8731522</v>
      </c>
      <c r="I493" s="118">
        <v>1</v>
      </c>
      <c r="J493" s="118">
        <v>1</v>
      </c>
      <c r="K493" s="118"/>
      <c r="L493" s="118">
        <v>1</v>
      </c>
      <c r="M493" s="118"/>
      <c r="N493" s="118">
        <v>1</v>
      </c>
      <c r="O493" s="142">
        <v>2</v>
      </c>
      <c r="P493" s="118"/>
      <c r="Q493" s="118"/>
      <c r="R493" s="118" t="s">
        <v>1234</v>
      </c>
      <c r="S493" s="118"/>
      <c r="T493" s="118" t="s">
        <v>1446</v>
      </c>
      <c r="U493" s="118" t="s">
        <v>803</v>
      </c>
      <c r="V493" s="118"/>
      <c r="W493" s="118" t="s">
        <v>1447</v>
      </c>
      <c r="X493" s="118"/>
      <c r="Y493" s="118"/>
      <c r="Z493" s="118"/>
      <c r="AA493" s="118"/>
      <c r="AB493" s="118" t="s">
        <v>1448</v>
      </c>
      <c r="AC493" s="145" t="s">
        <v>6256</v>
      </c>
      <c r="AD493" s="653">
        <v>1</v>
      </c>
      <c r="AE493" s="653">
        <v>1</v>
      </c>
      <c r="AF493" s="159">
        <v>1</v>
      </c>
      <c r="AG493" s="160" t="s">
        <v>6963</v>
      </c>
      <c r="AH493" s="704"/>
      <c r="AI493" s="122">
        <v>4</v>
      </c>
      <c r="AJ493" s="485" t="s">
        <v>6979</v>
      </c>
      <c r="AK493" s="677" t="s">
        <v>6964</v>
      </c>
      <c r="AL493" s="192" t="s">
        <v>4089</v>
      </c>
      <c r="AM493" s="205">
        <v>0</v>
      </c>
      <c r="AN493" s="122">
        <v>12</v>
      </c>
      <c r="AO493" s="122">
        <v>6</v>
      </c>
      <c r="AP493" s="122">
        <v>6</v>
      </c>
      <c r="AQ493" s="122" t="s">
        <v>803</v>
      </c>
      <c r="AR493" s="122" t="s">
        <v>803</v>
      </c>
      <c r="AS493" s="122" t="s">
        <v>6959</v>
      </c>
      <c r="AT493" s="122" t="s">
        <v>2882</v>
      </c>
      <c r="AU493" s="122" t="s">
        <v>6959</v>
      </c>
      <c r="AV493" s="122" t="s">
        <v>2882</v>
      </c>
      <c r="AW493" s="122" t="s">
        <v>6977</v>
      </c>
      <c r="AX493" s="122">
        <v>55</v>
      </c>
      <c r="AY493" s="122" t="s">
        <v>7647</v>
      </c>
      <c r="AZ493" s="754" t="s">
        <v>7332</v>
      </c>
      <c r="BA493" s="122">
        <v>1</v>
      </c>
      <c r="BB493" s="122">
        <v>1</v>
      </c>
      <c r="BC493" s="122" t="s">
        <v>6960</v>
      </c>
      <c r="BD493" s="754" t="s">
        <v>7523</v>
      </c>
      <c r="BE493" s="754"/>
      <c r="BF493" s="122" t="s">
        <v>6976</v>
      </c>
      <c r="BG493" s="122" t="s">
        <v>6653</v>
      </c>
      <c r="BH493" s="588"/>
      <c r="BI493" s="588"/>
      <c r="BJ493" s="161">
        <v>1</v>
      </c>
      <c r="BK493" s="161" t="s">
        <v>6205</v>
      </c>
      <c r="BL493" s="161"/>
      <c r="BM493" s="161"/>
      <c r="BN493" s="161"/>
      <c r="BO493" s="161"/>
      <c r="BP493" s="161"/>
      <c r="BQ493" s="161"/>
      <c r="BR493" s="161"/>
      <c r="BS493" s="161"/>
      <c r="BT493" s="161"/>
      <c r="BU493" s="161"/>
      <c r="BV493" s="161"/>
      <c r="BW493" s="596" t="s">
        <v>7372</v>
      </c>
      <c r="BX493" s="162" t="s">
        <v>6657</v>
      </c>
      <c r="BY493" s="797" t="s">
        <v>7613</v>
      </c>
      <c r="BZ493" s="790" t="s">
        <v>803</v>
      </c>
      <c r="CA493" s="766">
        <v>1</v>
      </c>
      <c r="CB493" s="765" t="s">
        <v>7556</v>
      </c>
      <c r="CC493" s="766" t="s">
        <v>7384</v>
      </c>
      <c r="CD493" s="150" t="s">
        <v>1876</v>
      </c>
      <c r="CE493" s="150">
        <v>2</v>
      </c>
      <c r="CF493" s="400" t="s">
        <v>23</v>
      </c>
      <c r="CG493" s="150" t="s">
        <v>6962</v>
      </c>
      <c r="CH493" s="753" t="s">
        <v>7309</v>
      </c>
      <c r="CI493" s="150" t="s">
        <v>6961</v>
      </c>
      <c r="CJ493" s="150"/>
      <c r="CK493" s="1079" t="s">
        <v>8025</v>
      </c>
      <c r="CL493" s="150" t="s">
        <v>6639</v>
      </c>
      <c r="CM493" s="258" t="s">
        <v>6981</v>
      </c>
      <c r="CN493" s="257" t="s">
        <v>6627</v>
      </c>
      <c r="CO493" s="829">
        <v>56</v>
      </c>
      <c r="CP493" s="829">
        <v>3</v>
      </c>
      <c r="CQ493" s="829">
        <v>2</v>
      </c>
      <c r="CR493" s="829">
        <v>1</v>
      </c>
      <c r="CS493" s="829">
        <v>1</v>
      </c>
      <c r="CT493" s="968"/>
      <c r="CU493" s="1289" t="s">
        <v>8104</v>
      </c>
      <c r="CV493" s="1295">
        <v>110</v>
      </c>
      <c r="CW493" s="1295">
        <v>101</v>
      </c>
      <c r="CX493" s="228" t="s">
        <v>8029</v>
      </c>
      <c r="CY493" s="150">
        <v>299.642</v>
      </c>
      <c r="CZ493" s="150" t="s">
        <v>24</v>
      </c>
      <c r="DA493" s="150" t="s">
        <v>24</v>
      </c>
      <c r="DB493" s="228" t="s">
        <v>6973</v>
      </c>
      <c r="DC493" s="150">
        <v>165.99700000000001</v>
      </c>
      <c r="DD493" s="150" t="s">
        <v>24</v>
      </c>
      <c r="DE493" s="150" t="s">
        <v>24</v>
      </c>
      <c r="DF493" s="440" t="s">
        <v>24</v>
      </c>
      <c r="DG493" s="442" t="s">
        <v>24</v>
      </c>
      <c r="DH493" s="1179"/>
      <c r="DI493" s="417"/>
      <c r="DJ493" s="1169"/>
      <c r="DK493" s="417"/>
      <c r="DL493" s="1169"/>
      <c r="DM493" s="417"/>
      <c r="DN493" s="1169"/>
      <c r="DO493" s="1151"/>
      <c r="DP493" s="290"/>
      <c r="DQ493" s="291"/>
      <c r="DR493" s="1168"/>
      <c r="DS493" s="865"/>
      <c r="DT493" s="1164"/>
      <c r="DU493" s="1164"/>
      <c r="DV493" s="1164"/>
      <c r="DW493" s="1164"/>
      <c r="DX493" s="1164"/>
      <c r="DY493" s="1164"/>
      <c r="DZ493" s="1164"/>
      <c r="EA493" s="1164"/>
      <c r="EB493" s="1214"/>
      <c r="EC493" s="1213"/>
      <c r="ED493" s="1164"/>
      <c r="EE493" s="1164"/>
      <c r="EF493" s="1164"/>
      <c r="EG493" s="1164"/>
      <c r="EH493" s="1164"/>
      <c r="EI493" s="1164"/>
      <c r="EJ493" s="1164"/>
      <c r="EK493" s="1164"/>
      <c r="EL493" s="1214"/>
      <c r="EM493" s="1213"/>
      <c r="EN493" s="1167"/>
      <c r="EO493" s="1165"/>
      <c r="EP493" s="146"/>
      <c r="EQ493" s="146"/>
      <c r="ER493" s="146"/>
      <c r="ES493" s="146"/>
      <c r="ET493" s="146"/>
      <c r="EU493" s="1164"/>
      <c r="EV493" s="1164"/>
      <c r="EW493" s="1164"/>
      <c r="EX493" s="1214"/>
      <c r="EY493" s="1213"/>
      <c r="EZ493" s="1166"/>
      <c r="FA493" s="1164"/>
      <c r="FB493" s="1166"/>
      <c r="FC493" s="1164"/>
      <c r="FD493" s="1166"/>
      <c r="FE493" s="1164"/>
      <c r="FF493" s="1166"/>
      <c r="FG493" s="1164"/>
      <c r="FH493" s="313"/>
      <c r="FI493" s="313"/>
      <c r="FJ493" s="1165"/>
    </row>
    <row r="494" spans="1:166" ht="14" hidden="1" customHeight="1">
      <c r="A494" s="118" t="s">
        <v>1007</v>
      </c>
      <c r="B494" s="616">
        <v>183</v>
      </c>
      <c r="C494" s="616"/>
      <c r="D494" s="616">
        <v>68</v>
      </c>
      <c r="E494" s="605" t="s">
        <v>2100</v>
      </c>
      <c r="F494" s="140" t="s">
        <v>2355</v>
      </c>
      <c r="G494" s="141">
        <v>1996</v>
      </c>
      <c r="H494" s="118">
        <v>8731522</v>
      </c>
      <c r="I494" s="118">
        <v>1</v>
      </c>
      <c r="J494" s="118">
        <v>1</v>
      </c>
      <c r="K494" s="118"/>
      <c r="L494" s="118">
        <v>1</v>
      </c>
      <c r="M494" s="118"/>
      <c r="N494" s="118">
        <v>1</v>
      </c>
      <c r="O494" s="142">
        <v>2</v>
      </c>
      <c r="P494" s="118"/>
      <c r="Q494" s="118"/>
      <c r="R494" s="118" t="s">
        <v>1234</v>
      </c>
      <c r="S494" s="118"/>
      <c r="T494" s="118" t="s">
        <v>1446</v>
      </c>
      <c r="U494" s="118" t="s">
        <v>803</v>
      </c>
      <c r="V494" s="118"/>
      <c r="W494" s="118" t="s">
        <v>1447</v>
      </c>
      <c r="X494" s="118"/>
      <c r="Y494" s="118"/>
      <c r="Z494" s="118"/>
      <c r="AA494" s="118"/>
      <c r="AB494" s="118" t="s">
        <v>1448</v>
      </c>
      <c r="AC494" s="145" t="s">
        <v>6256</v>
      </c>
      <c r="AD494" s="653">
        <v>1</v>
      </c>
      <c r="AE494" s="653">
        <v>1</v>
      </c>
      <c r="AF494" s="159">
        <v>1</v>
      </c>
      <c r="AG494" s="160" t="s">
        <v>6963</v>
      </c>
      <c r="AH494" s="704"/>
      <c r="AI494" s="122">
        <v>4</v>
      </c>
      <c r="AJ494" s="485" t="s">
        <v>6979</v>
      </c>
      <c r="AK494" s="677" t="s">
        <v>6964</v>
      </c>
      <c r="AL494" s="192" t="s">
        <v>4089</v>
      </c>
      <c r="AM494" s="205">
        <v>0</v>
      </c>
      <c r="AN494" s="122">
        <v>12</v>
      </c>
      <c r="AO494" s="122">
        <v>6</v>
      </c>
      <c r="AP494" s="122">
        <v>6</v>
      </c>
      <c r="AQ494" s="122" t="s">
        <v>803</v>
      </c>
      <c r="AR494" s="122" t="s">
        <v>803</v>
      </c>
      <c r="AS494" s="122" t="s">
        <v>6959</v>
      </c>
      <c r="AT494" s="122" t="s">
        <v>2882</v>
      </c>
      <c r="AU494" s="122" t="s">
        <v>6959</v>
      </c>
      <c r="AV494" s="122" t="s">
        <v>2882</v>
      </c>
      <c r="AW494" s="122" t="s">
        <v>6977</v>
      </c>
      <c r="AX494" s="122">
        <v>55</v>
      </c>
      <c r="AY494" s="122" t="s">
        <v>7647</v>
      </c>
      <c r="AZ494" s="754" t="s">
        <v>7332</v>
      </c>
      <c r="BA494" s="122">
        <v>1</v>
      </c>
      <c r="BB494" s="122">
        <v>1</v>
      </c>
      <c r="BC494" s="122" t="s">
        <v>6960</v>
      </c>
      <c r="BD494" s="754" t="s">
        <v>7523</v>
      </c>
      <c r="BE494" s="754"/>
      <c r="BF494" s="122" t="s">
        <v>6976</v>
      </c>
      <c r="BG494" s="122" t="s">
        <v>6653</v>
      </c>
      <c r="BH494" s="588"/>
      <c r="BI494" s="588"/>
      <c r="BJ494" s="161">
        <v>1</v>
      </c>
      <c r="BK494" s="161" t="s">
        <v>6205</v>
      </c>
      <c r="BL494" s="161"/>
      <c r="BM494" s="161"/>
      <c r="BN494" s="161"/>
      <c r="BO494" s="161"/>
      <c r="BP494" s="161"/>
      <c r="BQ494" s="161"/>
      <c r="BR494" s="161"/>
      <c r="BS494" s="161"/>
      <c r="BT494" s="161"/>
      <c r="BU494" s="161"/>
      <c r="BV494" s="161"/>
      <c r="BW494" s="596" t="s">
        <v>7372</v>
      </c>
      <c r="BX494" s="162" t="s">
        <v>6657</v>
      </c>
      <c r="BY494" s="797" t="s">
        <v>7613</v>
      </c>
      <c r="BZ494" s="897" t="s">
        <v>803</v>
      </c>
      <c r="CA494" s="766">
        <v>1</v>
      </c>
      <c r="CB494" s="765" t="s">
        <v>7556</v>
      </c>
      <c r="CC494" s="766" t="s">
        <v>7384</v>
      </c>
      <c r="CD494" s="150" t="s">
        <v>1876</v>
      </c>
      <c r="CE494" s="150">
        <v>2</v>
      </c>
      <c r="CF494" s="400" t="s">
        <v>23</v>
      </c>
      <c r="CG494" s="150" t="s">
        <v>6962</v>
      </c>
      <c r="CH494" s="753" t="s">
        <v>7309</v>
      </c>
      <c r="CI494" s="150" t="s">
        <v>6961</v>
      </c>
      <c r="CJ494" s="150"/>
      <c r="CK494" s="1079" t="s">
        <v>8025</v>
      </c>
      <c r="CL494" s="150" t="s">
        <v>6639</v>
      </c>
      <c r="CM494" s="258" t="s">
        <v>6981</v>
      </c>
      <c r="CN494" s="257" t="s">
        <v>6627</v>
      </c>
      <c r="CO494" s="829">
        <v>56</v>
      </c>
      <c r="CP494" s="829">
        <v>3</v>
      </c>
      <c r="CQ494" s="829">
        <v>3</v>
      </c>
      <c r="CR494" s="829">
        <v>1</v>
      </c>
      <c r="CS494" s="829">
        <v>1</v>
      </c>
      <c r="CT494" s="968"/>
      <c r="CU494" s="1289" t="s">
        <v>8104</v>
      </c>
      <c r="CV494" s="1295">
        <v>110</v>
      </c>
      <c r="CW494" s="1295">
        <v>101</v>
      </c>
      <c r="CX494" s="145" t="s">
        <v>8030</v>
      </c>
      <c r="CY494" s="145">
        <v>270.86799999999999</v>
      </c>
      <c r="CZ494" s="145" t="s">
        <v>24</v>
      </c>
      <c r="DA494" s="145" t="s">
        <v>24</v>
      </c>
      <c r="DB494" s="145" t="s">
        <v>6975</v>
      </c>
      <c r="DC494" s="150">
        <v>160.11099999999999</v>
      </c>
      <c r="DD494" s="150" t="s">
        <v>24</v>
      </c>
      <c r="DE494" s="150" t="s">
        <v>24</v>
      </c>
      <c r="DF494" s="440" t="s">
        <v>24</v>
      </c>
      <c r="DG494" s="442" t="s">
        <v>24</v>
      </c>
      <c r="DH494" s="1179"/>
      <c r="DI494" s="417"/>
      <c r="DJ494" s="1169"/>
      <c r="DK494" s="417"/>
      <c r="DL494" s="1169"/>
      <c r="DM494" s="417"/>
      <c r="DN494" s="1169"/>
      <c r="DO494" s="1151"/>
      <c r="DP494" s="290"/>
      <c r="DQ494" s="291"/>
      <c r="DR494" s="1168"/>
      <c r="DS494" s="865"/>
      <c r="DT494" s="1164"/>
      <c r="DU494" s="1164"/>
      <c r="DV494" s="1164"/>
      <c r="DW494" s="1164"/>
      <c r="DX494" s="1164"/>
      <c r="DY494" s="1164"/>
      <c r="DZ494" s="1164"/>
      <c r="EA494" s="1164"/>
      <c r="EB494" s="1214"/>
      <c r="EC494" s="1213"/>
      <c r="ED494" s="1164"/>
      <c r="EE494" s="1164"/>
      <c r="EF494" s="1164"/>
      <c r="EG494" s="1164"/>
      <c r="EH494" s="1164"/>
      <c r="EI494" s="1164"/>
      <c r="EJ494" s="1164"/>
      <c r="EK494" s="1164"/>
      <c r="EL494" s="1214"/>
      <c r="EM494" s="1213"/>
      <c r="EN494" s="1167"/>
      <c r="EO494" s="1165"/>
      <c r="EP494" s="146"/>
      <c r="EQ494" s="146"/>
      <c r="ER494" s="146"/>
      <c r="ES494" s="146"/>
      <c r="ET494" s="146"/>
      <c r="EU494" s="1164"/>
      <c r="EV494" s="1164"/>
      <c r="EW494" s="1164"/>
      <c r="EX494" s="1214"/>
      <c r="EY494" s="1213"/>
      <c r="EZ494" s="1166"/>
      <c r="FA494" s="1164"/>
      <c r="FB494" s="1166"/>
      <c r="FC494" s="1164"/>
      <c r="FD494" s="1166"/>
      <c r="FE494" s="1164"/>
      <c r="FF494" s="1166"/>
      <c r="FG494" s="1164"/>
      <c r="FH494" s="313"/>
      <c r="FI494" s="313"/>
      <c r="FJ494" s="1165"/>
    </row>
    <row r="495" spans="1:166" ht="14" hidden="1" customHeight="1">
      <c r="A495" s="153" t="s">
        <v>1005</v>
      </c>
      <c r="B495" s="618">
        <v>36</v>
      </c>
      <c r="C495" s="618"/>
      <c r="D495" s="618"/>
      <c r="E495" s="610" t="s">
        <v>2101</v>
      </c>
      <c r="F495" s="368" t="s">
        <v>2356</v>
      </c>
      <c r="G495" s="369">
        <v>2014</v>
      </c>
      <c r="H495" s="153">
        <v>24925360</v>
      </c>
      <c r="I495" s="153">
        <v>1</v>
      </c>
      <c r="J495" s="370">
        <v>1</v>
      </c>
      <c r="K495" s="371"/>
      <c r="L495" s="153">
        <v>1</v>
      </c>
      <c r="M495" s="153"/>
      <c r="N495" s="153">
        <v>1</v>
      </c>
      <c r="O495" s="153">
        <v>2</v>
      </c>
      <c r="P495" s="153" t="s">
        <v>1455</v>
      </c>
      <c r="Q495" s="153" t="s">
        <v>1216</v>
      </c>
      <c r="R495" s="153" t="s">
        <v>1127</v>
      </c>
      <c r="S495" s="153"/>
      <c r="T495" s="153" t="s">
        <v>1488</v>
      </c>
      <c r="U495" s="153" t="s">
        <v>803</v>
      </c>
      <c r="V495" s="153" t="s">
        <v>23</v>
      </c>
      <c r="W495" s="153" t="s">
        <v>1454</v>
      </c>
      <c r="X495" s="153" t="s">
        <v>1456</v>
      </c>
      <c r="Y495" s="153" t="s">
        <v>24</v>
      </c>
      <c r="Z495" s="153"/>
      <c r="AA495" s="153"/>
      <c r="AB495" s="153" t="s">
        <v>1457</v>
      </c>
      <c r="AC495" s="536"/>
      <c r="AD495" s="536">
        <v>1</v>
      </c>
      <c r="AE495" s="536">
        <v>2</v>
      </c>
      <c r="AF495" s="165">
        <v>0</v>
      </c>
      <c r="AG495" s="166" t="s">
        <v>7653</v>
      </c>
      <c r="AH495" s="509" t="s">
        <v>7654</v>
      </c>
      <c r="AI495" s="120">
        <v>4</v>
      </c>
      <c r="AJ495" s="120"/>
      <c r="AK495" s="206"/>
      <c r="AL495" s="372">
        <v>0</v>
      </c>
      <c r="AM495" s="207"/>
      <c r="AN495" s="120"/>
      <c r="AO495" s="120"/>
      <c r="AP495" s="120"/>
      <c r="AQ495" s="120"/>
      <c r="AR495" s="120"/>
      <c r="AS495" s="120"/>
      <c r="AT495" s="120"/>
      <c r="AU495" s="120"/>
      <c r="AV495" s="120"/>
      <c r="AW495" s="120" t="s">
        <v>7651</v>
      </c>
      <c r="AX495" s="120" t="s">
        <v>7652</v>
      </c>
      <c r="AY495" s="120">
        <v>1</v>
      </c>
      <c r="AZ495" s="755" t="s">
        <v>1814</v>
      </c>
      <c r="BA495" s="120">
        <v>1</v>
      </c>
      <c r="BB495" s="120" t="s">
        <v>3345</v>
      </c>
      <c r="BC495" s="120"/>
      <c r="BD495" s="755"/>
      <c r="BE495" s="755"/>
      <c r="BF495" s="120"/>
      <c r="BG495" s="120"/>
      <c r="BH495" s="377"/>
      <c r="BI495" s="377"/>
      <c r="BJ495" s="373">
        <v>1</v>
      </c>
      <c r="BK495" s="373"/>
      <c r="BL495" s="373"/>
      <c r="BM495" s="373"/>
      <c r="BN495" s="373"/>
      <c r="BO495" s="373"/>
      <c r="BP495" s="373"/>
      <c r="BQ495" s="373"/>
      <c r="BR495" s="373"/>
      <c r="BS495" s="373"/>
      <c r="BT495" s="373"/>
      <c r="BU495" s="373"/>
      <c r="BV495" s="373"/>
      <c r="BW495" s="599"/>
      <c r="BX495" s="374"/>
      <c r="BY495" s="799"/>
      <c r="BZ495" s="374"/>
      <c r="CA495" s="511"/>
      <c r="CB495" s="511"/>
      <c r="CC495" s="511"/>
      <c r="CD495" s="120"/>
      <c r="CE495" s="120"/>
      <c r="CF495" s="786"/>
      <c r="CG495" s="120"/>
      <c r="CH495" s="755"/>
      <c r="CI495" s="120"/>
      <c r="CJ495" s="120"/>
      <c r="CK495" s="120"/>
      <c r="CL495" s="120"/>
      <c r="CM495" s="375" t="s">
        <v>24</v>
      </c>
      <c r="CN495" s="380"/>
      <c r="CO495" s="380"/>
      <c r="CP495" s="380"/>
      <c r="CQ495" s="380"/>
      <c r="CR495" s="380"/>
      <c r="CS495" s="380"/>
      <c r="CT495" s="380"/>
      <c r="CU495" s="380"/>
      <c r="CV495" s="380"/>
      <c r="CW495" s="380"/>
      <c r="CX495" s="376"/>
      <c r="CY495" s="120"/>
      <c r="CZ495" s="120"/>
      <c r="DA495" s="120"/>
      <c r="DB495" s="376"/>
      <c r="DC495" s="120"/>
      <c r="DD495" s="120"/>
      <c r="DE495" s="120"/>
      <c r="DF495" s="621"/>
      <c r="DG495" s="509"/>
      <c r="DH495" s="718"/>
      <c r="DI495" s="683"/>
      <c r="DJ495" s="384"/>
      <c r="DK495" s="683"/>
      <c r="DL495" s="727"/>
      <c r="DM495" s="683"/>
      <c r="DN495" s="384"/>
      <c r="DO495" s="815"/>
      <c r="DP495" s="375"/>
      <c r="DQ495" s="377"/>
      <c r="DR495" s="1182"/>
      <c r="DS495" s="956"/>
      <c r="DT495" s="727"/>
      <c r="DU495" s="384"/>
      <c r="DV495" s="384"/>
      <c r="DW495" s="384"/>
      <c r="DX495" s="384"/>
      <c r="DY495" s="384"/>
      <c r="DZ495" s="384"/>
      <c r="EA495" s="384"/>
      <c r="EB495" s="1012"/>
      <c r="EC495" s="384"/>
      <c r="ED495" s="384"/>
      <c r="EE495" s="384"/>
      <c r="EF495" s="384"/>
      <c r="EG495" s="384"/>
      <c r="EH495" s="384"/>
      <c r="EI495" s="384"/>
      <c r="EJ495" s="384"/>
      <c r="EK495" s="384"/>
      <c r="EL495" s="1012"/>
      <c r="EM495" s="384"/>
      <c r="EN495" s="1012"/>
      <c r="EO495" s="384"/>
      <c r="EP495" s="384"/>
      <c r="EQ495" s="384"/>
      <c r="ER495" s="384"/>
      <c r="ES495" s="384"/>
      <c r="ET495" s="727"/>
      <c r="EU495" s="384"/>
      <c r="EV495" s="384"/>
      <c r="EW495" s="384"/>
      <c r="EX495" s="384"/>
      <c r="EY495" s="384"/>
      <c r="EZ495" s="727"/>
      <c r="FA495" s="384"/>
      <c r="FB495" s="384"/>
      <c r="FC495" s="384"/>
      <c r="FD495" s="727"/>
      <c r="FE495" s="384"/>
      <c r="FF495" s="384"/>
      <c r="FG495" s="384"/>
      <c r="FH495" s="384"/>
      <c r="FI495" s="384"/>
      <c r="FJ495" s="384"/>
    </row>
    <row r="496" spans="1:166" ht="14" hidden="1" customHeight="1">
      <c r="A496" s="79" t="s">
        <v>1004</v>
      </c>
      <c r="B496" s="362">
        <v>184</v>
      </c>
      <c r="C496" s="362">
        <v>63</v>
      </c>
      <c r="D496" s="362"/>
      <c r="E496" s="604" t="s">
        <v>2102</v>
      </c>
      <c r="F496" s="124" t="s">
        <v>2357</v>
      </c>
      <c r="G496" s="125">
        <v>2014</v>
      </c>
      <c r="H496" s="79">
        <v>24657739</v>
      </c>
      <c r="I496" s="79">
        <v>1</v>
      </c>
      <c r="J496" s="126"/>
      <c r="K496" s="127"/>
      <c r="L496" s="79">
        <v>1</v>
      </c>
      <c r="M496" s="79"/>
      <c r="N496" s="79">
        <v>1</v>
      </c>
      <c r="O496" s="128">
        <v>2</v>
      </c>
      <c r="P496" s="79" t="s">
        <v>1460</v>
      </c>
      <c r="Q496" s="79" t="s">
        <v>1216</v>
      </c>
      <c r="R496" s="79" t="s">
        <v>1229</v>
      </c>
      <c r="S496" s="79"/>
      <c r="T496" s="79" t="s">
        <v>1487</v>
      </c>
      <c r="U496" s="79" t="s">
        <v>803</v>
      </c>
      <c r="V496" s="79"/>
      <c r="W496" s="79" t="s">
        <v>1458</v>
      </c>
      <c r="X496" s="79"/>
      <c r="Y496" s="79" t="s">
        <v>1459</v>
      </c>
      <c r="Z496" s="79"/>
      <c r="AA496" s="79" t="s">
        <v>1461</v>
      </c>
      <c r="AB496" s="79"/>
      <c r="AC496" s="506"/>
      <c r="AD496" s="573">
        <v>1</v>
      </c>
      <c r="AE496" s="573">
        <v>2</v>
      </c>
      <c r="AF496" s="233">
        <v>1</v>
      </c>
      <c r="AG496" s="234" t="s">
        <v>7977</v>
      </c>
      <c r="AH496" s="704" t="s">
        <v>7514</v>
      </c>
      <c r="AI496" s="121">
        <v>4</v>
      </c>
      <c r="AJ496" s="484"/>
      <c r="AK496" s="202" t="s">
        <v>5227</v>
      </c>
      <c r="AL496" s="192">
        <v>0</v>
      </c>
      <c r="AM496" s="203">
        <v>0</v>
      </c>
      <c r="AN496" s="121">
        <v>20</v>
      </c>
      <c r="AO496" s="121">
        <v>10</v>
      </c>
      <c r="AP496" s="121">
        <v>10</v>
      </c>
      <c r="AQ496" s="121" t="s">
        <v>803</v>
      </c>
      <c r="AR496" s="121" t="s">
        <v>803</v>
      </c>
      <c r="AS496" s="121" t="s">
        <v>7513</v>
      </c>
      <c r="AT496" s="121" t="s">
        <v>24</v>
      </c>
      <c r="AU496" s="121" t="s">
        <v>7500</v>
      </c>
      <c r="AV496" s="121" t="s">
        <v>24</v>
      </c>
      <c r="AW496" s="121" t="s">
        <v>5211</v>
      </c>
      <c r="AX496" s="121"/>
      <c r="AY496" s="121"/>
      <c r="AZ496" s="754" t="s">
        <v>1487</v>
      </c>
      <c r="BA496" s="121">
        <v>1</v>
      </c>
      <c r="BB496" s="121">
        <v>1</v>
      </c>
      <c r="BC496" s="121" t="s">
        <v>5213</v>
      </c>
      <c r="BD496" s="754" t="s">
        <v>7523</v>
      </c>
      <c r="BE496" s="754"/>
      <c r="BF496" s="121" t="s">
        <v>2912</v>
      </c>
      <c r="BG496" s="121" t="s">
        <v>4508</v>
      </c>
      <c r="BH496" s="594"/>
      <c r="BI496" s="594"/>
      <c r="BJ496" s="156"/>
      <c r="BK496" s="156"/>
      <c r="BL496" s="156"/>
      <c r="BM496" s="156"/>
      <c r="BN496" s="156"/>
      <c r="BO496" s="156"/>
      <c r="BP496" s="156">
        <v>1</v>
      </c>
      <c r="BQ496" s="156"/>
      <c r="BR496" s="156"/>
      <c r="BS496" s="156"/>
      <c r="BT496" s="156"/>
      <c r="BU496" s="156"/>
      <c r="BV496" s="156"/>
      <c r="BW496" s="595" t="s">
        <v>5217</v>
      </c>
      <c r="BX496" s="157" t="s">
        <v>6617</v>
      </c>
      <c r="BY496" s="797" t="s">
        <v>7614</v>
      </c>
      <c r="BZ496" s="789" t="s">
        <v>803</v>
      </c>
      <c r="CA496" s="765">
        <v>2</v>
      </c>
      <c r="CB496" s="765" t="s">
        <v>7556</v>
      </c>
      <c r="CC496" s="1724" t="s">
        <v>7384</v>
      </c>
      <c r="CD496" s="134" t="s">
        <v>1876</v>
      </c>
      <c r="CE496" s="134" t="s">
        <v>5214</v>
      </c>
      <c r="CF496" s="400" t="s">
        <v>7581</v>
      </c>
      <c r="CG496" s="134" t="s">
        <v>5218</v>
      </c>
      <c r="CH496" s="753" t="s">
        <v>7355</v>
      </c>
      <c r="CI496" s="134" t="s">
        <v>5215</v>
      </c>
      <c r="CJ496" s="134"/>
      <c r="CK496" s="134" t="s">
        <v>5216</v>
      </c>
      <c r="CL496" s="134" t="s">
        <v>8232</v>
      </c>
      <c r="CM496" s="259" t="s">
        <v>5226</v>
      </c>
      <c r="CN496" s="454" t="s">
        <v>24</v>
      </c>
      <c r="CO496" s="828">
        <v>57</v>
      </c>
      <c r="CP496" s="828">
        <v>1</v>
      </c>
      <c r="CQ496" s="828">
        <v>1</v>
      </c>
      <c r="CR496" s="828">
        <v>1</v>
      </c>
      <c r="CS496" s="828">
        <v>-1</v>
      </c>
      <c r="CT496" s="967"/>
      <c r="CU496" s="1289" t="s">
        <v>8104</v>
      </c>
      <c r="CV496" s="1295">
        <v>111</v>
      </c>
      <c r="CW496" s="1295">
        <v>102</v>
      </c>
      <c r="CX496" s="138" t="s">
        <v>5219</v>
      </c>
      <c r="CY496" s="134">
        <v>4.5901399999999999</v>
      </c>
      <c r="CZ496" s="134" t="s">
        <v>24</v>
      </c>
      <c r="DA496" s="134">
        <f>5.4944-Table66[[#This Row],[Data_Outcome1_M]]</f>
        <v>0.90425999999999984</v>
      </c>
      <c r="DB496" s="138" t="s">
        <v>5220</v>
      </c>
      <c r="DC496" s="134">
        <v>1.2724</v>
      </c>
      <c r="DD496" s="134" t="s">
        <v>24</v>
      </c>
      <c r="DE496" s="134">
        <f>1.78569-Table66[[#This Row],[Data_Outcome2_M]]</f>
        <v>0.51329000000000002</v>
      </c>
      <c r="DF496" s="294" t="s">
        <v>5223</v>
      </c>
      <c r="DG496" s="295" t="s">
        <v>2555</v>
      </c>
      <c r="DH496" s="1169"/>
      <c r="DI496" s="121"/>
      <c r="DJ496" s="1169"/>
      <c r="DK496" s="1169"/>
      <c r="DL496" s="1169"/>
      <c r="DM496" s="1169"/>
      <c r="DN496" s="1169"/>
      <c r="DO496" s="1169"/>
      <c r="DP496" s="288"/>
      <c r="DQ496" s="289"/>
      <c r="DR496" s="1168"/>
      <c r="DS496" s="865"/>
      <c r="DT496" s="1171"/>
      <c r="DU496" s="1169"/>
      <c r="DV496" s="1169"/>
      <c r="DW496" s="1169"/>
      <c r="DX496" s="1169"/>
      <c r="DY496" s="1169"/>
      <c r="DZ496" s="1169"/>
      <c r="EA496" s="1169"/>
      <c r="EB496" s="304"/>
      <c r="EC496" s="312"/>
      <c r="ED496" s="1169"/>
      <c r="EE496" s="1169"/>
      <c r="EF496" s="1169"/>
      <c r="EG496" s="1169"/>
      <c r="EH496" s="1169"/>
      <c r="EI496" s="1169"/>
      <c r="EJ496" s="1169"/>
      <c r="EK496" s="1169"/>
      <c r="EL496" s="304"/>
      <c r="EM496" s="312"/>
      <c r="EN496" s="309"/>
      <c r="EO496" s="1170"/>
      <c r="EP496" s="1169"/>
      <c r="EQ496" s="1169"/>
      <c r="ER496" s="1169"/>
      <c r="ES496" s="1169"/>
      <c r="ET496" s="1171"/>
      <c r="EU496" s="1169"/>
      <c r="EV496" s="1169"/>
      <c r="EW496" s="1169"/>
      <c r="EX496" s="312"/>
      <c r="EY496" s="312"/>
      <c r="EZ496" s="1171"/>
      <c r="FA496" s="1169"/>
      <c r="FB496" s="1169"/>
      <c r="FC496" s="1169"/>
      <c r="FD496" s="1171"/>
      <c r="FE496" s="1169"/>
      <c r="FF496" s="1169"/>
      <c r="FG496" s="1169"/>
      <c r="FH496" s="312"/>
      <c r="FI496" s="312"/>
      <c r="FJ496" s="1170"/>
    </row>
    <row r="497" spans="1:166" ht="14" hidden="1" customHeight="1">
      <c r="A497" s="79" t="s">
        <v>1004</v>
      </c>
      <c r="B497" s="362">
        <v>184</v>
      </c>
      <c r="C497" s="362">
        <v>63</v>
      </c>
      <c r="D497" s="362"/>
      <c r="E497" s="604" t="s">
        <v>2102</v>
      </c>
      <c r="F497" s="124" t="s">
        <v>2357</v>
      </c>
      <c r="G497" s="125">
        <v>2014</v>
      </c>
      <c r="H497" s="79">
        <v>24657739</v>
      </c>
      <c r="I497" s="79">
        <v>1</v>
      </c>
      <c r="J497" s="126"/>
      <c r="K497" s="127"/>
      <c r="L497" s="79">
        <v>1</v>
      </c>
      <c r="M497" s="79"/>
      <c r="N497" s="79">
        <v>1</v>
      </c>
      <c r="O497" s="128">
        <v>2</v>
      </c>
      <c r="P497" s="79" t="s">
        <v>1460</v>
      </c>
      <c r="Q497" s="79" t="s">
        <v>1216</v>
      </c>
      <c r="R497" s="79" t="s">
        <v>1229</v>
      </c>
      <c r="S497" s="79"/>
      <c r="T497" s="79" t="s">
        <v>1487</v>
      </c>
      <c r="U497" s="79" t="s">
        <v>803</v>
      </c>
      <c r="V497" s="79"/>
      <c r="W497" s="79" t="s">
        <v>1458</v>
      </c>
      <c r="X497" s="79"/>
      <c r="Y497" s="79" t="s">
        <v>1459</v>
      </c>
      <c r="Z497" s="79"/>
      <c r="AA497" s="79" t="s">
        <v>1461</v>
      </c>
      <c r="AB497" s="79"/>
      <c r="AC497" s="506"/>
      <c r="AD497" s="573">
        <v>1</v>
      </c>
      <c r="AE497" s="573">
        <v>2</v>
      </c>
      <c r="AF497" s="233">
        <v>1</v>
      </c>
      <c r="AG497" s="234" t="s">
        <v>7977</v>
      </c>
      <c r="AH497" s="704" t="s">
        <v>7514</v>
      </c>
      <c r="AI497" s="121">
        <v>4</v>
      </c>
      <c r="AJ497" s="484"/>
      <c r="AK497" s="202" t="s">
        <v>5227</v>
      </c>
      <c r="AL497" s="192">
        <v>0</v>
      </c>
      <c r="AM497" s="203">
        <v>0</v>
      </c>
      <c r="AN497" s="121">
        <v>20</v>
      </c>
      <c r="AO497" s="121">
        <v>10</v>
      </c>
      <c r="AP497" s="121">
        <v>10</v>
      </c>
      <c r="AQ497" s="121" t="s">
        <v>803</v>
      </c>
      <c r="AR497" s="121" t="s">
        <v>803</v>
      </c>
      <c r="AS497" s="121" t="s">
        <v>7513</v>
      </c>
      <c r="AT497" s="121" t="s">
        <v>24</v>
      </c>
      <c r="AU497" s="121" t="s">
        <v>7500</v>
      </c>
      <c r="AV497" s="121" t="s">
        <v>24</v>
      </c>
      <c r="AW497" s="121" t="s">
        <v>5211</v>
      </c>
      <c r="AX497" s="121"/>
      <c r="AY497" s="121"/>
      <c r="AZ497" s="754" t="s">
        <v>1487</v>
      </c>
      <c r="BA497" s="121">
        <v>1</v>
      </c>
      <c r="BB497" s="121">
        <v>1</v>
      </c>
      <c r="BC497" s="121" t="s">
        <v>5213</v>
      </c>
      <c r="BD497" s="754" t="s">
        <v>7523</v>
      </c>
      <c r="BE497" s="754"/>
      <c r="BF497" s="121" t="s">
        <v>2912</v>
      </c>
      <c r="BG497" s="121" t="s">
        <v>4508</v>
      </c>
      <c r="BH497" s="594"/>
      <c r="BI497" s="594"/>
      <c r="BJ497" s="156"/>
      <c r="BK497" s="156"/>
      <c r="BL497" s="156"/>
      <c r="BM497" s="156"/>
      <c r="BN497" s="156"/>
      <c r="BO497" s="156"/>
      <c r="BP497" s="156">
        <v>1</v>
      </c>
      <c r="BQ497" s="156"/>
      <c r="BR497" s="156"/>
      <c r="BS497" s="156"/>
      <c r="BT497" s="156"/>
      <c r="BU497" s="156"/>
      <c r="BV497" s="156"/>
      <c r="BW497" s="595" t="s">
        <v>5217</v>
      </c>
      <c r="BX497" s="157" t="s">
        <v>6617</v>
      </c>
      <c r="BY497" s="797" t="s">
        <v>7614</v>
      </c>
      <c r="BZ497" s="789" t="s">
        <v>803</v>
      </c>
      <c r="CA497" s="765">
        <v>2</v>
      </c>
      <c r="CB497" s="765" t="s">
        <v>7556</v>
      </c>
      <c r="CC497" s="1724" t="s">
        <v>7384</v>
      </c>
      <c r="CD497" s="134" t="s">
        <v>1876</v>
      </c>
      <c r="CE497" s="134" t="s">
        <v>5214</v>
      </c>
      <c r="CF497" s="400" t="s">
        <v>7581</v>
      </c>
      <c r="CG497" s="134" t="s">
        <v>5218</v>
      </c>
      <c r="CH497" s="753" t="s">
        <v>7355</v>
      </c>
      <c r="CI497" s="134" t="s">
        <v>5215</v>
      </c>
      <c r="CJ497" s="134"/>
      <c r="CK497" s="134" t="s">
        <v>5216</v>
      </c>
      <c r="CL497" s="134" t="s">
        <v>8232</v>
      </c>
      <c r="CM497" s="259" t="s">
        <v>5226</v>
      </c>
      <c r="CN497" s="454" t="s">
        <v>24</v>
      </c>
      <c r="CO497" s="828">
        <v>57</v>
      </c>
      <c r="CP497" s="828">
        <v>1</v>
      </c>
      <c r="CQ497" s="828">
        <v>2</v>
      </c>
      <c r="CR497" s="828">
        <v>1</v>
      </c>
      <c r="CS497" s="828">
        <v>-1</v>
      </c>
      <c r="CT497" s="967"/>
      <c r="CU497" s="1289" t="s">
        <v>8104</v>
      </c>
      <c r="CV497" s="1295">
        <v>111</v>
      </c>
      <c r="CW497" s="1295">
        <v>102</v>
      </c>
      <c r="CX497" s="138" t="s">
        <v>5221</v>
      </c>
      <c r="CY497" s="134">
        <v>4.0004299999999997</v>
      </c>
      <c r="CZ497" s="134" t="s">
        <v>24</v>
      </c>
      <c r="DA497" s="134">
        <f>4.96198-Table66[[#This Row],[Data_Outcome1_M]]</f>
        <v>0.9615499999999999</v>
      </c>
      <c r="DB497" s="138" t="s">
        <v>5222</v>
      </c>
      <c r="DC497" s="134">
        <v>1.9053899999999999</v>
      </c>
      <c r="DD497" s="134" t="s">
        <v>24</v>
      </c>
      <c r="DE497" s="134">
        <f>2.55313-Table66[[#This Row],[Data_Outcome2_M]]</f>
        <v>0.64773999999999998</v>
      </c>
      <c r="DF497" s="288" t="s">
        <v>5224</v>
      </c>
      <c r="DG497" s="289" t="s">
        <v>2555</v>
      </c>
      <c r="DH497" s="1175"/>
      <c r="DI497" s="417"/>
      <c r="DJ497" s="1169"/>
      <c r="DK497" s="417"/>
      <c r="DL497" s="1171"/>
      <c r="DM497" s="417"/>
      <c r="DN497" s="1169"/>
      <c r="DO497" s="1151"/>
      <c r="DP497" s="288"/>
      <c r="DQ497" s="441"/>
      <c r="DR497" s="1168"/>
      <c r="DS497" s="865"/>
      <c r="DT497" s="1171"/>
      <c r="DU497" s="1169"/>
      <c r="DV497" s="1169"/>
      <c r="DW497" s="1169"/>
      <c r="DX497" s="1169"/>
      <c r="DY497" s="1169"/>
      <c r="DZ497" s="1169"/>
      <c r="EA497" s="1169"/>
      <c r="EB497" s="304"/>
      <c r="EC497" s="312"/>
      <c r="ED497" s="1169"/>
      <c r="EE497" s="1169"/>
      <c r="EF497" s="1169"/>
      <c r="EG497" s="1169"/>
      <c r="EH497" s="1169"/>
      <c r="EI497" s="1169"/>
      <c r="EJ497" s="1169"/>
      <c r="EK497" s="1169"/>
      <c r="EL497" s="304"/>
      <c r="EM497" s="312"/>
      <c r="EN497" s="309"/>
      <c r="EO497" s="1170"/>
      <c r="EP497" s="1169"/>
      <c r="EQ497" s="1169"/>
      <c r="ER497" s="1169"/>
      <c r="ES497" s="1169"/>
      <c r="ET497" s="1171"/>
      <c r="EU497" s="1169"/>
      <c r="EV497" s="1169"/>
      <c r="EW497" s="1169"/>
      <c r="EX497" s="312"/>
      <c r="EY497" s="312"/>
      <c r="EZ497" s="1171"/>
      <c r="FA497" s="1169"/>
      <c r="FB497" s="1169"/>
      <c r="FC497" s="1169"/>
      <c r="FD497" s="1171"/>
      <c r="FE497" s="1169"/>
      <c r="FF497" s="1169"/>
      <c r="FG497" s="1169"/>
      <c r="FH497" s="312"/>
      <c r="FI497" s="312"/>
      <c r="FJ497" s="1170"/>
    </row>
    <row r="498" spans="1:166" ht="14" hidden="1" customHeight="1">
      <c r="A498" s="153" t="s">
        <v>1003</v>
      </c>
      <c r="B498" s="618">
        <v>185</v>
      </c>
      <c r="C498" s="618">
        <v>64</v>
      </c>
      <c r="D498" s="618"/>
      <c r="E498" s="610" t="s">
        <v>2102</v>
      </c>
      <c r="F498" s="368" t="s">
        <v>2358</v>
      </c>
      <c r="G498" s="369">
        <v>2014</v>
      </c>
      <c r="H498" s="153">
        <v>24887568</v>
      </c>
      <c r="I498" s="153">
        <v>1</v>
      </c>
      <c r="J498" s="370"/>
      <c r="K498" s="371"/>
      <c r="L498" s="153">
        <v>1</v>
      </c>
      <c r="M498" s="153"/>
      <c r="N498" s="153">
        <v>1</v>
      </c>
      <c r="O498" s="153">
        <v>2</v>
      </c>
      <c r="P498" s="153" t="s">
        <v>1464</v>
      </c>
      <c r="Q498" s="153" t="s">
        <v>1216</v>
      </c>
      <c r="R498" s="153" t="s">
        <v>1127</v>
      </c>
      <c r="S498" s="153"/>
      <c r="T498" s="153" t="s">
        <v>1462</v>
      </c>
      <c r="U498" s="153" t="s">
        <v>803</v>
      </c>
      <c r="V498" s="153" t="s">
        <v>23</v>
      </c>
      <c r="W498" s="153" t="s">
        <v>1465</v>
      </c>
      <c r="X498" s="153"/>
      <c r="Y498" s="153" t="s">
        <v>1463</v>
      </c>
      <c r="Z498" s="153"/>
      <c r="AA498" s="153"/>
      <c r="AB498" s="153"/>
      <c r="AC498" s="536"/>
      <c r="AD498" s="536">
        <v>1</v>
      </c>
      <c r="AE498" s="536">
        <v>2</v>
      </c>
      <c r="AF498" s="165">
        <v>0</v>
      </c>
      <c r="AG498" s="166" t="s">
        <v>7624</v>
      </c>
      <c r="AH498" s="509" t="s">
        <v>7264</v>
      </c>
      <c r="AI498" s="120">
        <v>4</v>
      </c>
      <c r="AJ498" s="120"/>
      <c r="AK498" s="206" t="s">
        <v>5233</v>
      </c>
      <c r="AL498" s="372" t="s">
        <v>5239</v>
      </c>
      <c r="AM498" s="207">
        <v>0</v>
      </c>
      <c r="AN498" s="120">
        <f>Table66[[#This Row],[Data_Subjects_n_ptsd]]+Table66[[#This Row],[Data_Subjects_n_control]]</f>
        <v>20</v>
      </c>
      <c r="AO498" s="120">
        <v>10</v>
      </c>
      <c r="AP498" s="120">
        <v>10</v>
      </c>
      <c r="AQ498" s="120" t="s">
        <v>803</v>
      </c>
      <c r="AR498" s="120" t="s">
        <v>803</v>
      </c>
      <c r="AS498" s="120" t="s">
        <v>7501</v>
      </c>
      <c r="AT498" s="120" t="s">
        <v>24</v>
      </c>
      <c r="AU498" s="120" t="s">
        <v>7501</v>
      </c>
      <c r="AV498" s="120" t="s">
        <v>24</v>
      </c>
      <c r="AW498" s="120" t="s">
        <v>5237</v>
      </c>
      <c r="AX498" s="120"/>
      <c r="AY498" s="120"/>
      <c r="AZ498" s="755" t="s">
        <v>7325</v>
      </c>
      <c r="BA498" s="120" t="s">
        <v>5231</v>
      </c>
      <c r="BB498" s="120" t="s">
        <v>5232</v>
      </c>
      <c r="BC498" s="120" t="s">
        <v>5234</v>
      </c>
      <c r="BD498" s="755" t="s">
        <v>7523</v>
      </c>
      <c r="BE498" s="755"/>
      <c r="BF498" s="120" t="s">
        <v>5230</v>
      </c>
      <c r="BG498" s="120" t="s">
        <v>4508</v>
      </c>
      <c r="BH498" s="377"/>
      <c r="BI498" s="377"/>
      <c r="BJ498" s="373"/>
      <c r="BK498" s="373"/>
      <c r="BL498" s="373"/>
      <c r="BM498" s="373"/>
      <c r="BN498" s="373"/>
      <c r="BO498" s="373"/>
      <c r="BP498" s="373">
        <v>1</v>
      </c>
      <c r="BQ498" s="373"/>
      <c r="BR498" s="373"/>
      <c r="BS498" s="373"/>
      <c r="BT498" s="373"/>
      <c r="BU498" s="373"/>
      <c r="BV498" s="373"/>
      <c r="BW498" s="599" t="s">
        <v>5217</v>
      </c>
      <c r="BX498" s="374" t="s">
        <v>6617</v>
      </c>
      <c r="BY498" s="799" t="s">
        <v>7614</v>
      </c>
      <c r="BZ498" s="374" t="s">
        <v>7611</v>
      </c>
      <c r="CA498" s="511">
        <v>2</v>
      </c>
      <c r="CB498" s="511" t="s">
        <v>7556</v>
      </c>
      <c r="CC498" s="1724" t="s">
        <v>7384</v>
      </c>
      <c r="CD498" s="120" t="s">
        <v>1876</v>
      </c>
      <c r="CE498" s="120" t="s">
        <v>5235</v>
      </c>
      <c r="CF498" s="786" t="s">
        <v>7596</v>
      </c>
      <c r="CG498" s="120" t="s">
        <v>5236</v>
      </c>
      <c r="CH498" s="755" t="s">
        <v>7355</v>
      </c>
      <c r="CI498" s="120" t="s">
        <v>5229</v>
      </c>
      <c r="CJ498" s="120"/>
      <c r="CK498" s="120" t="s">
        <v>5241</v>
      </c>
      <c r="CL498" s="120"/>
      <c r="CM498" s="375" t="s">
        <v>5255</v>
      </c>
      <c r="CN498" s="380">
        <v>0</v>
      </c>
      <c r="CO498" s="380"/>
      <c r="CP498" s="380"/>
      <c r="CQ498" s="380"/>
      <c r="CR498" s="380"/>
      <c r="CS498" s="380"/>
      <c r="CT498" s="380"/>
      <c r="CU498" s="380"/>
      <c r="CV498" s="380"/>
      <c r="CW498" s="380"/>
      <c r="CX498" s="376" t="s">
        <v>5242</v>
      </c>
      <c r="CY498" s="120">
        <v>2.00528</v>
      </c>
      <c r="CZ498" s="120" t="s">
        <v>24</v>
      </c>
      <c r="DA498" s="120">
        <f>3.68074-Table66[[#This Row],[Data_Outcome1_M]]</f>
        <v>1.6754600000000002</v>
      </c>
      <c r="DB498" s="376" t="s">
        <v>5244</v>
      </c>
      <c r="DC498" s="120">
        <v>1.7809999999999999</v>
      </c>
      <c r="DD498" s="120" t="s">
        <v>24</v>
      </c>
      <c r="DE498" s="120">
        <f>3.48285-Table66[[#This Row],[Data_Outcome2_M]]</f>
        <v>1.7018500000000001</v>
      </c>
      <c r="DF498" s="515" t="s">
        <v>5254</v>
      </c>
      <c r="DG498" s="513" t="s">
        <v>3790</v>
      </c>
      <c r="DH498" s="376" t="s">
        <v>5246</v>
      </c>
      <c r="DI498" s="384">
        <v>3.5119600000000002</v>
      </c>
      <c r="DJ498" s="384" t="s">
        <v>24</v>
      </c>
      <c r="DK498" s="384">
        <f>4.71617-Table66[[#This Row],[Data_Outcome3_M]]</f>
        <v>1.2042099999999998</v>
      </c>
      <c r="DL498" s="376" t="s">
        <v>5248</v>
      </c>
      <c r="DM498" s="384">
        <v>0.76491399999999998</v>
      </c>
      <c r="DN498" s="384" t="s">
        <v>24</v>
      </c>
      <c r="DO498" s="384">
        <f>1.48484-Table66[[#This Row],[Data_Outcome4_M]]</f>
        <v>0.71992599999999995</v>
      </c>
      <c r="DP498" s="375" t="s">
        <v>5251</v>
      </c>
      <c r="DQ498" s="377" t="s">
        <v>2555</v>
      </c>
      <c r="DR498" s="1182" t="s">
        <v>5253</v>
      </c>
      <c r="DS498" s="1182" t="s">
        <v>5252</v>
      </c>
      <c r="DT498" s="727"/>
      <c r="DU498" s="120"/>
      <c r="DV498" s="384"/>
      <c r="DW498" s="120"/>
      <c r="DX498" s="384"/>
      <c r="DY498" s="384"/>
      <c r="DZ498" s="384"/>
      <c r="EA498" s="384"/>
      <c r="EB498" s="1012"/>
      <c r="EC498" s="384"/>
      <c r="ED498" s="384"/>
      <c r="EE498" s="384"/>
      <c r="EF498" s="384"/>
      <c r="EG498" s="384"/>
      <c r="EH498" s="384"/>
      <c r="EI498" s="384"/>
      <c r="EJ498" s="384"/>
      <c r="EK498" s="384"/>
      <c r="EL498" s="1012"/>
      <c r="EM498" s="384"/>
      <c r="EN498" s="1012"/>
      <c r="EO498" s="384"/>
      <c r="EP498" s="384"/>
      <c r="EQ498" s="384"/>
      <c r="ER498" s="384"/>
      <c r="ES498" s="384"/>
      <c r="ET498" s="727"/>
      <c r="EU498" s="384"/>
      <c r="EV498" s="384"/>
      <c r="EW498" s="384"/>
      <c r="EX498" s="384"/>
      <c r="EY498" s="384"/>
      <c r="EZ498" s="727"/>
      <c r="FA498" s="384"/>
      <c r="FB498" s="384"/>
      <c r="FC498" s="384"/>
      <c r="FD498" s="727"/>
      <c r="FE498" s="384"/>
      <c r="FF498" s="384"/>
      <c r="FG498" s="384"/>
      <c r="FH498" s="384"/>
      <c r="FI498" s="384"/>
      <c r="FJ498" s="384"/>
    </row>
    <row r="499" spans="1:166" ht="14" hidden="1" customHeight="1">
      <c r="A499" s="158" t="s">
        <v>1003</v>
      </c>
      <c r="B499" s="1094">
        <v>185</v>
      </c>
      <c r="C499" s="1094">
        <v>64</v>
      </c>
      <c r="D499" s="1094"/>
      <c r="E499" s="1095" t="s">
        <v>2102</v>
      </c>
      <c r="F499" s="711" t="s">
        <v>2358</v>
      </c>
      <c r="G499" s="1096">
        <v>2014</v>
      </c>
      <c r="H499" s="158">
        <v>24887568</v>
      </c>
      <c r="I499" s="158">
        <v>1</v>
      </c>
      <c r="J499" s="158"/>
      <c r="K499" s="158"/>
      <c r="L499" s="158">
        <v>1</v>
      </c>
      <c r="M499" s="158"/>
      <c r="N499" s="158">
        <v>1</v>
      </c>
      <c r="O499" s="158">
        <v>2</v>
      </c>
      <c r="P499" s="158" t="s">
        <v>1464</v>
      </c>
      <c r="Q499" s="158" t="s">
        <v>1216</v>
      </c>
      <c r="R499" s="158" t="s">
        <v>1127</v>
      </c>
      <c r="S499" s="158"/>
      <c r="T499" s="158" t="s">
        <v>1462</v>
      </c>
      <c r="U499" s="158" t="s">
        <v>803</v>
      </c>
      <c r="V499" s="158" t="s">
        <v>23</v>
      </c>
      <c r="W499" s="158" t="s">
        <v>1465</v>
      </c>
      <c r="X499" s="158"/>
      <c r="Y499" s="158" t="s">
        <v>1463</v>
      </c>
      <c r="Z499" s="158"/>
      <c r="AA499" s="158"/>
      <c r="AB499" s="158"/>
      <c r="AC499" s="800"/>
      <c r="AD499" s="536">
        <v>1</v>
      </c>
      <c r="AE499" s="536">
        <v>2</v>
      </c>
      <c r="AF499" s="743">
        <v>0</v>
      </c>
      <c r="AG499" s="744" t="s">
        <v>7624</v>
      </c>
      <c r="AH499" s="509" t="s">
        <v>7264</v>
      </c>
      <c r="AI499" s="734">
        <v>4</v>
      </c>
      <c r="AJ499" s="734"/>
      <c r="AK499" s="739" t="s">
        <v>5233</v>
      </c>
      <c r="AL499" s="372" t="s">
        <v>5240</v>
      </c>
      <c r="AM499" s="724">
        <v>0</v>
      </c>
      <c r="AN499" s="734">
        <f>Table66[[#This Row],[Data_Subjects_n_ptsd]]+Table66[[#This Row],[Data_Subjects_n_control]]</f>
        <v>20</v>
      </c>
      <c r="AO499" s="734">
        <v>10</v>
      </c>
      <c r="AP499" s="734">
        <v>10</v>
      </c>
      <c r="AQ499" s="734" t="s">
        <v>803</v>
      </c>
      <c r="AR499" s="734" t="s">
        <v>803</v>
      </c>
      <c r="AS499" s="120" t="s">
        <v>7501</v>
      </c>
      <c r="AT499" s="734" t="s">
        <v>24</v>
      </c>
      <c r="AU499" s="120" t="s">
        <v>7501</v>
      </c>
      <c r="AV499" s="734" t="s">
        <v>24</v>
      </c>
      <c r="AW499" s="734" t="s">
        <v>5238</v>
      </c>
      <c r="AX499" s="734"/>
      <c r="AY499" s="734"/>
      <c r="AZ499" s="755" t="s">
        <v>7325</v>
      </c>
      <c r="BA499" s="734" t="s">
        <v>5231</v>
      </c>
      <c r="BB499" s="734" t="s">
        <v>5232</v>
      </c>
      <c r="BC499" s="734" t="s">
        <v>5234</v>
      </c>
      <c r="BD499" s="755" t="s">
        <v>7523</v>
      </c>
      <c r="BE499" s="755"/>
      <c r="BF499" s="734" t="s">
        <v>5230</v>
      </c>
      <c r="BG499" s="734" t="s">
        <v>4508</v>
      </c>
      <c r="BH499" s="372"/>
      <c r="BI499" s="372"/>
      <c r="BJ499" s="735"/>
      <c r="BK499" s="735"/>
      <c r="BL499" s="735"/>
      <c r="BM499" s="735"/>
      <c r="BN499" s="735"/>
      <c r="BO499" s="735"/>
      <c r="BP499" s="735">
        <v>1</v>
      </c>
      <c r="BQ499" s="735"/>
      <c r="BR499" s="735"/>
      <c r="BS499" s="735"/>
      <c r="BT499" s="735"/>
      <c r="BU499" s="735"/>
      <c r="BV499" s="735"/>
      <c r="BW499" s="735" t="s">
        <v>5217</v>
      </c>
      <c r="BX499" s="736" t="s">
        <v>6617</v>
      </c>
      <c r="BY499" s="799" t="s">
        <v>7614</v>
      </c>
      <c r="BZ499" s="374" t="s">
        <v>7611</v>
      </c>
      <c r="CA499" s="511">
        <v>2</v>
      </c>
      <c r="CB499" s="511" t="s">
        <v>7556</v>
      </c>
      <c r="CC499" s="1724" t="s">
        <v>7384</v>
      </c>
      <c r="CD499" s="734" t="s">
        <v>1876</v>
      </c>
      <c r="CE499" s="734" t="s">
        <v>5235</v>
      </c>
      <c r="CF499" s="786" t="s">
        <v>7596</v>
      </c>
      <c r="CG499" s="734" t="s">
        <v>5236</v>
      </c>
      <c r="CH499" s="755" t="s">
        <v>7355</v>
      </c>
      <c r="CI499" s="734" t="s">
        <v>5229</v>
      </c>
      <c r="CJ499" s="734"/>
      <c r="CK499" s="734" t="s">
        <v>5241</v>
      </c>
      <c r="CL499" s="734"/>
      <c r="CM499" s="737" t="s">
        <v>5256</v>
      </c>
      <c r="CN499" s="738">
        <v>0</v>
      </c>
      <c r="CO499" s="738"/>
      <c r="CP499" s="738"/>
      <c r="CQ499" s="738"/>
      <c r="CR499" s="738"/>
      <c r="CS499" s="738"/>
      <c r="CT499" s="738"/>
      <c r="CU499" s="738"/>
      <c r="CV499" s="738"/>
      <c r="CW499" s="738"/>
      <c r="CX499" s="736" t="s">
        <v>5243</v>
      </c>
      <c r="CY499" s="734">
        <v>3.0079199999999999</v>
      </c>
      <c r="CZ499" s="734" t="s">
        <v>24</v>
      </c>
      <c r="DA499" s="734">
        <f>4.41953-Table66[[#This Row],[Data_Outcome1_M]]</f>
        <v>1.41161</v>
      </c>
      <c r="DB499" s="736" t="s">
        <v>5245</v>
      </c>
      <c r="DC499" s="734">
        <v>2.2559399999999998</v>
      </c>
      <c r="DD499" s="734" t="s">
        <v>24</v>
      </c>
      <c r="DE499" s="734">
        <f>3.89182-Table66[[#This Row],[Data_Outcome2_M]]</f>
        <v>1.6358800000000002</v>
      </c>
      <c r="DF499" s="515" t="s">
        <v>5254</v>
      </c>
      <c r="DG499" s="513" t="s">
        <v>3790</v>
      </c>
      <c r="DH499" s="736" t="s">
        <v>5247</v>
      </c>
      <c r="DI499" s="778">
        <v>3.79664</v>
      </c>
      <c r="DJ499" s="778" t="s">
        <v>24</v>
      </c>
      <c r="DK499" s="778">
        <f>4.73906-Table66[[#This Row],[Data_Outcome3_M]]</f>
        <v>0.94242000000000026</v>
      </c>
      <c r="DL499" s="736" t="s">
        <v>5249</v>
      </c>
      <c r="DM499" s="778">
        <v>0.74854399999999999</v>
      </c>
      <c r="DN499" s="778" t="s">
        <v>24</v>
      </c>
      <c r="DO499" s="778">
        <f>1.49464-Table66[[#This Row],[Data_Outcome4_M]]</f>
        <v>0.74609599999999998</v>
      </c>
      <c r="DP499" s="737" t="s">
        <v>5250</v>
      </c>
      <c r="DQ499" s="372" t="s">
        <v>2555</v>
      </c>
      <c r="DR499" s="1182" t="s">
        <v>5253</v>
      </c>
      <c r="DS499" s="1182" t="s">
        <v>5252</v>
      </c>
      <c r="DT499" s="1180"/>
      <c r="DU499" s="734"/>
      <c r="DV499" s="778"/>
      <c r="DW499" s="734"/>
      <c r="DX499" s="778"/>
      <c r="DY499" s="778"/>
      <c r="DZ499" s="778"/>
      <c r="EA499" s="778"/>
      <c r="EB499" s="1181"/>
      <c r="EC499" s="778"/>
      <c r="ED499" s="778"/>
      <c r="EE499" s="778"/>
      <c r="EF499" s="778"/>
      <c r="EG499" s="778"/>
      <c r="EH499" s="778"/>
      <c r="EI499" s="778"/>
      <c r="EJ499" s="778"/>
      <c r="EK499" s="778"/>
      <c r="EL499" s="1181"/>
      <c r="EM499" s="778"/>
      <c r="EN499" s="1181"/>
      <c r="EO499" s="778"/>
      <c r="EP499" s="778"/>
      <c r="EQ499" s="778"/>
      <c r="ER499" s="778"/>
      <c r="ES499" s="778"/>
      <c r="ET499" s="1180"/>
      <c r="EU499" s="778"/>
      <c r="EV499" s="778"/>
      <c r="EW499" s="778"/>
      <c r="EX499" s="778"/>
      <c r="EY499" s="778"/>
      <c r="EZ499" s="1180"/>
      <c r="FA499" s="778"/>
      <c r="FB499" s="778"/>
      <c r="FC499" s="778"/>
      <c r="FD499" s="1180"/>
      <c r="FE499" s="778"/>
      <c r="FF499" s="778"/>
      <c r="FG499" s="778"/>
      <c r="FH499" s="778"/>
      <c r="FI499" s="778"/>
      <c r="FJ499" s="778"/>
    </row>
    <row r="500" spans="1:166" ht="14" hidden="1" customHeight="1">
      <c r="A500" s="153" t="s">
        <v>999</v>
      </c>
      <c r="B500" s="618">
        <v>186</v>
      </c>
      <c r="C500" s="618">
        <v>65</v>
      </c>
      <c r="D500" s="618"/>
      <c r="E500" s="610" t="s">
        <v>2103</v>
      </c>
      <c r="F500" s="368" t="s">
        <v>2359</v>
      </c>
      <c r="G500" s="369">
        <v>2015</v>
      </c>
      <c r="H500" s="153">
        <v>26066724</v>
      </c>
      <c r="I500" s="153">
        <v>1</v>
      </c>
      <c r="J500" s="370"/>
      <c r="K500" s="371"/>
      <c r="L500" s="153">
        <v>1</v>
      </c>
      <c r="M500" s="153"/>
      <c r="N500" s="153">
        <v>1</v>
      </c>
      <c r="O500" s="153">
        <v>2</v>
      </c>
      <c r="P500" s="153" t="s">
        <v>73</v>
      </c>
      <c r="Q500" s="153" t="s">
        <v>1216</v>
      </c>
      <c r="R500" s="153" t="s">
        <v>1138</v>
      </c>
      <c r="S500" s="153"/>
      <c r="T500" s="153" t="s">
        <v>1495</v>
      </c>
      <c r="U500" s="153" t="s">
        <v>803</v>
      </c>
      <c r="V500" s="153"/>
      <c r="W500" s="153" t="s">
        <v>1511</v>
      </c>
      <c r="X500" s="153"/>
      <c r="Y500" s="153"/>
      <c r="Z500" s="153"/>
      <c r="AA500" s="153"/>
      <c r="AB500" s="153"/>
      <c r="AC500" s="536"/>
      <c r="AD500" s="536">
        <v>1</v>
      </c>
      <c r="AE500" s="536">
        <v>2</v>
      </c>
      <c r="AF500" s="165">
        <v>0</v>
      </c>
      <c r="AG500" s="166" t="s">
        <v>8099</v>
      </c>
      <c r="AH500" s="509"/>
      <c r="AI500" s="120">
        <v>5</v>
      </c>
      <c r="AJ500" s="120"/>
      <c r="AK500" s="206" t="s">
        <v>5297</v>
      </c>
      <c r="AL500" s="372" t="s">
        <v>3099</v>
      </c>
      <c r="AM500" s="207">
        <v>0</v>
      </c>
      <c r="AN500" s="120">
        <f>Table66[[#This Row],[Data_Subjects_n_ptsd]]+Table66[[#This Row],[Data_Subjects_n_control]]</f>
        <v>15</v>
      </c>
      <c r="AO500" s="120">
        <f>(7+8)/2</f>
        <v>7.5</v>
      </c>
      <c r="AP500" s="120">
        <f>(7+8)/2</f>
        <v>7.5</v>
      </c>
      <c r="AQ500" s="120" t="s">
        <v>803</v>
      </c>
      <c r="AR500" s="120" t="s">
        <v>803</v>
      </c>
      <c r="AS500" s="120" t="s">
        <v>5257</v>
      </c>
      <c r="AT500" s="120" t="s">
        <v>24</v>
      </c>
      <c r="AU500" s="120" t="s">
        <v>5257</v>
      </c>
      <c r="AV500" s="120" t="s">
        <v>24</v>
      </c>
      <c r="AW500" s="1569" t="s">
        <v>5265</v>
      </c>
      <c r="AX500" s="1569"/>
      <c r="AY500" s="1569"/>
      <c r="AZ500" s="1108" t="s">
        <v>7650</v>
      </c>
      <c r="BA500" s="120" t="s">
        <v>5259</v>
      </c>
      <c r="BB500" s="120" t="s">
        <v>5259</v>
      </c>
      <c r="BC500" s="120" t="s">
        <v>5266</v>
      </c>
      <c r="BD500" s="755" t="s">
        <v>7525</v>
      </c>
      <c r="BE500" s="755"/>
      <c r="BF500" s="120" t="s">
        <v>5258</v>
      </c>
      <c r="BG500" s="120" t="s">
        <v>5267</v>
      </c>
      <c r="BH500" s="377"/>
      <c r="BI500" s="377"/>
      <c r="BJ500" s="373"/>
      <c r="BK500" s="373"/>
      <c r="BL500" s="373"/>
      <c r="BM500" s="373"/>
      <c r="BN500" s="373"/>
      <c r="BO500" s="373"/>
      <c r="BP500" s="373">
        <v>1</v>
      </c>
      <c r="BQ500" s="373"/>
      <c r="BR500" s="373"/>
      <c r="BS500" s="373"/>
      <c r="BT500" s="373"/>
      <c r="BU500" s="373"/>
      <c r="BV500" s="373"/>
      <c r="BW500" s="599" t="s">
        <v>5271</v>
      </c>
      <c r="BX500" s="374" t="s">
        <v>6612</v>
      </c>
      <c r="BY500" s="799" t="s">
        <v>7617</v>
      </c>
      <c r="BZ500" s="374" t="s">
        <v>803</v>
      </c>
      <c r="CA500" s="511">
        <v>2</v>
      </c>
      <c r="CB500" s="511" t="s">
        <v>7556</v>
      </c>
      <c r="CC500" s="511" t="s">
        <v>7455</v>
      </c>
      <c r="CD500" s="120" t="s">
        <v>1876</v>
      </c>
      <c r="CE500" s="120" t="s">
        <v>5264</v>
      </c>
      <c r="CF500" s="786" t="s">
        <v>7597</v>
      </c>
      <c r="CG500" s="120" t="s">
        <v>7982</v>
      </c>
      <c r="CH500" s="755" t="s">
        <v>1511</v>
      </c>
      <c r="CI500" s="120" t="s">
        <v>5260</v>
      </c>
      <c r="CJ500" s="120"/>
      <c r="CK500" s="120" t="s">
        <v>5279</v>
      </c>
      <c r="CL500" s="120"/>
      <c r="CM500" s="375" t="s">
        <v>5296</v>
      </c>
      <c r="CN500" s="380" t="s">
        <v>24</v>
      </c>
      <c r="CO500" s="380">
        <v>58</v>
      </c>
      <c r="CP500" s="380">
        <v>1</v>
      </c>
      <c r="CQ500" s="380">
        <v>1</v>
      </c>
      <c r="CR500" s="380">
        <v>1</v>
      </c>
      <c r="CS500" s="380">
        <v>-1</v>
      </c>
      <c r="CT500" s="380" t="s">
        <v>7978</v>
      </c>
      <c r="CU500" s="380"/>
      <c r="CV500" s="380"/>
      <c r="CW500" s="380"/>
      <c r="CX500" s="376" t="s">
        <v>5278</v>
      </c>
      <c r="CY500" s="120">
        <v>7.6808899999999998</v>
      </c>
      <c r="CZ500" s="120" t="s">
        <v>24</v>
      </c>
      <c r="DA500" s="120">
        <f>9.36762-Table66[[#This Row],[Data_Outcome1_M]]</f>
        <v>1.6867300000000007</v>
      </c>
      <c r="DB500" s="376" t="s">
        <v>5282</v>
      </c>
      <c r="DC500" s="120">
        <v>7.7250500000000004</v>
      </c>
      <c r="DD500" s="120" t="s">
        <v>24</v>
      </c>
      <c r="DE500" s="120">
        <f>9.84552-Table66[[#This Row],[Data_Outcome2_M]]</f>
        <v>2.1204700000000001</v>
      </c>
      <c r="DF500" s="515" t="s">
        <v>5276</v>
      </c>
      <c r="DG500" s="513" t="s">
        <v>5295</v>
      </c>
      <c r="DH500" s="384"/>
      <c r="DI500" s="384"/>
      <c r="DJ500" s="384"/>
      <c r="DK500" s="384"/>
      <c r="DL500" s="384"/>
      <c r="DM500" s="384"/>
      <c r="DN500" s="384"/>
      <c r="DO500" s="384"/>
      <c r="DP500" s="375"/>
      <c r="DQ500" s="377"/>
      <c r="DR500" s="1182" t="s">
        <v>24</v>
      </c>
      <c r="DS500" s="956" t="s">
        <v>24</v>
      </c>
      <c r="DT500" s="727"/>
      <c r="DU500" s="384"/>
      <c r="DV500" s="384"/>
      <c r="DW500" s="384"/>
      <c r="DX500" s="384"/>
      <c r="DY500" s="384"/>
      <c r="DZ500" s="384"/>
      <c r="EA500" s="384"/>
      <c r="EB500" s="1012"/>
      <c r="EC500" s="384"/>
      <c r="ED500" s="384"/>
      <c r="EE500" s="384"/>
      <c r="EF500" s="384"/>
      <c r="EG500" s="384"/>
      <c r="EH500" s="384"/>
      <c r="EI500" s="384"/>
      <c r="EJ500" s="384"/>
      <c r="EK500" s="384"/>
      <c r="EL500" s="1012"/>
      <c r="EM500" s="384"/>
      <c r="EN500" s="1012" t="s">
        <v>24</v>
      </c>
      <c r="EO500" s="384" t="s">
        <v>24</v>
      </c>
      <c r="EP500" s="384"/>
      <c r="EQ500" s="384"/>
      <c r="ER500" s="384"/>
      <c r="ES500" s="384"/>
      <c r="ET500" s="384"/>
      <c r="EU500" s="384"/>
      <c r="EV500" s="384"/>
      <c r="EW500" s="384"/>
      <c r="EX500" s="384"/>
      <c r="EY500" s="384"/>
      <c r="EZ500" s="384"/>
      <c r="FA500" s="384"/>
      <c r="FB500" s="384"/>
      <c r="FC500" s="384"/>
      <c r="FD500" s="384"/>
      <c r="FE500" s="384"/>
      <c r="FF500" s="384"/>
      <c r="FG500" s="384"/>
      <c r="FH500" s="384"/>
      <c r="FI500" s="384"/>
      <c r="FJ500" s="384" t="s">
        <v>24</v>
      </c>
    </row>
    <row r="501" spans="1:166" ht="15" hidden="1" customHeight="1">
      <c r="A501" s="153" t="s">
        <v>999</v>
      </c>
      <c r="B501" s="618">
        <v>186</v>
      </c>
      <c r="C501" s="618">
        <v>65</v>
      </c>
      <c r="D501" s="618"/>
      <c r="E501" s="610" t="s">
        <v>2103</v>
      </c>
      <c r="F501" s="368" t="s">
        <v>2359</v>
      </c>
      <c r="G501" s="369">
        <v>2015</v>
      </c>
      <c r="H501" s="153">
        <v>26066724</v>
      </c>
      <c r="I501" s="153">
        <v>1</v>
      </c>
      <c r="J501" s="370"/>
      <c r="K501" s="371"/>
      <c r="L501" s="153">
        <v>1</v>
      </c>
      <c r="M501" s="153"/>
      <c r="N501" s="153">
        <v>1</v>
      </c>
      <c r="O501" s="153">
        <v>2</v>
      </c>
      <c r="P501" s="153" t="s">
        <v>73</v>
      </c>
      <c r="Q501" s="153" t="s">
        <v>1216</v>
      </c>
      <c r="R501" s="153" t="s">
        <v>1138</v>
      </c>
      <c r="S501" s="153"/>
      <c r="T501" s="153" t="s">
        <v>1495</v>
      </c>
      <c r="U501" s="153" t="s">
        <v>803</v>
      </c>
      <c r="V501" s="153"/>
      <c r="W501" s="153" t="s">
        <v>1511</v>
      </c>
      <c r="X501" s="153"/>
      <c r="Y501" s="153"/>
      <c r="Z501" s="153"/>
      <c r="AA501" s="153"/>
      <c r="AB501" s="153"/>
      <c r="AC501" s="536"/>
      <c r="AD501" s="536">
        <v>1</v>
      </c>
      <c r="AE501" s="536">
        <v>2</v>
      </c>
      <c r="AF501" s="165">
        <v>0</v>
      </c>
      <c r="AG501" s="166" t="s">
        <v>8099</v>
      </c>
      <c r="AH501" s="509"/>
      <c r="AI501" s="120">
        <v>5</v>
      </c>
      <c r="AJ501" s="120"/>
      <c r="AK501" s="206" t="s">
        <v>5297</v>
      </c>
      <c r="AL501" s="372" t="s">
        <v>3099</v>
      </c>
      <c r="AM501" s="207">
        <v>0</v>
      </c>
      <c r="AN501" s="120">
        <f>Table66[[#This Row],[Data_Subjects_n_ptsd]]+Table66[[#This Row],[Data_Subjects_n_control]]</f>
        <v>15</v>
      </c>
      <c r="AO501" s="120">
        <f>(7+8)/2</f>
        <v>7.5</v>
      </c>
      <c r="AP501" s="120">
        <f>(7+8)/2</f>
        <v>7.5</v>
      </c>
      <c r="AQ501" s="120" t="s">
        <v>803</v>
      </c>
      <c r="AR501" s="120" t="s">
        <v>803</v>
      </c>
      <c r="AS501" s="120" t="s">
        <v>5257</v>
      </c>
      <c r="AT501" s="120" t="s">
        <v>24</v>
      </c>
      <c r="AU501" s="120" t="s">
        <v>5257</v>
      </c>
      <c r="AV501" s="120" t="s">
        <v>24</v>
      </c>
      <c r="AW501" s="1569" t="s">
        <v>5265</v>
      </c>
      <c r="AX501" s="1569"/>
      <c r="AY501" s="1569"/>
      <c r="AZ501" s="1108" t="s">
        <v>7650</v>
      </c>
      <c r="BA501" s="120" t="s">
        <v>5259</v>
      </c>
      <c r="BB501" s="120" t="s">
        <v>5259</v>
      </c>
      <c r="BC501" s="120" t="s">
        <v>5266</v>
      </c>
      <c r="BD501" s="755" t="s">
        <v>7525</v>
      </c>
      <c r="BE501" s="755"/>
      <c r="BF501" s="120" t="s">
        <v>5258</v>
      </c>
      <c r="BG501" s="120" t="s">
        <v>5267</v>
      </c>
      <c r="BH501" s="377"/>
      <c r="BI501" s="377"/>
      <c r="BJ501" s="373"/>
      <c r="BK501" s="373"/>
      <c r="BL501" s="373"/>
      <c r="BM501" s="373"/>
      <c r="BN501" s="373"/>
      <c r="BO501" s="373"/>
      <c r="BP501" s="373">
        <v>1</v>
      </c>
      <c r="BQ501" s="373"/>
      <c r="BR501" s="373"/>
      <c r="BS501" s="373"/>
      <c r="BT501" s="373"/>
      <c r="BU501" s="373"/>
      <c r="BV501" s="373"/>
      <c r="BW501" s="599" t="s">
        <v>5271</v>
      </c>
      <c r="BX501" s="374" t="s">
        <v>6612</v>
      </c>
      <c r="BY501" s="799" t="s">
        <v>7617</v>
      </c>
      <c r="BZ501" s="374" t="s">
        <v>803</v>
      </c>
      <c r="CA501" s="511">
        <v>2</v>
      </c>
      <c r="CB501" s="511" t="s">
        <v>7556</v>
      </c>
      <c r="CC501" s="511" t="s">
        <v>7455</v>
      </c>
      <c r="CD501" s="120" t="s">
        <v>1876</v>
      </c>
      <c r="CE501" s="120" t="s">
        <v>5264</v>
      </c>
      <c r="CF501" s="786" t="s">
        <v>7597</v>
      </c>
      <c r="CG501" s="120" t="s">
        <v>7983</v>
      </c>
      <c r="CH501" s="755" t="s">
        <v>1511</v>
      </c>
      <c r="CI501" s="120" t="s">
        <v>5260</v>
      </c>
      <c r="CJ501" s="120"/>
      <c r="CK501" s="120" t="s">
        <v>5279</v>
      </c>
      <c r="CL501" s="120"/>
      <c r="CM501" s="375" t="s">
        <v>5296</v>
      </c>
      <c r="CN501" s="380" t="s">
        <v>24</v>
      </c>
      <c r="CO501" s="380">
        <v>58</v>
      </c>
      <c r="CP501" s="380">
        <v>1</v>
      </c>
      <c r="CQ501" s="380">
        <v>2</v>
      </c>
      <c r="CR501" s="380">
        <v>1</v>
      </c>
      <c r="CS501" s="380">
        <v>1</v>
      </c>
      <c r="CT501" s="380"/>
      <c r="CU501" s="380"/>
      <c r="CV501" s="380"/>
      <c r="CW501" s="380"/>
      <c r="CX501" s="376" t="s">
        <v>5277</v>
      </c>
      <c r="CY501" s="120">
        <v>13.120100000000001</v>
      </c>
      <c r="CZ501" s="120" t="s">
        <v>24</v>
      </c>
      <c r="DA501" s="120">
        <f>14.9994-Table66[[#This Row],[Data_Outcome1_M]]</f>
        <v>1.8792999999999989</v>
      </c>
      <c r="DB501" s="376" t="s">
        <v>5283</v>
      </c>
      <c r="DC501" s="120">
        <v>13.983700000000001</v>
      </c>
      <c r="DD501" s="120" t="s">
        <v>24</v>
      </c>
      <c r="DE501" s="120">
        <f>16.9711-Table66[[#This Row],[Data_Outcome2_M]]</f>
        <v>2.9873999999999992</v>
      </c>
      <c r="DF501" s="375" t="s">
        <v>5287</v>
      </c>
      <c r="DG501" s="377" t="s">
        <v>5292</v>
      </c>
      <c r="DH501" s="718"/>
      <c r="DI501" s="683"/>
      <c r="DJ501" s="384"/>
      <c r="DK501" s="683"/>
      <c r="DL501" s="727"/>
      <c r="DM501" s="683"/>
      <c r="DN501" s="384"/>
      <c r="DO501" s="815"/>
      <c r="DP501" s="375"/>
      <c r="DQ501" s="379"/>
      <c r="DR501" s="1182"/>
      <c r="DS501" s="956"/>
      <c r="DT501" s="727"/>
      <c r="DU501" s="683"/>
      <c r="DV501" s="384"/>
      <c r="DW501" s="683"/>
      <c r="DX501" s="727"/>
      <c r="DY501" s="683"/>
      <c r="DZ501" s="384"/>
      <c r="EA501" s="683"/>
      <c r="EB501" s="1012"/>
      <c r="EC501" s="384"/>
      <c r="ED501" s="727"/>
      <c r="EE501" s="683"/>
      <c r="EF501" s="384"/>
      <c r="EG501" s="683"/>
      <c r="EH501" s="727"/>
      <c r="EI501" s="683"/>
      <c r="EJ501" s="384"/>
      <c r="EK501" s="683"/>
      <c r="EL501" s="1012"/>
      <c r="EM501" s="384"/>
      <c r="EN501" s="1012"/>
      <c r="EO501" s="384"/>
      <c r="EP501" s="683"/>
      <c r="EQ501" s="683"/>
      <c r="ER501" s="683"/>
      <c r="ES501" s="683"/>
      <c r="ET501" s="683"/>
      <c r="EU501" s="683"/>
      <c r="EV501" s="683"/>
      <c r="EW501" s="683"/>
      <c r="EX501" s="804"/>
      <c r="EY501" s="683"/>
      <c r="EZ501" s="719"/>
      <c r="FA501" s="683"/>
      <c r="FB501" s="683"/>
      <c r="FC501" s="683"/>
      <c r="FD501" s="719"/>
      <c r="FE501" s="683"/>
      <c r="FF501" s="683"/>
      <c r="FG501" s="683"/>
      <c r="FH501" s="683"/>
      <c r="FI501" s="683"/>
      <c r="FJ501" s="384"/>
    </row>
    <row r="502" spans="1:166" ht="15" hidden="1" customHeight="1">
      <c r="A502" s="153" t="s">
        <v>999</v>
      </c>
      <c r="B502" s="618">
        <v>186</v>
      </c>
      <c r="C502" s="618">
        <v>65</v>
      </c>
      <c r="D502" s="618"/>
      <c r="E502" s="610" t="s">
        <v>2103</v>
      </c>
      <c r="F502" s="368" t="s">
        <v>2359</v>
      </c>
      <c r="G502" s="369">
        <v>2015</v>
      </c>
      <c r="H502" s="153">
        <v>26066724</v>
      </c>
      <c r="I502" s="153">
        <v>1</v>
      </c>
      <c r="J502" s="370"/>
      <c r="K502" s="371"/>
      <c r="L502" s="153">
        <v>1</v>
      </c>
      <c r="M502" s="153"/>
      <c r="N502" s="153">
        <v>1</v>
      </c>
      <c r="O502" s="153">
        <v>2</v>
      </c>
      <c r="P502" s="153" t="s">
        <v>73</v>
      </c>
      <c r="Q502" s="153" t="s">
        <v>1216</v>
      </c>
      <c r="R502" s="153" t="s">
        <v>1138</v>
      </c>
      <c r="S502" s="153"/>
      <c r="T502" s="153" t="s">
        <v>1495</v>
      </c>
      <c r="U502" s="153" t="s">
        <v>803</v>
      </c>
      <c r="V502" s="153"/>
      <c r="W502" s="153" t="s">
        <v>1511</v>
      </c>
      <c r="X502" s="153"/>
      <c r="Y502" s="153"/>
      <c r="Z502" s="153"/>
      <c r="AA502" s="153"/>
      <c r="AB502" s="153"/>
      <c r="AC502" s="536"/>
      <c r="AD502" s="536">
        <v>1</v>
      </c>
      <c r="AE502" s="536">
        <v>2</v>
      </c>
      <c r="AF502" s="165">
        <v>0</v>
      </c>
      <c r="AG502" s="166" t="s">
        <v>8099</v>
      </c>
      <c r="AH502" s="509"/>
      <c r="AI502" s="120">
        <v>5</v>
      </c>
      <c r="AJ502" s="120"/>
      <c r="AK502" s="206" t="s">
        <v>5297</v>
      </c>
      <c r="AL502" s="372" t="s">
        <v>3099</v>
      </c>
      <c r="AM502" s="207">
        <v>0</v>
      </c>
      <c r="AN502" s="120">
        <f>Table66[[#This Row],[Data_Subjects_n_ptsd]]+Table66[[#This Row],[Data_Subjects_n_control]]</f>
        <v>15</v>
      </c>
      <c r="AO502" s="120">
        <f>(7+8)/2</f>
        <v>7.5</v>
      </c>
      <c r="AP502" s="120">
        <f>(7+8)/2</f>
        <v>7.5</v>
      </c>
      <c r="AQ502" s="120" t="s">
        <v>803</v>
      </c>
      <c r="AR502" s="120" t="s">
        <v>803</v>
      </c>
      <c r="AS502" s="120" t="s">
        <v>5257</v>
      </c>
      <c r="AT502" s="120" t="s">
        <v>24</v>
      </c>
      <c r="AU502" s="120" t="s">
        <v>5257</v>
      </c>
      <c r="AV502" s="120" t="s">
        <v>24</v>
      </c>
      <c r="AW502" s="1569" t="s">
        <v>5265</v>
      </c>
      <c r="AX502" s="1569"/>
      <c r="AY502" s="1569"/>
      <c r="AZ502" s="1108" t="s">
        <v>7650</v>
      </c>
      <c r="BA502" s="120" t="s">
        <v>5259</v>
      </c>
      <c r="BB502" s="120" t="s">
        <v>5259</v>
      </c>
      <c r="BC502" s="120" t="s">
        <v>5266</v>
      </c>
      <c r="BD502" s="755" t="s">
        <v>7525</v>
      </c>
      <c r="BE502" s="755"/>
      <c r="BF502" s="120" t="s">
        <v>5258</v>
      </c>
      <c r="BG502" s="120" t="s">
        <v>5267</v>
      </c>
      <c r="BH502" s="377"/>
      <c r="BI502" s="377"/>
      <c r="BJ502" s="373"/>
      <c r="BK502" s="373"/>
      <c r="BL502" s="373"/>
      <c r="BM502" s="373"/>
      <c r="BN502" s="373"/>
      <c r="BO502" s="373"/>
      <c r="BP502" s="373">
        <v>1</v>
      </c>
      <c r="BQ502" s="373"/>
      <c r="BR502" s="373"/>
      <c r="BS502" s="373"/>
      <c r="BT502" s="373"/>
      <c r="BU502" s="373"/>
      <c r="BV502" s="373"/>
      <c r="BW502" s="599" t="s">
        <v>5271</v>
      </c>
      <c r="BX502" s="374" t="s">
        <v>6612</v>
      </c>
      <c r="BY502" s="799" t="s">
        <v>7617</v>
      </c>
      <c r="BZ502" s="374" t="s">
        <v>803</v>
      </c>
      <c r="CA502" s="511">
        <v>2</v>
      </c>
      <c r="CB502" s="511" t="s">
        <v>7556</v>
      </c>
      <c r="CC502" s="511" t="s">
        <v>7455</v>
      </c>
      <c r="CD502" s="120" t="s">
        <v>1876</v>
      </c>
      <c r="CE502" s="120" t="s">
        <v>5264</v>
      </c>
      <c r="CF502" s="786" t="s">
        <v>7597</v>
      </c>
      <c r="CG502" s="120" t="s">
        <v>7981</v>
      </c>
      <c r="CH502" s="755" t="s">
        <v>1511</v>
      </c>
      <c r="CI502" s="120" t="s">
        <v>5260</v>
      </c>
      <c r="CJ502" s="120"/>
      <c r="CK502" s="120" t="s">
        <v>5279</v>
      </c>
      <c r="CL502" s="120"/>
      <c r="CM502" s="375" t="s">
        <v>5296</v>
      </c>
      <c r="CN502" s="380" t="s">
        <v>24</v>
      </c>
      <c r="CO502" s="380">
        <v>58</v>
      </c>
      <c r="CP502" s="380">
        <v>2</v>
      </c>
      <c r="CQ502" s="380">
        <v>1</v>
      </c>
      <c r="CR502" s="380">
        <v>1</v>
      </c>
      <c r="CS502" s="380">
        <v>-1</v>
      </c>
      <c r="CT502" s="380"/>
      <c r="CU502" s="380"/>
      <c r="CV502" s="380"/>
      <c r="CW502" s="380"/>
      <c r="CX502" s="376" t="s">
        <v>5280</v>
      </c>
      <c r="CY502" s="120">
        <v>6.9801700000000002</v>
      </c>
      <c r="CZ502" s="120" t="s">
        <v>24</v>
      </c>
      <c r="DA502" s="120">
        <f>8.76312-Table66[[#This Row],[Data_Outcome1_M]]</f>
        <v>1.7829500000000005</v>
      </c>
      <c r="DB502" s="376" t="s">
        <v>5284</v>
      </c>
      <c r="DC502" s="120">
        <v>8.6143400000000003</v>
      </c>
      <c r="DD502" s="120" t="s">
        <v>24</v>
      </c>
      <c r="DE502" s="120">
        <f>11.0238-Table66[[#This Row],[Data_Outcome2_M]]</f>
        <v>2.4094599999999993</v>
      </c>
      <c r="DF502" s="380" t="s">
        <v>5286</v>
      </c>
      <c r="DG502" s="120" t="s">
        <v>5291</v>
      </c>
      <c r="DH502" s="376"/>
      <c r="DI502" s="120"/>
      <c r="DJ502" s="384"/>
      <c r="DK502" s="120"/>
      <c r="DL502" s="727"/>
      <c r="DM502" s="120"/>
      <c r="DN502" s="384"/>
      <c r="DO502" s="120"/>
      <c r="DP502" s="375"/>
      <c r="DQ502" s="377"/>
      <c r="DR502" s="1182"/>
      <c r="DS502" s="956"/>
      <c r="DT502" s="727"/>
      <c r="DU502" s="120"/>
      <c r="DV502" s="384"/>
      <c r="DW502" s="120"/>
      <c r="DX502" s="727"/>
      <c r="DY502" s="120"/>
      <c r="DZ502" s="384"/>
      <c r="EA502" s="120"/>
      <c r="EB502" s="1012"/>
      <c r="EC502" s="384"/>
      <c r="ED502" s="727"/>
      <c r="EE502" s="120"/>
      <c r="EF502" s="384"/>
      <c r="EG502" s="120"/>
      <c r="EH502" s="727"/>
      <c r="EI502" s="120"/>
      <c r="EJ502" s="384"/>
      <c r="EK502" s="120"/>
      <c r="EL502" s="1012"/>
      <c r="EM502" s="384"/>
      <c r="EN502" s="1012"/>
      <c r="EO502" s="384"/>
      <c r="EP502" s="384"/>
      <c r="EQ502" s="384"/>
      <c r="ER502" s="384"/>
      <c r="ES502" s="384"/>
      <c r="ET502" s="384"/>
      <c r="EU502" s="384"/>
      <c r="EV502" s="384"/>
      <c r="EW502" s="384"/>
      <c r="EX502" s="1012"/>
      <c r="EY502" s="384"/>
      <c r="EZ502" s="727"/>
      <c r="FA502" s="384"/>
      <c r="FB502" s="384"/>
      <c r="FC502" s="384"/>
      <c r="FD502" s="727"/>
      <c r="FE502" s="384"/>
      <c r="FF502" s="384"/>
      <c r="FG502" s="384"/>
      <c r="FH502" s="384"/>
      <c r="FI502" s="384"/>
      <c r="FJ502" s="384"/>
    </row>
    <row r="503" spans="1:166" ht="15" hidden="1" customHeight="1">
      <c r="A503" s="153" t="s">
        <v>999</v>
      </c>
      <c r="B503" s="618">
        <v>186</v>
      </c>
      <c r="C503" s="618">
        <v>65</v>
      </c>
      <c r="D503" s="618"/>
      <c r="E503" s="610" t="s">
        <v>2103</v>
      </c>
      <c r="F503" s="368" t="s">
        <v>2359</v>
      </c>
      <c r="G503" s="369">
        <v>2015</v>
      </c>
      <c r="H503" s="153">
        <v>26066724</v>
      </c>
      <c r="I503" s="153">
        <v>1</v>
      </c>
      <c r="J503" s="370"/>
      <c r="K503" s="371"/>
      <c r="L503" s="153">
        <v>1</v>
      </c>
      <c r="M503" s="153"/>
      <c r="N503" s="153">
        <v>1</v>
      </c>
      <c r="O503" s="153">
        <v>2</v>
      </c>
      <c r="P503" s="153" t="s">
        <v>73</v>
      </c>
      <c r="Q503" s="153" t="s">
        <v>1216</v>
      </c>
      <c r="R503" s="153" t="s">
        <v>1138</v>
      </c>
      <c r="S503" s="153"/>
      <c r="T503" s="153" t="s">
        <v>1495</v>
      </c>
      <c r="U503" s="153" t="s">
        <v>803</v>
      </c>
      <c r="V503" s="153"/>
      <c r="W503" s="153" t="s">
        <v>1511</v>
      </c>
      <c r="X503" s="153"/>
      <c r="Y503" s="153"/>
      <c r="Z503" s="153"/>
      <c r="AA503" s="153"/>
      <c r="AB503" s="153"/>
      <c r="AC503" s="536"/>
      <c r="AD503" s="536">
        <v>1</v>
      </c>
      <c r="AE503" s="536">
        <v>2</v>
      </c>
      <c r="AF503" s="165">
        <v>0</v>
      </c>
      <c r="AG503" s="166" t="s">
        <v>8099</v>
      </c>
      <c r="AH503" s="509"/>
      <c r="AI503" s="120">
        <v>5</v>
      </c>
      <c r="AJ503" s="120"/>
      <c r="AK503" s="206" t="s">
        <v>5297</v>
      </c>
      <c r="AL503" s="372" t="s">
        <v>3099</v>
      </c>
      <c r="AM503" s="207">
        <v>0</v>
      </c>
      <c r="AN503" s="120">
        <f>Table66[[#This Row],[Data_Subjects_n_ptsd]]+Table66[[#This Row],[Data_Subjects_n_control]]</f>
        <v>15</v>
      </c>
      <c r="AO503" s="120">
        <f>(7+8)/2</f>
        <v>7.5</v>
      </c>
      <c r="AP503" s="120">
        <f>(7+8)/2</f>
        <v>7.5</v>
      </c>
      <c r="AQ503" s="120" t="s">
        <v>803</v>
      </c>
      <c r="AR503" s="120" t="s">
        <v>803</v>
      </c>
      <c r="AS503" s="120" t="s">
        <v>5257</v>
      </c>
      <c r="AT503" s="120" t="s">
        <v>24</v>
      </c>
      <c r="AU503" s="120" t="s">
        <v>5257</v>
      </c>
      <c r="AV503" s="120" t="s">
        <v>24</v>
      </c>
      <c r="AW503" s="1569" t="s">
        <v>5265</v>
      </c>
      <c r="AX503" s="1569"/>
      <c r="AY503" s="1569"/>
      <c r="AZ503" s="1108" t="s">
        <v>7650</v>
      </c>
      <c r="BA503" s="120" t="s">
        <v>5259</v>
      </c>
      <c r="BB503" s="120" t="s">
        <v>5259</v>
      </c>
      <c r="BC503" s="120" t="s">
        <v>5266</v>
      </c>
      <c r="BD503" s="755" t="s">
        <v>7525</v>
      </c>
      <c r="BE503" s="755"/>
      <c r="BF503" s="120" t="s">
        <v>5258</v>
      </c>
      <c r="BG503" s="120" t="s">
        <v>5267</v>
      </c>
      <c r="BH503" s="377"/>
      <c r="BI503" s="377"/>
      <c r="BJ503" s="373"/>
      <c r="BK503" s="373"/>
      <c r="BL503" s="373"/>
      <c r="BM503" s="373"/>
      <c r="BN503" s="373"/>
      <c r="BO503" s="373"/>
      <c r="BP503" s="373">
        <v>1</v>
      </c>
      <c r="BQ503" s="373"/>
      <c r="BR503" s="373"/>
      <c r="BS503" s="373"/>
      <c r="BT503" s="373"/>
      <c r="BU503" s="373"/>
      <c r="BV503" s="373"/>
      <c r="BW503" s="599" t="s">
        <v>5271</v>
      </c>
      <c r="BX503" s="374" t="s">
        <v>6612</v>
      </c>
      <c r="BY503" s="799" t="s">
        <v>7617</v>
      </c>
      <c r="BZ503" s="374" t="s">
        <v>803</v>
      </c>
      <c r="CA503" s="511">
        <v>2</v>
      </c>
      <c r="CB503" s="511" t="s">
        <v>7556</v>
      </c>
      <c r="CC503" s="511" t="s">
        <v>7455</v>
      </c>
      <c r="CD503" s="120" t="s">
        <v>1876</v>
      </c>
      <c r="CE503" s="120" t="s">
        <v>5264</v>
      </c>
      <c r="CF503" s="786" t="s">
        <v>7597</v>
      </c>
      <c r="CG503" s="120" t="s">
        <v>7981</v>
      </c>
      <c r="CH503" s="755" t="s">
        <v>1511</v>
      </c>
      <c r="CI503" s="120" t="s">
        <v>5260</v>
      </c>
      <c r="CJ503" s="120"/>
      <c r="CK503" s="120" t="s">
        <v>5279</v>
      </c>
      <c r="CL503" s="120"/>
      <c r="CM503" s="375" t="s">
        <v>5296</v>
      </c>
      <c r="CN503" s="380" t="s">
        <v>24</v>
      </c>
      <c r="CO503" s="380">
        <v>58</v>
      </c>
      <c r="CP503" s="380">
        <v>2</v>
      </c>
      <c r="CQ503" s="380">
        <v>2</v>
      </c>
      <c r="CR503" s="380">
        <v>1</v>
      </c>
      <c r="CS503" s="380">
        <v>1</v>
      </c>
      <c r="CT503" s="380"/>
      <c r="CU503" s="380"/>
      <c r="CV503" s="380"/>
      <c r="CW503" s="380"/>
      <c r="CX503" s="376" t="s">
        <v>5281</v>
      </c>
      <c r="CY503" s="120">
        <v>7.55159</v>
      </c>
      <c r="CZ503" s="120" t="s">
        <v>24</v>
      </c>
      <c r="DA503" s="120">
        <f>8.94917-Table66[[#This Row],[Data_Outcome1_M]]</f>
        <v>1.3975800000000005</v>
      </c>
      <c r="DB503" s="376" t="s">
        <v>5285</v>
      </c>
      <c r="DC503" s="120">
        <v>15.4993</v>
      </c>
      <c r="DD503" s="384" t="s">
        <v>24</v>
      </c>
      <c r="DE503" s="120">
        <f>18.8726-Table66[[#This Row],[Data_Outcome2_M]]</f>
        <v>3.3732999999999986</v>
      </c>
      <c r="DF503" s="375" t="s">
        <v>5287</v>
      </c>
      <c r="DG503" s="377" t="s">
        <v>5290</v>
      </c>
      <c r="DH503" s="727"/>
      <c r="DI503" s="384"/>
      <c r="DJ503" s="384"/>
      <c r="DK503" s="384"/>
      <c r="DL503" s="727"/>
      <c r="DM503" s="384"/>
      <c r="DN503" s="384"/>
      <c r="DO503" s="384"/>
      <c r="DP503" s="375"/>
      <c r="DQ503" s="377"/>
      <c r="DR503" s="1182"/>
      <c r="DS503" s="956"/>
      <c r="DT503" s="727"/>
      <c r="DU503" s="384"/>
      <c r="DV503" s="384"/>
      <c r="DW503" s="384"/>
      <c r="DX503" s="727"/>
      <c r="DY503" s="384"/>
      <c r="DZ503" s="384"/>
      <c r="EA503" s="384"/>
      <c r="EB503" s="1012"/>
      <c r="EC503" s="384"/>
      <c r="ED503" s="727"/>
      <c r="EE503" s="384"/>
      <c r="EF503" s="384"/>
      <c r="EG503" s="384"/>
      <c r="EH503" s="727"/>
      <c r="EI503" s="384"/>
      <c r="EJ503" s="384"/>
      <c r="EK503" s="384"/>
      <c r="EL503" s="1012"/>
      <c r="EM503" s="384"/>
      <c r="EN503" s="1012"/>
      <c r="EO503" s="384"/>
      <c r="EP503" s="384"/>
      <c r="EQ503" s="384"/>
      <c r="ER503" s="384"/>
      <c r="ES503" s="384"/>
      <c r="ET503" s="384"/>
      <c r="EU503" s="384"/>
      <c r="EV503" s="384"/>
      <c r="EW503" s="384"/>
      <c r="EX503" s="1012"/>
      <c r="EY503" s="384"/>
      <c r="EZ503" s="727"/>
      <c r="FA503" s="384"/>
      <c r="FB503" s="384"/>
      <c r="FC503" s="384"/>
      <c r="FD503" s="727"/>
      <c r="FE503" s="384"/>
      <c r="FF503" s="384"/>
      <c r="FG503" s="384"/>
      <c r="FH503" s="384"/>
      <c r="FI503" s="384"/>
      <c r="FJ503" s="384"/>
    </row>
    <row r="504" spans="1:166" ht="15" hidden="1" customHeight="1">
      <c r="A504" s="79" t="s">
        <v>1082</v>
      </c>
      <c r="B504" s="362">
        <v>92</v>
      </c>
      <c r="C504" s="362"/>
      <c r="D504" s="362">
        <v>24</v>
      </c>
      <c r="E504" s="604" t="s">
        <v>2061</v>
      </c>
      <c r="F504" s="124" t="s">
        <v>2313</v>
      </c>
      <c r="G504" s="125">
        <v>2013</v>
      </c>
      <c r="H504" s="79">
        <v>23011267</v>
      </c>
      <c r="I504" s="79">
        <v>1</v>
      </c>
      <c r="J504" s="126" t="s">
        <v>1836</v>
      </c>
      <c r="K504" s="127"/>
      <c r="L504" s="79">
        <v>0</v>
      </c>
      <c r="M504" s="79"/>
      <c r="N504" s="79">
        <v>0</v>
      </c>
      <c r="O504" s="128">
        <v>2</v>
      </c>
      <c r="P504" s="79" t="s">
        <v>1275</v>
      </c>
      <c r="Q504" s="79" t="s">
        <v>1162</v>
      </c>
      <c r="R504" s="79" t="s">
        <v>1127</v>
      </c>
      <c r="S504" s="79"/>
      <c r="T504" s="79" t="s">
        <v>1500</v>
      </c>
      <c r="U504" s="79"/>
      <c r="V504" s="79"/>
      <c r="W504" s="79" t="s">
        <v>1275</v>
      </c>
      <c r="X504" s="79" t="s">
        <v>1274</v>
      </c>
      <c r="Y504" s="79"/>
      <c r="Z504" s="79"/>
      <c r="AA504" s="79"/>
      <c r="AB504" s="79" t="s">
        <v>1124</v>
      </c>
      <c r="AC504" s="506" t="s">
        <v>6192</v>
      </c>
      <c r="AD504" s="573">
        <v>1</v>
      </c>
      <c r="AE504" s="573">
        <v>1</v>
      </c>
      <c r="AF504" s="154">
        <v>1</v>
      </c>
      <c r="AG504" s="160" t="s">
        <v>6714</v>
      </c>
      <c r="AH504" s="704"/>
      <c r="AI504" s="121">
        <v>4</v>
      </c>
      <c r="AJ504" s="484"/>
      <c r="AK504" s="202" t="s">
        <v>6715</v>
      </c>
      <c r="AL504" s="192">
        <v>1</v>
      </c>
      <c r="AM504" s="215">
        <v>0</v>
      </c>
      <c r="AN504" s="134">
        <f>Table66[[#This Row],[Data_Subjects_n_ptsd]]+Table66[[#This Row],[Data_Subjects_n_control]]</f>
        <v>29</v>
      </c>
      <c r="AO504" s="134">
        <v>15</v>
      </c>
      <c r="AP504" s="134">
        <v>14</v>
      </c>
      <c r="AQ504" s="134" t="s">
        <v>803</v>
      </c>
      <c r="AR504" s="134" t="s">
        <v>803</v>
      </c>
      <c r="AS504" s="134" t="s">
        <v>7505</v>
      </c>
      <c r="AT504" s="134" t="s">
        <v>24</v>
      </c>
      <c r="AU504" s="134" t="s">
        <v>7505</v>
      </c>
      <c r="AV504" s="134" t="s">
        <v>24</v>
      </c>
      <c r="AW504" s="134" t="s">
        <v>6696</v>
      </c>
      <c r="AX504" s="134">
        <v>1</v>
      </c>
      <c r="AY504" s="134">
        <v>2</v>
      </c>
      <c r="AZ504" s="753" t="s">
        <v>1814</v>
      </c>
      <c r="BA504" s="134">
        <v>1</v>
      </c>
      <c r="BB504" s="134">
        <v>1</v>
      </c>
      <c r="BC504" s="134" t="s">
        <v>6697</v>
      </c>
      <c r="BD504" s="753" t="s">
        <v>7523</v>
      </c>
      <c r="BE504" s="753"/>
      <c r="BF504" s="134" t="s">
        <v>1130</v>
      </c>
      <c r="BG504" s="134" t="s">
        <v>6653</v>
      </c>
      <c r="BH504" s="594" t="s">
        <v>1917</v>
      </c>
      <c r="BI504" s="594" t="s">
        <v>1917</v>
      </c>
      <c r="BJ504" s="156" t="s">
        <v>1917</v>
      </c>
      <c r="BK504" s="156"/>
      <c r="BL504" s="156"/>
      <c r="BM504" s="156"/>
      <c r="BN504" s="156"/>
      <c r="BO504" s="156"/>
      <c r="BP504" s="156">
        <v>1</v>
      </c>
      <c r="BQ504" s="156"/>
      <c r="BR504" s="156"/>
      <c r="BS504" s="156"/>
      <c r="BT504" s="156"/>
      <c r="BU504" s="156"/>
      <c r="BV504" s="156"/>
      <c r="BW504" s="596" t="s">
        <v>6704</v>
      </c>
      <c r="BX504" s="162" t="s">
        <v>6657</v>
      </c>
      <c r="BY504" s="797" t="s">
        <v>7613</v>
      </c>
      <c r="BZ504" s="790" t="s">
        <v>803</v>
      </c>
      <c r="CA504" s="765">
        <v>1</v>
      </c>
      <c r="CB504" s="765" t="s">
        <v>7556</v>
      </c>
      <c r="CC504" s="765" t="s">
        <v>7384</v>
      </c>
      <c r="CD504" s="134" t="s">
        <v>1876</v>
      </c>
      <c r="CE504" s="134" t="s">
        <v>6702</v>
      </c>
      <c r="CF504" s="400" t="s">
        <v>7587</v>
      </c>
      <c r="CG504" s="134" t="s">
        <v>6698</v>
      </c>
      <c r="CH504" s="753" t="s">
        <v>7310</v>
      </c>
      <c r="CI504" s="134" t="s">
        <v>1121</v>
      </c>
      <c r="CJ504" s="134"/>
      <c r="CK504" s="134" t="s">
        <v>6699</v>
      </c>
      <c r="CL504" s="1841" t="s">
        <v>8297</v>
      </c>
      <c r="CM504" s="259" t="s">
        <v>6713</v>
      </c>
      <c r="CN504" s="454" t="s">
        <v>24</v>
      </c>
      <c r="CO504" s="828">
        <v>15</v>
      </c>
      <c r="CP504" s="828">
        <v>1</v>
      </c>
      <c r="CQ504" s="828">
        <v>3</v>
      </c>
      <c r="CR504" s="828">
        <v>1</v>
      </c>
      <c r="CS504" s="828">
        <v>-1</v>
      </c>
      <c r="CT504" s="967"/>
      <c r="CU504" s="1289" t="s">
        <v>8104</v>
      </c>
      <c r="CV504" s="1295">
        <v>71</v>
      </c>
      <c r="CW504" s="1295">
        <v>63</v>
      </c>
      <c r="CX504" s="427" t="s">
        <v>6709</v>
      </c>
      <c r="CY504" s="424">
        <v>8.4834399999999999</v>
      </c>
      <c r="CZ504" s="427" t="s">
        <v>24</v>
      </c>
      <c r="DA504" s="424">
        <f>11.4327-Table66[[#This Row],[Data_Outcome1_M]]</f>
        <v>2.9492600000000007</v>
      </c>
      <c r="DB504" s="427" t="s">
        <v>6710</v>
      </c>
      <c r="DC504" s="134">
        <v>38.808500000000002</v>
      </c>
      <c r="DD504" s="134" t="s">
        <v>24</v>
      </c>
      <c r="DE504" s="134">
        <f>41.2776-Table66[[#This Row],[Data_Outcome2_M]]</f>
        <v>2.4690999999999974</v>
      </c>
      <c r="DF504" s="300" t="s">
        <v>6711</v>
      </c>
      <c r="DG504" s="301" t="s">
        <v>2588</v>
      </c>
      <c r="DH504" s="1276"/>
      <c r="DI504" s="121"/>
      <c r="DJ504" s="1169"/>
      <c r="DK504" s="121"/>
      <c r="DL504" s="1171"/>
      <c r="DM504" s="121"/>
      <c r="DN504" s="1169"/>
      <c r="DO504" s="121"/>
      <c r="DP504" s="434"/>
      <c r="DQ504" s="436"/>
      <c r="DR504" s="280"/>
      <c r="DS504" s="865"/>
      <c r="DT504" s="427"/>
      <c r="DU504" s="424"/>
      <c r="DV504" s="427"/>
      <c r="DW504" s="424"/>
      <c r="DX504" s="427"/>
      <c r="DY504" s="121"/>
      <c r="DZ504" s="1169"/>
      <c r="EA504" s="121"/>
      <c r="EB504" s="304"/>
      <c r="EC504" s="312"/>
      <c r="ED504" s="121"/>
      <c r="EE504" s="121"/>
      <c r="EF504" s="121"/>
      <c r="EG504" s="121"/>
      <c r="EH504" s="121"/>
      <c r="EI504" s="121"/>
      <c r="EJ504" s="1169"/>
      <c r="EK504" s="121"/>
      <c r="EL504" s="304"/>
      <c r="EM504" s="312"/>
      <c r="EN504" s="276"/>
      <c r="EO504" s="277"/>
      <c r="EP504" s="121"/>
      <c r="EQ504" s="121"/>
      <c r="ER504" s="121"/>
      <c r="ES504" s="121"/>
      <c r="ET504" s="1276"/>
      <c r="EU504" s="121"/>
      <c r="EV504" s="121"/>
      <c r="EW504" s="121"/>
      <c r="EX504" s="301"/>
      <c r="EY504" s="301"/>
      <c r="EZ504" s="1276"/>
      <c r="FA504" s="121"/>
      <c r="FB504" s="121"/>
      <c r="FC504" s="121"/>
      <c r="FD504" s="1276"/>
      <c r="FE504" s="121"/>
      <c r="FF504" s="121"/>
      <c r="FG504" s="121"/>
      <c r="FH504" s="301"/>
      <c r="FI504" s="301"/>
      <c r="FJ504" s="277"/>
    </row>
    <row r="505" spans="1:166" s="1057" customFormat="1" ht="15" hidden="1" customHeight="1">
      <c r="A505" s="79" t="s">
        <v>943</v>
      </c>
      <c r="B505" s="362">
        <v>264</v>
      </c>
      <c r="C505" s="362"/>
      <c r="D505" s="362">
        <v>113</v>
      </c>
      <c r="E505" s="604" t="s">
        <v>2132</v>
      </c>
      <c r="F505" s="124" t="s">
        <v>2396</v>
      </c>
      <c r="G505" s="125">
        <v>2008</v>
      </c>
      <c r="H505" s="79">
        <v>18534828</v>
      </c>
      <c r="I505" s="79">
        <v>1</v>
      </c>
      <c r="J505" s="126" t="s">
        <v>1803</v>
      </c>
      <c r="K505" s="127"/>
      <c r="L505" s="79">
        <v>0</v>
      </c>
      <c r="M505" s="79"/>
      <c r="N505" s="79">
        <v>0</v>
      </c>
      <c r="O505" s="128">
        <v>2</v>
      </c>
      <c r="P505" s="79" t="s">
        <v>1421</v>
      </c>
      <c r="Q505" s="79"/>
      <c r="R505" s="79" t="s">
        <v>1130</v>
      </c>
      <c r="S505" s="79"/>
      <c r="T505" s="79" t="s">
        <v>1495</v>
      </c>
      <c r="U505" s="79"/>
      <c r="V505" s="79"/>
      <c r="W505" s="79" t="s">
        <v>1646</v>
      </c>
      <c r="X505" s="79"/>
      <c r="Y505" s="79"/>
      <c r="Z505" s="79"/>
      <c r="AA505" s="79" t="s">
        <v>1645</v>
      </c>
      <c r="AB505" s="79" t="s">
        <v>1260</v>
      </c>
      <c r="AC505" s="506" t="s">
        <v>6333</v>
      </c>
      <c r="AD505" s="573">
        <v>1</v>
      </c>
      <c r="AE505" s="573">
        <v>1</v>
      </c>
      <c r="AF505" s="154">
        <v>1</v>
      </c>
      <c r="AG505" s="155" t="s">
        <v>6832</v>
      </c>
      <c r="AH505" s="704"/>
      <c r="AI505" s="121">
        <v>4</v>
      </c>
      <c r="AJ505" s="484"/>
      <c r="AK505" s="202" t="s">
        <v>7180</v>
      </c>
      <c r="AL505" s="192" t="s">
        <v>7179</v>
      </c>
      <c r="AM505" s="203">
        <v>1</v>
      </c>
      <c r="AN505" s="121">
        <f>Table66[[#This Row],[Data_Subjects_n_ptsd]]+Table66[[#This Row],[Data_Subjects_n_control]]</f>
        <v>24</v>
      </c>
      <c r="AO505" s="121">
        <v>12</v>
      </c>
      <c r="AP505" s="121">
        <v>12</v>
      </c>
      <c r="AQ505" s="121" t="s">
        <v>803</v>
      </c>
      <c r="AR505" s="121" t="s">
        <v>803</v>
      </c>
      <c r="AS505" s="121" t="s">
        <v>2687</v>
      </c>
      <c r="AT505" s="121" t="s">
        <v>24</v>
      </c>
      <c r="AU505" s="121" t="s">
        <v>2687</v>
      </c>
      <c r="AV505" s="121" t="s">
        <v>24</v>
      </c>
      <c r="AW505" s="121" t="s">
        <v>7174</v>
      </c>
      <c r="AX505" s="121"/>
      <c r="AY505" s="121"/>
      <c r="AZ505" s="754" t="s">
        <v>7317</v>
      </c>
      <c r="BA505" s="121">
        <v>1</v>
      </c>
      <c r="BB505" s="121">
        <v>1</v>
      </c>
      <c r="BC505" s="121" t="s">
        <v>7175</v>
      </c>
      <c r="BD505" s="754" t="s">
        <v>7523</v>
      </c>
      <c r="BE505" s="754"/>
      <c r="BF505" s="121" t="s">
        <v>1130</v>
      </c>
      <c r="BG505" s="121" t="s">
        <v>6653</v>
      </c>
      <c r="BH505" s="594">
        <v>1</v>
      </c>
      <c r="BI505" s="594"/>
      <c r="BJ505" s="156">
        <v>1</v>
      </c>
      <c r="BK505" s="156"/>
      <c r="BL505" s="156"/>
      <c r="BM505" s="156"/>
      <c r="BN505" s="156"/>
      <c r="BO505" s="156"/>
      <c r="BP505" s="156">
        <v>1</v>
      </c>
      <c r="BQ505" s="156"/>
      <c r="BR505" s="156"/>
      <c r="BS505" s="156"/>
      <c r="BT505" s="156"/>
      <c r="BU505" s="156"/>
      <c r="BV505" s="156"/>
      <c r="BW505" s="595" t="s">
        <v>7177</v>
      </c>
      <c r="BX505" s="157" t="s">
        <v>6657</v>
      </c>
      <c r="BY505" s="797" t="s">
        <v>7613</v>
      </c>
      <c r="BZ505" s="789" t="s">
        <v>803</v>
      </c>
      <c r="CA505" s="765">
        <v>1</v>
      </c>
      <c r="CB505" s="765" t="s">
        <v>7556</v>
      </c>
      <c r="CC505" s="765" t="s">
        <v>7384</v>
      </c>
      <c r="CD505" s="134" t="s">
        <v>1876</v>
      </c>
      <c r="CE505" s="134" t="s">
        <v>7178</v>
      </c>
      <c r="CF505" s="400" t="s">
        <v>7585</v>
      </c>
      <c r="CG505" s="134" t="s">
        <v>3982</v>
      </c>
      <c r="CH505" s="753" t="s">
        <v>7310</v>
      </c>
      <c r="CI505" s="134" t="s">
        <v>1121</v>
      </c>
      <c r="CJ505" s="134"/>
      <c r="CK505" s="134" t="s">
        <v>7176</v>
      </c>
      <c r="CL505" s="150" t="s">
        <v>8282</v>
      </c>
      <c r="CM505" s="259" t="s">
        <v>7185</v>
      </c>
      <c r="CN505" s="454" t="s">
        <v>6627</v>
      </c>
      <c r="CO505" s="828">
        <v>91</v>
      </c>
      <c r="CP505" s="828">
        <v>1</v>
      </c>
      <c r="CQ505" s="828">
        <v>1</v>
      </c>
      <c r="CR505" s="828">
        <v>0</v>
      </c>
      <c r="CS505" s="828">
        <v>1</v>
      </c>
      <c r="CT505" s="967"/>
      <c r="CU505" s="1289" t="s">
        <v>8104</v>
      </c>
      <c r="CV505" s="1295">
        <v>138</v>
      </c>
      <c r="CW505" s="1295">
        <v>129</v>
      </c>
      <c r="CX505" s="138" t="s">
        <v>7187</v>
      </c>
      <c r="CY505" s="134">
        <v>62.907400000000003</v>
      </c>
      <c r="CZ505" s="134" t="s">
        <v>24</v>
      </c>
      <c r="DA505" s="134">
        <f>67.7597-Table66[[#This Row],[Data_Outcome1_M]]</f>
        <v>4.8522999999999925</v>
      </c>
      <c r="DB505" s="138" t="s">
        <v>7188</v>
      </c>
      <c r="DC505" s="134">
        <v>10.3032</v>
      </c>
      <c r="DD505" s="134" t="s">
        <v>24</v>
      </c>
      <c r="DE505" s="134">
        <f>11.6049-Table66[[#This Row],[Data_Outcome2_M]]</f>
        <v>1.3017000000000003</v>
      </c>
      <c r="DF505" s="549" t="s">
        <v>7183</v>
      </c>
      <c r="DG505" s="551" t="s">
        <v>2483</v>
      </c>
      <c r="DH505" s="526" t="s">
        <v>24</v>
      </c>
      <c r="DI505" s="526" t="s">
        <v>24</v>
      </c>
      <c r="DJ505" s="1164" t="s">
        <v>24</v>
      </c>
      <c r="DK505" s="122" t="s">
        <v>24</v>
      </c>
      <c r="DL505" s="1164" t="s">
        <v>24</v>
      </c>
      <c r="DM505" s="122" t="s">
        <v>24</v>
      </c>
      <c r="DN505" s="1164" t="s">
        <v>24</v>
      </c>
      <c r="DO505" s="122" t="s">
        <v>24</v>
      </c>
      <c r="DP505" s="288"/>
      <c r="DQ505" s="289"/>
      <c r="DR505" s="1168"/>
      <c r="DS505" s="865"/>
      <c r="DT505" s="1171"/>
      <c r="DU505" s="121"/>
      <c r="DV505" s="1169"/>
      <c r="DW505" s="121"/>
      <c r="DX505" s="1169"/>
      <c r="DY505" s="121"/>
      <c r="DZ505" s="1169"/>
      <c r="EA505" s="121"/>
      <c r="EB505" s="304"/>
      <c r="EC505" s="312"/>
      <c r="ED505" s="1169"/>
      <c r="EE505" s="121"/>
      <c r="EF505" s="1169"/>
      <c r="EG505" s="121"/>
      <c r="EH505" s="1169"/>
      <c r="EI505" s="121"/>
      <c r="EJ505" s="1169"/>
      <c r="EK505" s="121"/>
      <c r="EL505" s="304"/>
      <c r="EM505" s="312"/>
      <c r="EN505" s="309"/>
      <c r="EO505" s="1170"/>
      <c r="EP505" s="121"/>
      <c r="EQ505" s="121"/>
      <c r="ER505" s="121"/>
      <c r="ES505" s="121"/>
      <c r="ET505" s="1276"/>
      <c r="EU505" s="121"/>
      <c r="EV505" s="121"/>
      <c r="EW505" s="121"/>
      <c r="EX505" s="301"/>
      <c r="EY505" s="301"/>
      <c r="EZ505" s="1171"/>
      <c r="FA505" s="1169"/>
      <c r="FB505" s="1169"/>
      <c r="FC505" s="1169"/>
      <c r="FD505" s="1171"/>
      <c r="FE505" s="1169"/>
      <c r="FF505" s="1169"/>
      <c r="FG505" s="1169"/>
      <c r="FH505" s="312"/>
      <c r="FI505" s="312"/>
      <c r="FJ505" s="1170"/>
    </row>
    <row r="506" spans="1:166" s="1057" customFormat="1" ht="15" hidden="1" customHeight="1">
      <c r="A506" s="153" t="s">
        <v>1001</v>
      </c>
      <c r="B506" s="618">
        <v>37</v>
      </c>
      <c r="C506" s="618"/>
      <c r="D506" s="618"/>
      <c r="E506" s="610" t="s">
        <v>2103</v>
      </c>
      <c r="F506" s="368" t="s">
        <v>2360</v>
      </c>
      <c r="G506" s="369">
        <v>2011</v>
      </c>
      <c r="H506" s="153">
        <v>21377492</v>
      </c>
      <c r="I506" s="153">
        <v>1</v>
      </c>
      <c r="J506" s="370">
        <v>1</v>
      </c>
      <c r="K506" s="371"/>
      <c r="L506" s="153">
        <v>1</v>
      </c>
      <c r="M506" s="153"/>
      <c r="N506" s="153">
        <v>1</v>
      </c>
      <c r="O506" s="153">
        <v>2</v>
      </c>
      <c r="P506" s="153" t="s">
        <v>1303</v>
      </c>
      <c r="Q506" s="153" t="s">
        <v>1212</v>
      </c>
      <c r="R506" s="153" t="s">
        <v>1468</v>
      </c>
      <c r="S506" s="153"/>
      <c r="T506" s="153" t="s">
        <v>1498</v>
      </c>
      <c r="U506" s="153" t="s">
        <v>803</v>
      </c>
      <c r="V506" s="153"/>
      <c r="W506" s="153" t="s">
        <v>1469</v>
      </c>
      <c r="X506" s="153" t="s">
        <v>436</v>
      </c>
      <c r="Y506" s="153"/>
      <c r="Z506" s="153"/>
      <c r="AA506" s="153"/>
      <c r="AB506" s="153"/>
      <c r="AC506" s="536"/>
      <c r="AD506" s="536">
        <v>1</v>
      </c>
      <c r="AE506" s="536">
        <v>2</v>
      </c>
      <c r="AF506" s="165">
        <v>0</v>
      </c>
      <c r="AG506" s="166" t="s">
        <v>7842</v>
      </c>
      <c r="AH506" s="509" t="s">
        <v>7194</v>
      </c>
      <c r="AI506" s="120">
        <v>5</v>
      </c>
      <c r="AJ506" s="120"/>
      <c r="AK506" s="206" t="s">
        <v>3366</v>
      </c>
      <c r="AL506" s="372">
        <v>2</v>
      </c>
      <c r="AM506" s="207">
        <v>0</v>
      </c>
      <c r="AN506" s="120">
        <f>Table66[[#This Row],[Data_Subjects_n_ptsd]]+Table66[[#This Row],[Data_Subjects_n_control]]</f>
        <v>13</v>
      </c>
      <c r="AO506" s="120">
        <v>7</v>
      </c>
      <c r="AP506" s="120">
        <v>6</v>
      </c>
      <c r="AQ506" s="120" t="s">
        <v>803</v>
      </c>
      <c r="AR506" s="120" t="s">
        <v>803</v>
      </c>
      <c r="AS506" s="806" t="s">
        <v>7495</v>
      </c>
      <c r="AT506" s="120" t="s">
        <v>24</v>
      </c>
      <c r="AU506" s="806" t="s">
        <v>7495</v>
      </c>
      <c r="AV506" s="120" t="s">
        <v>24</v>
      </c>
      <c r="AW506" s="120" t="s">
        <v>3349</v>
      </c>
      <c r="AX506" s="120">
        <v>1</v>
      </c>
      <c r="AY506" s="120">
        <v>1.5</v>
      </c>
      <c r="AZ506" s="755" t="s">
        <v>1814</v>
      </c>
      <c r="BA506" s="120">
        <v>1</v>
      </c>
      <c r="BB506" s="120" t="s">
        <v>3347</v>
      </c>
      <c r="BC506" s="120" t="s">
        <v>2975</v>
      </c>
      <c r="BD506" s="755" t="s">
        <v>7523</v>
      </c>
      <c r="BE506" s="755"/>
      <c r="BF506" s="120" t="s">
        <v>1468</v>
      </c>
      <c r="BG506" s="120" t="s">
        <v>3279</v>
      </c>
      <c r="BH506" s="377"/>
      <c r="BI506" s="377"/>
      <c r="BJ506" s="373">
        <v>1</v>
      </c>
      <c r="BK506" s="373">
        <v>1</v>
      </c>
      <c r="BL506" s="373"/>
      <c r="BM506" s="373"/>
      <c r="BN506" s="373"/>
      <c r="BO506" s="373"/>
      <c r="BP506" s="373">
        <v>1</v>
      </c>
      <c r="BQ506" s="373"/>
      <c r="BR506" s="373"/>
      <c r="BS506" s="373"/>
      <c r="BT506" s="373"/>
      <c r="BU506" s="373"/>
      <c r="BV506" s="373"/>
      <c r="BW506" s="599" t="s">
        <v>7193</v>
      </c>
      <c r="BX506" s="374" t="s">
        <v>6657</v>
      </c>
      <c r="BY506" s="799" t="s">
        <v>7613</v>
      </c>
      <c r="BZ506" s="374" t="s">
        <v>803</v>
      </c>
      <c r="CA506" s="511">
        <v>1</v>
      </c>
      <c r="CB506" s="511" t="s">
        <v>7556</v>
      </c>
      <c r="CC506" s="511" t="s">
        <v>7380</v>
      </c>
      <c r="CD506" s="120" t="s">
        <v>1876</v>
      </c>
      <c r="CE506" s="120" t="s">
        <v>3369</v>
      </c>
      <c r="CF506" s="786" t="s">
        <v>7584</v>
      </c>
      <c r="CG506" s="120" t="s">
        <v>3351</v>
      </c>
      <c r="CH506" s="779" t="s">
        <v>1511</v>
      </c>
      <c r="CI506" s="120" t="s">
        <v>2606</v>
      </c>
      <c r="CJ506" s="120"/>
      <c r="CK506" s="120" t="s">
        <v>3350</v>
      </c>
      <c r="CL506" s="120" t="s">
        <v>6646</v>
      </c>
      <c r="CM506" s="375" t="s">
        <v>3462</v>
      </c>
      <c r="CN506" s="380" t="s">
        <v>6627</v>
      </c>
      <c r="CO506" s="380"/>
      <c r="CP506" s="380"/>
      <c r="CQ506" s="380"/>
      <c r="CR506" s="380"/>
      <c r="CS506" s="380"/>
      <c r="CT506" s="380"/>
      <c r="CU506" s="380"/>
      <c r="CV506" s="380"/>
      <c r="CW506" s="380"/>
      <c r="CX506" s="376" t="s">
        <v>3370</v>
      </c>
      <c r="CY506" s="1570">
        <v>8.0335000000000001</v>
      </c>
      <c r="CZ506" s="120" t="s">
        <v>24</v>
      </c>
      <c r="DA506" s="120">
        <f>11.1504-Table66[[#This Row],[Data_Outcome1_M]]</f>
        <v>3.1168999999999993</v>
      </c>
      <c r="DB506" s="376" t="s">
        <v>3378</v>
      </c>
      <c r="DC506" s="120">
        <v>62.875700000000002</v>
      </c>
      <c r="DD506" s="120" t="s">
        <v>24</v>
      </c>
      <c r="DE506" s="120">
        <f>81.5773-Table66[[#This Row],[Data_Outcome2_M]]</f>
        <v>18.701599999999992</v>
      </c>
      <c r="DF506" s="621" t="s">
        <v>3386</v>
      </c>
      <c r="DG506" s="509" t="s">
        <v>2588</v>
      </c>
      <c r="DH506" s="376"/>
      <c r="DI506" s="120"/>
      <c r="DJ506" s="120"/>
      <c r="DK506" s="120"/>
      <c r="DL506" s="376"/>
      <c r="DM506" s="120"/>
      <c r="DN506" s="120"/>
      <c r="DO506" s="120"/>
      <c r="DP506" s="375"/>
      <c r="DQ506" s="377"/>
      <c r="DR506" s="1182"/>
      <c r="DS506" s="956"/>
      <c r="DT506" s="727"/>
      <c r="DU506" s="384"/>
      <c r="DV506" s="384"/>
      <c r="DW506" s="384"/>
      <c r="DX506" s="384"/>
      <c r="DY506" s="384"/>
      <c r="DZ506" s="384"/>
      <c r="EA506" s="384"/>
      <c r="EB506" s="1012"/>
      <c r="EC506" s="384"/>
      <c r="ED506" s="384"/>
      <c r="EE506" s="384"/>
      <c r="EF506" s="384"/>
      <c r="EG506" s="384"/>
      <c r="EH506" s="384"/>
      <c r="EI506" s="384"/>
      <c r="EJ506" s="384"/>
      <c r="EK506" s="384"/>
      <c r="EL506" s="1012"/>
      <c r="EM506" s="384"/>
      <c r="EN506" s="1012"/>
      <c r="EO506" s="384"/>
      <c r="EP506" s="384"/>
      <c r="EQ506" s="384"/>
      <c r="ER506" s="384"/>
      <c r="ES506" s="384"/>
      <c r="ET506" s="727"/>
      <c r="EU506" s="384"/>
      <c r="EV506" s="384"/>
      <c r="EW506" s="384"/>
      <c r="EX506" s="384"/>
      <c r="EY506" s="384"/>
      <c r="EZ506" s="727"/>
      <c r="FA506" s="384"/>
      <c r="FB506" s="384"/>
      <c r="FC506" s="384"/>
      <c r="FD506" s="727"/>
      <c r="FE506" s="384"/>
      <c r="FF506" s="384"/>
      <c r="FG506" s="384"/>
      <c r="FH506" s="384"/>
      <c r="FI506" s="384"/>
      <c r="FJ506" s="384"/>
    </row>
    <row r="507" spans="1:166" ht="14" hidden="1" customHeight="1">
      <c r="A507" s="1571" t="s">
        <v>1001</v>
      </c>
      <c r="B507" s="618">
        <v>37</v>
      </c>
      <c r="C507" s="618"/>
      <c r="D507" s="618"/>
      <c r="E507" s="1572" t="s">
        <v>2103</v>
      </c>
      <c r="F507" s="1573" t="s">
        <v>2360</v>
      </c>
      <c r="G507" s="1574">
        <v>2011</v>
      </c>
      <c r="H507" s="1571">
        <v>21377492</v>
      </c>
      <c r="I507" s="1571">
        <v>1</v>
      </c>
      <c r="J507" s="1571">
        <v>1</v>
      </c>
      <c r="K507" s="1571"/>
      <c r="L507" s="1571">
        <v>1</v>
      </c>
      <c r="M507" s="1571"/>
      <c r="N507" s="1571">
        <v>1</v>
      </c>
      <c r="O507" s="1571">
        <v>2</v>
      </c>
      <c r="P507" s="1571" t="s">
        <v>1303</v>
      </c>
      <c r="Q507" s="1571" t="s">
        <v>1212</v>
      </c>
      <c r="R507" s="1571" t="s">
        <v>1468</v>
      </c>
      <c r="S507" s="1571"/>
      <c r="T507" s="1571" t="s">
        <v>1498</v>
      </c>
      <c r="U507" s="1571" t="s">
        <v>803</v>
      </c>
      <c r="V507" s="1571"/>
      <c r="W507" s="1571" t="s">
        <v>1469</v>
      </c>
      <c r="X507" s="1571" t="s">
        <v>436</v>
      </c>
      <c r="Y507" s="1571"/>
      <c r="Z507" s="1571"/>
      <c r="AA507" s="1571"/>
      <c r="AB507" s="1571"/>
      <c r="AC507" s="1575"/>
      <c r="AD507" s="536">
        <v>1</v>
      </c>
      <c r="AE507" s="536">
        <v>2</v>
      </c>
      <c r="AF507" s="165">
        <v>0</v>
      </c>
      <c r="AG507" s="166" t="s">
        <v>7842</v>
      </c>
      <c r="AH507" s="509" t="s">
        <v>7194</v>
      </c>
      <c r="AI507" s="806">
        <v>5</v>
      </c>
      <c r="AJ507" s="806"/>
      <c r="AK507" s="206" t="s">
        <v>3366</v>
      </c>
      <c r="AL507" s="372">
        <v>2</v>
      </c>
      <c r="AM507" s="207">
        <v>0</v>
      </c>
      <c r="AN507" s="120">
        <f>Table66[[#This Row],[Data_Subjects_n_ptsd]]+Table66[[#This Row],[Data_Subjects_n_control]]</f>
        <v>13</v>
      </c>
      <c r="AO507" s="806">
        <v>7</v>
      </c>
      <c r="AP507" s="806">
        <v>6</v>
      </c>
      <c r="AQ507" s="806" t="s">
        <v>803</v>
      </c>
      <c r="AR507" s="806" t="s">
        <v>803</v>
      </c>
      <c r="AS507" s="806" t="s">
        <v>7495</v>
      </c>
      <c r="AT507" s="806" t="s">
        <v>24</v>
      </c>
      <c r="AU507" s="806" t="s">
        <v>7495</v>
      </c>
      <c r="AV507" s="806" t="s">
        <v>24</v>
      </c>
      <c r="AW507" s="806" t="s">
        <v>3349</v>
      </c>
      <c r="AX507" s="120">
        <v>1</v>
      </c>
      <c r="AY507" s="120">
        <v>1.5</v>
      </c>
      <c r="AZ507" s="755" t="s">
        <v>1814</v>
      </c>
      <c r="BA507" s="806">
        <v>1</v>
      </c>
      <c r="BB507" s="806" t="s">
        <v>3347</v>
      </c>
      <c r="BC507" s="806" t="s">
        <v>2975</v>
      </c>
      <c r="BD507" s="755" t="s">
        <v>7523</v>
      </c>
      <c r="BE507" s="755"/>
      <c r="BF507" s="806" t="s">
        <v>1468</v>
      </c>
      <c r="BG507" s="806" t="s">
        <v>3279</v>
      </c>
      <c r="BH507" s="1576"/>
      <c r="BI507" s="1576"/>
      <c r="BJ507" s="1577">
        <v>1</v>
      </c>
      <c r="BK507" s="373">
        <v>1</v>
      </c>
      <c r="BL507" s="1577"/>
      <c r="BM507" s="1577"/>
      <c r="BN507" s="1577"/>
      <c r="BO507" s="1577"/>
      <c r="BP507" s="373">
        <v>1</v>
      </c>
      <c r="BQ507" s="1577"/>
      <c r="BR507" s="1577"/>
      <c r="BS507" s="1577"/>
      <c r="BT507" s="1577"/>
      <c r="BU507" s="1577"/>
      <c r="BV507" s="1577"/>
      <c r="BW507" s="1577" t="s">
        <v>7576</v>
      </c>
      <c r="BX507" s="374" t="s">
        <v>6612</v>
      </c>
      <c r="BY507" s="799" t="s">
        <v>7617</v>
      </c>
      <c r="BZ507" s="374" t="s">
        <v>803</v>
      </c>
      <c r="CA507" s="511">
        <v>2</v>
      </c>
      <c r="CB507" s="511" t="s">
        <v>7556</v>
      </c>
      <c r="CC507" s="511" t="s">
        <v>7455</v>
      </c>
      <c r="CD507" s="806" t="s">
        <v>1876</v>
      </c>
      <c r="CE507" s="806">
        <v>2</v>
      </c>
      <c r="CF507" s="786" t="s">
        <v>7584</v>
      </c>
      <c r="CG507" s="120" t="s">
        <v>3362</v>
      </c>
      <c r="CH507" s="779" t="s">
        <v>1511</v>
      </c>
      <c r="CI507" s="806" t="s">
        <v>2606</v>
      </c>
      <c r="CJ507" s="806">
        <v>0</v>
      </c>
      <c r="CK507" s="806" t="s">
        <v>3350</v>
      </c>
      <c r="CL507" s="120" t="s">
        <v>6646</v>
      </c>
      <c r="CM507" s="375" t="s">
        <v>3394</v>
      </c>
      <c r="CN507" s="380" t="s">
        <v>6627</v>
      </c>
      <c r="CO507" s="380"/>
      <c r="CP507" s="380"/>
      <c r="CQ507" s="380"/>
      <c r="CR507" s="380"/>
      <c r="CS507" s="380"/>
      <c r="CT507" s="380"/>
      <c r="CU507" s="380"/>
      <c r="CV507" s="380"/>
      <c r="CW507" s="380"/>
      <c r="CX507" s="376" t="s">
        <v>3374</v>
      </c>
      <c r="CY507" s="806">
        <v>38.189599999999999</v>
      </c>
      <c r="CZ507" s="806" t="s">
        <v>24</v>
      </c>
      <c r="DA507" s="806">
        <f>51.6039-Table66[[#This Row],[Data_Outcome1_M]]</f>
        <v>13.414300000000004</v>
      </c>
      <c r="DB507" s="376" t="s">
        <v>3379</v>
      </c>
      <c r="DC507" s="806">
        <v>31.002400000000002</v>
      </c>
      <c r="DD507" s="806" t="s">
        <v>24</v>
      </c>
      <c r="DE507" s="806">
        <f>43.4809-Table66[[#This Row],[Data_Outcome2_M]]</f>
        <v>12.478499999999997</v>
      </c>
      <c r="DF507" s="515" t="s">
        <v>3390</v>
      </c>
      <c r="DG507" s="513"/>
      <c r="DH507" s="1578" t="s">
        <v>24</v>
      </c>
      <c r="DI507" s="806"/>
      <c r="DJ507" s="806"/>
      <c r="DK507" s="806"/>
      <c r="DL507" s="1578"/>
      <c r="DM507" s="806"/>
      <c r="DN507" s="806"/>
      <c r="DO507" s="806"/>
      <c r="DP507" s="1579"/>
      <c r="DQ507" s="1576"/>
      <c r="DR507" s="1182"/>
      <c r="DS507" s="956"/>
      <c r="DT507" s="1580"/>
      <c r="DU507" s="1581"/>
      <c r="DV507" s="1581"/>
      <c r="DW507" s="1581"/>
      <c r="DX507" s="1581"/>
      <c r="DY507" s="1581"/>
      <c r="DZ507" s="1581"/>
      <c r="EA507" s="1581"/>
      <c r="EB507" s="1582"/>
      <c r="EC507" s="1581"/>
      <c r="ED507" s="1581"/>
      <c r="EE507" s="1581"/>
      <c r="EF507" s="1581"/>
      <c r="EG507" s="1581"/>
      <c r="EH507" s="1581"/>
      <c r="EI507" s="1581"/>
      <c r="EJ507" s="1581"/>
      <c r="EK507" s="1581"/>
      <c r="EL507" s="1582"/>
      <c r="EM507" s="1581"/>
      <c r="EN507" s="1582"/>
      <c r="EO507" s="1581"/>
      <c r="EP507" s="1581"/>
      <c r="EQ507" s="1581"/>
      <c r="ER507" s="1581"/>
      <c r="ES507" s="1581"/>
      <c r="ET507" s="1580"/>
      <c r="EU507" s="1581"/>
      <c r="EV507" s="1581"/>
      <c r="EW507" s="1581"/>
      <c r="EX507" s="1581"/>
      <c r="EY507" s="1581"/>
      <c r="EZ507" s="1580"/>
      <c r="FA507" s="1581"/>
      <c r="FB507" s="1581"/>
      <c r="FC507" s="1581"/>
      <c r="FD507" s="1580"/>
      <c r="FE507" s="1581"/>
      <c r="FF507" s="1581"/>
      <c r="FG507" s="1581"/>
      <c r="FH507" s="1581"/>
      <c r="FI507" s="1581"/>
      <c r="FJ507" s="1581"/>
    </row>
    <row r="508" spans="1:166" ht="14" hidden="1" customHeight="1">
      <c r="A508" s="118" t="s">
        <v>943</v>
      </c>
      <c r="B508" s="616">
        <v>264</v>
      </c>
      <c r="C508" s="616"/>
      <c r="D508" s="616">
        <v>113</v>
      </c>
      <c r="E508" s="605" t="s">
        <v>2132</v>
      </c>
      <c r="F508" s="140" t="s">
        <v>2396</v>
      </c>
      <c r="G508" s="141">
        <v>2008</v>
      </c>
      <c r="H508" s="118">
        <v>18534828</v>
      </c>
      <c r="I508" s="118">
        <v>1</v>
      </c>
      <c r="J508" s="118" t="s">
        <v>1803</v>
      </c>
      <c r="K508" s="118"/>
      <c r="L508" s="118">
        <v>0</v>
      </c>
      <c r="M508" s="118"/>
      <c r="N508" s="118">
        <v>0</v>
      </c>
      <c r="O508" s="142">
        <v>2</v>
      </c>
      <c r="P508" s="118" t="s">
        <v>1421</v>
      </c>
      <c r="Q508" s="118"/>
      <c r="R508" s="118" t="s">
        <v>1130</v>
      </c>
      <c r="S508" s="118"/>
      <c r="T508" s="118" t="s">
        <v>1495</v>
      </c>
      <c r="U508" s="118"/>
      <c r="V508" s="118"/>
      <c r="W508" s="118" t="s">
        <v>1646</v>
      </c>
      <c r="X508" s="118"/>
      <c r="Y508" s="118"/>
      <c r="Z508" s="118"/>
      <c r="AA508" s="118" t="s">
        <v>1645</v>
      </c>
      <c r="AB508" s="118" t="s">
        <v>1260</v>
      </c>
      <c r="AC508" s="145" t="s">
        <v>6333</v>
      </c>
      <c r="AD508" s="653">
        <v>1</v>
      </c>
      <c r="AE508" s="653">
        <v>1</v>
      </c>
      <c r="AF508" s="159">
        <v>1</v>
      </c>
      <c r="AG508" s="160" t="s">
        <v>6832</v>
      </c>
      <c r="AH508" s="704"/>
      <c r="AI508" s="122">
        <v>4</v>
      </c>
      <c r="AJ508" s="485"/>
      <c r="AK508" s="204" t="s">
        <v>7181</v>
      </c>
      <c r="AL508" s="192" t="s">
        <v>7182</v>
      </c>
      <c r="AM508" s="205">
        <v>1</v>
      </c>
      <c r="AN508" s="122">
        <f>Table66[[#This Row],[Data_Subjects_n_ptsd]]+Table66[[#This Row],[Data_Subjects_n_control]]</f>
        <v>24</v>
      </c>
      <c r="AO508" s="122">
        <v>12</v>
      </c>
      <c r="AP508" s="122">
        <v>12</v>
      </c>
      <c r="AQ508" s="122" t="s">
        <v>803</v>
      </c>
      <c r="AR508" s="122" t="s">
        <v>803</v>
      </c>
      <c r="AS508" s="122" t="s">
        <v>2687</v>
      </c>
      <c r="AT508" s="122" t="s">
        <v>24</v>
      </c>
      <c r="AU508" s="122" t="s">
        <v>2687</v>
      </c>
      <c r="AV508" s="122" t="s">
        <v>24</v>
      </c>
      <c r="AW508" s="122" t="s">
        <v>7174</v>
      </c>
      <c r="AX508" s="122"/>
      <c r="AY508" s="122"/>
      <c r="AZ508" s="754" t="s">
        <v>7317</v>
      </c>
      <c r="BA508" s="122">
        <v>1</v>
      </c>
      <c r="BB508" s="122">
        <v>1</v>
      </c>
      <c r="BC508" s="122" t="s">
        <v>7175</v>
      </c>
      <c r="BD508" s="754" t="s">
        <v>7523</v>
      </c>
      <c r="BE508" s="754"/>
      <c r="BF508" s="122" t="s">
        <v>1130</v>
      </c>
      <c r="BG508" s="122" t="s">
        <v>6653</v>
      </c>
      <c r="BH508" s="588">
        <v>1</v>
      </c>
      <c r="BI508" s="588"/>
      <c r="BJ508" s="161">
        <v>1</v>
      </c>
      <c r="BK508" s="161"/>
      <c r="BL508" s="161"/>
      <c r="BM508" s="161"/>
      <c r="BN508" s="161"/>
      <c r="BO508" s="161"/>
      <c r="BP508" s="161">
        <v>1</v>
      </c>
      <c r="BQ508" s="161"/>
      <c r="BR508" s="161"/>
      <c r="BS508" s="161"/>
      <c r="BT508" s="161"/>
      <c r="BU508" s="161"/>
      <c r="BV508" s="161"/>
      <c r="BW508" s="596" t="s">
        <v>7177</v>
      </c>
      <c r="BX508" s="162" t="s">
        <v>6657</v>
      </c>
      <c r="BY508" s="797" t="s">
        <v>7613</v>
      </c>
      <c r="BZ508" s="790" t="s">
        <v>803</v>
      </c>
      <c r="CA508" s="766">
        <v>1</v>
      </c>
      <c r="CB508" s="765" t="s">
        <v>7556</v>
      </c>
      <c r="CC508" s="766" t="s">
        <v>7384</v>
      </c>
      <c r="CD508" s="150" t="s">
        <v>1876</v>
      </c>
      <c r="CE508" s="150" t="s">
        <v>7178</v>
      </c>
      <c r="CF508" s="400" t="s">
        <v>7585</v>
      </c>
      <c r="CG508" s="150" t="s">
        <v>3982</v>
      </c>
      <c r="CH508" s="753" t="s">
        <v>7310</v>
      </c>
      <c r="CI508" s="150" t="s">
        <v>1121</v>
      </c>
      <c r="CJ508" s="150"/>
      <c r="CK508" s="150" t="s">
        <v>7176</v>
      </c>
      <c r="CL508" s="150" t="s">
        <v>8282</v>
      </c>
      <c r="CM508" s="258" t="s">
        <v>7186</v>
      </c>
      <c r="CN508" s="257" t="s">
        <v>6627</v>
      </c>
      <c r="CO508" s="829">
        <v>91</v>
      </c>
      <c r="CP508" s="829">
        <v>2</v>
      </c>
      <c r="CQ508" s="829">
        <v>1</v>
      </c>
      <c r="CR508" s="829">
        <v>0</v>
      </c>
      <c r="CS508" s="829">
        <v>1</v>
      </c>
      <c r="CT508" s="968"/>
      <c r="CU508" s="1289" t="s">
        <v>8104</v>
      </c>
      <c r="CV508" s="1295">
        <v>139</v>
      </c>
      <c r="CW508" s="1295">
        <v>130</v>
      </c>
      <c r="CX508" s="151" t="s">
        <v>7187</v>
      </c>
      <c r="CY508" s="150">
        <v>65.683599999999998</v>
      </c>
      <c r="CZ508" s="150" t="s">
        <v>24</v>
      </c>
      <c r="DA508" s="150">
        <f>72.118-Table66[[#This Row],[Data_Outcome1_M]]</f>
        <v>6.4343999999999966</v>
      </c>
      <c r="DB508" s="151" t="s">
        <v>7188</v>
      </c>
      <c r="DC508" s="150">
        <v>19.571000000000002</v>
      </c>
      <c r="DD508" s="150" t="s">
        <v>24</v>
      </c>
      <c r="DE508" s="150">
        <f>23.3244-Table66[[#This Row],[Data_Outcome2_M]]</f>
        <v>3.7533999999999992</v>
      </c>
      <c r="DF508" s="1846" t="s">
        <v>7184</v>
      </c>
      <c r="DG508" s="295" t="s">
        <v>2483</v>
      </c>
      <c r="DH508" s="526" t="s">
        <v>24</v>
      </c>
      <c r="DI508" s="526" t="s">
        <v>24</v>
      </c>
      <c r="DJ508" s="1164" t="s">
        <v>24</v>
      </c>
      <c r="DK508" s="122" t="s">
        <v>24</v>
      </c>
      <c r="DL508" s="1164" t="s">
        <v>24</v>
      </c>
      <c r="DM508" s="122" t="s">
        <v>24</v>
      </c>
      <c r="DN508" s="1164" t="s">
        <v>24</v>
      </c>
      <c r="DO508" s="122" t="s">
        <v>24</v>
      </c>
      <c r="DP508" s="290"/>
      <c r="DQ508" s="291"/>
      <c r="DR508" s="1168"/>
      <c r="DS508" s="865"/>
      <c r="DT508" s="1166"/>
      <c r="DU508" s="122"/>
      <c r="DV508" s="1164"/>
      <c r="DW508" s="122"/>
      <c r="DX508" s="1164"/>
      <c r="DY508" s="122"/>
      <c r="DZ508" s="1164"/>
      <c r="EA508" s="122"/>
      <c r="EB508" s="311"/>
      <c r="EC508" s="313"/>
      <c r="ED508" s="1164"/>
      <c r="EE508" s="1164"/>
      <c r="EF508" s="1164"/>
      <c r="EG508" s="1164"/>
      <c r="EH508" s="1164"/>
      <c r="EI508" s="1164"/>
      <c r="EJ508" s="1164"/>
      <c r="EK508" s="1164"/>
      <c r="EL508" s="311"/>
      <c r="EM508" s="313"/>
      <c r="EN508" s="1167"/>
      <c r="EO508" s="1165"/>
      <c r="EP508" s="1164"/>
      <c r="EQ508" s="1164"/>
      <c r="ER508" s="1164"/>
      <c r="ES508" s="1164"/>
      <c r="ET508" s="1166"/>
      <c r="EU508" s="1164"/>
      <c r="EV508" s="1164"/>
      <c r="EW508" s="1164"/>
      <c r="EX508" s="313"/>
      <c r="EY508" s="313"/>
      <c r="EZ508" s="1166"/>
      <c r="FA508" s="1164"/>
      <c r="FB508" s="1164"/>
      <c r="FC508" s="1164"/>
      <c r="FD508" s="1166"/>
      <c r="FE508" s="1164"/>
      <c r="FF508" s="1164"/>
      <c r="FG508" s="1164"/>
      <c r="FH508" s="313"/>
      <c r="FI508" s="313"/>
      <c r="FJ508" s="1165"/>
    </row>
    <row r="509" spans="1:166" ht="14" hidden="1" customHeight="1">
      <c r="A509" s="321" t="s">
        <v>1001</v>
      </c>
      <c r="B509" s="362">
        <v>37</v>
      </c>
      <c r="C509" s="362"/>
      <c r="D509" s="362"/>
      <c r="E509" s="609" t="s">
        <v>2103</v>
      </c>
      <c r="F509" s="323" t="s">
        <v>2360</v>
      </c>
      <c r="G509" s="324">
        <v>2011</v>
      </c>
      <c r="H509" s="321">
        <v>21377492</v>
      </c>
      <c r="I509" s="321">
        <v>1</v>
      </c>
      <c r="J509" s="321">
        <v>1</v>
      </c>
      <c r="K509" s="321"/>
      <c r="L509" s="321">
        <v>1</v>
      </c>
      <c r="M509" s="321"/>
      <c r="N509" s="321">
        <v>1</v>
      </c>
      <c r="O509" s="325">
        <v>2</v>
      </c>
      <c r="P509" s="321" t="s">
        <v>1303</v>
      </c>
      <c r="Q509" s="321" t="s">
        <v>1212</v>
      </c>
      <c r="R509" s="321" t="s">
        <v>1468</v>
      </c>
      <c r="S509" s="321"/>
      <c r="T509" s="321" t="s">
        <v>1498</v>
      </c>
      <c r="U509" s="321" t="s">
        <v>803</v>
      </c>
      <c r="V509" s="321"/>
      <c r="W509" s="321" t="s">
        <v>1469</v>
      </c>
      <c r="X509" s="321" t="s">
        <v>436</v>
      </c>
      <c r="Y509" s="321"/>
      <c r="Z509" s="321"/>
      <c r="AA509" s="321"/>
      <c r="AB509" s="321"/>
      <c r="AC509" s="574"/>
      <c r="AD509" s="573">
        <v>1</v>
      </c>
      <c r="AE509" s="573">
        <v>2</v>
      </c>
      <c r="AF509" s="154">
        <v>0</v>
      </c>
      <c r="AG509" s="155" t="s">
        <v>3365</v>
      </c>
      <c r="AH509" s="704" t="s">
        <v>8141</v>
      </c>
      <c r="AI509" s="326">
        <v>5</v>
      </c>
      <c r="AJ509" s="490"/>
      <c r="AK509" s="213" t="s">
        <v>3366</v>
      </c>
      <c r="AL509" s="770">
        <v>2</v>
      </c>
      <c r="AM509" s="215">
        <v>0</v>
      </c>
      <c r="AN509" s="134">
        <f>Table66[[#This Row],[Data_Subjects_n_ptsd]]+Table66[[#This Row],[Data_Subjects_n_control]]</f>
        <v>14</v>
      </c>
      <c r="AO509" s="326">
        <v>7</v>
      </c>
      <c r="AP509" s="326">
        <v>7</v>
      </c>
      <c r="AQ509" s="326" t="s">
        <v>803</v>
      </c>
      <c r="AR509" s="326" t="s">
        <v>803</v>
      </c>
      <c r="AS509" s="326" t="s">
        <v>7495</v>
      </c>
      <c r="AT509" s="326" t="s">
        <v>24</v>
      </c>
      <c r="AU509" s="326" t="s">
        <v>7495</v>
      </c>
      <c r="AV509" s="326" t="s">
        <v>24</v>
      </c>
      <c r="AW509" s="326" t="s">
        <v>3349</v>
      </c>
      <c r="AX509" s="134">
        <v>1</v>
      </c>
      <c r="AY509" s="134">
        <v>1.5</v>
      </c>
      <c r="AZ509" s="753" t="s">
        <v>1814</v>
      </c>
      <c r="BA509" s="326">
        <v>1</v>
      </c>
      <c r="BB509" s="326" t="s">
        <v>3347</v>
      </c>
      <c r="BC509" s="326" t="s">
        <v>2975</v>
      </c>
      <c r="BD509" s="753" t="s">
        <v>7523</v>
      </c>
      <c r="BE509" s="753"/>
      <c r="BF509" s="326" t="s">
        <v>1468</v>
      </c>
      <c r="BG509" s="326" t="s">
        <v>3279</v>
      </c>
      <c r="BH509" s="601"/>
      <c r="BI509" s="601"/>
      <c r="BJ509" s="328">
        <v>1</v>
      </c>
      <c r="BK509" s="156">
        <v>1</v>
      </c>
      <c r="BL509" s="328"/>
      <c r="BM509" s="328"/>
      <c r="BN509" s="328"/>
      <c r="BO509" s="328"/>
      <c r="BP509" s="156">
        <v>1</v>
      </c>
      <c r="BQ509" s="328"/>
      <c r="BR509" s="328"/>
      <c r="BS509" s="328"/>
      <c r="BT509" s="328"/>
      <c r="BU509" s="328"/>
      <c r="BV509" s="328"/>
      <c r="BW509" s="602" t="s">
        <v>7574</v>
      </c>
      <c r="BX509" s="157" t="s">
        <v>6612</v>
      </c>
      <c r="BY509" s="797" t="s">
        <v>7617</v>
      </c>
      <c r="BZ509" s="789" t="s">
        <v>803</v>
      </c>
      <c r="CA509" s="765">
        <v>2</v>
      </c>
      <c r="CB509" s="765" t="s">
        <v>7556</v>
      </c>
      <c r="CC509" s="765" t="s">
        <v>7455</v>
      </c>
      <c r="CD509" s="326" t="s">
        <v>1876</v>
      </c>
      <c r="CE509" s="326">
        <v>2</v>
      </c>
      <c r="CF509" s="400" t="s">
        <v>7581</v>
      </c>
      <c r="CG509" s="134" t="s">
        <v>3364</v>
      </c>
      <c r="CH509" s="761" t="s">
        <v>1511</v>
      </c>
      <c r="CI509" s="326" t="s">
        <v>2606</v>
      </c>
      <c r="CJ509" s="326">
        <v>0</v>
      </c>
      <c r="CK509" s="326" t="s">
        <v>3350</v>
      </c>
      <c r="CL509" s="134" t="s">
        <v>6646</v>
      </c>
      <c r="CM509" s="259" t="s">
        <v>3394</v>
      </c>
      <c r="CN509" s="454" t="s">
        <v>6627</v>
      </c>
      <c r="CO509" s="828">
        <v>59</v>
      </c>
      <c r="CP509" s="828">
        <v>2</v>
      </c>
      <c r="CQ509" s="828">
        <v>1</v>
      </c>
      <c r="CR509" s="828">
        <v>0</v>
      </c>
      <c r="CS509" s="828">
        <v>1</v>
      </c>
      <c r="CT509" s="967"/>
      <c r="CU509" s="1289" t="s">
        <v>8104</v>
      </c>
      <c r="CV509" s="1295">
        <v>145</v>
      </c>
      <c r="CW509" s="1295">
        <v>136</v>
      </c>
      <c r="CX509" s="427" t="s">
        <v>3376</v>
      </c>
      <c r="CY509" s="326">
        <v>9.2608499999999996</v>
      </c>
      <c r="CZ509" s="326" t="s">
        <v>24</v>
      </c>
      <c r="DA509" s="326">
        <f>14.0964-Table66[[#This Row],[Data_Outcome1_M]]</f>
        <v>4.8355499999999996</v>
      </c>
      <c r="DB509" s="427" t="s">
        <v>3383</v>
      </c>
      <c r="DC509" s="326">
        <v>29.993500000000001</v>
      </c>
      <c r="DD509" s="326" t="s">
        <v>24</v>
      </c>
      <c r="DE509" s="326">
        <f>41.848-Table66[[#This Row],[Data_Outcome2_M]]</f>
        <v>11.854499999999998</v>
      </c>
      <c r="DF509" s="294" t="s">
        <v>3391</v>
      </c>
      <c r="DG509" s="295"/>
      <c r="DH509" s="1282" t="s">
        <v>24</v>
      </c>
      <c r="DI509" s="1283"/>
      <c r="DJ509" s="1283"/>
      <c r="DK509" s="1283"/>
      <c r="DL509" s="1282"/>
      <c r="DM509" s="1283"/>
      <c r="DN509" s="1283"/>
      <c r="DO509" s="1283"/>
      <c r="DP509" s="331"/>
      <c r="DQ509" s="332"/>
      <c r="DR509" s="1168"/>
      <c r="DS509" s="865"/>
      <c r="DT509" s="1263"/>
      <c r="DU509" s="1260"/>
      <c r="DV509" s="1260"/>
      <c r="DW509" s="1260"/>
      <c r="DX509" s="1260"/>
      <c r="DY509" s="1260"/>
      <c r="DZ509" s="1260"/>
      <c r="EA509" s="1260"/>
      <c r="EB509" s="1265"/>
      <c r="EC509" s="1261"/>
      <c r="ED509" s="1260"/>
      <c r="EE509" s="1260"/>
      <c r="EF509" s="1260"/>
      <c r="EG509" s="1260"/>
      <c r="EH509" s="1260"/>
      <c r="EI509" s="1260"/>
      <c r="EJ509" s="1260"/>
      <c r="EK509" s="1260"/>
      <c r="EL509" s="1265"/>
      <c r="EM509" s="1261"/>
      <c r="EN509" s="1264"/>
      <c r="EO509" s="1262"/>
      <c r="EP509" s="1260"/>
      <c r="EQ509" s="1260"/>
      <c r="ER509" s="1260"/>
      <c r="ES509" s="1260"/>
      <c r="ET509" s="1263"/>
      <c r="EU509" s="1260"/>
      <c r="EV509" s="1260"/>
      <c r="EW509" s="1260"/>
      <c r="EX509" s="1261"/>
      <c r="EY509" s="1261"/>
      <c r="EZ509" s="1263"/>
      <c r="FA509" s="1260"/>
      <c r="FB509" s="1260"/>
      <c r="FC509" s="1260"/>
      <c r="FD509" s="1263"/>
      <c r="FE509" s="1260"/>
      <c r="FF509" s="1260"/>
      <c r="FG509" s="1260"/>
      <c r="FH509" s="1261"/>
      <c r="FI509" s="1261"/>
      <c r="FJ509" s="1262"/>
    </row>
    <row r="510" spans="1:166" s="1403" customFormat="1" ht="14" hidden="1" customHeight="1">
      <c r="A510" s="79" t="s">
        <v>1091</v>
      </c>
      <c r="B510" s="362">
        <v>85</v>
      </c>
      <c r="C510" s="362">
        <v>14</v>
      </c>
      <c r="D510" s="362"/>
      <c r="E510" s="604" t="s">
        <v>1938</v>
      </c>
      <c r="F510" s="124" t="s">
        <v>2305</v>
      </c>
      <c r="G510" s="125">
        <v>2011</v>
      </c>
      <c r="H510" s="79">
        <v>21194896</v>
      </c>
      <c r="I510" s="79">
        <v>1</v>
      </c>
      <c r="J510" s="126"/>
      <c r="K510" s="127"/>
      <c r="L510" s="79">
        <v>1</v>
      </c>
      <c r="M510" s="79"/>
      <c r="N510" s="79">
        <v>1</v>
      </c>
      <c r="O510" s="128">
        <v>2</v>
      </c>
      <c r="P510" s="79" t="s">
        <v>1253</v>
      </c>
      <c r="Q510" s="79" t="s">
        <v>1251</v>
      </c>
      <c r="R510" s="79" t="s">
        <v>1127</v>
      </c>
      <c r="S510" s="79"/>
      <c r="T510" s="79" t="s">
        <v>1507</v>
      </c>
      <c r="U510" s="79" t="s">
        <v>23</v>
      </c>
      <c r="V510" s="79" t="s">
        <v>23</v>
      </c>
      <c r="W510" s="79" t="s">
        <v>1250</v>
      </c>
      <c r="X510" s="79"/>
      <c r="Y510" s="79" t="s">
        <v>1252</v>
      </c>
      <c r="Z510" s="79"/>
      <c r="AA510" s="79" t="s">
        <v>1249</v>
      </c>
      <c r="AB510" s="79"/>
      <c r="AC510" s="506"/>
      <c r="AD510" s="573">
        <v>1</v>
      </c>
      <c r="AE510" s="573">
        <v>2</v>
      </c>
      <c r="AF510" s="352">
        <v>1</v>
      </c>
      <c r="AG510" s="155"/>
      <c r="AH510" s="704">
        <v>0</v>
      </c>
      <c r="AI510" s="121">
        <v>4</v>
      </c>
      <c r="AJ510" s="484"/>
      <c r="AK510" s="213" t="s">
        <v>3966</v>
      </c>
      <c r="AL510" s="192">
        <v>0</v>
      </c>
      <c r="AM510" s="215">
        <v>1</v>
      </c>
      <c r="AN510" s="134" t="s">
        <v>3968</v>
      </c>
      <c r="AO510" s="134">
        <v>20</v>
      </c>
      <c r="AP510" s="134">
        <v>12</v>
      </c>
      <c r="AQ510" s="134" t="s">
        <v>803</v>
      </c>
      <c r="AR510" s="134" t="s">
        <v>803</v>
      </c>
      <c r="AS510" s="134" t="s">
        <v>2687</v>
      </c>
      <c r="AT510" s="134" t="s">
        <v>24</v>
      </c>
      <c r="AU510" s="134" t="s">
        <v>2687</v>
      </c>
      <c r="AV510" s="134" t="s">
        <v>24</v>
      </c>
      <c r="AW510" s="134" t="s">
        <v>3958</v>
      </c>
      <c r="AX510" s="134"/>
      <c r="AY510" s="134"/>
      <c r="AZ510" s="753" t="s">
        <v>7317</v>
      </c>
      <c r="BA510" s="134">
        <v>1</v>
      </c>
      <c r="BB510" s="134">
        <v>1</v>
      </c>
      <c r="BC510" s="134" t="s">
        <v>3959</v>
      </c>
      <c r="BD510" s="753" t="s">
        <v>7523</v>
      </c>
      <c r="BE510" s="753"/>
      <c r="BF510" s="134" t="s">
        <v>1130</v>
      </c>
      <c r="BG510" s="134" t="s">
        <v>3971</v>
      </c>
      <c r="BH510" s="594"/>
      <c r="BI510" s="594"/>
      <c r="BJ510" s="156">
        <v>1</v>
      </c>
      <c r="BK510" s="156"/>
      <c r="BL510" s="156"/>
      <c r="BM510" s="156"/>
      <c r="BN510" s="156"/>
      <c r="BO510" s="156"/>
      <c r="BP510" s="156"/>
      <c r="BQ510" s="156"/>
      <c r="BR510" s="156"/>
      <c r="BS510" s="156"/>
      <c r="BT510" s="156"/>
      <c r="BU510" s="156"/>
      <c r="BV510" s="156"/>
      <c r="BW510" s="595" t="s">
        <v>6701</v>
      </c>
      <c r="BX510" s="157" t="s">
        <v>6657</v>
      </c>
      <c r="BY510" s="797" t="s">
        <v>7613</v>
      </c>
      <c r="BZ510" s="789" t="s">
        <v>803</v>
      </c>
      <c r="CA510" s="765">
        <v>1</v>
      </c>
      <c r="CB510" s="765" t="s">
        <v>7556</v>
      </c>
      <c r="CC510" s="766" t="s">
        <v>7384</v>
      </c>
      <c r="CD510" s="134" t="s">
        <v>1876</v>
      </c>
      <c r="CE510" s="134"/>
      <c r="CF510" s="400" t="s">
        <v>7585</v>
      </c>
      <c r="CG510" s="134" t="s">
        <v>7446</v>
      </c>
      <c r="CH510" s="753" t="s">
        <v>7310</v>
      </c>
      <c r="CI510" s="134" t="s">
        <v>3961</v>
      </c>
      <c r="CJ510" s="134">
        <v>0</v>
      </c>
      <c r="CK510" s="134" t="s">
        <v>3224</v>
      </c>
      <c r="CL510" s="150" t="s">
        <v>8296</v>
      </c>
      <c r="CM510" s="259" t="s">
        <v>3965</v>
      </c>
      <c r="CN510" s="454" t="s">
        <v>6627</v>
      </c>
      <c r="CO510" s="828">
        <v>8</v>
      </c>
      <c r="CP510" s="828">
        <v>1</v>
      </c>
      <c r="CQ510" s="828">
        <v>1</v>
      </c>
      <c r="CR510" s="828">
        <v>0</v>
      </c>
      <c r="CS510" s="828">
        <v>1</v>
      </c>
      <c r="CT510" s="967"/>
      <c r="CU510" s="1290" t="s">
        <v>8104</v>
      </c>
      <c r="CV510" s="1295">
        <v>60</v>
      </c>
      <c r="CW510" s="1295">
        <v>54</v>
      </c>
      <c r="CX510" s="138" t="s">
        <v>3962</v>
      </c>
      <c r="CY510" s="134">
        <v>62.9041</v>
      </c>
      <c r="CZ510" s="168" t="s">
        <v>24</v>
      </c>
      <c r="DA510" s="134">
        <f>67.8479-Table66[[#This Row],[Data_Outcome1_M]]</f>
        <v>4.943799999999996</v>
      </c>
      <c r="DB510" s="138" t="s">
        <v>3963</v>
      </c>
      <c r="DC510" s="134">
        <v>16.452200000000001</v>
      </c>
      <c r="DD510" s="134" t="s">
        <v>24</v>
      </c>
      <c r="DE510" s="134">
        <f>22.969-Table66[[#This Row],[Data_Outcome2_M]]</f>
        <v>6.5167999999999999</v>
      </c>
      <c r="DF510" s="294" t="s">
        <v>3964</v>
      </c>
      <c r="DG510" s="295" t="s">
        <v>3967</v>
      </c>
      <c r="DH510" s="1171" t="s">
        <v>24</v>
      </c>
      <c r="DI510" s="1169"/>
      <c r="DJ510" s="1169"/>
      <c r="DK510" s="1169"/>
      <c r="DL510" s="1171"/>
      <c r="DM510" s="1169"/>
      <c r="DN510" s="1169"/>
      <c r="DO510" s="1169"/>
      <c r="DP510" s="288"/>
      <c r="DQ510" s="289"/>
      <c r="DR510" s="1168"/>
      <c r="DS510" s="865"/>
      <c r="DT510" s="1171"/>
      <c r="DU510" s="1169"/>
      <c r="DV510" s="1169"/>
      <c r="DW510" s="1169"/>
      <c r="DX510" s="121"/>
      <c r="DY510" s="1169"/>
      <c r="DZ510" s="1169"/>
      <c r="EA510" s="1169"/>
      <c r="EB510" s="304"/>
      <c r="EC510" s="312"/>
      <c r="ED510" s="1169"/>
      <c r="EE510" s="1169"/>
      <c r="EF510" s="1169"/>
      <c r="EG510" s="1169"/>
      <c r="EH510" s="1169"/>
      <c r="EI510" s="1169"/>
      <c r="EJ510" s="1169"/>
      <c r="EK510" s="1169"/>
      <c r="EL510" s="304"/>
      <c r="EM510" s="312"/>
      <c r="EN510" s="309"/>
      <c r="EO510" s="1170"/>
      <c r="EP510" s="1169"/>
      <c r="EQ510" s="1169"/>
      <c r="ER510" s="1169"/>
      <c r="ES510" s="1169"/>
      <c r="ET510" s="1171"/>
      <c r="EU510" s="1169"/>
      <c r="EV510" s="1169"/>
      <c r="EW510" s="1169"/>
      <c r="EX510" s="312"/>
      <c r="EY510" s="312"/>
      <c r="EZ510" s="1171"/>
      <c r="FA510" s="1169"/>
      <c r="FB510" s="1169"/>
      <c r="FC510" s="1169"/>
      <c r="FD510" s="1171"/>
      <c r="FE510" s="1169"/>
      <c r="FF510" s="1169"/>
      <c r="FG510" s="1169"/>
      <c r="FH510" s="312"/>
      <c r="FI510" s="312"/>
      <c r="FJ510" s="1170"/>
    </row>
    <row r="511" spans="1:166" ht="14" hidden="1" customHeight="1">
      <c r="A511" s="321" t="s">
        <v>1001</v>
      </c>
      <c r="B511" s="362">
        <v>37</v>
      </c>
      <c r="C511" s="362"/>
      <c r="D511" s="362"/>
      <c r="E511" s="609" t="s">
        <v>2103</v>
      </c>
      <c r="F511" s="323" t="s">
        <v>2360</v>
      </c>
      <c r="G511" s="324">
        <v>2011</v>
      </c>
      <c r="H511" s="321">
        <v>21377492</v>
      </c>
      <c r="I511" s="321">
        <v>1</v>
      </c>
      <c r="J511" s="321">
        <v>1</v>
      </c>
      <c r="K511" s="321"/>
      <c r="L511" s="321">
        <v>1</v>
      </c>
      <c r="M511" s="321"/>
      <c r="N511" s="321">
        <v>1</v>
      </c>
      <c r="O511" s="325">
        <v>2</v>
      </c>
      <c r="P511" s="321" t="s">
        <v>1303</v>
      </c>
      <c r="Q511" s="321" t="s">
        <v>1212</v>
      </c>
      <c r="R511" s="321" t="s">
        <v>1468</v>
      </c>
      <c r="S511" s="321"/>
      <c r="T511" s="321" t="s">
        <v>1498</v>
      </c>
      <c r="U511" s="321" t="s">
        <v>803</v>
      </c>
      <c r="V511" s="321"/>
      <c r="W511" s="321" t="s">
        <v>1469</v>
      </c>
      <c r="X511" s="321" t="s">
        <v>436</v>
      </c>
      <c r="Y511" s="321"/>
      <c r="Z511" s="321"/>
      <c r="AA511" s="321"/>
      <c r="AB511" s="321"/>
      <c r="AC511" s="574"/>
      <c r="AD511" s="573">
        <v>1</v>
      </c>
      <c r="AE511" s="573">
        <v>2</v>
      </c>
      <c r="AF511" s="154">
        <v>0</v>
      </c>
      <c r="AG511" s="155" t="s">
        <v>3365</v>
      </c>
      <c r="AH511" s="704" t="s">
        <v>8141</v>
      </c>
      <c r="AI511" s="326">
        <v>5</v>
      </c>
      <c r="AJ511" s="490"/>
      <c r="AK511" s="213" t="s">
        <v>3366</v>
      </c>
      <c r="AL511" s="770">
        <v>2</v>
      </c>
      <c r="AM511" s="215">
        <v>0</v>
      </c>
      <c r="AN511" s="134">
        <f>Table66[[#This Row],[Data_Subjects_n_ptsd]]+Table66[[#This Row],[Data_Subjects_n_control]]</f>
        <v>14</v>
      </c>
      <c r="AO511" s="326">
        <v>7</v>
      </c>
      <c r="AP511" s="326">
        <v>7</v>
      </c>
      <c r="AQ511" s="326" t="s">
        <v>803</v>
      </c>
      <c r="AR511" s="326" t="s">
        <v>803</v>
      </c>
      <c r="AS511" s="326" t="s">
        <v>7495</v>
      </c>
      <c r="AT511" s="326" t="s">
        <v>24</v>
      </c>
      <c r="AU511" s="326" t="s">
        <v>7495</v>
      </c>
      <c r="AV511" s="326" t="s">
        <v>24</v>
      </c>
      <c r="AW511" s="326" t="s">
        <v>3349</v>
      </c>
      <c r="AX511" s="134">
        <v>1</v>
      </c>
      <c r="AY511" s="134">
        <v>1.5</v>
      </c>
      <c r="AZ511" s="753" t="s">
        <v>1814</v>
      </c>
      <c r="BA511" s="326">
        <v>1</v>
      </c>
      <c r="BB511" s="326" t="s">
        <v>3347</v>
      </c>
      <c r="BC511" s="326" t="s">
        <v>2975</v>
      </c>
      <c r="BD511" s="753" t="s">
        <v>7523</v>
      </c>
      <c r="BE511" s="753"/>
      <c r="BF511" s="326" t="s">
        <v>1468</v>
      </c>
      <c r="BG511" s="326" t="s">
        <v>3279</v>
      </c>
      <c r="BH511" s="601"/>
      <c r="BI511" s="601"/>
      <c r="BJ511" s="328">
        <v>1</v>
      </c>
      <c r="BK511" s="156">
        <v>1</v>
      </c>
      <c r="BL511" s="328"/>
      <c r="BM511" s="328"/>
      <c r="BN511" s="328"/>
      <c r="BO511" s="328"/>
      <c r="BP511" s="156">
        <v>1</v>
      </c>
      <c r="BQ511" s="328"/>
      <c r="BR511" s="328"/>
      <c r="BS511" s="328"/>
      <c r="BT511" s="328"/>
      <c r="BU511" s="328"/>
      <c r="BV511" s="328"/>
      <c r="BW511" s="602" t="s">
        <v>7575</v>
      </c>
      <c r="BX511" s="157" t="s">
        <v>6612</v>
      </c>
      <c r="BY511" s="797" t="s">
        <v>7617</v>
      </c>
      <c r="BZ511" s="789" t="s">
        <v>803</v>
      </c>
      <c r="CA511" s="765">
        <v>2</v>
      </c>
      <c r="CB511" s="765" t="s">
        <v>7556</v>
      </c>
      <c r="CC511" s="765" t="s">
        <v>7455</v>
      </c>
      <c r="CD511" s="326" t="s">
        <v>1876</v>
      </c>
      <c r="CE511" s="326">
        <v>2</v>
      </c>
      <c r="CF511" s="400" t="s">
        <v>7582</v>
      </c>
      <c r="CG511" s="424" t="s">
        <v>3367</v>
      </c>
      <c r="CH511" s="761" t="s">
        <v>1511</v>
      </c>
      <c r="CI511" s="326" t="s">
        <v>2606</v>
      </c>
      <c r="CJ511" s="326">
        <v>0</v>
      </c>
      <c r="CK511" s="326" t="s">
        <v>3350</v>
      </c>
      <c r="CL511" s="134" t="s">
        <v>6646</v>
      </c>
      <c r="CM511" s="259" t="s">
        <v>3394</v>
      </c>
      <c r="CN511" s="454" t="s">
        <v>6627</v>
      </c>
      <c r="CO511" s="828">
        <v>59</v>
      </c>
      <c r="CP511" s="828">
        <v>4</v>
      </c>
      <c r="CQ511" s="828">
        <v>1</v>
      </c>
      <c r="CR511" s="828">
        <v>0</v>
      </c>
      <c r="CS511" s="828">
        <v>1</v>
      </c>
      <c r="CT511" s="967"/>
      <c r="CU511" s="1289" t="s">
        <v>8104</v>
      </c>
      <c r="CV511" s="1295">
        <v>147</v>
      </c>
      <c r="CW511" s="1295">
        <v>138</v>
      </c>
      <c r="CX511" s="427" t="s">
        <v>3377</v>
      </c>
      <c r="CY511" s="326">
        <v>3.5308299999999999</v>
      </c>
      <c r="CZ511" s="326" t="s">
        <v>24</v>
      </c>
      <c r="DA511" s="326">
        <f>5.87052-Table66[[#This Row],[Data_Outcome1_M]]</f>
        <v>2.33969</v>
      </c>
      <c r="DB511" s="427" t="s">
        <v>3385</v>
      </c>
      <c r="DC511" s="326">
        <v>43.761200000000002</v>
      </c>
      <c r="DD511" s="326" t="s">
        <v>24</v>
      </c>
      <c r="DE511" s="326">
        <f>61.2309-Table66[[#This Row],[Data_Outcome2_M]]</f>
        <v>17.469699999999996</v>
      </c>
      <c r="DF511" s="874" t="s">
        <v>3386</v>
      </c>
      <c r="DG511" s="295" t="s">
        <v>2588</v>
      </c>
      <c r="DH511" s="1263" t="s">
        <v>24</v>
      </c>
      <c r="DI511" s="1283"/>
      <c r="DJ511" s="1283"/>
      <c r="DK511" s="1283"/>
      <c r="DL511" s="1282"/>
      <c r="DM511" s="1283"/>
      <c r="DN511" s="1283"/>
      <c r="DO511" s="1283"/>
      <c r="DP511" s="331"/>
      <c r="DQ511" s="332"/>
      <c r="DR511" s="1168"/>
      <c r="DS511" s="865"/>
      <c r="DT511" s="1263"/>
      <c r="DU511" s="1260"/>
      <c r="DV511" s="1260"/>
      <c r="DW511" s="1260"/>
      <c r="DX511" s="1260"/>
      <c r="DY511" s="1260"/>
      <c r="DZ511" s="1260"/>
      <c r="EA511" s="1260"/>
      <c r="EB511" s="1265"/>
      <c r="EC511" s="1261"/>
      <c r="ED511" s="1260"/>
      <c r="EE511" s="1260"/>
      <c r="EF511" s="1260"/>
      <c r="EG511" s="1260"/>
      <c r="EH511" s="1260"/>
      <c r="EI511" s="1260"/>
      <c r="EJ511" s="1260"/>
      <c r="EK511" s="1260"/>
      <c r="EL511" s="1265"/>
      <c r="EM511" s="1261"/>
      <c r="EN511" s="1264"/>
      <c r="EO511" s="1262"/>
      <c r="EP511" s="1260"/>
      <c r="EQ511" s="1260"/>
      <c r="ER511" s="1260"/>
      <c r="ES511" s="1260"/>
      <c r="ET511" s="1263"/>
      <c r="EU511" s="1260"/>
      <c r="EV511" s="1260"/>
      <c r="EW511" s="1260"/>
      <c r="EX511" s="1261"/>
      <c r="EY511" s="1261"/>
      <c r="EZ511" s="1263"/>
      <c r="FA511" s="1260"/>
      <c r="FB511" s="1260"/>
      <c r="FC511" s="1260"/>
      <c r="FD511" s="1263"/>
      <c r="FE511" s="1260"/>
      <c r="FF511" s="1260"/>
      <c r="FG511" s="1260"/>
      <c r="FH511" s="1261"/>
      <c r="FI511" s="1261"/>
      <c r="FJ511" s="1262"/>
    </row>
    <row r="512" spans="1:166" ht="14" hidden="1" customHeight="1">
      <c r="A512" s="79" t="s">
        <v>1087</v>
      </c>
      <c r="B512" s="362">
        <v>88</v>
      </c>
      <c r="C512" s="362">
        <v>16</v>
      </c>
      <c r="D512" s="362"/>
      <c r="E512" s="604" t="s">
        <v>1938</v>
      </c>
      <c r="F512" s="124" t="s">
        <v>2309</v>
      </c>
      <c r="G512" s="125">
        <v>2008</v>
      </c>
      <c r="H512" s="79">
        <v>18635156</v>
      </c>
      <c r="I512" s="79">
        <v>1</v>
      </c>
      <c r="J512" s="126"/>
      <c r="K512" s="127"/>
      <c r="L512" s="79">
        <v>1</v>
      </c>
      <c r="M512" s="79"/>
      <c r="N512" s="79">
        <v>1</v>
      </c>
      <c r="O512" s="128">
        <v>2</v>
      </c>
      <c r="P512" s="79" t="s">
        <v>1253</v>
      </c>
      <c r="Q512" s="79" t="s">
        <v>1147</v>
      </c>
      <c r="R512" s="79" t="s">
        <v>1127</v>
      </c>
      <c r="S512" s="79"/>
      <c r="T512" s="79" t="s">
        <v>1507</v>
      </c>
      <c r="U512" s="79" t="s">
        <v>23</v>
      </c>
      <c r="V512" s="79" t="s">
        <v>23</v>
      </c>
      <c r="W512" s="79" t="s">
        <v>1584</v>
      </c>
      <c r="X512" s="79" t="s">
        <v>24</v>
      </c>
      <c r="Y512" s="79" t="s">
        <v>1261</v>
      </c>
      <c r="Z512" s="79"/>
      <c r="AA512" s="79" t="s">
        <v>1262</v>
      </c>
      <c r="AB512" s="79"/>
      <c r="AC512" s="506"/>
      <c r="AD512" s="573">
        <v>1</v>
      </c>
      <c r="AE512" s="573">
        <v>2</v>
      </c>
      <c r="AF512" s="352">
        <v>1</v>
      </c>
      <c r="AG512" s="155" t="s">
        <v>3988</v>
      </c>
      <c r="AH512" s="704"/>
      <c r="AI512" s="121">
        <v>4</v>
      </c>
      <c r="AJ512" s="484"/>
      <c r="AK512" s="202" t="s">
        <v>3975</v>
      </c>
      <c r="AL512" s="192">
        <v>0</v>
      </c>
      <c r="AM512" s="215" t="s">
        <v>3977</v>
      </c>
      <c r="AN512" s="134" t="s">
        <v>3976</v>
      </c>
      <c r="AO512" s="134">
        <f>137/7</f>
        <v>19.571428571428573</v>
      </c>
      <c r="AP512" s="134">
        <f>137/7</f>
        <v>19.571428571428573</v>
      </c>
      <c r="AQ512" s="134" t="s">
        <v>803</v>
      </c>
      <c r="AR512" s="134" t="s">
        <v>803</v>
      </c>
      <c r="AS512" s="134" t="s">
        <v>2687</v>
      </c>
      <c r="AT512" s="134" t="s">
        <v>24</v>
      </c>
      <c r="AU512" s="134" t="s">
        <v>2687</v>
      </c>
      <c r="AV512" s="134" t="s">
        <v>24</v>
      </c>
      <c r="AW512" s="134" t="s">
        <v>3979</v>
      </c>
      <c r="AX512" s="134"/>
      <c r="AY512" s="134"/>
      <c r="AZ512" s="753" t="s">
        <v>7317</v>
      </c>
      <c r="BA512" s="134">
        <v>1</v>
      </c>
      <c r="BB512" s="134">
        <v>1</v>
      </c>
      <c r="BC512" s="134" t="s">
        <v>3978</v>
      </c>
      <c r="BD512" s="753" t="s">
        <v>7523</v>
      </c>
      <c r="BE512" s="753"/>
      <c r="BF512" s="134" t="s">
        <v>1130</v>
      </c>
      <c r="BG512" s="134" t="s">
        <v>3980</v>
      </c>
      <c r="BH512" s="594"/>
      <c r="BI512" s="594"/>
      <c r="BJ512" s="156">
        <v>1</v>
      </c>
      <c r="BK512" s="156"/>
      <c r="BL512" s="156"/>
      <c r="BM512" s="156"/>
      <c r="BN512" s="156"/>
      <c r="BO512" s="156"/>
      <c r="BP512" s="156"/>
      <c r="BQ512" s="156"/>
      <c r="BR512" s="156"/>
      <c r="BS512" s="156"/>
      <c r="BT512" s="156"/>
      <c r="BU512" s="156"/>
      <c r="BV512" s="156"/>
      <c r="BW512" s="595" t="s">
        <v>6701</v>
      </c>
      <c r="BX512" s="157" t="s">
        <v>6657</v>
      </c>
      <c r="BY512" s="797" t="s">
        <v>7613</v>
      </c>
      <c r="BZ512" s="789" t="s">
        <v>803</v>
      </c>
      <c r="CA512" s="765">
        <v>1</v>
      </c>
      <c r="CB512" s="765" t="s">
        <v>7556</v>
      </c>
      <c r="CC512" s="766" t="s">
        <v>7384</v>
      </c>
      <c r="CD512" s="134" t="s">
        <v>1876</v>
      </c>
      <c r="CE512" s="134" t="s">
        <v>3981</v>
      </c>
      <c r="CF512" s="400" t="s">
        <v>7585</v>
      </c>
      <c r="CG512" s="134" t="s">
        <v>3982</v>
      </c>
      <c r="CH512" s="753" t="s">
        <v>7310</v>
      </c>
      <c r="CI512" s="134" t="s">
        <v>3983</v>
      </c>
      <c r="CJ512" s="134"/>
      <c r="CK512" s="134" t="s">
        <v>3224</v>
      </c>
      <c r="CL512" s="150" t="s">
        <v>8296</v>
      </c>
      <c r="CM512" s="259" t="s">
        <v>3987</v>
      </c>
      <c r="CN512" s="454" t="s">
        <v>6627</v>
      </c>
      <c r="CO512" s="828">
        <v>12</v>
      </c>
      <c r="CP512" s="828">
        <v>1</v>
      </c>
      <c r="CQ512" s="828">
        <v>1</v>
      </c>
      <c r="CR512" s="828">
        <v>0</v>
      </c>
      <c r="CS512" s="828">
        <v>1</v>
      </c>
      <c r="CT512" s="967"/>
      <c r="CU512" s="1290" t="s">
        <v>8104</v>
      </c>
      <c r="CV512" s="1295">
        <v>68</v>
      </c>
      <c r="CW512" s="1295">
        <v>60</v>
      </c>
      <c r="CX512" s="138" t="s">
        <v>3984</v>
      </c>
      <c r="CY512" s="134">
        <v>77.566000000000003</v>
      </c>
      <c r="CZ512" s="134" t="s">
        <v>24</v>
      </c>
      <c r="DA512" s="134">
        <f>80.6162-Table66[[#This Row],[Data_Outcome1_M]]</f>
        <v>3.0502000000000038</v>
      </c>
      <c r="DB512" s="138" t="s">
        <v>3985</v>
      </c>
      <c r="DC512" s="134">
        <v>14.3058</v>
      </c>
      <c r="DD512" s="134" t="s">
        <v>24</v>
      </c>
      <c r="DE512" s="134">
        <f>16.9203-Table66[[#This Row],[Data_Outcome2_M]]</f>
        <v>2.6145000000000014</v>
      </c>
      <c r="DF512" s="294" t="s">
        <v>3986</v>
      </c>
      <c r="DG512" s="295" t="s">
        <v>2483</v>
      </c>
      <c r="DH512" s="1276"/>
      <c r="DI512" s="1169"/>
      <c r="DJ512" s="1169"/>
      <c r="DK512" s="1169"/>
      <c r="DL512" s="1276"/>
      <c r="DM512" s="1169"/>
      <c r="DN512" s="1169"/>
      <c r="DO512" s="1169"/>
      <c r="DP512" s="288"/>
      <c r="DQ512" s="289"/>
      <c r="DR512" s="1168"/>
      <c r="DS512" s="865"/>
      <c r="DT512" s="1276"/>
      <c r="DU512" s="1169"/>
      <c r="DV512" s="1169"/>
      <c r="DW512" s="1169"/>
      <c r="DX512" s="121"/>
      <c r="DY512" s="1169"/>
      <c r="DZ512" s="1169"/>
      <c r="EA512" s="1169"/>
      <c r="EB512" s="300"/>
      <c r="EC512" s="301"/>
      <c r="ED512" s="121"/>
      <c r="EE512" s="1169"/>
      <c r="EF512" s="1169"/>
      <c r="EG512" s="1169"/>
      <c r="EH512" s="121"/>
      <c r="EI512" s="121"/>
      <c r="EJ512" s="1169"/>
      <c r="EK512" s="121"/>
      <c r="EL512" s="300"/>
      <c r="EM512" s="301"/>
      <c r="EN512" s="309"/>
      <c r="EO512" s="1170"/>
      <c r="EP512" s="1169"/>
      <c r="EQ512" s="1169"/>
      <c r="ER512" s="1169"/>
      <c r="ES512" s="1169"/>
      <c r="ET512" s="1171"/>
      <c r="EU512" s="121"/>
      <c r="EV512" s="121"/>
      <c r="EW512" s="121"/>
      <c r="EX512" s="312"/>
      <c r="EY512" s="312"/>
      <c r="EZ512" s="1171"/>
      <c r="FA512" s="1169"/>
      <c r="FB512" s="1169"/>
      <c r="FC512" s="1169"/>
      <c r="FD512" s="1171"/>
      <c r="FE512" s="1169"/>
      <c r="FF512" s="1169"/>
      <c r="FG512" s="1169"/>
      <c r="FH512" s="312"/>
      <c r="FI512" s="312"/>
      <c r="FJ512" s="1170"/>
    </row>
    <row r="513" spans="1:166" ht="14" hidden="1" customHeight="1">
      <c r="A513" s="321" t="s">
        <v>1001</v>
      </c>
      <c r="B513" s="362">
        <v>37</v>
      </c>
      <c r="C513" s="362"/>
      <c r="D513" s="362"/>
      <c r="E513" s="609" t="s">
        <v>2103</v>
      </c>
      <c r="F513" s="323" t="s">
        <v>2360</v>
      </c>
      <c r="G513" s="324">
        <v>2011</v>
      </c>
      <c r="H513" s="321">
        <v>21377492</v>
      </c>
      <c r="I513" s="321">
        <v>1</v>
      </c>
      <c r="J513" s="321">
        <v>1</v>
      </c>
      <c r="K513" s="321"/>
      <c r="L513" s="321">
        <v>1</v>
      </c>
      <c r="M513" s="321"/>
      <c r="N513" s="321">
        <v>1</v>
      </c>
      <c r="O513" s="325">
        <v>2</v>
      </c>
      <c r="P513" s="321" t="s">
        <v>1303</v>
      </c>
      <c r="Q513" s="321" t="s">
        <v>1212</v>
      </c>
      <c r="R513" s="321" t="s">
        <v>1468</v>
      </c>
      <c r="S513" s="321"/>
      <c r="T513" s="321" t="s">
        <v>1498</v>
      </c>
      <c r="U513" s="321" t="s">
        <v>803</v>
      </c>
      <c r="V513" s="321"/>
      <c r="W513" s="321" t="s">
        <v>1469</v>
      </c>
      <c r="X513" s="321" t="s">
        <v>436</v>
      </c>
      <c r="Y513" s="321"/>
      <c r="Z513" s="321"/>
      <c r="AA513" s="321"/>
      <c r="AB513" s="321"/>
      <c r="AC513" s="574"/>
      <c r="AD513" s="573">
        <v>1</v>
      </c>
      <c r="AE513" s="573">
        <v>2</v>
      </c>
      <c r="AF513" s="154">
        <v>0</v>
      </c>
      <c r="AG513" s="155" t="s">
        <v>3365</v>
      </c>
      <c r="AH513" s="704" t="s">
        <v>8141</v>
      </c>
      <c r="AI513" s="326">
        <v>5</v>
      </c>
      <c r="AJ513" s="490"/>
      <c r="AK513" s="213" t="s">
        <v>3366</v>
      </c>
      <c r="AL513" s="770">
        <v>2</v>
      </c>
      <c r="AM513" s="215">
        <v>0</v>
      </c>
      <c r="AN513" s="134">
        <f>Table66[[#This Row],[Data_Subjects_n_ptsd]]+Table66[[#This Row],[Data_Subjects_n_control]]</f>
        <v>15</v>
      </c>
      <c r="AO513" s="326">
        <v>8</v>
      </c>
      <c r="AP513" s="326">
        <v>7</v>
      </c>
      <c r="AQ513" s="326" t="s">
        <v>803</v>
      </c>
      <c r="AR513" s="326" t="s">
        <v>803</v>
      </c>
      <c r="AS513" s="326" t="s">
        <v>7495</v>
      </c>
      <c r="AT513" s="326" t="s">
        <v>24</v>
      </c>
      <c r="AU513" s="326" t="s">
        <v>7495</v>
      </c>
      <c r="AV513" s="326" t="s">
        <v>24</v>
      </c>
      <c r="AW513" s="326" t="s">
        <v>3349</v>
      </c>
      <c r="AX513" s="134">
        <v>1</v>
      </c>
      <c r="AY513" s="134">
        <v>1.5</v>
      </c>
      <c r="AZ513" s="753" t="s">
        <v>1814</v>
      </c>
      <c r="BA513" s="326">
        <v>1</v>
      </c>
      <c r="BB513" s="326" t="s">
        <v>3347</v>
      </c>
      <c r="BC513" s="326" t="s">
        <v>2975</v>
      </c>
      <c r="BD513" s="753" t="s">
        <v>7523</v>
      </c>
      <c r="BE513" s="753"/>
      <c r="BF513" s="326" t="s">
        <v>1468</v>
      </c>
      <c r="BG513" s="326" t="s">
        <v>3279</v>
      </c>
      <c r="BH513" s="601"/>
      <c r="BI513" s="601"/>
      <c r="BJ513" s="328">
        <v>1</v>
      </c>
      <c r="BK513" s="156">
        <v>1</v>
      </c>
      <c r="BL513" s="328"/>
      <c r="BM513" s="328"/>
      <c r="BN513" s="328"/>
      <c r="BO513" s="328"/>
      <c r="BP513" s="156">
        <v>1</v>
      </c>
      <c r="BQ513" s="328"/>
      <c r="BR513" s="328"/>
      <c r="BS513" s="328"/>
      <c r="BT513" s="328"/>
      <c r="BU513" s="328"/>
      <c r="BV513" s="328"/>
      <c r="BW513" s="602" t="s">
        <v>7573</v>
      </c>
      <c r="BX513" s="157" t="s">
        <v>6612</v>
      </c>
      <c r="BY513" s="797" t="s">
        <v>7617</v>
      </c>
      <c r="BZ513" s="789" t="s">
        <v>803</v>
      </c>
      <c r="CA513" s="765">
        <v>2</v>
      </c>
      <c r="CB513" s="765" t="s">
        <v>7556</v>
      </c>
      <c r="CC513" s="765" t="s">
        <v>7455</v>
      </c>
      <c r="CD513" s="326" t="s">
        <v>1876</v>
      </c>
      <c r="CE513" s="326">
        <v>2</v>
      </c>
      <c r="CF513" s="400" t="s">
        <v>7579</v>
      </c>
      <c r="CG513" s="424" t="s">
        <v>3368</v>
      </c>
      <c r="CH513" s="761" t="s">
        <v>1511</v>
      </c>
      <c r="CI513" s="326" t="s">
        <v>2606</v>
      </c>
      <c r="CJ513" s="326">
        <v>0</v>
      </c>
      <c r="CK513" s="326" t="s">
        <v>3350</v>
      </c>
      <c r="CL513" s="134" t="s">
        <v>6646</v>
      </c>
      <c r="CM513" s="259" t="s">
        <v>3394</v>
      </c>
      <c r="CN513" s="454" t="s">
        <v>6627</v>
      </c>
      <c r="CO513" s="828">
        <v>59</v>
      </c>
      <c r="CP513" s="828">
        <v>6</v>
      </c>
      <c r="CQ513" s="828">
        <v>1</v>
      </c>
      <c r="CR513" s="828">
        <v>0</v>
      </c>
      <c r="CS513" s="828">
        <v>1</v>
      </c>
      <c r="CT513" s="967"/>
      <c r="CU513" s="1289" t="s">
        <v>8104</v>
      </c>
      <c r="CV513" s="1295">
        <v>149</v>
      </c>
      <c r="CW513" s="1295">
        <v>140</v>
      </c>
      <c r="CX513" s="138" t="s">
        <v>3393</v>
      </c>
      <c r="CY513" s="326">
        <v>5.5999800000000004</v>
      </c>
      <c r="CZ513" s="326" t="s">
        <v>24</v>
      </c>
      <c r="DA513" s="326">
        <f>9.34368-Table66[[#This Row],[Data_Outcome1_M]]</f>
        <v>3.7437000000000005</v>
      </c>
      <c r="DB513" s="427" t="s">
        <v>3389</v>
      </c>
      <c r="DC513" s="326">
        <v>53.161200000000001</v>
      </c>
      <c r="DD513" s="326" t="s">
        <v>24</v>
      </c>
      <c r="DE513" s="326">
        <f>66.1078-Table66[[#This Row],[Data_Outcome2_M]]</f>
        <v>12.946599999999997</v>
      </c>
      <c r="DF513" s="874" t="s">
        <v>3386</v>
      </c>
      <c r="DG513" s="295" t="s">
        <v>3060</v>
      </c>
      <c r="DH513" s="1263" t="s">
        <v>24</v>
      </c>
      <c r="DI513" s="1283"/>
      <c r="DJ513" s="1260"/>
      <c r="DK513" s="1260"/>
      <c r="DL513" s="1263"/>
      <c r="DM513" s="1260"/>
      <c r="DN513" s="1260"/>
      <c r="DO513" s="1260"/>
      <c r="DP513" s="331"/>
      <c r="DQ513" s="332"/>
      <c r="DR513" s="1168"/>
      <c r="DS513" s="865"/>
      <c r="DT513" s="1263"/>
      <c r="DU513" s="1283"/>
      <c r="DV513" s="1260"/>
      <c r="DW513" s="1260"/>
      <c r="DX513" s="1260"/>
      <c r="DY513" s="1260"/>
      <c r="DZ513" s="1260"/>
      <c r="EA513" s="1260"/>
      <c r="EB513" s="1265"/>
      <c r="EC513" s="1261"/>
      <c r="ED513" s="1260"/>
      <c r="EE513" s="1283"/>
      <c r="EF513" s="1260"/>
      <c r="EG513" s="1260"/>
      <c r="EH513" s="1260"/>
      <c r="EI513" s="1260"/>
      <c r="EJ513" s="1260"/>
      <c r="EK513" s="1260"/>
      <c r="EL513" s="1265"/>
      <c r="EM513" s="1261"/>
      <c r="EN513" s="1264"/>
      <c r="EO513" s="1262"/>
      <c r="EP513" s="1260"/>
      <c r="EQ513" s="1260"/>
      <c r="ER513" s="1260"/>
      <c r="ES513" s="1260"/>
      <c r="ET513" s="1263"/>
      <c r="EU513" s="1260"/>
      <c r="EV513" s="1260"/>
      <c r="EW513" s="1260"/>
      <c r="EX513" s="1261"/>
      <c r="EY513" s="1261"/>
      <c r="EZ513" s="1263"/>
      <c r="FA513" s="1260"/>
      <c r="FB513" s="1260"/>
      <c r="FC513" s="1260"/>
      <c r="FD513" s="1263"/>
      <c r="FE513" s="1260"/>
      <c r="FF513" s="1260"/>
      <c r="FG513" s="1260"/>
      <c r="FH513" s="1261"/>
      <c r="FI513" s="1261"/>
      <c r="FJ513" s="1262"/>
    </row>
    <row r="514" spans="1:166" ht="14" hidden="1" customHeight="1">
      <c r="A514" s="79" t="s">
        <v>1043</v>
      </c>
      <c r="B514" s="362">
        <v>132</v>
      </c>
      <c r="C514" s="362"/>
      <c r="D514" s="362">
        <v>43</v>
      </c>
      <c r="E514" s="604" t="s">
        <v>2080</v>
      </c>
      <c r="F514" s="124" t="s">
        <v>2334</v>
      </c>
      <c r="G514" s="125">
        <v>2014</v>
      </c>
      <c r="H514" s="79">
        <v>24239430</v>
      </c>
      <c r="I514" s="79">
        <v>1</v>
      </c>
      <c r="J514" s="126" t="s">
        <v>1852</v>
      </c>
      <c r="K514" s="127"/>
      <c r="L514" s="79">
        <v>0</v>
      </c>
      <c r="M514" s="79"/>
      <c r="N514" s="79">
        <v>0</v>
      </c>
      <c r="O514" s="128">
        <v>2</v>
      </c>
      <c r="P514" s="79" t="s">
        <v>1369</v>
      </c>
      <c r="Q514" s="79"/>
      <c r="R514" s="79"/>
      <c r="S514" s="79"/>
      <c r="T514" s="79" t="s">
        <v>1367</v>
      </c>
      <c r="U514" s="79"/>
      <c r="V514" s="79"/>
      <c r="W514" s="79" t="s">
        <v>1248</v>
      </c>
      <c r="X514" s="79" t="s">
        <v>24</v>
      </c>
      <c r="Y514" s="79" t="s">
        <v>1368</v>
      </c>
      <c r="Z514" s="79"/>
      <c r="AA514" s="79" t="s">
        <v>1660</v>
      </c>
      <c r="AB514" s="79" t="s">
        <v>1659</v>
      </c>
      <c r="AC514" s="506" t="s">
        <v>6214</v>
      </c>
      <c r="AD514" s="573">
        <v>1</v>
      </c>
      <c r="AE514" s="573">
        <v>1</v>
      </c>
      <c r="AF514" s="154">
        <v>1</v>
      </c>
      <c r="AG514" s="155" t="s">
        <v>6943</v>
      </c>
      <c r="AH514" s="704"/>
      <c r="AI514" s="121">
        <v>4</v>
      </c>
      <c r="AJ514" s="484"/>
      <c r="AK514" s="202" t="s">
        <v>6914</v>
      </c>
      <c r="AL514" s="192">
        <v>0</v>
      </c>
      <c r="AM514" s="215" t="s">
        <v>6904</v>
      </c>
      <c r="AN514" s="134">
        <f>107/4</f>
        <v>26.75</v>
      </c>
      <c r="AO514" s="134">
        <f>107/8</f>
        <v>13.375</v>
      </c>
      <c r="AP514" s="134">
        <f>107/8</f>
        <v>13.375</v>
      </c>
      <c r="AQ514" s="134" t="s">
        <v>803</v>
      </c>
      <c r="AR514" s="134" t="s">
        <v>803</v>
      </c>
      <c r="AS514" s="134" t="s">
        <v>7503</v>
      </c>
      <c r="AT514" s="134" t="s">
        <v>24</v>
      </c>
      <c r="AU514" s="134" t="s">
        <v>7503</v>
      </c>
      <c r="AV514" s="134" t="s">
        <v>24</v>
      </c>
      <c r="AW514" s="134" t="s">
        <v>2717</v>
      </c>
      <c r="AX514" s="134"/>
      <c r="AY514" s="134"/>
      <c r="AZ514" s="753" t="s">
        <v>7317</v>
      </c>
      <c r="BA514" s="134">
        <v>1</v>
      </c>
      <c r="BB514" s="134">
        <v>1</v>
      </c>
      <c r="BC514" s="134" t="s">
        <v>4992</v>
      </c>
      <c r="BD514" s="753" t="s">
        <v>7523</v>
      </c>
      <c r="BE514" s="753"/>
      <c r="BF514" s="134" t="s">
        <v>1130</v>
      </c>
      <c r="BG514" s="134" t="s">
        <v>6653</v>
      </c>
      <c r="BH514" s="594" t="s">
        <v>5207</v>
      </c>
      <c r="BI514" s="594"/>
      <c r="BJ514" s="156">
        <v>1</v>
      </c>
      <c r="BK514" s="156"/>
      <c r="BL514" s="156"/>
      <c r="BM514" s="156"/>
      <c r="BN514" s="156"/>
      <c r="BO514" s="156"/>
      <c r="BP514" s="156">
        <v>1</v>
      </c>
      <c r="BQ514" s="156"/>
      <c r="BR514" s="156"/>
      <c r="BS514" s="156"/>
      <c r="BT514" s="156"/>
      <c r="BU514" s="156"/>
      <c r="BV514" s="156"/>
      <c r="BW514" s="595" t="s">
        <v>6910</v>
      </c>
      <c r="BX514" s="157" t="s">
        <v>6657</v>
      </c>
      <c r="BY514" s="797" t="s">
        <v>7613</v>
      </c>
      <c r="BZ514" s="789" t="s">
        <v>803</v>
      </c>
      <c r="CA514" s="765">
        <v>1</v>
      </c>
      <c r="CB514" s="765" t="s">
        <v>7556</v>
      </c>
      <c r="CC514" s="765" t="s">
        <v>7384</v>
      </c>
      <c r="CD514" s="134" t="s">
        <v>1876</v>
      </c>
      <c r="CE514" s="134" t="s">
        <v>6907</v>
      </c>
      <c r="CF514" s="400" t="s">
        <v>7585</v>
      </c>
      <c r="CG514" s="134" t="s">
        <v>6906</v>
      </c>
      <c r="CH514" s="753" t="s">
        <v>7310</v>
      </c>
      <c r="CI514" s="134" t="s">
        <v>1121</v>
      </c>
      <c r="CJ514" s="134"/>
      <c r="CK514" s="134" t="s">
        <v>6905</v>
      </c>
      <c r="CL514" s="150" t="s">
        <v>8296</v>
      </c>
      <c r="CM514" s="259" t="s">
        <v>6912</v>
      </c>
      <c r="CN514" s="454" t="s">
        <v>6627</v>
      </c>
      <c r="CO514" s="828">
        <v>34</v>
      </c>
      <c r="CP514" s="828">
        <v>1</v>
      </c>
      <c r="CQ514" s="828">
        <v>1</v>
      </c>
      <c r="CR514" s="828">
        <v>0</v>
      </c>
      <c r="CS514" s="828">
        <v>1</v>
      </c>
      <c r="CT514" s="967"/>
      <c r="CU514" s="1289" t="s">
        <v>8104</v>
      </c>
      <c r="CV514" s="1295">
        <v>90</v>
      </c>
      <c r="CW514" s="1295">
        <v>82</v>
      </c>
      <c r="CX514" s="138" t="s">
        <v>6908</v>
      </c>
      <c r="CY514" s="134">
        <v>34.112900000000003</v>
      </c>
      <c r="CZ514" s="134" t="s">
        <v>24</v>
      </c>
      <c r="DA514" s="134">
        <f>38.1214-Table66[[#This Row],[Data_Outcome1_M]]</f>
        <v>4.008499999999998</v>
      </c>
      <c r="DB514" s="138" t="s">
        <v>6909</v>
      </c>
      <c r="DC514" s="134">
        <v>15.452999999999999</v>
      </c>
      <c r="DD514" s="134" t="s">
        <v>24</v>
      </c>
      <c r="DE514" s="134">
        <f>18.2585-Table66[[#This Row],[Data_Outcome2_M]]</f>
        <v>2.8055000000000021</v>
      </c>
      <c r="DF514" s="294" t="s">
        <v>6911</v>
      </c>
      <c r="DG514" s="295" t="s">
        <v>6913</v>
      </c>
      <c r="DH514" s="1171" t="s">
        <v>24</v>
      </c>
      <c r="DI514" s="1169"/>
      <c r="DJ514" s="1169"/>
      <c r="DK514" s="1169"/>
      <c r="DL514" s="1171"/>
      <c r="DM514" s="1169"/>
      <c r="DN514" s="1169"/>
      <c r="DO514" s="1169"/>
      <c r="DP514" s="288"/>
      <c r="DQ514" s="289"/>
      <c r="DR514" s="1168"/>
      <c r="DS514" s="865"/>
      <c r="DT514" s="1171"/>
      <c r="DU514" s="1169"/>
      <c r="DV514" s="1169"/>
      <c r="DW514" s="1169"/>
      <c r="DX514" s="1169"/>
      <c r="DY514" s="1169"/>
      <c r="DZ514" s="1169"/>
      <c r="EA514" s="1169"/>
      <c r="EB514" s="304"/>
      <c r="EC514" s="312"/>
      <c r="ED514" s="1169"/>
      <c r="EE514" s="1169"/>
      <c r="EF514" s="1169"/>
      <c r="EG514" s="1169"/>
      <c r="EH514" s="1169"/>
      <c r="EI514" s="1169"/>
      <c r="EJ514" s="1169"/>
      <c r="EK514" s="1169"/>
      <c r="EL514" s="304"/>
      <c r="EM514" s="312"/>
      <c r="EN514" s="309"/>
      <c r="EO514" s="1170"/>
      <c r="EP514" s="1169"/>
      <c r="EQ514" s="1169"/>
      <c r="ER514" s="1169"/>
      <c r="ES514" s="1169"/>
      <c r="ET514" s="1171"/>
      <c r="EU514" s="1169"/>
      <c r="EV514" s="1169"/>
      <c r="EW514" s="1169"/>
      <c r="EX514" s="312"/>
      <c r="EY514" s="312"/>
      <c r="EZ514" s="1171"/>
      <c r="FA514" s="1169"/>
      <c r="FB514" s="1169"/>
      <c r="FC514" s="1169"/>
      <c r="FD514" s="1171"/>
      <c r="FE514" s="1169"/>
      <c r="FF514" s="1169"/>
      <c r="FG514" s="1169"/>
      <c r="FH514" s="312"/>
      <c r="FI514" s="312"/>
      <c r="FJ514" s="1170"/>
    </row>
    <row r="515" spans="1:166" ht="14" hidden="1" customHeight="1">
      <c r="A515" s="321" t="s">
        <v>1001</v>
      </c>
      <c r="B515" s="362">
        <v>37</v>
      </c>
      <c r="C515" s="362"/>
      <c r="D515" s="362"/>
      <c r="E515" s="609" t="s">
        <v>2103</v>
      </c>
      <c r="F515" s="323" t="s">
        <v>2360</v>
      </c>
      <c r="G515" s="324">
        <v>2011</v>
      </c>
      <c r="H515" s="321">
        <v>21377492</v>
      </c>
      <c r="I515" s="321">
        <v>1</v>
      </c>
      <c r="J515" s="321">
        <v>1</v>
      </c>
      <c r="K515" s="321"/>
      <c r="L515" s="321">
        <v>1</v>
      </c>
      <c r="M515" s="321"/>
      <c r="N515" s="321">
        <v>1</v>
      </c>
      <c r="O515" s="325">
        <v>2</v>
      </c>
      <c r="P515" s="321" t="s">
        <v>1303</v>
      </c>
      <c r="Q515" s="321" t="s">
        <v>1212</v>
      </c>
      <c r="R515" s="321" t="s">
        <v>1468</v>
      </c>
      <c r="S515" s="321"/>
      <c r="T515" s="321" t="s">
        <v>1498</v>
      </c>
      <c r="U515" s="321" t="s">
        <v>803</v>
      </c>
      <c r="V515" s="321"/>
      <c r="W515" s="321" t="s">
        <v>1469</v>
      </c>
      <c r="X515" s="321" t="s">
        <v>436</v>
      </c>
      <c r="Y515" s="321"/>
      <c r="Z515" s="321"/>
      <c r="AA515" s="321"/>
      <c r="AB515" s="321"/>
      <c r="AC515" s="574"/>
      <c r="AD515" s="573">
        <v>1</v>
      </c>
      <c r="AE515" s="573">
        <v>2</v>
      </c>
      <c r="AF515" s="154">
        <v>0</v>
      </c>
      <c r="AG515" s="155" t="s">
        <v>3365</v>
      </c>
      <c r="AH515" s="704" t="s">
        <v>8141</v>
      </c>
      <c r="AI515" s="326">
        <v>5</v>
      </c>
      <c r="AJ515" s="490"/>
      <c r="AK515" s="213" t="s">
        <v>3366</v>
      </c>
      <c r="AL515" s="770">
        <v>2</v>
      </c>
      <c r="AM515" s="215">
        <v>0</v>
      </c>
      <c r="AN515" s="134">
        <f>Table66[[#This Row],[Data_Subjects_n_ptsd]]+Table66[[#This Row],[Data_Subjects_n_control]]</f>
        <v>14</v>
      </c>
      <c r="AO515" s="326">
        <v>8</v>
      </c>
      <c r="AP515" s="326">
        <v>6</v>
      </c>
      <c r="AQ515" s="326" t="s">
        <v>803</v>
      </c>
      <c r="AR515" s="326" t="s">
        <v>803</v>
      </c>
      <c r="AS515" s="326" t="s">
        <v>7495</v>
      </c>
      <c r="AT515" s="326" t="s">
        <v>24</v>
      </c>
      <c r="AU515" s="326" t="s">
        <v>7495</v>
      </c>
      <c r="AV515" s="326" t="s">
        <v>24</v>
      </c>
      <c r="AW515" s="326" t="s">
        <v>3349</v>
      </c>
      <c r="AX515" s="134">
        <v>1</v>
      </c>
      <c r="AY515" s="134">
        <v>1.5</v>
      </c>
      <c r="AZ515" s="753" t="s">
        <v>1814</v>
      </c>
      <c r="BA515" s="326">
        <v>1</v>
      </c>
      <c r="BB515" s="326" t="s">
        <v>3347</v>
      </c>
      <c r="BC515" s="326" t="s">
        <v>2975</v>
      </c>
      <c r="BD515" s="753" t="s">
        <v>7523</v>
      </c>
      <c r="BE515" s="753"/>
      <c r="BF515" s="326" t="s">
        <v>1468</v>
      </c>
      <c r="BG515" s="326" t="s">
        <v>3279</v>
      </c>
      <c r="BH515" s="601"/>
      <c r="BI515" s="601"/>
      <c r="BJ515" s="328">
        <v>1</v>
      </c>
      <c r="BK515" s="156">
        <v>1</v>
      </c>
      <c r="BL515" s="328"/>
      <c r="BM515" s="328"/>
      <c r="BN515" s="328"/>
      <c r="BO515" s="328"/>
      <c r="BP515" s="156">
        <v>1</v>
      </c>
      <c r="BQ515" s="328"/>
      <c r="BR515" s="328"/>
      <c r="BS515" s="328"/>
      <c r="BT515" s="328"/>
      <c r="BU515" s="328"/>
      <c r="BV515" s="328"/>
      <c r="BW515" s="602" t="s">
        <v>7577</v>
      </c>
      <c r="BX515" s="157" t="s">
        <v>6612</v>
      </c>
      <c r="BY515" s="797" t="s">
        <v>7617</v>
      </c>
      <c r="BZ515" s="789" t="s">
        <v>803</v>
      </c>
      <c r="CA515" s="765">
        <v>2</v>
      </c>
      <c r="CB515" s="765" t="s">
        <v>7556</v>
      </c>
      <c r="CC515" s="765" t="s">
        <v>7455</v>
      </c>
      <c r="CD515" s="326" t="s">
        <v>1876</v>
      </c>
      <c r="CE515" s="326">
        <v>2</v>
      </c>
      <c r="CF515" s="400" t="s">
        <v>7580</v>
      </c>
      <c r="CG515" s="134" t="s">
        <v>3363</v>
      </c>
      <c r="CH515" s="761" t="s">
        <v>1511</v>
      </c>
      <c r="CI515" s="326" t="s">
        <v>2606</v>
      </c>
      <c r="CJ515" s="326">
        <v>0</v>
      </c>
      <c r="CK515" s="326" t="s">
        <v>3350</v>
      </c>
      <c r="CL515" s="134" t="s">
        <v>6646</v>
      </c>
      <c r="CM515" s="259" t="s">
        <v>3394</v>
      </c>
      <c r="CN515" s="454" t="s">
        <v>6627</v>
      </c>
      <c r="CO515" s="828">
        <v>59</v>
      </c>
      <c r="CP515" s="828">
        <v>8</v>
      </c>
      <c r="CQ515" s="828">
        <v>1</v>
      </c>
      <c r="CR515" s="828">
        <v>0</v>
      </c>
      <c r="CS515" s="828">
        <v>1</v>
      </c>
      <c r="CT515" s="967"/>
      <c r="CU515" s="1289" t="s">
        <v>8104</v>
      </c>
      <c r="CV515" s="1295">
        <v>151</v>
      </c>
      <c r="CW515" s="1295">
        <v>142</v>
      </c>
      <c r="CX515" s="138" t="s">
        <v>3375</v>
      </c>
      <c r="CY515" s="326">
        <v>8.1273900000000001</v>
      </c>
      <c r="CZ515" s="326" t="s">
        <v>24</v>
      </c>
      <c r="DA515" s="326">
        <f>12.8066-Table66[[#This Row],[Data_Outcome1_M]]</f>
        <v>4.6792099999999994</v>
      </c>
      <c r="DB515" s="138" t="s">
        <v>3381</v>
      </c>
      <c r="DC515" s="326">
        <v>31.356300000000001</v>
      </c>
      <c r="DD515" s="326" t="s">
        <v>24</v>
      </c>
      <c r="DE515" s="326">
        <f>42.2741-Table66[[#This Row],[Data_Outcome2_M]]</f>
        <v>10.917799999999996</v>
      </c>
      <c r="DF515" s="294" t="s">
        <v>3391</v>
      </c>
      <c r="DG515" s="295"/>
      <c r="DH515" s="1263" t="s">
        <v>24</v>
      </c>
      <c r="DI515" s="1283"/>
      <c r="DJ515" s="1260"/>
      <c r="DK515" s="1260"/>
      <c r="DL515" s="1263"/>
      <c r="DM515" s="1260"/>
      <c r="DN515" s="1260"/>
      <c r="DO515" s="1260"/>
      <c r="DP515" s="331"/>
      <c r="DQ515" s="332"/>
      <c r="DR515" s="1168"/>
      <c r="DS515" s="865"/>
      <c r="DT515" s="1263"/>
      <c r="DU515" s="1260"/>
      <c r="DV515" s="1260"/>
      <c r="DW515" s="1260"/>
      <c r="DX515" s="1260"/>
      <c r="DY515" s="1283"/>
      <c r="DZ515" s="1260"/>
      <c r="EA515" s="1283"/>
      <c r="EB515" s="1265"/>
      <c r="EC515" s="1261"/>
      <c r="ED515" s="1260"/>
      <c r="EE515" s="1283"/>
      <c r="EF515" s="1260"/>
      <c r="EG515" s="1260"/>
      <c r="EH515" s="1260"/>
      <c r="EI515" s="1260"/>
      <c r="EJ515" s="1260"/>
      <c r="EK515" s="1260"/>
      <c r="EL515" s="1265"/>
      <c r="EM515" s="1261"/>
      <c r="EN515" s="1264"/>
      <c r="EO515" s="1262"/>
      <c r="EP515" s="1260"/>
      <c r="EQ515" s="1260"/>
      <c r="ER515" s="1260"/>
      <c r="ES515" s="1260"/>
      <c r="ET515" s="1263"/>
      <c r="EU515" s="1260"/>
      <c r="EV515" s="1260"/>
      <c r="EW515" s="1260"/>
      <c r="EX515" s="1261"/>
      <c r="EY515" s="1261"/>
      <c r="EZ515" s="1263"/>
      <c r="FA515" s="1260"/>
      <c r="FB515" s="1260"/>
      <c r="FC515" s="1260"/>
      <c r="FD515" s="1263"/>
      <c r="FE515" s="1260"/>
      <c r="FF515" s="1260"/>
      <c r="FG515" s="1260"/>
      <c r="FH515" s="1261"/>
      <c r="FI515" s="1261"/>
      <c r="FJ515" s="1262"/>
    </row>
    <row r="516" spans="1:166" ht="14" hidden="1" customHeight="1">
      <c r="A516" s="153" t="s">
        <v>1000</v>
      </c>
      <c r="B516" s="618">
        <v>187</v>
      </c>
      <c r="C516" s="618">
        <v>66</v>
      </c>
      <c r="D516" s="618"/>
      <c r="E516" s="610" t="s">
        <v>2103</v>
      </c>
      <c r="F516" s="368" t="s">
        <v>2361</v>
      </c>
      <c r="G516" s="369">
        <v>2012</v>
      </c>
      <c r="H516" s="153">
        <v>22659580</v>
      </c>
      <c r="I516" s="153">
        <v>1</v>
      </c>
      <c r="J516" s="370"/>
      <c r="K516" s="371"/>
      <c r="L516" s="153">
        <v>1</v>
      </c>
      <c r="M516" s="153"/>
      <c r="N516" s="153">
        <v>1</v>
      </c>
      <c r="O516" s="153">
        <v>2</v>
      </c>
      <c r="P516" s="153" t="s">
        <v>1470</v>
      </c>
      <c r="Q516" s="153" t="s">
        <v>1147</v>
      </c>
      <c r="R516" s="153" t="s">
        <v>1138</v>
      </c>
      <c r="S516" s="153"/>
      <c r="T516" s="153" t="s">
        <v>1498</v>
      </c>
      <c r="U516" s="153" t="s">
        <v>803</v>
      </c>
      <c r="V516" s="153"/>
      <c r="W516" s="153" t="s">
        <v>1511</v>
      </c>
      <c r="X516" s="153"/>
      <c r="Y516" s="153" t="s">
        <v>1374</v>
      </c>
      <c r="Z516" s="153"/>
      <c r="AA516" s="153" t="s">
        <v>1471</v>
      </c>
      <c r="AB516" s="153"/>
      <c r="AC516" s="536"/>
      <c r="AD516" s="536">
        <v>1</v>
      </c>
      <c r="AE516" s="536">
        <v>2</v>
      </c>
      <c r="AF516" s="165">
        <v>0</v>
      </c>
      <c r="AG516" s="166" t="s">
        <v>7681</v>
      </c>
      <c r="AH516" s="509">
        <v>0</v>
      </c>
      <c r="AI516" s="120">
        <v>5</v>
      </c>
      <c r="AJ516" s="120" t="s">
        <v>5317</v>
      </c>
      <c r="AK516" s="206" t="s">
        <v>5302</v>
      </c>
      <c r="AL516" s="372">
        <v>0</v>
      </c>
      <c r="AM516" s="207" t="s">
        <v>5298</v>
      </c>
      <c r="AN516" s="120" t="s">
        <v>5315</v>
      </c>
      <c r="AO516" s="120" t="s">
        <v>5314</v>
      </c>
      <c r="AP516" s="120" t="s">
        <v>5314</v>
      </c>
      <c r="AQ516" s="120" t="s">
        <v>803</v>
      </c>
      <c r="AR516" s="120" t="s">
        <v>803</v>
      </c>
      <c r="AS516" s="806" t="s">
        <v>7495</v>
      </c>
      <c r="AT516" s="120" t="s">
        <v>24</v>
      </c>
      <c r="AU516" s="806" t="s">
        <v>7495</v>
      </c>
      <c r="AV516" s="120" t="s">
        <v>24</v>
      </c>
      <c r="AW516" s="120" t="s">
        <v>5299</v>
      </c>
      <c r="AX516" s="120">
        <v>2</v>
      </c>
      <c r="AY516" s="120">
        <v>0.5</v>
      </c>
      <c r="AZ516" s="755" t="s">
        <v>1814</v>
      </c>
      <c r="BA516" s="120">
        <v>1</v>
      </c>
      <c r="BB516" s="120" t="s">
        <v>5316</v>
      </c>
      <c r="BC516" s="120" t="s">
        <v>5300</v>
      </c>
      <c r="BD516" s="755" t="s">
        <v>7523</v>
      </c>
      <c r="BE516" s="755"/>
      <c r="BF516" s="120" t="s">
        <v>1468</v>
      </c>
      <c r="BG516" s="120" t="s">
        <v>4508</v>
      </c>
      <c r="BH516" s="377"/>
      <c r="BI516" s="377"/>
      <c r="BJ516" s="373"/>
      <c r="BK516" s="373"/>
      <c r="BL516" s="373"/>
      <c r="BM516" s="373"/>
      <c r="BN516" s="373"/>
      <c r="BO516" s="373"/>
      <c r="BP516" s="373">
        <v>1</v>
      </c>
      <c r="BQ516" s="373"/>
      <c r="BR516" s="373"/>
      <c r="BS516" s="373"/>
      <c r="BT516" s="373"/>
      <c r="BU516" s="373"/>
      <c r="BV516" s="373"/>
      <c r="BW516" s="599" t="s">
        <v>5323</v>
      </c>
      <c r="BX516" s="374" t="s">
        <v>6612</v>
      </c>
      <c r="BY516" s="799" t="s">
        <v>7617</v>
      </c>
      <c r="BZ516" s="374" t="s">
        <v>803</v>
      </c>
      <c r="CA516" s="511">
        <v>2</v>
      </c>
      <c r="CB516" s="511" t="s">
        <v>7556</v>
      </c>
      <c r="CC516" s="511" t="s">
        <v>7455</v>
      </c>
      <c r="CD516" s="120" t="s">
        <v>1876</v>
      </c>
      <c r="CE516" s="120" t="s">
        <v>5319</v>
      </c>
      <c r="CF516" s="786" t="s">
        <v>7597</v>
      </c>
      <c r="CG516" s="120" t="s">
        <v>5303</v>
      </c>
      <c r="CH516" s="755" t="s">
        <v>1511</v>
      </c>
      <c r="CI516" s="120" t="s">
        <v>5301</v>
      </c>
      <c r="CJ516" s="120"/>
      <c r="CK516" s="807" t="s">
        <v>5304</v>
      </c>
      <c r="CL516" s="808"/>
      <c r="CM516" s="375" t="s">
        <v>5324</v>
      </c>
      <c r="CN516" s="380" t="s">
        <v>24</v>
      </c>
      <c r="CO516" s="380"/>
      <c r="CP516" s="380"/>
      <c r="CQ516" s="380"/>
      <c r="CR516" s="380"/>
      <c r="CS516" s="380"/>
      <c r="CT516" s="380"/>
      <c r="CU516" s="380"/>
      <c r="CV516" s="380"/>
      <c r="CW516" s="380"/>
      <c r="CX516" s="376" t="s">
        <v>5305</v>
      </c>
      <c r="CY516" s="120">
        <v>8.2514800000000008</v>
      </c>
      <c r="CZ516" s="120" t="s">
        <v>24</v>
      </c>
      <c r="DA516" s="120">
        <f>9.3229-Table66[[#This Row],[Data_Outcome1_M]]</f>
        <v>1.0714199999999998</v>
      </c>
      <c r="DB516" s="376" t="s">
        <v>5306</v>
      </c>
      <c r="DC516" s="120">
        <v>7.1835300000000002</v>
      </c>
      <c r="DD516" s="120" t="s">
        <v>24</v>
      </c>
      <c r="DE516" s="120">
        <f>8.12103-Table66[[#This Row],[Data_Outcome2_M]]</f>
        <v>0.93749999999999911</v>
      </c>
      <c r="DF516" s="515" t="s">
        <v>5309</v>
      </c>
      <c r="DG516" s="513" t="s">
        <v>5322</v>
      </c>
      <c r="DH516" s="376" t="s">
        <v>5307</v>
      </c>
      <c r="DI516" s="120">
        <v>6.9681499999999996</v>
      </c>
      <c r="DJ516" s="384" t="s">
        <v>24</v>
      </c>
      <c r="DK516" s="120">
        <f>7.861-Table66[[#This Row],[Data_Outcome3_M]]</f>
        <v>0.89285000000000014</v>
      </c>
      <c r="DL516" s="727" t="s">
        <v>5308</v>
      </c>
      <c r="DM516" s="120">
        <v>14.962400000000001</v>
      </c>
      <c r="DN516" s="384" t="s">
        <v>24</v>
      </c>
      <c r="DO516" s="120">
        <f>16.9714-Table66[[#This Row],[Data_Outcome4_M]]</f>
        <v>2.0089999999999986</v>
      </c>
      <c r="DP516" s="375" t="s">
        <v>5310</v>
      </c>
      <c r="DQ516" s="377" t="s">
        <v>5321</v>
      </c>
      <c r="DR516" s="621" t="s">
        <v>24</v>
      </c>
      <c r="DS516" s="956" t="s">
        <v>24</v>
      </c>
      <c r="DT516" s="727" t="s">
        <v>5311</v>
      </c>
      <c r="DU516" s="120">
        <v>0.48230499999999998</v>
      </c>
      <c r="DV516" s="384" t="s">
        <v>24</v>
      </c>
      <c r="DW516" s="120">
        <f>0.52274-Table66[[#This Row],[Data_Outcome5_M]]</f>
        <v>4.0434999999999999E-2</v>
      </c>
      <c r="DX516" s="727" t="s">
        <v>5312</v>
      </c>
      <c r="DY516" s="120">
        <v>0.67094600000000004</v>
      </c>
      <c r="DZ516" s="384" t="s">
        <v>24</v>
      </c>
      <c r="EA516" s="120">
        <f>0.70225-Table66[[#This Row],[Data_Outcome6_M]]</f>
        <v>3.1303999999999998E-2</v>
      </c>
      <c r="EB516" s="1012" t="s">
        <v>5313</v>
      </c>
      <c r="EC516" s="384" t="s">
        <v>5320</v>
      </c>
      <c r="ED516" s="384" t="s">
        <v>24</v>
      </c>
      <c r="EE516" s="120" t="s">
        <v>24</v>
      </c>
      <c r="EF516" s="384" t="s">
        <v>24</v>
      </c>
      <c r="EG516" s="120" t="s">
        <v>24</v>
      </c>
      <c r="EH516" s="384"/>
      <c r="EI516" s="120"/>
      <c r="EJ516" s="384"/>
      <c r="EK516" s="120"/>
      <c r="EL516" s="1012"/>
      <c r="EM516" s="384"/>
      <c r="EN516" s="380"/>
      <c r="EO516" s="120"/>
      <c r="EP516" s="120"/>
      <c r="EQ516" s="120"/>
      <c r="ER516" s="120"/>
      <c r="ES516" s="120"/>
      <c r="ET516" s="120"/>
      <c r="EU516" s="120"/>
      <c r="EV516" s="120"/>
      <c r="EW516" s="120"/>
      <c r="EX516" s="120"/>
      <c r="EY516" s="120"/>
      <c r="EZ516" s="376"/>
      <c r="FA516" s="120"/>
      <c r="FB516" s="120"/>
      <c r="FC516" s="120"/>
      <c r="FD516" s="376"/>
      <c r="FE516" s="120"/>
      <c r="FF516" s="120"/>
      <c r="FG516" s="120"/>
      <c r="FH516" s="120"/>
      <c r="FI516" s="120"/>
      <c r="FJ516" s="120"/>
    </row>
    <row r="517" spans="1:166" ht="14" hidden="1" customHeight="1">
      <c r="A517" s="153" t="s">
        <v>998</v>
      </c>
      <c r="B517" s="618">
        <v>188</v>
      </c>
      <c r="C517" s="618"/>
      <c r="D517" s="618">
        <v>69</v>
      </c>
      <c r="E517" s="610" t="s">
        <v>2104</v>
      </c>
      <c r="F517" s="368" t="s">
        <v>2362</v>
      </c>
      <c r="G517" s="369">
        <v>2016</v>
      </c>
      <c r="H517" s="153">
        <v>27616342</v>
      </c>
      <c r="I517" s="153">
        <v>1</v>
      </c>
      <c r="J517" s="370"/>
      <c r="K517" s="371"/>
      <c r="L517" s="153">
        <v>1</v>
      </c>
      <c r="M517" s="153"/>
      <c r="N517" s="153">
        <v>1</v>
      </c>
      <c r="O517" s="153">
        <v>2</v>
      </c>
      <c r="P517" s="153" t="s">
        <v>1472</v>
      </c>
      <c r="Q517" s="153" t="s">
        <v>1166</v>
      </c>
      <c r="R517" s="153" t="s">
        <v>1127</v>
      </c>
      <c r="S517" s="153"/>
      <c r="T517" s="153" t="s">
        <v>1487</v>
      </c>
      <c r="U517" s="153" t="s">
        <v>23</v>
      </c>
      <c r="V517" s="153"/>
      <c r="W517" s="153" t="s">
        <v>1473</v>
      </c>
      <c r="X517" s="153" t="s">
        <v>1474</v>
      </c>
      <c r="Y517" s="153"/>
      <c r="Z517" s="153"/>
      <c r="AA517" s="153"/>
      <c r="AB517" s="153"/>
      <c r="AC517" s="536" t="s">
        <v>6257</v>
      </c>
      <c r="AD517" s="536">
        <v>1</v>
      </c>
      <c r="AE517" s="536">
        <v>1</v>
      </c>
      <c r="AF517" s="165">
        <v>0</v>
      </c>
      <c r="AG517" s="166" t="s">
        <v>7243</v>
      </c>
      <c r="AH517" s="509" t="s">
        <v>7283</v>
      </c>
      <c r="AI517" s="120">
        <v>4</v>
      </c>
      <c r="AJ517" s="120"/>
      <c r="AK517" s="206"/>
      <c r="AL517" s="372"/>
      <c r="AM517" s="207"/>
      <c r="AN517" s="120"/>
      <c r="AO517" s="120"/>
      <c r="AP517" s="120"/>
      <c r="AQ517" s="120"/>
      <c r="AR517" s="120"/>
      <c r="AS517" s="120"/>
      <c r="AT517" s="120"/>
      <c r="AU517" s="120"/>
      <c r="AV517" s="120"/>
      <c r="AW517" s="120"/>
      <c r="AX517" s="120"/>
      <c r="AY517" s="120"/>
      <c r="AZ517" s="755"/>
      <c r="BA517" s="120"/>
      <c r="BB517" s="120"/>
      <c r="BC517" s="120"/>
      <c r="BD517" s="755"/>
      <c r="BE517" s="755"/>
      <c r="BF517" s="120"/>
      <c r="BG517" s="120"/>
      <c r="BH517" s="377"/>
      <c r="BI517" s="377"/>
      <c r="BJ517" s="373"/>
      <c r="BK517" s="373"/>
      <c r="BL517" s="373" t="s">
        <v>6209</v>
      </c>
      <c r="BM517" s="373" t="s">
        <v>1917</v>
      </c>
      <c r="BN517" s="373"/>
      <c r="BO517" s="373" t="s">
        <v>4727</v>
      </c>
      <c r="BP517" s="373"/>
      <c r="BQ517" s="373"/>
      <c r="BR517" s="373"/>
      <c r="BS517" s="373"/>
      <c r="BT517" s="373"/>
      <c r="BU517" s="373"/>
      <c r="BV517" s="373"/>
      <c r="BW517" s="599"/>
      <c r="BX517" s="374"/>
      <c r="BY517" s="374"/>
      <c r="BZ517" s="374"/>
      <c r="CA517" s="511"/>
      <c r="CB517" s="511"/>
      <c r="CC517" s="511"/>
      <c r="CD517" s="120"/>
      <c r="CE517" s="120"/>
      <c r="CF517" s="120"/>
      <c r="CG517" s="120"/>
      <c r="CH517" s="755"/>
      <c r="CI517" s="120"/>
      <c r="CJ517" s="120"/>
      <c r="CK517" s="120"/>
      <c r="CL517" s="120"/>
      <c r="CM517" s="375"/>
      <c r="CN517" s="380"/>
      <c r="CO517" s="380"/>
      <c r="CP517" s="380"/>
      <c r="CQ517" s="380"/>
      <c r="CR517" s="380"/>
      <c r="CS517" s="380"/>
      <c r="CT517" s="380"/>
      <c r="CU517" s="380"/>
      <c r="CV517" s="380"/>
      <c r="CW517" s="380"/>
      <c r="CX517" s="376"/>
      <c r="CY517" s="120"/>
      <c r="CZ517" s="120"/>
      <c r="DA517" s="120"/>
      <c r="DB517" s="376"/>
      <c r="DC517" s="120"/>
      <c r="DD517" s="120"/>
      <c r="DE517" s="120"/>
      <c r="DF517" s="515"/>
      <c r="DG517" s="513"/>
      <c r="DH517" s="727"/>
      <c r="DI517" s="384"/>
      <c r="DJ517" s="384"/>
      <c r="DK517" s="384"/>
      <c r="DL517" s="727"/>
      <c r="DM517" s="384"/>
      <c r="DN517" s="384"/>
      <c r="DO517" s="384"/>
      <c r="DP517" s="375"/>
      <c r="DQ517" s="377"/>
      <c r="DR517" s="1182"/>
      <c r="DS517" s="956"/>
      <c r="DT517" s="727"/>
      <c r="DU517" s="384"/>
      <c r="DV517" s="384"/>
      <c r="DW517" s="384"/>
      <c r="DX517" s="384"/>
      <c r="DY517" s="384"/>
      <c r="DZ517" s="384"/>
      <c r="EA517" s="384"/>
      <c r="EB517" s="380"/>
      <c r="EC517" s="120"/>
      <c r="ED517" s="384"/>
      <c r="EE517" s="384"/>
      <c r="EF517" s="384"/>
      <c r="EG517" s="384"/>
      <c r="EH517" s="384"/>
      <c r="EI517" s="384"/>
      <c r="EJ517" s="384"/>
      <c r="EK517" s="384"/>
      <c r="EL517" s="380"/>
      <c r="EM517" s="120"/>
      <c r="EN517" s="1012"/>
      <c r="EO517" s="384"/>
      <c r="EP517" s="384"/>
      <c r="EQ517" s="384"/>
      <c r="ER517" s="384"/>
      <c r="ES517" s="384"/>
      <c r="ET517" s="727"/>
      <c r="EU517" s="384"/>
      <c r="EV517" s="384"/>
      <c r="EW517" s="384"/>
      <c r="EX517" s="384"/>
      <c r="EY517" s="384"/>
      <c r="EZ517" s="727"/>
      <c r="FA517" s="384"/>
      <c r="FB517" s="384"/>
      <c r="FC517" s="384"/>
      <c r="FD517" s="727"/>
      <c r="FE517" s="384"/>
      <c r="FF517" s="384"/>
      <c r="FG517" s="384"/>
      <c r="FH517" s="384"/>
      <c r="FI517" s="384"/>
      <c r="FJ517" s="384"/>
    </row>
    <row r="518" spans="1:166" ht="14" hidden="1" customHeight="1">
      <c r="A518" s="158" t="s">
        <v>997</v>
      </c>
      <c r="B518" s="618">
        <v>38</v>
      </c>
      <c r="C518" s="618"/>
      <c r="D518" s="618"/>
      <c r="E518" s="1095" t="s">
        <v>2105</v>
      </c>
      <c r="F518" s="711" t="s">
        <v>2363</v>
      </c>
      <c r="G518" s="1096">
        <v>2008</v>
      </c>
      <c r="H518" s="158">
        <v>18391192</v>
      </c>
      <c r="I518" s="158">
        <v>1</v>
      </c>
      <c r="J518" s="158">
        <v>1</v>
      </c>
      <c r="K518" s="158"/>
      <c r="L518" s="158">
        <v>1</v>
      </c>
      <c r="M518" s="158"/>
      <c r="N518" s="158">
        <v>1</v>
      </c>
      <c r="O518" s="158">
        <v>2</v>
      </c>
      <c r="P518" s="158" t="s">
        <v>1475</v>
      </c>
      <c r="Q518" s="158" t="s">
        <v>1216</v>
      </c>
      <c r="R518" s="158" t="s">
        <v>1138</v>
      </c>
      <c r="S518" s="158"/>
      <c r="T518" s="158" t="s">
        <v>1489</v>
      </c>
      <c r="U518" s="158"/>
      <c r="V518" s="158"/>
      <c r="W518" s="158" t="s">
        <v>1501</v>
      </c>
      <c r="X518" s="158"/>
      <c r="Y518" s="158"/>
      <c r="Z518" s="158"/>
      <c r="AA518" s="158"/>
      <c r="AB518" s="158"/>
      <c r="AC518" s="800"/>
      <c r="AD518" s="536">
        <v>1</v>
      </c>
      <c r="AE518" s="536">
        <v>2</v>
      </c>
      <c r="AF518" s="743">
        <v>0</v>
      </c>
      <c r="AG518" s="166" t="s">
        <v>7623</v>
      </c>
      <c r="AH518" s="509" t="s">
        <v>7264</v>
      </c>
      <c r="AI518" s="734">
        <v>5</v>
      </c>
      <c r="AJ518" s="734"/>
      <c r="AK518" s="739" t="s">
        <v>3366</v>
      </c>
      <c r="AL518" s="372">
        <v>2</v>
      </c>
      <c r="AM518" s="514">
        <v>0</v>
      </c>
      <c r="AN518" s="734">
        <f>Table66[[#This Row],[Data_Subjects_n_ptsd]]+Table66[[#This Row],[Data_Subjects_n_control]]</f>
        <v>10</v>
      </c>
      <c r="AO518" s="734">
        <v>5</v>
      </c>
      <c r="AP518" s="734">
        <v>5</v>
      </c>
      <c r="AQ518" s="734" t="s">
        <v>803</v>
      </c>
      <c r="AR518" s="734" t="s">
        <v>803</v>
      </c>
      <c r="AS518" s="734" t="s">
        <v>2687</v>
      </c>
      <c r="AT518" s="734" t="s">
        <v>24</v>
      </c>
      <c r="AU518" s="734" t="s">
        <v>2687</v>
      </c>
      <c r="AV518" s="734" t="s">
        <v>24</v>
      </c>
      <c r="AW518" s="734" t="s">
        <v>3311</v>
      </c>
      <c r="AX518" s="734"/>
      <c r="AY518" s="734"/>
      <c r="AZ518" s="755" t="s">
        <v>7327</v>
      </c>
      <c r="BA518" s="734">
        <v>1</v>
      </c>
      <c r="BB518" s="734" t="s">
        <v>3348</v>
      </c>
      <c r="BC518" s="734" t="s">
        <v>7541</v>
      </c>
      <c r="BD518" s="759" t="s">
        <v>7522</v>
      </c>
      <c r="BE518" s="759"/>
      <c r="BF518" s="734" t="s">
        <v>3397</v>
      </c>
      <c r="BG518" s="734" t="s">
        <v>3395</v>
      </c>
      <c r="BH518" s="372"/>
      <c r="BI518" s="372"/>
      <c r="BJ518" s="735">
        <v>1</v>
      </c>
      <c r="BK518" s="735"/>
      <c r="BL518" s="735"/>
      <c r="BM518" s="735"/>
      <c r="BN518" s="735"/>
      <c r="BO518" s="735"/>
      <c r="BP518" s="735"/>
      <c r="BQ518" s="735"/>
      <c r="BR518" s="735"/>
      <c r="BS518" s="735"/>
      <c r="BT518" s="735"/>
      <c r="BU518" s="735"/>
      <c r="BV518" s="735"/>
      <c r="BW518" s="735" t="s">
        <v>3402</v>
      </c>
      <c r="BX518" s="510" t="s">
        <v>6603</v>
      </c>
      <c r="BY518" s="799" t="s">
        <v>7615</v>
      </c>
      <c r="BZ518" s="510" t="s">
        <v>7609</v>
      </c>
      <c r="CA518" s="511">
        <v>4</v>
      </c>
      <c r="CB518" s="511" t="s">
        <v>7556</v>
      </c>
      <c r="CC518" s="511" t="s">
        <v>7384</v>
      </c>
      <c r="CD518" s="734" t="s">
        <v>1876</v>
      </c>
      <c r="CE518" s="734">
        <v>2</v>
      </c>
      <c r="CF518" s="786" t="s">
        <v>23</v>
      </c>
      <c r="CG518" s="800" t="s">
        <v>3405</v>
      </c>
      <c r="CH518" s="779" t="s">
        <v>1488</v>
      </c>
      <c r="CI518" s="774" t="s">
        <v>7552</v>
      </c>
      <c r="CJ518" s="734"/>
      <c r="CK518" s="734" t="s">
        <v>3406</v>
      </c>
      <c r="CL518" s="120" t="s">
        <v>6640</v>
      </c>
      <c r="CM518" s="737" t="s">
        <v>3464</v>
      </c>
      <c r="CN518" s="738" t="s">
        <v>6627</v>
      </c>
      <c r="CO518" s="738"/>
      <c r="CP518" s="738"/>
      <c r="CQ518" s="738"/>
      <c r="CR518" s="738"/>
      <c r="CS518" s="738"/>
      <c r="CT518" s="738"/>
      <c r="CU518" s="738"/>
      <c r="CV518" s="738"/>
      <c r="CW518" s="738"/>
      <c r="CX518" s="745" t="s">
        <v>3450</v>
      </c>
      <c r="CY518" s="734">
        <v>115.23</v>
      </c>
      <c r="CZ518" s="734" t="s">
        <v>24</v>
      </c>
      <c r="DA518" s="734">
        <f>Table66[[#This Row],[Data_Outcome1_M]]-104.152</f>
        <v>11.078000000000003</v>
      </c>
      <c r="DB518" s="745" t="s">
        <v>3451</v>
      </c>
      <c r="DC518" s="734">
        <v>70.930700000000002</v>
      </c>
      <c r="DD518" s="734" t="s">
        <v>24</v>
      </c>
      <c r="DE518" s="734">
        <f>80.1688-Table66[[#This Row],[Data_Outcome2_M]]</f>
        <v>9.2381000000000029</v>
      </c>
      <c r="DF518" s="515" t="s">
        <v>3463</v>
      </c>
      <c r="DG518" s="513" t="s">
        <v>2588</v>
      </c>
      <c r="DH518" s="745" t="s">
        <v>3452</v>
      </c>
      <c r="DI518" s="778">
        <v>93.375399999999999</v>
      </c>
      <c r="DJ518" s="778" t="s">
        <v>24</v>
      </c>
      <c r="DK518" s="778">
        <f>103.992-Table66[[#This Row],[Data_Outcome3_M]]</f>
        <v>10.616600000000005</v>
      </c>
      <c r="DL518" s="745" t="s">
        <v>3453</v>
      </c>
      <c r="DM518" s="778">
        <v>34.304900000000004</v>
      </c>
      <c r="DN518" s="778" t="s">
        <v>24</v>
      </c>
      <c r="DO518" s="778">
        <f>46.3126-Table66[[#This Row],[Data_Outcome4_M]]</f>
        <v>12.0077</v>
      </c>
      <c r="DP518" s="737" t="s">
        <v>3463</v>
      </c>
      <c r="DQ518" s="372" t="s">
        <v>2588</v>
      </c>
      <c r="DR518" s="1182"/>
      <c r="DS518" s="956"/>
      <c r="DT518" s="1272" t="s">
        <v>3454</v>
      </c>
      <c r="DU518" s="800">
        <v>49.370699999999999</v>
      </c>
      <c r="DV518" s="1249" t="s">
        <v>24</v>
      </c>
      <c r="DW518" s="800">
        <f>60.9104-Table66[[#This Row],[Data_Outcome5_M]]</f>
        <v>11.539700000000003</v>
      </c>
      <c r="DX518" s="1272" t="s">
        <v>3455</v>
      </c>
      <c r="DY518" s="778">
        <v>18.918700000000001</v>
      </c>
      <c r="DZ518" s="778" t="s">
        <v>24</v>
      </c>
      <c r="EA518" s="778">
        <f>25.3809-Table66[[#This Row],[Data_Outcome6_M]]</f>
        <v>6.4621999999999993</v>
      </c>
      <c r="EB518" s="1181" t="s">
        <v>3463</v>
      </c>
      <c r="EC518" s="778" t="s">
        <v>2588</v>
      </c>
      <c r="ED518" s="1272" t="s">
        <v>3456</v>
      </c>
      <c r="EE518" s="1249">
        <v>37.215499999999999</v>
      </c>
      <c r="EF518" s="1249" t="s">
        <v>24</v>
      </c>
      <c r="EG518" s="1249">
        <f>41.8378-Table66[[#This Row],[Data_Outcome7_M]]</f>
        <v>4.6223000000000027</v>
      </c>
      <c r="EH518" s="1272" t="s">
        <v>3457</v>
      </c>
      <c r="EI518" s="778">
        <v>14.1554</v>
      </c>
      <c r="EJ518" s="778" t="s">
        <v>24</v>
      </c>
      <c r="EK518" s="778">
        <f>21.5472-Table66[[#This Row],[Data_Outcome8_M]]</f>
        <v>7.3917999999999999</v>
      </c>
      <c r="EL518" s="1181" t="s">
        <v>3463</v>
      </c>
      <c r="EM518" s="778" t="s">
        <v>2588</v>
      </c>
      <c r="EN518" s="1181"/>
      <c r="EO518" s="778"/>
      <c r="EP518" s="1272" t="s">
        <v>3458</v>
      </c>
      <c r="EQ518" s="1249">
        <v>32.458599999999997</v>
      </c>
      <c r="ER518" s="1249" t="s">
        <v>24</v>
      </c>
      <c r="ES518" s="1249">
        <f>37.0745-Table66[[#This Row],[Data_Outcome9_M]]</f>
        <v>4.6159000000000034</v>
      </c>
      <c r="ET518" s="1272" t="s">
        <v>3459</v>
      </c>
      <c r="EU518" s="778">
        <v>13.995100000000001</v>
      </c>
      <c r="EV518" s="778" t="s">
        <v>24</v>
      </c>
      <c r="EW518" s="778">
        <f>21.8485-Table66[[#This Row],[Data_Outcome10_M]]</f>
        <v>7.8534000000000006</v>
      </c>
      <c r="EX518" s="1181" t="s">
        <v>3463</v>
      </c>
      <c r="EY518" s="778" t="s">
        <v>2588</v>
      </c>
      <c r="EZ518" s="1272" t="s">
        <v>3460</v>
      </c>
      <c r="FA518" s="1249">
        <v>33.689500000000002</v>
      </c>
      <c r="FB518" s="1249" t="s">
        <v>24</v>
      </c>
      <c r="FC518" s="1249">
        <f>43.9213-Table66[[#This Row],[Data_Outcome11_M]]</f>
        <v>10.2318</v>
      </c>
      <c r="FD518" s="1272" t="s">
        <v>3461</v>
      </c>
      <c r="FE518" s="778">
        <v>14.7644</v>
      </c>
      <c r="FF518" s="778" t="s">
        <v>24</v>
      </c>
      <c r="FG518" s="778">
        <f>22.1498-Table66[[#This Row],[Data_Outcome12_M]]</f>
        <v>7.3853999999999989</v>
      </c>
      <c r="FH518" s="1181" t="s">
        <v>3463</v>
      </c>
      <c r="FI518" s="778" t="s">
        <v>2588</v>
      </c>
      <c r="FJ518" s="778"/>
    </row>
    <row r="519" spans="1:166" ht="14" hidden="1" customHeight="1">
      <c r="A519" s="158" t="s">
        <v>997</v>
      </c>
      <c r="B519" s="618">
        <v>38</v>
      </c>
      <c r="C519" s="618"/>
      <c r="D519" s="618"/>
      <c r="E519" s="1095" t="s">
        <v>2105</v>
      </c>
      <c r="F519" s="711" t="s">
        <v>2363</v>
      </c>
      <c r="G519" s="1096">
        <v>2008</v>
      </c>
      <c r="H519" s="158">
        <v>18391192</v>
      </c>
      <c r="I519" s="158">
        <v>1</v>
      </c>
      <c r="J519" s="158">
        <v>1</v>
      </c>
      <c r="K519" s="158"/>
      <c r="L519" s="158">
        <v>1</v>
      </c>
      <c r="M519" s="158"/>
      <c r="N519" s="158">
        <v>1</v>
      </c>
      <c r="O519" s="158">
        <v>2</v>
      </c>
      <c r="P519" s="158" t="s">
        <v>1475</v>
      </c>
      <c r="Q519" s="158" t="s">
        <v>1216</v>
      </c>
      <c r="R519" s="158" t="s">
        <v>1138</v>
      </c>
      <c r="S519" s="158"/>
      <c r="T519" s="158" t="s">
        <v>1489</v>
      </c>
      <c r="U519" s="158"/>
      <c r="V519" s="158"/>
      <c r="W519" s="158" t="s">
        <v>1501</v>
      </c>
      <c r="X519" s="158"/>
      <c r="Y519" s="158"/>
      <c r="Z519" s="158"/>
      <c r="AA519" s="158"/>
      <c r="AB519" s="158"/>
      <c r="AC519" s="800"/>
      <c r="AD519" s="536">
        <v>1</v>
      </c>
      <c r="AE519" s="536">
        <v>2</v>
      </c>
      <c r="AF519" s="743">
        <v>0</v>
      </c>
      <c r="AG519" s="166" t="s">
        <v>7623</v>
      </c>
      <c r="AH519" s="509" t="s">
        <v>7264</v>
      </c>
      <c r="AI519" s="734">
        <v>5</v>
      </c>
      <c r="AJ519" s="734"/>
      <c r="AK519" s="739" t="s">
        <v>3366</v>
      </c>
      <c r="AL519" s="513">
        <v>2</v>
      </c>
      <c r="AM519" s="514">
        <v>0</v>
      </c>
      <c r="AN519" s="734">
        <f>Table66[[#This Row],[Data_Subjects_n_ptsd]]+Table66[[#This Row],[Data_Subjects_n_control]]</f>
        <v>10</v>
      </c>
      <c r="AO519" s="734">
        <v>5</v>
      </c>
      <c r="AP519" s="734">
        <v>5</v>
      </c>
      <c r="AQ519" s="734" t="s">
        <v>803</v>
      </c>
      <c r="AR519" s="734" t="s">
        <v>803</v>
      </c>
      <c r="AS519" s="734" t="s">
        <v>2687</v>
      </c>
      <c r="AT519" s="734" t="s">
        <v>24</v>
      </c>
      <c r="AU519" s="734" t="s">
        <v>2687</v>
      </c>
      <c r="AV519" s="734" t="s">
        <v>24</v>
      </c>
      <c r="AW519" s="734" t="s">
        <v>3311</v>
      </c>
      <c r="AX519" s="734"/>
      <c r="AY519" s="734"/>
      <c r="AZ519" s="755" t="s">
        <v>7327</v>
      </c>
      <c r="BA519" s="734">
        <v>1</v>
      </c>
      <c r="BB519" s="734" t="s">
        <v>3348</v>
      </c>
      <c r="BC519" s="734" t="s">
        <v>7541</v>
      </c>
      <c r="BD519" s="759" t="s">
        <v>7522</v>
      </c>
      <c r="BE519" s="759"/>
      <c r="BF519" s="734" t="s">
        <v>3397</v>
      </c>
      <c r="BG519" s="734" t="s">
        <v>3395</v>
      </c>
      <c r="BH519" s="372"/>
      <c r="BI519" s="372"/>
      <c r="BJ519" s="735">
        <v>1</v>
      </c>
      <c r="BK519" s="735"/>
      <c r="BL519" s="735"/>
      <c r="BM519" s="735"/>
      <c r="BN519" s="735"/>
      <c r="BO519" s="735"/>
      <c r="BP519" s="735"/>
      <c r="BQ519" s="735"/>
      <c r="BR519" s="735"/>
      <c r="BS519" s="735"/>
      <c r="BT519" s="735"/>
      <c r="BU519" s="735"/>
      <c r="BV519" s="735"/>
      <c r="BW519" s="735" t="s">
        <v>3400</v>
      </c>
      <c r="BX519" s="510" t="s">
        <v>6595</v>
      </c>
      <c r="BY519" s="799" t="s">
        <v>7615</v>
      </c>
      <c r="BZ519" s="510" t="s">
        <v>803</v>
      </c>
      <c r="CA519" s="511">
        <v>4</v>
      </c>
      <c r="CB519" s="511" t="s">
        <v>7556</v>
      </c>
      <c r="CC519" s="511" t="s">
        <v>7384</v>
      </c>
      <c r="CD519" s="734" t="s">
        <v>1876</v>
      </c>
      <c r="CE519" s="734">
        <v>2</v>
      </c>
      <c r="CF519" s="786" t="s">
        <v>23</v>
      </c>
      <c r="CG519" s="734" t="s">
        <v>3407</v>
      </c>
      <c r="CH519" s="755" t="s">
        <v>1488</v>
      </c>
      <c r="CI519" s="774" t="s">
        <v>7552</v>
      </c>
      <c r="CJ519" s="734"/>
      <c r="CK519" s="734" t="s">
        <v>3406</v>
      </c>
      <c r="CL519" s="120" t="s">
        <v>6640</v>
      </c>
      <c r="CM519" s="737" t="s">
        <v>3448</v>
      </c>
      <c r="CN519" s="738" t="s">
        <v>6627</v>
      </c>
      <c r="CO519" s="738"/>
      <c r="CP519" s="738"/>
      <c r="CQ519" s="738"/>
      <c r="CR519" s="738"/>
      <c r="CS519" s="738"/>
      <c r="CT519" s="738"/>
      <c r="CU519" s="738"/>
      <c r="CV519" s="738"/>
      <c r="CW519" s="738"/>
      <c r="CX519" s="736" t="s">
        <v>3411</v>
      </c>
      <c r="CY519" s="734">
        <v>60</v>
      </c>
      <c r="CZ519" s="734" t="s">
        <v>24</v>
      </c>
      <c r="DA519" s="734">
        <v>1.1000000000000001</v>
      </c>
      <c r="DB519" s="736" t="s">
        <v>3415</v>
      </c>
      <c r="DC519" s="734">
        <v>37</v>
      </c>
      <c r="DD519" s="734" t="s">
        <v>24</v>
      </c>
      <c r="DE519" s="734">
        <v>9.6999999999999993</v>
      </c>
      <c r="DF519" s="515" t="s">
        <v>3418</v>
      </c>
      <c r="DG519" s="513" t="s">
        <v>3417</v>
      </c>
      <c r="DH519" s="736"/>
      <c r="DI519" s="778"/>
      <c r="DJ519" s="778"/>
      <c r="DK519" s="778"/>
      <c r="DL519" s="736"/>
      <c r="DM519" s="778"/>
      <c r="DN519" s="778"/>
      <c r="DO519" s="778"/>
      <c r="DP519" s="737"/>
      <c r="DQ519" s="372"/>
      <c r="DR519" s="1182"/>
      <c r="DS519" s="956"/>
      <c r="DT519" s="1180"/>
      <c r="DU519" s="734"/>
      <c r="DV519" s="778"/>
      <c r="DW519" s="734"/>
      <c r="DX519" s="778"/>
      <c r="DY519" s="778"/>
      <c r="DZ519" s="778"/>
      <c r="EA519" s="778"/>
      <c r="EB519" s="1181"/>
      <c r="EC519" s="778"/>
      <c r="ED519" s="778"/>
      <c r="EE519" s="778"/>
      <c r="EF519" s="778"/>
      <c r="EG519" s="778"/>
      <c r="EH519" s="778"/>
      <c r="EI519" s="778"/>
      <c r="EJ519" s="778"/>
      <c r="EK519" s="778"/>
      <c r="EL519" s="1181"/>
      <c r="EM519" s="778"/>
      <c r="EN519" s="1181"/>
      <c r="EO519" s="778"/>
      <c r="EP519" s="778"/>
      <c r="EQ519" s="778"/>
      <c r="ER519" s="778"/>
      <c r="ES519" s="778"/>
      <c r="ET519" s="1180"/>
      <c r="EU519" s="778"/>
      <c r="EV519" s="778"/>
      <c r="EW519" s="778"/>
      <c r="EX519" s="778"/>
      <c r="EY519" s="778"/>
      <c r="EZ519" s="1180"/>
      <c r="FA519" s="778"/>
      <c r="FB519" s="778"/>
      <c r="FC519" s="778"/>
      <c r="FD519" s="1180"/>
      <c r="FE519" s="778"/>
      <c r="FF519" s="778"/>
      <c r="FG519" s="778"/>
      <c r="FH519" s="778"/>
      <c r="FI519" s="778"/>
      <c r="FJ519" s="778"/>
    </row>
    <row r="520" spans="1:166" ht="14" hidden="1" customHeight="1">
      <c r="A520" s="158" t="s">
        <v>997</v>
      </c>
      <c r="B520" s="618">
        <v>38</v>
      </c>
      <c r="C520" s="618"/>
      <c r="D520" s="618"/>
      <c r="E520" s="1095" t="s">
        <v>2105</v>
      </c>
      <c r="F520" s="711" t="s">
        <v>2363</v>
      </c>
      <c r="G520" s="1096">
        <v>2008</v>
      </c>
      <c r="H520" s="158">
        <v>18391192</v>
      </c>
      <c r="I520" s="158">
        <v>1</v>
      </c>
      <c r="J520" s="158">
        <v>1</v>
      </c>
      <c r="K520" s="158"/>
      <c r="L520" s="158">
        <v>1</v>
      </c>
      <c r="M520" s="158"/>
      <c r="N520" s="158">
        <v>1</v>
      </c>
      <c r="O520" s="158">
        <v>2</v>
      </c>
      <c r="P520" s="158" t="s">
        <v>1475</v>
      </c>
      <c r="Q520" s="158" t="s">
        <v>1216</v>
      </c>
      <c r="R520" s="158" t="s">
        <v>1138</v>
      </c>
      <c r="S520" s="158"/>
      <c r="T520" s="158" t="s">
        <v>1489</v>
      </c>
      <c r="U520" s="158"/>
      <c r="V520" s="158"/>
      <c r="W520" s="158" t="s">
        <v>1501</v>
      </c>
      <c r="X520" s="158"/>
      <c r="Y520" s="158"/>
      <c r="Z520" s="158"/>
      <c r="AA520" s="158"/>
      <c r="AB520" s="158"/>
      <c r="AC520" s="800"/>
      <c r="AD520" s="536">
        <v>1</v>
      </c>
      <c r="AE520" s="536">
        <v>2</v>
      </c>
      <c r="AF520" s="743">
        <v>0</v>
      </c>
      <c r="AG520" s="166" t="s">
        <v>7623</v>
      </c>
      <c r="AH520" s="509" t="s">
        <v>7264</v>
      </c>
      <c r="AI520" s="734">
        <v>5</v>
      </c>
      <c r="AJ520" s="734"/>
      <c r="AK520" s="739" t="s">
        <v>3366</v>
      </c>
      <c r="AL520" s="372">
        <v>2</v>
      </c>
      <c r="AM520" s="514">
        <v>0</v>
      </c>
      <c r="AN520" s="734">
        <f>Table66[[#This Row],[Data_Subjects_n_ptsd]]+Table66[[#This Row],[Data_Subjects_n_control]]</f>
        <v>10</v>
      </c>
      <c r="AO520" s="734">
        <v>5</v>
      </c>
      <c r="AP520" s="734">
        <v>5</v>
      </c>
      <c r="AQ520" s="734" t="s">
        <v>803</v>
      </c>
      <c r="AR520" s="734" t="s">
        <v>803</v>
      </c>
      <c r="AS520" s="734" t="s">
        <v>2687</v>
      </c>
      <c r="AT520" s="734" t="s">
        <v>24</v>
      </c>
      <c r="AU520" s="734" t="s">
        <v>2687</v>
      </c>
      <c r="AV520" s="734" t="s">
        <v>24</v>
      </c>
      <c r="AW520" s="734" t="s">
        <v>3311</v>
      </c>
      <c r="AX520" s="734"/>
      <c r="AY520" s="734"/>
      <c r="AZ520" s="755" t="s">
        <v>7327</v>
      </c>
      <c r="BA520" s="734">
        <v>1</v>
      </c>
      <c r="BB520" s="734" t="s">
        <v>3348</v>
      </c>
      <c r="BC520" s="734" t="s">
        <v>7541</v>
      </c>
      <c r="BD520" s="759" t="s">
        <v>7522</v>
      </c>
      <c r="BE520" s="759"/>
      <c r="BF520" s="734" t="s">
        <v>3397</v>
      </c>
      <c r="BG520" s="734" t="s">
        <v>3395</v>
      </c>
      <c r="BH520" s="372"/>
      <c r="BI520" s="372"/>
      <c r="BJ520" s="735">
        <v>1</v>
      </c>
      <c r="BK520" s="735"/>
      <c r="BL520" s="735"/>
      <c r="BM520" s="735"/>
      <c r="BN520" s="735"/>
      <c r="BO520" s="735"/>
      <c r="BP520" s="735"/>
      <c r="BQ520" s="735"/>
      <c r="BR520" s="735"/>
      <c r="BS520" s="735"/>
      <c r="BT520" s="735"/>
      <c r="BU520" s="735"/>
      <c r="BV520" s="735"/>
      <c r="BW520" s="735" t="s">
        <v>3400</v>
      </c>
      <c r="BX520" s="510" t="s">
        <v>6595</v>
      </c>
      <c r="BY520" s="799" t="s">
        <v>7615</v>
      </c>
      <c r="BZ520" s="510" t="s">
        <v>803</v>
      </c>
      <c r="CA520" s="510">
        <v>4</v>
      </c>
      <c r="CB520" s="510" t="s">
        <v>7556</v>
      </c>
      <c r="CC520" s="510" t="s">
        <v>7384</v>
      </c>
      <c r="CD520" s="734" t="s">
        <v>1876</v>
      </c>
      <c r="CE520" s="734">
        <v>2</v>
      </c>
      <c r="CF520" s="786" t="s">
        <v>23</v>
      </c>
      <c r="CG520" s="734" t="s">
        <v>3409</v>
      </c>
      <c r="CH520" s="755" t="s">
        <v>1488</v>
      </c>
      <c r="CI520" s="774" t="s">
        <v>7552</v>
      </c>
      <c r="CJ520" s="734"/>
      <c r="CK520" s="734" t="s">
        <v>3406</v>
      </c>
      <c r="CL520" s="120" t="s">
        <v>6640</v>
      </c>
      <c r="CM520" s="737" t="s">
        <v>3448</v>
      </c>
      <c r="CN520" s="738" t="s">
        <v>6627</v>
      </c>
      <c r="CO520" s="738"/>
      <c r="CP520" s="738"/>
      <c r="CQ520" s="738"/>
      <c r="CR520" s="738"/>
      <c r="CS520" s="738"/>
      <c r="CT520" s="738"/>
      <c r="CU520" s="738"/>
      <c r="CV520" s="738"/>
      <c r="CW520" s="738"/>
      <c r="CX520" s="736" t="s">
        <v>3412</v>
      </c>
      <c r="CY520" s="734">
        <v>121</v>
      </c>
      <c r="CZ520" s="734" t="s">
        <v>24</v>
      </c>
      <c r="DA520" s="734">
        <v>5.6</v>
      </c>
      <c r="DB520" s="736" t="s">
        <v>3414</v>
      </c>
      <c r="DC520" s="734">
        <v>68</v>
      </c>
      <c r="DD520" s="734" t="s">
        <v>24</v>
      </c>
      <c r="DE520" s="734">
        <v>9.9</v>
      </c>
      <c r="DF520" s="515" t="s">
        <v>3418</v>
      </c>
      <c r="DG520" s="513" t="s">
        <v>3417</v>
      </c>
      <c r="DH520" s="736"/>
      <c r="DI520" s="734"/>
      <c r="DJ520" s="778"/>
      <c r="DK520" s="734"/>
      <c r="DL520" s="1180"/>
      <c r="DM520" s="734"/>
      <c r="DN520" s="778"/>
      <c r="DO520" s="734"/>
      <c r="DP520" s="737"/>
      <c r="DQ520" s="372"/>
      <c r="DR520" s="1182"/>
      <c r="DS520" s="956"/>
      <c r="DT520" s="1180"/>
      <c r="DU520" s="734"/>
      <c r="DV520" s="778"/>
      <c r="DW520" s="734"/>
      <c r="DX520" s="778"/>
      <c r="DY520" s="734"/>
      <c r="DZ520" s="778"/>
      <c r="EA520" s="734"/>
      <c r="EB520" s="1181"/>
      <c r="EC520" s="778"/>
      <c r="ED520" s="778"/>
      <c r="EE520" s="734"/>
      <c r="EF520" s="778"/>
      <c r="EG520" s="734"/>
      <c r="EH520" s="778"/>
      <c r="EI520" s="734"/>
      <c r="EJ520" s="778"/>
      <c r="EK520" s="734"/>
      <c r="EL520" s="1181"/>
      <c r="EM520" s="778"/>
      <c r="EN520" s="1181"/>
      <c r="EO520" s="778"/>
      <c r="EP520" s="734"/>
      <c r="EQ520" s="734"/>
      <c r="ER520" s="734"/>
      <c r="ES520" s="734"/>
      <c r="ET520" s="736"/>
      <c r="EU520" s="778"/>
      <c r="EV520" s="778"/>
      <c r="EW520" s="778"/>
      <c r="EX520" s="778"/>
      <c r="EY520" s="778"/>
      <c r="EZ520" s="736"/>
      <c r="FA520" s="734"/>
      <c r="FB520" s="734"/>
      <c r="FC520" s="734"/>
      <c r="FD520" s="736"/>
      <c r="FE520" s="778"/>
      <c r="FF520" s="778"/>
      <c r="FG520" s="778"/>
      <c r="FH520" s="778"/>
      <c r="FI520" s="778"/>
      <c r="FJ520" s="778"/>
    </row>
    <row r="521" spans="1:166" ht="14" hidden="1" customHeight="1">
      <c r="A521" s="158" t="s">
        <v>997</v>
      </c>
      <c r="B521" s="618">
        <v>38</v>
      </c>
      <c r="C521" s="618"/>
      <c r="D521" s="618"/>
      <c r="E521" s="1095" t="s">
        <v>2105</v>
      </c>
      <c r="F521" s="711" t="s">
        <v>2363</v>
      </c>
      <c r="G521" s="1096">
        <v>2008</v>
      </c>
      <c r="H521" s="158">
        <v>18391192</v>
      </c>
      <c r="I521" s="158">
        <v>1</v>
      </c>
      <c r="J521" s="158">
        <v>1</v>
      </c>
      <c r="K521" s="158"/>
      <c r="L521" s="158">
        <v>1</v>
      </c>
      <c r="M521" s="158"/>
      <c r="N521" s="158">
        <v>1</v>
      </c>
      <c r="O521" s="158">
        <v>2</v>
      </c>
      <c r="P521" s="158" t="s">
        <v>1475</v>
      </c>
      <c r="Q521" s="158" t="s">
        <v>1216</v>
      </c>
      <c r="R521" s="158" t="s">
        <v>1138</v>
      </c>
      <c r="S521" s="158"/>
      <c r="T521" s="158" t="s">
        <v>1489</v>
      </c>
      <c r="U521" s="158"/>
      <c r="V521" s="158"/>
      <c r="W521" s="158" t="s">
        <v>1501</v>
      </c>
      <c r="X521" s="158"/>
      <c r="Y521" s="158"/>
      <c r="Z521" s="158"/>
      <c r="AA521" s="158"/>
      <c r="AB521" s="158"/>
      <c r="AC521" s="800"/>
      <c r="AD521" s="536">
        <v>1</v>
      </c>
      <c r="AE521" s="536">
        <v>2</v>
      </c>
      <c r="AF521" s="743">
        <v>0</v>
      </c>
      <c r="AG521" s="166" t="s">
        <v>7623</v>
      </c>
      <c r="AH521" s="509" t="s">
        <v>7264</v>
      </c>
      <c r="AI521" s="734">
        <v>5</v>
      </c>
      <c r="AJ521" s="734"/>
      <c r="AK521" s="739" t="s">
        <v>3366</v>
      </c>
      <c r="AL521" s="372">
        <v>2</v>
      </c>
      <c r="AM521" s="514">
        <v>0</v>
      </c>
      <c r="AN521" s="734">
        <f>Table66[[#This Row],[Data_Subjects_n_ptsd]]+Table66[[#This Row],[Data_Subjects_n_control]]</f>
        <v>10</v>
      </c>
      <c r="AO521" s="734">
        <v>5</v>
      </c>
      <c r="AP521" s="734">
        <v>5</v>
      </c>
      <c r="AQ521" s="734" t="s">
        <v>803</v>
      </c>
      <c r="AR521" s="734" t="s">
        <v>803</v>
      </c>
      <c r="AS521" s="734" t="s">
        <v>2687</v>
      </c>
      <c r="AT521" s="734" t="s">
        <v>24</v>
      </c>
      <c r="AU521" s="734" t="s">
        <v>2687</v>
      </c>
      <c r="AV521" s="734" t="s">
        <v>24</v>
      </c>
      <c r="AW521" s="734" t="s">
        <v>3311</v>
      </c>
      <c r="AX521" s="734"/>
      <c r="AY521" s="734"/>
      <c r="AZ521" s="755" t="s">
        <v>7327</v>
      </c>
      <c r="BA521" s="734">
        <v>1</v>
      </c>
      <c r="BB521" s="734" t="s">
        <v>3348</v>
      </c>
      <c r="BC521" s="734" t="s">
        <v>7541</v>
      </c>
      <c r="BD521" s="759" t="s">
        <v>7522</v>
      </c>
      <c r="BE521" s="759"/>
      <c r="BF521" s="734" t="s">
        <v>3397</v>
      </c>
      <c r="BG521" s="734" t="s">
        <v>3395</v>
      </c>
      <c r="BH521" s="372"/>
      <c r="BI521" s="372"/>
      <c r="BJ521" s="735">
        <v>1</v>
      </c>
      <c r="BK521" s="735"/>
      <c r="BL521" s="735"/>
      <c r="BM521" s="735"/>
      <c r="BN521" s="735"/>
      <c r="BO521" s="735"/>
      <c r="BP521" s="735"/>
      <c r="BQ521" s="735"/>
      <c r="BR521" s="735"/>
      <c r="BS521" s="735"/>
      <c r="BT521" s="735"/>
      <c r="BU521" s="735"/>
      <c r="BV521" s="735"/>
      <c r="BW521" s="735" t="s">
        <v>3401</v>
      </c>
      <c r="BX521" s="510" t="s">
        <v>6597</v>
      </c>
      <c r="BY521" s="799" t="s">
        <v>7615</v>
      </c>
      <c r="BZ521" s="510" t="s">
        <v>7609</v>
      </c>
      <c r="CA521" s="511">
        <v>4</v>
      </c>
      <c r="CB521" s="511" t="s">
        <v>7556</v>
      </c>
      <c r="CC521" s="511" t="s">
        <v>7380</v>
      </c>
      <c r="CD521" s="734" t="s">
        <v>1876</v>
      </c>
      <c r="CE521" s="734">
        <v>2</v>
      </c>
      <c r="CF521" s="786" t="s">
        <v>23</v>
      </c>
      <c r="CG521" s="800" t="s">
        <v>3404</v>
      </c>
      <c r="CH521" s="779" t="s">
        <v>1488</v>
      </c>
      <c r="CI521" s="774" t="s">
        <v>7552</v>
      </c>
      <c r="CJ521" s="734"/>
      <c r="CK521" s="734" t="s">
        <v>3406</v>
      </c>
      <c r="CL521" s="120" t="s">
        <v>6640</v>
      </c>
      <c r="CM521" s="737" t="s">
        <v>3446</v>
      </c>
      <c r="CN521" s="738">
        <v>0</v>
      </c>
      <c r="CO521" s="738"/>
      <c r="CP521" s="738"/>
      <c r="CQ521" s="738"/>
      <c r="CR521" s="738"/>
      <c r="CS521" s="738"/>
      <c r="CT521" s="738"/>
      <c r="CU521" s="738"/>
      <c r="CV521" s="738"/>
      <c r="CW521" s="738"/>
      <c r="CX521" s="745" t="s">
        <v>3435</v>
      </c>
      <c r="CY521" s="734">
        <v>205.28100000000001</v>
      </c>
      <c r="CZ521" s="734" t="s">
        <v>24</v>
      </c>
      <c r="DA521" s="734">
        <f>Table66[[#This Row],[Data_Outcome1_M]]-181.349</f>
        <v>23.932000000000016</v>
      </c>
      <c r="DB521" s="745" t="s">
        <v>3438</v>
      </c>
      <c r="DC521" s="734">
        <v>216.82900000000001</v>
      </c>
      <c r="DD521" s="778" t="s">
        <v>24</v>
      </c>
      <c r="DE521" s="734">
        <f>234.976-Table66[[#This Row],[Data_Outcome2_M]]</f>
        <v>18.146999999999991</v>
      </c>
      <c r="DF521" s="515" t="s">
        <v>3441</v>
      </c>
      <c r="DG521" s="513" t="s">
        <v>2480</v>
      </c>
      <c r="DH521" s="1272" t="s">
        <v>3436</v>
      </c>
      <c r="DI521" s="778">
        <v>152.14599999999999</v>
      </c>
      <c r="DJ521" s="778" t="s">
        <v>24</v>
      </c>
      <c r="DK521" s="778">
        <f>174.245-Table66[[#This Row],[Data_Outcome3_M]]</f>
        <v>22.099000000000018</v>
      </c>
      <c r="DL521" s="1272" t="s">
        <v>3439</v>
      </c>
      <c r="DM521" s="778">
        <v>139.767</v>
      </c>
      <c r="DN521" s="778" t="s">
        <v>24</v>
      </c>
      <c r="DO521" s="778">
        <f>Table66[[#This Row],[Data_Outcome4_M]]-121.616</f>
        <v>18.150999999999996</v>
      </c>
      <c r="DP521" s="737" t="s">
        <v>3442</v>
      </c>
      <c r="DQ521" s="372" t="s">
        <v>3443</v>
      </c>
      <c r="DR521" s="1182"/>
      <c r="DS521" s="956"/>
      <c r="DT521" s="745" t="s">
        <v>3437</v>
      </c>
      <c r="DU521" s="734">
        <v>99.837999999999994</v>
      </c>
      <c r="DV521" s="734" t="s">
        <v>24</v>
      </c>
      <c r="DW521" s="734">
        <f>Table66[[#This Row],[Data_Outcome5_M]]-79.2089</f>
        <v>20.629099999999994</v>
      </c>
      <c r="DX521" s="745" t="s">
        <v>3440</v>
      </c>
      <c r="DY521" s="778">
        <v>110.56100000000001</v>
      </c>
      <c r="DZ521" s="778" t="s">
        <v>24</v>
      </c>
      <c r="EA521" s="778">
        <f>122.11-Table66[[#This Row],[Data_Outcome6_M]]</f>
        <v>11.548999999999992</v>
      </c>
      <c r="EB521" s="738" t="s">
        <v>3444</v>
      </c>
      <c r="EC521" s="734" t="s">
        <v>3445</v>
      </c>
      <c r="ED521" s="734"/>
      <c r="EE521" s="734"/>
      <c r="EF521" s="734"/>
      <c r="EG521" s="734"/>
      <c r="EH521" s="734"/>
      <c r="EI521" s="778"/>
      <c r="EJ521" s="778"/>
      <c r="EK521" s="778"/>
      <c r="EL521" s="1181"/>
      <c r="EM521" s="778"/>
      <c r="EN521" s="1181"/>
      <c r="EO521" s="778"/>
      <c r="EP521" s="734"/>
      <c r="EQ521" s="734"/>
      <c r="ER521" s="734"/>
      <c r="ES521" s="734"/>
      <c r="ET521" s="736"/>
      <c r="EU521" s="778"/>
      <c r="EV521" s="778"/>
      <c r="EW521" s="778"/>
      <c r="EX521" s="778"/>
      <c r="EY521" s="778"/>
      <c r="EZ521" s="736"/>
      <c r="FA521" s="734"/>
      <c r="FB521" s="734"/>
      <c r="FC521" s="734"/>
      <c r="FD521" s="736"/>
      <c r="FE521" s="778"/>
      <c r="FF521" s="778"/>
      <c r="FG521" s="778"/>
      <c r="FH521" s="778"/>
      <c r="FI521" s="778"/>
      <c r="FJ521" s="778"/>
    </row>
    <row r="522" spans="1:166" ht="14" hidden="1" customHeight="1">
      <c r="A522" s="153" t="s">
        <v>997</v>
      </c>
      <c r="B522" s="618">
        <v>38</v>
      </c>
      <c r="C522" s="618"/>
      <c r="D522" s="618"/>
      <c r="E522" s="1098" t="s">
        <v>2105</v>
      </c>
      <c r="F522" s="1021" t="s">
        <v>2363</v>
      </c>
      <c r="G522" s="1099">
        <v>2008</v>
      </c>
      <c r="H522" s="153">
        <v>18391192</v>
      </c>
      <c r="I522" s="153">
        <v>1</v>
      </c>
      <c r="J522" s="153">
        <v>1</v>
      </c>
      <c r="K522" s="153"/>
      <c r="L522" s="153">
        <v>1</v>
      </c>
      <c r="M522" s="153"/>
      <c r="N522" s="153">
        <v>1</v>
      </c>
      <c r="O522" s="153">
        <v>2</v>
      </c>
      <c r="P522" s="153" t="s">
        <v>1475</v>
      </c>
      <c r="Q522" s="153" t="s">
        <v>1216</v>
      </c>
      <c r="R522" s="153" t="s">
        <v>1138</v>
      </c>
      <c r="S522" s="153"/>
      <c r="T522" s="153" t="s">
        <v>1489</v>
      </c>
      <c r="U522" s="153"/>
      <c r="V522" s="153"/>
      <c r="W522" s="153" t="s">
        <v>1501</v>
      </c>
      <c r="X522" s="153"/>
      <c r="Y522" s="153"/>
      <c r="Z522" s="153"/>
      <c r="AA522" s="153"/>
      <c r="AB522" s="153"/>
      <c r="AC522" s="536"/>
      <c r="AD522" s="536">
        <v>1</v>
      </c>
      <c r="AE522" s="536">
        <v>2</v>
      </c>
      <c r="AF522" s="743">
        <v>0</v>
      </c>
      <c r="AG522" s="166" t="s">
        <v>7623</v>
      </c>
      <c r="AH522" s="509" t="s">
        <v>7264</v>
      </c>
      <c r="AI522" s="509">
        <v>5</v>
      </c>
      <c r="AJ522" s="509"/>
      <c r="AK522" s="512" t="s">
        <v>3396</v>
      </c>
      <c r="AL522" s="513">
        <v>2</v>
      </c>
      <c r="AM522" s="514">
        <v>0</v>
      </c>
      <c r="AN522" s="509">
        <f>Table66[[#This Row],[Data_Subjects_n_ptsd]]+Table66[[#This Row],[Data_Subjects_n_control]]</f>
        <v>10</v>
      </c>
      <c r="AO522" s="509">
        <v>5</v>
      </c>
      <c r="AP522" s="509">
        <v>5</v>
      </c>
      <c r="AQ522" s="509" t="s">
        <v>803</v>
      </c>
      <c r="AR522" s="509" t="s">
        <v>803</v>
      </c>
      <c r="AS522" s="734" t="s">
        <v>2687</v>
      </c>
      <c r="AT522" s="734" t="s">
        <v>24</v>
      </c>
      <c r="AU522" s="734" t="s">
        <v>2687</v>
      </c>
      <c r="AV522" s="509" t="s">
        <v>24</v>
      </c>
      <c r="AW522" s="509" t="s">
        <v>3311</v>
      </c>
      <c r="AX522" s="509"/>
      <c r="AY522" s="509"/>
      <c r="AZ522" s="755" t="s">
        <v>7327</v>
      </c>
      <c r="BA522" s="509">
        <v>1</v>
      </c>
      <c r="BB522" s="509" t="s">
        <v>3348</v>
      </c>
      <c r="BC522" s="734" t="s">
        <v>7541</v>
      </c>
      <c r="BD522" s="759" t="s">
        <v>7522</v>
      </c>
      <c r="BE522" s="759"/>
      <c r="BF522" s="509" t="s">
        <v>3397</v>
      </c>
      <c r="BG522" s="509" t="s">
        <v>3395</v>
      </c>
      <c r="BH522" s="513"/>
      <c r="BI522" s="513"/>
      <c r="BJ522" s="511">
        <v>1</v>
      </c>
      <c r="BK522" s="511"/>
      <c r="BL522" s="511"/>
      <c r="BM522" s="511"/>
      <c r="BN522" s="511"/>
      <c r="BO522" s="511"/>
      <c r="BP522" s="511"/>
      <c r="BQ522" s="511"/>
      <c r="BR522" s="511"/>
      <c r="BS522" s="511"/>
      <c r="BT522" s="511"/>
      <c r="BU522" s="511"/>
      <c r="BV522" s="511"/>
      <c r="BW522" s="511" t="s">
        <v>2528</v>
      </c>
      <c r="BX522" s="510" t="s">
        <v>6596</v>
      </c>
      <c r="BY522" s="799" t="s">
        <v>7615</v>
      </c>
      <c r="BZ522" s="510" t="s">
        <v>7610</v>
      </c>
      <c r="CA522" s="511">
        <v>4</v>
      </c>
      <c r="CB522" s="511" t="s">
        <v>7556</v>
      </c>
      <c r="CC522" s="511" t="s">
        <v>7380</v>
      </c>
      <c r="CD522" s="509" t="s">
        <v>1876</v>
      </c>
      <c r="CE522" s="509">
        <v>2</v>
      </c>
      <c r="CF522" s="786" t="s">
        <v>23</v>
      </c>
      <c r="CG522" s="509" t="s">
        <v>3419</v>
      </c>
      <c r="CH522" s="755" t="s">
        <v>1488</v>
      </c>
      <c r="CI522" s="774" t="s">
        <v>7552</v>
      </c>
      <c r="CJ522" s="509"/>
      <c r="CK522" s="509" t="s">
        <v>3406</v>
      </c>
      <c r="CL522" s="120" t="s">
        <v>6640</v>
      </c>
      <c r="CM522" s="515" t="s">
        <v>3447</v>
      </c>
      <c r="CN522" s="621">
        <v>0</v>
      </c>
      <c r="CO522" s="621"/>
      <c r="CP522" s="621"/>
      <c r="CQ522" s="621"/>
      <c r="CR522" s="621"/>
      <c r="CS522" s="621"/>
      <c r="CT522" s="621"/>
      <c r="CU522" s="621"/>
      <c r="CV522" s="621"/>
      <c r="CW522" s="621"/>
      <c r="CX522" s="510" t="s">
        <v>3422</v>
      </c>
      <c r="CY522" s="509">
        <v>12.8</v>
      </c>
      <c r="CZ522" s="509" t="s">
        <v>24</v>
      </c>
      <c r="DA522" s="509">
        <v>1.7</v>
      </c>
      <c r="DB522" s="510" t="s">
        <v>3425</v>
      </c>
      <c r="DC522" s="509">
        <v>15</v>
      </c>
      <c r="DD522" s="509" t="s">
        <v>24</v>
      </c>
      <c r="DE522" s="509">
        <v>3.3</v>
      </c>
      <c r="DF522" s="515" t="s">
        <v>3428</v>
      </c>
      <c r="DG522" s="513" t="s">
        <v>2480</v>
      </c>
      <c r="DH522" s="956"/>
      <c r="DI522" s="1194"/>
      <c r="DJ522" s="1194"/>
      <c r="DK522" s="1194"/>
      <c r="DL522" s="956"/>
      <c r="DM522" s="1194"/>
      <c r="DN522" s="1194"/>
      <c r="DO522" s="1194"/>
      <c r="DP522" s="515"/>
      <c r="DQ522" s="513"/>
      <c r="DR522" s="1182"/>
      <c r="DS522" s="956"/>
      <c r="DT522" s="510"/>
      <c r="DU522" s="509"/>
      <c r="DV522" s="509"/>
      <c r="DW522" s="509"/>
      <c r="DX522" s="509"/>
      <c r="DY522" s="1194"/>
      <c r="DZ522" s="1194"/>
      <c r="EA522" s="1194"/>
      <c r="EB522" s="621"/>
      <c r="EC522" s="509"/>
      <c r="ED522" s="509"/>
      <c r="EE522" s="509"/>
      <c r="EF522" s="509"/>
      <c r="EG522" s="509"/>
      <c r="EH522" s="509"/>
      <c r="EI522" s="1194"/>
      <c r="EJ522" s="1194"/>
      <c r="EK522" s="1194"/>
      <c r="EL522" s="1182"/>
      <c r="EM522" s="1194"/>
      <c r="EN522" s="1182"/>
      <c r="EO522" s="1194"/>
      <c r="EP522" s="509"/>
      <c r="EQ522" s="509"/>
      <c r="ER522" s="509"/>
      <c r="ES522" s="509"/>
      <c r="ET522" s="510"/>
      <c r="EU522" s="1194"/>
      <c r="EV522" s="1194"/>
      <c r="EW522" s="1194"/>
      <c r="EX522" s="1194"/>
      <c r="EY522" s="1194"/>
      <c r="EZ522" s="510"/>
      <c r="FA522" s="509"/>
      <c r="FB522" s="509"/>
      <c r="FC522" s="509"/>
      <c r="FD522" s="510"/>
      <c r="FE522" s="1194"/>
      <c r="FF522" s="1194"/>
      <c r="FG522" s="1194"/>
      <c r="FH522" s="1194"/>
      <c r="FI522" s="1194"/>
      <c r="FJ522" s="1194"/>
    </row>
    <row r="523" spans="1:166" ht="14" hidden="1" customHeight="1">
      <c r="A523" s="158" t="s">
        <v>997</v>
      </c>
      <c r="B523" s="618">
        <v>38</v>
      </c>
      <c r="C523" s="618"/>
      <c r="D523" s="618"/>
      <c r="E523" s="1095" t="s">
        <v>2105</v>
      </c>
      <c r="F523" s="711" t="s">
        <v>2363</v>
      </c>
      <c r="G523" s="1096">
        <v>2008</v>
      </c>
      <c r="H523" s="158">
        <v>18391192</v>
      </c>
      <c r="I523" s="158">
        <v>1</v>
      </c>
      <c r="J523" s="158">
        <v>1</v>
      </c>
      <c r="K523" s="158"/>
      <c r="L523" s="158">
        <v>1</v>
      </c>
      <c r="M523" s="158"/>
      <c r="N523" s="158">
        <v>1</v>
      </c>
      <c r="O523" s="158">
        <v>2</v>
      </c>
      <c r="P523" s="158" t="s">
        <v>1475</v>
      </c>
      <c r="Q523" s="158" t="s">
        <v>1216</v>
      </c>
      <c r="R523" s="158" t="s">
        <v>1138</v>
      </c>
      <c r="S523" s="158"/>
      <c r="T523" s="158" t="s">
        <v>1489</v>
      </c>
      <c r="U523" s="158"/>
      <c r="V523" s="158"/>
      <c r="W523" s="158" t="s">
        <v>1501</v>
      </c>
      <c r="X523" s="158"/>
      <c r="Y523" s="158"/>
      <c r="Z523" s="158"/>
      <c r="AA523" s="158"/>
      <c r="AB523" s="158"/>
      <c r="AC523" s="800"/>
      <c r="AD523" s="536">
        <v>1</v>
      </c>
      <c r="AE523" s="536">
        <v>2</v>
      </c>
      <c r="AF523" s="743">
        <v>0</v>
      </c>
      <c r="AG523" s="166" t="s">
        <v>7623</v>
      </c>
      <c r="AH523" s="509" t="s">
        <v>7264</v>
      </c>
      <c r="AI523" s="734">
        <v>5</v>
      </c>
      <c r="AJ523" s="734"/>
      <c r="AK523" s="739" t="s">
        <v>3366</v>
      </c>
      <c r="AL523" s="513">
        <v>2</v>
      </c>
      <c r="AM523" s="514">
        <v>0</v>
      </c>
      <c r="AN523" s="734">
        <f>Table66[[#This Row],[Data_Subjects_n_ptsd]]+Table66[[#This Row],[Data_Subjects_n_control]]</f>
        <v>10</v>
      </c>
      <c r="AO523" s="734">
        <v>5</v>
      </c>
      <c r="AP523" s="734">
        <v>5</v>
      </c>
      <c r="AQ523" s="734" t="s">
        <v>803</v>
      </c>
      <c r="AR523" s="734" t="s">
        <v>803</v>
      </c>
      <c r="AS523" s="734" t="s">
        <v>2687</v>
      </c>
      <c r="AT523" s="734" t="s">
        <v>24</v>
      </c>
      <c r="AU523" s="734" t="s">
        <v>2687</v>
      </c>
      <c r="AV523" s="734" t="s">
        <v>24</v>
      </c>
      <c r="AW523" s="734" t="s">
        <v>3311</v>
      </c>
      <c r="AX523" s="734"/>
      <c r="AY523" s="734"/>
      <c r="AZ523" s="755" t="s">
        <v>7327</v>
      </c>
      <c r="BA523" s="734">
        <v>1</v>
      </c>
      <c r="BB523" s="734" t="s">
        <v>3348</v>
      </c>
      <c r="BC523" s="734" t="s">
        <v>7541</v>
      </c>
      <c r="BD523" s="759" t="s">
        <v>7522</v>
      </c>
      <c r="BE523" s="759"/>
      <c r="BF523" s="734" t="s">
        <v>3397</v>
      </c>
      <c r="BG523" s="734" t="s">
        <v>3395</v>
      </c>
      <c r="BH523" s="372"/>
      <c r="BI523" s="372"/>
      <c r="BJ523" s="735">
        <v>1</v>
      </c>
      <c r="BK523" s="735"/>
      <c r="BL523" s="735"/>
      <c r="BM523" s="735"/>
      <c r="BN523" s="735"/>
      <c r="BO523" s="735"/>
      <c r="BP523" s="735"/>
      <c r="BQ523" s="735"/>
      <c r="BR523" s="735"/>
      <c r="BS523" s="735"/>
      <c r="BT523" s="735"/>
      <c r="BU523" s="735"/>
      <c r="BV523" s="735"/>
      <c r="BW523" s="735" t="s">
        <v>2528</v>
      </c>
      <c r="BX523" s="510" t="s">
        <v>6596</v>
      </c>
      <c r="BY523" s="799" t="s">
        <v>7615</v>
      </c>
      <c r="BZ523" s="510" t="s">
        <v>7610</v>
      </c>
      <c r="CA523" s="511">
        <v>4</v>
      </c>
      <c r="CB523" s="511" t="s">
        <v>7556</v>
      </c>
      <c r="CC523" s="511" t="s">
        <v>7380</v>
      </c>
      <c r="CD523" s="734" t="s">
        <v>1876</v>
      </c>
      <c r="CE523" s="734">
        <v>2</v>
      </c>
      <c r="CF523" s="786" t="s">
        <v>23</v>
      </c>
      <c r="CG523" s="734" t="s">
        <v>3420</v>
      </c>
      <c r="CH523" s="755" t="s">
        <v>1488</v>
      </c>
      <c r="CI523" s="774" t="s">
        <v>7552</v>
      </c>
      <c r="CJ523" s="734"/>
      <c r="CK523" s="734" t="s">
        <v>3406</v>
      </c>
      <c r="CL523" s="120" t="s">
        <v>6640</v>
      </c>
      <c r="CM523" s="515" t="s">
        <v>3447</v>
      </c>
      <c r="CN523" s="621">
        <v>0</v>
      </c>
      <c r="CO523" s="621"/>
      <c r="CP523" s="621"/>
      <c r="CQ523" s="621"/>
      <c r="CR523" s="621"/>
      <c r="CS523" s="621"/>
      <c r="CT523" s="621"/>
      <c r="CU523" s="621"/>
      <c r="CV523" s="621"/>
      <c r="CW523" s="621"/>
      <c r="CX523" s="736" t="s">
        <v>3423</v>
      </c>
      <c r="CY523" s="734">
        <v>33.200000000000003</v>
      </c>
      <c r="CZ523" s="734" t="s">
        <v>24</v>
      </c>
      <c r="DA523" s="734">
        <v>1.9</v>
      </c>
      <c r="DB523" s="736" t="s">
        <v>3426</v>
      </c>
      <c r="DC523" s="734">
        <v>38.299999999999997</v>
      </c>
      <c r="DD523" s="734" t="s">
        <v>24</v>
      </c>
      <c r="DE523" s="734">
        <v>7.1</v>
      </c>
      <c r="DF523" s="515" t="s">
        <v>3428</v>
      </c>
      <c r="DG523" s="513" t="s">
        <v>2480</v>
      </c>
      <c r="DH523" s="1180"/>
      <c r="DI523" s="778"/>
      <c r="DJ523" s="778"/>
      <c r="DK523" s="778"/>
      <c r="DL523" s="1180"/>
      <c r="DM523" s="778"/>
      <c r="DN523" s="778"/>
      <c r="DO523" s="778"/>
      <c r="DP523" s="737"/>
      <c r="DQ523" s="372"/>
      <c r="DR523" s="1182"/>
      <c r="DS523" s="956"/>
      <c r="DT523" s="736"/>
      <c r="DU523" s="734"/>
      <c r="DV523" s="734"/>
      <c r="DW523" s="734"/>
      <c r="DX523" s="734"/>
      <c r="DY523" s="778"/>
      <c r="DZ523" s="778"/>
      <c r="EA523" s="778"/>
      <c r="EB523" s="738"/>
      <c r="EC523" s="734"/>
      <c r="ED523" s="734"/>
      <c r="EE523" s="734"/>
      <c r="EF523" s="734"/>
      <c r="EG523" s="734"/>
      <c r="EH523" s="734"/>
      <c r="EI523" s="778"/>
      <c r="EJ523" s="778"/>
      <c r="EK523" s="778"/>
      <c r="EL523" s="1181"/>
      <c r="EM523" s="778"/>
      <c r="EN523" s="1181"/>
      <c r="EO523" s="778"/>
      <c r="EP523" s="734"/>
      <c r="EQ523" s="734"/>
      <c r="ER523" s="734"/>
      <c r="ES523" s="734"/>
      <c r="ET523" s="736"/>
      <c r="EU523" s="778"/>
      <c r="EV523" s="778"/>
      <c r="EW523" s="778"/>
      <c r="EX523" s="778"/>
      <c r="EY523" s="778"/>
      <c r="EZ523" s="736"/>
      <c r="FA523" s="734"/>
      <c r="FB523" s="734"/>
      <c r="FC523" s="734"/>
      <c r="FD523" s="736"/>
      <c r="FE523" s="778"/>
      <c r="FF523" s="778"/>
      <c r="FG523" s="778"/>
      <c r="FH523" s="778"/>
      <c r="FI523" s="778"/>
      <c r="FJ523" s="778"/>
    </row>
    <row r="524" spans="1:166" ht="14" hidden="1" customHeight="1">
      <c r="A524" s="158" t="s">
        <v>997</v>
      </c>
      <c r="B524" s="618">
        <v>38</v>
      </c>
      <c r="C524" s="618"/>
      <c r="D524" s="618"/>
      <c r="E524" s="1095" t="s">
        <v>2105</v>
      </c>
      <c r="F524" s="711" t="s">
        <v>2363</v>
      </c>
      <c r="G524" s="1096">
        <v>2008</v>
      </c>
      <c r="H524" s="158">
        <v>18391192</v>
      </c>
      <c r="I524" s="158">
        <v>1</v>
      </c>
      <c r="J524" s="158">
        <v>1</v>
      </c>
      <c r="K524" s="158"/>
      <c r="L524" s="158">
        <v>1</v>
      </c>
      <c r="M524" s="158"/>
      <c r="N524" s="158">
        <v>1</v>
      </c>
      <c r="O524" s="158">
        <v>2</v>
      </c>
      <c r="P524" s="158" t="s">
        <v>1475</v>
      </c>
      <c r="Q524" s="158" t="s">
        <v>1216</v>
      </c>
      <c r="R524" s="158" t="s">
        <v>1138</v>
      </c>
      <c r="S524" s="158"/>
      <c r="T524" s="158" t="s">
        <v>1489</v>
      </c>
      <c r="U524" s="158"/>
      <c r="V524" s="158"/>
      <c r="W524" s="158" t="s">
        <v>1501</v>
      </c>
      <c r="X524" s="158"/>
      <c r="Y524" s="158"/>
      <c r="Z524" s="158"/>
      <c r="AA524" s="158"/>
      <c r="AB524" s="158"/>
      <c r="AC524" s="800"/>
      <c r="AD524" s="536">
        <v>1</v>
      </c>
      <c r="AE524" s="536">
        <v>2</v>
      </c>
      <c r="AF524" s="743">
        <v>0</v>
      </c>
      <c r="AG524" s="166" t="s">
        <v>7623</v>
      </c>
      <c r="AH524" s="509" t="s">
        <v>7264</v>
      </c>
      <c r="AI524" s="734">
        <v>5</v>
      </c>
      <c r="AJ524" s="734"/>
      <c r="AK524" s="739" t="s">
        <v>3366</v>
      </c>
      <c r="AL524" s="513">
        <v>2</v>
      </c>
      <c r="AM524" s="514">
        <v>0</v>
      </c>
      <c r="AN524" s="734">
        <f>Table66[[#This Row],[Data_Subjects_n_ptsd]]+Table66[[#This Row],[Data_Subjects_n_control]]</f>
        <v>10</v>
      </c>
      <c r="AO524" s="734">
        <v>5</v>
      </c>
      <c r="AP524" s="734">
        <v>5</v>
      </c>
      <c r="AQ524" s="734" t="s">
        <v>803</v>
      </c>
      <c r="AR524" s="734" t="s">
        <v>803</v>
      </c>
      <c r="AS524" s="734" t="s">
        <v>2687</v>
      </c>
      <c r="AT524" s="734" t="s">
        <v>24</v>
      </c>
      <c r="AU524" s="734" t="s">
        <v>2687</v>
      </c>
      <c r="AV524" s="734" t="s">
        <v>24</v>
      </c>
      <c r="AW524" s="734" t="s">
        <v>3311</v>
      </c>
      <c r="AX524" s="734"/>
      <c r="AY524" s="734"/>
      <c r="AZ524" s="755" t="s">
        <v>7327</v>
      </c>
      <c r="BA524" s="734">
        <v>1</v>
      </c>
      <c r="BB524" s="734" t="s">
        <v>3348</v>
      </c>
      <c r="BC524" s="734" t="s">
        <v>7541</v>
      </c>
      <c r="BD524" s="759" t="s">
        <v>7522</v>
      </c>
      <c r="BE524" s="759"/>
      <c r="BF524" s="734" t="s">
        <v>3397</v>
      </c>
      <c r="BG524" s="734" t="s">
        <v>3395</v>
      </c>
      <c r="BH524" s="372"/>
      <c r="BI524" s="372"/>
      <c r="BJ524" s="735">
        <v>1</v>
      </c>
      <c r="BK524" s="735"/>
      <c r="BL524" s="735"/>
      <c r="BM524" s="735"/>
      <c r="BN524" s="735"/>
      <c r="BO524" s="735"/>
      <c r="BP524" s="735"/>
      <c r="BQ524" s="735"/>
      <c r="BR524" s="735"/>
      <c r="BS524" s="735"/>
      <c r="BT524" s="735"/>
      <c r="BU524" s="735"/>
      <c r="BV524" s="735"/>
      <c r="BW524" s="735" t="s">
        <v>2528</v>
      </c>
      <c r="BX524" s="510" t="s">
        <v>6596</v>
      </c>
      <c r="BY524" s="799" t="s">
        <v>7615</v>
      </c>
      <c r="BZ524" s="510" t="s">
        <v>7610</v>
      </c>
      <c r="CA524" s="511">
        <v>4</v>
      </c>
      <c r="CB524" s="511" t="s">
        <v>7556</v>
      </c>
      <c r="CC524" s="511" t="s">
        <v>7380</v>
      </c>
      <c r="CD524" s="734" t="s">
        <v>1876</v>
      </c>
      <c r="CE524" s="734">
        <v>2</v>
      </c>
      <c r="CF524" s="786" t="s">
        <v>23</v>
      </c>
      <c r="CG524" s="734" t="s">
        <v>3421</v>
      </c>
      <c r="CH524" s="755" t="s">
        <v>1488</v>
      </c>
      <c r="CI524" s="774" t="s">
        <v>7552</v>
      </c>
      <c r="CJ524" s="734"/>
      <c r="CK524" s="734" t="s">
        <v>3406</v>
      </c>
      <c r="CL524" s="120" t="s">
        <v>6640</v>
      </c>
      <c r="CM524" s="515" t="s">
        <v>3447</v>
      </c>
      <c r="CN524" s="621">
        <v>0</v>
      </c>
      <c r="CO524" s="621"/>
      <c r="CP524" s="621"/>
      <c r="CQ524" s="621"/>
      <c r="CR524" s="621"/>
      <c r="CS524" s="621"/>
      <c r="CT524" s="621"/>
      <c r="CU524" s="621"/>
      <c r="CV524" s="621"/>
      <c r="CW524" s="621"/>
      <c r="CX524" s="745" t="s">
        <v>3424</v>
      </c>
      <c r="CY524" s="734">
        <v>138</v>
      </c>
      <c r="CZ524" s="734" t="s">
        <v>24</v>
      </c>
      <c r="DA524" s="734">
        <v>14</v>
      </c>
      <c r="DB524" s="745" t="s">
        <v>3427</v>
      </c>
      <c r="DC524" s="734">
        <v>137</v>
      </c>
      <c r="DD524" s="734" t="s">
        <v>24</v>
      </c>
      <c r="DE524" s="734">
        <v>20</v>
      </c>
      <c r="DF524" s="515" t="s">
        <v>3428</v>
      </c>
      <c r="DG524" s="513" t="s">
        <v>2480</v>
      </c>
      <c r="DH524" s="1180"/>
      <c r="DI524" s="734"/>
      <c r="DJ524" s="778"/>
      <c r="DK524" s="734"/>
      <c r="DL524" s="1180"/>
      <c r="DM524" s="778"/>
      <c r="DN524" s="778"/>
      <c r="DO524" s="778"/>
      <c r="DP524" s="737"/>
      <c r="DQ524" s="372"/>
      <c r="DR524" s="1182"/>
      <c r="DS524" s="956"/>
      <c r="DT524" s="1180"/>
      <c r="DU524" s="734"/>
      <c r="DV524" s="778"/>
      <c r="DW524" s="734"/>
      <c r="DX524" s="778"/>
      <c r="DY524" s="778"/>
      <c r="DZ524" s="778"/>
      <c r="EA524" s="778"/>
      <c r="EB524" s="1181"/>
      <c r="EC524" s="778"/>
      <c r="ED524" s="778"/>
      <c r="EE524" s="778"/>
      <c r="EF524" s="778"/>
      <c r="EG524" s="778"/>
      <c r="EH524" s="778"/>
      <c r="EI524" s="778"/>
      <c r="EJ524" s="778"/>
      <c r="EK524" s="778"/>
      <c r="EL524" s="1181"/>
      <c r="EM524" s="778"/>
      <c r="EN524" s="1181"/>
      <c r="EO524" s="778"/>
      <c r="EP524" s="778"/>
      <c r="EQ524" s="778"/>
      <c r="ER524" s="778"/>
      <c r="ES524" s="778"/>
      <c r="ET524" s="1180"/>
      <c r="EU524" s="778"/>
      <c r="EV524" s="778"/>
      <c r="EW524" s="778"/>
      <c r="EX524" s="734"/>
      <c r="EY524" s="734"/>
      <c r="EZ524" s="736"/>
      <c r="FA524" s="734"/>
      <c r="FB524" s="734"/>
      <c r="FC524" s="734"/>
      <c r="FD524" s="736"/>
      <c r="FE524" s="778"/>
      <c r="FF524" s="778"/>
      <c r="FG524" s="778"/>
      <c r="FH524" s="778"/>
      <c r="FI524" s="778"/>
      <c r="FJ524" s="778"/>
    </row>
    <row r="525" spans="1:166" ht="14" hidden="1" customHeight="1">
      <c r="A525" s="158" t="s">
        <v>997</v>
      </c>
      <c r="B525" s="618">
        <v>38</v>
      </c>
      <c r="C525" s="618"/>
      <c r="D525" s="618"/>
      <c r="E525" s="1095" t="s">
        <v>2105</v>
      </c>
      <c r="F525" s="711" t="s">
        <v>2363</v>
      </c>
      <c r="G525" s="1096">
        <v>2008</v>
      </c>
      <c r="H525" s="158">
        <v>18391192</v>
      </c>
      <c r="I525" s="158">
        <v>1</v>
      </c>
      <c r="J525" s="158">
        <v>1</v>
      </c>
      <c r="K525" s="158"/>
      <c r="L525" s="158">
        <v>1</v>
      </c>
      <c r="M525" s="158"/>
      <c r="N525" s="158">
        <v>1</v>
      </c>
      <c r="O525" s="158">
        <v>2</v>
      </c>
      <c r="P525" s="158" t="s">
        <v>1475</v>
      </c>
      <c r="Q525" s="158" t="s">
        <v>1216</v>
      </c>
      <c r="R525" s="158" t="s">
        <v>1138</v>
      </c>
      <c r="S525" s="158"/>
      <c r="T525" s="158" t="s">
        <v>1489</v>
      </c>
      <c r="U525" s="158"/>
      <c r="V525" s="158"/>
      <c r="W525" s="158" t="s">
        <v>1501</v>
      </c>
      <c r="X525" s="158"/>
      <c r="Y525" s="158"/>
      <c r="Z525" s="158"/>
      <c r="AA525" s="158"/>
      <c r="AB525" s="158"/>
      <c r="AC525" s="800"/>
      <c r="AD525" s="536">
        <v>1</v>
      </c>
      <c r="AE525" s="536">
        <v>2</v>
      </c>
      <c r="AF525" s="743">
        <v>0</v>
      </c>
      <c r="AG525" s="166" t="s">
        <v>7623</v>
      </c>
      <c r="AH525" s="509" t="s">
        <v>7264</v>
      </c>
      <c r="AI525" s="734">
        <v>5</v>
      </c>
      <c r="AJ525" s="734"/>
      <c r="AK525" s="739" t="s">
        <v>3366</v>
      </c>
      <c r="AL525" s="513">
        <v>2</v>
      </c>
      <c r="AM525" s="514">
        <v>0</v>
      </c>
      <c r="AN525" s="734">
        <f>Table66[[#This Row],[Data_Subjects_n_ptsd]]+Table66[[#This Row],[Data_Subjects_n_control]]</f>
        <v>10</v>
      </c>
      <c r="AO525" s="734">
        <v>5</v>
      </c>
      <c r="AP525" s="734">
        <v>5</v>
      </c>
      <c r="AQ525" s="734" t="s">
        <v>803</v>
      </c>
      <c r="AR525" s="734" t="s">
        <v>803</v>
      </c>
      <c r="AS525" s="734" t="s">
        <v>2687</v>
      </c>
      <c r="AT525" s="734" t="s">
        <v>24</v>
      </c>
      <c r="AU525" s="734" t="s">
        <v>2687</v>
      </c>
      <c r="AV525" s="734" t="s">
        <v>24</v>
      </c>
      <c r="AW525" s="734" t="s">
        <v>3311</v>
      </c>
      <c r="AX525" s="734"/>
      <c r="AY525" s="734"/>
      <c r="AZ525" s="755" t="s">
        <v>7327</v>
      </c>
      <c r="BA525" s="734">
        <v>1</v>
      </c>
      <c r="BB525" s="734" t="s">
        <v>3348</v>
      </c>
      <c r="BC525" s="734" t="s">
        <v>7541</v>
      </c>
      <c r="BD525" s="759" t="s">
        <v>7522</v>
      </c>
      <c r="BE525" s="759"/>
      <c r="BF525" s="734" t="s">
        <v>3397</v>
      </c>
      <c r="BG525" s="734" t="s">
        <v>3395</v>
      </c>
      <c r="BH525" s="372"/>
      <c r="BI525" s="372"/>
      <c r="BJ525" s="735">
        <v>1</v>
      </c>
      <c r="BK525" s="735"/>
      <c r="BL525" s="735"/>
      <c r="BM525" s="735"/>
      <c r="BN525" s="735"/>
      <c r="BO525" s="735"/>
      <c r="BP525" s="735"/>
      <c r="BQ525" s="735"/>
      <c r="BR525" s="735"/>
      <c r="BS525" s="735"/>
      <c r="BT525" s="735"/>
      <c r="BU525" s="735"/>
      <c r="BV525" s="735"/>
      <c r="BW525" s="735" t="s">
        <v>3399</v>
      </c>
      <c r="BX525" s="510" t="s">
        <v>6601</v>
      </c>
      <c r="BY525" s="799" t="s">
        <v>7615</v>
      </c>
      <c r="BZ525" s="510" t="s">
        <v>803</v>
      </c>
      <c r="CA525" s="511">
        <v>4</v>
      </c>
      <c r="CB525" s="511" t="s">
        <v>7556</v>
      </c>
      <c r="CC525" s="511" t="s">
        <v>7380</v>
      </c>
      <c r="CD525" s="734" t="s">
        <v>1876</v>
      </c>
      <c r="CE525" s="734">
        <v>2</v>
      </c>
      <c r="CF525" s="786" t="s">
        <v>23</v>
      </c>
      <c r="CG525" s="734" t="s">
        <v>3408</v>
      </c>
      <c r="CH525" s="755" t="s">
        <v>1488</v>
      </c>
      <c r="CI525" s="774" t="s">
        <v>7552</v>
      </c>
      <c r="CJ525" s="734"/>
      <c r="CK525" s="734" t="s">
        <v>3406</v>
      </c>
      <c r="CL525" s="120" t="s">
        <v>6640</v>
      </c>
      <c r="CM525" s="737" t="s">
        <v>3449</v>
      </c>
      <c r="CN525" s="738">
        <v>0</v>
      </c>
      <c r="CO525" s="738"/>
      <c r="CP525" s="738"/>
      <c r="CQ525" s="738"/>
      <c r="CR525" s="738"/>
      <c r="CS525" s="738"/>
      <c r="CT525" s="738"/>
      <c r="CU525" s="738"/>
      <c r="CV525" s="738"/>
      <c r="CW525" s="738"/>
      <c r="CX525" s="736" t="s">
        <v>3430</v>
      </c>
      <c r="CY525" s="734">
        <v>18.899999999999999</v>
      </c>
      <c r="CZ525" s="778" t="s">
        <v>3433</v>
      </c>
      <c r="DA525" s="734" t="s">
        <v>24</v>
      </c>
      <c r="DB525" s="736" t="s">
        <v>3431</v>
      </c>
      <c r="DC525" s="734">
        <v>20.100000000000001</v>
      </c>
      <c r="DD525" s="734" t="s">
        <v>3432</v>
      </c>
      <c r="DE525" s="734" t="s">
        <v>24</v>
      </c>
      <c r="DF525" s="515" t="s">
        <v>3434</v>
      </c>
      <c r="DG525" s="513" t="s">
        <v>2480</v>
      </c>
      <c r="DH525" s="736"/>
      <c r="DI525" s="734"/>
      <c r="DJ525" s="778"/>
      <c r="DK525" s="734"/>
      <c r="DL525" s="1180"/>
      <c r="DM525" s="734"/>
      <c r="DN525" s="778"/>
      <c r="DO525" s="734"/>
      <c r="DP525" s="737"/>
      <c r="DQ525" s="372"/>
      <c r="DR525" s="1182"/>
      <c r="DS525" s="956"/>
      <c r="DT525" s="1180"/>
      <c r="DU525" s="778"/>
      <c r="DV525" s="778"/>
      <c r="DW525" s="778"/>
      <c r="DX525" s="778"/>
      <c r="DY525" s="778"/>
      <c r="DZ525" s="778"/>
      <c r="EA525" s="778"/>
      <c r="EB525" s="1181"/>
      <c r="EC525" s="778"/>
      <c r="ED525" s="778"/>
      <c r="EE525" s="778"/>
      <c r="EF525" s="778"/>
      <c r="EG525" s="778"/>
      <c r="EH525" s="778"/>
      <c r="EI525" s="778"/>
      <c r="EJ525" s="778"/>
      <c r="EK525" s="778"/>
      <c r="EL525" s="1181"/>
      <c r="EM525" s="778"/>
      <c r="EN525" s="1181"/>
      <c r="EO525" s="778"/>
      <c r="EP525" s="778"/>
      <c r="EQ525" s="778"/>
      <c r="ER525" s="778"/>
      <c r="ES525" s="778"/>
      <c r="ET525" s="1180"/>
      <c r="EU525" s="778"/>
      <c r="EV525" s="778"/>
      <c r="EW525" s="778"/>
      <c r="EX525" s="778"/>
      <c r="EY525" s="778"/>
      <c r="EZ525" s="1180"/>
      <c r="FA525" s="778"/>
      <c r="FB525" s="778"/>
      <c r="FC525" s="778"/>
      <c r="FD525" s="1180"/>
      <c r="FE525" s="778"/>
      <c r="FF525" s="778"/>
      <c r="FG525" s="778"/>
      <c r="FH525" s="778"/>
      <c r="FI525" s="778"/>
      <c r="FJ525" s="778"/>
    </row>
    <row r="526" spans="1:166" ht="14" hidden="1" customHeight="1">
      <c r="A526" s="158" t="s">
        <v>997</v>
      </c>
      <c r="B526" s="618">
        <v>38</v>
      </c>
      <c r="C526" s="618"/>
      <c r="D526" s="618"/>
      <c r="E526" s="1095" t="s">
        <v>2105</v>
      </c>
      <c r="F526" s="711" t="s">
        <v>2363</v>
      </c>
      <c r="G526" s="1096">
        <v>2008</v>
      </c>
      <c r="H526" s="158">
        <v>18391192</v>
      </c>
      <c r="I526" s="158">
        <v>1</v>
      </c>
      <c r="J526" s="158">
        <v>1</v>
      </c>
      <c r="K526" s="158"/>
      <c r="L526" s="158">
        <v>1</v>
      </c>
      <c r="M526" s="158"/>
      <c r="N526" s="158">
        <v>1</v>
      </c>
      <c r="O526" s="158">
        <v>2</v>
      </c>
      <c r="P526" s="158" t="s">
        <v>1475</v>
      </c>
      <c r="Q526" s="158" t="s">
        <v>1216</v>
      </c>
      <c r="R526" s="158" t="s">
        <v>1138</v>
      </c>
      <c r="S526" s="158"/>
      <c r="T526" s="158" t="s">
        <v>1489</v>
      </c>
      <c r="U526" s="158"/>
      <c r="V526" s="158"/>
      <c r="W526" s="158" t="s">
        <v>1501</v>
      </c>
      <c r="X526" s="158"/>
      <c r="Y526" s="158"/>
      <c r="Z526" s="158"/>
      <c r="AA526" s="158"/>
      <c r="AB526" s="158"/>
      <c r="AC526" s="800"/>
      <c r="AD526" s="536">
        <v>1</v>
      </c>
      <c r="AE526" s="536">
        <v>2</v>
      </c>
      <c r="AF526" s="743">
        <v>0</v>
      </c>
      <c r="AG526" s="166" t="s">
        <v>7623</v>
      </c>
      <c r="AH526" s="509" t="s">
        <v>7264</v>
      </c>
      <c r="AI526" s="734">
        <v>5</v>
      </c>
      <c r="AJ526" s="734"/>
      <c r="AK526" s="739" t="s">
        <v>3366</v>
      </c>
      <c r="AL526" s="372">
        <v>2</v>
      </c>
      <c r="AM526" s="514">
        <v>0</v>
      </c>
      <c r="AN526" s="734">
        <f>Table66[[#This Row],[Data_Subjects_n_ptsd]]+Table66[[#This Row],[Data_Subjects_n_control]]</f>
        <v>10</v>
      </c>
      <c r="AO526" s="734">
        <v>5</v>
      </c>
      <c r="AP526" s="734">
        <v>5</v>
      </c>
      <c r="AQ526" s="734" t="s">
        <v>803</v>
      </c>
      <c r="AR526" s="734" t="s">
        <v>803</v>
      </c>
      <c r="AS526" s="734" t="s">
        <v>2687</v>
      </c>
      <c r="AT526" s="734" t="s">
        <v>24</v>
      </c>
      <c r="AU526" s="734" t="s">
        <v>2687</v>
      </c>
      <c r="AV526" s="734" t="s">
        <v>24</v>
      </c>
      <c r="AW526" s="734" t="s">
        <v>3311</v>
      </c>
      <c r="AX526" s="734"/>
      <c r="AY526" s="734"/>
      <c r="AZ526" s="755" t="s">
        <v>7327</v>
      </c>
      <c r="BA526" s="734">
        <v>1</v>
      </c>
      <c r="BB526" s="734" t="s">
        <v>3348</v>
      </c>
      <c r="BC526" s="734" t="s">
        <v>7541</v>
      </c>
      <c r="BD526" s="759" t="s">
        <v>7522</v>
      </c>
      <c r="BE526" s="759"/>
      <c r="BF526" s="734" t="s">
        <v>3397</v>
      </c>
      <c r="BG526" s="734" t="s">
        <v>3395</v>
      </c>
      <c r="BH526" s="372"/>
      <c r="BI526" s="372"/>
      <c r="BJ526" s="735">
        <v>1</v>
      </c>
      <c r="BK526" s="735"/>
      <c r="BL526" s="735"/>
      <c r="BM526" s="735"/>
      <c r="BN526" s="735"/>
      <c r="BO526" s="735"/>
      <c r="BP526" s="735"/>
      <c r="BQ526" s="735"/>
      <c r="BR526" s="735"/>
      <c r="BS526" s="735"/>
      <c r="BT526" s="735"/>
      <c r="BU526" s="735"/>
      <c r="BV526" s="735"/>
      <c r="BW526" s="735" t="s">
        <v>3400</v>
      </c>
      <c r="BX526" s="510" t="s">
        <v>6601</v>
      </c>
      <c r="BY526" s="799" t="s">
        <v>7615</v>
      </c>
      <c r="BZ526" s="510" t="s">
        <v>803</v>
      </c>
      <c r="CA526" s="511">
        <v>4</v>
      </c>
      <c r="CB526" s="511" t="s">
        <v>7556</v>
      </c>
      <c r="CC526" s="511" t="s">
        <v>7384</v>
      </c>
      <c r="CD526" s="734" t="s">
        <v>1876</v>
      </c>
      <c r="CE526" s="734">
        <v>2</v>
      </c>
      <c r="CF526" s="786" t="s">
        <v>23</v>
      </c>
      <c r="CG526" s="800" t="s">
        <v>3410</v>
      </c>
      <c r="CH526" s="779" t="s">
        <v>1488</v>
      </c>
      <c r="CI526" s="774" t="s">
        <v>7552</v>
      </c>
      <c r="CJ526" s="734"/>
      <c r="CK526" s="734" t="s">
        <v>3406</v>
      </c>
      <c r="CL526" s="120" t="s">
        <v>6640</v>
      </c>
      <c r="CM526" s="737" t="s">
        <v>3448</v>
      </c>
      <c r="CN526" s="738" t="s">
        <v>6627</v>
      </c>
      <c r="CO526" s="738"/>
      <c r="CP526" s="738"/>
      <c r="CQ526" s="738"/>
      <c r="CR526" s="738"/>
      <c r="CS526" s="738"/>
      <c r="CT526" s="738"/>
      <c r="CU526" s="738"/>
      <c r="CV526" s="738"/>
      <c r="CW526" s="738"/>
      <c r="CX526" s="745" t="s">
        <v>3413</v>
      </c>
      <c r="CY526" s="734">
        <v>161</v>
      </c>
      <c r="CZ526" s="734" t="s">
        <v>24</v>
      </c>
      <c r="DA526" s="734">
        <v>9.6</v>
      </c>
      <c r="DB526" s="745" t="s">
        <v>3416</v>
      </c>
      <c r="DC526" s="734">
        <v>94</v>
      </c>
      <c r="DD526" s="734" t="s">
        <v>24</v>
      </c>
      <c r="DE526" s="734">
        <v>9.3000000000000007</v>
      </c>
      <c r="DF526" s="515" t="s">
        <v>3418</v>
      </c>
      <c r="DG526" s="513" t="s">
        <v>3417</v>
      </c>
      <c r="DH526" s="1180"/>
      <c r="DI526" s="778"/>
      <c r="DJ526" s="778"/>
      <c r="DK526" s="778"/>
      <c r="DL526" s="1180"/>
      <c r="DM526" s="778"/>
      <c r="DN526" s="778"/>
      <c r="DO526" s="778"/>
      <c r="DP526" s="737"/>
      <c r="DQ526" s="372"/>
      <c r="DR526" s="1182"/>
      <c r="DS526" s="956"/>
      <c r="DT526" s="1180"/>
      <c r="DU526" s="778"/>
      <c r="DV526" s="778"/>
      <c r="DW526" s="778"/>
      <c r="DX526" s="778"/>
      <c r="DY526" s="778"/>
      <c r="DZ526" s="778"/>
      <c r="EA526" s="778"/>
      <c r="EB526" s="1181"/>
      <c r="EC526" s="778"/>
      <c r="ED526" s="778"/>
      <c r="EE526" s="778"/>
      <c r="EF526" s="778"/>
      <c r="EG526" s="778"/>
      <c r="EH526" s="778"/>
      <c r="EI526" s="778"/>
      <c r="EJ526" s="778"/>
      <c r="EK526" s="778"/>
      <c r="EL526" s="1181"/>
      <c r="EM526" s="778"/>
      <c r="EN526" s="1181"/>
      <c r="EO526" s="778"/>
      <c r="EP526" s="778"/>
      <c r="EQ526" s="778"/>
      <c r="ER526" s="778"/>
      <c r="ES526" s="778"/>
      <c r="ET526" s="1180"/>
      <c r="EU526" s="778"/>
      <c r="EV526" s="778"/>
      <c r="EW526" s="778"/>
      <c r="EX526" s="778"/>
      <c r="EY526" s="778"/>
      <c r="EZ526" s="1180"/>
      <c r="FA526" s="778"/>
      <c r="FB526" s="778"/>
      <c r="FC526" s="778"/>
      <c r="FD526" s="1180"/>
      <c r="FE526" s="778"/>
      <c r="FF526" s="778"/>
      <c r="FG526" s="778"/>
      <c r="FH526" s="778"/>
      <c r="FI526" s="778"/>
      <c r="FJ526" s="778"/>
    </row>
    <row r="527" spans="1:166" ht="14" hidden="1" customHeight="1">
      <c r="A527" s="153" t="s">
        <v>996</v>
      </c>
      <c r="B527" s="618">
        <v>39</v>
      </c>
      <c r="C527" s="618"/>
      <c r="D527" s="618"/>
      <c r="E527" s="610" t="s">
        <v>2106</v>
      </c>
      <c r="F527" s="368" t="s">
        <v>2364</v>
      </c>
      <c r="G527" s="369">
        <v>2009</v>
      </c>
      <c r="H527" s="153">
        <v>19167702</v>
      </c>
      <c r="I527" s="153">
        <v>1</v>
      </c>
      <c r="J527" s="370" t="s">
        <v>1848</v>
      </c>
      <c r="K527" s="371"/>
      <c r="L527" s="153">
        <v>1</v>
      </c>
      <c r="M527" s="153"/>
      <c r="N527" s="153">
        <v>1</v>
      </c>
      <c r="O527" s="153">
        <v>2</v>
      </c>
      <c r="P527" s="153" t="s">
        <v>22</v>
      </c>
      <c r="Q527" s="153" t="s">
        <v>1142</v>
      </c>
      <c r="R527" s="153" t="s">
        <v>1127</v>
      </c>
      <c r="S527" s="153"/>
      <c r="T527" s="153" t="s">
        <v>1488</v>
      </c>
      <c r="U527" s="153"/>
      <c r="V527" s="153"/>
      <c r="W527" s="153"/>
      <c r="X527" s="153"/>
      <c r="Y527" s="153"/>
      <c r="Z527" s="153"/>
      <c r="AA527" s="153"/>
      <c r="AB527" s="153" t="s">
        <v>424</v>
      </c>
      <c r="AC527" s="536"/>
      <c r="AD527" s="536">
        <v>1</v>
      </c>
      <c r="AE527" s="536">
        <v>2</v>
      </c>
      <c r="AF527" s="165">
        <v>0</v>
      </c>
      <c r="AG527" s="166" t="s">
        <v>7680</v>
      </c>
      <c r="AH527" s="509">
        <v>0</v>
      </c>
      <c r="AI527" s="120">
        <v>4</v>
      </c>
      <c r="AJ527" s="120"/>
      <c r="AK527" s="206" t="s">
        <v>3468</v>
      </c>
      <c r="AL527" s="372">
        <v>0</v>
      </c>
      <c r="AM527" s="207">
        <v>0</v>
      </c>
      <c r="AN527" s="120">
        <f>((10+15)/2)*4</f>
        <v>50</v>
      </c>
      <c r="AO527" s="120" t="s">
        <v>3480</v>
      </c>
      <c r="AP527" s="120" t="s">
        <v>24</v>
      </c>
      <c r="AQ527" s="120" t="s">
        <v>803</v>
      </c>
      <c r="AR527" s="120" t="s">
        <v>24</v>
      </c>
      <c r="AS527" s="120" t="s">
        <v>24</v>
      </c>
      <c r="AT527" s="120" t="s">
        <v>24</v>
      </c>
      <c r="AU527" s="120" t="s">
        <v>24</v>
      </c>
      <c r="AV527" s="120" t="s">
        <v>24</v>
      </c>
      <c r="AW527" s="120" t="s">
        <v>7662</v>
      </c>
      <c r="AX527" s="120">
        <v>10</v>
      </c>
      <c r="AY527" s="120">
        <v>0.5</v>
      </c>
      <c r="AZ527" s="755" t="s">
        <v>7663</v>
      </c>
      <c r="BA527" s="120">
        <v>1</v>
      </c>
      <c r="BB527" s="120" t="s">
        <v>3467</v>
      </c>
      <c r="BC527" s="120" t="s">
        <v>24</v>
      </c>
      <c r="BD527" s="755"/>
      <c r="BE527" s="755"/>
      <c r="BF527" s="120" t="s">
        <v>2730</v>
      </c>
      <c r="BG527" s="120" t="s">
        <v>3466</v>
      </c>
      <c r="BH527" s="377"/>
      <c r="BI527" s="377"/>
      <c r="BJ527" s="373">
        <v>1</v>
      </c>
      <c r="BK527" s="373"/>
      <c r="BL527" s="373"/>
      <c r="BM527" s="373"/>
      <c r="BN527" s="373"/>
      <c r="BO527" s="373"/>
      <c r="BP527" s="373"/>
      <c r="BQ527" s="373"/>
      <c r="BR527" s="373"/>
      <c r="BS527" s="373"/>
      <c r="BT527" s="373"/>
      <c r="BU527" s="373"/>
      <c r="BV527" s="373"/>
      <c r="BW527" s="599" t="s">
        <v>3399</v>
      </c>
      <c r="BX527" s="510" t="s">
        <v>6601</v>
      </c>
      <c r="BY527" s="510"/>
      <c r="BZ527" s="510"/>
      <c r="CA527" s="511"/>
      <c r="CB527" s="511"/>
      <c r="CC527" s="511"/>
      <c r="CD527" s="120" t="s">
        <v>1876</v>
      </c>
      <c r="CE527" s="120"/>
      <c r="CF527" s="120" t="s">
        <v>7656</v>
      </c>
      <c r="CG527" s="120" t="s">
        <v>3470</v>
      </c>
      <c r="CH527" s="755"/>
      <c r="CI527" s="120"/>
      <c r="CJ527" s="120"/>
      <c r="CK527" s="120" t="s">
        <v>3469</v>
      </c>
      <c r="CL527" s="120" t="s">
        <v>6641</v>
      </c>
      <c r="CM527" s="375" t="s">
        <v>3478</v>
      </c>
      <c r="CN527" s="380"/>
      <c r="CO527" s="380"/>
      <c r="CP527" s="380"/>
      <c r="CQ527" s="380"/>
      <c r="CR527" s="380"/>
      <c r="CS527" s="380"/>
      <c r="CT527" s="380"/>
      <c r="CU527" s="380"/>
      <c r="CV527" s="380"/>
      <c r="CW527" s="380"/>
      <c r="CX527" s="376" t="s">
        <v>3471</v>
      </c>
      <c r="CY527" s="120">
        <v>0.13535900000000001</v>
      </c>
      <c r="CZ527" s="120" t="s">
        <v>24</v>
      </c>
      <c r="DA527" s="120">
        <f>0.180642-Table66[[#This Row],[Data_Outcome1_M]]</f>
        <v>4.528299999999999E-2</v>
      </c>
      <c r="DB527" s="376" t="s">
        <v>3472</v>
      </c>
      <c r="DC527" s="120">
        <v>0.20613200000000001</v>
      </c>
      <c r="DD527" s="120" t="s">
        <v>24</v>
      </c>
      <c r="DE527" s="120">
        <f>0.236321-Table66[[#This Row],[Data_Outcome2_M]]</f>
        <v>3.0188999999999994E-2</v>
      </c>
      <c r="DF527" s="515" t="s">
        <v>3475</v>
      </c>
      <c r="DG527" s="513" t="s">
        <v>2480</v>
      </c>
      <c r="DH527" s="720" t="s">
        <v>3473</v>
      </c>
      <c r="DI527" s="120">
        <v>0.47309499999999999</v>
      </c>
      <c r="DJ527" s="384" t="s">
        <v>24</v>
      </c>
      <c r="DK527" s="120">
        <f>0.537255-Table66[[#This Row],[Data_Outcome3_M]]</f>
        <v>6.416000000000005E-2</v>
      </c>
      <c r="DL527" s="1270" t="s">
        <v>3474</v>
      </c>
      <c r="DM527" s="120">
        <v>0.43444300000000002</v>
      </c>
      <c r="DN527" s="384" t="s">
        <v>24</v>
      </c>
      <c r="DO527" s="120">
        <f>0.4835-Table66[[#This Row],[Data_Outcome4_M]]</f>
        <v>4.9056999999999962E-2</v>
      </c>
      <c r="DP527" s="375" t="s">
        <v>3476</v>
      </c>
      <c r="DQ527" s="377" t="s">
        <v>3477</v>
      </c>
      <c r="DR527" s="621"/>
      <c r="DS527" s="956"/>
      <c r="DT527" s="727"/>
      <c r="DU527" s="120"/>
      <c r="DV527" s="384"/>
      <c r="DW527" s="120"/>
      <c r="DX527" s="384"/>
      <c r="DY527" s="120"/>
      <c r="DZ527" s="384"/>
      <c r="EA527" s="120"/>
      <c r="EB527" s="1012"/>
      <c r="EC527" s="384"/>
      <c r="ED527" s="384"/>
      <c r="EE527" s="120"/>
      <c r="EF527" s="384"/>
      <c r="EG527" s="120"/>
      <c r="EH527" s="384"/>
      <c r="EI527" s="120"/>
      <c r="EJ527" s="384"/>
      <c r="EK527" s="120"/>
      <c r="EL527" s="1012"/>
      <c r="EM527" s="384"/>
      <c r="EN527" s="380"/>
      <c r="EO527" s="120"/>
      <c r="EP527" s="120"/>
      <c r="EQ527" s="120"/>
      <c r="ER527" s="120"/>
      <c r="ES527" s="120"/>
      <c r="ET527" s="376"/>
      <c r="EU527" s="120"/>
      <c r="EV527" s="120"/>
      <c r="EW527" s="120"/>
      <c r="EX527" s="120"/>
      <c r="EY527" s="120"/>
      <c r="EZ527" s="376"/>
      <c r="FA527" s="120"/>
      <c r="FB527" s="120"/>
      <c r="FC527" s="120"/>
      <c r="FD527" s="376"/>
      <c r="FE527" s="120"/>
      <c r="FF527" s="120"/>
      <c r="FG527" s="120"/>
      <c r="FH527" s="120"/>
      <c r="FI527" s="120"/>
      <c r="FJ527" s="120"/>
    </row>
    <row r="528" spans="1:166" ht="14" hidden="1" customHeight="1">
      <c r="A528" s="158" t="s">
        <v>995</v>
      </c>
      <c r="B528" s="618">
        <v>40</v>
      </c>
      <c r="C528" s="618"/>
      <c r="D528" s="618"/>
      <c r="E528" s="1095" t="s">
        <v>2107</v>
      </c>
      <c r="F528" s="711" t="s">
        <v>2365</v>
      </c>
      <c r="G528" s="1096">
        <v>2014</v>
      </c>
      <c r="H528" s="158">
        <v>25309317</v>
      </c>
      <c r="I528" s="158">
        <v>1</v>
      </c>
      <c r="J528" s="158"/>
      <c r="K528" s="158"/>
      <c r="L528" s="158">
        <v>1</v>
      </c>
      <c r="M528" s="158"/>
      <c r="N528" s="158">
        <v>1</v>
      </c>
      <c r="O528" s="158">
        <v>2</v>
      </c>
      <c r="P528" s="158" t="s">
        <v>1478</v>
      </c>
      <c r="Q528" s="158" t="s">
        <v>1216</v>
      </c>
      <c r="R528" s="158" t="s">
        <v>1138</v>
      </c>
      <c r="S528" s="158"/>
      <c r="T528" s="158" t="s">
        <v>1489</v>
      </c>
      <c r="U528" s="158"/>
      <c r="V528" s="158"/>
      <c r="W528" s="158" t="s">
        <v>1477</v>
      </c>
      <c r="X528" s="158" t="s">
        <v>1476</v>
      </c>
      <c r="Y528" s="158"/>
      <c r="Z528" s="158"/>
      <c r="AA528" s="158"/>
      <c r="AB528" s="158"/>
      <c r="AC528" s="800"/>
      <c r="AD528" s="536">
        <v>1</v>
      </c>
      <c r="AE528" s="536">
        <v>2</v>
      </c>
      <c r="AF528" s="743">
        <v>0</v>
      </c>
      <c r="AG528" s="166" t="s">
        <v>7623</v>
      </c>
      <c r="AH528" s="509" t="s">
        <v>7264</v>
      </c>
      <c r="AI528" s="734">
        <v>5</v>
      </c>
      <c r="AJ528" s="734"/>
      <c r="AK528" s="739" t="s">
        <v>3280</v>
      </c>
      <c r="AL528" s="372">
        <v>1</v>
      </c>
      <c r="AM528" s="724">
        <v>1</v>
      </c>
      <c r="AN528" s="734">
        <f>((10+12)/2)*2</f>
        <v>22</v>
      </c>
      <c r="AO528" s="801" t="s">
        <v>3501</v>
      </c>
      <c r="AP528" s="801" t="s">
        <v>3501</v>
      </c>
      <c r="AQ528" s="734" t="s">
        <v>803</v>
      </c>
      <c r="AR528" s="734" t="s">
        <v>803</v>
      </c>
      <c r="AS528" s="734" t="s">
        <v>2687</v>
      </c>
      <c r="AT528" s="734" t="s">
        <v>24</v>
      </c>
      <c r="AU528" s="734" t="s">
        <v>2687</v>
      </c>
      <c r="AV528" s="734" t="s">
        <v>24</v>
      </c>
      <c r="AW528" s="734" t="s">
        <v>3311</v>
      </c>
      <c r="AX528" s="734"/>
      <c r="AY528" s="734"/>
      <c r="AZ528" s="755" t="s">
        <v>7327</v>
      </c>
      <c r="BA528" s="734">
        <v>1</v>
      </c>
      <c r="BB528" s="734" t="s">
        <v>3348</v>
      </c>
      <c r="BC528" s="734" t="s">
        <v>7541</v>
      </c>
      <c r="BD528" s="759" t="s">
        <v>7522</v>
      </c>
      <c r="BE528" s="759"/>
      <c r="BF528" s="734" t="s">
        <v>3397</v>
      </c>
      <c r="BG528" s="734" t="s">
        <v>3395</v>
      </c>
      <c r="BH528" s="372"/>
      <c r="BI528" s="372"/>
      <c r="BJ528" s="735">
        <v>1</v>
      </c>
      <c r="BK528" s="735"/>
      <c r="BL528" s="735"/>
      <c r="BM528" s="735"/>
      <c r="BN528" s="735"/>
      <c r="BO528" s="735"/>
      <c r="BP528" s="735"/>
      <c r="BQ528" s="735"/>
      <c r="BR528" s="735"/>
      <c r="BS528" s="735"/>
      <c r="BT528" s="735"/>
      <c r="BU528" s="735"/>
      <c r="BV528" s="735"/>
      <c r="BW528" s="735" t="s">
        <v>2977</v>
      </c>
      <c r="BX528" s="736" t="s">
        <v>6603</v>
      </c>
      <c r="BY528" s="799" t="s">
        <v>7615</v>
      </c>
      <c r="BZ528" s="736" t="s">
        <v>7609</v>
      </c>
      <c r="CA528" s="511">
        <v>4</v>
      </c>
      <c r="CB528" s="511" t="s">
        <v>7556</v>
      </c>
      <c r="CC528" s="511" t="s">
        <v>7384</v>
      </c>
      <c r="CD528" s="734" t="s">
        <v>1876</v>
      </c>
      <c r="CE528" s="734">
        <v>2</v>
      </c>
      <c r="CF528" s="786" t="s">
        <v>23</v>
      </c>
      <c r="CG528" s="734" t="s">
        <v>3483</v>
      </c>
      <c r="CH528" s="755" t="s">
        <v>1488</v>
      </c>
      <c r="CI528" s="734" t="s">
        <v>3481</v>
      </c>
      <c r="CJ528" s="734"/>
      <c r="CK528" s="734" t="s">
        <v>3406</v>
      </c>
      <c r="CL528" s="120" t="s">
        <v>6640</v>
      </c>
      <c r="CM528" s="737" t="s">
        <v>3506</v>
      </c>
      <c r="CN528" s="738" t="s">
        <v>24</v>
      </c>
      <c r="CO528" s="738"/>
      <c r="CP528" s="738"/>
      <c r="CQ528" s="738"/>
      <c r="CR528" s="738"/>
      <c r="CS528" s="738"/>
      <c r="CT528" s="738"/>
      <c r="CU528" s="738"/>
      <c r="CV528" s="738"/>
      <c r="CW528" s="738"/>
      <c r="CX528" s="736" t="s">
        <v>3489</v>
      </c>
      <c r="CY528" s="734">
        <v>89.333299999999994</v>
      </c>
      <c r="CZ528" s="734" t="s">
        <v>24</v>
      </c>
      <c r="DA528" s="734">
        <f>102.667-Table66[[#This Row],[Data_Outcome1_M]]</f>
        <v>13.333700000000007</v>
      </c>
      <c r="DB528" s="736" t="s">
        <v>3486</v>
      </c>
      <c r="DC528" s="734">
        <v>53.333300000000001</v>
      </c>
      <c r="DD528" s="734" t="s">
        <v>24</v>
      </c>
      <c r="DE528" s="734">
        <f>63.2-Table66[[#This Row],[Data_Outcome2_M]]</f>
        <v>9.8667000000000016</v>
      </c>
      <c r="DF528" s="515" t="s">
        <v>3503</v>
      </c>
      <c r="DG528" s="513" t="s">
        <v>3508</v>
      </c>
      <c r="DH528" s="1180" t="s">
        <v>3490</v>
      </c>
      <c r="DI528" s="778">
        <v>92.533299999999997</v>
      </c>
      <c r="DJ528" s="778" t="s">
        <v>24</v>
      </c>
      <c r="DK528" s="778">
        <f>106.133-Table66[[#This Row],[Data_Outcome3_M]]</f>
        <v>13.599699999999999</v>
      </c>
      <c r="DL528" s="1180" t="s">
        <v>3488</v>
      </c>
      <c r="DM528" s="778">
        <v>57.866700000000002</v>
      </c>
      <c r="DN528" s="778" t="s">
        <v>24</v>
      </c>
      <c r="DO528" s="778">
        <f>66.6667-Table66[[#This Row],[Data_Outcome4_M]]</f>
        <v>8.8000000000000043</v>
      </c>
      <c r="DP528" s="737"/>
      <c r="DQ528" s="372"/>
      <c r="DR528" s="1182"/>
      <c r="DS528" s="956"/>
      <c r="DT528" s="1180" t="s">
        <v>3491</v>
      </c>
      <c r="DU528" s="778">
        <v>63.2</v>
      </c>
      <c r="DV528" s="778" t="s">
        <v>24</v>
      </c>
      <c r="DW528" s="778">
        <f>73.0667-Table66[[#This Row],[Data_Outcome5_M]]</f>
        <v>9.8666999999999945</v>
      </c>
      <c r="DX528" s="1180" t="s">
        <v>3492</v>
      </c>
      <c r="DY528" s="778">
        <v>41.6</v>
      </c>
      <c r="DZ528" s="778" t="s">
        <v>24</v>
      </c>
      <c r="EA528" s="778" t="s">
        <v>3510</v>
      </c>
      <c r="EB528" s="738"/>
      <c r="EC528" s="734"/>
      <c r="ED528" s="1272" t="s">
        <v>3493</v>
      </c>
      <c r="EE528" s="1249">
        <v>52.533299999999997</v>
      </c>
      <c r="EF528" s="1249" t="s">
        <v>24</v>
      </c>
      <c r="EG528" s="1249">
        <f>61.3333-Table66[[#This Row],[Data_Outcome7_M]]</f>
        <v>8.8000000000000043</v>
      </c>
      <c r="EH528" s="1272" t="s">
        <v>3494</v>
      </c>
      <c r="EI528" s="778">
        <v>35.200000000000003</v>
      </c>
      <c r="EJ528" s="778" t="s">
        <v>24</v>
      </c>
      <c r="EK528" s="778" t="s">
        <v>3510</v>
      </c>
      <c r="EL528" s="738"/>
      <c r="EM528" s="734"/>
      <c r="EN528" s="1181"/>
      <c r="EO528" s="778"/>
      <c r="EP528" s="1272" t="s">
        <v>3495</v>
      </c>
      <c r="EQ528" s="1249">
        <v>40</v>
      </c>
      <c r="ER528" s="1249" t="s">
        <v>24</v>
      </c>
      <c r="ES528" s="1249">
        <f>48-Table66[[#This Row],[Data_Outcome9_M]]</f>
        <v>8</v>
      </c>
      <c r="ET528" s="1272" t="s">
        <v>3496</v>
      </c>
      <c r="EU528" s="778">
        <v>28.667000000000002</v>
      </c>
      <c r="EV528" s="778" t="s">
        <v>24</v>
      </c>
      <c r="EW528" s="778">
        <f>Table66[[#This Row],[Data_Outcome10_M]]-21.6</f>
        <v>7.0670000000000002</v>
      </c>
      <c r="EX528" s="734"/>
      <c r="EY528" s="734"/>
      <c r="EZ528" s="1180" t="s">
        <v>24</v>
      </c>
      <c r="FA528" s="778"/>
      <c r="FB528" s="778"/>
      <c r="FC528" s="778"/>
      <c r="FD528" s="1180"/>
      <c r="FE528" s="778"/>
      <c r="FF528" s="778"/>
      <c r="FG528" s="778"/>
      <c r="FH528" s="778"/>
      <c r="FI528" s="778"/>
      <c r="FJ528" s="778"/>
    </row>
    <row r="529" spans="1:166" ht="14" hidden="1" customHeight="1">
      <c r="A529" s="153" t="s">
        <v>995</v>
      </c>
      <c r="B529" s="618">
        <v>40</v>
      </c>
      <c r="C529" s="618"/>
      <c r="D529" s="618"/>
      <c r="E529" s="610" t="s">
        <v>2107</v>
      </c>
      <c r="F529" s="368" t="s">
        <v>2365</v>
      </c>
      <c r="G529" s="369">
        <v>2014</v>
      </c>
      <c r="H529" s="153">
        <v>25309317</v>
      </c>
      <c r="I529" s="153">
        <v>1</v>
      </c>
      <c r="J529" s="370"/>
      <c r="K529" s="371"/>
      <c r="L529" s="153">
        <v>1</v>
      </c>
      <c r="M529" s="153"/>
      <c r="N529" s="153">
        <v>1</v>
      </c>
      <c r="O529" s="153">
        <v>2</v>
      </c>
      <c r="P529" s="153" t="s">
        <v>1478</v>
      </c>
      <c r="Q529" s="153" t="s">
        <v>1216</v>
      </c>
      <c r="R529" s="153" t="s">
        <v>1138</v>
      </c>
      <c r="S529" s="153"/>
      <c r="T529" s="153" t="s">
        <v>1489</v>
      </c>
      <c r="U529" s="153"/>
      <c r="V529" s="153"/>
      <c r="W529" s="153" t="s">
        <v>1477</v>
      </c>
      <c r="X529" s="153" t="s">
        <v>1476</v>
      </c>
      <c r="Y529" s="153"/>
      <c r="Z529" s="153"/>
      <c r="AA529" s="153"/>
      <c r="AB529" s="153"/>
      <c r="AC529" s="536"/>
      <c r="AD529" s="536">
        <v>1</v>
      </c>
      <c r="AE529" s="536">
        <v>2</v>
      </c>
      <c r="AF529" s="743">
        <v>0</v>
      </c>
      <c r="AG529" s="166" t="s">
        <v>7623</v>
      </c>
      <c r="AH529" s="509" t="s">
        <v>7264</v>
      </c>
      <c r="AI529" s="120">
        <v>5</v>
      </c>
      <c r="AJ529" s="120"/>
      <c r="AK529" s="206" t="s">
        <v>3280</v>
      </c>
      <c r="AL529" s="372">
        <v>1</v>
      </c>
      <c r="AM529" s="207" t="s">
        <v>3500</v>
      </c>
      <c r="AN529" s="120">
        <f>((10+12)/2)*2</f>
        <v>22</v>
      </c>
      <c r="AO529" s="802" t="s">
        <v>3501</v>
      </c>
      <c r="AP529" s="802" t="s">
        <v>3501</v>
      </c>
      <c r="AQ529" s="120" t="s">
        <v>803</v>
      </c>
      <c r="AR529" s="120" t="s">
        <v>803</v>
      </c>
      <c r="AS529" s="734" t="s">
        <v>2687</v>
      </c>
      <c r="AT529" s="734" t="s">
        <v>24</v>
      </c>
      <c r="AU529" s="734" t="s">
        <v>2687</v>
      </c>
      <c r="AV529" s="120" t="s">
        <v>24</v>
      </c>
      <c r="AW529" s="120" t="s">
        <v>3311</v>
      </c>
      <c r="AX529" s="120"/>
      <c r="AY529" s="120"/>
      <c r="AZ529" s="755" t="s">
        <v>7327</v>
      </c>
      <c r="BA529" s="120">
        <v>1</v>
      </c>
      <c r="BB529" s="734" t="s">
        <v>3348</v>
      </c>
      <c r="BC529" s="734" t="s">
        <v>7541</v>
      </c>
      <c r="BD529" s="759" t="s">
        <v>7522</v>
      </c>
      <c r="BE529" s="759"/>
      <c r="BF529" s="120" t="s">
        <v>3397</v>
      </c>
      <c r="BG529" s="120" t="s">
        <v>3395</v>
      </c>
      <c r="BH529" s="377"/>
      <c r="BI529" s="377"/>
      <c r="BJ529" s="373">
        <v>1</v>
      </c>
      <c r="BK529" s="373"/>
      <c r="BL529" s="373"/>
      <c r="BM529" s="373"/>
      <c r="BN529" s="373"/>
      <c r="BO529" s="373"/>
      <c r="BP529" s="373"/>
      <c r="BQ529" s="373"/>
      <c r="BR529" s="373"/>
      <c r="BS529" s="373"/>
      <c r="BT529" s="373"/>
      <c r="BU529" s="373"/>
      <c r="BV529" s="373"/>
      <c r="BW529" s="599" t="s">
        <v>2493</v>
      </c>
      <c r="BX529" s="374" t="s">
        <v>6595</v>
      </c>
      <c r="BY529" s="799" t="s">
        <v>7615</v>
      </c>
      <c r="BZ529" s="374" t="s">
        <v>803</v>
      </c>
      <c r="CA529" s="511">
        <v>4</v>
      </c>
      <c r="CB529" s="511" t="s">
        <v>7556</v>
      </c>
      <c r="CC529" s="511" t="s">
        <v>7384</v>
      </c>
      <c r="CD529" s="120" t="s">
        <v>1876</v>
      </c>
      <c r="CE529" s="120">
        <v>2</v>
      </c>
      <c r="CF529" s="786" t="s">
        <v>23</v>
      </c>
      <c r="CG529" s="120" t="s">
        <v>3499</v>
      </c>
      <c r="CH529" s="755" t="s">
        <v>1488</v>
      </c>
      <c r="CI529" s="120" t="s">
        <v>3481</v>
      </c>
      <c r="CJ529" s="120"/>
      <c r="CK529" s="120" t="s">
        <v>3406</v>
      </c>
      <c r="CL529" s="120" t="s">
        <v>6640</v>
      </c>
      <c r="CM529" s="375" t="s">
        <v>3505</v>
      </c>
      <c r="CN529" s="380" t="s">
        <v>6627</v>
      </c>
      <c r="CO529" s="380"/>
      <c r="CP529" s="380"/>
      <c r="CQ529" s="380"/>
      <c r="CR529" s="380"/>
      <c r="CS529" s="380"/>
      <c r="CT529" s="380"/>
      <c r="CU529" s="380"/>
      <c r="CV529" s="380"/>
      <c r="CW529" s="380"/>
      <c r="CX529" s="376" t="s">
        <v>3485</v>
      </c>
      <c r="CY529" s="120">
        <v>98.933300000000003</v>
      </c>
      <c r="CZ529" s="384" t="s">
        <v>24</v>
      </c>
      <c r="DA529" s="120">
        <f>109.333-Table66[[#This Row],[Data_Outcome1_M]]</f>
        <v>10.399699999999996</v>
      </c>
      <c r="DB529" s="376" t="s">
        <v>3487</v>
      </c>
      <c r="DC529" s="120">
        <v>60.533299999999997</v>
      </c>
      <c r="DD529" s="120" t="s">
        <v>24</v>
      </c>
      <c r="DE529" s="120">
        <f>70.6667-Table66[[#This Row],[Data_Outcome2_M]]</f>
        <v>10.133400000000009</v>
      </c>
      <c r="DF529" s="515" t="s">
        <v>3502</v>
      </c>
      <c r="DG529" s="513" t="s">
        <v>3509</v>
      </c>
      <c r="DH529" s="727" t="s">
        <v>24</v>
      </c>
      <c r="DI529" s="384"/>
      <c r="DJ529" s="384"/>
      <c r="DK529" s="384"/>
      <c r="DL529" s="727" t="s">
        <v>24</v>
      </c>
      <c r="DM529" s="384"/>
      <c r="DN529" s="384"/>
      <c r="DO529" s="384"/>
      <c r="DP529" s="375"/>
      <c r="DQ529" s="377"/>
      <c r="DR529" s="1182"/>
      <c r="DS529" s="956"/>
      <c r="DT529" s="727"/>
      <c r="DU529" s="384"/>
      <c r="DV529" s="384"/>
      <c r="DW529" s="384"/>
      <c r="DX529" s="384"/>
      <c r="DY529" s="384"/>
      <c r="DZ529" s="384"/>
      <c r="EA529" s="384"/>
      <c r="EB529" s="1012"/>
      <c r="EC529" s="384"/>
      <c r="ED529" s="384"/>
      <c r="EE529" s="384"/>
      <c r="EF529" s="384"/>
      <c r="EG529" s="384"/>
      <c r="EH529" s="384"/>
      <c r="EI529" s="384"/>
      <c r="EJ529" s="384"/>
      <c r="EK529" s="384"/>
      <c r="EL529" s="1012"/>
      <c r="EM529" s="384"/>
      <c r="EN529" s="1012"/>
      <c r="EO529" s="384"/>
      <c r="EP529" s="384"/>
      <c r="EQ529" s="384"/>
      <c r="ER529" s="384"/>
      <c r="ES529" s="384"/>
      <c r="ET529" s="727"/>
      <c r="EU529" s="384"/>
      <c r="EV529" s="384"/>
      <c r="EW529" s="384"/>
      <c r="EX529" s="384"/>
      <c r="EY529" s="384"/>
      <c r="EZ529" s="727"/>
      <c r="FA529" s="384"/>
      <c r="FB529" s="384"/>
      <c r="FC529" s="384"/>
      <c r="FD529" s="727"/>
      <c r="FE529" s="384"/>
      <c r="FF529" s="384"/>
      <c r="FG529" s="384"/>
      <c r="FH529" s="384"/>
      <c r="FI529" s="384"/>
      <c r="FJ529" s="384"/>
    </row>
    <row r="530" spans="1:166" ht="14" hidden="1" customHeight="1">
      <c r="A530" s="158" t="s">
        <v>995</v>
      </c>
      <c r="B530" s="618">
        <v>40</v>
      </c>
      <c r="C530" s="618"/>
      <c r="D530" s="618"/>
      <c r="E530" s="1095" t="s">
        <v>2107</v>
      </c>
      <c r="F530" s="711" t="s">
        <v>2365</v>
      </c>
      <c r="G530" s="1096">
        <v>2014</v>
      </c>
      <c r="H530" s="158">
        <v>25309317</v>
      </c>
      <c r="I530" s="158">
        <v>1</v>
      </c>
      <c r="J530" s="158"/>
      <c r="K530" s="158"/>
      <c r="L530" s="158">
        <v>1</v>
      </c>
      <c r="M530" s="158"/>
      <c r="N530" s="158">
        <v>1</v>
      </c>
      <c r="O530" s="158">
        <v>2</v>
      </c>
      <c r="P530" s="158" t="s">
        <v>1478</v>
      </c>
      <c r="Q530" s="158" t="s">
        <v>1216</v>
      </c>
      <c r="R530" s="158" t="s">
        <v>1138</v>
      </c>
      <c r="S530" s="158"/>
      <c r="T530" s="158" t="s">
        <v>1489</v>
      </c>
      <c r="U530" s="158"/>
      <c r="V530" s="158"/>
      <c r="W530" s="158" t="s">
        <v>1477</v>
      </c>
      <c r="X530" s="158" t="s">
        <v>1476</v>
      </c>
      <c r="Y530" s="158"/>
      <c r="Z530" s="158"/>
      <c r="AA530" s="158"/>
      <c r="AB530" s="158"/>
      <c r="AC530" s="800"/>
      <c r="AD530" s="536">
        <v>1</v>
      </c>
      <c r="AE530" s="536">
        <v>2</v>
      </c>
      <c r="AF530" s="743">
        <v>0</v>
      </c>
      <c r="AG530" s="166" t="s">
        <v>7623</v>
      </c>
      <c r="AH530" s="509" t="s">
        <v>7264</v>
      </c>
      <c r="AI530" s="734">
        <v>5</v>
      </c>
      <c r="AJ530" s="734"/>
      <c r="AK530" s="739" t="s">
        <v>3280</v>
      </c>
      <c r="AL530" s="372">
        <v>1</v>
      </c>
      <c r="AM530" s="724">
        <v>1</v>
      </c>
      <c r="AN530" s="734">
        <f>((10+12)/2)*2</f>
        <v>22</v>
      </c>
      <c r="AO530" s="801" t="s">
        <v>3501</v>
      </c>
      <c r="AP530" s="801" t="s">
        <v>3501</v>
      </c>
      <c r="AQ530" s="734" t="s">
        <v>803</v>
      </c>
      <c r="AR530" s="734" t="s">
        <v>803</v>
      </c>
      <c r="AS530" s="734" t="s">
        <v>2687</v>
      </c>
      <c r="AT530" s="734" t="s">
        <v>24</v>
      </c>
      <c r="AU530" s="734" t="s">
        <v>2687</v>
      </c>
      <c r="AV530" s="734" t="s">
        <v>24</v>
      </c>
      <c r="AW530" s="734" t="s">
        <v>3311</v>
      </c>
      <c r="AX530" s="734"/>
      <c r="AY530" s="734"/>
      <c r="AZ530" s="755" t="s">
        <v>7327</v>
      </c>
      <c r="BA530" s="734">
        <v>1</v>
      </c>
      <c r="BB530" s="734" t="s">
        <v>3348</v>
      </c>
      <c r="BC530" s="734" t="s">
        <v>7541</v>
      </c>
      <c r="BD530" s="759" t="s">
        <v>7522</v>
      </c>
      <c r="BE530" s="759"/>
      <c r="BF530" s="734" t="s">
        <v>3397</v>
      </c>
      <c r="BG530" s="734" t="s">
        <v>3395</v>
      </c>
      <c r="BH530" s="372"/>
      <c r="BI530" s="372"/>
      <c r="BJ530" s="735">
        <v>1</v>
      </c>
      <c r="BK530" s="735"/>
      <c r="BL530" s="735"/>
      <c r="BM530" s="735"/>
      <c r="BN530" s="735"/>
      <c r="BO530" s="735"/>
      <c r="BP530" s="735"/>
      <c r="BQ530" s="735"/>
      <c r="BR530" s="735"/>
      <c r="BS530" s="735"/>
      <c r="BT530" s="735"/>
      <c r="BU530" s="735"/>
      <c r="BV530" s="735"/>
      <c r="BW530" s="735" t="s">
        <v>3482</v>
      </c>
      <c r="BX530" s="736" t="s">
        <v>6595</v>
      </c>
      <c r="BY530" s="799" t="s">
        <v>7615</v>
      </c>
      <c r="BZ530" s="736" t="s">
        <v>803</v>
      </c>
      <c r="CA530" s="511">
        <v>4</v>
      </c>
      <c r="CB530" s="511" t="s">
        <v>7556</v>
      </c>
      <c r="CC530" s="511" t="s">
        <v>7384</v>
      </c>
      <c r="CD530" s="734" t="s">
        <v>1876</v>
      </c>
      <c r="CE530" s="734">
        <v>2</v>
      </c>
      <c r="CF530" s="786" t="s">
        <v>23</v>
      </c>
      <c r="CG530" s="734" t="s">
        <v>3484</v>
      </c>
      <c r="CH530" s="755" t="s">
        <v>1488</v>
      </c>
      <c r="CI530" s="734" t="s">
        <v>3481</v>
      </c>
      <c r="CJ530" s="734"/>
      <c r="CK530" s="734" t="s">
        <v>3406</v>
      </c>
      <c r="CL530" s="120" t="s">
        <v>6640</v>
      </c>
      <c r="CM530" s="737" t="s">
        <v>3507</v>
      </c>
      <c r="CN530" s="738" t="s">
        <v>23</v>
      </c>
      <c r="CO530" s="738"/>
      <c r="CP530" s="738"/>
      <c r="CQ530" s="738"/>
      <c r="CR530" s="738"/>
      <c r="CS530" s="738"/>
      <c r="CT530" s="738"/>
      <c r="CU530" s="738"/>
      <c r="CV530" s="738"/>
      <c r="CW530" s="738"/>
      <c r="CX530" s="736" t="s">
        <v>3497</v>
      </c>
      <c r="CY530" s="734">
        <v>100.267</v>
      </c>
      <c r="CZ530" s="734" t="s">
        <v>24</v>
      </c>
      <c r="DA530" s="734">
        <f>Table66[[#This Row],[Data_Outcome1_M]]-89.3333</f>
        <v>10.933700000000002</v>
      </c>
      <c r="DB530" s="736" t="s">
        <v>3498</v>
      </c>
      <c r="DC530" s="734">
        <v>38.666699999999999</v>
      </c>
      <c r="DD530" s="734" t="s">
        <v>24</v>
      </c>
      <c r="DE530" s="734">
        <f>Table66[[#This Row],[Data_Outcome2_M]]-30.9333</f>
        <v>7.7333999999999996</v>
      </c>
      <c r="DF530" s="515" t="s">
        <v>3504</v>
      </c>
      <c r="DG530" s="513" t="s">
        <v>3508</v>
      </c>
      <c r="DH530" s="1180"/>
      <c r="DI530" s="778"/>
      <c r="DJ530" s="778"/>
      <c r="DK530" s="778"/>
      <c r="DL530" s="1180"/>
      <c r="DM530" s="778"/>
      <c r="DN530" s="778"/>
      <c r="DO530" s="778"/>
      <c r="DP530" s="737"/>
      <c r="DQ530" s="372"/>
      <c r="DR530" s="1182"/>
      <c r="DS530" s="956"/>
      <c r="DT530" s="1180"/>
      <c r="DU530" s="778"/>
      <c r="DV530" s="778"/>
      <c r="DW530" s="778"/>
      <c r="DX530" s="778"/>
      <c r="DY530" s="778"/>
      <c r="DZ530" s="778"/>
      <c r="EA530" s="778"/>
      <c r="EB530" s="1181"/>
      <c r="EC530" s="778"/>
      <c r="ED530" s="778"/>
      <c r="EE530" s="778"/>
      <c r="EF530" s="778"/>
      <c r="EG530" s="778"/>
      <c r="EH530" s="778"/>
      <c r="EI530" s="778"/>
      <c r="EJ530" s="778"/>
      <c r="EK530" s="778"/>
      <c r="EL530" s="1181"/>
      <c r="EM530" s="778"/>
      <c r="EN530" s="1181"/>
      <c r="EO530" s="778"/>
      <c r="EP530" s="778"/>
      <c r="EQ530" s="778"/>
      <c r="ER530" s="778"/>
      <c r="ES530" s="778"/>
      <c r="ET530" s="1180"/>
      <c r="EU530" s="778"/>
      <c r="EV530" s="778"/>
      <c r="EW530" s="778"/>
      <c r="EX530" s="778"/>
      <c r="EY530" s="778"/>
      <c r="EZ530" s="1180"/>
      <c r="FA530" s="778"/>
      <c r="FB530" s="778"/>
      <c r="FC530" s="778"/>
      <c r="FD530" s="1180"/>
      <c r="FE530" s="778"/>
      <c r="FF530" s="778"/>
      <c r="FG530" s="778"/>
      <c r="FH530" s="778"/>
      <c r="FI530" s="778"/>
      <c r="FJ530" s="778"/>
    </row>
    <row r="531" spans="1:166" ht="14" hidden="1" customHeight="1">
      <c r="A531" s="153" t="s">
        <v>258</v>
      </c>
      <c r="B531" s="618">
        <v>189</v>
      </c>
      <c r="C531" s="618"/>
      <c r="D531" s="618">
        <v>70</v>
      </c>
      <c r="E531" s="610" t="s">
        <v>2001</v>
      </c>
      <c r="F531" s="368" t="s">
        <v>2232</v>
      </c>
      <c r="G531" s="369">
        <v>2010</v>
      </c>
      <c r="H531" s="153">
        <v>21093682</v>
      </c>
      <c r="I531" s="153" t="s">
        <v>6259</v>
      </c>
      <c r="J531" s="370" t="s">
        <v>1745</v>
      </c>
      <c r="K531" s="371" t="s">
        <v>1745</v>
      </c>
      <c r="L531" s="153">
        <v>1</v>
      </c>
      <c r="M531" s="153" t="s">
        <v>1748</v>
      </c>
      <c r="N531" s="153">
        <v>0</v>
      </c>
      <c r="O531" s="153">
        <v>1</v>
      </c>
      <c r="P531" s="153"/>
      <c r="Q531" s="153"/>
      <c r="R531" s="153" t="s">
        <v>693</v>
      </c>
      <c r="S531" s="153"/>
      <c r="T531" s="153"/>
      <c r="U531" s="153"/>
      <c r="V531" s="153"/>
      <c r="W531" s="153"/>
      <c r="X531" s="153"/>
      <c r="Y531" s="153"/>
      <c r="Z531" s="153"/>
      <c r="AA531" s="153"/>
      <c r="AB531" s="153" t="s">
        <v>516</v>
      </c>
      <c r="AC531" s="536" t="s">
        <v>6261</v>
      </c>
      <c r="AD531" s="536">
        <v>1</v>
      </c>
      <c r="AE531" s="536">
        <v>0</v>
      </c>
      <c r="AF531" s="165">
        <v>0</v>
      </c>
      <c r="AG531" s="166" t="s">
        <v>7224</v>
      </c>
      <c r="AH531" s="509" t="s">
        <v>7273</v>
      </c>
      <c r="AI531" s="120"/>
      <c r="AJ531" s="120"/>
      <c r="AK531" s="206"/>
      <c r="AL531" s="372"/>
      <c r="AM531" s="207"/>
      <c r="AN531" s="120"/>
      <c r="AO531" s="120"/>
      <c r="AP531" s="120"/>
      <c r="AQ531" s="120"/>
      <c r="AR531" s="120"/>
      <c r="AS531" s="120"/>
      <c r="AT531" s="120"/>
      <c r="AU531" s="120"/>
      <c r="AV531" s="120"/>
      <c r="AW531" s="120"/>
      <c r="AX531" s="120"/>
      <c r="AY531" s="120"/>
      <c r="AZ531" s="755"/>
      <c r="BA531" s="120"/>
      <c r="BB531" s="120"/>
      <c r="BC531" s="120"/>
      <c r="BD531" s="755"/>
      <c r="BE531" s="755"/>
      <c r="BF531" s="120"/>
      <c r="BG531" s="120"/>
      <c r="BH531" s="377"/>
      <c r="BI531" s="377"/>
      <c r="BJ531" s="373"/>
      <c r="BK531" s="373"/>
      <c r="BL531" s="373"/>
      <c r="BM531" s="373"/>
      <c r="BN531" s="373"/>
      <c r="BO531" s="373" t="s">
        <v>5207</v>
      </c>
      <c r="BP531" s="373"/>
      <c r="BQ531" s="373"/>
      <c r="BR531" s="373"/>
      <c r="BS531" s="373"/>
      <c r="BT531" s="373"/>
      <c r="BU531" s="373"/>
      <c r="BV531" s="373"/>
      <c r="BW531" s="599"/>
      <c r="BX531" s="374"/>
      <c r="BY531" s="374"/>
      <c r="BZ531" s="374"/>
      <c r="CA531" s="511"/>
      <c r="CB531" s="511"/>
      <c r="CC531" s="511"/>
      <c r="CD531" s="120"/>
      <c r="CE531" s="120"/>
      <c r="CF531" s="120"/>
      <c r="CG531" s="120"/>
      <c r="CH531" s="755"/>
      <c r="CI531" s="120"/>
      <c r="CJ531" s="120"/>
      <c r="CK531" s="120"/>
      <c r="CL531" s="120"/>
      <c r="CM531" s="375"/>
      <c r="CN531" s="380"/>
      <c r="CO531" s="380"/>
      <c r="CP531" s="380"/>
      <c r="CQ531" s="380"/>
      <c r="CR531" s="380"/>
      <c r="CS531" s="380"/>
      <c r="CT531" s="380"/>
      <c r="CU531" s="380"/>
      <c r="CV531" s="380"/>
      <c r="CW531" s="380"/>
      <c r="CX531" s="376"/>
      <c r="CY531" s="120"/>
      <c r="CZ531" s="120"/>
      <c r="DA531" s="120"/>
      <c r="DB531" s="376"/>
      <c r="DC531" s="120"/>
      <c r="DD531" s="120"/>
      <c r="DE531" s="120"/>
      <c r="DF531" s="515"/>
      <c r="DG531" s="513"/>
      <c r="DH531" s="727"/>
      <c r="DI531" s="384"/>
      <c r="DJ531" s="384"/>
      <c r="DK531" s="384"/>
      <c r="DL531" s="727"/>
      <c r="DM531" s="384"/>
      <c r="DN531" s="384"/>
      <c r="DO531" s="384"/>
      <c r="DP531" s="375"/>
      <c r="DQ531" s="377"/>
      <c r="DR531" s="1182"/>
      <c r="DS531" s="956"/>
      <c r="DT531" s="727"/>
      <c r="DU531" s="120"/>
      <c r="DV531" s="384"/>
      <c r="DW531" s="120"/>
      <c r="DX531" s="384"/>
      <c r="DY531" s="384"/>
      <c r="DZ531" s="384"/>
      <c r="EA531" s="384"/>
      <c r="EB531" s="380"/>
      <c r="EC531" s="120"/>
      <c r="ED531" s="384"/>
      <c r="EE531" s="384"/>
      <c r="EF531" s="384"/>
      <c r="EG531" s="384"/>
      <c r="EH531" s="384"/>
      <c r="EI531" s="384"/>
      <c r="EJ531" s="384"/>
      <c r="EK531" s="384"/>
      <c r="EL531" s="1012"/>
      <c r="EM531" s="384"/>
      <c r="EN531" s="1012"/>
      <c r="EO531" s="384"/>
      <c r="EP531" s="384"/>
      <c r="EQ531" s="384"/>
      <c r="ER531" s="384"/>
      <c r="ES531" s="384"/>
      <c r="ET531" s="727"/>
      <c r="EU531" s="384"/>
      <c r="EV531" s="384"/>
      <c r="EW531" s="384"/>
      <c r="EX531" s="384"/>
      <c r="EY531" s="384"/>
      <c r="EZ531" s="727"/>
      <c r="FA531" s="384"/>
      <c r="FB531" s="384"/>
      <c r="FC531" s="384"/>
      <c r="FD531" s="727"/>
      <c r="FE531" s="384"/>
      <c r="FF531" s="384"/>
      <c r="FG531" s="384"/>
      <c r="FH531" s="384"/>
      <c r="FI531" s="384"/>
      <c r="FJ531" s="384"/>
    </row>
    <row r="532" spans="1:166" ht="14" hidden="1" customHeight="1">
      <c r="A532" s="153" t="s">
        <v>259</v>
      </c>
      <c r="B532" s="618">
        <v>190</v>
      </c>
      <c r="C532" s="618">
        <v>67</v>
      </c>
      <c r="D532" s="618"/>
      <c r="E532" s="610" t="s">
        <v>2002</v>
      </c>
      <c r="F532" s="368" t="s">
        <v>2233</v>
      </c>
      <c r="G532" s="369">
        <v>2012</v>
      </c>
      <c r="H532" s="153">
        <v>22468823</v>
      </c>
      <c r="I532" s="153">
        <v>1</v>
      </c>
      <c r="J532" s="370" t="s">
        <v>1745</v>
      </c>
      <c r="K532" s="371" t="s">
        <v>1745</v>
      </c>
      <c r="L532" s="153">
        <v>1</v>
      </c>
      <c r="M532" s="153" t="s">
        <v>1748</v>
      </c>
      <c r="N532" s="153">
        <v>1</v>
      </c>
      <c r="O532" s="153">
        <v>1</v>
      </c>
      <c r="P532" s="153" t="s">
        <v>695</v>
      </c>
      <c r="Q532" s="153" t="s">
        <v>1172</v>
      </c>
      <c r="R532" s="153" t="s">
        <v>27</v>
      </c>
      <c r="S532" s="153">
        <v>0</v>
      </c>
      <c r="T532" s="153"/>
      <c r="U532" s="153"/>
      <c r="V532" s="153"/>
      <c r="W532" s="153" t="s">
        <v>694</v>
      </c>
      <c r="X532" s="153"/>
      <c r="Y532" s="153"/>
      <c r="Z532" s="153"/>
      <c r="AA532" s="153"/>
      <c r="AB532" s="153" t="s">
        <v>696</v>
      </c>
      <c r="AC532" s="536"/>
      <c r="AD532" s="536">
        <v>1</v>
      </c>
      <c r="AE532" s="536">
        <v>2</v>
      </c>
      <c r="AF532" s="165">
        <v>0</v>
      </c>
      <c r="AG532" s="166" t="s">
        <v>7277</v>
      </c>
      <c r="AH532" s="509" t="s">
        <v>7273</v>
      </c>
      <c r="AI532" s="120">
        <v>3</v>
      </c>
      <c r="AJ532" s="120"/>
      <c r="AK532" s="206"/>
      <c r="AL532" s="372"/>
      <c r="AM532" s="207"/>
      <c r="AN532" s="120"/>
      <c r="AO532" s="120"/>
      <c r="AP532" s="120"/>
      <c r="AQ532" s="120"/>
      <c r="AR532" s="120"/>
      <c r="AS532" s="120"/>
      <c r="AT532" s="120"/>
      <c r="AU532" s="120"/>
      <c r="AV532" s="120"/>
      <c r="AW532" s="120"/>
      <c r="AX532" s="120"/>
      <c r="AY532" s="120"/>
      <c r="AZ532" s="755"/>
      <c r="BA532" s="120"/>
      <c r="BB532" s="120"/>
      <c r="BC532" s="120"/>
      <c r="BD532" s="755"/>
      <c r="BE532" s="755"/>
      <c r="BF532" s="120"/>
      <c r="BG532" s="509"/>
      <c r="BH532" s="513"/>
      <c r="BI532" s="513"/>
      <c r="BJ532" s="511"/>
      <c r="BK532" s="511"/>
      <c r="BL532" s="511">
        <v>1</v>
      </c>
      <c r="BM532" s="511"/>
      <c r="BN532" s="511"/>
      <c r="BO532" s="511"/>
      <c r="BP532" s="511">
        <v>1</v>
      </c>
      <c r="BQ532" s="511"/>
      <c r="BR532" s="511"/>
      <c r="BS532" s="511"/>
      <c r="BT532" s="511"/>
      <c r="BU532" s="511"/>
      <c r="BV532" s="511"/>
      <c r="BW532" s="511"/>
      <c r="BX532" s="510"/>
      <c r="BY532" s="510"/>
      <c r="BZ532" s="510"/>
      <c r="CA532" s="511"/>
      <c r="CB532" s="511"/>
      <c r="CC532" s="511"/>
      <c r="CD532" s="120"/>
      <c r="CE532" s="120"/>
      <c r="CF532" s="120"/>
      <c r="CG532" s="120"/>
      <c r="CH532" s="755"/>
      <c r="CI532" s="120"/>
      <c r="CJ532" s="120"/>
      <c r="CK532" s="120"/>
      <c r="CL532" s="120"/>
      <c r="CM532" s="375"/>
      <c r="CN532" s="380"/>
      <c r="CO532" s="380"/>
      <c r="CP532" s="380"/>
      <c r="CQ532" s="380"/>
      <c r="CR532" s="380"/>
      <c r="CS532" s="380"/>
      <c r="CT532" s="380"/>
      <c r="CU532" s="380"/>
      <c r="CV532" s="380"/>
      <c r="CW532" s="380"/>
      <c r="CX532" s="376"/>
      <c r="CY532" s="120"/>
      <c r="CZ532" s="120"/>
      <c r="DA532" s="120"/>
      <c r="DB532" s="376"/>
      <c r="DC532" s="120"/>
      <c r="DD532" s="120"/>
      <c r="DE532" s="120"/>
      <c r="DF532" s="515"/>
      <c r="DG532" s="513"/>
      <c r="DH532" s="1270" t="s">
        <v>24</v>
      </c>
      <c r="DI532" s="1269" t="s">
        <v>24</v>
      </c>
      <c r="DJ532" s="1269" t="s">
        <v>24</v>
      </c>
      <c r="DK532" s="1269" t="s">
        <v>24</v>
      </c>
      <c r="DL532" s="1269" t="s">
        <v>24</v>
      </c>
      <c r="DM532" s="1269" t="s">
        <v>24</v>
      </c>
      <c r="DN532" s="1269" t="s">
        <v>24</v>
      </c>
      <c r="DO532" s="1269" t="s">
        <v>24</v>
      </c>
      <c r="DP532" s="375"/>
      <c r="DQ532" s="377"/>
      <c r="DR532" s="1182"/>
      <c r="DS532" s="956"/>
      <c r="DT532" s="727"/>
      <c r="DU532" s="120"/>
      <c r="DV532" s="384"/>
      <c r="DW532" s="120"/>
      <c r="DX532" s="384"/>
      <c r="DY532" s="384"/>
      <c r="DZ532" s="384"/>
      <c r="EA532" s="384"/>
      <c r="EB532" s="380"/>
      <c r="EC532" s="120"/>
      <c r="ED532" s="384"/>
      <c r="EE532" s="384"/>
      <c r="EF532" s="384"/>
      <c r="EG532" s="384"/>
      <c r="EH532" s="384"/>
      <c r="EI532" s="384"/>
      <c r="EJ532" s="384"/>
      <c r="EK532" s="384"/>
      <c r="EL532" s="1012"/>
      <c r="EM532" s="384"/>
      <c r="EN532" s="1012"/>
      <c r="EO532" s="384"/>
      <c r="EP532" s="384"/>
      <c r="EQ532" s="384"/>
      <c r="ER532" s="384"/>
      <c r="ES532" s="384"/>
      <c r="ET532" s="727"/>
      <c r="EU532" s="384"/>
      <c r="EV532" s="384"/>
      <c r="EW532" s="384"/>
      <c r="EX532" s="384"/>
      <c r="EY532" s="384"/>
      <c r="EZ532" s="727"/>
      <c r="FA532" s="384"/>
      <c r="FB532" s="384"/>
      <c r="FC532" s="384"/>
      <c r="FD532" s="727"/>
      <c r="FE532" s="384"/>
      <c r="FF532" s="384"/>
      <c r="FG532" s="384"/>
      <c r="FH532" s="384"/>
      <c r="FI532" s="384"/>
      <c r="FJ532" s="384"/>
    </row>
    <row r="533" spans="1:166" ht="14" hidden="1" customHeight="1">
      <c r="A533" s="153" t="s">
        <v>994</v>
      </c>
      <c r="B533" s="618">
        <v>41</v>
      </c>
      <c r="C533" s="618"/>
      <c r="D533" s="618"/>
      <c r="E533" s="610" t="s">
        <v>2108</v>
      </c>
      <c r="F533" s="368" t="s">
        <v>2366</v>
      </c>
      <c r="G533" s="369">
        <v>2010</v>
      </c>
      <c r="H533" s="153">
        <v>20838777</v>
      </c>
      <c r="I533" s="153">
        <v>1</v>
      </c>
      <c r="J533" s="370">
        <v>1</v>
      </c>
      <c r="K533" s="371"/>
      <c r="L533" s="153">
        <v>1</v>
      </c>
      <c r="M533" s="153"/>
      <c r="N533" s="153">
        <v>1</v>
      </c>
      <c r="O533" s="153">
        <v>2</v>
      </c>
      <c r="P533" s="153" t="s">
        <v>1481</v>
      </c>
      <c r="Q533" s="153" t="s">
        <v>1482</v>
      </c>
      <c r="R533" s="153" t="s">
        <v>1479</v>
      </c>
      <c r="S533" s="153"/>
      <c r="T533" s="153" t="s">
        <v>1488</v>
      </c>
      <c r="U533" s="153" t="s">
        <v>1539</v>
      </c>
      <c r="V533" s="153"/>
      <c r="W533" s="153" t="s">
        <v>1239</v>
      </c>
      <c r="X533" s="153"/>
      <c r="Y533" s="153" t="s">
        <v>1123</v>
      </c>
      <c r="Z533" s="153"/>
      <c r="AA533" s="153" t="s">
        <v>1480</v>
      </c>
      <c r="AB533" s="153"/>
      <c r="AC533" s="536"/>
      <c r="AD533" s="536">
        <v>1</v>
      </c>
      <c r="AE533" s="536">
        <v>2</v>
      </c>
      <c r="AF533" s="165">
        <v>0</v>
      </c>
      <c r="AG533" s="166" t="s">
        <v>7244</v>
      </c>
      <c r="AH533" s="509">
        <v>0</v>
      </c>
      <c r="AI533" s="120">
        <v>5</v>
      </c>
      <c r="AJ533" s="120"/>
      <c r="AK533" s="206"/>
      <c r="AL533" s="372"/>
      <c r="AM533" s="207"/>
      <c r="AN533" s="120"/>
      <c r="AO533" s="120"/>
      <c r="AP533" s="120"/>
      <c r="AQ533" s="120"/>
      <c r="AR533" s="120"/>
      <c r="AS533" s="120"/>
      <c r="AT533" s="120"/>
      <c r="AU533" s="120"/>
      <c r="AV533" s="120"/>
      <c r="AW533" s="120"/>
      <c r="AX533" s="120"/>
      <c r="AY533" s="120"/>
      <c r="AZ533" s="755"/>
      <c r="BA533" s="120"/>
      <c r="BB533" s="120"/>
      <c r="BC533" s="120"/>
      <c r="BD533" s="755"/>
      <c r="BE533" s="755"/>
      <c r="BF533" s="120"/>
      <c r="BG533" s="120"/>
      <c r="BH533" s="377"/>
      <c r="BI533" s="377"/>
      <c r="BJ533" s="373">
        <v>1</v>
      </c>
      <c r="BK533" s="373"/>
      <c r="BL533" s="373"/>
      <c r="BM533" s="373"/>
      <c r="BN533" s="373"/>
      <c r="BO533" s="373"/>
      <c r="BP533" s="373"/>
      <c r="BQ533" s="373"/>
      <c r="BR533" s="373"/>
      <c r="BS533" s="373"/>
      <c r="BT533" s="373"/>
      <c r="BU533" s="373"/>
      <c r="BV533" s="373"/>
      <c r="BW533" s="599"/>
      <c r="BX533" s="374"/>
      <c r="BY533" s="374"/>
      <c r="BZ533" s="374"/>
      <c r="CA533" s="511"/>
      <c r="CB533" s="511"/>
      <c r="CC533" s="511"/>
      <c r="CD533" s="120"/>
      <c r="CE533" s="120"/>
      <c r="CF533" s="120"/>
      <c r="CG533" s="120"/>
      <c r="CH533" s="755"/>
      <c r="CI533" s="120"/>
      <c r="CJ533" s="120"/>
      <c r="CK533" s="120"/>
      <c r="CL533" s="120"/>
      <c r="CM533" s="375"/>
      <c r="CN533" s="380"/>
      <c r="CO533" s="380"/>
      <c r="CP533" s="380"/>
      <c r="CQ533" s="380"/>
      <c r="CR533" s="380"/>
      <c r="CS533" s="380"/>
      <c r="CT533" s="380"/>
      <c r="CU533" s="380"/>
      <c r="CV533" s="380"/>
      <c r="CW533" s="380"/>
      <c r="CX533" s="376"/>
      <c r="CY533" s="120"/>
      <c r="CZ533" s="120"/>
      <c r="DA533" s="120"/>
      <c r="DB533" s="376"/>
      <c r="DC533" s="120"/>
      <c r="DD533" s="120"/>
      <c r="DE533" s="120"/>
      <c r="DF533" s="515"/>
      <c r="DG533" s="513"/>
      <c r="DH533" s="376"/>
      <c r="DI533" s="120"/>
      <c r="DJ533" s="384"/>
      <c r="DK533" s="120"/>
      <c r="DL533" s="727"/>
      <c r="DM533" s="120"/>
      <c r="DN533" s="384"/>
      <c r="DO533" s="120"/>
      <c r="DP533" s="375"/>
      <c r="DQ533" s="377"/>
      <c r="DR533" s="621"/>
      <c r="DS533" s="956"/>
      <c r="DT533" s="727"/>
      <c r="DU533" s="120"/>
      <c r="DV533" s="384"/>
      <c r="DW533" s="120"/>
      <c r="DX533" s="384"/>
      <c r="DY533" s="120"/>
      <c r="DZ533" s="384"/>
      <c r="EA533" s="120"/>
      <c r="EB533" s="1012"/>
      <c r="EC533" s="384"/>
      <c r="ED533" s="384"/>
      <c r="EE533" s="120"/>
      <c r="EF533" s="384"/>
      <c r="EG533" s="120"/>
      <c r="EH533" s="384"/>
      <c r="EI533" s="120"/>
      <c r="EJ533" s="384"/>
      <c r="EK533" s="120"/>
      <c r="EL533" s="1012"/>
      <c r="EM533" s="384"/>
      <c r="EN533" s="380"/>
      <c r="EO533" s="120"/>
      <c r="EP533" s="120"/>
      <c r="EQ533" s="120"/>
      <c r="ER533" s="120"/>
      <c r="ES533" s="120"/>
      <c r="ET533" s="376"/>
      <c r="EU533" s="120"/>
      <c r="EV533" s="120"/>
      <c r="EW533" s="120"/>
      <c r="EX533" s="120"/>
      <c r="EY533" s="120"/>
      <c r="EZ533" s="376"/>
      <c r="FA533" s="120"/>
      <c r="FB533" s="120"/>
      <c r="FC533" s="120"/>
      <c r="FD533" s="376"/>
      <c r="FE533" s="120"/>
      <c r="FF533" s="120"/>
      <c r="FG533" s="120"/>
      <c r="FH533" s="120"/>
      <c r="FI533" s="120"/>
      <c r="FJ533" s="120"/>
    </row>
    <row r="534" spans="1:166" ht="14" customHeight="1">
      <c r="A534" s="1343" t="s">
        <v>1026</v>
      </c>
      <c r="B534" s="1344">
        <v>24</v>
      </c>
      <c r="C534" s="1344"/>
      <c r="D534" s="1344"/>
      <c r="E534" s="1345" t="s">
        <v>2088</v>
      </c>
      <c r="F534" s="1346" t="s">
        <v>2343</v>
      </c>
      <c r="G534" s="1347">
        <v>2012</v>
      </c>
      <c r="H534" s="1343">
        <v>22176467</v>
      </c>
      <c r="I534" s="1343">
        <v>1</v>
      </c>
      <c r="J534" s="1343" t="s">
        <v>1855</v>
      </c>
      <c r="K534" s="1343"/>
      <c r="L534" s="1343">
        <v>0</v>
      </c>
      <c r="M534" s="1343"/>
      <c r="N534" s="1343">
        <v>0</v>
      </c>
      <c r="O534" s="1343">
        <v>2</v>
      </c>
      <c r="P534" s="1343" t="s">
        <v>1404</v>
      </c>
      <c r="Q534" s="1343" t="s">
        <v>1212</v>
      </c>
      <c r="R534" s="1343" t="s">
        <v>1127</v>
      </c>
      <c r="S534" s="1343"/>
      <c r="T534" s="1343" t="s">
        <v>1488</v>
      </c>
      <c r="U534" s="1343" t="s">
        <v>803</v>
      </c>
      <c r="V534" s="1343"/>
      <c r="W534" s="1343" t="s">
        <v>1403</v>
      </c>
      <c r="X534" s="1343"/>
      <c r="Y534" s="1343"/>
      <c r="Z534" s="1343"/>
      <c r="AA534" s="1343"/>
      <c r="AB534" s="1343"/>
      <c r="AC534" s="1348"/>
      <c r="AD534" s="1348">
        <v>1</v>
      </c>
      <c r="AE534" s="1348">
        <v>2</v>
      </c>
      <c r="AF534" s="1349">
        <v>1</v>
      </c>
      <c r="AG534" s="1350" t="s">
        <v>8119</v>
      </c>
      <c r="AH534" s="1348" t="s">
        <v>7700</v>
      </c>
      <c r="AI534" s="1348">
        <v>4</v>
      </c>
      <c r="AJ534" s="1348"/>
      <c r="AK534" s="1351" t="s">
        <v>3052</v>
      </c>
      <c r="AL534" s="1346">
        <v>1</v>
      </c>
      <c r="AM534" s="1352">
        <v>0</v>
      </c>
      <c r="AN534" s="1348">
        <f>Table66[[#This Row],[Data_Subjects_n_ptsd]]+Table66[[#This Row],[Data_Subjects_n_control]]</f>
        <v>24</v>
      </c>
      <c r="AO534" s="1348">
        <v>12</v>
      </c>
      <c r="AP534" s="1348">
        <v>12</v>
      </c>
      <c r="AQ534" s="1348" t="s">
        <v>803</v>
      </c>
      <c r="AR534" s="1348" t="s">
        <v>803</v>
      </c>
      <c r="AS534" s="1348" t="s">
        <v>3031</v>
      </c>
      <c r="AT534" s="1348" t="s">
        <v>24</v>
      </c>
      <c r="AU534" s="1348" t="s">
        <v>3031</v>
      </c>
      <c r="AV534" s="1348" t="s">
        <v>24</v>
      </c>
      <c r="AW534" s="1348" t="s">
        <v>7697</v>
      </c>
      <c r="AX534" s="1348">
        <v>15</v>
      </c>
      <c r="AY534" s="1348">
        <v>1</v>
      </c>
      <c r="AZ534" s="1348" t="s">
        <v>1814</v>
      </c>
      <c r="BA534" s="1348">
        <v>1</v>
      </c>
      <c r="BB534" s="1348" t="s">
        <v>7690</v>
      </c>
      <c r="BC534" s="1348" t="s">
        <v>3032</v>
      </c>
      <c r="BD534" s="1348" t="s">
        <v>7523</v>
      </c>
      <c r="BE534" s="1348"/>
      <c r="BF534" s="1348" t="s">
        <v>2730</v>
      </c>
      <c r="BG534" s="1348" t="s">
        <v>2554</v>
      </c>
      <c r="BH534" s="1346"/>
      <c r="BI534" s="1346"/>
      <c r="BJ534" s="1353">
        <v>1</v>
      </c>
      <c r="BK534" s="1353"/>
      <c r="BL534" s="1353"/>
      <c r="BM534" s="1353"/>
      <c r="BN534" s="1353"/>
      <c r="BO534" s="1353"/>
      <c r="BP534" s="1353"/>
      <c r="BQ534" s="1353"/>
      <c r="BR534" s="1353"/>
      <c r="BS534" s="1353"/>
      <c r="BT534" s="1353"/>
      <c r="BU534" s="1353"/>
      <c r="BV534" s="1353"/>
      <c r="BW534" s="1353" t="s">
        <v>3043</v>
      </c>
      <c r="BX534" s="1354" t="s">
        <v>6595</v>
      </c>
      <c r="BY534" s="1354" t="s">
        <v>7615</v>
      </c>
      <c r="BZ534" s="1354" t="s">
        <v>803</v>
      </c>
      <c r="CA534" s="1354">
        <v>4</v>
      </c>
      <c r="CB534" s="1354" t="s">
        <v>7556</v>
      </c>
      <c r="CC534" s="1354" t="s">
        <v>7384</v>
      </c>
      <c r="CD534" s="1348" t="s">
        <v>1876</v>
      </c>
      <c r="CE534" s="1348" t="s">
        <v>3041</v>
      </c>
      <c r="CF534" s="1348" t="s">
        <v>7700</v>
      </c>
      <c r="CG534" s="1348" t="s">
        <v>7694</v>
      </c>
      <c r="CH534" s="1348" t="s">
        <v>1488</v>
      </c>
      <c r="CI534" s="1348" t="s">
        <v>2471</v>
      </c>
      <c r="CJ534" s="1348"/>
      <c r="CK534" s="1348" t="s">
        <v>2659</v>
      </c>
      <c r="CL534" s="1348" t="s">
        <v>2659</v>
      </c>
      <c r="CM534" s="1355" t="s">
        <v>3083</v>
      </c>
      <c r="CN534" s="1356" t="s">
        <v>6627</v>
      </c>
      <c r="CO534" s="1356">
        <v>44</v>
      </c>
      <c r="CP534" s="1356">
        <v>2</v>
      </c>
      <c r="CQ534" s="1356"/>
      <c r="CR534" s="1356">
        <v>1</v>
      </c>
      <c r="CS534" s="1356"/>
      <c r="CT534" s="1356"/>
      <c r="CU534" s="1357" t="s">
        <v>8104</v>
      </c>
      <c r="CV534" s="1358">
        <v>97</v>
      </c>
      <c r="CW534" s="1358">
        <v>89</v>
      </c>
      <c r="CX534" s="1359" t="s">
        <v>3037</v>
      </c>
      <c r="CY534" s="1360">
        <v>67.379199999999997</v>
      </c>
      <c r="CZ534" s="1360" t="s">
        <v>24</v>
      </c>
      <c r="DA534" s="1360">
        <f>75.1041-Table66[[#This Row],[Data_Outcome1_M]]</f>
        <v>7.7249000000000052</v>
      </c>
      <c r="DB534" s="1359" t="s">
        <v>3038</v>
      </c>
      <c r="DC534" s="1348">
        <v>16.545500000000001</v>
      </c>
      <c r="DD534" s="1360" t="s">
        <v>24</v>
      </c>
      <c r="DE534" s="1348">
        <f>21.1383-Table66[[#This Row],[Data_Outcome2_M]]</f>
        <v>4.5928000000000004</v>
      </c>
      <c r="DF534" s="1355" t="s">
        <v>3082</v>
      </c>
      <c r="DG534" s="1346" t="s">
        <v>3060</v>
      </c>
      <c r="DH534" s="1354"/>
      <c r="DI534" s="1348"/>
      <c r="DJ534" s="1360"/>
      <c r="DK534" s="1348"/>
      <c r="DL534" s="1354"/>
      <c r="DM534" s="1360"/>
      <c r="DN534" s="1360"/>
      <c r="DO534" s="1360"/>
      <c r="DP534" s="1355"/>
      <c r="DQ534" s="1346"/>
      <c r="DR534" s="1361"/>
      <c r="DS534" s="1359"/>
      <c r="DT534" s="1359"/>
      <c r="DU534" s="1348"/>
      <c r="DV534" s="1360"/>
      <c r="DW534" s="1348"/>
      <c r="DX534" s="1359"/>
      <c r="DY534" s="1360"/>
      <c r="DZ534" s="1360"/>
      <c r="EA534" s="1360"/>
      <c r="EB534" s="1361"/>
      <c r="EC534" s="1360"/>
      <c r="ED534" s="1360"/>
      <c r="EE534" s="1360"/>
      <c r="EF534" s="1360"/>
      <c r="EG534" s="1360"/>
      <c r="EH534" s="1360"/>
      <c r="EI534" s="1360"/>
      <c r="EJ534" s="1360"/>
      <c r="EK534" s="1360"/>
      <c r="EL534" s="1361"/>
      <c r="EM534" s="1360"/>
      <c r="EN534" s="1361"/>
      <c r="EO534" s="1360"/>
      <c r="EP534" s="1360"/>
      <c r="EQ534" s="1348"/>
      <c r="ER534" s="1348"/>
      <c r="ES534" s="1348"/>
      <c r="ET534" s="1354"/>
      <c r="EU534" s="1348"/>
      <c r="EV534" s="1360"/>
      <c r="EW534" s="1360"/>
      <c r="EX534" s="1360"/>
      <c r="EY534" s="1360"/>
      <c r="EZ534" s="1359"/>
      <c r="FA534" s="1360"/>
      <c r="FB534" s="1360"/>
      <c r="FC534" s="1360"/>
      <c r="FD534" s="1359"/>
      <c r="FE534" s="1360"/>
      <c r="FF534" s="1360"/>
      <c r="FG534" s="1360"/>
      <c r="FH534" s="1360"/>
      <c r="FI534" s="1360"/>
      <c r="FJ534" s="1360"/>
    </row>
    <row r="535" spans="1:166" ht="14" hidden="1" customHeight="1">
      <c r="A535" s="79" t="s">
        <v>1024</v>
      </c>
      <c r="B535" s="362">
        <v>157</v>
      </c>
      <c r="C535" s="362"/>
      <c r="D535" s="362">
        <v>55</v>
      </c>
      <c r="E535" s="604" t="s">
        <v>2090</v>
      </c>
      <c r="F535" s="124" t="s">
        <v>2345</v>
      </c>
      <c r="G535" s="125">
        <v>2009</v>
      </c>
      <c r="H535" s="79">
        <v>19167197</v>
      </c>
      <c r="I535" s="79">
        <v>1</v>
      </c>
      <c r="J535" s="126" t="s">
        <v>1856</v>
      </c>
      <c r="K535" s="127"/>
      <c r="L535" s="79">
        <v>0</v>
      </c>
      <c r="M535" s="79"/>
      <c r="N535" s="79">
        <v>0</v>
      </c>
      <c r="O535" s="128">
        <v>2</v>
      </c>
      <c r="P535" s="79" t="s">
        <v>1407</v>
      </c>
      <c r="Q535" s="79" t="s">
        <v>1264</v>
      </c>
      <c r="R535" s="79" t="s">
        <v>1127</v>
      </c>
      <c r="S535" s="79"/>
      <c r="T535" s="79" t="s">
        <v>1507</v>
      </c>
      <c r="U535" s="79" t="s">
        <v>803</v>
      </c>
      <c r="V535" s="79" t="s">
        <v>23</v>
      </c>
      <c r="W535" s="79" t="s">
        <v>1248</v>
      </c>
      <c r="X535" s="79"/>
      <c r="Y535" s="79" t="s">
        <v>1408</v>
      </c>
      <c r="Z535" s="79"/>
      <c r="AA535" s="79" t="s">
        <v>1664</v>
      </c>
      <c r="AB535" s="79" t="s">
        <v>1663</v>
      </c>
      <c r="AC535" s="506" t="s">
        <v>6236</v>
      </c>
      <c r="AD535" s="573">
        <v>1</v>
      </c>
      <c r="AE535" s="573">
        <v>1</v>
      </c>
      <c r="AF535" s="154">
        <v>1</v>
      </c>
      <c r="AG535" s="155" t="s">
        <v>6943</v>
      </c>
      <c r="AH535" s="704"/>
      <c r="AI535" s="121">
        <v>4</v>
      </c>
      <c r="AJ535" s="484"/>
      <c r="AK535" s="202" t="s">
        <v>6949</v>
      </c>
      <c r="AL535" s="192">
        <v>2</v>
      </c>
      <c r="AM535" s="203">
        <v>1</v>
      </c>
      <c r="AN535" s="121">
        <f>Table66[[#This Row],[Data_Subjects_n_ptsd]]+Table66[[#This Row],[Data_Subjects_n_control]]</f>
        <v>38</v>
      </c>
      <c r="AO535" s="121">
        <v>19</v>
      </c>
      <c r="AP535" s="121">
        <v>19</v>
      </c>
      <c r="AQ535" s="121" t="s">
        <v>803</v>
      </c>
      <c r="AR535" s="121" t="s">
        <v>803</v>
      </c>
      <c r="AS535" s="121" t="s">
        <v>2687</v>
      </c>
      <c r="AT535" s="121" t="s">
        <v>24</v>
      </c>
      <c r="AU535" s="121" t="s">
        <v>2687</v>
      </c>
      <c r="AV535" s="121" t="s">
        <v>24</v>
      </c>
      <c r="AW535" s="121" t="s">
        <v>4991</v>
      </c>
      <c r="AX535" s="121"/>
      <c r="AY535" s="121"/>
      <c r="AZ535" s="754" t="s">
        <v>7317</v>
      </c>
      <c r="BA535" s="121">
        <v>1</v>
      </c>
      <c r="BB535" s="121">
        <v>1</v>
      </c>
      <c r="BC535" s="121" t="s">
        <v>6946</v>
      </c>
      <c r="BD535" s="754" t="s">
        <v>7523</v>
      </c>
      <c r="BE535" s="754"/>
      <c r="BF535" s="121" t="s">
        <v>1130</v>
      </c>
      <c r="BG535" s="121" t="s">
        <v>6653</v>
      </c>
      <c r="BH535" s="594">
        <v>1</v>
      </c>
      <c r="BI535" s="594"/>
      <c r="BJ535" s="156">
        <v>1</v>
      </c>
      <c r="BK535" s="156"/>
      <c r="BL535" s="156"/>
      <c r="BM535" s="156"/>
      <c r="BN535" s="156"/>
      <c r="BO535" s="156"/>
      <c r="BP535" s="156">
        <v>1</v>
      </c>
      <c r="BQ535" s="156"/>
      <c r="BR535" s="156"/>
      <c r="BS535" s="156"/>
      <c r="BT535" s="156"/>
      <c r="BU535" s="156"/>
      <c r="BV535" s="156"/>
      <c r="BW535" s="595" t="s">
        <v>6944</v>
      </c>
      <c r="BX535" s="157" t="s">
        <v>6657</v>
      </c>
      <c r="BY535" s="797" t="s">
        <v>7613</v>
      </c>
      <c r="BZ535" s="789" t="s">
        <v>803</v>
      </c>
      <c r="CA535" s="660">
        <v>1</v>
      </c>
      <c r="CB535" s="660" t="s">
        <v>7556</v>
      </c>
      <c r="CC535" s="660" t="s">
        <v>7384</v>
      </c>
      <c r="CD535" s="134" t="s">
        <v>1876</v>
      </c>
      <c r="CE535" s="134" t="s">
        <v>6947</v>
      </c>
      <c r="CF535" s="400" t="s">
        <v>7585</v>
      </c>
      <c r="CG535" s="134" t="s">
        <v>3982</v>
      </c>
      <c r="CH535" s="753" t="s">
        <v>7310</v>
      </c>
      <c r="CI535" s="134" t="s">
        <v>1121</v>
      </c>
      <c r="CJ535" s="134"/>
      <c r="CK535" s="134" t="s">
        <v>6945</v>
      </c>
      <c r="CL535" s="150" t="s">
        <v>8296</v>
      </c>
      <c r="CM535" s="259" t="s">
        <v>6957</v>
      </c>
      <c r="CN535" s="454" t="s">
        <v>6627</v>
      </c>
      <c r="CO535" s="828">
        <v>45</v>
      </c>
      <c r="CP535" s="828">
        <v>1</v>
      </c>
      <c r="CQ535" s="828">
        <v>1</v>
      </c>
      <c r="CR535" s="828">
        <v>0</v>
      </c>
      <c r="CS535" s="828">
        <v>1</v>
      </c>
      <c r="CT535" s="967"/>
      <c r="CU535" s="1289" t="s">
        <v>8104</v>
      </c>
      <c r="CV535" s="1295">
        <v>98</v>
      </c>
      <c r="CW535" s="1295">
        <v>90</v>
      </c>
      <c r="CX535" s="134" t="s">
        <v>6950</v>
      </c>
      <c r="CY535" s="134">
        <v>60.126399999999997</v>
      </c>
      <c r="CZ535" s="134" t="s">
        <v>24</v>
      </c>
      <c r="DA535" s="134">
        <f>64.6045-Table66[[#This Row],[Data_Outcome1_M]]</f>
        <v>4.4781000000000049</v>
      </c>
      <c r="DB535" s="134" t="s">
        <v>6952</v>
      </c>
      <c r="DC535" s="134">
        <v>12.713100000000001</v>
      </c>
      <c r="DD535" s="134" t="s">
        <v>24</v>
      </c>
      <c r="DE535" s="134">
        <f>14.7659-Table66[[#This Row],[Data_Outcome2_M]]</f>
        <v>2.0527999999999995</v>
      </c>
      <c r="DF535" s="294" t="s">
        <v>6954</v>
      </c>
      <c r="DG535" s="295" t="s">
        <v>6956</v>
      </c>
      <c r="DH535" s="121" t="s">
        <v>24</v>
      </c>
      <c r="DI535" s="121"/>
      <c r="DJ535" s="1169"/>
      <c r="DK535" s="121"/>
      <c r="DL535" s="1171"/>
      <c r="DM535" s="121"/>
      <c r="DN535" s="1169"/>
      <c r="DO535" s="121"/>
      <c r="DP535" s="288"/>
      <c r="DQ535" s="289"/>
      <c r="DR535" s="280"/>
      <c r="DS535" s="865"/>
      <c r="DT535" s="1171"/>
      <c r="DU535" s="1169"/>
      <c r="DV535" s="1169"/>
      <c r="DW535" s="1169"/>
      <c r="DX535" s="1169"/>
      <c r="DY535" s="1169"/>
      <c r="DZ535" s="1169"/>
      <c r="EA535" s="1169"/>
      <c r="EB535" s="304"/>
      <c r="EC535" s="312"/>
      <c r="ED535" s="1169"/>
      <c r="EE535" s="1169"/>
      <c r="EF535" s="1169"/>
      <c r="EG535" s="1169"/>
      <c r="EH535" s="1169"/>
      <c r="EI535" s="1169"/>
      <c r="EJ535" s="1169"/>
      <c r="EK535" s="1169"/>
      <c r="EL535" s="304"/>
      <c r="EM535" s="312"/>
      <c r="EN535" s="309"/>
      <c r="EO535" s="1170"/>
      <c r="EP535" s="1169"/>
      <c r="EQ535" s="1169"/>
      <c r="ER535" s="1169"/>
      <c r="ES535" s="1169"/>
      <c r="ET535" s="1171"/>
      <c r="EU535" s="1169"/>
      <c r="EV535" s="1169"/>
      <c r="EW535" s="1169"/>
      <c r="EX535" s="312"/>
      <c r="EY535" s="312"/>
      <c r="EZ535" s="1171"/>
      <c r="FA535" s="1169"/>
      <c r="FB535" s="1169"/>
      <c r="FC535" s="1169"/>
      <c r="FD535" s="1171"/>
      <c r="FE535" s="1169"/>
      <c r="FF535" s="1169"/>
      <c r="FG535" s="1169"/>
      <c r="FH535" s="312"/>
      <c r="FI535" s="312"/>
      <c r="FJ535" s="1170"/>
    </row>
    <row r="536" spans="1:166" ht="14" hidden="1" customHeight="1">
      <c r="A536" s="118" t="s">
        <v>1024</v>
      </c>
      <c r="B536" s="616">
        <v>157</v>
      </c>
      <c r="C536" s="616"/>
      <c r="D536" s="616">
        <v>55</v>
      </c>
      <c r="E536" s="605" t="s">
        <v>2090</v>
      </c>
      <c r="F536" s="140" t="s">
        <v>2345</v>
      </c>
      <c r="G536" s="141">
        <v>2009</v>
      </c>
      <c r="H536" s="118">
        <v>19167197</v>
      </c>
      <c r="I536" s="118">
        <v>1</v>
      </c>
      <c r="J536" s="118" t="s">
        <v>1856</v>
      </c>
      <c r="K536" s="118"/>
      <c r="L536" s="118">
        <v>0</v>
      </c>
      <c r="M536" s="118"/>
      <c r="N536" s="118">
        <v>0</v>
      </c>
      <c r="O536" s="142">
        <v>2</v>
      </c>
      <c r="P536" s="118" t="s">
        <v>1407</v>
      </c>
      <c r="Q536" s="118" t="s">
        <v>1264</v>
      </c>
      <c r="R536" s="118" t="s">
        <v>1127</v>
      </c>
      <c r="S536" s="118"/>
      <c r="T536" s="118" t="s">
        <v>1507</v>
      </c>
      <c r="U536" s="118" t="s">
        <v>803</v>
      </c>
      <c r="V536" s="118" t="s">
        <v>23</v>
      </c>
      <c r="W536" s="118" t="s">
        <v>1248</v>
      </c>
      <c r="X536" s="118"/>
      <c r="Y536" s="118" t="s">
        <v>1408</v>
      </c>
      <c r="Z536" s="118"/>
      <c r="AA536" s="118" t="s">
        <v>1664</v>
      </c>
      <c r="AB536" s="118" t="s">
        <v>1663</v>
      </c>
      <c r="AC536" s="145" t="s">
        <v>6236</v>
      </c>
      <c r="AD536" s="653">
        <v>1</v>
      </c>
      <c r="AE536" s="653">
        <v>1</v>
      </c>
      <c r="AF536" s="159">
        <v>1</v>
      </c>
      <c r="AG536" s="160" t="s">
        <v>6943</v>
      </c>
      <c r="AH536" s="704"/>
      <c r="AI536" s="122">
        <v>4</v>
      </c>
      <c r="AJ536" s="485"/>
      <c r="AK536" s="204" t="s">
        <v>6948</v>
      </c>
      <c r="AL536" s="192">
        <v>2</v>
      </c>
      <c r="AM536" s="205">
        <v>1</v>
      </c>
      <c r="AN536" s="122">
        <f>Table66[[#This Row],[Data_Subjects_n_ptsd]]+Table66[[#This Row],[Data_Subjects_n_control]]</f>
        <v>32</v>
      </c>
      <c r="AO536" s="122">
        <v>16</v>
      </c>
      <c r="AP536" s="122">
        <v>16</v>
      </c>
      <c r="AQ536" s="122" t="s">
        <v>803</v>
      </c>
      <c r="AR536" s="122" t="s">
        <v>803</v>
      </c>
      <c r="AS536" s="122" t="s">
        <v>2687</v>
      </c>
      <c r="AT536" s="122" t="s">
        <v>24</v>
      </c>
      <c r="AU536" s="122" t="s">
        <v>2687</v>
      </c>
      <c r="AV536" s="122" t="s">
        <v>24</v>
      </c>
      <c r="AW536" s="122" t="s">
        <v>4991</v>
      </c>
      <c r="AX536" s="122"/>
      <c r="AY536" s="122"/>
      <c r="AZ536" s="754" t="s">
        <v>7317</v>
      </c>
      <c r="BA536" s="122">
        <v>1</v>
      </c>
      <c r="BB536" s="122">
        <v>1</v>
      </c>
      <c r="BC536" s="122" t="s">
        <v>6946</v>
      </c>
      <c r="BD536" s="754" t="s">
        <v>7523</v>
      </c>
      <c r="BE536" s="754"/>
      <c r="BF536" s="122" t="s">
        <v>1130</v>
      </c>
      <c r="BG536" s="122" t="s">
        <v>6653</v>
      </c>
      <c r="BH536" s="588">
        <v>1</v>
      </c>
      <c r="BI536" s="588"/>
      <c r="BJ536" s="161">
        <v>1</v>
      </c>
      <c r="BK536" s="161"/>
      <c r="BL536" s="161"/>
      <c r="BM536" s="161"/>
      <c r="BN536" s="161"/>
      <c r="BO536" s="161"/>
      <c r="BP536" s="161">
        <v>1</v>
      </c>
      <c r="BQ536" s="161"/>
      <c r="BR536" s="161"/>
      <c r="BS536" s="161"/>
      <c r="BT536" s="161"/>
      <c r="BU536" s="161"/>
      <c r="BV536" s="161"/>
      <c r="BW536" s="596" t="s">
        <v>6944</v>
      </c>
      <c r="BX536" s="162" t="s">
        <v>6657</v>
      </c>
      <c r="BY536" s="797" t="s">
        <v>7613</v>
      </c>
      <c r="BZ536" s="790" t="s">
        <v>803</v>
      </c>
      <c r="CA536" s="659">
        <v>1</v>
      </c>
      <c r="CB536" s="660" t="s">
        <v>7556</v>
      </c>
      <c r="CC536" s="659" t="s">
        <v>7384</v>
      </c>
      <c r="CD536" s="150" t="s">
        <v>1876</v>
      </c>
      <c r="CE536" s="150" t="s">
        <v>6947</v>
      </c>
      <c r="CF536" s="400" t="s">
        <v>7585</v>
      </c>
      <c r="CG536" s="150" t="s">
        <v>3982</v>
      </c>
      <c r="CH536" s="753" t="s">
        <v>7310</v>
      </c>
      <c r="CI536" s="150" t="s">
        <v>1121</v>
      </c>
      <c r="CJ536" s="150"/>
      <c r="CK536" s="150" t="s">
        <v>6945</v>
      </c>
      <c r="CL536" s="150" t="s">
        <v>8296</v>
      </c>
      <c r="CM536" s="258" t="s">
        <v>6957</v>
      </c>
      <c r="CN536" s="257" t="s">
        <v>6627</v>
      </c>
      <c r="CO536" s="829">
        <v>45</v>
      </c>
      <c r="CP536" s="829">
        <v>2</v>
      </c>
      <c r="CQ536" s="829">
        <v>1</v>
      </c>
      <c r="CR536" s="829">
        <v>0</v>
      </c>
      <c r="CS536" s="829">
        <v>1</v>
      </c>
      <c r="CT536" s="968"/>
      <c r="CU536" s="1289" t="s">
        <v>8104</v>
      </c>
      <c r="CV536" s="1295">
        <v>99</v>
      </c>
      <c r="CW536" s="1295">
        <v>91</v>
      </c>
      <c r="CX536" s="150" t="s">
        <v>6951</v>
      </c>
      <c r="CY536" s="150">
        <v>62.405999999999999</v>
      </c>
      <c r="CZ536" s="150"/>
      <c r="DA536" s="150">
        <f>68.6207-Table66[[#This Row],[Data_Outcome1_M]]</f>
        <v>6.2147000000000006</v>
      </c>
      <c r="DB536" s="150" t="s">
        <v>6953</v>
      </c>
      <c r="DC536" s="150">
        <v>18.9968</v>
      </c>
      <c r="DD536" s="150" t="s">
        <v>24</v>
      </c>
      <c r="DE536" s="150">
        <f>21.8217-Table66[[#This Row],[Data_Outcome2_M]]</f>
        <v>2.8248999999999995</v>
      </c>
      <c r="DF536" s="294" t="s">
        <v>6954</v>
      </c>
      <c r="DG536" s="295" t="s">
        <v>6955</v>
      </c>
      <c r="DH536" s="1183" t="s">
        <v>24</v>
      </c>
      <c r="DI536" s="500"/>
      <c r="DJ536" s="1164"/>
      <c r="DK536" s="500"/>
      <c r="DL536" s="1166"/>
      <c r="DM536" s="500"/>
      <c r="DN536" s="1164"/>
      <c r="DO536" s="1150"/>
      <c r="DP536" s="290"/>
      <c r="DQ536" s="388"/>
      <c r="DR536" s="1168"/>
      <c r="DS536" s="865"/>
      <c r="DT536" s="1166"/>
      <c r="DU536" s="500"/>
      <c r="DV536" s="1164"/>
      <c r="DW536" s="500"/>
      <c r="DX536" s="1164"/>
      <c r="DY536" s="500"/>
      <c r="DZ536" s="1164"/>
      <c r="EA536" s="500"/>
      <c r="EB536" s="311"/>
      <c r="EC536" s="313"/>
      <c r="ED536" s="1164"/>
      <c r="EE536" s="1164"/>
      <c r="EF536" s="1164"/>
      <c r="EG536" s="1164"/>
      <c r="EH536" s="1164"/>
      <c r="EI536" s="1164"/>
      <c r="EJ536" s="1164"/>
      <c r="EK536" s="1164"/>
      <c r="EL536" s="311"/>
      <c r="EM536" s="313"/>
      <c r="EN536" s="1167"/>
      <c r="EO536" s="1165"/>
      <c r="EP536" s="1164"/>
      <c r="EQ536" s="1164"/>
      <c r="ER536" s="1164"/>
      <c r="ES536" s="1164"/>
      <c r="ET536" s="1166"/>
      <c r="EU536" s="1164"/>
      <c r="EV536" s="1164"/>
      <c r="EW536" s="1164"/>
      <c r="EX536" s="313"/>
      <c r="EY536" s="313"/>
      <c r="EZ536" s="1166"/>
      <c r="FA536" s="1164"/>
      <c r="FB536" s="1164"/>
      <c r="FC536" s="1164"/>
      <c r="FD536" s="1166"/>
      <c r="FE536" s="1164"/>
      <c r="FF536" s="1164"/>
      <c r="FG536" s="1164"/>
      <c r="FH536" s="313"/>
      <c r="FI536" s="313"/>
      <c r="FJ536" s="1165"/>
    </row>
    <row r="537" spans="1:166" ht="14" hidden="1" customHeight="1">
      <c r="A537" s="1516" t="s">
        <v>974</v>
      </c>
      <c r="B537" s="1517">
        <v>216</v>
      </c>
      <c r="C537" s="1517">
        <v>76</v>
      </c>
      <c r="D537" s="1517"/>
      <c r="E537" s="1518" t="s">
        <v>2116</v>
      </c>
      <c r="F537" s="1519" t="s">
        <v>2375</v>
      </c>
      <c r="G537" s="1520">
        <v>2007</v>
      </c>
      <c r="H537" s="1516">
        <v>17027033</v>
      </c>
      <c r="I537" s="1516">
        <v>1</v>
      </c>
      <c r="J537" s="1516">
        <v>1</v>
      </c>
      <c r="K537" s="1516"/>
      <c r="L537" s="1516">
        <v>1</v>
      </c>
      <c r="M537" s="1516"/>
      <c r="N537" s="1516">
        <v>1</v>
      </c>
      <c r="O537" s="1516">
        <v>2</v>
      </c>
      <c r="P537" s="1516" t="s">
        <v>1569</v>
      </c>
      <c r="Q537" s="1516" t="s">
        <v>1216</v>
      </c>
      <c r="R537" s="1516" t="s">
        <v>1568</v>
      </c>
      <c r="S537" s="1516"/>
      <c r="T537" s="1516" t="s">
        <v>1541</v>
      </c>
      <c r="U537" s="1516"/>
      <c r="V537" s="1516"/>
      <c r="W537" s="1516" t="s">
        <v>1570</v>
      </c>
      <c r="X537" s="1516"/>
      <c r="Y537" s="1516" t="s">
        <v>1132</v>
      </c>
      <c r="Z537" s="1516"/>
      <c r="AA537" s="1516"/>
      <c r="AB537" s="1516"/>
      <c r="AC537" s="1521"/>
      <c r="AD537" s="1521">
        <v>1</v>
      </c>
      <c r="AE537" s="1521">
        <v>2</v>
      </c>
      <c r="AF537" s="1522">
        <v>1</v>
      </c>
      <c r="AG537" s="231" t="s">
        <v>8133</v>
      </c>
      <c r="AH537" s="704" t="s">
        <v>8134</v>
      </c>
      <c r="AI537" s="1521">
        <v>5</v>
      </c>
      <c r="AJ537" s="1521" t="s">
        <v>5603</v>
      </c>
      <c r="AK537" s="1523" t="s">
        <v>5561</v>
      </c>
      <c r="AL537" s="1519" t="s">
        <v>3099</v>
      </c>
      <c r="AM537" s="1591">
        <v>0</v>
      </c>
      <c r="AN537" s="1592">
        <f>14+13</f>
        <v>27</v>
      </c>
      <c r="AO537" s="1592">
        <v>14</v>
      </c>
      <c r="AP537" s="1592">
        <v>13</v>
      </c>
      <c r="AQ537" s="1592" t="s">
        <v>803</v>
      </c>
      <c r="AR537" s="1592" t="s">
        <v>803</v>
      </c>
      <c r="AS537" s="1592" t="s">
        <v>4544</v>
      </c>
      <c r="AT537" s="1592" t="s">
        <v>24</v>
      </c>
      <c r="AU537" s="1592" t="s">
        <v>4544</v>
      </c>
      <c r="AV537" s="1592" t="s">
        <v>24</v>
      </c>
      <c r="AW537" s="1592" t="s">
        <v>5549</v>
      </c>
      <c r="AX537" s="150">
        <v>1</v>
      </c>
      <c r="AY537" s="150">
        <v>1.5</v>
      </c>
      <c r="AZ537" s="753" t="s">
        <v>1814</v>
      </c>
      <c r="BA537" s="150">
        <v>1</v>
      </c>
      <c r="BB537" s="150" t="s">
        <v>5555</v>
      </c>
      <c r="BC537" s="1592" t="s">
        <v>5546</v>
      </c>
      <c r="BD537" s="1592" t="s">
        <v>7523</v>
      </c>
      <c r="BE537" s="1592"/>
      <c r="BF537" s="1592" t="s">
        <v>8132</v>
      </c>
      <c r="BG537" s="1592" t="s">
        <v>4508</v>
      </c>
      <c r="BH537" s="588"/>
      <c r="BI537" s="588"/>
      <c r="BJ537" s="161">
        <v>1</v>
      </c>
      <c r="BK537" s="161" t="s">
        <v>5545</v>
      </c>
      <c r="BL537" s="161"/>
      <c r="BM537" s="161"/>
      <c r="BN537" s="161"/>
      <c r="BO537" s="161"/>
      <c r="BP537" s="161">
        <v>1</v>
      </c>
      <c r="BQ537" s="161"/>
      <c r="BR537" s="161"/>
      <c r="BS537" s="161"/>
      <c r="BT537" s="161"/>
      <c r="BU537" s="161"/>
      <c r="BV537" s="161"/>
      <c r="BW537" s="600" t="s">
        <v>7195</v>
      </c>
      <c r="BX537" s="185" t="s">
        <v>6657</v>
      </c>
      <c r="BY537" s="797" t="s">
        <v>7613</v>
      </c>
      <c r="BZ537" s="791" t="s">
        <v>803</v>
      </c>
      <c r="CA537" s="660">
        <v>1</v>
      </c>
      <c r="CB537" s="660" t="s">
        <v>7556</v>
      </c>
      <c r="CC537" s="660" t="s">
        <v>7384</v>
      </c>
      <c r="CD537" s="186" t="s">
        <v>1876</v>
      </c>
      <c r="CE537" s="150">
        <v>2</v>
      </c>
      <c r="CF537" s="400" t="s">
        <v>8049</v>
      </c>
      <c r="CG537" s="1592" t="s">
        <v>5552</v>
      </c>
      <c r="CH537" s="1592" t="s">
        <v>7310</v>
      </c>
      <c r="CI537" s="150" t="s">
        <v>5544</v>
      </c>
      <c r="CJ537" s="150"/>
      <c r="CK537" s="1592" t="s">
        <v>5562</v>
      </c>
      <c r="CL537" s="150" t="s">
        <v>8296</v>
      </c>
      <c r="CM537" s="1524" t="s">
        <v>5598</v>
      </c>
      <c r="CN537" s="1525" t="s">
        <v>6627</v>
      </c>
      <c r="CO537" s="1525">
        <v>68</v>
      </c>
      <c r="CP537" s="1525">
        <v>2</v>
      </c>
      <c r="CQ537" s="1525">
        <v>5</v>
      </c>
      <c r="CR537" s="1525">
        <v>1</v>
      </c>
      <c r="CS537" s="1525">
        <v>1</v>
      </c>
      <c r="CT537" s="1525"/>
      <c r="CU537" s="1525" t="s">
        <v>8104</v>
      </c>
      <c r="CV537" s="1524">
        <v>158</v>
      </c>
      <c r="CW537" s="1524">
        <v>145</v>
      </c>
      <c r="CX537" s="1608" t="s">
        <v>5579</v>
      </c>
      <c r="CY537" s="1592">
        <v>28.81</v>
      </c>
      <c r="CZ537" s="1592">
        <v>22.81</v>
      </c>
      <c r="DA537" s="1592" t="s">
        <v>24</v>
      </c>
      <c r="DB537" s="1608" t="s">
        <v>5582</v>
      </c>
      <c r="DC537" s="1592">
        <v>4.4400000000000004</v>
      </c>
      <c r="DD537" s="1592">
        <v>3.93</v>
      </c>
      <c r="DE537" s="1592" t="s">
        <v>24</v>
      </c>
      <c r="DF537" s="1524" t="s">
        <v>8040</v>
      </c>
      <c r="DG537" s="1519" t="s">
        <v>24</v>
      </c>
      <c r="DH537" s="1526"/>
      <c r="DI537" s="1521"/>
      <c r="DJ537" s="1527"/>
      <c r="DK537" s="1521"/>
      <c r="DL537" s="1529"/>
      <c r="DM537" s="1521"/>
      <c r="DN537" s="1527"/>
      <c r="DO537" s="1521"/>
      <c r="DP537" s="1524"/>
      <c r="DQ537" s="1519"/>
      <c r="DR537" s="1525"/>
      <c r="DS537" s="1528"/>
      <c r="DT537" s="1529"/>
      <c r="DU537" s="1521"/>
      <c r="DV537" s="1527"/>
      <c r="DW537" s="1521"/>
      <c r="DX537" s="1529"/>
      <c r="DY537" s="1521"/>
      <c r="DZ537" s="1527"/>
      <c r="EA537" s="1521"/>
      <c r="EB537" s="1528"/>
      <c r="EC537" s="1527"/>
      <c r="ED537" s="1529"/>
      <c r="EE537" s="1521"/>
      <c r="EF537" s="1527"/>
      <c r="EG537" s="1521"/>
      <c r="EH537" s="1529"/>
      <c r="EI537" s="1521"/>
      <c r="EJ537" s="1527"/>
      <c r="EK537" s="1521"/>
      <c r="EL537" s="1528"/>
      <c r="EM537" s="1527"/>
      <c r="EN537" s="1528"/>
      <c r="EO537" s="1527"/>
      <c r="EP537" s="1521"/>
      <c r="EQ537" s="1521"/>
      <c r="ER537" s="1521"/>
      <c r="ES537" s="1521"/>
      <c r="ET537" s="1526"/>
      <c r="EU537" s="1521"/>
      <c r="EV537" s="1521"/>
      <c r="EW537" s="1521"/>
      <c r="EX537" s="1521"/>
      <c r="EY537" s="1521"/>
      <c r="EZ537" s="1529"/>
      <c r="FA537" s="1527"/>
      <c r="FB537" s="1527"/>
      <c r="FC537" s="1527"/>
      <c r="FD537" s="1529"/>
      <c r="FE537" s="1527"/>
      <c r="FF537" s="1527"/>
      <c r="FG537" s="1527"/>
      <c r="FH537" s="1527"/>
      <c r="FI537" s="1527"/>
      <c r="FJ537" s="1527"/>
    </row>
    <row r="538" spans="1:166" ht="14" hidden="1" customHeight="1">
      <c r="A538" s="79" t="s">
        <v>263</v>
      </c>
      <c r="B538" s="362">
        <v>192</v>
      </c>
      <c r="C538" s="362"/>
      <c r="D538" s="362">
        <v>72</v>
      </c>
      <c r="E538" s="604" t="s">
        <v>2003</v>
      </c>
      <c r="F538" s="124" t="s">
        <v>2234</v>
      </c>
      <c r="G538" s="125">
        <v>2013</v>
      </c>
      <c r="H538" s="79">
        <v>23684979</v>
      </c>
      <c r="I538" s="79">
        <v>1</v>
      </c>
      <c r="J538" s="126" t="s">
        <v>1780</v>
      </c>
      <c r="K538" s="127" t="s">
        <v>1762</v>
      </c>
      <c r="L538" s="79">
        <v>1</v>
      </c>
      <c r="M538" s="79" t="s">
        <v>1749</v>
      </c>
      <c r="N538" s="79">
        <v>1</v>
      </c>
      <c r="O538" s="128">
        <v>1</v>
      </c>
      <c r="P538" s="79" t="s">
        <v>703</v>
      </c>
      <c r="Q538" s="79" t="s">
        <v>1163</v>
      </c>
      <c r="R538" s="79" t="s">
        <v>25</v>
      </c>
      <c r="S538" s="79">
        <v>1</v>
      </c>
      <c r="T538" s="79"/>
      <c r="U538" s="79"/>
      <c r="V538" s="79"/>
      <c r="W538" s="79" t="s">
        <v>701</v>
      </c>
      <c r="X538" s="79" t="s">
        <v>702</v>
      </c>
      <c r="Y538" s="79"/>
      <c r="Z538" s="79"/>
      <c r="AA538" s="79"/>
      <c r="AB538" s="79"/>
      <c r="AC538" s="506" t="s">
        <v>6265</v>
      </c>
      <c r="AD538" s="573">
        <v>1</v>
      </c>
      <c r="AE538" s="573">
        <v>0</v>
      </c>
      <c r="AF538" s="924">
        <v>2</v>
      </c>
      <c r="AG538" s="925"/>
      <c r="AH538" s="911"/>
      <c r="AI538" s="923">
        <v>2</v>
      </c>
      <c r="AJ538" s="923"/>
      <c r="AK538" s="926"/>
      <c r="AL538" s="588"/>
      <c r="AM538" s="927"/>
      <c r="AN538" s="923"/>
      <c r="AO538" s="923"/>
      <c r="AP538" s="923"/>
      <c r="AQ538" s="923"/>
      <c r="AR538" s="923"/>
      <c r="AS538" s="923"/>
      <c r="AT538" s="923"/>
      <c r="AU538" s="923"/>
      <c r="AV538" s="923"/>
      <c r="AW538" s="923"/>
      <c r="AX538" s="923"/>
      <c r="AY538" s="923"/>
      <c r="AZ538" s="915"/>
      <c r="BA538" s="923"/>
      <c r="BB538" s="923"/>
      <c r="BC538" s="923"/>
      <c r="BD538" s="915"/>
      <c r="BE538" s="915"/>
      <c r="BF538" s="923"/>
      <c r="BG538" s="923"/>
      <c r="BH538" s="594" t="s">
        <v>1917</v>
      </c>
      <c r="BI538" s="594"/>
      <c r="BJ538" s="156"/>
      <c r="BK538" s="156"/>
      <c r="BL538" s="156" t="s">
        <v>5207</v>
      </c>
      <c r="BM538" s="156" t="s">
        <v>6175</v>
      </c>
      <c r="BN538" s="156"/>
      <c r="BO538" s="156" t="s">
        <v>5207</v>
      </c>
      <c r="BP538" s="156"/>
      <c r="BQ538" s="156" t="s">
        <v>6266</v>
      </c>
      <c r="BR538" s="156"/>
      <c r="BS538" s="156"/>
      <c r="BT538" s="156"/>
      <c r="BU538" s="156"/>
      <c r="BV538" s="156"/>
      <c r="BW538" s="928"/>
      <c r="BX538" s="929"/>
      <c r="BY538" s="929"/>
      <c r="BZ538" s="929"/>
      <c r="CA538" s="917"/>
      <c r="CB538" s="917"/>
      <c r="CC538" s="917"/>
      <c r="CD538" s="923"/>
      <c r="CE538" s="923"/>
      <c r="CF538" s="923"/>
      <c r="CG538" s="923"/>
      <c r="CH538" s="915"/>
      <c r="CI538" s="923"/>
      <c r="CJ538" s="923"/>
      <c r="CK538" s="923"/>
      <c r="CL538" s="923"/>
      <c r="CM538" s="930"/>
      <c r="CN538" s="931"/>
      <c r="CO538" s="931"/>
      <c r="CP538" s="931"/>
      <c r="CQ538" s="931"/>
      <c r="CR538" s="931"/>
      <c r="CS538" s="931"/>
      <c r="CT538" s="967"/>
      <c r="CU538" s="967"/>
      <c r="CV538" s="967"/>
      <c r="CW538" s="967"/>
      <c r="CX538" s="932"/>
      <c r="CY538" s="923"/>
      <c r="CZ538" s="923"/>
      <c r="DA538" s="923"/>
      <c r="DB538" s="932"/>
      <c r="DC538" s="923"/>
      <c r="DD538" s="923"/>
      <c r="DE538" s="923"/>
      <c r="DF538" s="922"/>
      <c r="DG538" s="911"/>
      <c r="DH538" s="932"/>
      <c r="DI538" s="923"/>
      <c r="DJ538" s="951"/>
      <c r="DK538" s="923"/>
      <c r="DL538" s="950"/>
      <c r="DM538" s="923"/>
      <c r="DN538" s="951"/>
      <c r="DO538" s="923"/>
      <c r="DP538" s="930"/>
      <c r="DQ538" s="594"/>
      <c r="DR538" s="1187"/>
      <c r="DS538" s="1186"/>
      <c r="DT538" s="950"/>
      <c r="DU538" s="951"/>
      <c r="DV538" s="951"/>
      <c r="DW538" s="951"/>
      <c r="DX538" s="951"/>
      <c r="DY538" s="951"/>
      <c r="DZ538" s="951"/>
      <c r="EA538" s="951"/>
      <c r="EB538" s="1185"/>
      <c r="EC538" s="951"/>
      <c r="ED538" s="951"/>
      <c r="EE538" s="951"/>
      <c r="EF538" s="951"/>
      <c r="EG538" s="951"/>
      <c r="EH538" s="951"/>
      <c r="EI538" s="951"/>
      <c r="EJ538" s="951"/>
      <c r="EK538" s="951"/>
      <c r="EL538" s="1185"/>
      <c r="EM538" s="951"/>
      <c r="EN538" s="1185"/>
      <c r="EO538" s="951"/>
      <c r="EP538" s="951"/>
      <c r="EQ538" s="951"/>
      <c r="ER538" s="951"/>
      <c r="ES538" s="951"/>
      <c r="ET538" s="950"/>
      <c r="EU538" s="951"/>
      <c r="EV538" s="951"/>
      <c r="EW538" s="951"/>
      <c r="EX538" s="951"/>
      <c r="EY538" s="951"/>
      <c r="EZ538" s="950"/>
      <c r="FA538" s="951"/>
      <c r="FB538" s="951"/>
      <c r="FC538" s="951"/>
      <c r="FD538" s="950"/>
      <c r="FE538" s="951"/>
      <c r="FF538" s="951"/>
      <c r="FG538" s="951"/>
      <c r="FH538" s="951"/>
      <c r="FI538" s="951"/>
      <c r="FJ538" s="951"/>
    </row>
    <row r="539" spans="1:166" s="20" customFormat="1" ht="14" hidden="1" customHeight="1">
      <c r="A539" s="153" t="s">
        <v>989</v>
      </c>
      <c r="B539" s="618">
        <v>193</v>
      </c>
      <c r="C539" s="618"/>
      <c r="D539" s="618">
        <v>73</v>
      </c>
      <c r="E539" s="610" t="s">
        <v>2110</v>
      </c>
      <c r="F539" s="368" t="s">
        <v>2369</v>
      </c>
      <c r="G539" s="369">
        <v>2015</v>
      </c>
      <c r="H539" s="153">
        <v>25575638</v>
      </c>
      <c r="I539" s="153">
        <v>1</v>
      </c>
      <c r="J539" s="370" t="s">
        <v>1823</v>
      </c>
      <c r="K539" s="371"/>
      <c r="L539" s="153">
        <v>0</v>
      </c>
      <c r="M539" s="153"/>
      <c r="N539" s="153">
        <v>0</v>
      </c>
      <c r="O539" s="153">
        <v>2</v>
      </c>
      <c r="P539" s="153" t="s">
        <v>24</v>
      </c>
      <c r="Q539" s="153"/>
      <c r="R539" s="153" t="s">
        <v>1523</v>
      </c>
      <c r="S539" s="153"/>
      <c r="T539" s="153" t="s">
        <v>1488</v>
      </c>
      <c r="U539" s="153" t="s">
        <v>803</v>
      </c>
      <c r="V539" s="153" t="s">
        <v>23</v>
      </c>
      <c r="W539" s="153" t="s">
        <v>1524</v>
      </c>
      <c r="X539" s="153"/>
      <c r="Y539" s="153"/>
      <c r="Z539" s="153"/>
      <c r="AA539" s="153"/>
      <c r="AB539" s="153" t="s">
        <v>1279</v>
      </c>
      <c r="AC539" s="536" t="s">
        <v>6982</v>
      </c>
      <c r="AD539" s="536">
        <v>1</v>
      </c>
      <c r="AE539" s="536">
        <v>1</v>
      </c>
      <c r="AF539" s="120">
        <v>0</v>
      </c>
      <c r="AG539" s="378" t="s">
        <v>6984</v>
      </c>
      <c r="AH539" s="509"/>
      <c r="AI539" s="120">
        <v>4</v>
      </c>
      <c r="AJ539" s="120"/>
      <c r="AK539" s="206" t="s">
        <v>6983</v>
      </c>
      <c r="AL539" s="372"/>
      <c r="AM539" s="207"/>
      <c r="AN539" s="683"/>
      <c r="AO539" s="683"/>
      <c r="AP539" s="683"/>
      <c r="AQ539" s="683"/>
      <c r="AR539" s="683"/>
      <c r="AS539" s="120"/>
      <c r="AT539" s="120"/>
      <c r="AU539" s="120"/>
      <c r="AV539" s="120"/>
      <c r="AW539" s="683"/>
      <c r="AX539" s="120"/>
      <c r="AY539" s="120"/>
      <c r="AZ539" s="755"/>
      <c r="BA539" s="120"/>
      <c r="BB539" s="120"/>
      <c r="BC539" s="120"/>
      <c r="BD539" s="755"/>
      <c r="BE539" s="755"/>
      <c r="BF539" s="120"/>
      <c r="BG539" s="683"/>
      <c r="BH539" s="377" t="s">
        <v>1917</v>
      </c>
      <c r="BI539" s="377"/>
      <c r="BJ539" s="373" t="s">
        <v>5207</v>
      </c>
      <c r="BK539" s="373"/>
      <c r="BL539" s="373"/>
      <c r="BM539" s="373"/>
      <c r="BN539" s="373"/>
      <c r="BO539" s="373"/>
      <c r="BP539" s="373">
        <v>1</v>
      </c>
      <c r="BQ539" s="373"/>
      <c r="BR539" s="373"/>
      <c r="BS539" s="373"/>
      <c r="BT539" s="373"/>
      <c r="BU539" s="373"/>
      <c r="BV539" s="373"/>
      <c r="BW539" s="599"/>
      <c r="BX539" s="374"/>
      <c r="BY539" s="799"/>
      <c r="BZ539" s="374"/>
      <c r="CA539" s="511"/>
      <c r="CB539" s="511"/>
      <c r="CC539" s="511"/>
      <c r="CD539" s="683"/>
      <c r="CE539" s="384"/>
      <c r="CF539" s="1254"/>
      <c r="CG539" s="384"/>
      <c r="CH539" s="759"/>
      <c r="CI539" s="120"/>
      <c r="CJ539" s="120"/>
      <c r="CK539" s="120"/>
      <c r="CL539" s="120"/>
      <c r="CM539" s="675"/>
      <c r="CN539" s="380"/>
      <c r="CO539" s="380"/>
      <c r="CP539" s="380"/>
      <c r="CQ539" s="380"/>
      <c r="CR539" s="380"/>
      <c r="CS539" s="380"/>
      <c r="CT539" s="380"/>
      <c r="CU539" s="380"/>
      <c r="CV539" s="515"/>
      <c r="CW539" s="515"/>
      <c r="CX539" s="384"/>
      <c r="CY539" s="683"/>
      <c r="CZ539" s="377"/>
      <c r="DA539" s="683"/>
      <c r="DB539" s="376"/>
      <c r="DC539" s="683"/>
      <c r="DD539" s="120"/>
      <c r="DE539" s="815"/>
      <c r="DF539" s="515"/>
      <c r="DG539" s="513"/>
      <c r="DH539" s="718"/>
      <c r="DI539" s="683"/>
      <c r="DJ539" s="384"/>
      <c r="DK539" s="683"/>
      <c r="DL539" s="727"/>
      <c r="DM539" s="683"/>
      <c r="DN539" s="384"/>
      <c r="DO539" s="815"/>
      <c r="DP539" s="375"/>
      <c r="DQ539" s="379"/>
      <c r="DR539" s="868"/>
      <c r="DS539" s="956"/>
      <c r="DT539" s="727"/>
      <c r="DU539" s="683"/>
      <c r="DV539" s="384"/>
      <c r="DW539" s="683"/>
      <c r="DX539" s="384"/>
      <c r="DY539" s="683"/>
      <c r="DZ539" s="384"/>
      <c r="EA539" s="683"/>
      <c r="EB539" s="1012"/>
      <c r="EC539" s="384"/>
      <c r="ED539" s="384"/>
      <c r="EE539" s="683"/>
      <c r="EF539" s="384"/>
      <c r="EG539" s="683"/>
      <c r="EH539" s="384"/>
      <c r="EI539" s="683"/>
      <c r="EJ539" s="384"/>
      <c r="EK539" s="683"/>
      <c r="EL539" s="1012"/>
      <c r="EM539" s="384"/>
      <c r="EN539" s="804"/>
      <c r="EO539" s="683"/>
      <c r="EP539" s="683"/>
      <c r="EQ539" s="683"/>
      <c r="ER539" s="683"/>
      <c r="ES539" s="683"/>
      <c r="ET539" s="719"/>
      <c r="EU539" s="683"/>
      <c r="EV539" s="683"/>
      <c r="EW539" s="683"/>
      <c r="EX539" s="683"/>
      <c r="EY539" s="683"/>
      <c r="EZ539" s="719"/>
      <c r="FA539" s="683"/>
      <c r="FB539" s="683"/>
      <c r="FC539" s="683"/>
      <c r="FD539" s="719"/>
      <c r="FE539" s="683"/>
      <c r="FF539" s="683"/>
      <c r="FG539" s="683"/>
      <c r="FH539" s="683"/>
      <c r="FI539" s="683"/>
      <c r="FJ539" s="683"/>
    </row>
    <row r="540" spans="1:166" s="717" customFormat="1" ht="15" hidden="1" customHeight="1">
      <c r="A540" s="153" t="s">
        <v>988</v>
      </c>
      <c r="B540" s="1097">
        <v>43</v>
      </c>
      <c r="C540" s="1097">
        <v>3</v>
      </c>
      <c r="D540" s="1097"/>
      <c r="E540" s="1098" t="s">
        <v>2111</v>
      </c>
      <c r="F540" s="1021" t="s">
        <v>2370</v>
      </c>
      <c r="G540" s="1099">
        <v>1998</v>
      </c>
      <c r="H540" s="153">
        <v>9676829</v>
      </c>
      <c r="I540" s="153">
        <v>1</v>
      </c>
      <c r="J540" s="153">
        <v>1</v>
      </c>
      <c r="K540" s="153"/>
      <c r="L540" s="153">
        <v>1</v>
      </c>
      <c r="M540" s="153"/>
      <c r="N540" s="153">
        <v>1</v>
      </c>
      <c r="O540" s="153">
        <v>2</v>
      </c>
      <c r="P540" s="153" t="s">
        <v>1220</v>
      </c>
      <c r="Q540" s="153" t="s">
        <v>1216</v>
      </c>
      <c r="R540" s="153" t="s">
        <v>1127</v>
      </c>
      <c r="S540" s="153"/>
      <c r="T540" s="153" t="s">
        <v>1525</v>
      </c>
      <c r="U540" s="153" t="s">
        <v>803</v>
      </c>
      <c r="V540" s="153"/>
      <c r="W540" s="153" t="s">
        <v>1526</v>
      </c>
      <c r="X540" s="153"/>
      <c r="Y540" s="153"/>
      <c r="Z540" s="153"/>
      <c r="AA540" s="153"/>
      <c r="AB540" s="153"/>
      <c r="AC540" s="536"/>
      <c r="AD540" s="536">
        <v>1</v>
      </c>
      <c r="AE540" s="536">
        <v>2</v>
      </c>
      <c r="AF540" s="576">
        <v>0</v>
      </c>
      <c r="AG540" s="1686" t="s">
        <v>7990</v>
      </c>
      <c r="AH540" s="509"/>
      <c r="AI540" s="509">
        <v>4</v>
      </c>
      <c r="AJ540" s="509"/>
      <c r="AK540" s="1694"/>
      <c r="AL540" s="513" t="s">
        <v>3099</v>
      </c>
      <c r="AM540" s="514">
        <v>0</v>
      </c>
      <c r="AN540" s="509">
        <f>Table66[[#This Row],[Data_Subjects_n_ptsd]]+Table66[[#This Row],[Data_Subjects_n_control]]</f>
        <v>24</v>
      </c>
      <c r="AO540" s="509">
        <f>24/2</f>
        <v>12</v>
      </c>
      <c r="AP540" s="509">
        <v>12</v>
      </c>
      <c r="AQ540" s="509" t="s">
        <v>803</v>
      </c>
      <c r="AR540" s="509" t="s">
        <v>803</v>
      </c>
      <c r="AS540" s="509" t="s">
        <v>7497</v>
      </c>
      <c r="AT540" s="509" t="s">
        <v>24</v>
      </c>
      <c r="AU540" s="509" t="s">
        <v>7497</v>
      </c>
      <c r="AV540" s="509" t="s">
        <v>24</v>
      </c>
      <c r="AW540" s="509" t="s">
        <v>7986</v>
      </c>
      <c r="AX540" s="509"/>
      <c r="AY540" s="509"/>
      <c r="AZ540" s="509" t="s">
        <v>1721</v>
      </c>
      <c r="BA540" s="509">
        <v>1</v>
      </c>
      <c r="BB540" s="509">
        <v>1</v>
      </c>
      <c r="BC540" s="509" t="s">
        <v>3531</v>
      </c>
      <c r="BD540" s="509" t="s">
        <v>7523</v>
      </c>
      <c r="BE540" s="509"/>
      <c r="BF540" s="509" t="s">
        <v>1130</v>
      </c>
      <c r="BG540" s="509" t="s">
        <v>3279</v>
      </c>
      <c r="BH540" s="513"/>
      <c r="BI540" s="513"/>
      <c r="BJ540" s="511"/>
      <c r="BK540" s="511"/>
      <c r="BL540" s="511"/>
      <c r="BM540" s="511"/>
      <c r="BN540" s="511"/>
      <c r="BO540" s="511"/>
      <c r="BP540" s="511">
        <v>1</v>
      </c>
      <c r="BQ540" s="511"/>
      <c r="BR540" s="511"/>
      <c r="BS540" s="511"/>
      <c r="BT540" s="511"/>
      <c r="BU540" s="511"/>
      <c r="BV540" s="511"/>
      <c r="BW540" s="511" t="s">
        <v>3562</v>
      </c>
      <c r="BX540" s="510" t="s">
        <v>7467</v>
      </c>
      <c r="BY540" s="510" t="s">
        <v>7613</v>
      </c>
      <c r="BZ540" s="510" t="s">
        <v>803</v>
      </c>
      <c r="CA540" s="511">
        <v>1</v>
      </c>
      <c r="CB540" s="511" t="s">
        <v>7556</v>
      </c>
      <c r="CC540" s="511" t="s">
        <v>7384</v>
      </c>
      <c r="CD540" s="509" t="s">
        <v>1876</v>
      </c>
      <c r="CE540" s="509" t="s">
        <v>3537</v>
      </c>
      <c r="CF540" s="509" t="s">
        <v>7989</v>
      </c>
      <c r="CG540" s="509" t="s">
        <v>3551</v>
      </c>
      <c r="CH540" s="509" t="s">
        <v>1512</v>
      </c>
      <c r="CI540" s="509" t="s">
        <v>2471</v>
      </c>
      <c r="CJ540" s="509"/>
      <c r="CK540" s="509" t="s">
        <v>3534</v>
      </c>
      <c r="CL540" s="509"/>
      <c r="CM540" s="515" t="s">
        <v>3561</v>
      </c>
      <c r="CN540" s="621" t="s">
        <v>24</v>
      </c>
      <c r="CO540" s="621">
        <v>62</v>
      </c>
      <c r="CP540" s="621">
        <v>1</v>
      </c>
      <c r="CQ540" s="621"/>
      <c r="CR540" s="621">
        <v>1</v>
      </c>
      <c r="CS540" s="621">
        <v>1</v>
      </c>
      <c r="CT540" s="621"/>
      <c r="CU540" s="621"/>
      <c r="CV540" s="621"/>
      <c r="CW540" s="621"/>
      <c r="CX540" s="510" t="s">
        <v>3552</v>
      </c>
      <c r="CY540" s="509">
        <v>22.881599999999999</v>
      </c>
      <c r="CZ540" s="509">
        <f>31.0418-Table66[[#This Row],[Data_Outcome1_M]]</f>
        <v>8.1601999999999997</v>
      </c>
      <c r="DA540" s="509" t="s">
        <v>24</v>
      </c>
      <c r="DB540" s="510" t="s">
        <v>3536</v>
      </c>
      <c r="DC540" s="509">
        <v>62.602899999999998</v>
      </c>
      <c r="DD540" s="509">
        <f>75.6964-Table66[[#This Row],[Data_Outcome2_M]]</f>
        <v>13.093499999999999</v>
      </c>
      <c r="DE540" s="509" t="s">
        <v>24</v>
      </c>
      <c r="DF540" s="515" t="s">
        <v>7985</v>
      </c>
      <c r="DG540" s="513" t="s">
        <v>3556</v>
      </c>
      <c r="DH540" s="509"/>
      <c r="DI540" s="1194"/>
      <c r="DJ540" s="1194"/>
      <c r="DK540" s="1194"/>
      <c r="DL540" s="510"/>
      <c r="DM540" s="1194"/>
      <c r="DN540" s="1194"/>
      <c r="DO540" s="1194"/>
      <c r="DP540" s="515"/>
      <c r="DQ540" s="513"/>
      <c r="DR540" s="1182"/>
      <c r="DS540" s="956"/>
      <c r="DT540" s="510"/>
      <c r="DU540" s="509"/>
      <c r="DV540" s="1194"/>
      <c r="DW540" s="509"/>
      <c r="DX540" s="509"/>
      <c r="DY540" s="1194"/>
      <c r="DZ540" s="1194"/>
      <c r="EA540" s="1194"/>
      <c r="EB540" s="621"/>
      <c r="EC540" s="509"/>
      <c r="ED540" s="509"/>
      <c r="EE540" s="509"/>
      <c r="EF540" s="509"/>
      <c r="EG540" s="509"/>
      <c r="EH540" s="509"/>
      <c r="EI540" s="1194"/>
      <c r="EJ540" s="1194"/>
      <c r="EK540" s="1194"/>
      <c r="EL540" s="621"/>
      <c r="EM540" s="509"/>
      <c r="EN540" s="1182"/>
      <c r="EO540" s="1194"/>
      <c r="EP540" s="509"/>
      <c r="EQ540" s="509"/>
      <c r="ER540" s="509"/>
      <c r="ES540" s="509"/>
      <c r="ET540" s="510"/>
      <c r="EU540" s="1194"/>
      <c r="EV540" s="1194"/>
      <c r="EW540" s="1194"/>
      <c r="EX540" s="509"/>
      <c r="EY540" s="509"/>
      <c r="EZ540" s="510"/>
      <c r="FA540" s="509"/>
      <c r="FB540" s="509"/>
      <c r="FC540" s="509"/>
      <c r="FD540" s="510"/>
      <c r="FE540" s="1194"/>
      <c r="FF540" s="1194"/>
      <c r="FG540" s="1194"/>
      <c r="FH540" s="509"/>
      <c r="FI540" s="509"/>
      <c r="FJ540" s="1194"/>
    </row>
    <row r="541" spans="1:166" s="717" customFormat="1" ht="14" hidden="1" customHeight="1">
      <c r="A541" s="153" t="s">
        <v>988</v>
      </c>
      <c r="B541" s="1097">
        <v>43</v>
      </c>
      <c r="C541" s="1097">
        <v>3</v>
      </c>
      <c r="D541" s="1097"/>
      <c r="E541" s="1098" t="s">
        <v>2111</v>
      </c>
      <c r="F541" s="1021" t="s">
        <v>2370</v>
      </c>
      <c r="G541" s="1099">
        <v>1998</v>
      </c>
      <c r="H541" s="153">
        <v>9676829</v>
      </c>
      <c r="I541" s="153">
        <v>1</v>
      </c>
      <c r="J541" s="153">
        <v>1</v>
      </c>
      <c r="K541" s="153"/>
      <c r="L541" s="153">
        <v>1</v>
      </c>
      <c r="M541" s="153"/>
      <c r="N541" s="153">
        <v>1</v>
      </c>
      <c r="O541" s="153">
        <v>2</v>
      </c>
      <c r="P541" s="153" t="s">
        <v>1220</v>
      </c>
      <c r="Q541" s="153" t="s">
        <v>1216</v>
      </c>
      <c r="R541" s="153" t="s">
        <v>1127</v>
      </c>
      <c r="S541" s="153"/>
      <c r="T541" s="153" t="s">
        <v>1525</v>
      </c>
      <c r="U541" s="153" t="s">
        <v>803</v>
      </c>
      <c r="V541" s="153"/>
      <c r="W541" s="153" t="s">
        <v>1526</v>
      </c>
      <c r="X541" s="153"/>
      <c r="Y541" s="153"/>
      <c r="Z541" s="153"/>
      <c r="AA541" s="153"/>
      <c r="AB541" s="153"/>
      <c r="AC541" s="536"/>
      <c r="AD541" s="536">
        <v>1</v>
      </c>
      <c r="AE541" s="536">
        <v>2</v>
      </c>
      <c r="AF541" s="576">
        <v>0</v>
      </c>
      <c r="AG541" s="1686" t="s">
        <v>7990</v>
      </c>
      <c r="AH541" s="509"/>
      <c r="AI541" s="509">
        <v>4</v>
      </c>
      <c r="AJ541" s="509"/>
      <c r="AK541" s="512"/>
      <c r="AL541" s="513" t="s">
        <v>3099</v>
      </c>
      <c r="AM541" s="514">
        <v>0</v>
      </c>
      <c r="AN541" s="509">
        <f>Table66[[#This Row],[Data_Subjects_n_ptsd]]+Table66[[#This Row],[Data_Subjects_n_control]]</f>
        <v>24</v>
      </c>
      <c r="AO541" s="509">
        <f>24/2</f>
        <v>12</v>
      </c>
      <c r="AP541" s="509">
        <v>12</v>
      </c>
      <c r="AQ541" s="509" t="s">
        <v>803</v>
      </c>
      <c r="AR541" s="509" t="s">
        <v>803</v>
      </c>
      <c r="AS541" s="509" t="s">
        <v>7497</v>
      </c>
      <c r="AT541" s="509" t="s">
        <v>24</v>
      </c>
      <c r="AU541" s="509" t="s">
        <v>7497</v>
      </c>
      <c r="AV541" s="509" t="s">
        <v>24</v>
      </c>
      <c r="AW541" s="509" t="s">
        <v>7987</v>
      </c>
      <c r="AX541" s="509"/>
      <c r="AY541" s="509"/>
      <c r="AZ541" s="509" t="s">
        <v>1721</v>
      </c>
      <c r="BA541" s="509">
        <v>1</v>
      </c>
      <c r="BB541" s="509">
        <v>1</v>
      </c>
      <c r="BC541" s="509" t="s">
        <v>3531</v>
      </c>
      <c r="BD541" s="509" t="s">
        <v>7523</v>
      </c>
      <c r="BE541" s="509"/>
      <c r="BF541" s="509" t="s">
        <v>1130</v>
      </c>
      <c r="BG541" s="509" t="s">
        <v>3279</v>
      </c>
      <c r="BH541" s="513"/>
      <c r="BI541" s="513"/>
      <c r="BJ541" s="511"/>
      <c r="BK541" s="511"/>
      <c r="BL541" s="511"/>
      <c r="BM541" s="511"/>
      <c r="BN541" s="511"/>
      <c r="BO541" s="511"/>
      <c r="BP541" s="511">
        <v>1</v>
      </c>
      <c r="BQ541" s="511"/>
      <c r="BR541" s="511"/>
      <c r="BS541" s="511"/>
      <c r="BT541" s="511"/>
      <c r="BU541" s="511"/>
      <c r="BV541" s="511"/>
      <c r="BW541" s="511" t="s">
        <v>3562</v>
      </c>
      <c r="BX541" s="510" t="s">
        <v>7467</v>
      </c>
      <c r="BY541" s="510" t="s">
        <v>7614</v>
      </c>
      <c r="BZ541" s="510" t="s">
        <v>803</v>
      </c>
      <c r="CA541" s="510">
        <v>2</v>
      </c>
      <c r="CB541" s="511" t="s">
        <v>7556</v>
      </c>
      <c r="CC541" s="510" t="s">
        <v>7384</v>
      </c>
      <c r="CD541" s="509" t="s">
        <v>1876</v>
      </c>
      <c r="CE541" s="509" t="s">
        <v>3537</v>
      </c>
      <c r="CF541" s="509" t="s">
        <v>7989</v>
      </c>
      <c r="CG541" s="509" t="s">
        <v>3551</v>
      </c>
      <c r="CH541" s="509" t="s">
        <v>1512</v>
      </c>
      <c r="CI541" s="509" t="s">
        <v>2471</v>
      </c>
      <c r="CJ541" s="509"/>
      <c r="CK541" s="509" t="s">
        <v>3534</v>
      </c>
      <c r="CL541" s="509"/>
      <c r="CM541" s="515" t="s">
        <v>3561</v>
      </c>
      <c r="CN541" s="621" t="s">
        <v>24</v>
      </c>
      <c r="CO541" s="621">
        <v>62</v>
      </c>
      <c r="CP541" s="621">
        <v>1</v>
      </c>
      <c r="CQ541" s="621"/>
      <c r="CR541" s="621">
        <v>1</v>
      </c>
      <c r="CS541" s="621">
        <v>1</v>
      </c>
      <c r="CT541" s="621"/>
      <c r="CU541" s="621"/>
      <c r="CV541" s="621"/>
      <c r="CW541" s="621"/>
      <c r="CX541" s="510" t="s">
        <v>3553</v>
      </c>
      <c r="CY541" s="509">
        <v>56.974200000000003</v>
      </c>
      <c r="CZ541" s="509">
        <f>71.3951-Table66[[#This Row],[Data_Outcome1_M]]</f>
        <v>14.420899999999996</v>
      </c>
      <c r="DA541" s="509" t="s">
        <v>24</v>
      </c>
      <c r="DB541" s="510" t="s">
        <v>3536</v>
      </c>
      <c r="DC541" s="509">
        <v>62.602899999999998</v>
      </c>
      <c r="DD541" s="509">
        <f>75.6964-Table66[[#This Row],[Data_Outcome2_M]]</f>
        <v>13.093499999999999</v>
      </c>
      <c r="DE541" s="509" t="s">
        <v>24</v>
      </c>
      <c r="DF541" s="515"/>
      <c r="DG541" s="513"/>
      <c r="DH541" s="1135"/>
      <c r="DI541" s="635"/>
      <c r="DJ541" s="1194"/>
      <c r="DK541" s="635"/>
      <c r="DL541" s="510"/>
      <c r="DM541" s="1194"/>
      <c r="DN541" s="1194"/>
      <c r="DO541" s="1194"/>
      <c r="DP541" s="515"/>
      <c r="DQ541" s="1141"/>
      <c r="DR541" s="1182"/>
      <c r="DS541" s="956"/>
      <c r="DT541" s="956"/>
      <c r="DU541" s="635"/>
      <c r="DV541" s="1194"/>
      <c r="DW541" s="635"/>
      <c r="DX541" s="956"/>
      <c r="DY541" s="635"/>
      <c r="DZ541" s="1194"/>
      <c r="EA541" s="635"/>
      <c r="EB541" s="1182"/>
      <c r="EC541" s="1194"/>
      <c r="ED541" s="956"/>
      <c r="EE541" s="635"/>
      <c r="EF541" s="1194"/>
      <c r="EG541" s="635"/>
      <c r="EH541" s="1194"/>
      <c r="EI541" s="1194"/>
      <c r="EJ541" s="1194"/>
      <c r="EK541" s="1194"/>
      <c r="EL541" s="1182"/>
      <c r="EM541" s="1194"/>
      <c r="EN541" s="1182"/>
      <c r="EO541" s="1194"/>
      <c r="EP541" s="1194"/>
      <c r="EQ541" s="1194"/>
      <c r="ER541" s="1194"/>
      <c r="ES541" s="1194"/>
      <c r="ET541" s="956"/>
      <c r="EU541" s="1194"/>
      <c r="EV541" s="1194"/>
      <c r="EW541" s="1194"/>
      <c r="EX541" s="1194"/>
      <c r="EY541" s="1194"/>
      <c r="EZ541" s="956"/>
      <c r="FA541" s="1194"/>
      <c r="FB541" s="1194"/>
      <c r="FC541" s="1194"/>
      <c r="FD541" s="956"/>
      <c r="FE541" s="1194"/>
      <c r="FF541" s="1194"/>
      <c r="FG541" s="1194"/>
      <c r="FH541" s="1194"/>
      <c r="FI541" s="1194"/>
      <c r="FJ541" s="1194"/>
    </row>
    <row r="542" spans="1:166" s="1719" customFormat="1" ht="15" hidden="1" customHeight="1">
      <c r="A542" s="79" t="s">
        <v>1058</v>
      </c>
      <c r="B542" s="362">
        <v>120</v>
      </c>
      <c r="C542" s="362">
        <v>29</v>
      </c>
      <c r="D542" s="362"/>
      <c r="E542" s="604" t="s">
        <v>2073</v>
      </c>
      <c r="F542" s="124" t="s">
        <v>2325</v>
      </c>
      <c r="G542" s="125">
        <v>2004</v>
      </c>
      <c r="H542" s="79">
        <v>15677425</v>
      </c>
      <c r="I542" s="79">
        <v>1</v>
      </c>
      <c r="J542" s="126"/>
      <c r="K542" s="127"/>
      <c r="L542" s="79">
        <v>1</v>
      </c>
      <c r="M542" s="79"/>
      <c r="N542" s="79">
        <v>1</v>
      </c>
      <c r="O542" s="128">
        <v>2</v>
      </c>
      <c r="P542" s="79" t="s">
        <v>1586</v>
      </c>
      <c r="Q542" s="79" t="s">
        <v>1147</v>
      </c>
      <c r="R542" s="79" t="s">
        <v>1127</v>
      </c>
      <c r="S542" s="79"/>
      <c r="T542" s="79" t="s">
        <v>1334</v>
      </c>
      <c r="U542" s="79"/>
      <c r="V542" s="79"/>
      <c r="W542" s="79"/>
      <c r="X542" s="79" t="s">
        <v>1335</v>
      </c>
      <c r="Y542" s="79"/>
      <c r="Z542" s="79"/>
      <c r="AA542" s="79"/>
      <c r="AB542" s="79"/>
      <c r="AC542" s="506"/>
      <c r="AD542" s="573">
        <v>1</v>
      </c>
      <c r="AE542" s="573">
        <v>2</v>
      </c>
      <c r="AF542" s="154">
        <v>1</v>
      </c>
      <c r="AG542" s="155" t="s">
        <v>7625</v>
      </c>
      <c r="AH542" s="704" t="s">
        <v>7508</v>
      </c>
      <c r="AI542" s="121">
        <v>4</v>
      </c>
      <c r="AJ542" s="484"/>
      <c r="AK542" s="202"/>
      <c r="AL542" s="192">
        <v>0</v>
      </c>
      <c r="AM542" s="203">
        <v>1</v>
      </c>
      <c r="AN542" s="121" t="s">
        <v>4512</v>
      </c>
      <c r="AO542" s="121">
        <v>10</v>
      </c>
      <c r="AP542" s="121">
        <v>10</v>
      </c>
      <c r="AQ542" s="121" t="s">
        <v>4373</v>
      </c>
      <c r="AR542" s="121" t="s">
        <v>4373</v>
      </c>
      <c r="AS542" s="134" t="s">
        <v>7486</v>
      </c>
      <c r="AT542" s="134" t="s">
        <v>24</v>
      </c>
      <c r="AU542" s="134" t="s">
        <v>7486</v>
      </c>
      <c r="AV542" s="134" t="s">
        <v>24</v>
      </c>
      <c r="AW542" s="664" t="s">
        <v>6718</v>
      </c>
      <c r="AX542" s="470"/>
      <c r="AY542" s="470"/>
      <c r="AZ542" s="757" t="s">
        <v>7328</v>
      </c>
      <c r="BA542" s="121" t="s">
        <v>4505</v>
      </c>
      <c r="BB542" s="121" t="s">
        <v>4505</v>
      </c>
      <c r="BC542" s="121" t="s">
        <v>7529</v>
      </c>
      <c r="BD542" s="754" t="s">
        <v>7522</v>
      </c>
      <c r="BE542" s="754"/>
      <c r="BF542" s="121" t="s">
        <v>4507</v>
      </c>
      <c r="BG542" s="121" t="s">
        <v>4508</v>
      </c>
      <c r="BH542" s="594"/>
      <c r="BI542" s="594"/>
      <c r="BJ542" s="156"/>
      <c r="BK542" s="156"/>
      <c r="BL542" s="156"/>
      <c r="BM542" s="156"/>
      <c r="BN542" s="156"/>
      <c r="BO542" s="156"/>
      <c r="BP542" s="156">
        <v>1</v>
      </c>
      <c r="BQ542" s="156"/>
      <c r="BR542" s="156"/>
      <c r="BS542" s="156"/>
      <c r="BT542" s="156"/>
      <c r="BU542" s="156"/>
      <c r="BV542" s="156"/>
      <c r="BW542" s="595" t="s">
        <v>7457</v>
      </c>
      <c r="BX542" s="157" t="s">
        <v>6613</v>
      </c>
      <c r="BY542" s="797" t="s">
        <v>7614</v>
      </c>
      <c r="BZ542" s="789" t="s">
        <v>803</v>
      </c>
      <c r="CA542" s="660">
        <v>2</v>
      </c>
      <c r="CB542" s="765" t="s">
        <v>7556</v>
      </c>
      <c r="CC542" s="1724" t="s">
        <v>7384</v>
      </c>
      <c r="CD542" s="134" t="s">
        <v>1876</v>
      </c>
      <c r="CE542" s="134" t="s">
        <v>4513</v>
      </c>
      <c r="CF542" s="400" t="s">
        <v>7580</v>
      </c>
      <c r="CG542" s="134" t="s">
        <v>4504</v>
      </c>
      <c r="CH542" s="753" t="s">
        <v>1512</v>
      </c>
      <c r="CI542" s="134" t="s">
        <v>4510</v>
      </c>
      <c r="CJ542" s="134"/>
      <c r="CK542" s="134" t="s">
        <v>4509</v>
      </c>
      <c r="CL542" s="134" t="s">
        <v>8216</v>
      </c>
      <c r="CM542" s="471" t="s">
        <v>4518</v>
      </c>
      <c r="CN542" s="624" t="s">
        <v>24</v>
      </c>
      <c r="CO542" s="832">
        <v>26</v>
      </c>
      <c r="CP542" s="832">
        <v>1</v>
      </c>
      <c r="CQ542" s="832">
        <v>1</v>
      </c>
      <c r="CR542" s="832">
        <v>0</v>
      </c>
      <c r="CS542" s="832">
        <v>1</v>
      </c>
      <c r="CT542" s="973"/>
      <c r="CU542" s="1289" t="s">
        <v>8104</v>
      </c>
      <c r="CV542" s="1295">
        <v>82</v>
      </c>
      <c r="CW542" s="1295">
        <v>74</v>
      </c>
      <c r="CX542" s="138" t="s">
        <v>4514</v>
      </c>
      <c r="CY542" s="134">
        <v>0.351381</v>
      </c>
      <c r="CZ542" s="134" t="s">
        <v>24</v>
      </c>
      <c r="DA542" s="134">
        <f>0.377901-Table66[[#This Row],[Data_Outcome1_M]]</f>
        <v>2.6519999999999988E-2</v>
      </c>
      <c r="DB542" s="138" t="s">
        <v>4515</v>
      </c>
      <c r="DC542" s="134">
        <v>0.59834299999999996</v>
      </c>
      <c r="DD542" s="134" t="s">
        <v>24</v>
      </c>
      <c r="DE542" s="134">
        <f>0.619889-Table66[[#This Row],[Data_Outcome2_M]]</f>
        <v>2.1546000000000065E-2</v>
      </c>
      <c r="DF542" s="294" t="s">
        <v>4516</v>
      </c>
      <c r="DG542" s="295" t="s">
        <v>4517</v>
      </c>
      <c r="DH542" s="1171"/>
      <c r="DI542" s="1169"/>
      <c r="DJ542" s="1169"/>
      <c r="DK542" s="1169"/>
      <c r="DL542" s="1171"/>
      <c r="DM542" s="1169"/>
      <c r="DN542" s="1169"/>
      <c r="DO542" s="1169"/>
      <c r="DP542" s="288"/>
      <c r="DQ542" s="289"/>
      <c r="DR542" s="1168"/>
      <c r="DS542" s="865"/>
      <c r="DT542" s="1171"/>
      <c r="DU542" s="1169"/>
      <c r="DV542" s="1169"/>
      <c r="DW542" s="1169"/>
      <c r="DX542" s="1169"/>
      <c r="DY542" s="1169"/>
      <c r="DZ542" s="1169"/>
      <c r="EA542" s="1169"/>
      <c r="EB542" s="304"/>
      <c r="EC542" s="312"/>
      <c r="ED542" s="1169"/>
      <c r="EE542" s="1169"/>
      <c r="EF542" s="1169"/>
      <c r="EG542" s="1169"/>
      <c r="EH542" s="1169"/>
      <c r="EI542" s="1169"/>
      <c r="EJ542" s="1169"/>
      <c r="EK542" s="1169"/>
      <c r="EL542" s="304"/>
      <c r="EM542" s="312"/>
      <c r="EN542" s="309"/>
      <c r="EO542" s="1170"/>
      <c r="EP542" s="1169"/>
      <c r="EQ542" s="1169"/>
      <c r="ER542" s="1169"/>
      <c r="ES542" s="1169"/>
      <c r="ET542" s="1171"/>
      <c r="EU542" s="1169"/>
      <c r="EV542" s="1169"/>
      <c r="EW542" s="1169"/>
      <c r="EX542" s="312"/>
      <c r="EY542" s="312"/>
      <c r="EZ542" s="1171"/>
      <c r="FA542" s="1169"/>
      <c r="FB542" s="1169"/>
      <c r="FC542" s="1169"/>
      <c r="FD542" s="1171"/>
      <c r="FE542" s="1169"/>
      <c r="FF542" s="1169"/>
      <c r="FG542" s="1169"/>
      <c r="FH542" s="312"/>
      <c r="FI542" s="312"/>
      <c r="FJ542" s="1170"/>
    </row>
    <row r="543" spans="1:166" s="1719" customFormat="1" ht="14" hidden="1" customHeight="1">
      <c r="A543" s="118" t="s">
        <v>1047</v>
      </c>
      <c r="B543" s="616">
        <v>131</v>
      </c>
      <c r="C543" s="616"/>
      <c r="D543" s="616">
        <v>42</v>
      </c>
      <c r="E543" s="605" t="s">
        <v>2079</v>
      </c>
      <c r="F543" s="140" t="s">
        <v>2333</v>
      </c>
      <c r="G543" s="141">
        <v>2016</v>
      </c>
      <c r="H543" s="118">
        <v>27275520</v>
      </c>
      <c r="I543" s="118">
        <v>1</v>
      </c>
      <c r="J543" s="118"/>
      <c r="K543" s="118"/>
      <c r="L543" s="118">
        <v>1</v>
      </c>
      <c r="M543" s="118"/>
      <c r="N543" s="118">
        <v>1</v>
      </c>
      <c r="O543" s="142">
        <v>2</v>
      </c>
      <c r="P543" s="118" t="s">
        <v>1361</v>
      </c>
      <c r="Q543" s="118" t="s">
        <v>1216</v>
      </c>
      <c r="R543" s="118" t="s">
        <v>1127</v>
      </c>
      <c r="S543" s="118"/>
      <c r="T543" s="118" t="s">
        <v>1487</v>
      </c>
      <c r="U543" s="118"/>
      <c r="V543" s="118"/>
      <c r="W543" s="118" t="s">
        <v>1360</v>
      </c>
      <c r="X543" s="118" t="s">
        <v>24</v>
      </c>
      <c r="Y543" s="118" t="s">
        <v>24</v>
      </c>
      <c r="Z543" s="118"/>
      <c r="AA543" s="118"/>
      <c r="AB543" s="118"/>
      <c r="AC543" s="145" t="s">
        <v>6213</v>
      </c>
      <c r="AD543" s="653">
        <v>1</v>
      </c>
      <c r="AE543" s="653">
        <v>1</v>
      </c>
      <c r="AF543" s="159">
        <v>1</v>
      </c>
      <c r="AG543" s="155" t="s">
        <v>7625</v>
      </c>
      <c r="AH543" s="704"/>
      <c r="AI543" s="122">
        <v>4</v>
      </c>
      <c r="AJ543" s="485" t="s">
        <v>6889</v>
      </c>
      <c r="AK543" s="204" t="s">
        <v>6883</v>
      </c>
      <c r="AL543" s="192">
        <v>1</v>
      </c>
      <c r="AM543" s="205">
        <v>1</v>
      </c>
      <c r="AN543" s="122">
        <f>Table66[[#This Row],[Data_Subjects_n_ptsd]]+Table66[[#This Row],[Data_Subjects_n_control]]</f>
        <v>20</v>
      </c>
      <c r="AO543" s="122">
        <v>10</v>
      </c>
      <c r="AP543" s="122">
        <v>10</v>
      </c>
      <c r="AQ543" s="122" t="s">
        <v>803</v>
      </c>
      <c r="AR543" s="122" t="s">
        <v>803</v>
      </c>
      <c r="AS543" s="122" t="s">
        <v>2687</v>
      </c>
      <c r="AT543" s="122" t="s">
        <v>24</v>
      </c>
      <c r="AU543" s="122" t="s">
        <v>2687</v>
      </c>
      <c r="AV543" s="122" t="s">
        <v>24</v>
      </c>
      <c r="AW543" s="122" t="s">
        <v>6876</v>
      </c>
      <c r="AX543" s="122"/>
      <c r="AY543" s="122"/>
      <c r="AZ543" s="754" t="s">
        <v>7328</v>
      </c>
      <c r="BA543" s="122">
        <v>1</v>
      </c>
      <c r="BB543" s="122" t="s">
        <v>6877</v>
      </c>
      <c r="BC543" s="122" t="s">
        <v>6888</v>
      </c>
      <c r="BD543" s="754" t="s">
        <v>7523</v>
      </c>
      <c r="BE543" s="754"/>
      <c r="BF543" s="122" t="s">
        <v>1130</v>
      </c>
      <c r="BG543" s="122" t="s">
        <v>6653</v>
      </c>
      <c r="BH543" s="588" t="s">
        <v>5207</v>
      </c>
      <c r="BI543" s="588"/>
      <c r="BJ543" s="161"/>
      <c r="BK543" s="161"/>
      <c r="BL543" s="161"/>
      <c r="BM543" s="161"/>
      <c r="BN543" s="161"/>
      <c r="BO543" s="161"/>
      <c r="BP543" s="161">
        <v>1</v>
      </c>
      <c r="BQ543" s="161"/>
      <c r="BR543" s="161"/>
      <c r="BS543" s="161"/>
      <c r="BT543" s="161"/>
      <c r="BU543" s="161"/>
      <c r="BV543" s="161"/>
      <c r="BW543" s="596" t="s">
        <v>3563</v>
      </c>
      <c r="BX543" s="162" t="s">
        <v>6613</v>
      </c>
      <c r="BY543" s="797" t="s">
        <v>7614</v>
      </c>
      <c r="BZ543" s="790" t="s">
        <v>803</v>
      </c>
      <c r="CA543" s="811">
        <v>2</v>
      </c>
      <c r="CB543" s="769" t="s">
        <v>7556</v>
      </c>
      <c r="CC543" s="811" t="s">
        <v>7384</v>
      </c>
      <c r="CD543" s="150" t="s">
        <v>1876</v>
      </c>
      <c r="CE543" s="228" t="s">
        <v>6884</v>
      </c>
      <c r="CF543" s="415"/>
      <c r="CG543" s="477" t="s">
        <v>6880</v>
      </c>
      <c r="CH543" s="763" t="s">
        <v>1512</v>
      </c>
      <c r="CI543" s="150" t="s">
        <v>6885</v>
      </c>
      <c r="CJ543" s="150"/>
      <c r="CK543" s="150" t="s">
        <v>6881</v>
      </c>
      <c r="CL543" s="134" t="s">
        <v>8216</v>
      </c>
      <c r="CM543" s="258" t="s">
        <v>6903</v>
      </c>
      <c r="CN543" s="257" t="s">
        <v>24</v>
      </c>
      <c r="CO543" s="829">
        <v>33</v>
      </c>
      <c r="CP543" s="829">
        <v>1</v>
      </c>
      <c r="CQ543" s="829">
        <v>6</v>
      </c>
      <c r="CR543" s="829">
        <v>1</v>
      </c>
      <c r="CS543" s="829">
        <v>1</v>
      </c>
      <c r="CT543" s="968"/>
      <c r="CU543" s="1289" t="s">
        <v>8104</v>
      </c>
      <c r="CV543" s="1295">
        <v>89</v>
      </c>
      <c r="CW543" s="1295">
        <v>81</v>
      </c>
      <c r="CX543" s="151" t="s">
        <v>6886</v>
      </c>
      <c r="CY543" s="150">
        <v>25.479800000000001</v>
      </c>
      <c r="CZ543" s="150" t="s">
        <v>24</v>
      </c>
      <c r="DA543" s="150">
        <f>27.8782-Table66[[#This Row],[Data_Outcome1_M]]</f>
        <v>2.3983999999999988</v>
      </c>
      <c r="DB543" s="151" t="s">
        <v>6887</v>
      </c>
      <c r="DC543" s="150">
        <v>31.6281</v>
      </c>
      <c r="DD543" s="150" t="s">
        <v>24</v>
      </c>
      <c r="DE543" s="150">
        <f>35.1165-Table66[[#This Row],[Data_Outcome2_M]]</f>
        <v>3.4884000000000022</v>
      </c>
      <c r="DF543" s="549" t="s">
        <v>6890</v>
      </c>
      <c r="DG543" s="551" t="s">
        <v>2588</v>
      </c>
      <c r="DH543" s="1166" t="s">
        <v>24</v>
      </c>
      <c r="DI543" s="122"/>
      <c r="DJ543" s="1164"/>
      <c r="DK543" s="1164"/>
      <c r="DL543" s="1166"/>
      <c r="DM543" s="1164"/>
      <c r="DN543" s="1164"/>
      <c r="DO543" s="1164"/>
      <c r="DP543" s="290"/>
      <c r="DQ543" s="291"/>
      <c r="DR543" s="1168"/>
      <c r="DS543" s="865"/>
      <c r="DT543" s="1166"/>
      <c r="DU543" s="1164"/>
      <c r="DV543" s="1164"/>
      <c r="DW543" s="1164"/>
      <c r="DX543" s="1164"/>
      <c r="DY543" s="1164"/>
      <c r="DZ543" s="1164"/>
      <c r="EA543" s="1164"/>
      <c r="EB543" s="311"/>
      <c r="EC543" s="313"/>
      <c r="ED543" s="1164"/>
      <c r="EE543" s="1164"/>
      <c r="EF543" s="1164"/>
      <c r="EG543" s="1164"/>
      <c r="EH543" s="1164"/>
      <c r="EI543" s="1164"/>
      <c r="EJ543" s="1164"/>
      <c r="EK543" s="1164"/>
      <c r="EL543" s="311"/>
      <c r="EM543" s="313"/>
      <c r="EN543" s="1167"/>
      <c r="EO543" s="1165"/>
      <c r="EP543" s="1164"/>
      <c r="EQ543" s="1164"/>
      <c r="ER543" s="1164"/>
      <c r="ES543" s="1164"/>
      <c r="ET543" s="1166"/>
      <c r="EU543" s="1164"/>
      <c r="EV543" s="1164"/>
      <c r="EW543" s="1164"/>
      <c r="EX543" s="313"/>
      <c r="EY543" s="313"/>
      <c r="EZ543" s="1166"/>
      <c r="FA543" s="1164"/>
      <c r="FB543" s="1164"/>
      <c r="FC543" s="1164"/>
      <c r="FD543" s="1166"/>
      <c r="FE543" s="1164"/>
      <c r="FF543" s="1164"/>
      <c r="FG543" s="1164"/>
      <c r="FH543" s="313"/>
      <c r="FI543" s="313"/>
      <c r="FJ543" s="1165"/>
    </row>
    <row r="544" spans="1:166" s="717" customFormat="1" ht="14" hidden="1" customHeight="1">
      <c r="A544" s="153" t="s">
        <v>988</v>
      </c>
      <c r="B544" s="1097">
        <v>43</v>
      </c>
      <c r="C544" s="1097">
        <v>3</v>
      </c>
      <c r="D544" s="1097"/>
      <c r="E544" s="1098" t="s">
        <v>2111</v>
      </c>
      <c r="F544" s="1021" t="s">
        <v>2370</v>
      </c>
      <c r="G544" s="1099">
        <v>1998</v>
      </c>
      <c r="H544" s="153">
        <v>9676829</v>
      </c>
      <c r="I544" s="153">
        <v>1</v>
      </c>
      <c r="J544" s="153">
        <v>1</v>
      </c>
      <c r="K544" s="153"/>
      <c r="L544" s="153">
        <v>1</v>
      </c>
      <c r="M544" s="153"/>
      <c r="N544" s="153">
        <v>1</v>
      </c>
      <c r="O544" s="153">
        <v>2</v>
      </c>
      <c r="P544" s="153" t="s">
        <v>1220</v>
      </c>
      <c r="Q544" s="153" t="s">
        <v>1216</v>
      </c>
      <c r="R544" s="153" t="s">
        <v>1127</v>
      </c>
      <c r="S544" s="153"/>
      <c r="T544" s="153" t="s">
        <v>1525</v>
      </c>
      <c r="U544" s="153" t="s">
        <v>803</v>
      </c>
      <c r="V544" s="153"/>
      <c r="W544" s="153" t="s">
        <v>1526</v>
      </c>
      <c r="X544" s="153"/>
      <c r="Y544" s="153"/>
      <c r="Z544" s="153"/>
      <c r="AA544" s="153"/>
      <c r="AB544" s="153"/>
      <c r="AC544" s="536"/>
      <c r="AD544" s="536">
        <v>1</v>
      </c>
      <c r="AE544" s="536">
        <v>2</v>
      </c>
      <c r="AF544" s="576">
        <v>0</v>
      </c>
      <c r="AG544" s="1686" t="s">
        <v>7992</v>
      </c>
      <c r="AH544" s="509"/>
      <c r="AI544" s="509">
        <v>4</v>
      </c>
      <c r="AJ544" s="509"/>
      <c r="AK544" s="512"/>
      <c r="AL544" s="513">
        <v>2</v>
      </c>
      <c r="AM544" s="514">
        <v>0</v>
      </c>
      <c r="AN544" s="509">
        <f>Table66[[#This Row],[Data_Subjects_n_ptsd]]+Table66[[#This Row],[Data_Subjects_n_control]]</f>
        <v>12</v>
      </c>
      <c r="AO544" s="509">
        <v>6</v>
      </c>
      <c r="AP544" s="509">
        <v>6</v>
      </c>
      <c r="AQ544" s="509" t="s">
        <v>803</v>
      </c>
      <c r="AR544" s="509" t="s">
        <v>803</v>
      </c>
      <c r="AS544" s="509" t="s">
        <v>7497</v>
      </c>
      <c r="AT544" s="509" t="s">
        <v>24</v>
      </c>
      <c r="AU544" s="509" t="s">
        <v>7497</v>
      </c>
      <c r="AV544" s="509" t="s">
        <v>24</v>
      </c>
      <c r="AW544" s="509" t="s">
        <v>3548</v>
      </c>
      <c r="AX544" s="509"/>
      <c r="AY544" s="509"/>
      <c r="AZ544" s="509" t="s">
        <v>1721</v>
      </c>
      <c r="BA544" s="509">
        <v>1</v>
      </c>
      <c r="BB544" s="509">
        <v>1</v>
      </c>
      <c r="BC544" s="509" t="s">
        <v>3531</v>
      </c>
      <c r="BD544" s="509" t="s">
        <v>7523</v>
      </c>
      <c r="BE544" s="509"/>
      <c r="BF544" s="509" t="s">
        <v>1130</v>
      </c>
      <c r="BG544" s="509" t="s">
        <v>3279</v>
      </c>
      <c r="BH544" s="513"/>
      <c r="BI544" s="513"/>
      <c r="BJ544" s="511"/>
      <c r="BK544" s="511"/>
      <c r="BL544" s="511"/>
      <c r="BM544" s="511"/>
      <c r="BN544" s="511"/>
      <c r="BO544" s="511"/>
      <c r="BP544" s="511">
        <v>1</v>
      </c>
      <c r="BQ544" s="511"/>
      <c r="BR544" s="511"/>
      <c r="BS544" s="511"/>
      <c r="BT544" s="511"/>
      <c r="BU544" s="511"/>
      <c r="BV544" s="511"/>
      <c r="BW544" s="511" t="s">
        <v>7466</v>
      </c>
      <c r="BX544" s="510" t="s">
        <v>7467</v>
      </c>
      <c r="BY544" s="510" t="s">
        <v>7613</v>
      </c>
      <c r="BZ544" s="510" t="s">
        <v>803</v>
      </c>
      <c r="CA544" s="510">
        <v>1</v>
      </c>
      <c r="CB544" s="511" t="s">
        <v>7556</v>
      </c>
      <c r="CC544" s="510" t="s">
        <v>7384</v>
      </c>
      <c r="CD544" s="509" t="s">
        <v>1876</v>
      </c>
      <c r="CE544" s="509" t="s">
        <v>3533</v>
      </c>
      <c r="CF544" s="509" t="s">
        <v>7993</v>
      </c>
      <c r="CG544" s="509" t="s">
        <v>3538</v>
      </c>
      <c r="CH544" s="509" t="s">
        <v>1512</v>
      </c>
      <c r="CI544" s="509" t="s">
        <v>2471</v>
      </c>
      <c r="CJ544" s="509"/>
      <c r="CK544" s="509" t="s">
        <v>3534</v>
      </c>
      <c r="CL544" s="509"/>
      <c r="CM544" s="515" t="s">
        <v>3547</v>
      </c>
      <c r="CN544" s="621" t="s">
        <v>24</v>
      </c>
      <c r="CO544" s="621">
        <v>62</v>
      </c>
      <c r="CP544" s="621">
        <v>2</v>
      </c>
      <c r="CQ544" s="621"/>
      <c r="CR544" s="621"/>
      <c r="CS544" s="621">
        <v>1</v>
      </c>
      <c r="CT544" s="621"/>
      <c r="CU544" s="621"/>
      <c r="CV544" s="621"/>
      <c r="CW544" s="621"/>
      <c r="CX544" s="510" t="s">
        <v>3535</v>
      </c>
      <c r="CY544" s="509">
        <v>31.807300000000001</v>
      </c>
      <c r="CZ544" s="509">
        <f>51.047-Table66[[#This Row],[Data_Outcome1_M]]</f>
        <v>19.239699999999996</v>
      </c>
      <c r="DA544" s="509" t="s">
        <v>24</v>
      </c>
      <c r="DB544" s="510" t="s">
        <v>3536</v>
      </c>
      <c r="DC544" s="509">
        <v>81.805800000000005</v>
      </c>
      <c r="DD544" s="509">
        <f>95.0859-Table66[[#This Row],[Data_Outcome2_M]]</f>
        <v>13.28009999999999</v>
      </c>
      <c r="DE544" s="509" t="s">
        <v>24</v>
      </c>
      <c r="DF544" s="515" t="s">
        <v>3545</v>
      </c>
      <c r="DG544" s="513" t="s">
        <v>3542</v>
      </c>
      <c r="DH544" s="509"/>
      <c r="DI544" s="509"/>
      <c r="DJ544" s="1194"/>
      <c r="DK544" s="509"/>
      <c r="DL544" s="1194"/>
      <c r="DM544" s="1194"/>
      <c r="DN544" s="1194"/>
      <c r="DO544" s="1194"/>
      <c r="DP544" s="515"/>
      <c r="DQ544" s="513"/>
      <c r="DR544" s="1182"/>
      <c r="DS544" s="956"/>
      <c r="DT544" s="956"/>
      <c r="DU544" s="1194"/>
      <c r="DV544" s="1194"/>
      <c r="DW544" s="1194"/>
      <c r="DX544" s="1194"/>
      <c r="DY544" s="1194"/>
      <c r="DZ544" s="1194"/>
      <c r="EA544" s="1194"/>
      <c r="EB544" s="1182"/>
      <c r="EC544" s="1194"/>
      <c r="ED544" s="1194"/>
      <c r="EE544" s="1194"/>
      <c r="EF544" s="1194"/>
      <c r="EG544" s="1194"/>
      <c r="EH544" s="1194"/>
      <c r="EI544" s="1194"/>
      <c r="EJ544" s="1194"/>
      <c r="EK544" s="1194"/>
      <c r="EL544" s="1182"/>
      <c r="EM544" s="1194"/>
      <c r="EN544" s="1182"/>
      <c r="EO544" s="1194"/>
      <c r="EP544" s="1194"/>
      <c r="EQ544" s="1194"/>
      <c r="ER544" s="1194"/>
      <c r="ES544" s="1194"/>
      <c r="ET544" s="956"/>
      <c r="EU544" s="1194"/>
      <c r="EV544" s="1194"/>
      <c r="EW544" s="1194"/>
      <c r="EX544" s="1194"/>
      <c r="EY544" s="1194"/>
      <c r="EZ544" s="956"/>
      <c r="FA544" s="1194"/>
      <c r="FB544" s="1194"/>
      <c r="FC544" s="1194"/>
      <c r="FD544" s="956"/>
      <c r="FE544" s="1194"/>
      <c r="FF544" s="1194"/>
      <c r="FG544" s="1194"/>
      <c r="FH544" s="1194"/>
      <c r="FI544" s="1194"/>
      <c r="FJ544" s="1194"/>
    </row>
    <row r="545" spans="1:166" s="1719" customFormat="1" ht="14" hidden="1" customHeight="1">
      <c r="A545" s="79" t="s">
        <v>1028</v>
      </c>
      <c r="B545" s="362">
        <v>152</v>
      </c>
      <c r="C545" s="362">
        <v>48</v>
      </c>
      <c r="D545" s="362"/>
      <c r="E545" s="604" t="s">
        <v>2086</v>
      </c>
      <c r="F545" s="124" t="s">
        <v>2341</v>
      </c>
      <c r="G545" s="125">
        <v>2015</v>
      </c>
      <c r="H545" s="79">
        <v>25976074</v>
      </c>
      <c r="I545" s="79">
        <v>1</v>
      </c>
      <c r="J545" s="126"/>
      <c r="K545" s="127"/>
      <c r="L545" s="79">
        <v>1</v>
      </c>
      <c r="M545" s="79"/>
      <c r="N545" s="79">
        <v>1</v>
      </c>
      <c r="O545" s="128">
        <v>2</v>
      </c>
      <c r="P545" s="79" t="s">
        <v>1399</v>
      </c>
      <c r="Q545" s="79" t="s">
        <v>1216</v>
      </c>
      <c r="R545" s="79" t="s">
        <v>1127</v>
      </c>
      <c r="S545" s="79"/>
      <c r="T545" s="79" t="s">
        <v>1487</v>
      </c>
      <c r="U545" s="79" t="s">
        <v>803</v>
      </c>
      <c r="V545" s="79" t="s">
        <v>23</v>
      </c>
      <c r="W545" s="79" t="s">
        <v>1677</v>
      </c>
      <c r="X545" s="79" t="s">
        <v>1400</v>
      </c>
      <c r="Y545" s="79"/>
      <c r="Z545" s="79"/>
      <c r="AA545" s="79"/>
      <c r="AB545" s="79"/>
      <c r="AC545" s="506"/>
      <c r="AD545" s="573">
        <v>1</v>
      </c>
      <c r="AE545" s="573">
        <v>2</v>
      </c>
      <c r="AF545" s="154">
        <v>1</v>
      </c>
      <c r="AG545" s="155"/>
      <c r="AH545" s="704"/>
      <c r="AI545" s="121">
        <v>4</v>
      </c>
      <c r="AJ545" s="484"/>
      <c r="AK545" s="202" t="s">
        <v>4922</v>
      </c>
      <c r="AL545" s="192">
        <v>1</v>
      </c>
      <c r="AM545" s="215">
        <v>0</v>
      </c>
      <c r="AN545" s="134" t="s">
        <v>4899</v>
      </c>
      <c r="AO545" s="134">
        <f>120/5</f>
        <v>24</v>
      </c>
      <c r="AP545" s="134">
        <f>120/5</f>
        <v>24</v>
      </c>
      <c r="AQ545" s="134" t="s">
        <v>803</v>
      </c>
      <c r="AR545" s="134" t="s">
        <v>803</v>
      </c>
      <c r="AS545" s="134" t="s">
        <v>3633</v>
      </c>
      <c r="AT545" s="134" t="s">
        <v>24</v>
      </c>
      <c r="AU545" s="134" t="s">
        <v>3633</v>
      </c>
      <c r="AV545" s="134" t="s">
        <v>24</v>
      </c>
      <c r="AW545" s="134" t="s">
        <v>4900</v>
      </c>
      <c r="AX545" s="134"/>
      <c r="AY545" s="134"/>
      <c r="AZ545" s="753" t="s">
        <v>1487</v>
      </c>
      <c r="BA545" s="134">
        <v>1</v>
      </c>
      <c r="BB545" s="134">
        <v>1</v>
      </c>
      <c r="BC545" s="134" t="s">
        <v>4901</v>
      </c>
      <c r="BD545" s="753" t="s">
        <v>7522</v>
      </c>
      <c r="BE545" s="753"/>
      <c r="BF545" s="134" t="s">
        <v>2912</v>
      </c>
      <c r="BG545" s="134" t="s">
        <v>4508</v>
      </c>
      <c r="BH545" s="594"/>
      <c r="BI545" s="594"/>
      <c r="BJ545" s="156"/>
      <c r="BK545" s="156"/>
      <c r="BL545" s="156"/>
      <c r="BM545" s="156"/>
      <c r="BN545" s="156"/>
      <c r="BO545" s="156"/>
      <c r="BP545" s="156">
        <v>1</v>
      </c>
      <c r="BQ545" s="156"/>
      <c r="BR545" s="156"/>
      <c r="BS545" s="156"/>
      <c r="BT545" s="156"/>
      <c r="BU545" s="156"/>
      <c r="BV545" s="156"/>
      <c r="BW545" s="595" t="s">
        <v>4906</v>
      </c>
      <c r="BX545" s="157" t="s">
        <v>6617</v>
      </c>
      <c r="BY545" s="797" t="s">
        <v>7614</v>
      </c>
      <c r="BZ545" s="789" t="s">
        <v>803</v>
      </c>
      <c r="CA545" s="765">
        <v>2</v>
      </c>
      <c r="CB545" s="765" t="s">
        <v>7556</v>
      </c>
      <c r="CC545" s="1735" t="s">
        <v>7384</v>
      </c>
      <c r="CD545" s="134" t="s">
        <v>1876</v>
      </c>
      <c r="CE545" s="134" t="s">
        <v>4904</v>
      </c>
      <c r="CF545" s="400" t="s">
        <v>7595</v>
      </c>
      <c r="CG545" s="134" t="s">
        <v>4902</v>
      </c>
      <c r="CH545" s="753" t="s">
        <v>1512</v>
      </c>
      <c r="CI545" s="134" t="s">
        <v>4905</v>
      </c>
      <c r="CJ545" s="134"/>
      <c r="CK545" s="134" t="s">
        <v>4903</v>
      </c>
      <c r="CL545" s="134" t="s">
        <v>8216</v>
      </c>
      <c r="CM545" s="259" t="s">
        <v>4921</v>
      </c>
      <c r="CN545" s="454" t="s">
        <v>24</v>
      </c>
      <c r="CO545" s="828">
        <v>40</v>
      </c>
      <c r="CP545" s="828">
        <v>1</v>
      </c>
      <c r="CQ545" s="828">
        <v>6</v>
      </c>
      <c r="CR545" s="828">
        <v>1</v>
      </c>
      <c r="CS545" s="828">
        <v>1</v>
      </c>
      <c r="CT545" s="967"/>
      <c r="CU545" s="1289" t="s">
        <v>8104</v>
      </c>
      <c r="CV545" s="1295">
        <v>93</v>
      </c>
      <c r="CW545" s="1295">
        <v>85</v>
      </c>
      <c r="CX545" s="138" t="s">
        <v>4917</v>
      </c>
      <c r="CY545" s="134">
        <v>12.8094</v>
      </c>
      <c r="CZ545" s="134">
        <f>13.8614-Table66[[#This Row],[Data_Outcome1_M]]</f>
        <v>1.0519999999999996</v>
      </c>
      <c r="DA545" s="134" t="s">
        <v>24</v>
      </c>
      <c r="DB545" s="138" t="s">
        <v>4918</v>
      </c>
      <c r="DC545" s="134">
        <v>19.616299999999999</v>
      </c>
      <c r="DD545" s="134">
        <f>21.7822-Table66[[#This Row],[Data_Outcome2_M]]</f>
        <v>2.1659000000000006</v>
      </c>
      <c r="DE545" s="134" t="s">
        <v>24</v>
      </c>
      <c r="DF545" s="436" t="s">
        <v>4920</v>
      </c>
      <c r="DG545" s="436" t="s">
        <v>2588</v>
      </c>
      <c r="DH545" s="1175"/>
      <c r="DI545" s="417"/>
      <c r="DJ545" s="1169"/>
      <c r="DK545" s="417"/>
      <c r="DL545" s="1171"/>
      <c r="DM545" s="417"/>
      <c r="DN545" s="1169"/>
      <c r="DO545" s="1151"/>
      <c r="DP545" s="544"/>
      <c r="DQ545" s="1142"/>
      <c r="DR545" s="1168"/>
      <c r="DS545" s="865"/>
      <c r="DT545" s="1171"/>
      <c r="DU545" s="1169"/>
      <c r="DV545" s="1169"/>
      <c r="DW545" s="1169"/>
      <c r="DX545" s="1171"/>
      <c r="DY545" s="1169"/>
      <c r="DZ545" s="1169"/>
      <c r="EA545" s="1169"/>
      <c r="EB545" s="1227"/>
      <c r="EC545" s="1227"/>
      <c r="ED545" s="1171"/>
      <c r="EE545" s="1169"/>
      <c r="EF545" s="1169"/>
      <c r="EG545" s="1169"/>
      <c r="EH545" s="1171"/>
      <c r="EI545" s="1169"/>
      <c r="EJ545" s="1169"/>
      <c r="EK545" s="1169"/>
      <c r="EL545" s="312"/>
      <c r="EM545" s="312"/>
      <c r="EN545" s="309"/>
      <c r="EO545" s="1170"/>
      <c r="EP545" s="1171"/>
      <c r="EQ545" s="1169"/>
      <c r="ER545" s="1169"/>
      <c r="ES545" s="1169"/>
      <c r="ET545" s="1171"/>
      <c r="EU545" s="1169"/>
      <c r="EV545" s="1169"/>
      <c r="EW545" s="1169"/>
      <c r="EX545" s="312"/>
      <c r="EY545" s="312"/>
      <c r="EZ545" s="1171"/>
      <c r="FA545" s="1169"/>
      <c r="FB545" s="1169"/>
      <c r="FC545" s="1169"/>
      <c r="FD545" s="1171"/>
      <c r="FE545" s="1169"/>
      <c r="FF545" s="1169"/>
      <c r="FG545" s="1169"/>
      <c r="FH545" s="312"/>
      <c r="FI545" s="312"/>
      <c r="FJ545" s="1170"/>
    </row>
    <row r="546" spans="1:166" ht="15" hidden="1" customHeight="1">
      <c r="A546" s="153" t="s">
        <v>271</v>
      </c>
      <c r="B546" s="618">
        <v>194</v>
      </c>
      <c r="C546" s="618"/>
      <c r="D546" s="618">
        <v>74</v>
      </c>
      <c r="E546" s="610" t="s">
        <v>2004</v>
      </c>
      <c r="F546" s="368" t="s">
        <v>2235</v>
      </c>
      <c r="G546" s="369">
        <v>2014</v>
      </c>
      <c r="H546" s="153">
        <v>24786361</v>
      </c>
      <c r="I546" s="153">
        <v>1</v>
      </c>
      <c r="J546" s="370" t="s">
        <v>1781</v>
      </c>
      <c r="K546" s="371" t="s">
        <v>1763</v>
      </c>
      <c r="L546" s="153">
        <v>1</v>
      </c>
      <c r="M546" s="153" t="s">
        <v>1750</v>
      </c>
      <c r="N546" s="153">
        <v>0</v>
      </c>
      <c r="O546" s="153">
        <v>1</v>
      </c>
      <c r="P546" s="153" t="s">
        <v>719</v>
      </c>
      <c r="Q546" s="153"/>
      <c r="R546" s="153" t="s">
        <v>25</v>
      </c>
      <c r="S546" s="153">
        <v>1</v>
      </c>
      <c r="T546" s="153"/>
      <c r="U546" s="153"/>
      <c r="V546" s="153"/>
      <c r="W546" s="153"/>
      <c r="X546" s="153"/>
      <c r="Y546" s="153" t="s">
        <v>717</v>
      </c>
      <c r="Z546" s="153"/>
      <c r="AA546" s="153"/>
      <c r="AB546" s="153" t="s">
        <v>718</v>
      </c>
      <c r="AC546" s="536" t="s">
        <v>6269</v>
      </c>
      <c r="AD546" s="536">
        <v>1</v>
      </c>
      <c r="AE546" s="536">
        <v>0</v>
      </c>
      <c r="AF546" s="165">
        <v>0</v>
      </c>
      <c r="AG546" s="166" t="s">
        <v>6271</v>
      </c>
      <c r="AH546" s="509" t="s">
        <v>7280</v>
      </c>
      <c r="AI546" s="120">
        <v>2</v>
      </c>
      <c r="AJ546" s="120"/>
      <c r="AK546" s="206"/>
      <c r="AL546" s="372"/>
      <c r="AM546" s="207">
        <v>0</v>
      </c>
      <c r="AN546" s="120"/>
      <c r="AO546" s="120"/>
      <c r="AP546" s="120"/>
      <c r="AQ546" s="120"/>
      <c r="AR546" s="120"/>
      <c r="AS546" s="120"/>
      <c r="AT546" s="120"/>
      <c r="AU546" s="120"/>
      <c r="AV546" s="120"/>
      <c r="AW546" s="120"/>
      <c r="AX546" s="120"/>
      <c r="AY546" s="120"/>
      <c r="AZ546" s="755"/>
      <c r="BA546" s="120"/>
      <c r="BB546" s="120"/>
      <c r="BC546" s="120"/>
      <c r="BD546" s="755"/>
      <c r="BE546" s="755"/>
      <c r="BF546" s="120"/>
      <c r="BG546" s="120"/>
      <c r="BH546" s="377" t="s">
        <v>1917</v>
      </c>
      <c r="BI546" s="377"/>
      <c r="BJ546" s="373"/>
      <c r="BK546" s="373"/>
      <c r="BL546" s="373"/>
      <c r="BM546" s="373"/>
      <c r="BN546" s="373"/>
      <c r="BO546" s="373"/>
      <c r="BP546" s="373"/>
      <c r="BQ546" s="373"/>
      <c r="BR546" s="373"/>
      <c r="BS546" s="373"/>
      <c r="BT546" s="373"/>
      <c r="BU546" s="373"/>
      <c r="BV546" s="373" t="s">
        <v>6270</v>
      </c>
      <c r="BW546" s="599"/>
      <c r="BX546" s="374"/>
      <c r="BY546" s="799"/>
      <c r="BZ546" s="374"/>
      <c r="CA546" s="511"/>
      <c r="CB546" s="511"/>
      <c r="CC546" s="511"/>
      <c r="CD546" s="120"/>
      <c r="CE546" s="120"/>
      <c r="CF546" s="786"/>
      <c r="CG546" s="120"/>
      <c r="CH546" s="755"/>
      <c r="CI546" s="120"/>
      <c r="CJ546" s="120"/>
      <c r="CK546" s="120"/>
      <c r="CL546" s="120"/>
      <c r="CM546" s="375"/>
      <c r="CN546" s="380"/>
      <c r="CO546" s="380"/>
      <c r="CP546" s="380"/>
      <c r="CQ546" s="380"/>
      <c r="CR546" s="380"/>
      <c r="CS546" s="380"/>
      <c r="CT546" s="380"/>
      <c r="CU546" s="380"/>
      <c r="CV546" s="515"/>
      <c r="CW546" s="515"/>
      <c r="CX546" s="376"/>
      <c r="CY546" s="120"/>
      <c r="CZ546" s="120"/>
      <c r="DA546" s="120"/>
      <c r="DB546" s="376"/>
      <c r="DC546" s="120"/>
      <c r="DD546" s="120"/>
      <c r="DE546" s="120"/>
      <c r="DF546" s="515"/>
      <c r="DG546" s="513"/>
      <c r="DH546" s="376"/>
      <c r="DI546" s="120"/>
      <c r="DJ546" s="384"/>
      <c r="DK546" s="120"/>
      <c r="DL546" s="727"/>
      <c r="DM546" s="120"/>
      <c r="DN546" s="384"/>
      <c r="DO546" s="120"/>
      <c r="DP546" s="375"/>
      <c r="DQ546" s="377"/>
      <c r="DR546" s="1182"/>
      <c r="DS546" s="956"/>
      <c r="DT546" s="727"/>
      <c r="DU546" s="120"/>
      <c r="DV546" s="384"/>
      <c r="DW546" s="120"/>
      <c r="DX546" s="384"/>
      <c r="DY546" s="120"/>
      <c r="DZ546" s="384"/>
      <c r="EA546" s="120"/>
      <c r="EB546" s="1012"/>
      <c r="EC546" s="384"/>
      <c r="ED546" s="384"/>
      <c r="EE546" s="120"/>
      <c r="EF546" s="384"/>
      <c r="EG546" s="120"/>
      <c r="EH546" s="384"/>
      <c r="EI546" s="120"/>
      <c r="EJ546" s="384"/>
      <c r="EK546" s="120"/>
      <c r="EL546" s="1012"/>
      <c r="EM546" s="384"/>
      <c r="EN546" s="1012"/>
      <c r="EO546" s="384"/>
      <c r="EP546" s="120"/>
      <c r="EQ546" s="120"/>
      <c r="ER546" s="120"/>
      <c r="ES546" s="120"/>
      <c r="ET546" s="376"/>
      <c r="EU546" s="120"/>
      <c r="EV546" s="120"/>
      <c r="EW546" s="120"/>
      <c r="EX546" s="120"/>
      <c r="EY546" s="120"/>
      <c r="EZ546" s="727"/>
      <c r="FA546" s="384"/>
      <c r="FB546" s="384"/>
      <c r="FC546" s="384"/>
      <c r="FD546" s="727"/>
      <c r="FE546" s="384"/>
      <c r="FF546" s="384"/>
      <c r="FG546" s="384"/>
      <c r="FH546" s="384"/>
      <c r="FI546" s="384"/>
      <c r="FJ546" s="384"/>
    </row>
    <row r="547" spans="1:166" ht="14" hidden="1" customHeight="1">
      <c r="A547" s="153" t="s">
        <v>272</v>
      </c>
      <c r="B547" s="618">
        <v>195</v>
      </c>
      <c r="C547" s="618">
        <v>68</v>
      </c>
      <c r="D547" s="618"/>
      <c r="E547" s="610" t="s">
        <v>2005</v>
      </c>
      <c r="F547" s="368" t="s">
        <v>2236</v>
      </c>
      <c r="G547" s="369">
        <v>2006</v>
      </c>
      <c r="H547" s="153">
        <v>16720800</v>
      </c>
      <c r="I547" s="153">
        <v>1</v>
      </c>
      <c r="J547" s="370"/>
      <c r="K547" s="371"/>
      <c r="L547" s="153">
        <v>1</v>
      </c>
      <c r="M547" s="153"/>
      <c r="N547" s="153">
        <v>1</v>
      </c>
      <c r="O547" s="153">
        <v>1</v>
      </c>
      <c r="P547" s="153" t="s">
        <v>720</v>
      </c>
      <c r="Q547" s="153" t="s">
        <v>1172</v>
      </c>
      <c r="R547" s="153" t="s">
        <v>721</v>
      </c>
      <c r="S547" s="153">
        <v>1</v>
      </c>
      <c r="T547" s="153"/>
      <c r="U547" s="153"/>
      <c r="V547" s="153"/>
      <c r="W547" s="153"/>
      <c r="X547" s="153"/>
      <c r="Y547" s="153"/>
      <c r="Z547" s="153"/>
      <c r="AA547" s="153"/>
      <c r="AB547" s="153"/>
      <c r="AC547" s="536"/>
      <c r="AD547" s="536">
        <v>1</v>
      </c>
      <c r="AE547" s="536">
        <v>2</v>
      </c>
      <c r="AF547" s="165">
        <v>0</v>
      </c>
      <c r="AG547" s="166" t="s">
        <v>7287</v>
      </c>
      <c r="AH547" s="509" t="s">
        <v>7264</v>
      </c>
      <c r="AI547" s="120"/>
      <c r="AJ547" s="120"/>
      <c r="AK547" s="206" t="s">
        <v>5330</v>
      </c>
      <c r="AL547" s="372"/>
      <c r="AM547" s="207"/>
      <c r="AN547" s="120"/>
      <c r="AO547" s="120"/>
      <c r="AP547" s="120"/>
      <c r="AQ547" s="120"/>
      <c r="AR547" s="120"/>
      <c r="AS547" s="120"/>
      <c r="AT547" s="120"/>
      <c r="AU547" s="120"/>
      <c r="AV547" s="120"/>
      <c r="AW547" s="120"/>
      <c r="AX547" s="120"/>
      <c r="AY547" s="120"/>
      <c r="AZ547" s="755"/>
      <c r="BA547" s="120"/>
      <c r="BB547" s="120"/>
      <c r="BC547" s="120"/>
      <c r="BD547" s="755"/>
      <c r="BE547" s="755"/>
      <c r="BF547" s="120"/>
      <c r="BG547" s="509"/>
      <c r="BH547" s="513"/>
      <c r="BI547" s="513"/>
      <c r="BJ547" s="511"/>
      <c r="BK547" s="511"/>
      <c r="BL547" s="511">
        <v>1</v>
      </c>
      <c r="BM547" s="511"/>
      <c r="BN547" s="511"/>
      <c r="BO547" s="511"/>
      <c r="BP547" s="511">
        <v>1</v>
      </c>
      <c r="BQ547" s="511"/>
      <c r="BR547" s="511"/>
      <c r="BS547" s="511"/>
      <c r="BT547" s="511"/>
      <c r="BU547" s="511"/>
      <c r="BV547" s="511"/>
      <c r="BW547" s="511"/>
      <c r="BX547" s="510"/>
      <c r="BY547" s="510"/>
      <c r="BZ547" s="510"/>
      <c r="CA547" s="511"/>
      <c r="CB547" s="511"/>
      <c r="CC547" s="511"/>
      <c r="CD547" s="120"/>
      <c r="CE547" s="120"/>
      <c r="CF547" s="120"/>
      <c r="CG547" s="120"/>
      <c r="CH547" s="755"/>
      <c r="CI547" s="384"/>
      <c r="CJ547" s="384"/>
      <c r="CK547" s="120"/>
      <c r="CL547" s="120"/>
      <c r="CM547" s="375"/>
      <c r="CN547" s="380"/>
      <c r="CO547" s="380"/>
      <c r="CP547" s="380"/>
      <c r="CQ547" s="380"/>
      <c r="CR547" s="380"/>
      <c r="CS547" s="380"/>
      <c r="CT547" s="380"/>
      <c r="CU547" s="380"/>
      <c r="CV547" s="380"/>
      <c r="CW547" s="380"/>
      <c r="CX547" s="376"/>
      <c r="CY547" s="120"/>
      <c r="CZ547" s="120"/>
      <c r="DA547" s="120"/>
      <c r="DB547" s="376"/>
      <c r="DC547" s="120"/>
      <c r="DD547" s="120"/>
      <c r="DE547" s="120"/>
      <c r="DF547" s="515"/>
      <c r="DG547" s="513"/>
      <c r="DH547" s="1270" t="s">
        <v>24</v>
      </c>
      <c r="DI547" s="1269" t="s">
        <v>24</v>
      </c>
      <c r="DJ547" s="1269" t="s">
        <v>24</v>
      </c>
      <c r="DK547" s="1269" t="s">
        <v>24</v>
      </c>
      <c r="DL547" s="1269" t="s">
        <v>24</v>
      </c>
      <c r="DM547" s="1269" t="s">
        <v>24</v>
      </c>
      <c r="DN547" s="1269" t="s">
        <v>24</v>
      </c>
      <c r="DO547" s="1269" t="s">
        <v>24</v>
      </c>
      <c r="DP547" s="375"/>
      <c r="DQ547" s="377"/>
      <c r="DR547" s="1182"/>
      <c r="DS547" s="956"/>
      <c r="DT547" s="727"/>
      <c r="DU547" s="384"/>
      <c r="DV547" s="384"/>
      <c r="DW547" s="384"/>
      <c r="DX547" s="384"/>
      <c r="DY547" s="384"/>
      <c r="DZ547" s="384"/>
      <c r="EA547" s="384"/>
      <c r="EB547" s="1012"/>
      <c r="EC547" s="384"/>
      <c r="ED547" s="384"/>
      <c r="EE547" s="384"/>
      <c r="EF547" s="384"/>
      <c r="EG547" s="384"/>
      <c r="EH547" s="384"/>
      <c r="EI547" s="384"/>
      <c r="EJ547" s="384"/>
      <c r="EK547" s="384"/>
      <c r="EL547" s="1012"/>
      <c r="EM547" s="384"/>
      <c r="EN547" s="1012"/>
      <c r="EO547" s="384"/>
      <c r="EP547" s="384"/>
      <c r="EQ547" s="384"/>
      <c r="ER547" s="384"/>
      <c r="ES547" s="384"/>
      <c r="ET547" s="727"/>
      <c r="EU547" s="384"/>
      <c r="EV547" s="384"/>
      <c r="EW547" s="384"/>
      <c r="EX547" s="384"/>
      <c r="EY547" s="384"/>
      <c r="EZ547" s="727"/>
      <c r="FA547" s="384"/>
      <c r="FB547" s="384"/>
      <c r="FC547" s="384"/>
      <c r="FD547" s="727"/>
      <c r="FE547" s="384"/>
      <c r="FF547" s="384"/>
      <c r="FG547" s="384"/>
      <c r="FH547" s="384"/>
      <c r="FI547" s="384"/>
      <c r="FJ547" s="384"/>
    </row>
    <row r="548" spans="1:166" ht="14" hidden="1" customHeight="1">
      <c r="A548" s="153" t="s">
        <v>986</v>
      </c>
      <c r="B548" s="618">
        <v>196</v>
      </c>
      <c r="C548" s="618"/>
      <c r="D548" s="618">
        <v>75</v>
      </c>
      <c r="E548" s="610" t="s">
        <v>2112</v>
      </c>
      <c r="F548" s="368" t="s">
        <v>2371</v>
      </c>
      <c r="G548" s="369">
        <v>2012</v>
      </c>
      <c r="H548" s="153">
        <v>22842072</v>
      </c>
      <c r="I548" s="153">
        <v>1</v>
      </c>
      <c r="J548" s="370">
        <v>1</v>
      </c>
      <c r="K548" s="371"/>
      <c r="L548" s="153">
        <v>1</v>
      </c>
      <c r="M548" s="153"/>
      <c r="N548" s="153">
        <v>1</v>
      </c>
      <c r="O548" s="153">
        <v>2</v>
      </c>
      <c r="P548" s="153" t="s">
        <v>1529</v>
      </c>
      <c r="Q548" s="153" t="s">
        <v>1417</v>
      </c>
      <c r="R548" s="153" t="s">
        <v>1130</v>
      </c>
      <c r="S548" s="153"/>
      <c r="T548" s="153" t="s">
        <v>1530</v>
      </c>
      <c r="U548" s="153" t="s">
        <v>803</v>
      </c>
      <c r="V548" s="153"/>
      <c r="W548" s="153" t="s">
        <v>1531</v>
      </c>
      <c r="X548" s="153"/>
      <c r="Y548" s="153" t="s">
        <v>1532</v>
      </c>
      <c r="Z548" s="153"/>
      <c r="AA548" s="153"/>
      <c r="AB548" s="153"/>
      <c r="AC548" s="536" t="s">
        <v>6272</v>
      </c>
      <c r="AD548" s="536">
        <v>1</v>
      </c>
      <c r="AE548" s="536">
        <v>0</v>
      </c>
      <c r="AF548" s="165">
        <v>0</v>
      </c>
      <c r="AG548" s="166" t="s">
        <v>7222</v>
      </c>
      <c r="AH548" s="509">
        <v>0</v>
      </c>
      <c r="AI548" s="120">
        <v>4</v>
      </c>
      <c r="AJ548" s="120"/>
      <c r="AK548" s="206"/>
      <c r="AL548" s="372"/>
      <c r="AM548" s="207"/>
      <c r="AN548" s="120"/>
      <c r="AO548" s="120"/>
      <c r="AP548" s="120"/>
      <c r="AQ548" s="120"/>
      <c r="AR548" s="120"/>
      <c r="AS548" s="120"/>
      <c r="AT548" s="120"/>
      <c r="AU548" s="120"/>
      <c r="AV548" s="120"/>
      <c r="AW548" s="120"/>
      <c r="AX548" s="120"/>
      <c r="AY548" s="120"/>
      <c r="AZ548" s="755"/>
      <c r="BA548" s="120"/>
      <c r="BB548" s="120"/>
      <c r="BC548" s="120"/>
      <c r="BD548" s="755"/>
      <c r="BE548" s="755"/>
      <c r="BF548" s="120"/>
      <c r="BG548" s="120"/>
      <c r="BH548" s="377" t="s">
        <v>5207</v>
      </c>
      <c r="BI548" s="377"/>
      <c r="BJ548" s="373"/>
      <c r="BK548" s="373"/>
      <c r="BL548" s="373"/>
      <c r="BM548" s="373"/>
      <c r="BN548" s="373"/>
      <c r="BO548" s="373"/>
      <c r="BP548" s="373"/>
      <c r="BQ548" s="373"/>
      <c r="BR548" s="373"/>
      <c r="BS548" s="373"/>
      <c r="BT548" s="373"/>
      <c r="BU548" s="373"/>
      <c r="BV548" s="373"/>
      <c r="BW548" s="599"/>
      <c r="BX548" s="374"/>
      <c r="BY548" s="374"/>
      <c r="BZ548" s="374"/>
      <c r="CA548" s="511"/>
      <c r="CB548" s="511"/>
      <c r="CC548" s="511"/>
      <c r="CD548" s="120"/>
      <c r="CE548" s="120"/>
      <c r="CF548" s="120"/>
      <c r="CG548" s="120"/>
      <c r="CH548" s="755"/>
      <c r="CI548" s="120"/>
      <c r="CJ548" s="120"/>
      <c r="CK548" s="120"/>
      <c r="CL548" s="120"/>
      <c r="CM548" s="375"/>
      <c r="CN548" s="380"/>
      <c r="CO548" s="380"/>
      <c r="CP548" s="380"/>
      <c r="CQ548" s="380"/>
      <c r="CR548" s="380"/>
      <c r="CS548" s="380"/>
      <c r="CT548" s="380"/>
      <c r="CU548" s="380"/>
      <c r="CV548" s="380"/>
      <c r="CW548" s="380"/>
      <c r="CX548" s="376"/>
      <c r="CY548" s="120"/>
      <c r="CZ548" s="120"/>
      <c r="DA548" s="120"/>
      <c r="DB548" s="376"/>
      <c r="DC548" s="120"/>
      <c r="DD548" s="120"/>
      <c r="DE548" s="120"/>
      <c r="DF548" s="515"/>
      <c r="DG548" s="513"/>
      <c r="DH548" s="727"/>
      <c r="DI548" s="384"/>
      <c r="DJ548" s="384"/>
      <c r="DK548" s="384"/>
      <c r="DL548" s="727"/>
      <c r="DM548" s="384"/>
      <c r="DN548" s="384"/>
      <c r="DO548" s="384"/>
      <c r="DP548" s="375"/>
      <c r="DQ548" s="377"/>
      <c r="DR548" s="1182"/>
      <c r="DS548" s="956"/>
      <c r="DT548" s="727"/>
      <c r="DU548" s="384"/>
      <c r="DV548" s="384"/>
      <c r="DW548" s="384"/>
      <c r="DX548" s="384"/>
      <c r="DY548" s="384"/>
      <c r="DZ548" s="384"/>
      <c r="EA548" s="384"/>
      <c r="EB548" s="1012"/>
      <c r="EC548" s="384"/>
      <c r="ED548" s="384"/>
      <c r="EE548" s="384"/>
      <c r="EF548" s="384"/>
      <c r="EG548" s="384"/>
      <c r="EH548" s="384"/>
      <c r="EI548" s="384"/>
      <c r="EJ548" s="384"/>
      <c r="EK548" s="384"/>
      <c r="EL548" s="1012"/>
      <c r="EM548" s="384"/>
      <c r="EN548" s="1012"/>
      <c r="EO548" s="384"/>
      <c r="EP548" s="384"/>
      <c r="EQ548" s="384"/>
      <c r="ER548" s="384"/>
      <c r="ES548" s="384"/>
      <c r="ET548" s="727"/>
      <c r="EU548" s="384"/>
      <c r="EV548" s="384"/>
      <c r="EW548" s="384"/>
      <c r="EX548" s="384"/>
      <c r="EY548" s="384"/>
      <c r="EZ548" s="727"/>
      <c r="FA548" s="384"/>
      <c r="FB548" s="384"/>
      <c r="FC548" s="384"/>
      <c r="FD548" s="727"/>
      <c r="FE548" s="384"/>
      <c r="FF548" s="384"/>
      <c r="FG548" s="384"/>
      <c r="FH548" s="384"/>
      <c r="FI548" s="384"/>
      <c r="FJ548" s="384"/>
    </row>
    <row r="549" spans="1:166" ht="14" hidden="1" customHeight="1">
      <c r="A549" s="153" t="s">
        <v>274</v>
      </c>
      <c r="B549" s="618">
        <v>44</v>
      </c>
      <c r="C549" s="618"/>
      <c r="D549" s="618"/>
      <c r="E549" s="610" t="s">
        <v>2006</v>
      </c>
      <c r="F549" s="368" t="s">
        <v>2237</v>
      </c>
      <c r="G549" s="369">
        <v>2013</v>
      </c>
      <c r="H549" s="153">
        <v>23792855</v>
      </c>
      <c r="I549" s="153">
        <v>1</v>
      </c>
      <c r="J549" s="370"/>
      <c r="K549" s="371"/>
      <c r="L549" s="153">
        <v>1</v>
      </c>
      <c r="M549" s="153"/>
      <c r="N549" s="153">
        <v>1</v>
      </c>
      <c r="O549" s="153">
        <v>1</v>
      </c>
      <c r="P549" s="153" t="s">
        <v>11</v>
      </c>
      <c r="Q549" s="153" t="s">
        <v>1142</v>
      </c>
      <c r="R549" s="153" t="s">
        <v>25</v>
      </c>
      <c r="S549" s="153">
        <v>1</v>
      </c>
      <c r="T549" s="153"/>
      <c r="U549" s="153"/>
      <c r="V549" s="153"/>
      <c r="W549" s="153" t="s">
        <v>723</v>
      </c>
      <c r="X549" s="153" t="s">
        <v>24</v>
      </c>
      <c r="Y549" s="153" t="s">
        <v>724</v>
      </c>
      <c r="Z549" s="153"/>
      <c r="AA549" s="153"/>
      <c r="AB549" s="153"/>
      <c r="AC549" s="536"/>
      <c r="AD549" s="536">
        <v>1</v>
      </c>
      <c r="AE549" s="536">
        <v>2</v>
      </c>
      <c r="AF549" s="165">
        <v>0</v>
      </c>
      <c r="AG549" s="166" t="s">
        <v>7995</v>
      </c>
      <c r="AH549" s="509"/>
      <c r="AI549" s="120">
        <v>2</v>
      </c>
      <c r="AJ549" s="120"/>
      <c r="AK549" s="206" t="s">
        <v>3570</v>
      </c>
      <c r="AL549" s="372">
        <v>0</v>
      </c>
      <c r="AM549" s="207">
        <v>0</v>
      </c>
      <c r="AN549" s="120" t="s">
        <v>3564</v>
      </c>
      <c r="AO549" s="1583" t="s">
        <v>3571</v>
      </c>
      <c r="AP549" s="1583" t="s">
        <v>3571</v>
      </c>
      <c r="AQ549" s="120" t="s">
        <v>3572</v>
      </c>
      <c r="AR549" s="120" t="s">
        <v>3572</v>
      </c>
      <c r="AS549" s="120" t="s">
        <v>3573</v>
      </c>
      <c r="AT549" s="120">
        <v>7.91</v>
      </c>
      <c r="AU549" s="120" t="s">
        <v>3573</v>
      </c>
      <c r="AV549" s="120">
        <v>7.91</v>
      </c>
      <c r="AW549" s="120" t="s">
        <v>3568</v>
      </c>
      <c r="AX549" s="120"/>
      <c r="AY549" s="120"/>
      <c r="AZ549" s="755" t="s">
        <v>1874</v>
      </c>
      <c r="BA549" s="120" t="s">
        <v>24</v>
      </c>
      <c r="BB549" s="120" t="s">
        <v>24</v>
      </c>
      <c r="BC549" s="120" t="s">
        <v>3566</v>
      </c>
      <c r="BD549" s="755" t="s">
        <v>7521</v>
      </c>
      <c r="BE549" s="755"/>
      <c r="BF549" s="120" t="s">
        <v>2605</v>
      </c>
      <c r="BG549" s="120" t="s">
        <v>3567</v>
      </c>
      <c r="BH549" s="377"/>
      <c r="BI549" s="377"/>
      <c r="BJ549" s="373">
        <v>1</v>
      </c>
      <c r="BK549" s="373"/>
      <c r="BL549" s="373"/>
      <c r="BM549" s="373"/>
      <c r="BN549" s="373"/>
      <c r="BO549" s="373"/>
      <c r="BP549" s="373"/>
      <c r="BQ549" s="373"/>
      <c r="BR549" s="373"/>
      <c r="BS549" s="373"/>
      <c r="BT549" s="373"/>
      <c r="BU549" s="373"/>
      <c r="BV549" s="373"/>
      <c r="BW549" s="599" t="s">
        <v>1891</v>
      </c>
      <c r="BX549" s="374" t="s">
        <v>6596</v>
      </c>
      <c r="BY549" s="799" t="s">
        <v>7615</v>
      </c>
      <c r="BZ549" s="374" t="s">
        <v>7610</v>
      </c>
      <c r="CA549" s="511">
        <v>4</v>
      </c>
      <c r="CB549" s="511" t="s">
        <v>7556</v>
      </c>
      <c r="CC549" s="511" t="s">
        <v>7807</v>
      </c>
      <c r="CD549" s="120" t="s">
        <v>1876</v>
      </c>
      <c r="CE549" s="120" t="s">
        <v>3569</v>
      </c>
      <c r="CF549" s="786"/>
      <c r="CG549" s="120" t="s">
        <v>3580</v>
      </c>
      <c r="CH549" s="755" t="s">
        <v>1488</v>
      </c>
      <c r="CI549" s="120" t="s">
        <v>24</v>
      </c>
      <c r="CJ549" s="120"/>
      <c r="CK549" s="120" t="s">
        <v>3582</v>
      </c>
      <c r="CL549" s="120" t="s">
        <v>6642</v>
      </c>
      <c r="CM549" s="375" t="s">
        <v>3592</v>
      </c>
      <c r="CN549" s="380" t="s">
        <v>6627</v>
      </c>
      <c r="CO549" s="380"/>
      <c r="CP549" s="380">
        <v>1</v>
      </c>
      <c r="CQ549" s="380">
        <v>1</v>
      </c>
      <c r="CR549" s="380">
        <v>1</v>
      </c>
      <c r="CS549" s="380">
        <v>1</v>
      </c>
      <c r="CT549" s="380" t="s">
        <v>7836</v>
      </c>
      <c r="CU549" s="380"/>
      <c r="CV549" s="380"/>
      <c r="CW549" s="380"/>
      <c r="CX549" s="376" t="s">
        <v>3577</v>
      </c>
      <c r="CY549" s="120">
        <v>4.625</v>
      </c>
      <c r="CZ549" s="120" t="s">
        <v>24</v>
      </c>
      <c r="DA549" s="120">
        <f>5.1-Table66[[#This Row],[Data_Outcome1_M]]</f>
        <v>0.47499999999999964</v>
      </c>
      <c r="DB549" s="376" t="s">
        <v>3576</v>
      </c>
      <c r="DC549" s="120">
        <v>3.30375</v>
      </c>
      <c r="DD549" s="120" t="s">
        <v>24</v>
      </c>
      <c r="DE549" s="120">
        <f>3.3125-Table66[[#This Row],[Data_Outcome2_M]]</f>
        <v>8.7500000000000355E-3</v>
      </c>
      <c r="DF549" s="515" t="s">
        <v>24</v>
      </c>
      <c r="DG549" s="513" t="s">
        <v>24</v>
      </c>
      <c r="DH549" s="384"/>
      <c r="DI549" s="384"/>
      <c r="DJ549" s="384"/>
      <c r="DK549" s="384"/>
      <c r="DL549" s="384"/>
      <c r="DM549" s="384"/>
      <c r="DN549" s="384"/>
      <c r="DO549" s="384"/>
      <c r="DP549" s="375"/>
      <c r="DQ549" s="377"/>
      <c r="DR549" s="1182"/>
      <c r="DS549" s="956"/>
      <c r="DT549" s="727"/>
      <c r="DU549" s="384"/>
      <c r="DV549" s="384"/>
      <c r="DW549" s="384"/>
      <c r="DX549" s="384"/>
      <c r="DY549" s="384"/>
      <c r="DZ549" s="384"/>
      <c r="EA549" s="384"/>
      <c r="EB549" s="1012"/>
      <c r="EC549" s="384"/>
      <c r="ED549" s="384"/>
      <c r="EE549" s="384"/>
      <c r="EF549" s="384"/>
      <c r="EG549" s="384"/>
      <c r="EH549" s="384"/>
      <c r="EI549" s="384"/>
      <c r="EJ549" s="384"/>
      <c r="EK549" s="384"/>
      <c r="EL549" s="1012"/>
      <c r="EM549" s="384"/>
      <c r="EN549" s="1012"/>
      <c r="EO549" s="384"/>
      <c r="EP549" s="384"/>
      <c r="EQ549" s="384"/>
      <c r="ER549" s="384"/>
      <c r="ES549" s="384"/>
      <c r="ET549" s="384"/>
      <c r="EU549" s="384"/>
      <c r="EV549" s="384"/>
      <c r="EW549" s="384"/>
      <c r="EX549" s="384"/>
      <c r="EY549" s="384"/>
      <c r="EZ549" s="384"/>
      <c r="FA549" s="384"/>
      <c r="FB549" s="384"/>
      <c r="FC549" s="384"/>
      <c r="FD549" s="384"/>
      <c r="FE549" s="384"/>
      <c r="FF549" s="384"/>
      <c r="FG549" s="384"/>
      <c r="FH549" s="384"/>
      <c r="FI549" s="384"/>
      <c r="FJ549" s="384"/>
    </row>
    <row r="550" spans="1:166" ht="14" hidden="1" customHeight="1">
      <c r="A550" s="153" t="s">
        <v>274</v>
      </c>
      <c r="B550" s="618">
        <v>44</v>
      </c>
      <c r="C550" s="618"/>
      <c r="D550" s="618"/>
      <c r="E550" s="610" t="s">
        <v>2006</v>
      </c>
      <c r="F550" s="368" t="s">
        <v>2237</v>
      </c>
      <c r="G550" s="369">
        <v>2013</v>
      </c>
      <c r="H550" s="153">
        <v>23792855</v>
      </c>
      <c r="I550" s="153">
        <v>1</v>
      </c>
      <c r="J550" s="370"/>
      <c r="K550" s="371"/>
      <c r="L550" s="153">
        <v>1</v>
      </c>
      <c r="M550" s="153"/>
      <c r="N550" s="153">
        <v>1</v>
      </c>
      <c r="O550" s="153">
        <v>1</v>
      </c>
      <c r="P550" s="153" t="s">
        <v>11</v>
      </c>
      <c r="Q550" s="153" t="s">
        <v>1142</v>
      </c>
      <c r="R550" s="153" t="s">
        <v>25</v>
      </c>
      <c r="S550" s="153">
        <v>1</v>
      </c>
      <c r="T550" s="153"/>
      <c r="U550" s="153"/>
      <c r="V550" s="153"/>
      <c r="W550" s="153" t="s">
        <v>723</v>
      </c>
      <c r="X550" s="153" t="s">
        <v>24</v>
      </c>
      <c r="Y550" s="153" t="s">
        <v>724</v>
      </c>
      <c r="Z550" s="153"/>
      <c r="AA550" s="153"/>
      <c r="AB550" s="153"/>
      <c r="AC550" s="536"/>
      <c r="AD550" s="536">
        <v>1</v>
      </c>
      <c r="AE550" s="536">
        <v>2</v>
      </c>
      <c r="AF550" s="165">
        <v>0</v>
      </c>
      <c r="AG550" s="166" t="s">
        <v>7995</v>
      </c>
      <c r="AH550" s="509"/>
      <c r="AI550" s="120">
        <v>2</v>
      </c>
      <c r="AJ550" s="120"/>
      <c r="AK550" s="206" t="s">
        <v>3570</v>
      </c>
      <c r="AL550" s="372">
        <v>0</v>
      </c>
      <c r="AM550" s="207">
        <v>0</v>
      </c>
      <c r="AN550" s="120" t="s">
        <v>3564</v>
      </c>
      <c r="AO550" s="1583" t="s">
        <v>3571</v>
      </c>
      <c r="AP550" s="1583" t="s">
        <v>3571</v>
      </c>
      <c r="AQ550" s="120" t="s">
        <v>3572</v>
      </c>
      <c r="AR550" s="120" t="s">
        <v>3572</v>
      </c>
      <c r="AS550" s="120" t="s">
        <v>3573</v>
      </c>
      <c r="AT550" s="120">
        <v>7.91</v>
      </c>
      <c r="AU550" s="120" t="s">
        <v>3573</v>
      </c>
      <c r="AV550" s="120">
        <v>7.91</v>
      </c>
      <c r="AW550" s="120" t="s">
        <v>3568</v>
      </c>
      <c r="AX550" s="120"/>
      <c r="AY550" s="120"/>
      <c r="AZ550" s="755" t="s">
        <v>1874</v>
      </c>
      <c r="BA550" s="120" t="s">
        <v>24</v>
      </c>
      <c r="BB550" s="120" t="s">
        <v>24</v>
      </c>
      <c r="BC550" s="120" t="s">
        <v>3566</v>
      </c>
      <c r="BD550" s="755" t="s">
        <v>7521</v>
      </c>
      <c r="BE550" s="755"/>
      <c r="BF550" s="120" t="s">
        <v>2605</v>
      </c>
      <c r="BG550" s="120" t="s">
        <v>3567</v>
      </c>
      <c r="BH550" s="377"/>
      <c r="BI550" s="377"/>
      <c r="BJ550" s="373">
        <v>1</v>
      </c>
      <c r="BK550" s="373"/>
      <c r="BL550" s="373"/>
      <c r="BM550" s="373"/>
      <c r="BN550" s="373"/>
      <c r="BO550" s="373"/>
      <c r="BP550" s="373"/>
      <c r="BQ550" s="373"/>
      <c r="BR550" s="373"/>
      <c r="BS550" s="373"/>
      <c r="BT550" s="373"/>
      <c r="BU550" s="373"/>
      <c r="BV550" s="373"/>
      <c r="BW550" s="599" t="s">
        <v>1891</v>
      </c>
      <c r="BX550" s="374" t="s">
        <v>6596</v>
      </c>
      <c r="BY550" s="799" t="s">
        <v>7615</v>
      </c>
      <c r="BZ550" s="374" t="s">
        <v>7610</v>
      </c>
      <c r="CA550" s="510">
        <v>4</v>
      </c>
      <c r="CB550" s="510" t="s">
        <v>7556</v>
      </c>
      <c r="CC550" s="510" t="s">
        <v>7807</v>
      </c>
      <c r="CD550" s="120" t="s">
        <v>1876</v>
      </c>
      <c r="CE550" s="120" t="s">
        <v>3569</v>
      </c>
      <c r="CF550" s="786"/>
      <c r="CG550" s="120" t="s">
        <v>3580</v>
      </c>
      <c r="CH550" s="755" t="s">
        <v>1488</v>
      </c>
      <c r="CI550" s="120" t="s">
        <v>24</v>
      </c>
      <c r="CJ550" s="120"/>
      <c r="CK550" s="120" t="s">
        <v>3582</v>
      </c>
      <c r="CL550" s="120" t="s">
        <v>6642</v>
      </c>
      <c r="CM550" s="375" t="s">
        <v>3592</v>
      </c>
      <c r="CN550" s="380" t="s">
        <v>6627</v>
      </c>
      <c r="CO550" s="380"/>
      <c r="CP550" s="380">
        <v>1</v>
      </c>
      <c r="CQ550" s="380">
        <v>2</v>
      </c>
      <c r="CR550" s="380">
        <v>1</v>
      </c>
      <c r="CS550" s="380">
        <v>1</v>
      </c>
      <c r="CT550" s="380" t="s">
        <v>7836</v>
      </c>
      <c r="CU550" s="380"/>
      <c r="CV550" s="380"/>
      <c r="CW550" s="380"/>
      <c r="CX550" s="376" t="s">
        <v>3575</v>
      </c>
      <c r="CY550" s="120">
        <v>4.95</v>
      </c>
      <c r="CZ550" s="120" t="s">
        <v>24</v>
      </c>
      <c r="DA550" s="120">
        <f>5.45-Table66[[#This Row],[Data_Outcome1_M]]</f>
        <v>0.5</v>
      </c>
      <c r="DB550" s="376" t="s">
        <v>3574</v>
      </c>
      <c r="DC550" s="120">
        <v>4.5250000000000004</v>
      </c>
      <c r="DD550" s="120" t="s">
        <v>24</v>
      </c>
      <c r="DE550" s="120">
        <f>4.8125-Table66[[#This Row],[Data_Outcome2_M]]</f>
        <v>0.28749999999999964</v>
      </c>
      <c r="DF550" s="515"/>
      <c r="DG550" s="513"/>
      <c r="DH550" s="718"/>
      <c r="DI550" s="683"/>
      <c r="DJ550" s="384"/>
      <c r="DK550" s="683"/>
      <c r="DL550" s="727"/>
      <c r="DM550" s="683"/>
      <c r="DN550" s="384"/>
      <c r="DO550" s="815"/>
      <c r="DP550" s="375"/>
      <c r="DQ550" s="377"/>
      <c r="DR550" s="1182"/>
      <c r="DS550" s="956"/>
      <c r="DT550" s="727"/>
      <c r="DU550" s="683"/>
      <c r="DV550" s="384"/>
      <c r="DW550" s="683"/>
      <c r="DX550" s="727"/>
      <c r="DY550" s="683"/>
      <c r="DZ550" s="384"/>
      <c r="EA550" s="683"/>
      <c r="EB550" s="1012"/>
      <c r="EC550" s="384"/>
      <c r="ED550" s="727"/>
      <c r="EE550" s="683"/>
      <c r="EF550" s="384"/>
      <c r="EG550" s="683"/>
      <c r="EH550" s="727"/>
      <c r="EI550" s="683"/>
      <c r="EJ550" s="384"/>
      <c r="EK550" s="683"/>
      <c r="EL550" s="1012"/>
      <c r="EM550" s="384"/>
      <c r="EN550" s="1012"/>
      <c r="EO550" s="384"/>
      <c r="EP550" s="719"/>
      <c r="EQ550" s="683"/>
      <c r="ER550" s="683"/>
      <c r="ES550" s="683"/>
      <c r="ET550" s="719"/>
      <c r="EU550" s="683"/>
      <c r="EV550" s="683"/>
      <c r="EW550" s="683"/>
      <c r="EX550" s="384"/>
      <c r="EY550" s="384"/>
      <c r="EZ550" s="719"/>
      <c r="FA550" s="683"/>
      <c r="FB550" s="683"/>
      <c r="FC550" s="683"/>
      <c r="FD550" s="719"/>
      <c r="FE550" s="683"/>
      <c r="FF550" s="683"/>
      <c r="FG550" s="683"/>
      <c r="FH550" s="804"/>
      <c r="FI550" s="683"/>
      <c r="FJ550" s="384"/>
    </row>
    <row r="551" spans="1:166" ht="14" hidden="1" customHeight="1">
      <c r="A551" s="153" t="s">
        <v>274</v>
      </c>
      <c r="B551" s="618">
        <v>44</v>
      </c>
      <c r="C551" s="618"/>
      <c r="D551" s="618"/>
      <c r="E551" s="610" t="s">
        <v>2006</v>
      </c>
      <c r="F551" s="368" t="s">
        <v>2237</v>
      </c>
      <c r="G551" s="369">
        <v>2013</v>
      </c>
      <c r="H551" s="153">
        <v>23792855</v>
      </c>
      <c r="I551" s="153">
        <v>1</v>
      </c>
      <c r="J551" s="370"/>
      <c r="K551" s="371"/>
      <c r="L551" s="153">
        <v>1</v>
      </c>
      <c r="M551" s="153"/>
      <c r="N551" s="153">
        <v>1</v>
      </c>
      <c r="O551" s="153">
        <v>1</v>
      </c>
      <c r="P551" s="153" t="s">
        <v>11</v>
      </c>
      <c r="Q551" s="153" t="s">
        <v>1142</v>
      </c>
      <c r="R551" s="153" t="s">
        <v>25</v>
      </c>
      <c r="S551" s="153">
        <v>1</v>
      </c>
      <c r="T551" s="153"/>
      <c r="U551" s="153"/>
      <c r="V551" s="153"/>
      <c r="W551" s="153" t="s">
        <v>723</v>
      </c>
      <c r="X551" s="153" t="s">
        <v>24</v>
      </c>
      <c r="Y551" s="153" t="s">
        <v>724</v>
      </c>
      <c r="Z551" s="153"/>
      <c r="AA551" s="153"/>
      <c r="AB551" s="153"/>
      <c r="AC551" s="536"/>
      <c r="AD551" s="536">
        <v>1</v>
      </c>
      <c r="AE551" s="536">
        <v>2</v>
      </c>
      <c r="AF551" s="165">
        <v>0</v>
      </c>
      <c r="AG551" s="166" t="s">
        <v>7995</v>
      </c>
      <c r="AH551" s="509"/>
      <c r="AI551" s="120">
        <v>2</v>
      </c>
      <c r="AJ551" s="120"/>
      <c r="AK551" s="206" t="s">
        <v>3570</v>
      </c>
      <c r="AL551" s="372">
        <v>0</v>
      </c>
      <c r="AM551" s="207">
        <v>0</v>
      </c>
      <c r="AN551" s="120" t="s">
        <v>3564</v>
      </c>
      <c r="AO551" s="1583" t="s">
        <v>3571</v>
      </c>
      <c r="AP551" s="1583" t="s">
        <v>3571</v>
      </c>
      <c r="AQ551" s="120" t="s">
        <v>3572</v>
      </c>
      <c r="AR551" s="120" t="s">
        <v>3572</v>
      </c>
      <c r="AS551" s="120" t="s">
        <v>3573</v>
      </c>
      <c r="AT551" s="120">
        <v>7.91</v>
      </c>
      <c r="AU551" s="120" t="s">
        <v>3573</v>
      </c>
      <c r="AV551" s="120">
        <v>7.91</v>
      </c>
      <c r="AW551" s="120" t="s">
        <v>3568</v>
      </c>
      <c r="AX551" s="120"/>
      <c r="AY551" s="120"/>
      <c r="AZ551" s="755" t="s">
        <v>1874</v>
      </c>
      <c r="BA551" s="120" t="s">
        <v>24</v>
      </c>
      <c r="BB551" s="120" t="s">
        <v>24</v>
      </c>
      <c r="BC551" s="120" t="s">
        <v>3566</v>
      </c>
      <c r="BD551" s="755" t="s">
        <v>7521</v>
      </c>
      <c r="BE551" s="755"/>
      <c r="BF551" s="120" t="s">
        <v>2605</v>
      </c>
      <c r="BG551" s="120" t="s">
        <v>3567</v>
      </c>
      <c r="BH551" s="377"/>
      <c r="BI551" s="377"/>
      <c r="BJ551" s="373">
        <v>1</v>
      </c>
      <c r="BK551" s="373"/>
      <c r="BL551" s="373"/>
      <c r="BM551" s="373"/>
      <c r="BN551" s="373"/>
      <c r="BO551" s="373"/>
      <c r="BP551" s="373"/>
      <c r="BQ551" s="373"/>
      <c r="BR551" s="373"/>
      <c r="BS551" s="373"/>
      <c r="BT551" s="373"/>
      <c r="BU551" s="373"/>
      <c r="BV551" s="373"/>
      <c r="BW551" s="599" t="s">
        <v>1891</v>
      </c>
      <c r="BX551" s="374" t="s">
        <v>6596</v>
      </c>
      <c r="BY551" s="799" t="s">
        <v>7615</v>
      </c>
      <c r="BZ551" s="374" t="s">
        <v>7610</v>
      </c>
      <c r="CA551" s="510">
        <v>4</v>
      </c>
      <c r="CB551" s="510" t="s">
        <v>7556</v>
      </c>
      <c r="CC551" s="510" t="s">
        <v>7807</v>
      </c>
      <c r="CD551" s="120" t="s">
        <v>1876</v>
      </c>
      <c r="CE551" s="120" t="s">
        <v>3569</v>
      </c>
      <c r="CF551" s="786"/>
      <c r="CG551" s="120" t="s">
        <v>3580</v>
      </c>
      <c r="CH551" s="755" t="s">
        <v>1488</v>
      </c>
      <c r="CI551" s="120" t="s">
        <v>24</v>
      </c>
      <c r="CJ551" s="120"/>
      <c r="CK551" s="120" t="s">
        <v>3582</v>
      </c>
      <c r="CL551" s="120" t="s">
        <v>6642</v>
      </c>
      <c r="CM551" s="375" t="s">
        <v>3592</v>
      </c>
      <c r="CN551" s="380" t="s">
        <v>6627</v>
      </c>
      <c r="CO551" s="380"/>
      <c r="CP551" s="380">
        <v>1</v>
      </c>
      <c r="CQ551" s="380">
        <v>3</v>
      </c>
      <c r="CR551" s="380">
        <v>1</v>
      </c>
      <c r="CS551" s="380">
        <v>1</v>
      </c>
      <c r="CT551" s="380" t="s">
        <v>7836</v>
      </c>
      <c r="CU551" s="380"/>
      <c r="CV551" s="380"/>
      <c r="CW551" s="380"/>
      <c r="CX551" s="376" t="s">
        <v>3578</v>
      </c>
      <c r="CY551" s="120">
        <v>5.9249999999999998</v>
      </c>
      <c r="CZ551" s="120" t="s">
        <v>24</v>
      </c>
      <c r="DA551" s="120">
        <f>6.425-Table66[[#This Row],[Data_Outcome1_M]]</f>
        <v>0.5</v>
      </c>
      <c r="DB551" s="376" t="s">
        <v>3579</v>
      </c>
      <c r="DC551" s="120">
        <v>4.5999999999999996</v>
      </c>
      <c r="DD551" s="120" t="s">
        <v>24</v>
      </c>
      <c r="DE551" s="120">
        <f>4.9-Table66[[#This Row],[Data_Outcome2_M]]</f>
        <v>0.30000000000000071</v>
      </c>
      <c r="DF551" s="375" t="s">
        <v>3583</v>
      </c>
      <c r="DG551" s="377" t="s">
        <v>3584</v>
      </c>
      <c r="DH551" s="120"/>
      <c r="DI551" s="120"/>
      <c r="DJ551" s="384"/>
      <c r="DK551" s="120"/>
      <c r="DL551" s="384"/>
      <c r="DM551" s="120"/>
      <c r="DN551" s="384"/>
      <c r="DO551" s="120"/>
      <c r="DP551" s="375"/>
      <c r="DQ551" s="377"/>
      <c r="DR551" s="1182"/>
      <c r="DS551" s="956"/>
      <c r="DT551" s="727"/>
      <c r="DU551" s="384"/>
      <c r="DV551" s="384"/>
      <c r="DW551" s="384"/>
      <c r="DX551" s="727"/>
      <c r="DY551" s="384"/>
      <c r="DZ551" s="384"/>
      <c r="EA551" s="384"/>
      <c r="EB551" s="1012"/>
      <c r="EC551" s="384"/>
      <c r="ED551" s="727"/>
      <c r="EE551" s="384"/>
      <c r="EF551" s="384"/>
      <c r="EG551" s="384"/>
      <c r="EH551" s="727"/>
      <c r="EI551" s="384"/>
      <c r="EJ551" s="384"/>
      <c r="EK551" s="384"/>
      <c r="EL551" s="1012"/>
      <c r="EM551" s="384"/>
      <c r="EN551" s="1012"/>
      <c r="EO551" s="384"/>
      <c r="EP551" s="727"/>
      <c r="EQ551" s="384"/>
      <c r="ER551" s="384"/>
      <c r="ES551" s="384"/>
      <c r="ET551" s="727"/>
      <c r="EU551" s="384"/>
      <c r="EV551" s="384"/>
      <c r="EW551" s="384"/>
      <c r="EX551" s="384"/>
      <c r="EY551" s="384"/>
      <c r="EZ551" s="727"/>
      <c r="FA551" s="384"/>
      <c r="FB551" s="384"/>
      <c r="FC551" s="384"/>
      <c r="FD551" s="727"/>
      <c r="FE551" s="384"/>
      <c r="FF551" s="384"/>
      <c r="FG551" s="384"/>
      <c r="FH551" s="1012"/>
      <c r="FI551" s="384"/>
      <c r="FJ551" s="384"/>
    </row>
    <row r="552" spans="1:166" ht="14" hidden="1" customHeight="1">
      <c r="A552" s="153" t="s">
        <v>274</v>
      </c>
      <c r="B552" s="618">
        <v>44</v>
      </c>
      <c r="C552" s="618"/>
      <c r="D552" s="618"/>
      <c r="E552" s="610" t="s">
        <v>2006</v>
      </c>
      <c r="F552" s="368" t="s">
        <v>2237</v>
      </c>
      <c r="G552" s="369">
        <v>2013</v>
      </c>
      <c r="H552" s="153">
        <v>23792855</v>
      </c>
      <c r="I552" s="153">
        <v>1</v>
      </c>
      <c r="J552" s="370"/>
      <c r="K552" s="371"/>
      <c r="L552" s="153">
        <v>1</v>
      </c>
      <c r="M552" s="153"/>
      <c r="N552" s="153">
        <v>1</v>
      </c>
      <c r="O552" s="153">
        <v>1</v>
      </c>
      <c r="P552" s="153" t="s">
        <v>11</v>
      </c>
      <c r="Q552" s="153" t="s">
        <v>1142</v>
      </c>
      <c r="R552" s="153" t="s">
        <v>25</v>
      </c>
      <c r="S552" s="153">
        <v>1</v>
      </c>
      <c r="T552" s="153"/>
      <c r="U552" s="153"/>
      <c r="V552" s="153"/>
      <c r="W552" s="153" t="s">
        <v>723</v>
      </c>
      <c r="X552" s="153" t="s">
        <v>24</v>
      </c>
      <c r="Y552" s="153" t="s">
        <v>724</v>
      </c>
      <c r="Z552" s="153"/>
      <c r="AA552" s="153"/>
      <c r="AB552" s="153"/>
      <c r="AC552" s="536"/>
      <c r="AD552" s="536">
        <v>1</v>
      </c>
      <c r="AE552" s="536">
        <v>2</v>
      </c>
      <c r="AF552" s="165">
        <v>0</v>
      </c>
      <c r="AG552" s="166" t="s">
        <v>7995</v>
      </c>
      <c r="AH552" s="509"/>
      <c r="AI552" s="120">
        <v>2</v>
      </c>
      <c r="AJ552" s="120"/>
      <c r="AK552" s="206" t="s">
        <v>3570</v>
      </c>
      <c r="AL552" s="372">
        <v>0</v>
      </c>
      <c r="AM552" s="207">
        <v>0</v>
      </c>
      <c r="AN552" s="120" t="s">
        <v>3564</v>
      </c>
      <c r="AO552" s="1583" t="s">
        <v>3571</v>
      </c>
      <c r="AP552" s="1583" t="s">
        <v>3571</v>
      </c>
      <c r="AQ552" s="120" t="s">
        <v>3572</v>
      </c>
      <c r="AR552" s="120" t="s">
        <v>3572</v>
      </c>
      <c r="AS552" s="120" t="s">
        <v>3573</v>
      </c>
      <c r="AT552" s="120">
        <v>7.91</v>
      </c>
      <c r="AU552" s="120" t="s">
        <v>3573</v>
      </c>
      <c r="AV552" s="120">
        <v>7.91</v>
      </c>
      <c r="AW552" s="120" t="s">
        <v>3568</v>
      </c>
      <c r="AX552" s="120"/>
      <c r="AY552" s="120"/>
      <c r="AZ552" s="755" t="s">
        <v>1874</v>
      </c>
      <c r="BA552" s="120" t="s">
        <v>24</v>
      </c>
      <c r="BB552" s="120" t="s">
        <v>24</v>
      </c>
      <c r="BC552" s="120" t="s">
        <v>3566</v>
      </c>
      <c r="BD552" s="755" t="s">
        <v>7521</v>
      </c>
      <c r="BE552" s="755"/>
      <c r="BF552" s="120" t="s">
        <v>2605</v>
      </c>
      <c r="BG552" s="120" t="s">
        <v>3567</v>
      </c>
      <c r="BH552" s="377"/>
      <c r="BI552" s="377"/>
      <c r="BJ552" s="373">
        <v>1</v>
      </c>
      <c r="BK552" s="373"/>
      <c r="BL552" s="373"/>
      <c r="BM552" s="373"/>
      <c r="BN552" s="373"/>
      <c r="BO552" s="373"/>
      <c r="BP552" s="373"/>
      <c r="BQ552" s="373"/>
      <c r="BR552" s="373"/>
      <c r="BS552" s="373"/>
      <c r="BT552" s="373"/>
      <c r="BU552" s="373"/>
      <c r="BV552" s="373"/>
      <c r="BW552" s="599" t="s">
        <v>1891</v>
      </c>
      <c r="BX552" s="374" t="s">
        <v>6596</v>
      </c>
      <c r="BY552" s="799" t="s">
        <v>7615</v>
      </c>
      <c r="BZ552" s="374" t="s">
        <v>7610</v>
      </c>
      <c r="CA552" s="510">
        <v>4</v>
      </c>
      <c r="CB552" s="510" t="s">
        <v>7556</v>
      </c>
      <c r="CC552" s="510" t="s">
        <v>7808</v>
      </c>
      <c r="CD552" s="120" t="s">
        <v>1876</v>
      </c>
      <c r="CE552" s="120" t="s">
        <v>3569</v>
      </c>
      <c r="CF552" s="786"/>
      <c r="CG552" s="120" t="s">
        <v>3580</v>
      </c>
      <c r="CH552" s="755" t="s">
        <v>1488</v>
      </c>
      <c r="CI552" s="120" t="s">
        <v>24</v>
      </c>
      <c r="CJ552" s="120"/>
      <c r="CK552" s="120" t="s">
        <v>3582</v>
      </c>
      <c r="CL552" s="120" t="s">
        <v>6642</v>
      </c>
      <c r="CM552" s="375" t="s">
        <v>3592</v>
      </c>
      <c r="CN552" s="380" t="s">
        <v>6627</v>
      </c>
      <c r="CO552" s="380"/>
      <c r="CP552" s="380">
        <v>1</v>
      </c>
      <c r="CQ552" s="380">
        <v>4</v>
      </c>
      <c r="CR552" s="380">
        <v>1</v>
      </c>
      <c r="CS552" s="380">
        <v>-1</v>
      </c>
      <c r="CT552" s="380" t="s">
        <v>7837</v>
      </c>
      <c r="CU552" s="380"/>
      <c r="CV552" s="380"/>
      <c r="CW552" s="380"/>
      <c r="CX552" s="376" t="s">
        <v>3587</v>
      </c>
      <c r="CY552" s="120">
        <v>2.6</v>
      </c>
      <c r="CZ552" s="120" t="s">
        <v>24</v>
      </c>
      <c r="DA552" s="120">
        <f>3.1375-Table66[[#This Row],[Data_Outcome1_M]]</f>
        <v>0.53750000000000009</v>
      </c>
      <c r="DB552" s="376" t="s">
        <v>3588</v>
      </c>
      <c r="DC552" s="120">
        <v>3.0125000000000002</v>
      </c>
      <c r="DD552" s="120" t="s">
        <v>24</v>
      </c>
      <c r="DE552" s="120">
        <f>3.275-Table66[[#This Row],[Data_Outcome2_M]]</f>
        <v>0.26249999999999973</v>
      </c>
      <c r="DF552" s="380" t="s">
        <v>24</v>
      </c>
      <c r="DG552" s="120" t="s">
        <v>24</v>
      </c>
      <c r="DH552" s="718"/>
      <c r="DI552" s="683"/>
      <c r="DJ552" s="384"/>
      <c r="DK552" s="683"/>
      <c r="DL552" s="727"/>
      <c r="DM552" s="683"/>
      <c r="DN552" s="384"/>
      <c r="DO552" s="815"/>
      <c r="DP552" s="375"/>
      <c r="DQ552" s="379"/>
      <c r="DR552" s="1182"/>
      <c r="DS552" s="956"/>
      <c r="DT552" s="727"/>
      <c r="DU552" s="384"/>
      <c r="DV552" s="384"/>
      <c r="DW552" s="384"/>
      <c r="DX552" s="727"/>
      <c r="DY552" s="384"/>
      <c r="DZ552" s="384"/>
      <c r="EA552" s="384"/>
      <c r="EB552" s="1012"/>
      <c r="EC552" s="384"/>
      <c r="ED552" s="727"/>
      <c r="EE552" s="384"/>
      <c r="EF552" s="384"/>
      <c r="EG552" s="384"/>
      <c r="EH552" s="727"/>
      <c r="EI552" s="384"/>
      <c r="EJ552" s="384"/>
      <c r="EK552" s="384"/>
      <c r="EL552" s="1012"/>
      <c r="EM552" s="384"/>
      <c r="EN552" s="1012"/>
      <c r="EO552" s="384"/>
      <c r="EP552" s="727"/>
      <c r="EQ552" s="384"/>
      <c r="ER552" s="384"/>
      <c r="ES552" s="384"/>
      <c r="ET552" s="727"/>
      <c r="EU552" s="384"/>
      <c r="EV552" s="384"/>
      <c r="EW552" s="384"/>
      <c r="EX552" s="384"/>
      <c r="EY552" s="384"/>
      <c r="EZ552" s="727"/>
      <c r="FA552" s="384"/>
      <c r="FB552" s="384"/>
      <c r="FC552" s="384"/>
      <c r="FD552" s="727"/>
      <c r="FE552" s="384"/>
      <c r="FF552" s="384"/>
      <c r="FG552" s="384"/>
      <c r="FH552" s="1012"/>
      <c r="FI552" s="384"/>
      <c r="FJ552" s="384"/>
    </row>
    <row r="553" spans="1:166" ht="14" hidden="1" customHeight="1">
      <c r="A553" s="153" t="s">
        <v>274</v>
      </c>
      <c r="B553" s="618">
        <v>44</v>
      </c>
      <c r="C553" s="618"/>
      <c r="D553" s="618"/>
      <c r="E553" s="610" t="s">
        <v>2006</v>
      </c>
      <c r="F553" s="368" t="s">
        <v>2237</v>
      </c>
      <c r="G553" s="369">
        <v>2013</v>
      </c>
      <c r="H553" s="153">
        <v>23792855</v>
      </c>
      <c r="I553" s="153">
        <v>1</v>
      </c>
      <c r="J553" s="370"/>
      <c r="K553" s="371"/>
      <c r="L553" s="153">
        <v>1</v>
      </c>
      <c r="M553" s="153"/>
      <c r="N553" s="153">
        <v>1</v>
      </c>
      <c r="O553" s="153">
        <v>1</v>
      </c>
      <c r="P553" s="153" t="s">
        <v>11</v>
      </c>
      <c r="Q553" s="153" t="s">
        <v>1142</v>
      </c>
      <c r="R553" s="153" t="s">
        <v>25</v>
      </c>
      <c r="S553" s="153">
        <v>1</v>
      </c>
      <c r="T553" s="153"/>
      <c r="U553" s="153"/>
      <c r="V553" s="153"/>
      <c r="W553" s="153" t="s">
        <v>723</v>
      </c>
      <c r="X553" s="153" t="s">
        <v>24</v>
      </c>
      <c r="Y553" s="153" t="s">
        <v>724</v>
      </c>
      <c r="Z553" s="153"/>
      <c r="AA553" s="153"/>
      <c r="AB553" s="153"/>
      <c r="AC553" s="536"/>
      <c r="AD553" s="536">
        <v>1</v>
      </c>
      <c r="AE553" s="536">
        <v>2</v>
      </c>
      <c r="AF553" s="165">
        <v>0</v>
      </c>
      <c r="AG553" s="166" t="s">
        <v>7995</v>
      </c>
      <c r="AH553" s="509"/>
      <c r="AI553" s="120">
        <v>2</v>
      </c>
      <c r="AJ553" s="120"/>
      <c r="AK553" s="206" t="s">
        <v>3570</v>
      </c>
      <c r="AL553" s="372">
        <v>0</v>
      </c>
      <c r="AM553" s="207">
        <v>0</v>
      </c>
      <c r="AN553" s="120" t="s">
        <v>3564</v>
      </c>
      <c r="AO553" s="1583" t="s">
        <v>3571</v>
      </c>
      <c r="AP553" s="1583" t="s">
        <v>3571</v>
      </c>
      <c r="AQ553" s="120" t="s">
        <v>3572</v>
      </c>
      <c r="AR553" s="120" t="s">
        <v>3572</v>
      </c>
      <c r="AS553" s="120" t="s">
        <v>3573</v>
      </c>
      <c r="AT553" s="120">
        <v>7.91</v>
      </c>
      <c r="AU553" s="120" t="s">
        <v>3573</v>
      </c>
      <c r="AV553" s="120">
        <v>7.91</v>
      </c>
      <c r="AW553" s="120" t="s">
        <v>3568</v>
      </c>
      <c r="AX553" s="120"/>
      <c r="AY553" s="120"/>
      <c r="AZ553" s="755" t="s">
        <v>1874</v>
      </c>
      <c r="BA553" s="120" t="s">
        <v>24</v>
      </c>
      <c r="BB553" s="120" t="s">
        <v>24</v>
      </c>
      <c r="BC553" s="120" t="s">
        <v>3566</v>
      </c>
      <c r="BD553" s="755" t="s">
        <v>7521</v>
      </c>
      <c r="BE553" s="755"/>
      <c r="BF553" s="120" t="s">
        <v>2605</v>
      </c>
      <c r="BG553" s="120" t="s">
        <v>3567</v>
      </c>
      <c r="BH553" s="377"/>
      <c r="BI553" s="377"/>
      <c r="BJ553" s="373">
        <v>1</v>
      </c>
      <c r="BK553" s="373"/>
      <c r="BL553" s="373"/>
      <c r="BM553" s="373"/>
      <c r="BN553" s="373"/>
      <c r="BO553" s="373"/>
      <c r="BP553" s="373"/>
      <c r="BQ553" s="373"/>
      <c r="BR553" s="373"/>
      <c r="BS553" s="373"/>
      <c r="BT553" s="373"/>
      <c r="BU553" s="373"/>
      <c r="BV553" s="373"/>
      <c r="BW553" s="599" t="s">
        <v>1891</v>
      </c>
      <c r="BX553" s="374" t="s">
        <v>6596</v>
      </c>
      <c r="BY553" s="799" t="s">
        <v>7615</v>
      </c>
      <c r="BZ553" s="374" t="s">
        <v>7610</v>
      </c>
      <c r="CA553" s="510">
        <v>4</v>
      </c>
      <c r="CB553" s="510" t="s">
        <v>7556</v>
      </c>
      <c r="CC553" s="510" t="s">
        <v>7808</v>
      </c>
      <c r="CD553" s="120" t="s">
        <v>1876</v>
      </c>
      <c r="CE553" s="120" t="s">
        <v>3569</v>
      </c>
      <c r="CF553" s="786"/>
      <c r="CG553" s="120" t="s">
        <v>3580</v>
      </c>
      <c r="CH553" s="755" t="s">
        <v>1488</v>
      </c>
      <c r="CI553" s="120" t="s">
        <v>24</v>
      </c>
      <c r="CJ553" s="120"/>
      <c r="CK553" s="120" t="s">
        <v>3582</v>
      </c>
      <c r="CL553" s="120" t="s">
        <v>6642</v>
      </c>
      <c r="CM553" s="375" t="s">
        <v>3592</v>
      </c>
      <c r="CN553" s="380" t="s">
        <v>6627</v>
      </c>
      <c r="CO553" s="380"/>
      <c r="CP553" s="380">
        <v>1</v>
      </c>
      <c r="CQ553" s="380">
        <v>5</v>
      </c>
      <c r="CR553" s="380">
        <v>1</v>
      </c>
      <c r="CS553" s="380">
        <v>-1</v>
      </c>
      <c r="CT553" s="380" t="s">
        <v>7837</v>
      </c>
      <c r="CU553" s="380"/>
      <c r="CV553" s="380"/>
      <c r="CW553" s="380"/>
      <c r="CX553" s="376" t="s">
        <v>3585</v>
      </c>
      <c r="CY553" s="120">
        <v>5.3624999999999998</v>
      </c>
      <c r="CZ553" s="120" t="s">
        <v>24</v>
      </c>
      <c r="DA553" s="120">
        <f>5.85-Table66[[#This Row],[Data_Outcome1_M]]</f>
        <v>0.48749999999999982</v>
      </c>
      <c r="DB553" s="376" t="s">
        <v>3586</v>
      </c>
      <c r="DC553" s="120">
        <v>3.4750000000000001</v>
      </c>
      <c r="DD553" s="120" t="s">
        <v>24</v>
      </c>
      <c r="DE553" s="120">
        <f>3.7625-Table66[[#This Row],[Data_Outcome2_M]]</f>
        <v>0.28750000000000009</v>
      </c>
      <c r="DF553" s="621"/>
      <c r="DG553" s="509"/>
      <c r="DH553" s="727"/>
      <c r="DI553" s="384"/>
      <c r="DJ553" s="384"/>
      <c r="DK553" s="384"/>
      <c r="DL553" s="727"/>
      <c r="DM553" s="384"/>
      <c r="DN553" s="384"/>
      <c r="DO553" s="384"/>
      <c r="DP553" s="380"/>
      <c r="DQ553" s="120"/>
      <c r="DR553" s="1182"/>
      <c r="DS553" s="956"/>
      <c r="DT553" s="727"/>
      <c r="DU553" s="384"/>
      <c r="DV553" s="384"/>
      <c r="DW553" s="384"/>
      <c r="DX553" s="727"/>
      <c r="DY553" s="384"/>
      <c r="DZ553" s="384"/>
      <c r="EA553" s="384"/>
      <c r="EB553" s="1012"/>
      <c r="EC553" s="384"/>
      <c r="ED553" s="727"/>
      <c r="EE553" s="384"/>
      <c r="EF553" s="384"/>
      <c r="EG553" s="384"/>
      <c r="EH553" s="727"/>
      <c r="EI553" s="384"/>
      <c r="EJ553" s="384"/>
      <c r="EK553" s="384"/>
      <c r="EL553" s="1012"/>
      <c r="EM553" s="384"/>
      <c r="EN553" s="1012"/>
      <c r="EO553" s="384"/>
      <c r="EP553" s="727"/>
      <c r="EQ553" s="384"/>
      <c r="ER553" s="384"/>
      <c r="ES553" s="384"/>
      <c r="ET553" s="727"/>
      <c r="EU553" s="384"/>
      <c r="EV553" s="384"/>
      <c r="EW553" s="384"/>
      <c r="EX553" s="384"/>
      <c r="EY553" s="384"/>
      <c r="EZ553" s="727"/>
      <c r="FA553" s="384"/>
      <c r="FB553" s="384"/>
      <c r="FC553" s="384"/>
      <c r="FD553" s="727"/>
      <c r="FE553" s="384"/>
      <c r="FF553" s="384"/>
      <c r="FG553" s="384"/>
      <c r="FH553" s="1012"/>
      <c r="FI553" s="384"/>
      <c r="FJ553" s="384"/>
    </row>
    <row r="554" spans="1:166" ht="14" hidden="1" customHeight="1">
      <c r="A554" s="153" t="s">
        <v>274</v>
      </c>
      <c r="B554" s="618">
        <v>44</v>
      </c>
      <c r="C554" s="618"/>
      <c r="D554" s="618"/>
      <c r="E554" s="610" t="s">
        <v>2006</v>
      </c>
      <c r="F554" s="368" t="s">
        <v>2237</v>
      </c>
      <c r="G554" s="369">
        <v>2013</v>
      </c>
      <c r="H554" s="153">
        <v>23792855</v>
      </c>
      <c r="I554" s="153">
        <v>1</v>
      </c>
      <c r="J554" s="370"/>
      <c r="K554" s="371"/>
      <c r="L554" s="153">
        <v>1</v>
      </c>
      <c r="M554" s="153"/>
      <c r="N554" s="153">
        <v>1</v>
      </c>
      <c r="O554" s="153">
        <v>1</v>
      </c>
      <c r="P554" s="153" t="s">
        <v>11</v>
      </c>
      <c r="Q554" s="153" t="s">
        <v>1142</v>
      </c>
      <c r="R554" s="153" t="s">
        <v>25</v>
      </c>
      <c r="S554" s="153">
        <v>1</v>
      </c>
      <c r="T554" s="153"/>
      <c r="U554" s="153"/>
      <c r="V554" s="153"/>
      <c r="W554" s="153" t="s">
        <v>723</v>
      </c>
      <c r="X554" s="153" t="s">
        <v>24</v>
      </c>
      <c r="Y554" s="153" t="s">
        <v>724</v>
      </c>
      <c r="Z554" s="153"/>
      <c r="AA554" s="153"/>
      <c r="AB554" s="153"/>
      <c r="AC554" s="536"/>
      <c r="AD554" s="536">
        <v>1</v>
      </c>
      <c r="AE554" s="536">
        <v>2</v>
      </c>
      <c r="AF554" s="165">
        <v>0</v>
      </c>
      <c r="AG554" s="166" t="s">
        <v>7995</v>
      </c>
      <c r="AH554" s="509"/>
      <c r="AI554" s="120">
        <v>2</v>
      </c>
      <c r="AJ554" s="120"/>
      <c r="AK554" s="206" t="s">
        <v>3570</v>
      </c>
      <c r="AL554" s="372">
        <v>0</v>
      </c>
      <c r="AM554" s="207">
        <v>0</v>
      </c>
      <c r="AN554" s="120" t="s">
        <v>3564</v>
      </c>
      <c r="AO554" s="1583" t="s">
        <v>3571</v>
      </c>
      <c r="AP554" s="1583" t="s">
        <v>3571</v>
      </c>
      <c r="AQ554" s="120" t="s">
        <v>3572</v>
      </c>
      <c r="AR554" s="120" t="s">
        <v>3572</v>
      </c>
      <c r="AS554" s="120" t="s">
        <v>3573</v>
      </c>
      <c r="AT554" s="120">
        <v>7.91</v>
      </c>
      <c r="AU554" s="120" t="s">
        <v>3573</v>
      </c>
      <c r="AV554" s="120">
        <v>7.91</v>
      </c>
      <c r="AW554" s="120" t="s">
        <v>3568</v>
      </c>
      <c r="AX554" s="120"/>
      <c r="AY554" s="120"/>
      <c r="AZ554" s="755" t="s">
        <v>1874</v>
      </c>
      <c r="BA554" s="120" t="s">
        <v>24</v>
      </c>
      <c r="BB554" s="120" t="s">
        <v>24</v>
      </c>
      <c r="BC554" s="120" t="s">
        <v>3566</v>
      </c>
      <c r="BD554" s="755" t="s">
        <v>7521</v>
      </c>
      <c r="BE554" s="755"/>
      <c r="BF554" s="120" t="s">
        <v>2605</v>
      </c>
      <c r="BG554" s="120" t="s">
        <v>3567</v>
      </c>
      <c r="BH554" s="377"/>
      <c r="BI554" s="377"/>
      <c r="BJ554" s="373">
        <v>1</v>
      </c>
      <c r="BK554" s="373"/>
      <c r="BL554" s="373"/>
      <c r="BM554" s="373"/>
      <c r="BN554" s="373"/>
      <c r="BO554" s="373"/>
      <c r="BP554" s="373"/>
      <c r="BQ554" s="373"/>
      <c r="BR554" s="373"/>
      <c r="BS554" s="373"/>
      <c r="BT554" s="373"/>
      <c r="BU554" s="373"/>
      <c r="BV554" s="373"/>
      <c r="BW554" s="599" t="s">
        <v>1891</v>
      </c>
      <c r="BX554" s="374" t="s">
        <v>6596</v>
      </c>
      <c r="BY554" s="799" t="s">
        <v>7615</v>
      </c>
      <c r="BZ554" s="374" t="s">
        <v>7610</v>
      </c>
      <c r="CA554" s="510">
        <v>4</v>
      </c>
      <c r="CB554" s="510" t="s">
        <v>7556</v>
      </c>
      <c r="CC554" s="510" t="s">
        <v>7808</v>
      </c>
      <c r="CD554" s="120" t="s">
        <v>1876</v>
      </c>
      <c r="CE554" s="120" t="s">
        <v>3569</v>
      </c>
      <c r="CF554" s="786"/>
      <c r="CG554" s="120" t="s">
        <v>3580</v>
      </c>
      <c r="CH554" s="755" t="s">
        <v>1488</v>
      </c>
      <c r="CI554" s="120" t="s">
        <v>24</v>
      </c>
      <c r="CJ554" s="120"/>
      <c r="CK554" s="120" t="s">
        <v>3582</v>
      </c>
      <c r="CL554" s="120" t="s">
        <v>6642</v>
      </c>
      <c r="CM554" s="375" t="s">
        <v>3592</v>
      </c>
      <c r="CN554" s="380" t="s">
        <v>6627</v>
      </c>
      <c r="CO554" s="380"/>
      <c r="CP554" s="380">
        <v>1</v>
      </c>
      <c r="CQ554" s="380">
        <v>6</v>
      </c>
      <c r="CR554" s="380">
        <v>1</v>
      </c>
      <c r="CS554" s="380">
        <v>-1</v>
      </c>
      <c r="CT554" s="380" t="s">
        <v>7837</v>
      </c>
      <c r="CU554" s="380"/>
      <c r="CV554" s="380"/>
      <c r="CW554" s="380"/>
      <c r="CX554" s="376" t="s">
        <v>3589</v>
      </c>
      <c r="CY554" s="120">
        <v>5.6749999999999998</v>
      </c>
      <c r="CZ554" s="120" t="s">
        <v>24</v>
      </c>
      <c r="DA554" s="120">
        <f>6.15-Table66[[#This Row],[Data_Outcome1_M]]</f>
        <v>0.47500000000000053</v>
      </c>
      <c r="DB554" s="376" t="s">
        <v>3590</v>
      </c>
      <c r="DC554" s="120">
        <v>3.5874999999999999</v>
      </c>
      <c r="DD554" s="120" t="s">
        <v>24</v>
      </c>
      <c r="DE554" s="120">
        <f>3.875-Table66[[#This Row],[Data_Outcome2_M]]</f>
        <v>0.28750000000000009</v>
      </c>
      <c r="DF554" s="375" t="s">
        <v>3591</v>
      </c>
      <c r="DG554" s="377" t="s">
        <v>3584</v>
      </c>
      <c r="DH554" s="376"/>
      <c r="DI554" s="120"/>
      <c r="DJ554" s="384"/>
      <c r="DK554" s="120"/>
      <c r="DL554" s="727"/>
      <c r="DM554" s="120"/>
      <c r="DN554" s="384"/>
      <c r="DO554" s="120"/>
      <c r="DP554" s="375"/>
      <c r="DQ554" s="377"/>
      <c r="DR554" s="1182"/>
      <c r="DS554" s="956"/>
      <c r="DT554" s="727"/>
      <c r="DU554" s="120"/>
      <c r="DV554" s="384"/>
      <c r="DW554" s="120"/>
      <c r="DX554" s="727"/>
      <c r="DY554" s="120"/>
      <c r="DZ554" s="384"/>
      <c r="EA554" s="120"/>
      <c r="EB554" s="1012"/>
      <c r="EC554" s="384"/>
      <c r="ED554" s="727"/>
      <c r="EE554" s="120"/>
      <c r="EF554" s="384"/>
      <c r="EG554" s="120"/>
      <c r="EH554" s="727"/>
      <c r="EI554" s="120"/>
      <c r="EJ554" s="384"/>
      <c r="EK554" s="120"/>
      <c r="EL554" s="1012"/>
      <c r="EM554" s="384"/>
      <c r="EN554" s="1012"/>
      <c r="EO554" s="384"/>
      <c r="EP554" s="376"/>
      <c r="EQ554" s="120"/>
      <c r="ER554" s="120"/>
      <c r="ES554" s="120"/>
      <c r="ET554" s="376"/>
      <c r="EU554" s="120"/>
      <c r="EV554" s="120"/>
      <c r="EW554" s="120"/>
      <c r="EX554" s="120"/>
      <c r="EY554" s="120"/>
      <c r="EZ554" s="376"/>
      <c r="FA554" s="120"/>
      <c r="FB554" s="120"/>
      <c r="FC554" s="120"/>
      <c r="FD554" s="376"/>
      <c r="FE554" s="120"/>
      <c r="FF554" s="120"/>
      <c r="FG554" s="120"/>
      <c r="FH554" s="380"/>
      <c r="FI554" s="120"/>
      <c r="FJ554" s="384"/>
    </row>
    <row r="555" spans="1:166" ht="14" hidden="1" customHeight="1">
      <c r="A555" s="79" t="s">
        <v>275</v>
      </c>
      <c r="B555" s="362">
        <v>197</v>
      </c>
      <c r="C555" s="362"/>
      <c r="D555" s="362">
        <v>76</v>
      </c>
      <c r="E555" s="604" t="s">
        <v>2007</v>
      </c>
      <c r="F555" s="124" t="s">
        <v>2238</v>
      </c>
      <c r="G555" s="125">
        <v>2016</v>
      </c>
      <c r="H555" s="79">
        <v>27000639</v>
      </c>
      <c r="I555" s="79">
        <v>1</v>
      </c>
      <c r="J555" s="126"/>
      <c r="K555" s="127"/>
      <c r="L555" s="79">
        <v>1</v>
      </c>
      <c r="M555" s="79"/>
      <c r="N555" s="79">
        <v>1</v>
      </c>
      <c r="O555" s="128">
        <v>1</v>
      </c>
      <c r="P555" s="79" t="s">
        <v>726</v>
      </c>
      <c r="Q555" s="79"/>
      <c r="R555" s="79" t="s">
        <v>25</v>
      </c>
      <c r="S555" s="79">
        <v>1</v>
      </c>
      <c r="T555" s="79"/>
      <c r="U555" s="79"/>
      <c r="V555" s="79"/>
      <c r="W555" s="79" t="s">
        <v>725</v>
      </c>
      <c r="X555" s="79"/>
      <c r="Y555" s="79"/>
      <c r="Z555" s="79"/>
      <c r="AA555" s="79"/>
      <c r="AB555" s="79"/>
      <c r="AC555" s="506" t="s">
        <v>6274</v>
      </c>
      <c r="AD555" s="573">
        <v>1</v>
      </c>
      <c r="AE555" s="573">
        <v>0</v>
      </c>
      <c r="AF555" s="924">
        <v>2</v>
      </c>
      <c r="AG555" s="925"/>
      <c r="AH555" s="911"/>
      <c r="AI555" s="923">
        <v>2</v>
      </c>
      <c r="AJ555" s="923"/>
      <c r="AK555" s="926"/>
      <c r="AL555" s="588"/>
      <c r="AM555" s="927"/>
      <c r="AN555" s="923"/>
      <c r="AO555" s="923"/>
      <c r="AP555" s="923"/>
      <c r="AQ555" s="923"/>
      <c r="AR555" s="923"/>
      <c r="AS555" s="923"/>
      <c r="AT555" s="923"/>
      <c r="AU555" s="923"/>
      <c r="AV555" s="923"/>
      <c r="AW555" s="923"/>
      <c r="AX555" s="923"/>
      <c r="AY555" s="923"/>
      <c r="AZ555" s="915"/>
      <c r="BA555" s="923"/>
      <c r="BB555" s="923"/>
      <c r="BC555" s="923"/>
      <c r="BD555" s="915"/>
      <c r="BE555" s="915"/>
      <c r="BF555" s="923"/>
      <c r="BG555" s="923"/>
      <c r="BH555" s="594"/>
      <c r="BI555" s="594"/>
      <c r="BJ555" s="156"/>
      <c r="BK555" s="156"/>
      <c r="BL555" s="156"/>
      <c r="BM555" s="156"/>
      <c r="BN555" s="156" t="s">
        <v>6228</v>
      </c>
      <c r="BO555" s="156" t="s">
        <v>6228</v>
      </c>
      <c r="BP555" s="156"/>
      <c r="BQ555" s="156"/>
      <c r="BR555" s="156"/>
      <c r="BS555" s="156" t="s">
        <v>6205</v>
      </c>
      <c r="BT555" s="156"/>
      <c r="BU555" s="156"/>
      <c r="BV555" s="156"/>
      <c r="BW555" s="928"/>
      <c r="BX555" s="929"/>
      <c r="BY555" s="929"/>
      <c r="BZ555" s="929"/>
      <c r="CA555" s="917"/>
      <c r="CB555" s="917"/>
      <c r="CC555" s="917"/>
      <c r="CD555" s="923"/>
      <c r="CE555" s="923"/>
      <c r="CF555" s="923"/>
      <c r="CG555" s="923"/>
      <c r="CH555" s="915"/>
      <c r="CI555" s="923"/>
      <c r="CJ555" s="923"/>
      <c r="CK555" s="923"/>
      <c r="CL555" s="923"/>
      <c r="CM555" s="930"/>
      <c r="CN555" s="931"/>
      <c r="CO555" s="931"/>
      <c r="CP555" s="931"/>
      <c r="CQ555" s="931"/>
      <c r="CR555" s="931"/>
      <c r="CS555" s="931"/>
      <c r="CT555" s="967"/>
      <c r="CU555" s="967"/>
      <c r="CV555" s="967"/>
      <c r="CW555" s="967"/>
      <c r="CX555" s="932"/>
      <c r="CY555" s="923"/>
      <c r="CZ555" s="923"/>
      <c r="DA555" s="923"/>
      <c r="DB555" s="932"/>
      <c r="DC555" s="923"/>
      <c r="DD555" s="923"/>
      <c r="DE555" s="923"/>
      <c r="DF555" s="922"/>
      <c r="DG555" s="911"/>
      <c r="DH555" s="950"/>
      <c r="DI555" s="951"/>
      <c r="DJ555" s="951"/>
      <c r="DK555" s="951"/>
      <c r="DL555" s="950"/>
      <c r="DM555" s="951"/>
      <c r="DN555" s="951"/>
      <c r="DO555" s="951"/>
      <c r="DP555" s="930"/>
      <c r="DQ555" s="594"/>
      <c r="DR555" s="1187"/>
      <c r="DS555" s="1186"/>
      <c r="DT555" s="950"/>
      <c r="DU555" s="951"/>
      <c r="DV555" s="951"/>
      <c r="DW555" s="951"/>
      <c r="DX555" s="951"/>
      <c r="DY555" s="951"/>
      <c r="DZ555" s="951"/>
      <c r="EA555" s="951"/>
      <c r="EB555" s="1185"/>
      <c r="EC555" s="951"/>
      <c r="ED555" s="951"/>
      <c r="EE555" s="951"/>
      <c r="EF555" s="951"/>
      <c r="EG555" s="951"/>
      <c r="EH555" s="951"/>
      <c r="EI555" s="951"/>
      <c r="EJ555" s="951"/>
      <c r="EK555" s="951"/>
      <c r="EL555" s="1185"/>
      <c r="EM555" s="951"/>
      <c r="EN555" s="1185"/>
      <c r="EO555" s="951"/>
      <c r="EP555" s="951"/>
      <c r="EQ555" s="951"/>
      <c r="ER555" s="951"/>
      <c r="ES555" s="951"/>
      <c r="ET555" s="950"/>
      <c r="EU555" s="951"/>
      <c r="EV555" s="951"/>
      <c r="EW555" s="951"/>
      <c r="EX555" s="951"/>
      <c r="EY555" s="951"/>
      <c r="EZ555" s="950"/>
      <c r="FA555" s="951"/>
      <c r="FB555" s="951"/>
      <c r="FC555" s="951"/>
      <c r="FD555" s="950"/>
      <c r="FE555" s="951"/>
      <c r="FF555" s="951"/>
      <c r="FG555" s="951"/>
      <c r="FH555" s="951"/>
      <c r="FI555" s="951"/>
      <c r="FJ555" s="951"/>
    </row>
    <row r="556" spans="1:166" ht="14" hidden="1" customHeight="1">
      <c r="A556" s="79" t="s">
        <v>278</v>
      </c>
      <c r="B556" s="362">
        <v>198</v>
      </c>
      <c r="C556" s="362"/>
      <c r="D556" s="362">
        <v>77</v>
      </c>
      <c r="E556" s="604" t="s">
        <v>2008</v>
      </c>
      <c r="F556" s="124" t="s">
        <v>2239</v>
      </c>
      <c r="G556" s="125">
        <v>2015</v>
      </c>
      <c r="H556" s="79">
        <v>25959594</v>
      </c>
      <c r="I556" s="79">
        <v>1</v>
      </c>
      <c r="J556" s="126"/>
      <c r="K556" s="127"/>
      <c r="L556" s="79">
        <v>1</v>
      </c>
      <c r="M556" s="79"/>
      <c r="N556" s="79">
        <v>1</v>
      </c>
      <c r="O556" s="128">
        <v>1</v>
      </c>
      <c r="P556" s="79" t="s">
        <v>730</v>
      </c>
      <c r="Q556" s="79" t="s">
        <v>1192</v>
      </c>
      <c r="R556" s="79" t="s">
        <v>25</v>
      </c>
      <c r="S556" s="79">
        <v>1</v>
      </c>
      <c r="T556" s="79"/>
      <c r="U556" s="79"/>
      <c r="V556" s="79"/>
      <c r="W556" s="79" t="s">
        <v>729</v>
      </c>
      <c r="X556" s="79" t="s">
        <v>731</v>
      </c>
      <c r="Y556" s="79"/>
      <c r="Z556" s="79"/>
      <c r="AA556" s="79"/>
      <c r="AB556" s="79"/>
      <c r="AC556" s="506" t="s">
        <v>6275</v>
      </c>
      <c r="AD556" s="573">
        <v>1</v>
      </c>
      <c r="AE556" s="573">
        <v>0</v>
      </c>
      <c r="AF556" s="924">
        <v>2</v>
      </c>
      <c r="AG556" s="925"/>
      <c r="AH556" s="911"/>
      <c r="AI556" s="923">
        <v>2</v>
      </c>
      <c r="AJ556" s="923"/>
      <c r="AK556" s="926"/>
      <c r="AL556" s="588"/>
      <c r="AM556" s="927"/>
      <c r="AN556" s="923"/>
      <c r="AO556" s="923"/>
      <c r="AP556" s="923"/>
      <c r="AQ556" s="923"/>
      <c r="AR556" s="923"/>
      <c r="AS556" s="923"/>
      <c r="AT556" s="923"/>
      <c r="AU556" s="923"/>
      <c r="AV556" s="923"/>
      <c r="AW556" s="923"/>
      <c r="AX556" s="923"/>
      <c r="AY556" s="923"/>
      <c r="AZ556" s="915"/>
      <c r="BA556" s="923"/>
      <c r="BB556" s="923"/>
      <c r="BC556" s="923"/>
      <c r="BD556" s="915"/>
      <c r="BE556" s="915"/>
      <c r="BF556" s="923"/>
      <c r="BG556" s="923"/>
      <c r="BH556" s="594"/>
      <c r="BI556" s="594"/>
      <c r="BJ556" s="156"/>
      <c r="BK556" s="156"/>
      <c r="BL556" s="156"/>
      <c r="BM556" s="156" t="s">
        <v>6237</v>
      </c>
      <c r="BN556" s="156"/>
      <c r="BO556" s="156" t="s">
        <v>5207</v>
      </c>
      <c r="BP556" s="156"/>
      <c r="BQ556" s="156"/>
      <c r="BR556" s="156"/>
      <c r="BS556" s="156"/>
      <c r="BT556" s="156" t="s">
        <v>5207</v>
      </c>
      <c r="BU556" s="156"/>
      <c r="BV556" s="156"/>
      <c r="BW556" s="928"/>
      <c r="BX556" s="929"/>
      <c r="BY556" s="929"/>
      <c r="BZ556" s="929"/>
      <c r="CA556" s="917"/>
      <c r="CB556" s="917"/>
      <c r="CC556" s="917"/>
      <c r="CD556" s="923"/>
      <c r="CE556" s="923"/>
      <c r="CF556" s="923"/>
      <c r="CG556" s="923"/>
      <c r="CH556" s="915"/>
      <c r="CI556" s="923"/>
      <c r="CJ556" s="923"/>
      <c r="CK556" s="923"/>
      <c r="CL556" s="923"/>
      <c r="CM556" s="930"/>
      <c r="CN556" s="931"/>
      <c r="CO556" s="931"/>
      <c r="CP556" s="931"/>
      <c r="CQ556" s="931"/>
      <c r="CR556" s="931"/>
      <c r="CS556" s="931"/>
      <c r="CT556" s="967"/>
      <c r="CU556" s="967"/>
      <c r="CV556" s="967"/>
      <c r="CW556" s="967"/>
      <c r="CX556" s="932"/>
      <c r="CY556" s="923"/>
      <c r="CZ556" s="923"/>
      <c r="DA556" s="923"/>
      <c r="DB556" s="932"/>
      <c r="DC556" s="923"/>
      <c r="DD556" s="923"/>
      <c r="DE556" s="923"/>
      <c r="DF556" s="920"/>
      <c r="DG556" s="598"/>
      <c r="DH556" s="950"/>
      <c r="DI556" s="951"/>
      <c r="DJ556" s="951"/>
      <c r="DK556" s="951"/>
      <c r="DL556" s="950"/>
      <c r="DM556" s="951"/>
      <c r="DN556" s="951"/>
      <c r="DO556" s="951"/>
      <c r="DP556" s="930"/>
      <c r="DQ556" s="594"/>
      <c r="DR556" s="1187"/>
      <c r="DS556" s="1186"/>
      <c r="DT556" s="950"/>
      <c r="DU556" s="951"/>
      <c r="DV556" s="951"/>
      <c r="DW556" s="951"/>
      <c r="DX556" s="951"/>
      <c r="DY556" s="951"/>
      <c r="DZ556" s="951"/>
      <c r="EA556" s="951"/>
      <c r="EB556" s="1185"/>
      <c r="EC556" s="951"/>
      <c r="ED556" s="951"/>
      <c r="EE556" s="951"/>
      <c r="EF556" s="951"/>
      <c r="EG556" s="951"/>
      <c r="EH556" s="951"/>
      <c r="EI556" s="951"/>
      <c r="EJ556" s="951"/>
      <c r="EK556" s="951"/>
      <c r="EL556" s="1185"/>
      <c r="EM556" s="951"/>
      <c r="EN556" s="1185"/>
      <c r="EO556" s="951"/>
      <c r="EP556" s="951"/>
      <c r="EQ556" s="951"/>
      <c r="ER556" s="951"/>
      <c r="ES556" s="951"/>
      <c r="ET556" s="950"/>
      <c r="EU556" s="951"/>
      <c r="EV556" s="951"/>
      <c r="EW556" s="951"/>
      <c r="EX556" s="951"/>
      <c r="EY556" s="951"/>
      <c r="EZ556" s="950"/>
      <c r="FA556" s="951"/>
      <c r="FB556" s="951"/>
      <c r="FC556" s="951"/>
      <c r="FD556" s="950"/>
      <c r="FE556" s="951"/>
      <c r="FF556" s="951"/>
      <c r="FG556" s="951"/>
      <c r="FH556" s="951"/>
      <c r="FI556" s="951"/>
      <c r="FJ556" s="951"/>
    </row>
    <row r="557" spans="1:166" ht="14" hidden="1" customHeight="1">
      <c r="A557" s="153" t="s">
        <v>983</v>
      </c>
      <c r="B557" s="618">
        <v>45</v>
      </c>
      <c r="C557" s="618"/>
      <c r="D557" s="618"/>
      <c r="E557" s="610" t="s">
        <v>2113</v>
      </c>
      <c r="F557" s="368" t="s">
        <v>2372</v>
      </c>
      <c r="G557" s="369">
        <v>2015</v>
      </c>
      <c r="H557" s="153">
        <v>25449394</v>
      </c>
      <c r="I557" s="153">
        <v>1</v>
      </c>
      <c r="J557" s="370">
        <v>1</v>
      </c>
      <c r="K557" s="371"/>
      <c r="L557" s="153">
        <v>1</v>
      </c>
      <c r="M557" s="153"/>
      <c r="N557" s="153">
        <v>1</v>
      </c>
      <c r="O557" s="153">
        <v>2</v>
      </c>
      <c r="P557" s="153" t="s">
        <v>1404</v>
      </c>
      <c r="Q557" s="153" t="s">
        <v>1212</v>
      </c>
      <c r="R557" s="153" t="s">
        <v>1127</v>
      </c>
      <c r="S557" s="153"/>
      <c r="T557" s="153" t="s">
        <v>1488</v>
      </c>
      <c r="U557" s="153" t="s">
        <v>1539</v>
      </c>
      <c r="V557" s="153" t="s">
        <v>23</v>
      </c>
      <c r="W557" s="153" t="s">
        <v>1547</v>
      </c>
      <c r="X557" s="153"/>
      <c r="Y557" s="153"/>
      <c r="Z557" s="153"/>
      <c r="AA557" s="153"/>
      <c r="AB557" s="153"/>
      <c r="AC557" s="536"/>
      <c r="AD557" s="536">
        <v>1</v>
      </c>
      <c r="AE557" s="536">
        <v>2</v>
      </c>
      <c r="AF557" s="165">
        <v>0</v>
      </c>
      <c r="AG557" s="166" t="s">
        <v>7236</v>
      </c>
      <c r="AH557" s="509">
        <v>0</v>
      </c>
      <c r="AI557" s="120">
        <v>4</v>
      </c>
      <c r="AJ557" s="120"/>
      <c r="AK557" s="206"/>
      <c r="AL557" s="372"/>
      <c r="AM557" s="207"/>
      <c r="AN557" s="120"/>
      <c r="AO557" s="120"/>
      <c r="AP557" s="120"/>
      <c r="AQ557" s="120"/>
      <c r="AR557" s="120"/>
      <c r="AS557" s="120"/>
      <c r="AT557" s="120"/>
      <c r="AU557" s="120"/>
      <c r="AV557" s="120"/>
      <c r="AW557" s="120"/>
      <c r="AX557" s="120"/>
      <c r="AY557" s="120"/>
      <c r="AZ557" s="755"/>
      <c r="BA557" s="120"/>
      <c r="BB557" s="120"/>
      <c r="BC557" s="120"/>
      <c r="BD557" s="755"/>
      <c r="BE557" s="755"/>
      <c r="BF557" s="120"/>
      <c r="BG557" s="120"/>
      <c r="BH557" s="377"/>
      <c r="BI557" s="377"/>
      <c r="BJ557" s="373">
        <v>1</v>
      </c>
      <c r="BK557" s="373"/>
      <c r="BL557" s="373"/>
      <c r="BM557" s="373"/>
      <c r="BN557" s="373"/>
      <c r="BO557" s="373"/>
      <c r="BP557" s="373"/>
      <c r="BQ557" s="373"/>
      <c r="BR557" s="373"/>
      <c r="BS557" s="373"/>
      <c r="BT557" s="373"/>
      <c r="BU557" s="373"/>
      <c r="BV557" s="373"/>
      <c r="BW557" s="599"/>
      <c r="BX557" s="374"/>
      <c r="BY557" s="374"/>
      <c r="BZ557" s="374"/>
      <c r="CA557" s="511"/>
      <c r="CB557" s="511"/>
      <c r="CC557" s="511"/>
      <c r="CD557" s="120"/>
      <c r="CE557" s="120"/>
      <c r="CF557" s="120"/>
      <c r="CG557" s="120"/>
      <c r="CH557" s="755"/>
      <c r="CI557" s="120"/>
      <c r="CJ557" s="120"/>
      <c r="CK557" s="384"/>
      <c r="CL557" s="384"/>
      <c r="CM557" s="375"/>
      <c r="CN557" s="380"/>
      <c r="CO557" s="380"/>
      <c r="CP557" s="380"/>
      <c r="CQ557" s="380"/>
      <c r="CR557" s="380"/>
      <c r="CS557" s="380"/>
      <c r="CT557" s="380"/>
      <c r="CU557" s="380"/>
      <c r="CV557" s="380"/>
      <c r="CW557" s="380"/>
      <c r="CX557" s="376"/>
      <c r="CY557" s="120"/>
      <c r="CZ557" s="120"/>
      <c r="DA557" s="120"/>
      <c r="DB557" s="376"/>
      <c r="DC557" s="120"/>
      <c r="DD557" s="120"/>
      <c r="DE557" s="120"/>
      <c r="DF557" s="515"/>
      <c r="DG557" s="513"/>
      <c r="DH557" s="727"/>
      <c r="DI557" s="384"/>
      <c r="DJ557" s="384"/>
      <c r="DK557" s="384"/>
      <c r="DL557" s="727"/>
      <c r="DM557" s="384"/>
      <c r="DN557" s="384"/>
      <c r="DO557" s="384"/>
      <c r="DP557" s="375"/>
      <c r="DQ557" s="377"/>
      <c r="DR557" s="1182"/>
      <c r="DS557" s="956"/>
      <c r="DT557" s="727"/>
      <c r="DU557" s="384"/>
      <c r="DV557" s="384"/>
      <c r="DW557" s="384"/>
      <c r="DX557" s="384"/>
      <c r="DY557" s="384"/>
      <c r="DZ557" s="384"/>
      <c r="EA557" s="384"/>
      <c r="EB557" s="1012"/>
      <c r="EC557" s="384"/>
      <c r="ED557" s="384"/>
      <c r="EE557" s="384"/>
      <c r="EF557" s="384"/>
      <c r="EG557" s="384"/>
      <c r="EH557" s="384"/>
      <c r="EI557" s="384"/>
      <c r="EJ557" s="384"/>
      <c r="EK557" s="384"/>
      <c r="EL557" s="1012"/>
      <c r="EM557" s="384"/>
      <c r="EN557" s="1012"/>
      <c r="EO557" s="384"/>
      <c r="EP557" s="384"/>
      <c r="EQ557" s="384"/>
      <c r="ER557" s="384"/>
      <c r="ES557" s="384"/>
      <c r="ET557" s="727"/>
      <c r="EU557" s="384"/>
      <c r="EV557" s="384"/>
      <c r="EW557" s="384"/>
      <c r="EX557" s="384"/>
      <c r="EY557" s="384"/>
      <c r="EZ557" s="727"/>
      <c r="FA557" s="384"/>
      <c r="FB557" s="384"/>
      <c r="FC557" s="384"/>
      <c r="FD557" s="727"/>
      <c r="FE557" s="384"/>
      <c r="FF557" s="384"/>
      <c r="FG557" s="384"/>
      <c r="FH557" s="384"/>
      <c r="FI557" s="384"/>
      <c r="FJ557" s="384"/>
    </row>
    <row r="558" spans="1:166" ht="14" hidden="1" customHeight="1">
      <c r="A558" s="79" t="s">
        <v>143</v>
      </c>
      <c r="B558" s="617">
        <v>109</v>
      </c>
      <c r="C558" s="617">
        <v>22</v>
      </c>
      <c r="D558" s="617"/>
      <c r="E558" s="608" t="s">
        <v>1951</v>
      </c>
      <c r="F558" s="181" t="s">
        <v>2170</v>
      </c>
      <c r="G558" s="182">
        <v>2009</v>
      </c>
      <c r="H558" s="79">
        <v>18800372</v>
      </c>
      <c r="I558" s="79">
        <v>1</v>
      </c>
      <c r="J558" s="79"/>
      <c r="K558" s="79"/>
      <c r="L558" s="79">
        <v>1</v>
      </c>
      <c r="M558" s="79"/>
      <c r="N558" s="79">
        <v>1</v>
      </c>
      <c r="O558" s="128">
        <v>1</v>
      </c>
      <c r="P558" s="79" t="s">
        <v>450</v>
      </c>
      <c r="Q558" s="79" t="s">
        <v>1147</v>
      </c>
      <c r="R558" s="79" t="s">
        <v>25</v>
      </c>
      <c r="S558" s="79">
        <v>1</v>
      </c>
      <c r="T558" s="79"/>
      <c r="U558" s="79"/>
      <c r="V558" s="79"/>
      <c r="W558" s="79" t="s">
        <v>449</v>
      </c>
      <c r="X558" s="79"/>
      <c r="Y558" s="79"/>
      <c r="Z558" s="79"/>
      <c r="AA558" s="79"/>
      <c r="AB558" s="79"/>
      <c r="AC558" s="506"/>
      <c r="AD558" s="573">
        <v>1</v>
      </c>
      <c r="AE558" s="573">
        <v>2</v>
      </c>
      <c r="AF558" s="352">
        <v>1</v>
      </c>
      <c r="AG558" s="353"/>
      <c r="AH558" s="704"/>
      <c r="AI558" s="346">
        <v>2</v>
      </c>
      <c r="AJ558" s="487"/>
      <c r="AK558" s="459" t="s">
        <v>4207</v>
      </c>
      <c r="AL558" s="348">
        <v>1</v>
      </c>
      <c r="AM558" s="349">
        <v>0</v>
      </c>
      <c r="AN558" s="346">
        <f>Table66[[#This Row],[Data_Subjects_n_ptsd]]+Table66[[#This Row],[Data_Subjects_n_control]]</f>
        <v>50</v>
      </c>
      <c r="AO558" s="346">
        <v>25</v>
      </c>
      <c r="AP558" s="346">
        <v>25</v>
      </c>
      <c r="AQ558" s="346" t="s">
        <v>803</v>
      </c>
      <c r="AR558" s="346" t="s">
        <v>803</v>
      </c>
      <c r="AS558" s="186">
        <v>33.32</v>
      </c>
      <c r="AT558" s="186">
        <v>4.76</v>
      </c>
      <c r="AU558" s="186">
        <v>34.799999999999997</v>
      </c>
      <c r="AV558" s="186">
        <v>4.5999999999999996</v>
      </c>
      <c r="AW558" s="186" t="s">
        <v>4160</v>
      </c>
      <c r="AX558" s="346"/>
      <c r="AY558" s="346"/>
      <c r="AZ558" s="754" t="s">
        <v>1874</v>
      </c>
      <c r="BA558" s="346" t="s">
        <v>24</v>
      </c>
      <c r="BB558" s="346" t="s">
        <v>24</v>
      </c>
      <c r="BC558" s="346" t="s">
        <v>4161</v>
      </c>
      <c r="BD558" s="754" t="s">
        <v>7521</v>
      </c>
      <c r="BE558" s="187">
        <v>0</v>
      </c>
      <c r="BF558" s="346" t="s">
        <v>3835</v>
      </c>
      <c r="BG558" s="346" t="s">
        <v>4162</v>
      </c>
      <c r="BH558" s="598"/>
      <c r="BI558" s="598"/>
      <c r="BJ558" s="184"/>
      <c r="BK558" s="184"/>
      <c r="BL558" s="184"/>
      <c r="BM558" s="184"/>
      <c r="BN558" s="184"/>
      <c r="BO558" s="184"/>
      <c r="BP558" s="184">
        <v>1</v>
      </c>
      <c r="BQ558" s="184"/>
      <c r="BR558" s="184"/>
      <c r="BS558" s="184"/>
      <c r="BT558" s="184"/>
      <c r="BU558" s="184"/>
      <c r="BV558" s="184"/>
      <c r="BW558" s="600" t="s">
        <v>4208</v>
      </c>
      <c r="BX558" s="185" t="s">
        <v>6610</v>
      </c>
      <c r="BY558" s="797" t="s">
        <v>7616</v>
      </c>
      <c r="BZ558" s="791" t="s">
        <v>7610</v>
      </c>
      <c r="CA558" s="660">
        <v>2</v>
      </c>
      <c r="CB558" s="660" t="s">
        <v>7556</v>
      </c>
      <c r="CC558" s="660" t="s">
        <v>7380</v>
      </c>
      <c r="CD558" s="186" t="s">
        <v>1876</v>
      </c>
      <c r="CE558" s="186">
        <v>2</v>
      </c>
      <c r="CF558" s="400"/>
      <c r="CG558" s="186" t="s">
        <v>4178</v>
      </c>
      <c r="CH558" s="753" t="s">
        <v>7307</v>
      </c>
      <c r="CI558" s="186" t="s">
        <v>24</v>
      </c>
      <c r="CJ558" s="150">
        <v>1</v>
      </c>
      <c r="CK558" s="466" t="s">
        <v>4193</v>
      </c>
      <c r="CL558" s="466" t="s">
        <v>7826</v>
      </c>
      <c r="CM558" s="261" t="s">
        <v>4230</v>
      </c>
      <c r="CN558" s="620" t="s">
        <v>24</v>
      </c>
      <c r="CO558" s="830">
        <v>21</v>
      </c>
      <c r="CP558" s="830">
        <v>1</v>
      </c>
      <c r="CQ558" s="830">
        <v>7</v>
      </c>
      <c r="CR558" s="830">
        <v>1</v>
      </c>
      <c r="CS558" s="830">
        <v>1</v>
      </c>
      <c r="CT558" s="969"/>
      <c r="CU558" s="1288" t="s">
        <v>8103</v>
      </c>
      <c r="CV558" s="1294">
        <v>11</v>
      </c>
      <c r="CW558" s="1294">
        <v>10</v>
      </c>
      <c r="CX558" s="267" t="s">
        <v>4231</v>
      </c>
      <c r="CY558" s="1112">
        <v>42</v>
      </c>
      <c r="CZ558" s="186">
        <v>6.93</v>
      </c>
      <c r="DA558" s="186" t="s">
        <v>24</v>
      </c>
      <c r="DB558" s="267" t="s">
        <v>4232</v>
      </c>
      <c r="DC558" s="186">
        <v>50.68</v>
      </c>
      <c r="DD558" s="186">
        <v>6.81</v>
      </c>
      <c r="DE558" s="186" t="s">
        <v>24</v>
      </c>
      <c r="DF558" s="294" t="s">
        <v>4210</v>
      </c>
      <c r="DG558" s="547" t="s">
        <v>4209</v>
      </c>
      <c r="DH558" s="1169"/>
      <c r="DI558" s="121"/>
      <c r="DJ558" s="1169"/>
      <c r="DK558" s="121"/>
      <c r="DL558" s="1169"/>
      <c r="DM558" s="1169"/>
      <c r="DN558" s="1169"/>
      <c r="DO558" s="1169"/>
      <c r="DP558" s="288"/>
      <c r="DQ558" s="289"/>
      <c r="DR558" s="1168"/>
      <c r="DS558" s="865"/>
      <c r="DT558" s="1276"/>
      <c r="DU558" s="121"/>
      <c r="DV558" s="121"/>
      <c r="DW558" s="121"/>
      <c r="DX558" s="121"/>
      <c r="DY558" s="1169"/>
      <c r="DZ558" s="1169"/>
      <c r="EA558" s="1169"/>
      <c r="EB558" s="300"/>
      <c r="EC558" s="301"/>
      <c r="ED558" s="121"/>
      <c r="EE558" s="121"/>
      <c r="EF558" s="121"/>
      <c r="EG558" s="121"/>
      <c r="EH558" s="121"/>
      <c r="EI558" s="1169"/>
      <c r="EJ558" s="1169"/>
      <c r="EK558" s="1169"/>
      <c r="EL558" s="304"/>
      <c r="EM558" s="312"/>
      <c r="EN558" s="1168"/>
      <c r="EO558" s="1191"/>
      <c r="EP558" s="346"/>
      <c r="EQ558" s="346"/>
      <c r="ER558" s="346"/>
      <c r="ES558" s="346"/>
      <c r="ET558" s="1278"/>
      <c r="EU558" s="1189"/>
      <c r="EV558" s="1189"/>
      <c r="EW558" s="1189"/>
      <c r="EX558" s="1190"/>
      <c r="EY558" s="1190"/>
      <c r="EZ558" s="1278"/>
      <c r="FA558" s="346"/>
      <c r="FB558" s="346"/>
      <c r="FC558" s="346"/>
      <c r="FD558" s="1278"/>
      <c r="FE558" s="1189"/>
      <c r="FF558" s="1189"/>
      <c r="FG558" s="1189"/>
      <c r="FH558" s="1190"/>
      <c r="FI558" s="1190"/>
      <c r="FJ558" s="1191"/>
    </row>
    <row r="559" spans="1:166" ht="14" hidden="1" customHeight="1">
      <c r="A559" s="79" t="s">
        <v>208</v>
      </c>
      <c r="B559" s="362">
        <v>154</v>
      </c>
      <c r="C559" s="362">
        <v>49</v>
      </c>
      <c r="D559" s="362"/>
      <c r="E559" s="604" t="s">
        <v>1979</v>
      </c>
      <c r="F559" s="124" t="s">
        <v>2203</v>
      </c>
      <c r="G559" s="125">
        <v>2013</v>
      </c>
      <c r="H559" s="79">
        <v>23445934</v>
      </c>
      <c r="I559" s="79">
        <v>1</v>
      </c>
      <c r="J559" s="126"/>
      <c r="K559" s="127"/>
      <c r="L559" s="79">
        <v>1</v>
      </c>
      <c r="M559" s="79"/>
      <c r="N559" s="79">
        <v>1</v>
      </c>
      <c r="O559" s="128">
        <v>1</v>
      </c>
      <c r="P559" s="79" t="s">
        <v>596</v>
      </c>
      <c r="Q559" s="79" t="s">
        <v>1168</v>
      </c>
      <c r="R559" s="79" t="s">
        <v>594</v>
      </c>
      <c r="S559" s="79">
        <v>0</v>
      </c>
      <c r="T559" s="79"/>
      <c r="U559" s="79"/>
      <c r="V559" s="79"/>
      <c r="W559" s="79" t="s">
        <v>597</v>
      </c>
      <c r="X559" s="79" t="s">
        <v>595</v>
      </c>
      <c r="Y559" s="79"/>
      <c r="Z559" s="79"/>
      <c r="AA559" s="79"/>
      <c r="AB559" s="79"/>
      <c r="AC559" s="506"/>
      <c r="AD559" s="573">
        <v>1</v>
      </c>
      <c r="AE559" s="573">
        <v>2</v>
      </c>
      <c r="AF559" s="154">
        <v>1</v>
      </c>
      <c r="AG559" s="155" t="s">
        <v>8164</v>
      </c>
      <c r="AH559" s="704"/>
      <c r="AI559" s="121">
        <v>0</v>
      </c>
      <c r="AJ559" s="484" t="s">
        <v>4927</v>
      </c>
      <c r="AK559" s="498" t="s">
        <v>4926</v>
      </c>
      <c r="AL559" s="192">
        <v>1</v>
      </c>
      <c r="AM559" s="215">
        <v>0</v>
      </c>
      <c r="AN559" s="134">
        <f>Table66[[#This Row],[Data_Subjects_n_ptsd]]+Table66[[#This Row],[Data_Subjects_n_control]]</f>
        <v>56</v>
      </c>
      <c r="AO559" s="134">
        <v>34</v>
      </c>
      <c r="AP559" s="134">
        <f>22</f>
        <v>22</v>
      </c>
      <c r="AQ559" s="134" t="s">
        <v>4925</v>
      </c>
      <c r="AR559" s="134" t="s">
        <v>4925</v>
      </c>
      <c r="AS559" s="134">
        <v>58.3</v>
      </c>
      <c r="AT559" s="134">
        <v>6.3</v>
      </c>
      <c r="AU559" s="134">
        <v>49.3</v>
      </c>
      <c r="AV559" s="134">
        <v>6</v>
      </c>
      <c r="AW559" s="134" t="s">
        <v>7900</v>
      </c>
      <c r="AX559" s="134"/>
      <c r="AY559" s="134"/>
      <c r="AZ559" s="753" t="s">
        <v>7905</v>
      </c>
      <c r="BA559" s="134" t="s">
        <v>24</v>
      </c>
      <c r="BB559" s="134" t="s">
        <v>24</v>
      </c>
      <c r="BC559" s="134" t="s">
        <v>4924</v>
      </c>
      <c r="BD559" s="753" t="s">
        <v>7522</v>
      </c>
      <c r="BE559" s="1624">
        <v>0</v>
      </c>
      <c r="BF559" s="134" t="s">
        <v>7903</v>
      </c>
      <c r="BG559" s="134" t="s">
        <v>4928</v>
      </c>
      <c r="BH559" s="594"/>
      <c r="BI559" s="594"/>
      <c r="BJ559" s="156"/>
      <c r="BK559" s="156"/>
      <c r="BL559" s="156"/>
      <c r="BM559" s="156"/>
      <c r="BN559" s="156"/>
      <c r="BO559" s="156"/>
      <c r="BP559" s="156">
        <v>1</v>
      </c>
      <c r="BQ559" s="156"/>
      <c r="BR559" s="156"/>
      <c r="BS559" s="156"/>
      <c r="BT559" s="156"/>
      <c r="BU559" s="156"/>
      <c r="BV559" s="156"/>
      <c r="BW559" s="595" t="s">
        <v>4984</v>
      </c>
      <c r="BX559" s="157" t="s">
        <v>6609</v>
      </c>
      <c r="BY559" s="797" t="s">
        <v>7616</v>
      </c>
      <c r="BZ559" s="789" t="s">
        <v>7610</v>
      </c>
      <c r="CA559" s="811">
        <v>2</v>
      </c>
      <c r="CB559" s="660" t="s">
        <v>7556</v>
      </c>
      <c r="CC559" s="660" t="s">
        <v>7380</v>
      </c>
      <c r="CD559" s="134" t="s">
        <v>1876</v>
      </c>
      <c r="CE559" s="134" t="s">
        <v>4931</v>
      </c>
      <c r="CF559" s="400"/>
      <c r="CG559" s="134" t="s">
        <v>7912</v>
      </c>
      <c r="CH559" s="753" t="s">
        <v>7307</v>
      </c>
      <c r="CI559" s="134" t="s">
        <v>24</v>
      </c>
      <c r="CJ559" s="134"/>
      <c r="CK559" s="134" t="s">
        <v>7908</v>
      </c>
      <c r="CL559" s="134" t="s">
        <v>7827</v>
      </c>
      <c r="CM559" s="259" t="s">
        <v>4983</v>
      </c>
      <c r="CN559" s="454" t="s">
        <v>24</v>
      </c>
      <c r="CO559" s="828">
        <v>43</v>
      </c>
      <c r="CP559" s="828">
        <v>1</v>
      </c>
      <c r="CQ559" s="828">
        <v>5</v>
      </c>
      <c r="CR559" s="828">
        <v>1</v>
      </c>
      <c r="CS559" s="722">
        <v>-1</v>
      </c>
      <c r="CT559" s="967"/>
      <c r="CU559" s="1291" t="s">
        <v>8102</v>
      </c>
      <c r="CV559" s="1295">
        <v>1</v>
      </c>
      <c r="CW559" s="1295">
        <v>1</v>
      </c>
      <c r="CX559" s="138" t="s">
        <v>4952</v>
      </c>
      <c r="CY559" s="134">
        <v>3.2</v>
      </c>
      <c r="CZ559" s="134">
        <v>1.9</v>
      </c>
      <c r="DA559" s="134" t="s">
        <v>24</v>
      </c>
      <c r="DB559" s="138" t="s">
        <v>4956</v>
      </c>
      <c r="DC559" s="134">
        <v>5</v>
      </c>
      <c r="DD559" s="134">
        <v>1.2</v>
      </c>
      <c r="DE559" s="134" t="s">
        <v>24</v>
      </c>
      <c r="DF559" s="434" t="s">
        <v>4972</v>
      </c>
      <c r="DG559" s="436" t="s">
        <v>2480</v>
      </c>
      <c r="DH559" s="822"/>
      <c r="DI559" s="417"/>
      <c r="DJ559" s="1169"/>
      <c r="DK559" s="417"/>
      <c r="DL559" s="1174"/>
      <c r="DM559" s="417"/>
      <c r="DN559" s="1169"/>
      <c r="DO559" s="1151"/>
      <c r="DP559" s="288"/>
      <c r="DQ559" s="441"/>
      <c r="DR559" s="1168"/>
      <c r="DS559" s="865"/>
      <c r="DT559" s="1276"/>
      <c r="DU559" s="417"/>
      <c r="DV559" s="121"/>
      <c r="DW559" s="417"/>
      <c r="DX559" s="1276"/>
      <c r="DY559" s="417"/>
      <c r="DZ559" s="1169"/>
      <c r="EA559" s="417"/>
      <c r="EB559" s="300"/>
      <c r="EC559" s="301"/>
      <c r="ED559" s="1276"/>
      <c r="EE559" s="417"/>
      <c r="EF559" s="121"/>
      <c r="EG559" s="417"/>
      <c r="EH559" s="427"/>
      <c r="EI559" s="417"/>
      <c r="EJ559" s="1169"/>
      <c r="EK559" s="417"/>
      <c r="EL559" s="304"/>
      <c r="EM559" s="312"/>
      <c r="EN559" s="309"/>
      <c r="EO559" s="1170"/>
      <c r="EP559" s="427"/>
      <c r="EQ559" s="121"/>
      <c r="ER559" s="121"/>
      <c r="ES559" s="121"/>
      <c r="ET559" s="1276"/>
      <c r="EU559" s="1169"/>
      <c r="EV559" s="1169"/>
      <c r="EW559" s="1169"/>
      <c r="EX559" s="312"/>
      <c r="EY559" s="312"/>
      <c r="EZ559" s="1276"/>
      <c r="FA559" s="121"/>
      <c r="FB559" s="121"/>
      <c r="FC559" s="121"/>
      <c r="FD559" s="1276"/>
      <c r="FE559" s="1169"/>
      <c r="FF559" s="1169"/>
      <c r="FG559" s="1169"/>
      <c r="FH559" s="312"/>
      <c r="FI559" s="312"/>
      <c r="FJ559" s="1170"/>
    </row>
    <row r="560" spans="1:166" ht="14" hidden="1" customHeight="1">
      <c r="A560" s="79" t="s">
        <v>208</v>
      </c>
      <c r="B560" s="362">
        <v>154</v>
      </c>
      <c r="C560" s="362">
        <v>49</v>
      </c>
      <c r="D560" s="362"/>
      <c r="E560" s="604" t="s">
        <v>1979</v>
      </c>
      <c r="F560" s="124" t="s">
        <v>2203</v>
      </c>
      <c r="G560" s="125">
        <v>2013</v>
      </c>
      <c r="H560" s="79">
        <v>23445934</v>
      </c>
      <c r="I560" s="79">
        <v>1</v>
      </c>
      <c r="J560" s="126"/>
      <c r="K560" s="127"/>
      <c r="L560" s="79">
        <v>1</v>
      </c>
      <c r="M560" s="79"/>
      <c r="N560" s="79">
        <v>1</v>
      </c>
      <c r="O560" s="128">
        <v>1</v>
      </c>
      <c r="P560" s="79" t="s">
        <v>596</v>
      </c>
      <c r="Q560" s="79" t="s">
        <v>1168</v>
      </c>
      <c r="R560" s="79" t="s">
        <v>594</v>
      </c>
      <c r="S560" s="79">
        <v>0</v>
      </c>
      <c r="T560" s="79"/>
      <c r="U560" s="79"/>
      <c r="V560" s="79"/>
      <c r="W560" s="79" t="s">
        <v>597</v>
      </c>
      <c r="X560" s="79" t="s">
        <v>595</v>
      </c>
      <c r="Y560" s="79"/>
      <c r="Z560" s="79"/>
      <c r="AA560" s="79"/>
      <c r="AB560" s="79"/>
      <c r="AC560" s="506"/>
      <c r="AD560" s="573">
        <v>1</v>
      </c>
      <c r="AE560" s="573">
        <v>2</v>
      </c>
      <c r="AF560" s="154">
        <v>1</v>
      </c>
      <c r="AG560" s="155" t="s">
        <v>8164</v>
      </c>
      <c r="AH560" s="704"/>
      <c r="AI560" s="121">
        <v>0</v>
      </c>
      <c r="AJ560" s="484" t="s">
        <v>4927</v>
      </c>
      <c r="AK560" s="498" t="s">
        <v>4926</v>
      </c>
      <c r="AL560" s="192">
        <v>1</v>
      </c>
      <c r="AM560" s="215">
        <v>0</v>
      </c>
      <c r="AN560" s="134">
        <f>Table66[[#This Row],[Data_Subjects_n_ptsd]]+Table66[[#This Row],[Data_Subjects_n_control]]</f>
        <v>103</v>
      </c>
      <c r="AO560" s="134">
        <v>81</v>
      </c>
      <c r="AP560" s="134">
        <f>22</f>
        <v>22</v>
      </c>
      <c r="AQ560" s="134" t="s">
        <v>4925</v>
      </c>
      <c r="AR560" s="134" t="s">
        <v>4925</v>
      </c>
      <c r="AS560" s="134">
        <v>55.5</v>
      </c>
      <c r="AT560" s="134">
        <v>6.5</v>
      </c>
      <c r="AU560" s="134">
        <v>49.3</v>
      </c>
      <c r="AV560" s="134">
        <v>6</v>
      </c>
      <c r="AW560" s="134" t="s">
        <v>7901</v>
      </c>
      <c r="AX560" s="134"/>
      <c r="AY560" s="134"/>
      <c r="AZ560" s="753" t="s">
        <v>7905</v>
      </c>
      <c r="BA560" s="134" t="s">
        <v>24</v>
      </c>
      <c r="BB560" s="134" t="s">
        <v>24</v>
      </c>
      <c r="BC560" s="134" t="s">
        <v>4924</v>
      </c>
      <c r="BD560" s="753" t="s">
        <v>7522</v>
      </c>
      <c r="BE560" s="1624">
        <v>0</v>
      </c>
      <c r="BF560" s="134" t="s">
        <v>7903</v>
      </c>
      <c r="BG560" s="134" t="s">
        <v>4928</v>
      </c>
      <c r="BH560" s="594"/>
      <c r="BI560" s="594"/>
      <c r="BJ560" s="156"/>
      <c r="BK560" s="156"/>
      <c r="BL560" s="156"/>
      <c r="BM560" s="156"/>
      <c r="BN560" s="156"/>
      <c r="BO560" s="156"/>
      <c r="BP560" s="156">
        <v>1</v>
      </c>
      <c r="BQ560" s="156"/>
      <c r="BR560" s="156"/>
      <c r="BS560" s="156"/>
      <c r="BT560" s="156"/>
      <c r="BU560" s="156"/>
      <c r="BV560" s="156"/>
      <c r="BW560" s="595" t="s">
        <v>4984</v>
      </c>
      <c r="BX560" s="157" t="s">
        <v>6609</v>
      </c>
      <c r="BY560" s="797" t="s">
        <v>7616</v>
      </c>
      <c r="BZ560" s="789" t="s">
        <v>7610</v>
      </c>
      <c r="CA560" s="811">
        <v>2</v>
      </c>
      <c r="CB560" s="660" t="s">
        <v>7556</v>
      </c>
      <c r="CC560" s="660" t="s">
        <v>7380</v>
      </c>
      <c r="CD560" s="134" t="s">
        <v>1876</v>
      </c>
      <c r="CE560" s="134" t="s">
        <v>4931</v>
      </c>
      <c r="CF560" s="400"/>
      <c r="CG560" s="134" t="s">
        <v>7912</v>
      </c>
      <c r="CH560" s="753" t="s">
        <v>7307</v>
      </c>
      <c r="CI560" s="134" t="s">
        <v>24</v>
      </c>
      <c r="CJ560" s="134"/>
      <c r="CK560" s="134" t="s">
        <v>7908</v>
      </c>
      <c r="CL560" s="134" t="s">
        <v>7827</v>
      </c>
      <c r="CM560" s="259" t="s">
        <v>4983</v>
      </c>
      <c r="CN560" s="454" t="s">
        <v>24</v>
      </c>
      <c r="CO560" s="828">
        <v>43</v>
      </c>
      <c r="CP560" s="828">
        <v>1</v>
      </c>
      <c r="CQ560" s="828">
        <v>6</v>
      </c>
      <c r="CR560" s="828">
        <v>1</v>
      </c>
      <c r="CS560" s="722">
        <v>-1</v>
      </c>
      <c r="CT560" s="967"/>
      <c r="CU560" s="1291" t="s">
        <v>8102</v>
      </c>
      <c r="CV560" s="1295">
        <v>2</v>
      </c>
      <c r="CW560" s="1295">
        <v>1</v>
      </c>
      <c r="CX560" s="138" t="s">
        <v>4953</v>
      </c>
      <c r="CY560" s="134">
        <v>3</v>
      </c>
      <c r="CZ560" s="134">
        <v>1.2</v>
      </c>
      <c r="DA560" s="134" t="s">
        <v>24</v>
      </c>
      <c r="DB560" s="138" t="s">
        <v>4956</v>
      </c>
      <c r="DC560" s="134">
        <v>5</v>
      </c>
      <c r="DD560" s="134">
        <v>1.2</v>
      </c>
      <c r="DE560" s="134" t="s">
        <v>24</v>
      </c>
      <c r="DF560" s="436" t="s">
        <v>4974</v>
      </c>
      <c r="DG560" s="436" t="s">
        <v>4975</v>
      </c>
      <c r="DH560" s="427"/>
      <c r="DI560" s="121"/>
      <c r="DJ560" s="1169"/>
      <c r="DK560" s="121"/>
      <c r="DL560" s="1174"/>
      <c r="DM560" s="121"/>
      <c r="DN560" s="1169"/>
      <c r="DO560" s="121"/>
      <c r="DP560" s="288"/>
      <c r="DQ560" s="289"/>
      <c r="DR560" s="280"/>
      <c r="DS560" s="865"/>
      <c r="DT560" s="1276"/>
      <c r="DU560" s="121"/>
      <c r="DV560" s="121"/>
      <c r="DW560" s="121"/>
      <c r="DX560" s="1276"/>
      <c r="DY560" s="121"/>
      <c r="DZ560" s="1169"/>
      <c r="EA560" s="121"/>
      <c r="EB560" s="300"/>
      <c r="EC560" s="301"/>
      <c r="ED560" s="1276"/>
      <c r="EE560" s="121"/>
      <c r="EF560" s="121"/>
      <c r="EG560" s="121"/>
      <c r="EH560" s="427"/>
      <c r="EI560" s="121"/>
      <c r="EJ560" s="1169"/>
      <c r="EK560" s="121"/>
      <c r="EL560" s="304"/>
      <c r="EM560" s="312"/>
      <c r="EN560" s="309"/>
      <c r="EO560" s="1170"/>
      <c r="EP560" s="427"/>
      <c r="EQ560" s="121"/>
      <c r="ER560" s="121"/>
      <c r="ES560" s="121"/>
      <c r="ET560" s="1276"/>
      <c r="EU560" s="121"/>
      <c r="EV560" s="121"/>
      <c r="EW560" s="121"/>
      <c r="EX560" s="301"/>
      <c r="EY560" s="301"/>
      <c r="EZ560" s="1276"/>
      <c r="FA560" s="121"/>
      <c r="FB560" s="121"/>
      <c r="FC560" s="121"/>
      <c r="FD560" s="1276"/>
      <c r="FE560" s="121"/>
      <c r="FF560" s="121"/>
      <c r="FG560" s="121"/>
      <c r="FH560" s="301"/>
      <c r="FI560" s="301"/>
      <c r="FJ560" s="1170"/>
    </row>
    <row r="561" spans="1:166" ht="14" hidden="1" customHeight="1">
      <c r="A561" s="79" t="s">
        <v>208</v>
      </c>
      <c r="B561" s="362">
        <v>154</v>
      </c>
      <c r="C561" s="362">
        <v>49</v>
      </c>
      <c r="D561" s="362"/>
      <c r="E561" s="604" t="s">
        <v>1979</v>
      </c>
      <c r="F561" s="124" t="s">
        <v>2203</v>
      </c>
      <c r="G561" s="125">
        <v>2013</v>
      </c>
      <c r="H561" s="79">
        <v>23445934</v>
      </c>
      <c r="I561" s="79">
        <v>1</v>
      </c>
      <c r="J561" s="126"/>
      <c r="K561" s="127"/>
      <c r="L561" s="79">
        <v>1</v>
      </c>
      <c r="M561" s="79"/>
      <c r="N561" s="79">
        <v>1</v>
      </c>
      <c r="O561" s="128">
        <v>1</v>
      </c>
      <c r="P561" s="79" t="s">
        <v>596</v>
      </c>
      <c r="Q561" s="79" t="s">
        <v>1168</v>
      </c>
      <c r="R561" s="79" t="s">
        <v>594</v>
      </c>
      <c r="S561" s="79">
        <v>0</v>
      </c>
      <c r="T561" s="79"/>
      <c r="U561" s="79"/>
      <c r="V561" s="79"/>
      <c r="W561" s="79" t="s">
        <v>597</v>
      </c>
      <c r="X561" s="79" t="s">
        <v>595</v>
      </c>
      <c r="Y561" s="79"/>
      <c r="Z561" s="79"/>
      <c r="AA561" s="79"/>
      <c r="AB561" s="79"/>
      <c r="AC561" s="506"/>
      <c r="AD561" s="573">
        <v>1</v>
      </c>
      <c r="AE561" s="573">
        <v>2</v>
      </c>
      <c r="AF561" s="154">
        <v>1</v>
      </c>
      <c r="AG561" s="155" t="s">
        <v>8164</v>
      </c>
      <c r="AH561" s="704"/>
      <c r="AI561" s="121">
        <v>0</v>
      </c>
      <c r="AJ561" s="484" t="s">
        <v>4927</v>
      </c>
      <c r="AK561" s="498" t="s">
        <v>4926</v>
      </c>
      <c r="AL561" s="192">
        <v>1</v>
      </c>
      <c r="AM561" s="215">
        <v>0</v>
      </c>
      <c r="AN561" s="134">
        <f>Table66[[#This Row],[Data_Subjects_n_ptsd]]+Table66[[#This Row],[Data_Subjects_n_control]]</f>
        <v>98</v>
      </c>
      <c r="AO561" s="134">
        <v>76</v>
      </c>
      <c r="AP561" s="134">
        <f>22</f>
        <v>22</v>
      </c>
      <c r="AQ561" s="134" t="s">
        <v>4925</v>
      </c>
      <c r="AR561" s="134" t="s">
        <v>4925</v>
      </c>
      <c r="AS561" s="134">
        <v>50.7</v>
      </c>
      <c r="AT561" s="134">
        <v>8</v>
      </c>
      <c r="AU561" s="134">
        <v>49.3</v>
      </c>
      <c r="AV561" s="134">
        <v>6</v>
      </c>
      <c r="AW561" s="134" t="s">
        <v>7902</v>
      </c>
      <c r="AX561" s="134"/>
      <c r="AY561" s="134"/>
      <c r="AZ561" s="753" t="s">
        <v>7905</v>
      </c>
      <c r="BA561" s="134" t="s">
        <v>24</v>
      </c>
      <c r="BB561" s="134" t="s">
        <v>24</v>
      </c>
      <c r="BC561" s="134" t="s">
        <v>4924</v>
      </c>
      <c r="BD561" s="753" t="s">
        <v>7522</v>
      </c>
      <c r="BE561" s="1624">
        <v>0</v>
      </c>
      <c r="BF561" s="134" t="s">
        <v>7904</v>
      </c>
      <c r="BG561" s="134" t="s">
        <v>4928</v>
      </c>
      <c r="BH561" s="594"/>
      <c r="BI561" s="594"/>
      <c r="BJ561" s="156"/>
      <c r="BK561" s="156"/>
      <c r="BL561" s="156"/>
      <c r="BM561" s="156"/>
      <c r="BN561" s="156"/>
      <c r="BO561" s="156"/>
      <c r="BP561" s="156">
        <v>1</v>
      </c>
      <c r="BQ561" s="156"/>
      <c r="BR561" s="156"/>
      <c r="BS561" s="156"/>
      <c r="BT561" s="156"/>
      <c r="BU561" s="156"/>
      <c r="BV561" s="156"/>
      <c r="BW561" s="595" t="s">
        <v>4984</v>
      </c>
      <c r="BX561" s="157" t="s">
        <v>6609</v>
      </c>
      <c r="BY561" s="797" t="s">
        <v>7616</v>
      </c>
      <c r="BZ561" s="789" t="s">
        <v>7610</v>
      </c>
      <c r="CA561" s="811">
        <v>2</v>
      </c>
      <c r="CB561" s="660" t="s">
        <v>7556</v>
      </c>
      <c r="CC561" s="660" t="s">
        <v>7380</v>
      </c>
      <c r="CD561" s="134" t="s">
        <v>1876</v>
      </c>
      <c r="CE561" s="134" t="s">
        <v>4931</v>
      </c>
      <c r="CF561" s="400"/>
      <c r="CG561" s="134" t="s">
        <v>7912</v>
      </c>
      <c r="CH561" s="753" t="s">
        <v>7307</v>
      </c>
      <c r="CI561" s="134" t="s">
        <v>24</v>
      </c>
      <c r="CJ561" s="134"/>
      <c r="CK561" s="134" t="s">
        <v>7908</v>
      </c>
      <c r="CL561" s="134" t="s">
        <v>7827</v>
      </c>
      <c r="CM561" s="259" t="s">
        <v>4983</v>
      </c>
      <c r="CN561" s="454" t="s">
        <v>24</v>
      </c>
      <c r="CO561" s="828">
        <v>43</v>
      </c>
      <c r="CP561" s="828">
        <v>1</v>
      </c>
      <c r="CQ561" s="828">
        <v>7</v>
      </c>
      <c r="CR561" s="828">
        <v>1</v>
      </c>
      <c r="CS561" s="722">
        <v>-1</v>
      </c>
      <c r="CT561" s="967"/>
      <c r="CU561" s="1291" t="s">
        <v>8102</v>
      </c>
      <c r="CV561" s="1295">
        <v>3</v>
      </c>
      <c r="CW561" s="1295">
        <v>1</v>
      </c>
      <c r="CX561" s="427" t="s">
        <v>4954</v>
      </c>
      <c r="CY561" s="134">
        <v>3.8</v>
      </c>
      <c r="CZ561" s="134">
        <v>1.4</v>
      </c>
      <c r="DA561" s="134" t="s">
        <v>24</v>
      </c>
      <c r="DB561" s="138" t="s">
        <v>4956</v>
      </c>
      <c r="DC561" s="134">
        <v>5</v>
      </c>
      <c r="DD561" s="134">
        <v>1.2</v>
      </c>
      <c r="DE561" s="134" t="s">
        <v>24</v>
      </c>
      <c r="DF561" s="300" t="s">
        <v>4973</v>
      </c>
      <c r="DG561" s="301" t="s">
        <v>2410</v>
      </c>
      <c r="DH561" s="427"/>
      <c r="DI561" s="121"/>
      <c r="DJ561" s="1169"/>
      <c r="DK561" s="121"/>
      <c r="DL561" s="1174"/>
      <c r="DM561" s="121"/>
      <c r="DN561" s="1169"/>
      <c r="DO561" s="121"/>
      <c r="DP561" s="288"/>
      <c r="DQ561" s="289"/>
      <c r="DR561" s="280"/>
      <c r="DS561" s="865"/>
      <c r="DT561" s="1276"/>
      <c r="DU561" s="121"/>
      <c r="DV561" s="121"/>
      <c r="DW561" s="121"/>
      <c r="DX561" s="1276"/>
      <c r="DY561" s="1169"/>
      <c r="DZ561" s="1169"/>
      <c r="EA561" s="1169"/>
      <c r="EB561" s="300"/>
      <c r="EC561" s="301"/>
      <c r="ED561" s="1276"/>
      <c r="EE561" s="121"/>
      <c r="EF561" s="121"/>
      <c r="EG561" s="121"/>
      <c r="EH561" s="427"/>
      <c r="EI561" s="1169"/>
      <c r="EJ561" s="1169"/>
      <c r="EK561" s="1169"/>
      <c r="EL561" s="304"/>
      <c r="EM561" s="312"/>
      <c r="EN561" s="309"/>
      <c r="EO561" s="1170"/>
      <c r="EP561" s="427"/>
      <c r="EQ561" s="121"/>
      <c r="ER561" s="121"/>
      <c r="ES561" s="121"/>
      <c r="ET561" s="1276"/>
      <c r="EU561" s="1169"/>
      <c r="EV561" s="1169"/>
      <c r="EW561" s="1169"/>
      <c r="EX561" s="312"/>
      <c r="EY561" s="312"/>
      <c r="EZ561" s="1276"/>
      <c r="FA561" s="121"/>
      <c r="FB561" s="121"/>
      <c r="FC561" s="121"/>
      <c r="FD561" s="1276"/>
      <c r="FE561" s="1169"/>
      <c r="FF561" s="1169"/>
      <c r="FG561" s="1169"/>
      <c r="FH561" s="312"/>
      <c r="FI561" s="312"/>
      <c r="FJ561" s="1170"/>
    </row>
    <row r="562" spans="1:166" ht="14" hidden="1" customHeight="1">
      <c r="A562" s="79" t="s">
        <v>365</v>
      </c>
      <c r="B562" s="362">
        <v>261</v>
      </c>
      <c r="C562" s="362">
        <v>94</v>
      </c>
      <c r="D562" s="362"/>
      <c r="E562" s="604" t="s">
        <v>2047</v>
      </c>
      <c r="F562" s="124" t="s">
        <v>2289</v>
      </c>
      <c r="G562" s="125">
        <v>2007</v>
      </c>
      <c r="H562" s="79">
        <v>17392739</v>
      </c>
      <c r="I562" s="79">
        <v>1</v>
      </c>
      <c r="J562" s="126"/>
      <c r="K562" s="127"/>
      <c r="L562" s="79">
        <v>1</v>
      </c>
      <c r="M562" s="79"/>
      <c r="N562" s="79">
        <v>1</v>
      </c>
      <c r="O562" s="128">
        <v>1</v>
      </c>
      <c r="P562" s="79" t="s">
        <v>938</v>
      </c>
      <c r="Q562" s="79" t="s">
        <v>1153</v>
      </c>
      <c r="R562" s="79" t="s">
        <v>25</v>
      </c>
      <c r="S562" s="79">
        <v>1</v>
      </c>
      <c r="T562" s="79"/>
      <c r="U562" s="79"/>
      <c r="V562" s="79"/>
      <c r="W562" s="79" t="s">
        <v>938</v>
      </c>
      <c r="X562" s="79"/>
      <c r="Y562" s="79" t="s">
        <v>565</v>
      </c>
      <c r="Z562" s="79"/>
      <c r="AA562" s="79"/>
      <c r="AB562" s="79"/>
      <c r="AC562" s="506"/>
      <c r="AD562" s="573">
        <v>1</v>
      </c>
      <c r="AE562" s="573">
        <v>2</v>
      </c>
      <c r="AF562" s="154">
        <v>1</v>
      </c>
      <c r="AG562" s="155"/>
      <c r="AH562" s="704"/>
      <c r="AI562" s="121">
        <v>2</v>
      </c>
      <c r="AJ562" s="484" t="s">
        <v>6111</v>
      </c>
      <c r="AK562" s="202" t="s">
        <v>6112</v>
      </c>
      <c r="AL562" s="192">
        <v>0</v>
      </c>
      <c r="AM562" s="203" t="s">
        <v>6104</v>
      </c>
      <c r="AN562" s="121">
        <f>Table66[[#This Row],[Data_Subjects_n_ptsd]]+Table66[[#This Row],[Data_Subjects_n_control]]</f>
        <v>30</v>
      </c>
      <c r="AO562" s="121">
        <v>13</v>
      </c>
      <c r="AP562" s="121">
        <v>17</v>
      </c>
      <c r="AQ562" s="121" t="s">
        <v>803</v>
      </c>
      <c r="AR562" s="121" t="s">
        <v>803</v>
      </c>
      <c r="AS562" s="121">
        <v>60.1</v>
      </c>
      <c r="AT562" s="121">
        <v>7.3</v>
      </c>
      <c r="AU562" s="121">
        <v>64.599999999999994</v>
      </c>
      <c r="AV562" s="121">
        <v>9.8000000000000007</v>
      </c>
      <c r="AW562" s="121" t="s">
        <v>6105</v>
      </c>
      <c r="AX562" s="121"/>
      <c r="AY562" s="121"/>
      <c r="AZ562" s="754" t="s">
        <v>1874</v>
      </c>
      <c r="BA562" s="121" t="s">
        <v>24</v>
      </c>
      <c r="BB562" s="121" t="s">
        <v>24</v>
      </c>
      <c r="BC562" s="121" t="s">
        <v>6106</v>
      </c>
      <c r="BD562" s="754" t="s">
        <v>7524</v>
      </c>
      <c r="BE562" s="187" t="s">
        <v>8154</v>
      </c>
      <c r="BF562" s="121" t="s">
        <v>3835</v>
      </c>
      <c r="BG562" s="121" t="s">
        <v>5976</v>
      </c>
      <c r="BH562" s="594"/>
      <c r="BI562" s="594"/>
      <c r="BJ562" s="156"/>
      <c r="BK562" s="156"/>
      <c r="BL562" s="156" t="s">
        <v>4727</v>
      </c>
      <c r="BM562" s="156"/>
      <c r="BN562" s="156"/>
      <c r="BO562" s="156"/>
      <c r="BP562" s="156">
        <v>1</v>
      </c>
      <c r="BQ562" s="156"/>
      <c r="BR562" s="156" t="s">
        <v>4727</v>
      </c>
      <c r="BS562" s="156"/>
      <c r="BT562" s="156"/>
      <c r="BU562" s="156"/>
      <c r="BV562" s="156"/>
      <c r="BW562" s="595" t="s">
        <v>6121</v>
      </c>
      <c r="BX562" s="157" t="s">
        <v>6611</v>
      </c>
      <c r="BY562" s="797" t="s">
        <v>7616</v>
      </c>
      <c r="BZ562" s="789" t="s">
        <v>803</v>
      </c>
      <c r="CA562" s="660">
        <v>2</v>
      </c>
      <c r="CB562" s="660" t="s">
        <v>7556</v>
      </c>
      <c r="CC562" s="854" t="s">
        <v>7380</v>
      </c>
      <c r="CD562" s="134" t="s">
        <v>1876</v>
      </c>
      <c r="CE562" s="134">
        <v>2</v>
      </c>
      <c r="CF562" s="400"/>
      <c r="CG562" s="134" t="s">
        <v>5965</v>
      </c>
      <c r="CH562" s="855" t="s">
        <v>7308</v>
      </c>
      <c r="CI562" s="134" t="s">
        <v>24</v>
      </c>
      <c r="CJ562" s="134"/>
      <c r="CK562" s="134" t="s">
        <v>6117</v>
      </c>
      <c r="CL562" s="134" t="s">
        <v>8252</v>
      </c>
      <c r="CM562" s="259" t="s">
        <v>6120</v>
      </c>
      <c r="CN562" s="454" t="s">
        <v>24</v>
      </c>
      <c r="CO562" s="828">
        <v>88</v>
      </c>
      <c r="CP562" s="828">
        <v>1</v>
      </c>
      <c r="CQ562" s="828">
        <v>3</v>
      </c>
      <c r="CR562" s="828">
        <v>1</v>
      </c>
      <c r="CS562" s="828">
        <v>1</v>
      </c>
      <c r="CT562" s="967"/>
      <c r="CU562" s="1288" t="s">
        <v>8103</v>
      </c>
      <c r="CV562" s="1294">
        <v>43</v>
      </c>
      <c r="CW562" s="1294">
        <v>37</v>
      </c>
      <c r="CX562" s="138" t="s">
        <v>6115</v>
      </c>
      <c r="CY562" s="532">
        <v>0.89200000000000002</v>
      </c>
      <c r="CZ562" s="134" t="s">
        <v>24</v>
      </c>
      <c r="DA562" s="134" t="s">
        <v>24</v>
      </c>
      <c r="DB562" s="138" t="s">
        <v>6114</v>
      </c>
      <c r="DC562" s="532">
        <v>0.95799999999999996</v>
      </c>
      <c r="DD562" s="134" t="s">
        <v>24</v>
      </c>
      <c r="DE562" s="134" t="s">
        <v>24</v>
      </c>
      <c r="DF562" s="300" t="s">
        <v>6116</v>
      </c>
      <c r="DG562" s="301" t="s">
        <v>6113</v>
      </c>
      <c r="DH562" s="1276"/>
      <c r="DI562" s="121"/>
      <c r="DJ562" s="121"/>
      <c r="DK562" s="121"/>
      <c r="DL562" s="1171"/>
      <c r="DM562" s="121"/>
      <c r="DN562" s="1169"/>
      <c r="DO562" s="121"/>
      <c r="DP562" s="288"/>
      <c r="DQ562" s="289"/>
      <c r="DR562" s="280"/>
      <c r="DS562" s="865"/>
      <c r="DT562" s="1171"/>
      <c r="DU562" s="1176"/>
      <c r="DV562" s="1169"/>
      <c r="DW562" s="1169"/>
      <c r="DX562" s="1171"/>
      <c r="DY562" s="1176"/>
      <c r="DZ562" s="1169"/>
      <c r="EA562" s="1169"/>
      <c r="EB562" s="304"/>
      <c r="EC562" s="312"/>
      <c r="ED562" s="1169"/>
      <c r="EE562" s="1169"/>
      <c r="EF562" s="1169"/>
      <c r="EG562" s="1169"/>
      <c r="EH562" s="1169"/>
      <c r="EI562" s="1169"/>
      <c r="EJ562" s="1169"/>
      <c r="EK562" s="1169"/>
      <c r="EL562" s="304"/>
      <c r="EM562" s="312"/>
      <c r="EN562" s="309"/>
      <c r="EO562" s="1170"/>
      <c r="EP562" s="1169"/>
      <c r="EQ562" s="1169"/>
      <c r="ER562" s="1169"/>
      <c r="ES562" s="1169"/>
      <c r="ET562" s="1171"/>
      <c r="EU562" s="1169"/>
      <c r="EV562" s="1169"/>
      <c r="EW562" s="1169"/>
      <c r="EX562" s="312"/>
      <c r="EY562" s="312"/>
      <c r="EZ562" s="1171"/>
      <c r="FA562" s="1169"/>
      <c r="FB562" s="1169"/>
      <c r="FC562" s="1169"/>
      <c r="FD562" s="1171"/>
      <c r="FE562" s="1169"/>
      <c r="FF562" s="1169"/>
      <c r="FG562" s="1169"/>
      <c r="FH562" s="312"/>
      <c r="FI562" s="312"/>
      <c r="FJ562" s="1170"/>
    </row>
    <row r="563" spans="1:166" ht="14" hidden="1" customHeight="1">
      <c r="A563" s="835" t="s">
        <v>105</v>
      </c>
      <c r="B563" s="836">
        <v>78</v>
      </c>
      <c r="C563" s="836">
        <v>10</v>
      </c>
      <c r="D563" s="836"/>
      <c r="E563" s="837" t="s">
        <v>1933</v>
      </c>
      <c r="F563" s="838" t="s">
        <v>2151</v>
      </c>
      <c r="G563" s="839">
        <v>2008</v>
      </c>
      <c r="H563" s="835">
        <v>17352380</v>
      </c>
      <c r="I563" s="835">
        <v>1</v>
      </c>
      <c r="J563" s="835"/>
      <c r="K563" s="835"/>
      <c r="L563" s="835">
        <v>1</v>
      </c>
      <c r="M563" s="835"/>
      <c r="N563" s="835">
        <v>1</v>
      </c>
      <c r="O563" s="840">
        <v>1</v>
      </c>
      <c r="P563" s="835" t="s">
        <v>73</v>
      </c>
      <c r="Q563" s="835" t="s">
        <v>1147</v>
      </c>
      <c r="R563" s="835" t="s">
        <v>25</v>
      </c>
      <c r="S563" s="835"/>
      <c r="T563" s="835"/>
      <c r="U563" s="835"/>
      <c r="V563" s="835"/>
      <c r="W563" s="835" t="s">
        <v>371</v>
      </c>
      <c r="X563" s="835"/>
      <c r="Y563" s="835"/>
      <c r="Z563" s="835"/>
      <c r="AA563" s="835"/>
      <c r="AB563" s="835" t="s">
        <v>372</v>
      </c>
      <c r="AC563" s="841"/>
      <c r="AD563" s="842">
        <v>1</v>
      </c>
      <c r="AE563" s="842">
        <v>2</v>
      </c>
      <c r="AF563" s="843">
        <v>1</v>
      </c>
      <c r="AG563" s="844" t="s">
        <v>7723</v>
      </c>
      <c r="AH563" s="845" t="s">
        <v>7722</v>
      </c>
      <c r="AI563" s="841">
        <v>2</v>
      </c>
      <c r="AJ563" s="846"/>
      <c r="AK563" s="847" t="s">
        <v>3903</v>
      </c>
      <c r="AL563" s="848">
        <v>1</v>
      </c>
      <c r="AM563" s="1596">
        <v>0</v>
      </c>
      <c r="AN563" s="855">
        <f>Table66[[#This Row],[Data_Subjects_n_ptsd]]+Table66[[#This Row],[Data_Subjects_n_control]]</f>
        <v>78</v>
      </c>
      <c r="AO563" s="855">
        <f>47</f>
        <v>47</v>
      </c>
      <c r="AP563" s="855">
        <v>31</v>
      </c>
      <c r="AQ563" s="855" t="s">
        <v>3897</v>
      </c>
      <c r="AR563" s="855" t="s">
        <v>803</v>
      </c>
      <c r="AS563" s="855">
        <v>54.73</v>
      </c>
      <c r="AT563" s="855">
        <v>12.83</v>
      </c>
      <c r="AU563" s="855">
        <v>60.59</v>
      </c>
      <c r="AV563" s="855">
        <v>13.83</v>
      </c>
      <c r="AW563" s="855" t="s">
        <v>1874</v>
      </c>
      <c r="AX563" s="855"/>
      <c r="AY563" s="855"/>
      <c r="AZ563" s="855" t="s">
        <v>1874</v>
      </c>
      <c r="BA563" s="855" t="s">
        <v>24</v>
      </c>
      <c r="BB563" s="855" t="s">
        <v>24</v>
      </c>
      <c r="BC563" s="855" t="s">
        <v>2423</v>
      </c>
      <c r="BD563" s="855" t="s">
        <v>7521</v>
      </c>
      <c r="BE563" s="1624">
        <v>1</v>
      </c>
      <c r="BF563" s="855" t="s">
        <v>3835</v>
      </c>
      <c r="BG563" s="855" t="s">
        <v>3894</v>
      </c>
      <c r="BH563" s="850"/>
      <c r="BI563" s="850"/>
      <c r="BJ563" s="851"/>
      <c r="BK563" s="851"/>
      <c r="BL563" s="851"/>
      <c r="BM563" s="851"/>
      <c r="BN563" s="851"/>
      <c r="BO563" s="851"/>
      <c r="BP563" s="851">
        <v>1</v>
      </c>
      <c r="BQ563" s="851"/>
      <c r="BR563" s="851"/>
      <c r="BS563" s="851"/>
      <c r="BT563" s="851"/>
      <c r="BU563" s="851"/>
      <c r="BV563" s="851"/>
      <c r="BW563" s="852" t="s">
        <v>3908</v>
      </c>
      <c r="BX563" s="162" t="s">
        <v>6609</v>
      </c>
      <c r="BY563" s="797" t="s">
        <v>7616</v>
      </c>
      <c r="BZ563" s="853" t="s">
        <v>803</v>
      </c>
      <c r="CA563" s="1801">
        <v>2</v>
      </c>
      <c r="CB563" s="1801" t="s">
        <v>7556</v>
      </c>
      <c r="CC563" s="854" t="s">
        <v>7380</v>
      </c>
      <c r="CD563" s="855" t="s">
        <v>1876</v>
      </c>
      <c r="CE563" s="855" t="s">
        <v>3901</v>
      </c>
      <c r="CF563" s="855"/>
      <c r="CG563" s="855" t="s">
        <v>3906</v>
      </c>
      <c r="CH563" s="855" t="s">
        <v>7308</v>
      </c>
      <c r="CI563" s="855" t="s">
        <v>24</v>
      </c>
      <c r="CJ563" s="855">
        <v>0</v>
      </c>
      <c r="CK563" s="855" t="s">
        <v>7731</v>
      </c>
      <c r="CL563" s="186" t="s">
        <v>8260</v>
      </c>
      <c r="CM563" s="856" t="s">
        <v>3923</v>
      </c>
      <c r="CN563" s="857" t="s">
        <v>24</v>
      </c>
      <c r="CO563" s="858">
        <v>5</v>
      </c>
      <c r="CP563" s="858">
        <v>1</v>
      </c>
      <c r="CQ563" s="858">
        <v>3</v>
      </c>
      <c r="CR563" s="858">
        <v>1</v>
      </c>
      <c r="CS563" s="858">
        <v>1</v>
      </c>
      <c r="CT563" s="970"/>
      <c r="CU563" s="1288" t="s">
        <v>8103</v>
      </c>
      <c r="CV563" s="1294">
        <v>8</v>
      </c>
      <c r="CW563" s="1294">
        <v>6</v>
      </c>
      <c r="CX563" s="859" t="s">
        <v>3909</v>
      </c>
      <c r="CY563" s="855">
        <v>6.3082399999999996</v>
      </c>
      <c r="CZ563" s="855" t="s">
        <v>24</v>
      </c>
      <c r="DA563" s="855">
        <f>6.84588-Table66[[#This Row],[Data_Outcome1_M]]</f>
        <v>0.53764000000000056</v>
      </c>
      <c r="DB563" s="859" t="s">
        <v>3911</v>
      </c>
      <c r="DC563" s="855">
        <v>7.7957000000000001</v>
      </c>
      <c r="DD563" s="855" t="s">
        <v>24</v>
      </c>
      <c r="DE563" s="855">
        <f>8.35125-Table66[[#This Row],[Data_Outcome2_M]]</f>
        <v>0.55555000000000021</v>
      </c>
      <c r="DF563" s="1798" t="s">
        <v>3918</v>
      </c>
      <c r="DG563" s="1792" t="s">
        <v>3919</v>
      </c>
      <c r="DH563" s="1239"/>
      <c r="DI563" s="835"/>
      <c r="DJ563" s="841"/>
      <c r="DK563" s="835"/>
      <c r="DL563" s="1235"/>
      <c r="DM563" s="835"/>
      <c r="DN563" s="1232"/>
      <c r="DO563" s="1159"/>
      <c r="DP563" s="860"/>
      <c r="DQ563" s="863"/>
      <c r="DR563" s="866"/>
      <c r="DS563" s="1251"/>
      <c r="DT563" s="1235"/>
      <c r="DU563" s="835"/>
      <c r="DV563" s="1232"/>
      <c r="DW563" s="835"/>
      <c r="DX563" s="1235"/>
      <c r="DY563" s="835"/>
      <c r="DZ563" s="1232"/>
      <c r="EA563" s="835"/>
      <c r="EB563" s="1237"/>
      <c r="EC563" s="1233"/>
      <c r="ED563" s="1235"/>
      <c r="EE563" s="835"/>
      <c r="EF563" s="1232"/>
      <c r="EG563" s="835"/>
      <c r="EH563" s="1232"/>
      <c r="EI563" s="835"/>
      <c r="EJ563" s="1232"/>
      <c r="EK563" s="835"/>
      <c r="EL563" s="1237"/>
      <c r="EM563" s="1233"/>
      <c r="EN563" s="1236"/>
      <c r="EO563" s="1234"/>
      <c r="EP563" s="1796"/>
      <c r="EQ563" s="835"/>
      <c r="ER563" s="835"/>
      <c r="ES563" s="835"/>
      <c r="ET563" s="1796"/>
      <c r="EU563" s="835"/>
      <c r="EV563" s="835"/>
      <c r="EW563" s="835"/>
      <c r="EX563" s="1795"/>
      <c r="EY563" s="1795"/>
      <c r="EZ563" s="1796"/>
      <c r="FA563" s="835"/>
      <c r="FB563" s="835"/>
      <c r="FC563" s="835"/>
      <c r="FD563" s="1796"/>
      <c r="FE563" s="835"/>
      <c r="FF563" s="835"/>
      <c r="FG563" s="835"/>
      <c r="FH563" s="1795"/>
      <c r="FI563" s="1795"/>
      <c r="FJ563" s="1234"/>
    </row>
    <row r="564" spans="1:166" ht="14" hidden="1" customHeight="1">
      <c r="A564" s="835" t="s">
        <v>105</v>
      </c>
      <c r="B564" s="836">
        <v>78</v>
      </c>
      <c r="C564" s="836">
        <v>10</v>
      </c>
      <c r="D564" s="836"/>
      <c r="E564" s="837" t="s">
        <v>1933</v>
      </c>
      <c r="F564" s="838" t="s">
        <v>2151</v>
      </c>
      <c r="G564" s="839">
        <v>2008</v>
      </c>
      <c r="H564" s="835">
        <v>17352380</v>
      </c>
      <c r="I564" s="835">
        <v>1</v>
      </c>
      <c r="J564" s="835"/>
      <c r="K564" s="835"/>
      <c r="L564" s="835">
        <v>1</v>
      </c>
      <c r="M564" s="835"/>
      <c r="N564" s="835">
        <v>1</v>
      </c>
      <c r="O564" s="840">
        <v>1</v>
      </c>
      <c r="P564" s="835" t="s">
        <v>73</v>
      </c>
      <c r="Q564" s="835" t="s">
        <v>1147</v>
      </c>
      <c r="R564" s="835" t="s">
        <v>25</v>
      </c>
      <c r="S564" s="835"/>
      <c r="T564" s="835"/>
      <c r="U564" s="835"/>
      <c r="V564" s="835"/>
      <c r="W564" s="835" t="s">
        <v>371</v>
      </c>
      <c r="X564" s="835"/>
      <c r="Y564" s="835"/>
      <c r="Z564" s="835"/>
      <c r="AA564" s="835"/>
      <c r="AB564" s="835" t="s">
        <v>372</v>
      </c>
      <c r="AC564" s="841"/>
      <c r="AD564" s="842">
        <v>1</v>
      </c>
      <c r="AE564" s="842">
        <v>2</v>
      </c>
      <c r="AF564" s="843">
        <v>1</v>
      </c>
      <c r="AG564" s="844" t="s">
        <v>7724</v>
      </c>
      <c r="AH564" s="845" t="s">
        <v>7722</v>
      </c>
      <c r="AI564" s="841">
        <v>2</v>
      </c>
      <c r="AJ564" s="846"/>
      <c r="AK564" s="847" t="s">
        <v>3903</v>
      </c>
      <c r="AL564" s="848">
        <v>1</v>
      </c>
      <c r="AM564" s="1596">
        <v>0</v>
      </c>
      <c r="AN564" s="855">
        <f>Table66[[#This Row],[Data_Subjects_n_ptsd]]+Table66[[#This Row],[Data_Subjects_n_control]]</f>
        <v>117</v>
      </c>
      <c r="AO564" s="855">
        <f>47</f>
        <v>47</v>
      </c>
      <c r="AP564" s="855">
        <v>70</v>
      </c>
      <c r="AQ564" s="855" t="s">
        <v>3897</v>
      </c>
      <c r="AR564" s="855" t="s">
        <v>3898</v>
      </c>
      <c r="AS564" s="855">
        <v>54.73</v>
      </c>
      <c r="AT564" s="855">
        <v>12.83</v>
      </c>
      <c r="AU564" s="855">
        <v>56.91</v>
      </c>
      <c r="AV564" s="855">
        <v>14.77</v>
      </c>
      <c r="AW564" s="855" t="s">
        <v>1874</v>
      </c>
      <c r="AX564" s="855"/>
      <c r="AY564" s="855"/>
      <c r="AZ564" s="855" t="s">
        <v>1874</v>
      </c>
      <c r="BA564" s="855" t="s">
        <v>24</v>
      </c>
      <c r="BB564" s="855" t="s">
        <v>24</v>
      </c>
      <c r="BC564" s="855" t="s">
        <v>7726</v>
      </c>
      <c r="BD564" s="855" t="s">
        <v>7522</v>
      </c>
      <c r="BE564" s="1624">
        <v>1</v>
      </c>
      <c r="BF564" s="855" t="s">
        <v>3835</v>
      </c>
      <c r="BG564" s="855" t="s">
        <v>3894</v>
      </c>
      <c r="BH564" s="850"/>
      <c r="BI564" s="850"/>
      <c r="BJ564" s="851"/>
      <c r="BK564" s="851"/>
      <c r="BL564" s="851"/>
      <c r="BM564" s="851"/>
      <c r="BN564" s="851"/>
      <c r="BO564" s="851"/>
      <c r="BP564" s="851">
        <v>1</v>
      </c>
      <c r="BQ564" s="851"/>
      <c r="BR564" s="851"/>
      <c r="BS564" s="851"/>
      <c r="BT564" s="851"/>
      <c r="BU564" s="851"/>
      <c r="BV564" s="851"/>
      <c r="BW564" s="852" t="s">
        <v>3908</v>
      </c>
      <c r="BX564" s="162" t="s">
        <v>6609</v>
      </c>
      <c r="BY564" s="797" t="s">
        <v>7616</v>
      </c>
      <c r="BZ564" s="853" t="s">
        <v>803</v>
      </c>
      <c r="CA564" s="1801">
        <v>2</v>
      </c>
      <c r="CB564" s="1801" t="s">
        <v>7556</v>
      </c>
      <c r="CC564" s="854" t="s">
        <v>7380</v>
      </c>
      <c r="CD564" s="855" t="s">
        <v>1876</v>
      </c>
      <c r="CE564" s="855" t="s">
        <v>3901</v>
      </c>
      <c r="CF564" s="855"/>
      <c r="CG564" s="855" t="s">
        <v>3906</v>
      </c>
      <c r="CH564" s="855" t="s">
        <v>7308</v>
      </c>
      <c r="CI564" s="855" t="s">
        <v>24</v>
      </c>
      <c r="CJ564" s="855">
        <v>0</v>
      </c>
      <c r="CK564" s="855" t="s">
        <v>7731</v>
      </c>
      <c r="CL564" s="186" t="s">
        <v>8260</v>
      </c>
      <c r="CM564" s="856" t="s">
        <v>3923</v>
      </c>
      <c r="CN564" s="857" t="s">
        <v>24</v>
      </c>
      <c r="CO564" s="858">
        <v>5</v>
      </c>
      <c r="CP564" s="858">
        <v>1</v>
      </c>
      <c r="CQ564" s="858">
        <v>4</v>
      </c>
      <c r="CR564" s="858">
        <v>1</v>
      </c>
      <c r="CS564" s="858">
        <v>1</v>
      </c>
      <c r="CT564" s="970"/>
      <c r="CU564" s="1288" t="s">
        <v>8102</v>
      </c>
      <c r="CV564" s="1294">
        <v>8</v>
      </c>
      <c r="CW564" s="1294">
        <v>7</v>
      </c>
      <c r="CX564" s="859" t="s">
        <v>3909</v>
      </c>
      <c r="CY564" s="855">
        <v>6.3082399999999996</v>
      </c>
      <c r="CZ564" s="855" t="s">
        <v>24</v>
      </c>
      <c r="DA564" s="855">
        <f>6.84588-Table66[[#This Row],[Data_Outcome1_M]]</f>
        <v>0.53764000000000056</v>
      </c>
      <c r="DB564" s="859" t="s">
        <v>3910</v>
      </c>
      <c r="DC564" s="855">
        <v>8.2616499999999995</v>
      </c>
      <c r="DD564" s="855" t="s">
        <v>24</v>
      </c>
      <c r="DE564" s="855">
        <f>8.65591-Table66[[#This Row],[Data_Outcome2_M]]</f>
        <v>0.39426000000000094</v>
      </c>
      <c r="DF564" s="1798" t="s">
        <v>3918</v>
      </c>
      <c r="DG564" s="1792" t="s">
        <v>3919</v>
      </c>
      <c r="DH564" s="841" t="s">
        <v>24</v>
      </c>
      <c r="DI564" s="841" t="s">
        <v>24</v>
      </c>
      <c r="DJ564" s="841" t="s">
        <v>24</v>
      </c>
      <c r="DK564" s="841" t="s">
        <v>24</v>
      </c>
      <c r="DL564" s="1232"/>
      <c r="DM564" s="841"/>
      <c r="DN564" s="1232"/>
      <c r="DO564" s="841"/>
      <c r="DP564" s="860"/>
      <c r="DQ564" s="861"/>
      <c r="DR564" s="1252"/>
      <c r="DS564" s="1251"/>
      <c r="DT564" s="1171"/>
      <c r="DU564" s="121"/>
      <c r="DV564" s="1169"/>
      <c r="DW564" s="121"/>
      <c r="DX564" s="1169"/>
      <c r="DY564" s="121"/>
      <c r="DZ564" s="1169"/>
      <c r="EA564" s="121"/>
      <c r="EB564" s="304"/>
      <c r="EC564" s="312"/>
      <c r="ED564" s="1169"/>
      <c r="EE564" s="121"/>
      <c r="EF564" s="1169"/>
      <c r="EG564" s="121"/>
      <c r="EH564" s="1169"/>
      <c r="EI564" s="121"/>
      <c r="EJ564" s="1169"/>
      <c r="EK564" s="121"/>
      <c r="EL564" s="304"/>
      <c r="EM564" s="312"/>
      <c r="EN564" s="276"/>
      <c r="EO564" s="277"/>
      <c r="EP564" s="1235"/>
      <c r="EQ564" s="1232"/>
      <c r="ER564" s="1232"/>
      <c r="ES564" s="1232"/>
      <c r="ET564" s="1235"/>
      <c r="EU564" s="1232"/>
      <c r="EV564" s="1232"/>
      <c r="EW564" s="1232"/>
      <c r="EX564" s="862"/>
      <c r="EY564" s="862"/>
      <c r="EZ564" s="1281"/>
      <c r="FA564" s="841"/>
      <c r="FB564" s="841"/>
      <c r="FC564" s="841"/>
      <c r="FD564" s="1281"/>
      <c r="FE564" s="1232"/>
      <c r="FF564" s="1232"/>
      <c r="FG564" s="1232"/>
      <c r="FH564" s="1233"/>
      <c r="FI564" s="1233"/>
      <c r="FJ564" s="1234"/>
    </row>
    <row r="565" spans="1:166" ht="14" hidden="1" customHeight="1">
      <c r="A565" s="1058" t="s">
        <v>105</v>
      </c>
      <c r="B565" s="1059">
        <v>78</v>
      </c>
      <c r="C565" s="1059">
        <v>10</v>
      </c>
      <c r="D565" s="1059"/>
      <c r="E565" s="1060" t="s">
        <v>1933</v>
      </c>
      <c r="F565" s="1061" t="s">
        <v>2151</v>
      </c>
      <c r="G565" s="1062">
        <v>2008</v>
      </c>
      <c r="H565" s="1058">
        <v>17352380</v>
      </c>
      <c r="I565" s="1058">
        <v>1</v>
      </c>
      <c r="J565" s="1058"/>
      <c r="K565" s="1058"/>
      <c r="L565" s="1058">
        <v>1</v>
      </c>
      <c r="M565" s="1058"/>
      <c r="N565" s="1058">
        <v>1</v>
      </c>
      <c r="O565" s="1063">
        <v>1</v>
      </c>
      <c r="P565" s="1058" t="s">
        <v>73</v>
      </c>
      <c r="Q565" s="1058" t="s">
        <v>1147</v>
      </c>
      <c r="R565" s="1058" t="s">
        <v>25</v>
      </c>
      <c r="S565" s="1058"/>
      <c r="T565" s="1058"/>
      <c r="U565" s="1058"/>
      <c r="V565" s="1058"/>
      <c r="W565" s="1058" t="s">
        <v>371</v>
      </c>
      <c r="X565" s="1058"/>
      <c r="Y565" s="1058"/>
      <c r="Z565" s="1058"/>
      <c r="AA565" s="1058"/>
      <c r="AB565" s="1058" t="s">
        <v>372</v>
      </c>
      <c r="AC565" s="1064"/>
      <c r="AD565" s="1065">
        <v>1</v>
      </c>
      <c r="AE565" s="1065">
        <v>2</v>
      </c>
      <c r="AF565" s="1066">
        <v>1</v>
      </c>
      <c r="AG565" s="1067" t="s">
        <v>8161</v>
      </c>
      <c r="AH565" s="1068"/>
      <c r="AI565" s="1064"/>
      <c r="AJ565" s="1069"/>
      <c r="AK565" s="1070"/>
      <c r="AL565" s="1071"/>
      <c r="AM565" s="1625"/>
      <c r="AN565" s="1079">
        <f>Table66[[#This Row],[Data_Subjects_n_ptsd]]+Table66[[#This Row],[Data_Subjects_n_ptsd]]</f>
        <v>62</v>
      </c>
      <c r="AO565" s="1079">
        <v>31</v>
      </c>
      <c r="AP565" s="1079">
        <v>70</v>
      </c>
      <c r="AQ565" s="1079" t="s">
        <v>803</v>
      </c>
      <c r="AR565" s="1079" t="s">
        <v>8157</v>
      </c>
      <c r="AS565" s="1079">
        <v>60.59</v>
      </c>
      <c r="AT565" s="1079">
        <v>13.83</v>
      </c>
      <c r="AU565" s="1079">
        <v>56.91</v>
      </c>
      <c r="AV565" s="1079">
        <v>14.77</v>
      </c>
      <c r="AW565" s="1079" t="s">
        <v>1874</v>
      </c>
      <c r="AX565" s="1079"/>
      <c r="AY565" s="1079"/>
      <c r="AZ565" s="1079" t="s">
        <v>1874</v>
      </c>
      <c r="BA565" s="1079" t="s">
        <v>24</v>
      </c>
      <c r="BB565" s="1079" t="s">
        <v>24</v>
      </c>
      <c r="BC565" s="1079" t="s">
        <v>7726</v>
      </c>
      <c r="BD565" s="1079" t="s">
        <v>7522</v>
      </c>
      <c r="BE565" s="1626">
        <v>1</v>
      </c>
      <c r="BF565" s="1079" t="s">
        <v>3835</v>
      </c>
      <c r="BG565" s="1645" t="s">
        <v>4508</v>
      </c>
      <c r="BH565" s="1073"/>
      <c r="BI565" s="1073"/>
      <c r="BJ565" s="1074"/>
      <c r="BK565" s="1074"/>
      <c r="BL565" s="1074"/>
      <c r="BM565" s="1074"/>
      <c r="BN565" s="1074"/>
      <c r="BO565" s="1074"/>
      <c r="BP565" s="1074">
        <v>1</v>
      </c>
      <c r="BQ565" s="1074"/>
      <c r="BR565" s="1074"/>
      <c r="BS565" s="1074"/>
      <c r="BT565" s="1074"/>
      <c r="BU565" s="1074"/>
      <c r="BV565" s="1074"/>
      <c r="BW565" s="1075" t="s">
        <v>3908</v>
      </c>
      <c r="BX565" s="1627" t="s">
        <v>6609</v>
      </c>
      <c r="BY565" s="1628" t="s">
        <v>7616</v>
      </c>
      <c r="BZ565" s="1078" t="s">
        <v>803</v>
      </c>
      <c r="CA565" s="1091">
        <v>2</v>
      </c>
      <c r="CB565" s="1091" t="s">
        <v>7556</v>
      </c>
      <c r="CC565" s="854" t="s">
        <v>7380</v>
      </c>
      <c r="CD565" s="1079" t="s">
        <v>1876</v>
      </c>
      <c r="CE565" s="1079" t="s">
        <v>3901</v>
      </c>
      <c r="CF565" s="1079"/>
      <c r="CG565" s="1079" t="s">
        <v>3906</v>
      </c>
      <c r="CH565" s="855" t="s">
        <v>7308</v>
      </c>
      <c r="CI565" s="1079" t="s">
        <v>24</v>
      </c>
      <c r="CJ565" s="1079">
        <v>0</v>
      </c>
      <c r="CK565" s="1079" t="s">
        <v>7731</v>
      </c>
      <c r="CL565" s="186" t="s">
        <v>8260</v>
      </c>
      <c r="CM565" s="1080"/>
      <c r="CN565" s="1081"/>
      <c r="CO565" s="1082"/>
      <c r="CP565" s="1082"/>
      <c r="CQ565" s="1082"/>
      <c r="CR565" s="1082"/>
      <c r="CS565" s="1082"/>
      <c r="CT565" s="1083"/>
      <c r="CU565" s="1630" t="s">
        <v>8155</v>
      </c>
      <c r="CV565" s="1631" t="s">
        <v>8159</v>
      </c>
      <c r="CW565" s="1631">
        <v>7</v>
      </c>
      <c r="CX565" s="1052" t="s">
        <v>3911</v>
      </c>
      <c r="CY565" s="1047">
        <v>7.7957000000000001</v>
      </c>
      <c r="CZ565" s="1047" t="s">
        <v>24</v>
      </c>
      <c r="DA565" s="1047">
        <f>8.35125-Table66[[#This Row],[Data_Outcome1_M]]</f>
        <v>0.55555000000000021</v>
      </c>
      <c r="DB565" s="1632" t="s">
        <v>3910</v>
      </c>
      <c r="DC565" s="1079">
        <v>8.2616499999999995</v>
      </c>
      <c r="DD565" s="1079" t="s">
        <v>24</v>
      </c>
      <c r="DE565" s="1079">
        <f>8.65591-Table66[[#This Row],[Data_Outcome2_M]]</f>
        <v>0.39426000000000094</v>
      </c>
      <c r="DF565" s="1633"/>
      <c r="DG565" s="1088"/>
      <c r="DH565" s="1064" t="s">
        <v>24</v>
      </c>
      <c r="DI565" s="1064" t="s">
        <v>24</v>
      </c>
      <c r="DJ565" s="1064" t="s">
        <v>24</v>
      </c>
      <c r="DK565" s="1064" t="s">
        <v>24</v>
      </c>
      <c r="DL565" s="1093"/>
      <c r="DM565" s="1064"/>
      <c r="DN565" s="1093"/>
      <c r="DO565" s="1064"/>
      <c r="DP565" s="1085"/>
      <c r="DQ565" s="1084"/>
      <c r="DR565" s="1199"/>
      <c r="DS565" s="1196"/>
      <c r="DT565" s="1637"/>
      <c r="DU565" s="1645"/>
      <c r="DV565" s="1639"/>
      <c r="DW565" s="1645"/>
      <c r="DX565" s="1639"/>
      <c r="DY565" s="1645"/>
      <c r="DZ565" s="1639"/>
      <c r="EA565" s="1645"/>
      <c r="EB565" s="1640"/>
      <c r="EC565" s="1641"/>
      <c r="ED565" s="1639"/>
      <c r="EE565" s="1645"/>
      <c r="EF565" s="1639"/>
      <c r="EG565" s="1645"/>
      <c r="EH565" s="1639"/>
      <c r="EI565" s="1645"/>
      <c r="EJ565" s="1639"/>
      <c r="EK565" s="1645"/>
      <c r="EL565" s="1640"/>
      <c r="EM565" s="1641"/>
      <c r="EN565" s="1676"/>
      <c r="EO565" s="1663"/>
      <c r="EP565" s="1197"/>
      <c r="EQ565" s="1093"/>
      <c r="ER565" s="1093"/>
      <c r="ES565" s="1093"/>
      <c r="ET565" s="1197"/>
      <c r="EU565" s="1093"/>
      <c r="EV565" s="1093"/>
      <c r="EW565" s="1093"/>
      <c r="EX565" s="1087"/>
      <c r="EY565" s="1087"/>
      <c r="EZ565" s="1197"/>
      <c r="FA565" s="1093"/>
      <c r="FB565" s="1093"/>
      <c r="FC565" s="1093"/>
      <c r="FD565" s="1197"/>
      <c r="FE565" s="1093"/>
      <c r="FF565" s="1093"/>
      <c r="FG565" s="1093"/>
      <c r="FH565" s="1087"/>
      <c r="FI565" s="1087"/>
      <c r="FJ565" s="1196"/>
    </row>
    <row r="566" spans="1:166" ht="14" hidden="1" customHeight="1">
      <c r="A566" s="118" t="s">
        <v>143</v>
      </c>
      <c r="B566" s="616">
        <v>109</v>
      </c>
      <c r="C566" s="616">
        <v>22</v>
      </c>
      <c r="D566" s="616"/>
      <c r="E566" s="605" t="s">
        <v>1951</v>
      </c>
      <c r="F566" s="140" t="s">
        <v>2170</v>
      </c>
      <c r="G566" s="141">
        <v>2009</v>
      </c>
      <c r="H566" s="118">
        <v>18800372</v>
      </c>
      <c r="I566" s="118">
        <v>1</v>
      </c>
      <c r="J566" s="118"/>
      <c r="K566" s="118"/>
      <c r="L566" s="118">
        <v>1</v>
      </c>
      <c r="M566" s="118"/>
      <c r="N566" s="118">
        <v>1</v>
      </c>
      <c r="O566" s="142">
        <v>1</v>
      </c>
      <c r="P566" s="118" t="s">
        <v>450</v>
      </c>
      <c r="Q566" s="118" t="s">
        <v>1147</v>
      </c>
      <c r="R566" s="118" t="s">
        <v>25</v>
      </c>
      <c r="S566" s="118">
        <v>1</v>
      </c>
      <c r="T566" s="118"/>
      <c r="U566" s="118"/>
      <c r="V566" s="118"/>
      <c r="W566" s="118" t="s">
        <v>449</v>
      </c>
      <c r="X566" s="118"/>
      <c r="Y566" s="118"/>
      <c r="Z566" s="118"/>
      <c r="AA566" s="118"/>
      <c r="AB566" s="118"/>
      <c r="AC566" s="145"/>
      <c r="AD566" s="573">
        <v>1</v>
      </c>
      <c r="AE566" s="573">
        <v>2</v>
      </c>
      <c r="AF566" s="159">
        <v>1</v>
      </c>
      <c r="AG566" s="160"/>
      <c r="AH566" s="704"/>
      <c r="AI566" s="122">
        <v>2</v>
      </c>
      <c r="AJ566" s="485"/>
      <c r="AK566" s="204" t="s">
        <v>4207</v>
      </c>
      <c r="AL566" s="192">
        <v>1</v>
      </c>
      <c r="AM566" s="205">
        <v>0</v>
      </c>
      <c r="AN566" s="122">
        <f>Table66[[#This Row],[Data_Subjects_n_ptsd]]+Table66[[#This Row],[Data_Subjects_n_control]]</f>
        <v>50</v>
      </c>
      <c r="AO566" s="122">
        <v>25</v>
      </c>
      <c r="AP566" s="122">
        <v>25</v>
      </c>
      <c r="AQ566" s="122" t="s">
        <v>803</v>
      </c>
      <c r="AR566" s="122" t="s">
        <v>803</v>
      </c>
      <c r="AS566" s="150">
        <v>33.32</v>
      </c>
      <c r="AT566" s="150">
        <v>4.76</v>
      </c>
      <c r="AU566" s="150">
        <v>34.799999999999997</v>
      </c>
      <c r="AV566" s="150">
        <v>4.5999999999999996</v>
      </c>
      <c r="AW566" s="150" t="s">
        <v>4160</v>
      </c>
      <c r="AX566" s="122"/>
      <c r="AY566" s="122"/>
      <c r="AZ566" s="754" t="s">
        <v>1874</v>
      </c>
      <c r="BA566" s="122" t="s">
        <v>24</v>
      </c>
      <c r="BB566" s="122" t="s">
        <v>24</v>
      </c>
      <c r="BC566" s="122" t="s">
        <v>4161</v>
      </c>
      <c r="BD566" s="754" t="s">
        <v>7521</v>
      </c>
      <c r="BE566" s="187">
        <v>0</v>
      </c>
      <c r="BF566" s="122" t="s">
        <v>3835</v>
      </c>
      <c r="BG566" s="122" t="s">
        <v>4162</v>
      </c>
      <c r="BH566" s="588"/>
      <c r="BI566" s="588"/>
      <c r="BJ566" s="161"/>
      <c r="BK566" s="161"/>
      <c r="BL566" s="161"/>
      <c r="BM566" s="161"/>
      <c r="BN566" s="161"/>
      <c r="BO566" s="161"/>
      <c r="BP566" s="161">
        <v>1</v>
      </c>
      <c r="BQ566" s="161"/>
      <c r="BR566" s="161"/>
      <c r="BS566" s="161"/>
      <c r="BT566" s="161"/>
      <c r="BU566" s="161"/>
      <c r="BV566" s="161"/>
      <c r="BW566" s="596" t="s">
        <v>4208</v>
      </c>
      <c r="BX566" s="162" t="s">
        <v>6609</v>
      </c>
      <c r="BY566" s="797" t="s">
        <v>7616</v>
      </c>
      <c r="BZ566" s="790" t="s">
        <v>803</v>
      </c>
      <c r="CA566" s="660">
        <v>2</v>
      </c>
      <c r="CB566" s="660" t="s">
        <v>7556</v>
      </c>
      <c r="CC566" s="854" t="s">
        <v>7380</v>
      </c>
      <c r="CD566" s="150" t="s">
        <v>1876</v>
      </c>
      <c r="CE566" s="150">
        <v>2</v>
      </c>
      <c r="CF566" s="400"/>
      <c r="CG566" s="150" t="s">
        <v>4180</v>
      </c>
      <c r="CH566" s="855" t="s">
        <v>7308</v>
      </c>
      <c r="CI566" s="150" t="s">
        <v>24</v>
      </c>
      <c r="CJ566" s="150">
        <v>1</v>
      </c>
      <c r="CK566" s="649" t="s">
        <v>4195</v>
      </c>
      <c r="CL566" s="186" t="s">
        <v>8260</v>
      </c>
      <c r="CM566" s="476" t="s">
        <v>4234</v>
      </c>
      <c r="CN566" s="622" t="s">
        <v>24</v>
      </c>
      <c r="CO566" s="831">
        <v>21</v>
      </c>
      <c r="CP566" s="831">
        <v>1</v>
      </c>
      <c r="CQ566" s="831">
        <v>12</v>
      </c>
      <c r="CR566" s="831">
        <v>1</v>
      </c>
      <c r="CS566" s="831">
        <v>1</v>
      </c>
      <c r="CT566" s="972"/>
      <c r="CU566" s="1288" t="s">
        <v>8103</v>
      </c>
      <c r="CV566" s="1294">
        <v>11</v>
      </c>
      <c r="CW566" s="1294">
        <v>10</v>
      </c>
      <c r="CX566" s="150" t="s">
        <v>4199</v>
      </c>
      <c r="CY566" s="150">
        <v>23.04</v>
      </c>
      <c r="CZ566" s="150">
        <v>8.84</v>
      </c>
      <c r="DA566" s="150"/>
      <c r="DB566" s="150" t="s">
        <v>4200</v>
      </c>
      <c r="DC566" s="150">
        <v>27.64</v>
      </c>
      <c r="DD566" s="150">
        <v>7.08</v>
      </c>
      <c r="DE566" s="150" t="s">
        <v>24</v>
      </c>
      <c r="DF566" s="440" t="s">
        <v>4219</v>
      </c>
      <c r="DG566" s="442" t="s">
        <v>4218</v>
      </c>
      <c r="DH566" s="122"/>
      <c r="DI566" s="122"/>
      <c r="DJ566" s="1164"/>
      <c r="DK566" s="122"/>
      <c r="DL566" s="1164"/>
      <c r="DM566" s="122"/>
      <c r="DN566" s="1164"/>
      <c r="DO566" s="122"/>
      <c r="DP566" s="290"/>
      <c r="DQ566" s="291"/>
      <c r="DR566" s="1168"/>
      <c r="DS566" s="865"/>
      <c r="DT566" s="1166"/>
      <c r="DU566" s="1164"/>
      <c r="DV566" s="1164"/>
      <c r="DW566" s="1164"/>
      <c r="DX566" s="1164"/>
      <c r="DY566" s="1164"/>
      <c r="DZ566" s="1164"/>
      <c r="EA566" s="1164"/>
      <c r="EB566" s="311"/>
      <c r="EC566" s="313"/>
      <c r="ED566" s="1164"/>
      <c r="EE566" s="1164"/>
      <c r="EF566" s="1164"/>
      <c r="EG566" s="1164"/>
      <c r="EH566" s="1164"/>
      <c r="EI566" s="1164"/>
      <c r="EJ566" s="1164"/>
      <c r="EK566" s="1164"/>
      <c r="EL566" s="311"/>
      <c r="EM566" s="313"/>
      <c r="EN566" s="1167"/>
      <c r="EO566" s="1165"/>
      <c r="EP566" s="1164"/>
      <c r="EQ566" s="1164"/>
      <c r="ER566" s="1164"/>
      <c r="ES566" s="1164"/>
      <c r="ET566" s="1164"/>
      <c r="EU566" s="1164"/>
      <c r="EV566" s="1164"/>
      <c r="EW566" s="1164"/>
      <c r="EX566" s="313"/>
      <c r="EY566" s="313"/>
      <c r="EZ566" s="1166"/>
      <c r="FA566" s="1164"/>
      <c r="FB566" s="1164"/>
      <c r="FC566" s="1164"/>
      <c r="FD566" s="1166"/>
      <c r="FE566" s="1164"/>
      <c r="FF566" s="1164"/>
      <c r="FG566" s="1164"/>
      <c r="FH566" s="313"/>
      <c r="FI566" s="313"/>
      <c r="FJ566" s="1165"/>
    </row>
    <row r="567" spans="1:166" ht="14" hidden="1" customHeight="1">
      <c r="A567" s="79" t="s">
        <v>280</v>
      </c>
      <c r="B567" s="617">
        <v>200</v>
      </c>
      <c r="C567" s="617">
        <v>70</v>
      </c>
      <c r="D567" s="617"/>
      <c r="E567" s="608" t="s">
        <v>2009</v>
      </c>
      <c r="F567" s="181" t="s">
        <v>2241</v>
      </c>
      <c r="G567" s="182">
        <v>2006</v>
      </c>
      <c r="H567" s="79">
        <v>17100516</v>
      </c>
      <c r="I567" s="79">
        <v>1</v>
      </c>
      <c r="J567" s="79"/>
      <c r="K567" s="79"/>
      <c r="L567" s="79">
        <v>1</v>
      </c>
      <c r="M567" s="79"/>
      <c r="N567" s="79">
        <v>1</v>
      </c>
      <c r="O567" s="128">
        <v>1</v>
      </c>
      <c r="P567" s="79" t="s">
        <v>735</v>
      </c>
      <c r="Q567" s="79" t="s">
        <v>1154</v>
      </c>
      <c r="R567" s="79" t="s">
        <v>736</v>
      </c>
      <c r="S567" s="79">
        <v>1</v>
      </c>
      <c r="T567" s="79"/>
      <c r="U567" s="79"/>
      <c r="V567" s="79"/>
      <c r="W567" s="79" t="s">
        <v>492</v>
      </c>
      <c r="X567" s="79" t="s">
        <v>24</v>
      </c>
      <c r="Y567" s="79" t="s">
        <v>24</v>
      </c>
      <c r="Z567" s="79" t="s">
        <v>737</v>
      </c>
      <c r="AA567" s="79"/>
      <c r="AB567" s="79"/>
      <c r="AC567" s="506"/>
      <c r="AD567" s="573">
        <v>1</v>
      </c>
      <c r="AE567" s="573">
        <v>2</v>
      </c>
      <c r="AF567" s="352">
        <v>1</v>
      </c>
      <c r="AG567" s="353"/>
      <c r="AH567" s="704"/>
      <c r="AI567" s="346">
        <v>2</v>
      </c>
      <c r="AJ567" s="487" t="s">
        <v>5426</v>
      </c>
      <c r="AK567" s="459" t="s">
        <v>5394</v>
      </c>
      <c r="AL567" s="348">
        <v>1</v>
      </c>
      <c r="AM567" s="349">
        <v>0</v>
      </c>
      <c r="AN567" s="346">
        <f>Table66[[#This Row],[Data_Subjects_n_ptsd]]+Table66[[#This Row],[Data_Subjects_n_control]]</f>
        <v>68</v>
      </c>
      <c r="AO567" s="346">
        <v>37</v>
      </c>
      <c r="AP567" s="346">
        <v>31</v>
      </c>
      <c r="AQ567" s="346" t="s">
        <v>5395</v>
      </c>
      <c r="AR567" s="346" t="s">
        <v>5395</v>
      </c>
      <c r="AS567" s="346">
        <v>47.89</v>
      </c>
      <c r="AT567" s="346">
        <v>9.4</v>
      </c>
      <c r="AU567" s="346">
        <v>46.42</v>
      </c>
      <c r="AV567" s="346">
        <v>9.6</v>
      </c>
      <c r="AW567" s="346" t="s">
        <v>5414</v>
      </c>
      <c r="AX567" s="346"/>
      <c r="AY567" s="346"/>
      <c r="AZ567" s="754" t="s">
        <v>1874</v>
      </c>
      <c r="BA567" s="346" t="s">
        <v>24</v>
      </c>
      <c r="BB567" s="346" t="s">
        <v>24</v>
      </c>
      <c r="BC567" s="346" t="s">
        <v>2423</v>
      </c>
      <c r="BD567" s="754" t="s">
        <v>7521</v>
      </c>
      <c r="BE567" s="187">
        <v>0</v>
      </c>
      <c r="BF567" s="346" t="s">
        <v>3835</v>
      </c>
      <c r="BG567" s="346" t="s">
        <v>5209</v>
      </c>
      <c r="BH567" s="598"/>
      <c r="BI567" s="598"/>
      <c r="BJ567" s="184"/>
      <c r="BK567" s="184"/>
      <c r="BL567" s="184" t="s">
        <v>4727</v>
      </c>
      <c r="BM567" s="184"/>
      <c r="BN567" s="184"/>
      <c r="BO567" s="184" t="s">
        <v>4727</v>
      </c>
      <c r="BP567" s="184">
        <v>1</v>
      </c>
      <c r="BQ567" s="184"/>
      <c r="BR567" s="184" t="s">
        <v>4727</v>
      </c>
      <c r="BS567" s="184"/>
      <c r="BT567" s="184" t="s">
        <v>4727</v>
      </c>
      <c r="BU567" s="184"/>
      <c r="BV567" s="184"/>
      <c r="BW567" s="600" t="s">
        <v>5398</v>
      </c>
      <c r="BX567" s="185" t="s">
        <v>6611</v>
      </c>
      <c r="BY567" s="797" t="s">
        <v>7616</v>
      </c>
      <c r="BZ567" s="789" t="s">
        <v>803</v>
      </c>
      <c r="CA567" s="811">
        <v>2</v>
      </c>
      <c r="CB567" s="660" t="s">
        <v>7556</v>
      </c>
      <c r="CC567" s="854" t="s">
        <v>7380</v>
      </c>
      <c r="CD567" s="186" t="s">
        <v>1876</v>
      </c>
      <c r="CE567" s="186" t="s">
        <v>5396</v>
      </c>
      <c r="CF567" s="400"/>
      <c r="CG567" s="186" t="s">
        <v>8006</v>
      </c>
      <c r="CH567" s="855" t="s">
        <v>7308</v>
      </c>
      <c r="CI567" s="186" t="s">
        <v>24</v>
      </c>
      <c r="CJ567" s="186"/>
      <c r="CK567" s="186" t="s">
        <v>8254</v>
      </c>
      <c r="CL567" s="186" t="s">
        <v>8260</v>
      </c>
      <c r="CM567" s="261" t="s">
        <v>5430</v>
      </c>
      <c r="CN567" s="620" t="s">
        <v>6630</v>
      </c>
      <c r="CO567" s="830">
        <v>64</v>
      </c>
      <c r="CP567" s="830">
        <v>1</v>
      </c>
      <c r="CQ567" s="830">
        <v>5</v>
      </c>
      <c r="CR567" s="830">
        <v>1</v>
      </c>
      <c r="CS567" s="830">
        <v>1</v>
      </c>
      <c r="CT567" s="969"/>
      <c r="CU567" s="1288" t="s">
        <v>8103</v>
      </c>
      <c r="CV567" s="1294">
        <v>33</v>
      </c>
      <c r="CW567" s="1294">
        <v>26</v>
      </c>
      <c r="CX567" s="186" t="s">
        <v>5410</v>
      </c>
      <c r="CY567" s="186">
        <v>27.91</v>
      </c>
      <c r="CZ567" s="186">
        <v>7.73</v>
      </c>
      <c r="DA567" s="186" t="s">
        <v>24</v>
      </c>
      <c r="DB567" s="186" t="s">
        <v>5411</v>
      </c>
      <c r="DC567" s="186">
        <v>32.81</v>
      </c>
      <c r="DD567" s="186">
        <v>5.77</v>
      </c>
      <c r="DE567" s="186"/>
      <c r="DF567" s="315" t="s">
        <v>5379</v>
      </c>
      <c r="DG567" s="315" t="s">
        <v>5425</v>
      </c>
      <c r="DH567" s="1278"/>
      <c r="DI567" s="346"/>
      <c r="DJ567" s="1189"/>
      <c r="DK567" s="346"/>
      <c r="DL567" s="1192"/>
      <c r="DM567" s="346"/>
      <c r="DN567" s="1189"/>
      <c r="DO567" s="346"/>
      <c r="DP567" s="294"/>
      <c r="DQ567" s="295"/>
      <c r="DR567" s="1168"/>
      <c r="DS567" s="865"/>
      <c r="DT567" s="1192"/>
      <c r="DU567" s="1189"/>
      <c r="DV567" s="1189"/>
      <c r="DW567" s="1189"/>
      <c r="DX567" s="1192"/>
      <c r="DY567" s="1189"/>
      <c r="DZ567" s="1189"/>
      <c r="EA567" s="1189"/>
      <c r="EB567" s="1193"/>
      <c r="EC567" s="1190"/>
      <c r="ED567" s="1189"/>
      <c r="EE567" s="1189"/>
      <c r="EF567" s="1189"/>
      <c r="EG567" s="1189"/>
      <c r="EH567" s="1189"/>
      <c r="EI567" s="1189"/>
      <c r="EJ567" s="1189"/>
      <c r="EK567" s="1189"/>
      <c r="EL567" s="1193"/>
      <c r="EM567" s="1190"/>
      <c r="EN567" s="1168"/>
      <c r="EO567" s="1191"/>
      <c r="EP567" s="1189"/>
      <c r="EQ567" s="1189"/>
      <c r="ER567" s="1189"/>
      <c r="ES567" s="1189"/>
      <c r="ET567" s="1189"/>
      <c r="EU567" s="1189"/>
      <c r="EV567" s="1189"/>
      <c r="EW567" s="1189"/>
      <c r="EX567" s="1190"/>
      <c r="EY567" s="1190"/>
      <c r="EZ567" s="1189"/>
      <c r="FA567" s="1189"/>
      <c r="FB567" s="1189"/>
      <c r="FC567" s="1189"/>
      <c r="FD567" s="1189"/>
      <c r="FE567" s="1189"/>
      <c r="FF567" s="1189"/>
      <c r="FG567" s="1189"/>
      <c r="FH567" s="1190"/>
      <c r="FI567" s="1190"/>
      <c r="FJ567" s="1191"/>
    </row>
    <row r="568" spans="1:166" ht="14" hidden="1" customHeight="1">
      <c r="A568" s="79" t="s">
        <v>355</v>
      </c>
      <c r="B568" s="362">
        <v>255</v>
      </c>
      <c r="C568" s="362">
        <v>91</v>
      </c>
      <c r="D568" s="362"/>
      <c r="E568" s="604" t="s">
        <v>2044</v>
      </c>
      <c r="F568" s="124" t="s">
        <v>2283</v>
      </c>
      <c r="G568" s="125">
        <v>2009</v>
      </c>
      <c r="H568" s="79">
        <v>19703322</v>
      </c>
      <c r="I568" s="79">
        <v>1</v>
      </c>
      <c r="J568" s="126"/>
      <c r="K568" s="127"/>
      <c r="L568" s="79">
        <v>1</v>
      </c>
      <c r="M568" s="79"/>
      <c r="N568" s="79">
        <v>1</v>
      </c>
      <c r="O568" s="128">
        <v>1</v>
      </c>
      <c r="P568" s="79" t="s">
        <v>457</v>
      </c>
      <c r="Q568" s="79" t="s">
        <v>1147</v>
      </c>
      <c r="R568" s="79" t="s">
        <v>819</v>
      </c>
      <c r="S568" s="79">
        <v>1</v>
      </c>
      <c r="T568" s="79"/>
      <c r="U568" s="79"/>
      <c r="V568" s="79"/>
      <c r="W568" s="79"/>
      <c r="X568" s="79" t="s">
        <v>917</v>
      </c>
      <c r="Y568" s="79"/>
      <c r="Z568" s="79"/>
      <c r="AA568" s="79"/>
      <c r="AB568" s="79"/>
      <c r="AC568" s="506"/>
      <c r="AD568" s="573">
        <v>1</v>
      </c>
      <c r="AE568" s="573">
        <v>2</v>
      </c>
      <c r="AF568" s="154">
        <v>1</v>
      </c>
      <c r="AG568" s="155"/>
      <c r="AH568" s="704"/>
      <c r="AI568" s="121">
        <v>2</v>
      </c>
      <c r="AJ568" s="484" t="s">
        <v>5915</v>
      </c>
      <c r="AK568" s="202" t="s">
        <v>5916</v>
      </c>
      <c r="AL568" s="192">
        <v>1</v>
      </c>
      <c r="AM568" s="203">
        <v>0</v>
      </c>
      <c r="AN568" s="121">
        <v>95</v>
      </c>
      <c r="AO568" s="121">
        <f>23+25</f>
        <v>48</v>
      </c>
      <c r="AP568" s="121">
        <f>19+28</f>
        <v>47</v>
      </c>
      <c r="AQ568" s="121" t="s">
        <v>5914</v>
      </c>
      <c r="AR568" s="121" t="s">
        <v>5914</v>
      </c>
      <c r="AS568" s="121">
        <f>AVERAGE(50.2,48.3)</f>
        <v>49.25</v>
      </c>
      <c r="AT568" s="121">
        <f>AVERAGE(7.3,9)</f>
        <v>8.15</v>
      </c>
      <c r="AU568" s="121">
        <f>AVERAGE(47.1,45.9)</f>
        <v>46.5</v>
      </c>
      <c r="AV568" s="121">
        <f>AVERAGE(11.1,9.5)</f>
        <v>10.3</v>
      </c>
      <c r="AW568" s="121" t="s">
        <v>5913</v>
      </c>
      <c r="AX568" s="121"/>
      <c r="AY568" s="121"/>
      <c r="AZ568" s="754" t="s">
        <v>1874</v>
      </c>
      <c r="BA568" s="121" t="s">
        <v>24</v>
      </c>
      <c r="BB568" s="121" t="s">
        <v>24</v>
      </c>
      <c r="BC568" s="121" t="s">
        <v>5912</v>
      </c>
      <c r="BD568" s="754" t="s">
        <v>7521</v>
      </c>
      <c r="BE568" s="187">
        <v>0</v>
      </c>
      <c r="BF568" s="121" t="s">
        <v>3835</v>
      </c>
      <c r="BG568" s="121" t="s">
        <v>5911</v>
      </c>
      <c r="BH568" s="594"/>
      <c r="BI568" s="594"/>
      <c r="BJ568" s="156"/>
      <c r="BK568" s="156"/>
      <c r="BL568" s="156"/>
      <c r="BM568" s="156"/>
      <c r="BN568" s="156"/>
      <c r="BO568" s="156"/>
      <c r="BP568" s="156">
        <v>1</v>
      </c>
      <c r="BQ568" s="156"/>
      <c r="BR568" s="156"/>
      <c r="BS568" s="156"/>
      <c r="BT568" s="156"/>
      <c r="BU568" s="156"/>
      <c r="BV568" s="156"/>
      <c r="BW568" s="595" t="s">
        <v>5923</v>
      </c>
      <c r="BX568" s="157" t="s">
        <v>6609</v>
      </c>
      <c r="BY568" s="797" t="s">
        <v>7616</v>
      </c>
      <c r="BZ568" s="789" t="s">
        <v>803</v>
      </c>
      <c r="CA568" s="660">
        <v>2</v>
      </c>
      <c r="CB568" s="660" t="s">
        <v>7556</v>
      </c>
      <c r="CC568" s="854" t="s">
        <v>7380</v>
      </c>
      <c r="CD568" s="134" t="s">
        <v>1876</v>
      </c>
      <c r="CE568" s="134" t="s">
        <v>5917</v>
      </c>
      <c r="CF568" s="400"/>
      <c r="CG568" s="134" t="s">
        <v>5920</v>
      </c>
      <c r="CH568" s="855" t="s">
        <v>7308</v>
      </c>
      <c r="CI568" s="134" t="s">
        <v>24</v>
      </c>
      <c r="CJ568" s="134"/>
      <c r="CK568" s="134" t="s">
        <v>5926</v>
      </c>
      <c r="CL568" s="186" t="s">
        <v>8260</v>
      </c>
      <c r="CM568" s="259" t="s">
        <v>5957</v>
      </c>
      <c r="CN568" s="454" t="s">
        <v>24</v>
      </c>
      <c r="CO568" s="828">
        <v>85</v>
      </c>
      <c r="CP568" s="828">
        <v>1</v>
      </c>
      <c r="CQ568" s="828">
        <v>6</v>
      </c>
      <c r="CR568" s="828">
        <v>1</v>
      </c>
      <c r="CS568" s="828">
        <v>1</v>
      </c>
      <c r="CT568" s="967"/>
      <c r="CU568" s="1288" t="s">
        <v>8103</v>
      </c>
      <c r="CV568" s="1294">
        <v>41</v>
      </c>
      <c r="CW568" s="1294">
        <v>35</v>
      </c>
      <c r="CX568" s="138" t="s">
        <v>5932</v>
      </c>
      <c r="CY568" s="134">
        <v>23.6</v>
      </c>
      <c r="CZ568" s="134">
        <v>7.3</v>
      </c>
      <c r="DA568" s="134" t="s">
        <v>24</v>
      </c>
      <c r="DB568" s="138" t="s">
        <v>5933</v>
      </c>
      <c r="DC568" s="134">
        <v>27.7</v>
      </c>
      <c r="DD568" s="134">
        <v>7.2</v>
      </c>
      <c r="DE568" s="134" t="s">
        <v>24</v>
      </c>
      <c r="DF568" s="435" t="s">
        <v>24</v>
      </c>
      <c r="DG568" s="437" t="s">
        <v>24</v>
      </c>
      <c r="DH568" s="1276"/>
      <c r="DI568" s="121"/>
      <c r="DJ568" s="1169"/>
      <c r="DK568" s="121"/>
      <c r="DL568" s="1171"/>
      <c r="DM568" s="121"/>
      <c r="DN568" s="1169"/>
      <c r="DO568" s="121"/>
      <c r="DP568" s="288"/>
      <c r="DQ568" s="289"/>
      <c r="DR568" s="1168"/>
      <c r="DS568" s="865"/>
      <c r="DT568" s="1171"/>
      <c r="DU568" s="121"/>
      <c r="DV568" s="1169"/>
      <c r="DW568" s="121"/>
      <c r="DX568" s="1171"/>
      <c r="DY568" s="1169"/>
      <c r="DZ568" s="1169"/>
      <c r="EA568" s="1169"/>
      <c r="EB568" s="304"/>
      <c r="EC568" s="312"/>
      <c r="ED568" s="1171"/>
      <c r="EE568" s="121"/>
      <c r="EF568" s="1169"/>
      <c r="EG568" s="121"/>
      <c r="EH568" s="1171"/>
      <c r="EI568" s="1169"/>
      <c r="EJ568" s="1169"/>
      <c r="EK568" s="1169"/>
      <c r="EL568" s="304"/>
      <c r="EM568" s="312"/>
      <c r="EN568" s="309"/>
      <c r="EO568" s="1170"/>
      <c r="EP568" s="121"/>
      <c r="EQ568" s="121"/>
      <c r="ER568" s="1169"/>
      <c r="ES568" s="121"/>
      <c r="ET568" s="1276"/>
      <c r="EU568" s="1169"/>
      <c r="EV568" s="1169"/>
      <c r="EW568" s="1169"/>
      <c r="EX568" s="312"/>
      <c r="EY568" s="312"/>
      <c r="EZ568" s="1171"/>
      <c r="FA568" s="121"/>
      <c r="FB568" s="121"/>
      <c r="FC568" s="121"/>
      <c r="FD568" s="1276"/>
      <c r="FE568" s="1169"/>
      <c r="FF568" s="1169"/>
      <c r="FG568" s="1169"/>
      <c r="FH568" s="312"/>
      <c r="FI568" s="312"/>
      <c r="FJ568" s="1170"/>
    </row>
    <row r="569" spans="1:166" ht="14" hidden="1" customHeight="1">
      <c r="A569" s="79" t="s">
        <v>365</v>
      </c>
      <c r="B569" s="362">
        <v>261</v>
      </c>
      <c r="C569" s="362">
        <v>94</v>
      </c>
      <c r="D569" s="362"/>
      <c r="E569" s="604" t="s">
        <v>2047</v>
      </c>
      <c r="F569" s="124" t="s">
        <v>2289</v>
      </c>
      <c r="G569" s="125">
        <v>2007</v>
      </c>
      <c r="H569" s="79">
        <v>17392739</v>
      </c>
      <c r="I569" s="79">
        <v>1</v>
      </c>
      <c r="J569" s="126"/>
      <c r="K569" s="127"/>
      <c r="L569" s="79">
        <v>1</v>
      </c>
      <c r="M569" s="79"/>
      <c r="N569" s="79">
        <v>1</v>
      </c>
      <c r="O569" s="128">
        <v>1</v>
      </c>
      <c r="P569" s="79" t="s">
        <v>938</v>
      </c>
      <c r="Q569" s="79" t="s">
        <v>1153</v>
      </c>
      <c r="R569" s="79" t="s">
        <v>25</v>
      </c>
      <c r="S569" s="79">
        <v>1</v>
      </c>
      <c r="T569" s="79"/>
      <c r="U569" s="79"/>
      <c r="V569" s="79"/>
      <c r="W569" s="79" t="s">
        <v>938</v>
      </c>
      <c r="X569" s="79"/>
      <c r="Y569" s="79" t="s">
        <v>565</v>
      </c>
      <c r="Z569" s="79"/>
      <c r="AA569" s="79"/>
      <c r="AB569" s="79"/>
      <c r="AC569" s="506"/>
      <c r="AD569" s="573">
        <v>1</v>
      </c>
      <c r="AE569" s="573">
        <v>2</v>
      </c>
      <c r="AF569" s="154">
        <v>1</v>
      </c>
      <c r="AG569" s="155"/>
      <c r="AH569" s="704"/>
      <c r="AI569" s="121">
        <v>2</v>
      </c>
      <c r="AJ569" s="484" t="s">
        <v>6111</v>
      </c>
      <c r="AK569" s="202" t="s">
        <v>6112</v>
      </c>
      <c r="AL569" s="192">
        <v>0</v>
      </c>
      <c r="AM569" s="203" t="s">
        <v>6104</v>
      </c>
      <c r="AN569" s="121">
        <f>Table66[[#This Row],[Data_Subjects_n_ptsd]]+Table66[[#This Row],[Data_Subjects_n_control]]</f>
        <v>30</v>
      </c>
      <c r="AO569" s="121">
        <v>13</v>
      </c>
      <c r="AP569" s="121">
        <v>17</v>
      </c>
      <c r="AQ569" s="121" t="s">
        <v>803</v>
      </c>
      <c r="AR569" s="121" t="s">
        <v>803</v>
      </c>
      <c r="AS569" s="121">
        <v>60.1</v>
      </c>
      <c r="AT569" s="121">
        <v>7.3</v>
      </c>
      <c r="AU569" s="121">
        <v>64.599999999999994</v>
      </c>
      <c r="AV569" s="121">
        <v>9.8000000000000007</v>
      </c>
      <c r="AW569" s="121" t="s">
        <v>6105</v>
      </c>
      <c r="AX569" s="121"/>
      <c r="AY569" s="121"/>
      <c r="AZ569" s="754" t="s">
        <v>1874</v>
      </c>
      <c r="BA569" s="121" t="s">
        <v>24</v>
      </c>
      <c r="BB569" s="121" t="s">
        <v>24</v>
      </c>
      <c r="BC569" s="121" t="s">
        <v>6106</v>
      </c>
      <c r="BD569" s="754" t="s">
        <v>7524</v>
      </c>
      <c r="BE569" s="187" t="s">
        <v>8154</v>
      </c>
      <c r="BF569" s="121" t="s">
        <v>3835</v>
      </c>
      <c r="BG569" s="121" t="s">
        <v>5976</v>
      </c>
      <c r="BH569" s="594"/>
      <c r="BI569" s="594"/>
      <c r="BJ569" s="156"/>
      <c r="BK569" s="156"/>
      <c r="BL569" s="156" t="s">
        <v>4727</v>
      </c>
      <c r="BM569" s="156"/>
      <c r="BN569" s="156"/>
      <c r="BO569" s="156"/>
      <c r="BP569" s="156">
        <v>1</v>
      </c>
      <c r="BQ569" s="156"/>
      <c r="BR569" s="156" t="s">
        <v>4727</v>
      </c>
      <c r="BS569" s="156"/>
      <c r="BT569" s="156"/>
      <c r="BU569" s="156"/>
      <c r="BV569" s="156"/>
      <c r="BW569" s="595" t="s">
        <v>6121</v>
      </c>
      <c r="BX569" s="157" t="s">
        <v>6611</v>
      </c>
      <c r="BY569" s="797" t="s">
        <v>7616</v>
      </c>
      <c r="BZ569" s="789" t="s">
        <v>803</v>
      </c>
      <c r="CA569" s="660">
        <v>2</v>
      </c>
      <c r="CB569" s="660" t="s">
        <v>7556</v>
      </c>
      <c r="CC569" s="854" t="s">
        <v>7380</v>
      </c>
      <c r="CD569" s="134" t="s">
        <v>1876</v>
      </c>
      <c r="CE569" s="134">
        <v>2</v>
      </c>
      <c r="CF569" s="400"/>
      <c r="CG569" s="134" t="s">
        <v>5965</v>
      </c>
      <c r="CH569" s="855" t="s">
        <v>7308</v>
      </c>
      <c r="CI569" s="134" t="s">
        <v>24</v>
      </c>
      <c r="CJ569" s="134"/>
      <c r="CK569" s="134" t="s">
        <v>6117</v>
      </c>
      <c r="CL569" s="186" t="s">
        <v>8260</v>
      </c>
      <c r="CM569" s="259" t="s">
        <v>6120</v>
      </c>
      <c r="CN569" s="454" t="s">
        <v>24</v>
      </c>
      <c r="CO569" s="828">
        <v>88</v>
      </c>
      <c r="CP569" s="828">
        <v>1</v>
      </c>
      <c r="CQ569" s="828">
        <v>2</v>
      </c>
      <c r="CR569" s="828">
        <v>1</v>
      </c>
      <c r="CS569" s="828">
        <v>1</v>
      </c>
      <c r="CT569" s="967"/>
      <c r="CU569" s="1288" t="s">
        <v>8103</v>
      </c>
      <c r="CV569" s="1294">
        <v>43</v>
      </c>
      <c r="CW569" s="1294">
        <v>37</v>
      </c>
      <c r="CX569" s="138" t="s">
        <v>6107</v>
      </c>
      <c r="CY569" s="134">
        <v>9.6</v>
      </c>
      <c r="CZ569" s="134" t="s">
        <v>24</v>
      </c>
      <c r="DA569" s="134">
        <v>1.2</v>
      </c>
      <c r="DB569" s="138" t="s">
        <v>6108</v>
      </c>
      <c r="DC569" s="134">
        <v>12.1</v>
      </c>
      <c r="DD569" s="134" t="s">
        <v>24</v>
      </c>
      <c r="DE569" s="134">
        <v>1.1000000000000001</v>
      </c>
      <c r="DF569" s="280" t="s">
        <v>6119</v>
      </c>
      <c r="DG569" s="310" t="s">
        <v>6118</v>
      </c>
      <c r="DH569" s="1276"/>
      <c r="DI569" s="121"/>
      <c r="DJ569" s="1169"/>
      <c r="DK569" s="121"/>
      <c r="DL569" s="1171"/>
      <c r="DM569" s="121"/>
      <c r="DN569" s="1169"/>
      <c r="DO569" s="121"/>
      <c r="DP569" s="288"/>
      <c r="DQ569" s="289"/>
      <c r="DR569" s="280"/>
      <c r="DS569" s="865"/>
      <c r="DT569" s="1171"/>
      <c r="DU569" s="1800"/>
      <c r="DV569" s="1169"/>
      <c r="DW569" s="121"/>
      <c r="DX569" s="1171"/>
      <c r="DY569" s="1800"/>
      <c r="DZ569" s="1169"/>
      <c r="EA569" s="121"/>
      <c r="EB569" s="304"/>
      <c r="EC569" s="312"/>
      <c r="ED569" s="1169"/>
      <c r="EE569" s="1169"/>
      <c r="EF569" s="1169"/>
      <c r="EG569" s="1169"/>
      <c r="EH569" s="1169"/>
      <c r="EI569" s="1169"/>
      <c r="EJ569" s="1169"/>
      <c r="EK569" s="1169"/>
      <c r="EL569" s="304"/>
      <c r="EM569" s="312"/>
      <c r="EN569" s="309"/>
      <c r="EO569" s="1170"/>
      <c r="EP569" s="1169"/>
      <c r="EQ569" s="1169"/>
      <c r="ER569" s="1169"/>
      <c r="ES569" s="1169"/>
      <c r="ET569" s="1171"/>
      <c r="EU569" s="1169"/>
      <c r="EV569" s="1169"/>
      <c r="EW569" s="1169"/>
      <c r="EX569" s="312"/>
      <c r="EY569" s="312"/>
      <c r="EZ569" s="1171"/>
      <c r="FA569" s="1169"/>
      <c r="FB569" s="1169"/>
      <c r="FC569" s="1169"/>
      <c r="FD569" s="1171"/>
      <c r="FE569" s="1169"/>
      <c r="FF569" s="1169"/>
      <c r="FG569" s="1169"/>
      <c r="FH569" s="312"/>
      <c r="FI569" s="312"/>
      <c r="FJ569" s="1170"/>
    </row>
    <row r="570" spans="1:166" ht="14" hidden="1" customHeight="1">
      <c r="A570" s="79" t="s">
        <v>208</v>
      </c>
      <c r="B570" s="362">
        <v>154</v>
      </c>
      <c r="C570" s="362">
        <v>49</v>
      </c>
      <c r="D570" s="362"/>
      <c r="E570" s="604" t="s">
        <v>1979</v>
      </c>
      <c r="F570" s="124" t="s">
        <v>2203</v>
      </c>
      <c r="G570" s="125">
        <v>2013</v>
      </c>
      <c r="H570" s="79">
        <v>23445934</v>
      </c>
      <c r="I570" s="79">
        <v>1</v>
      </c>
      <c r="J570" s="126"/>
      <c r="K570" s="127"/>
      <c r="L570" s="79">
        <v>1</v>
      </c>
      <c r="M570" s="79"/>
      <c r="N570" s="79">
        <v>1</v>
      </c>
      <c r="O570" s="128">
        <v>1</v>
      </c>
      <c r="P570" s="79" t="s">
        <v>596</v>
      </c>
      <c r="Q570" s="79" t="s">
        <v>1168</v>
      </c>
      <c r="R570" s="79" t="s">
        <v>594</v>
      </c>
      <c r="S570" s="79">
        <v>0</v>
      </c>
      <c r="T570" s="79"/>
      <c r="U570" s="79"/>
      <c r="V570" s="79"/>
      <c r="W570" s="79" t="s">
        <v>597</v>
      </c>
      <c r="X570" s="79" t="s">
        <v>595</v>
      </c>
      <c r="Y570" s="79"/>
      <c r="Z570" s="79"/>
      <c r="AA570" s="79"/>
      <c r="AB570" s="79"/>
      <c r="AC570" s="506"/>
      <c r="AD570" s="573">
        <v>1</v>
      </c>
      <c r="AE570" s="573">
        <v>2</v>
      </c>
      <c r="AF570" s="154">
        <v>1</v>
      </c>
      <c r="AG570" s="155" t="s">
        <v>8164</v>
      </c>
      <c r="AH570" s="704"/>
      <c r="AI570" s="121">
        <v>0</v>
      </c>
      <c r="AJ570" s="484" t="s">
        <v>4927</v>
      </c>
      <c r="AK570" s="498" t="s">
        <v>4926</v>
      </c>
      <c r="AL570" s="192">
        <v>1</v>
      </c>
      <c r="AM570" s="215">
        <v>0</v>
      </c>
      <c r="AN570" s="134">
        <f>Table66[[#This Row],[Data_Subjects_n_ptsd]]+Table66[[#This Row],[Data_Subjects_n_control]]</f>
        <v>50</v>
      </c>
      <c r="AO570" s="134">
        <v>28</v>
      </c>
      <c r="AP570" s="134">
        <f>22</f>
        <v>22</v>
      </c>
      <c r="AQ570" s="134" t="s">
        <v>4925</v>
      </c>
      <c r="AR570" s="134" t="s">
        <v>4925</v>
      </c>
      <c r="AS570" s="134">
        <v>50.7</v>
      </c>
      <c r="AT570" s="134">
        <v>6.3</v>
      </c>
      <c r="AU570" s="134">
        <v>49.3</v>
      </c>
      <c r="AV570" s="134">
        <v>6</v>
      </c>
      <c r="AW570" s="134" t="s">
        <v>7906</v>
      </c>
      <c r="AX570" s="134"/>
      <c r="AY570" s="134"/>
      <c r="AZ570" s="753" t="s">
        <v>1874</v>
      </c>
      <c r="BA570" s="134" t="s">
        <v>24</v>
      </c>
      <c r="BB570" s="134" t="s">
        <v>24</v>
      </c>
      <c r="BC570" s="134" t="s">
        <v>4924</v>
      </c>
      <c r="BD570" s="753" t="s">
        <v>7522</v>
      </c>
      <c r="BE570" s="1624">
        <v>0</v>
      </c>
      <c r="BF570" s="134" t="s">
        <v>376</v>
      </c>
      <c r="BG570" s="134" t="s">
        <v>4928</v>
      </c>
      <c r="BH570" s="594"/>
      <c r="BI570" s="594"/>
      <c r="BJ570" s="156"/>
      <c r="BK570" s="156"/>
      <c r="BL570" s="156"/>
      <c r="BM570" s="156"/>
      <c r="BN570" s="156"/>
      <c r="BO570" s="156"/>
      <c r="BP570" s="156">
        <v>1</v>
      </c>
      <c r="BQ570" s="156"/>
      <c r="BR570" s="156"/>
      <c r="BS570" s="156"/>
      <c r="BT570" s="156"/>
      <c r="BU570" s="156"/>
      <c r="BV570" s="156"/>
      <c r="BW570" s="595" t="s">
        <v>4984</v>
      </c>
      <c r="BX570" s="157" t="s">
        <v>6609</v>
      </c>
      <c r="BY570" s="797" t="s">
        <v>7616</v>
      </c>
      <c r="BZ570" s="789" t="s">
        <v>7610</v>
      </c>
      <c r="CA570" s="811">
        <v>2</v>
      </c>
      <c r="CB570" s="660" t="s">
        <v>7556</v>
      </c>
      <c r="CC570" s="660" t="s">
        <v>7380</v>
      </c>
      <c r="CD570" s="134" t="s">
        <v>1876</v>
      </c>
      <c r="CE570" s="134" t="s">
        <v>4931</v>
      </c>
      <c r="CF570" s="400"/>
      <c r="CG570" s="134" t="s">
        <v>7912</v>
      </c>
      <c r="CH570" s="753" t="s">
        <v>7307</v>
      </c>
      <c r="CI570" s="134" t="s">
        <v>24</v>
      </c>
      <c r="CJ570" s="134"/>
      <c r="CK570" s="134" t="s">
        <v>7908</v>
      </c>
      <c r="CL570" s="134" t="s">
        <v>7827</v>
      </c>
      <c r="CM570" s="259" t="s">
        <v>4983</v>
      </c>
      <c r="CN570" s="454" t="s">
        <v>24</v>
      </c>
      <c r="CO570" s="828">
        <v>43</v>
      </c>
      <c r="CP570" s="828">
        <v>1</v>
      </c>
      <c r="CQ570" s="828">
        <v>8</v>
      </c>
      <c r="CR570" s="828">
        <v>1</v>
      </c>
      <c r="CS570" s="722">
        <v>-1</v>
      </c>
      <c r="CT570" s="967"/>
      <c r="CU570" s="1291" t="s">
        <v>8102</v>
      </c>
      <c r="CV570" s="1295">
        <v>4</v>
      </c>
      <c r="CW570" s="1295">
        <v>1</v>
      </c>
      <c r="CX570" s="427" t="s">
        <v>4955</v>
      </c>
      <c r="CY570" s="134">
        <v>3.8</v>
      </c>
      <c r="CZ570" s="134">
        <v>0.9</v>
      </c>
      <c r="DA570" s="480" t="s">
        <v>24</v>
      </c>
      <c r="DB570" s="138" t="s">
        <v>4956</v>
      </c>
      <c r="DC570" s="134">
        <v>5</v>
      </c>
      <c r="DD570" s="134">
        <v>1.2</v>
      </c>
      <c r="DE570" s="134" t="s">
        <v>24</v>
      </c>
      <c r="DF570" s="549"/>
      <c r="DG570" s="551"/>
      <c r="DH570" s="427"/>
      <c r="DI570" s="121"/>
      <c r="DJ570" s="1169"/>
      <c r="DK570" s="121"/>
      <c r="DL570" s="1174"/>
      <c r="DM570" s="121"/>
      <c r="DN570" s="1169"/>
      <c r="DO570" s="121"/>
      <c r="DP570" s="288"/>
      <c r="DQ570" s="289"/>
      <c r="DR570" s="1168"/>
      <c r="DS570" s="865"/>
      <c r="DT570" s="1171"/>
      <c r="DU570" s="1169"/>
      <c r="DV570" s="1169"/>
      <c r="DW570" s="1169"/>
      <c r="DX570" s="1171"/>
      <c r="DY570" s="1169"/>
      <c r="DZ570" s="1169"/>
      <c r="EA570" s="1169"/>
      <c r="EB570" s="304"/>
      <c r="EC570" s="312"/>
      <c r="ED570" s="1171"/>
      <c r="EE570" s="1169"/>
      <c r="EF570" s="1169"/>
      <c r="EG570" s="1169"/>
      <c r="EH570" s="1174"/>
      <c r="EI570" s="1169"/>
      <c r="EJ570" s="1169"/>
      <c r="EK570" s="1169"/>
      <c r="EL570" s="304"/>
      <c r="EM570" s="312"/>
      <c r="EN570" s="309"/>
      <c r="EO570" s="1170"/>
      <c r="EP570" s="1174"/>
      <c r="EQ570" s="1169"/>
      <c r="ER570" s="1169"/>
      <c r="ES570" s="1169"/>
      <c r="ET570" s="1171"/>
      <c r="EU570" s="1169"/>
      <c r="EV570" s="1169"/>
      <c r="EW570" s="1169"/>
      <c r="EX570" s="312"/>
      <c r="EY570" s="312"/>
      <c r="EZ570" s="1171"/>
      <c r="FA570" s="1169"/>
      <c r="FB570" s="1169"/>
      <c r="FC570" s="1169"/>
      <c r="FD570" s="1171"/>
      <c r="FE570" s="1169"/>
      <c r="FF570" s="1169"/>
      <c r="FG570" s="1169"/>
      <c r="FH570" s="312"/>
      <c r="FI570" s="312"/>
      <c r="FJ570" s="1170"/>
    </row>
    <row r="571" spans="1:166" ht="14" hidden="1" customHeight="1">
      <c r="A571" s="79" t="s">
        <v>208</v>
      </c>
      <c r="B571" s="362">
        <v>154</v>
      </c>
      <c r="C571" s="362">
        <v>49</v>
      </c>
      <c r="D571" s="362"/>
      <c r="E571" s="604" t="s">
        <v>1979</v>
      </c>
      <c r="F571" s="124" t="s">
        <v>2203</v>
      </c>
      <c r="G571" s="125">
        <v>2013</v>
      </c>
      <c r="H571" s="79">
        <v>23445934</v>
      </c>
      <c r="I571" s="79">
        <v>1</v>
      </c>
      <c r="J571" s="126"/>
      <c r="K571" s="127"/>
      <c r="L571" s="79">
        <v>1</v>
      </c>
      <c r="M571" s="79"/>
      <c r="N571" s="79">
        <v>1</v>
      </c>
      <c r="O571" s="128">
        <v>1</v>
      </c>
      <c r="P571" s="79" t="s">
        <v>596</v>
      </c>
      <c r="Q571" s="79" t="s">
        <v>1168</v>
      </c>
      <c r="R571" s="79" t="s">
        <v>594</v>
      </c>
      <c r="S571" s="79">
        <v>0</v>
      </c>
      <c r="T571" s="79"/>
      <c r="U571" s="79"/>
      <c r="V571" s="79"/>
      <c r="W571" s="79" t="s">
        <v>597</v>
      </c>
      <c r="X571" s="79" t="s">
        <v>595</v>
      </c>
      <c r="Y571" s="79"/>
      <c r="Z571" s="79"/>
      <c r="AA571" s="79"/>
      <c r="AB571" s="79"/>
      <c r="AC571" s="506"/>
      <c r="AD571" s="573">
        <v>1</v>
      </c>
      <c r="AE571" s="573">
        <v>2</v>
      </c>
      <c r="AF571" s="154">
        <v>1</v>
      </c>
      <c r="AG571" s="155" t="s">
        <v>8164</v>
      </c>
      <c r="AH571" s="704"/>
      <c r="AI571" s="121">
        <v>0</v>
      </c>
      <c r="AJ571" s="484" t="s">
        <v>4927</v>
      </c>
      <c r="AK571" s="498" t="s">
        <v>4926</v>
      </c>
      <c r="AL571" s="192">
        <v>1</v>
      </c>
      <c r="AM571" s="215">
        <v>0</v>
      </c>
      <c r="AN571" s="134">
        <f>Table66[[#This Row],[Data_Subjects_n_ptsd]]+Table66[[#This Row],[Data_Subjects_n_control]]</f>
        <v>56</v>
      </c>
      <c r="AO571" s="134">
        <v>34</v>
      </c>
      <c r="AP571" s="134">
        <f>22</f>
        <v>22</v>
      </c>
      <c r="AQ571" s="134" t="s">
        <v>4925</v>
      </c>
      <c r="AR571" s="134" t="s">
        <v>4925</v>
      </c>
      <c r="AS571" s="134">
        <v>58.3</v>
      </c>
      <c r="AT571" s="134">
        <v>6.3</v>
      </c>
      <c r="AU571" s="134">
        <v>49.3</v>
      </c>
      <c r="AV571" s="134">
        <v>6</v>
      </c>
      <c r="AW571" s="134" t="s">
        <v>7900</v>
      </c>
      <c r="AX571" s="134"/>
      <c r="AY571" s="134"/>
      <c r="AZ571" s="753" t="s">
        <v>7905</v>
      </c>
      <c r="BA571" s="134" t="s">
        <v>24</v>
      </c>
      <c r="BB571" s="134" t="s">
        <v>24</v>
      </c>
      <c r="BC571" s="134" t="s">
        <v>4924</v>
      </c>
      <c r="BD571" s="753" t="s">
        <v>7522</v>
      </c>
      <c r="BE571" s="1624">
        <v>0</v>
      </c>
      <c r="BF571" s="134" t="s">
        <v>7903</v>
      </c>
      <c r="BG571" s="134" t="s">
        <v>4928</v>
      </c>
      <c r="BH571" s="594"/>
      <c r="BI571" s="594"/>
      <c r="BJ571" s="156"/>
      <c r="BK571" s="156"/>
      <c r="BL571" s="156"/>
      <c r="BM571" s="156"/>
      <c r="BN571" s="156"/>
      <c r="BO571" s="156"/>
      <c r="BP571" s="156">
        <v>1</v>
      </c>
      <c r="BQ571" s="156"/>
      <c r="BR571" s="156"/>
      <c r="BS571" s="156"/>
      <c r="BT571" s="156"/>
      <c r="BU571" s="156"/>
      <c r="BV571" s="156"/>
      <c r="BW571" s="595" t="s">
        <v>4984</v>
      </c>
      <c r="BX571" s="157" t="s">
        <v>6609</v>
      </c>
      <c r="BY571" s="797" t="s">
        <v>7616</v>
      </c>
      <c r="BZ571" s="789" t="s">
        <v>7610</v>
      </c>
      <c r="CA571" s="769">
        <v>2</v>
      </c>
      <c r="CB571" s="765" t="s">
        <v>7556</v>
      </c>
      <c r="CC571" s="660" t="s">
        <v>7380</v>
      </c>
      <c r="CD571" s="134" t="s">
        <v>1876</v>
      </c>
      <c r="CE571" s="134" t="s">
        <v>4931</v>
      </c>
      <c r="CF571" s="400"/>
      <c r="CG571" s="134" t="s">
        <v>7911</v>
      </c>
      <c r="CH571" s="753" t="s">
        <v>7307</v>
      </c>
      <c r="CI571" s="134" t="s">
        <v>24</v>
      </c>
      <c r="CJ571" s="134"/>
      <c r="CK571" s="134" t="s">
        <v>7907</v>
      </c>
      <c r="CL571" s="134" t="s">
        <v>7826</v>
      </c>
      <c r="CM571" s="259" t="s">
        <v>4983</v>
      </c>
      <c r="CN571" s="454" t="s">
        <v>24</v>
      </c>
      <c r="CO571" s="828">
        <v>43</v>
      </c>
      <c r="CP571" s="828">
        <v>1</v>
      </c>
      <c r="CQ571" s="828">
        <v>1</v>
      </c>
      <c r="CR571" s="828">
        <v>1</v>
      </c>
      <c r="CS571" s="828">
        <v>1</v>
      </c>
      <c r="CT571" s="967"/>
      <c r="CU571" s="1291" t="s">
        <v>8102</v>
      </c>
      <c r="CV571" s="1295">
        <v>1</v>
      </c>
      <c r="CW571" s="1295">
        <v>1</v>
      </c>
      <c r="CX571" s="138" t="s">
        <v>4947</v>
      </c>
      <c r="CY571" s="134">
        <v>32.1</v>
      </c>
      <c r="CZ571" s="134">
        <v>6.2</v>
      </c>
      <c r="DA571" s="134" t="s">
        <v>24</v>
      </c>
      <c r="DB571" s="138" t="s">
        <v>4951</v>
      </c>
      <c r="DC571" s="134">
        <v>41.7</v>
      </c>
      <c r="DD571" s="168">
        <v>5.4</v>
      </c>
      <c r="DE571" s="134" t="s">
        <v>24</v>
      </c>
      <c r="DF571" s="294" t="s">
        <v>4967</v>
      </c>
      <c r="DG571" s="295" t="s">
        <v>2555</v>
      </c>
      <c r="DH571" s="1179"/>
      <c r="DI571" s="417"/>
      <c r="DJ571" s="1169"/>
      <c r="DK571" s="417"/>
      <c r="DL571" s="1169"/>
      <c r="DM571" s="417"/>
      <c r="DN571" s="1169"/>
      <c r="DO571" s="1151"/>
      <c r="DP571" s="288"/>
      <c r="DQ571" s="441"/>
      <c r="DR571" s="1168"/>
      <c r="DS571" s="865"/>
      <c r="DT571" s="1171"/>
      <c r="DU571" s="417"/>
      <c r="DV571" s="1169"/>
      <c r="DW571" s="417"/>
      <c r="DX571" s="1169"/>
      <c r="DY571" s="417"/>
      <c r="DZ571" s="1169"/>
      <c r="EA571" s="417"/>
      <c r="EB571" s="304"/>
      <c r="EC571" s="312"/>
      <c r="ED571" s="1169"/>
      <c r="EE571" s="417"/>
      <c r="EF571" s="1169"/>
      <c r="EG571" s="417"/>
      <c r="EH571" s="1169"/>
      <c r="EI571" s="417"/>
      <c r="EJ571" s="1169"/>
      <c r="EK571" s="417"/>
      <c r="EL571" s="304"/>
      <c r="EM571" s="312"/>
      <c r="EN571" s="309"/>
      <c r="EO571" s="1170"/>
      <c r="EP571" s="417"/>
      <c r="EQ571" s="417"/>
      <c r="ER571" s="417"/>
      <c r="ES571" s="417"/>
      <c r="ET571" s="417"/>
      <c r="EU571" s="417"/>
      <c r="EV571" s="417"/>
      <c r="EW571" s="417"/>
      <c r="EX571" s="469"/>
      <c r="EY571" s="469"/>
      <c r="EZ571" s="417"/>
      <c r="FA571" s="417"/>
      <c r="FB571" s="417"/>
      <c r="FC571" s="417"/>
      <c r="FD571" s="417"/>
      <c r="FE571" s="417"/>
      <c r="FF571" s="417"/>
      <c r="FG571" s="417"/>
      <c r="FH571" s="469"/>
      <c r="FI571" s="469"/>
      <c r="FJ571" s="318"/>
    </row>
    <row r="572" spans="1:166" ht="14" hidden="1" customHeight="1">
      <c r="A572" s="79" t="s">
        <v>208</v>
      </c>
      <c r="B572" s="362">
        <v>154</v>
      </c>
      <c r="C572" s="362">
        <v>49</v>
      </c>
      <c r="D572" s="362"/>
      <c r="E572" s="604" t="s">
        <v>1979</v>
      </c>
      <c r="F572" s="124" t="s">
        <v>2203</v>
      </c>
      <c r="G572" s="125">
        <v>2013</v>
      </c>
      <c r="H572" s="79">
        <v>23445934</v>
      </c>
      <c r="I572" s="79">
        <v>1</v>
      </c>
      <c r="J572" s="126"/>
      <c r="K572" s="127"/>
      <c r="L572" s="79">
        <v>1</v>
      </c>
      <c r="M572" s="79"/>
      <c r="N572" s="79">
        <v>1</v>
      </c>
      <c r="O572" s="128">
        <v>1</v>
      </c>
      <c r="P572" s="79" t="s">
        <v>596</v>
      </c>
      <c r="Q572" s="79" t="s">
        <v>1168</v>
      </c>
      <c r="R572" s="79" t="s">
        <v>594</v>
      </c>
      <c r="S572" s="79">
        <v>0</v>
      </c>
      <c r="T572" s="79"/>
      <c r="U572" s="79"/>
      <c r="V572" s="79"/>
      <c r="W572" s="79" t="s">
        <v>597</v>
      </c>
      <c r="X572" s="79" t="s">
        <v>595</v>
      </c>
      <c r="Y572" s="79"/>
      <c r="Z572" s="79"/>
      <c r="AA572" s="79"/>
      <c r="AB572" s="79"/>
      <c r="AC572" s="506"/>
      <c r="AD572" s="573">
        <v>1</v>
      </c>
      <c r="AE572" s="573">
        <v>2</v>
      </c>
      <c r="AF572" s="154">
        <v>1</v>
      </c>
      <c r="AG572" s="155" t="s">
        <v>8164</v>
      </c>
      <c r="AH572" s="704"/>
      <c r="AI572" s="121">
        <v>0</v>
      </c>
      <c r="AJ572" s="484" t="s">
        <v>4927</v>
      </c>
      <c r="AK572" s="498" t="s">
        <v>4926</v>
      </c>
      <c r="AL572" s="192">
        <v>1</v>
      </c>
      <c r="AM572" s="215">
        <v>0</v>
      </c>
      <c r="AN572" s="134">
        <f>Table66[[#This Row],[Data_Subjects_n_ptsd]]+Table66[[#This Row],[Data_Subjects_n_control]]</f>
        <v>103</v>
      </c>
      <c r="AO572" s="134">
        <v>81</v>
      </c>
      <c r="AP572" s="134">
        <f>22</f>
        <v>22</v>
      </c>
      <c r="AQ572" s="134" t="s">
        <v>4925</v>
      </c>
      <c r="AR572" s="134" t="s">
        <v>4925</v>
      </c>
      <c r="AS572" s="134">
        <v>55.5</v>
      </c>
      <c r="AT572" s="134">
        <v>6.5</v>
      </c>
      <c r="AU572" s="134">
        <v>49.3</v>
      </c>
      <c r="AV572" s="134">
        <v>6</v>
      </c>
      <c r="AW572" s="134" t="s">
        <v>7901</v>
      </c>
      <c r="AX572" s="134"/>
      <c r="AY572" s="134"/>
      <c r="AZ572" s="753" t="s">
        <v>7905</v>
      </c>
      <c r="BA572" s="134" t="s">
        <v>24</v>
      </c>
      <c r="BB572" s="134" t="s">
        <v>24</v>
      </c>
      <c r="BC572" s="134" t="s">
        <v>4924</v>
      </c>
      <c r="BD572" s="753" t="s">
        <v>7522</v>
      </c>
      <c r="BE572" s="1624">
        <v>0</v>
      </c>
      <c r="BF572" s="134" t="s">
        <v>7903</v>
      </c>
      <c r="BG572" s="134" t="s">
        <v>4928</v>
      </c>
      <c r="BH572" s="594"/>
      <c r="BI572" s="594"/>
      <c r="BJ572" s="156"/>
      <c r="BK572" s="156"/>
      <c r="BL572" s="156"/>
      <c r="BM572" s="156"/>
      <c r="BN572" s="156"/>
      <c r="BO572" s="156"/>
      <c r="BP572" s="156">
        <v>1</v>
      </c>
      <c r="BQ572" s="156"/>
      <c r="BR572" s="156"/>
      <c r="BS572" s="156"/>
      <c r="BT572" s="156"/>
      <c r="BU572" s="156"/>
      <c r="BV572" s="156"/>
      <c r="BW572" s="595" t="s">
        <v>4984</v>
      </c>
      <c r="BX572" s="157" t="s">
        <v>6609</v>
      </c>
      <c r="BY572" s="797" t="s">
        <v>7616</v>
      </c>
      <c r="BZ572" s="789" t="s">
        <v>7610</v>
      </c>
      <c r="CA572" s="769">
        <v>2</v>
      </c>
      <c r="CB572" s="765" t="s">
        <v>7556</v>
      </c>
      <c r="CC572" s="660" t="s">
        <v>7380</v>
      </c>
      <c r="CD572" s="134" t="s">
        <v>1876</v>
      </c>
      <c r="CE572" s="134" t="s">
        <v>4931</v>
      </c>
      <c r="CF572" s="400"/>
      <c r="CG572" s="134" t="s">
        <v>7911</v>
      </c>
      <c r="CH572" s="753" t="s">
        <v>7307</v>
      </c>
      <c r="CI572" s="134" t="s">
        <v>24</v>
      </c>
      <c r="CJ572" s="134"/>
      <c r="CK572" s="134" t="s">
        <v>7907</v>
      </c>
      <c r="CL572" s="134" t="s">
        <v>7826</v>
      </c>
      <c r="CM572" s="259" t="s">
        <v>4983</v>
      </c>
      <c r="CN572" s="454" t="s">
        <v>24</v>
      </c>
      <c r="CO572" s="828">
        <v>43</v>
      </c>
      <c r="CP572" s="828">
        <v>1</v>
      </c>
      <c r="CQ572" s="828">
        <v>2</v>
      </c>
      <c r="CR572" s="828">
        <v>1</v>
      </c>
      <c r="CS572" s="828">
        <v>1</v>
      </c>
      <c r="CT572" s="967"/>
      <c r="CU572" s="1291" t="s">
        <v>8102</v>
      </c>
      <c r="CV572" s="1295">
        <v>2</v>
      </c>
      <c r="CW572" s="1295">
        <v>1</v>
      </c>
      <c r="CX572" s="138" t="s">
        <v>4948</v>
      </c>
      <c r="CY572" s="134">
        <v>27.5</v>
      </c>
      <c r="CZ572" s="134">
        <v>8.6999999999999993</v>
      </c>
      <c r="DA572" s="134" t="s">
        <v>24</v>
      </c>
      <c r="DB572" s="138" t="s">
        <v>4951</v>
      </c>
      <c r="DC572" s="134">
        <v>41.7</v>
      </c>
      <c r="DD572" s="168">
        <v>5.4</v>
      </c>
      <c r="DE572" s="134" t="s">
        <v>24</v>
      </c>
      <c r="DF572" s="294"/>
      <c r="DG572" s="295"/>
      <c r="DH572" s="1169"/>
      <c r="DI572" s="1169"/>
      <c r="DJ572" s="1169"/>
      <c r="DK572" s="1169"/>
      <c r="DL572" s="1169"/>
      <c r="DM572" s="1169"/>
      <c r="DN572" s="1169"/>
      <c r="DO572" s="1169"/>
      <c r="DP572" s="288"/>
      <c r="DQ572" s="289"/>
      <c r="DR572" s="1168"/>
      <c r="DS572" s="865"/>
      <c r="DT572" s="1171"/>
      <c r="DU572" s="1169"/>
      <c r="DV572" s="1169"/>
      <c r="DW572" s="1169"/>
      <c r="DX572" s="1171"/>
      <c r="DY572" s="1169"/>
      <c r="DZ572" s="1169"/>
      <c r="EA572" s="1169"/>
      <c r="EB572" s="304"/>
      <c r="EC572" s="312"/>
      <c r="ED572" s="1171"/>
      <c r="EE572" s="1169"/>
      <c r="EF572" s="1169"/>
      <c r="EG572" s="1169"/>
      <c r="EH572" s="1174"/>
      <c r="EI572" s="1169"/>
      <c r="EJ572" s="1169"/>
      <c r="EK572" s="1169"/>
      <c r="EL572" s="304"/>
      <c r="EM572" s="312"/>
      <c r="EN572" s="309"/>
      <c r="EO572" s="1170"/>
      <c r="EP572" s="1174"/>
      <c r="EQ572" s="1169"/>
      <c r="ER572" s="1169"/>
      <c r="ES572" s="1169"/>
      <c r="ET572" s="1171"/>
      <c r="EU572" s="1169"/>
      <c r="EV572" s="1169"/>
      <c r="EW572" s="1169"/>
      <c r="EX572" s="312"/>
      <c r="EY572" s="312"/>
      <c r="EZ572" s="1171"/>
      <c r="FA572" s="1169"/>
      <c r="FB572" s="1169"/>
      <c r="FC572" s="1169"/>
      <c r="FD572" s="1171"/>
      <c r="FE572" s="1169"/>
      <c r="FF572" s="1169"/>
      <c r="FG572" s="1169"/>
      <c r="FH572" s="312"/>
      <c r="FI572" s="312"/>
      <c r="FJ572" s="1170"/>
    </row>
    <row r="573" spans="1:166" ht="14" hidden="1" customHeight="1">
      <c r="A573" s="118" t="s">
        <v>279</v>
      </c>
      <c r="B573" s="616">
        <v>199</v>
      </c>
      <c r="C573" s="616">
        <v>69</v>
      </c>
      <c r="D573" s="616"/>
      <c r="E573" s="605" t="s">
        <v>2009</v>
      </c>
      <c r="F573" s="140" t="s">
        <v>2240</v>
      </c>
      <c r="G573" s="141">
        <v>2009</v>
      </c>
      <c r="H573" s="118">
        <v>19703319</v>
      </c>
      <c r="I573" s="118">
        <v>1</v>
      </c>
      <c r="J573" s="118"/>
      <c r="K573" s="118"/>
      <c r="L573" s="118">
        <v>1</v>
      </c>
      <c r="M573" s="118"/>
      <c r="N573" s="118">
        <v>1</v>
      </c>
      <c r="O573" s="142">
        <v>1</v>
      </c>
      <c r="P573" s="118" t="s">
        <v>733</v>
      </c>
      <c r="Q573" s="118" t="s">
        <v>1147</v>
      </c>
      <c r="R573" s="118" t="s">
        <v>25</v>
      </c>
      <c r="S573" s="118">
        <v>1</v>
      </c>
      <c r="T573" s="118"/>
      <c r="U573" s="118"/>
      <c r="V573" s="118"/>
      <c r="W573" s="118" t="s">
        <v>732</v>
      </c>
      <c r="X573" s="118"/>
      <c r="Y573" s="118"/>
      <c r="Z573" s="118"/>
      <c r="AA573" s="118"/>
      <c r="AB573" s="118" t="s">
        <v>734</v>
      </c>
      <c r="AC573" s="145"/>
      <c r="AD573" s="573">
        <v>1</v>
      </c>
      <c r="AE573" s="573">
        <v>2</v>
      </c>
      <c r="AF573" s="159">
        <v>1</v>
      </c>
      <c r="AG573" s="160" t="s">
        <v>5335</v>
      </c>
      <c r="AH573" s="704"/>
      <c r="AI573" s="122">
        <v>2</v>
      </c>
      <c r="AJ573" s="485"/>
      <c r="AK573" s="204" t="s">
        <v>5393</v>
      </c>
      <c r="AL573" s="192">
        <v>1</v>
      </c>
      <c r="AM573" s="205">
        <v>0</v>
      </c>
      <c r="AN573" s="122">
        <v>47</v>
      </c>
      <c r="AO573" s="122">
        <v>25</v>
      </c>
      <c r="AP573" s="122">
        <v>22</v>
      </c>
      <c r="AQ573" s="122" t="s">
        <v>803</v>
      </c>
      <c r="AR573" s="122" t="s">
        <v>803</v>
      </c>
      <c r="AS573" s="121" t="s">
        <v>7996</v>
      </c>
      <c r="AT573" s="121">
        <v>5.5</v>
      </c>
      <c r="AU573" s="121" t="s">
        <v>7998</v>
      </c>
      <c r="AV573" s="121">
        <v>5.6</v>
      </c>
      <c r="AW573" s="122" t="s">
        <v>4249</v>
      </c>
      <c r="AX573" s="122"/>
      <c r="AY573" s="122"/>
      <c r="AZ573" s="754" t="s">
        <v>1874</v>
      </c>
      <c r="BA573" s="122" t="s">
        <v>24</v>
      </c>
      <c r="BB573" s="122" t="s">
        <v>24</v>
      </c>
      <c r="BC573" s="122" t="s">
        <v>2423</v>
      </c>
      <c r="BD573" s="754" t="s">
        <v>7521</v>
      </c>
      <c r="BE573" s="187">
        <v>0</v>
      </c>
      <c r="BF573" s="122" t="s">
        <v>3835</v>
      </c>
      <c r="BG573" s="122" t="s">
        <v>4521</v>
      </c>
      <c r="BH573" s="588"/>
      <c r="BI573" s="588"/>
      <c r="BJ573" s="161"/>
      <c r="BK573" s="161"/>
      <c r="BL573" s="161"/>
      <c r="BM573" s="161"/>
      <c r="BN573" s="161"/>
      <c r="BO573" s="161"/>
      <c r="BP573" s="161">
        <v>1</v>
      </c>
      <c r="BQ573" s="161"/>
      <c r="BR573" s="161" t="s">
        <v>4727</v>
      </c>
      <c r="BS573" s="161"/>
      <c r="BT573" s="161" t="s">
        <v>4727</v>
      </c>
      <c r="BU573" s="161"/>
      <c r="BV573" s="161"/>
      <c r="BW573" s="596" t="s">
        <v>5337</v>
      </c>
      <c r="BX573" s="162" t="s">
        <v>6612</v>
      </c>
      <c r="BY573" s="797" t="s">
        <v>7617</v>
      </c>
      <c r="BZ573" s="790" t="s">
        <v>803</v>
      </c>
      <c r="CA573" s="769">
        <v>2</v>
      </c>
      <c r="CB573" s="765" t="s">
        <v>7556</v>
      </c>
      <c r="CC573" s="854" t="s">
        <v>7380</v>
      </c>
      <c r="CD573" s="150" t="s">
        <v>1876</v>
      </c>
      <c r="CE573" s="150">
        <v>2</v>
      </c>
      <c r="CF573" s="400"/>
      <c r="CG573" s="150" t="s">
        <v>5338</v>
      </c>
      <c r="CH573" s="855" t="s">
        <v>7308</v>
      </c>
      <c r="CI573" s="150" t="s">
        <v>24</v>
      </c>
      <c r="CJ573" s="150"/>
      <c r="CK573" s="150" t="s">
        <v>5339</v>
      </c>
      <c r="CL573" s="150" t="s">
        <v>8265</v>
      </c>
      <c r="CM573" s="258" t="s">
        <v>5391</v>
      </c>
      <c r="CN573" s="257" t="s">
        <v>24</v>
      </c>
      <c r="CO573" s="829">
        <v>63</v>
      </c>
      <c r="CP573" s="828">
        <v>1</v>
      </c>
      <c r="CQ573" s="828">
        <v>11</v>
      </c>
      <c r="CR573" s="828">
        <v>1</v>
      </c>
      <c r="CS573" s="828">
        <v>1</v>
      </c>
      <c r="CT573" s="968"/>
      <c r="CU573" s="1288" t="s">
        <v>8103</v>
      </c>
      <c r="CV573" s="1294">
        <v>32</v>
      </c>
      <c r="CW573" s="1294">
        <v>25</v>
      </c>
      <c r="CX573" s="150" t="s">
        <v>5372</v>
      </c>
      <c r="CY573" s="150">
        <v>43.04</v>
      </c>
      <c r="CZ573" s="150">
        <v>10.199999999999999</v>
      </c>
      <c r="DA573" s="150" t="s">
        <v>24</v>
      </c>
      <c r="DB573" s="150" t="s">
        <v>5373</v>
      </c>
      <c r="DC573" s="150">
        <v>37.36</v>
      </c>
      <c r="DD573" s="150">
        <v>11.7</v>
      </c>
      <c r="DE573" s="150" t="s">
        <v>24</v>
      </c>
      <c r="DF573" s="303" t="s">
        <v>5379</v>
      </c>
      <c r="DG573" s="303" t="s">
        <v>5389</v>
      </c>
      <c r="DH573" s="526"/>
      <c r="DI573" s="122"/>
      <c r="DJ573" s="1164"/>
      <c r="DK573" s="122"/>
      <c r="DL573" s="1166"/>
      <c r="DM573" s="122"/>
      <c r="DN573" s="1164"/>
      <c r="DO573" s="122"/>
      <c r="DP573" s="290"/>
      <c r="DQ573" s="291"/>
      <c r="DR573" s="1168"/>
      <c r="DS573" s="865"/>
      <c r="DT573" s="1205"/>
      <c r="DU573" s="429"/>
      <c r="DV573" s="146"/>
      <c r="DW573" s="145"/>
      <c r="DX573" s="1205"/>
      <c r="DY573" s="122"/>
      <c r="DZ573" s="1164"/>
      <c r="EA573" s="122"/>
      <c r="EB573" s="311"/>
      <c r="EC573" s="313"/>
      <c r="ED573" s="1205"/>
      <c r="EE573" s="429"/>
      <c r="EF573" s="146"/>
      <c r="EG573" s="145"/>
      <c r="EH573" s="1205"/>
      <c r="EI573" s="122"/>
      <c r="EJ573" s="1164"/>
      <c r="EK573" s="122"/>
      <c r="EL573" s="311"/>
      <c r="EM573" s="313"/>
      <c r="EN573" s="1167"/>
      <c r="EO573" s="1165"/>
      <c r="EP573" s="122"/>
      <c r="EQ573" s="122"/>
      <c r="ER573" s="122"/>
      <c r="ES573" s="122"/>
      <c r="ET573" s="122"/>
      <c r="EU573" s="122"/>
      <c r="EV573" s="122"/>
      <c r="EW573" s="122"/>
      <c r="EX573" s="303"/>
      <c r="EY573" s="303"/>
      <c r="EZ573" s="122"/>
      <c r="FA573" s="122"/>
      <c r="FB573" s="122"/>
      <c r="FC573" s="122"/>
      <c r="FD573" s="122"/>
      <c r="FE573" s="122"/>
      <c r="FF573" s="122"/>
      <c r="FG573" s="122"/>
      <c r="FH573" s="303"/>
      <c r="FI573" s="303"/>
      <c r="FJ573" s="1165"/>
    </row>
    <row r="574" spans="1:166" ht="14" hidden="1" customHeight="1">
      <c r="A574" s="118" t="s">
        <v>279</v>
      </c>
      <c r="B574" s="616">
        <v>199</v>
      </c>
      <c r="C574" s="616">
        <v>69</v>
      </c>
      <c r="D574" s="616"/>
      <c r="E574" s="605" t="s">
        <v>2009</v>
      </c>
      <c r="F574" s="140" t="s">
        <v>2240</v>
      </c>
      <c r="G574" s="141">
        <v>2009</v>
      </c>
      <c r="H574" s="118">
        <v>19703319</v>
      </c>
      <c r="I574" s="118">
        <v>1</v>
      </c>
      <c r="J574" s="118"/>
      <c r="K574" s="118"/>
      <c r="L574" s="118">
        <v>1</v>
      </c>
      <c r="M574" s="118"/>
      <c r="N574" s="118">
        <v>1</v>
      </c>
      <c r="O574" s="142">
        <v>1</v>
      </c>
      <c r="P574" s="118" t="s">
        <v>733</v>
      </c>
      <c r="Q574" s="118" t="s">
        <v>1147</v>
      </c>
      <c r="R574" s="118" t="s">
        <v>25</v>
      </c>
      <c r="S574" s="118">
        <v>1</v>
      </c>
      <c r="T574" s="118"/>
      <c r="U574" s="118"/>
      <c r="V574" s="118"/>
      <c r="W574" s="118" t="s">
        <v>732</v>
      </c>
      <c r="X574" s="118"/>
      <c r="Y574" s="118"/>
      <c r="Z574" s="118"/>
      <c r="AA574" s="118"/>
      <c r="AB574" s="118" t="s">
        <v>734</v>
      </c>
      <c r="AC574" s="145"/>
      <c r="AD574" s="573">
        <v>1</v>
      </c>
      <c r="AE574" s="573">
        <v>2</v>
      </c>
      <c r="AF574" s="159">
        <v>1</v>
      </c>
      <c r="AG574" s="160" t="s">
        <v>5335</v>
      </c>
      <c r="AH574" s="704"/>
      <c r="AI574" s="122">
        <v>2</v>
      </c>
      <c r="AJ574" s="485"/>
      <c r="AK574" s="204" t="s">
        <v>5393</v>
      </c>
      <c r="AL574" s="192">
        <v>1</v>
      </c>
      <c r="AM574" s="205">
        <v>0</v>
      </c>
      <c r="AN574" s="122">
        <v>47</v>
      </c>
      <c r="AO574" s="122">
        <v>25</v>
      </c>
      <c r="AP574" s="122">
        <v>22</v>
      </c>
      <c r="AQ574" s="122" t="s">
        <v>803</v>
      </c>
      <c r="AR574" s="122" t="s">
        <v>803</v>
      </c>
      <c r="AS574" s="121" t="s">
        <v>7997</v>
      </c>
      <c r="AT574" s="121">
        <v>5.6</v>
      </c>
      <c r="AU574" s="121" t="s">
        <v>7999</v>
      </c>
      <c r="AV574" s="121">
        <v>5.7</v>
      </c>
      <c r="AW574" s="122" t="s">
        <v>4249</v>
      </c>
      <c r="AX574" s="122"/>
      <c r="AY574" s="122"/>
      <c r="AZ574" s="754" t="s">
        <v>1874</v>
      </c>
      <c r="BA574" s="122" t="s">
        <v>24</v>
      </c>
      <c r="BB574" s="122" t="s">
        <v>24</v>
      </c>
      <c r="BC574" s="122" t="s">
        <v>2423</v>
      </c>
      <c r="BD574" s="754" t="s">
        <v>7521</v>
      </c>
      <c r="BE574" s="187">
        <v>0</v>
      </c>
      <c r="BF574" s="122" t="s">
        <v>3835</v>
      </c>
      <c r="BG574" s="122" t="s">
        <v>4521</v>
      </c>
      <c r="BH574" s="588"/>
      <c r="BI574" s="588"/>
      <c r="BJ574" s="161"/>
      <c r="BK574" s="161"/>
      <c r="BL574" s="161"/>
      <c r="BM574" s="161"/>
      <c r="BN574" s="161"/>
      <c r="BO574" s="161"/>
      <c r="BP574" s="161">
        <v>1</v>
      </c>
      <c r="BQ574" s="161"/>
      <c r="BR574" s="161" t="s">
        <v>4727</v>
      </c>
      <c r="BS574" s="161"/>
      <c r="BT574" s="161" t="s">
        <v>4727</v>
      </c>
      <c r="BU574" s="161"/>
      <c r="BV574" s="161"/>
      <c r="BW574" s="596" t="s">
        <v>5337</v>
      </c>
      <c r="BX574" s="162" t="s">
        <v>6612</v>
      </c>
      <c r="BY574" s="797" t="s">
        <v>7617</v>
      </c>
      <c r="BZ574" s="790" t="s">
        <v>803</v>
      </c>
      <c r="CA574" s="769">
        <v>2</v>
      </c>
      <c r="CB574" s="765" t="s">
        <v>7556</v>
      </c>
      <c r="CC574" s="854" t="s">
        <v>7380</v>
      </c>
      <c r="CD574" s="150" t="s">
        <v>1876</v>
      </c>
      <c r="CE574" s="150">
        <v>2</v>
      </c>
      <c r="CF574" s="400"/>
      <c r="CG574" s="150" t="s">
        <v>5338</v>
      </c>
      <c r="CH574" s="855" t="s">
        <v>7308</v>
      </c>
      <c r="CI574" s="150" t="s">
        <v>24</v>
      </c>
      <c r="CJ574" s="150"/>
      <c r="CK574" s="150" t="s">
        <v>5339</v>
      </c>
      <c r="CL574" s="150" t="s">
        <v>8265</v>
      </c>
      <c r="CM574" s="258" t="s">
        <v>5391</v>
      </c>
      <c r="CN574" s="257" t="s">
        <v>24</v>
      </c>
      <c r="CO574" s="829">
        <v>63</v>
      </c>
      <c r="CP574" s="828">
        <v>1</v>
      </c>
      <c r="CQ574" s="828">
        <v>12</v>
      </c>
      <c r="CR574" s="828">
        <v>1</v>
      </c>
      <c r="CS574" s="828">
        <v>1</v>
      </c>
      <c r="CT574" s="968"/>
      <c r="CU574" s="1288" t="s">
        <v>8103</v>
      </c>
      <c r="CV574" s="1294">
        <v>32</v>
      </c>
      <c r="CW574" s="1294">
        <v>25</v>
      </c>
      <c r="CX574" s="150" t="s">
        <v>5370</v>
      </c>
      <c r="CY574" s="150">
        <v>35.4</v>
      </c>
      <c r="CZ574" s="150">
        <v>13.9</v>
      </c>
      <c r="DA574" s="150" t="s">
        <v>24</v>
      </c>
      <c r="DB574" s="150" t="s">
        <v>5371</v>
      </c>
      <c r="DC574" s="150">
        <v>31.91</v>
      </c>
      <c r="DD574" s="150">
        <v>11.2</v>
      </c>
      <c r="DE574" s="150" t="s">
        <v>24</v>
      </c>
      <c r="DF574" s="152" t="s">
        <v>3229</v>
      </c>
      <c r="DG574" s="152" t="s">
        <v>5390</v>
      </c>
      <c r="DH574" s="1166"/>
      <c r="DI574" s="1164"/>
      <c r="DJ574" s="1164"/>
      <c r="DK574" s="1164"/>
      <c r="DL574" s="1166"/>
      <c r="DM574" s="1164"/>
      <c r="DN574" s="1164"/>
      <c r="DO574" s="1164"/>
      <c r="DP574" s="290"/>
      <c r="DQ574" s="291"/>
      <c r="DR574" s="1168"/>
      <c r="DS574" s="865"/>
      <c r="DT574" s="1205"/>
      <c r="DU574" s="1205"/>
      <c r="DV574" s="146"/>
      <c r="DW574" s="146"/>
      <c r="DX574" s="1205"/>
      <c r="DY574" s="1164"/>
      <c r="DZ574" s="1164"/>
      <c r="EA574" s="1164"/>
      <c r="EB574" s="311"/>
      <c r="EC574" s="313"/>
      <c r="ED574" s="1205"/>
      <c r="EE574" s="1205"/>
      <c r="EF574" s="146"/>
      <c r="EG574" s="146"/>
      <c r="EH574" s="1205"/>
      <c r="EI574" s="1164"/>
      <c r="EJ574" s="1164"/>
      <c r="EK574" s="1164"/>
      <c r="EL574" s="311"/>
      <c r="EM574" s="313"/>
      <c r="EN574" s="1167"/>
      <c r="EO574" s="1165"/>
      <c r="EP574" s="1164"/>
      <c r="EQ574" s="1164"/>
      <c r="ER574" s="1164"/>
      <c r="ES574" s="1164"/>
      <c r="ET574" s="1164"/>
      <c r="EU574" s="1164"/>
      <c r="EV574" s="1164"/>
      <c r="EW574" s="1164"/>
      <c r="EX574" s="313"/>
      <c r="EY574" s="313"/>
      <c r="EZ574" s="1164"/>
      <c r="FA574" s="1164"/>
      <c r="FB574" s="1164"/>
      <c r="FC574" s="1164"/>
      <c r="FD574" s="1164"/>
      <c r="FE574" s="1164"/>
      <c r="FF574" s="1164"/>
      <c r="FG574" s="1164"/>
      <c r="FH574" s="313"/>
      <c r="FI574" s="313"/>
      <c r="FJ574" s="1165"/>
    </row>
    <row r="575" spans="1:166" ht="14" hidden="1" customHeight="1">
      <c r="A575" s="118" t="s">
        <v>279</v>
      </c>
      <c r="B575" s="616">
        <v>199</v>
      </c>
      <c r="C575" s="616">
        <v>69</v>
      </c>
      <c r="D575" s="616"/>
      <c r="E575" s="605" t="s">
        <v>2009</v>
      </c>
      <c r="F575" s="140" t="s">
        <v>2240</v>
      </c>
      <c r="G575" s="141">
        <v>2009</v>
      </c>
      <c r="H575" s="118">
        <v>19703319</v>
      </c>
      <c r="I575" s="118">
        <v>1</v>
      </c>
      <c r="J575" s="118"/>
      <c r="K575" s="118"/>
      <c r="L575" s="118">
        <v>1</v>
      </c>
      <c r="M575" s="118"/>
      <c r="N575" s="118">
        <v>1</v>
      </c>
      <c r="O575" s="142">
        <v>1</v>
      </c>
      <c r="P575" s="118" t="s">
        <v>733</v>
      </c>
      <c r="Q575" s="118" t="s">
        <v>1147</v>
      </c>
      <c r="R575" s="118" t="s">
        <v>25</v>
      </c>
      <c r="S575" s="118">
        <v>1</v>
      </c>
      <c r="T575" s="118"/>
      <c r="U575" s="118"/>
      <c r="V575" s="118"/>
      <c r="W575" s="118" t="s">
        <v>732</v>
      </c>
      <c r="X575" s="118"/>
      <c r="Y575" s="118"/>
      <c r="Z575" s="118"/>
      <c r="AA575" s="118"/>
      <c r="AB575" s="118" t="s">
        <v>734</v>
      </c>
      <c r="AC575" s="145"/>
      <c r="AD575" s="573">
        <v>1</v>
      </c>
      <c r="AE575" s="573">
        <v>2</v>
      </c>
      <c r="AF575" s="159">
        <v>1</v>
      </c>
      <c r="AG575" s="160" t="s">
        <v>5335</v>
      </c>
      <c r="AH575" s="704"/>
      <c r="AI575" s="122">
        <v>2</v>
      </c>
      <c r="AJ575" s="485"/>
      <c r="AK575" s="204" t="s">
        <v>5393</v>
      </c>
      <c r="AL575" s="192">
        <v>1</v>
      </c>
      <c r="AM575" s="205">
        <v>0</v>
      </c>
      <c r="AN575" s="122">
        <v>47</v>
      </c>
      <c r="AO575" s="122">
        <v>25</v>
      </c>
      <c r="AP575" s="122">
        <v>22</v>
      </c>
      <c r="AQ575" s="122" t="s">
        <v>803</v>
      </c>
      <c r="AR575" s="122" t="s">
        <v>803</v>
      </c>
      <c r="AS575" s="121" t="s">
        <v>7996</v>
      </c>
      <c r="AT575" s="121">
        <v>5.5</v>
      </c>
      <c r="AU575" s="121" t="s">
        <v>7998</v>
      </c>
      <c r="AV575" s="121">
        <v>5.6</v>
      </c>
      <c r="AW575" s="122" t="s">
        <v>4249</v>
      </c>
      <c r="AX575" s="122"/>
      <c r="AY575" s="122"/>
      <c r="AZ575" s="754" t="s">
        <v>1874</v>
      </c>
      <c r="BA575" s="122" t="s">
        <v>24</v>
      </c>
      <c r="BB575" s="122" t="s">
        <v>24</v>
      </c>
      <c r="BC575" s="122" t="s">
        <v>2423</v>
      </c>
      <c r="BD575" s="754" t="s">
        <v>7521</v>
      </c>
      <c r="BE575" s="187">
        <v>0</v>
      </c>
      <c r="BF575" s="122" t="s">
        <v>3835</v>
      </c>
      <c r="BG575" s="122" t="s">
        <v>4521</v>
      </c>
      <c r="BH575" s="588"/>
      <c r="BI575" s="588"/>
      <c r="BJ575" s="161"/>
      <c r="BK575" s="161"/>
      <c r="BL575" s="161"/>
      <c r="BM575" s="161"/>
      <c r="BN575" s="161"/>
      <c r="BO575" s="161"/>
      <c r="BP575" s="161">
        <v>1</v>
      </c>
      <c r="BQ575" s="161"/>
      <c r="BR575" s="161" t="s">
        <v>4727</v>
      </c>
      <c r="BS575" s="161"/>
      <c r="BT575" s="161" t="s">
        <v>4727</v>
      </c>
      <c r="BU575" s="161"/>
      <c r="BV575" s="161"/>
      <c r="BW575" s="596" t="s">
        <v>5337</v>
      </c>
      <c r="BX575" s="162" t="s">
        <v>6612</v>
      </c>
      <c r="BY575" s="797" t="s">
        <v>7617</v>
      </c>
      <c r="BZ575" s="790" t="s">
        <v>803</v>
      </c>
      <c r="CA575" s="769">
        <v>2</v>
      </c>
      <c r="CB575" s="765" t="s">
        <v>7556</v>
      </c>
      <c r="CC575" s="854" t="s">
        <v>7380</v>
      </c>
      <c r="CD575" s="150" t="s">
        <v>1876</v>
      </c>
      <c r="CE575" s="150">
        <v>2</v>
      </c>
      <c r="CF575" s="400"/>
      <c r="CG575" s="150" t="s">
        <v>5338</v>
      </c>
      <c r="CH575" s="855" t="s">
        <v>7308</v>
      </c>
      <c r="CI575" s="150" t="s">
        <v>24</v>
      </c>
      <c r="CJ575" s="150"/>
      <c r="CK575" s="150" t="s">
        <v>5339</v>
      </c>
      <c r="CL575" s="150" t="s">
        <v>8263</v>
      </c>
      <c r="CM575" s="258" t="s">
        <v>5391</v>
      </c>
      <c r="CN575" s="257" t="s">
        <v>24</v>
      </c>
      <c r="CO575" s="829">
        <v>63</v>
      </c>
      <c r="CP575" s="828">
        <v>1</v>
      </c>
      <c r="CQ575" s="828">
        <v>7</v>
      </c>
      <c r="CR575" s="828">
        <v>1</v>
      </c>
      <c r="CS575" s="828">
        <v>1</v>
      </c>
      <c r="CT575" s="968"/>
      <c r="CU575" s="1288" t="s">
        <v>8103</v>
      </c>
      <c r="CV575" s="1294">
        <v>32</v>
      </c>
      <c r="CW575" s="1294">
        <v>25</v>
      </c>
      <c r="CX575" s="429" t="s">
        <v>5362</v>
      </c>
      <c r="CY575" s="429">
        <v>36.85</v>
      </c>
      <c r="CZ575" s="145">
        <v>3.7</v>
      </c>
      <c r="DA575" s="145" t="s">
        <v>24</v>
      </c>
      <c r="DB575" s="429" t="s">
        <v>5363</v>
      </c>
      <c r="DC575" s="150">
        <v>37.32</v>
      </c>
      <c r="DD575" s="150">
        <v>4.9000000000000004</v>
      </c>
      <c r="DE575" s="150" t="s">
        <v>24</v>
      </c>
      <c r="DF575" s="302" t="s">
        <v>5379</v>
      </c>
      <c r="DG575" s="303" t="s">
        <v>5380</v>
      </c>
      <c r="DH575" s="1166"/>
      <c r="DI575" s="1164"/>
      <c r="DJ575" s="1164"/>
      <c r="DK575" s="1164"/>
      <c r="DL575" s="1166"/>
      <c r="DM575" s="1164"/>
      <c r="DN575" s="1164"/>
      <c r="DO575" s="1164"/>
      <c r="DP575" s="290"/>
      <c r="DQ575" s="291"/>
      <c r="DR575" s="1168"/>
      <c r="DS575" s="865"/>
      <c r="DT575" s="1205"/>
      <c r="DU575" s="1205"/>
      <c r="DV575" s="146"/>
      <c r="DW575" s="146"/>
      <c r="DX575" s="1205"/>
      <c r="DY575" s="1164"/>
      <c r="DZ575" s="1164"/>
      <c r="EA575" s="1164"/>
      <c r="EB575" s="311"/>
      <c r="EC575" s="313"/>
      <c r="ED575" s="1205"/>
      <c r="EE575" s="1205"/>
      <c r="EF575" s="146"/>
      <c r="EG575" s="146"/>
      <c r="EH575" s="1205"/>
      <c r="EI575" s="1164"/>
      <c r="EJ575" s="1164"/>
      <c r="EK575" s="1164"/>
      <c r="EL575" s="311"/>
      <c r="EM575" s="313"/>
      <c r="EN575" s="1167"/>
      <c r="EO575" s="1165"/>
      <c r="EP575" s="1164"/>
      <c r="EQ575" s="1164"/>
      <c r="ER575" s="1164"/>
      <c r="ES575" s="1164"/>
      <c r="ET575" s="1164"/>
      <c r="EU575" s="1164"/>
      <c r="EV575" s="1164"/>
      <c r="EW575" s="1164"/>
      <c r="EX575" s="313"/>
      <c r="EY575" s="313"/>
      <c r="EZ575" s="1164"/>
      <c r="FA575" s="1164"/>
      <c r="FB575" s="1164"/>
      <c r="FC575" s="1164"/>
      <c r="FD575" s="1164"/>
      <c r="FE575" s="1164"/>
      <c r="FF575" s="1164"/>
      <c r="FG575" s="1164"/>
      <c r="FH575" s="313"/>
      <c r="FI575" s="313"/>
      <c r="FJ575" s="1165"/>
    </row>
    <row r="576" spans="1:166" ht="14" hidden="1" customHeight="1">
      <c r="A576" s="118" t="s">
        <v>279</v>
      </c>
      <c r="B576" s="616">
        <v>199</v>
      </c>
      <c r="C576" s="616">
        <v>69</v>
      </c>
      <c r="D576" s="616"/>
      <c r="E576" s="605" t="s">
        <v>2009</v>
      </c>
      <c r="F576" s="140" t="s">
        <v>2240</v>
      </c>
      <c r="G576" s="141">
        <v>2009</v>
      </c>
      <c r="H576" s="118">
        <v>19703319</v>
      </c>
      <c r="I576" s="118">
        <v>1</v>
      </c>
      <c r="J576" s="118"/>
      <c r="K576" s="118"/>
      <c r="L576" s="118">
        <v>1</v>
      </c>
      <c r="M576" s="118"/>
      <c r="N576" s="118">
        <v>1</v>
      </c>
      <c r="O576" s="142">
        <v>1</v>
      </c>
      <c r="P576" s="118" t="s">
        <v>733</v>
      </c>
      <c r="Q576" s="118" t="s">
        <v>1147</v>
      </c>
      <c r="R576" s="118" t="s">
        <v>25</v>
      </c>
      <c r="S576" s="118">
        <v>1</v>
      </c>
      <c r="T576" s="118"/>
      <c r="U576" s="118"/>
      <c r="V576" s="118"/>
      <c r="W576" s="118" t="s">
        <v>732</v>
      </c>
      <c r="X576" s="118"/>
      <c r="Y576" s="118"/>
      <c r="Z576" s="118"/>
      <c r="AA576" s="118"/>
      <c r="AB576" s="118" t="s">
        <v>734</v>
      </c>
      <c r="AC576" s="145"/>
      <c r="AD576" s="573">
        <v>1</v>
      </c>
      <c r="AE576" s="573">
        <v>2</v>
      </c>
      <c r="AF576" s="159">
        <v>1</v>
      </c>
      <c r="AG576" s="160" t="s">
        <v>5335</v>
      </c>
      <c r="AH576" s="704"/>
      <c r="AI576" s="122">
        <v>2</v>
      </c>
      <c r="AJ576" s="485"/>
      <c r="AK576" s="204" t="s">
        <v>5393</v>
      </c>
      <c r="AL576" s="192">
        <v>1</v>
      </c>
      <c r="AM576" s="205">
        <v>0</v>
      </c>
      <c r="AN576" s="122">
        <v>47</v>
      </c>
      <c r="AO576" s="122">
        <v>25</v>
      </c>
      <c r="AP576" s="122">
        <v>22</v>
      </c>
      <c r="AQ576" s="122" t="s">
        <v>803</v>
      </c>
      <c r="AR576" s="122" t="s">
        <v>803</v>
      </c>
      <c r="AS576" s="121" t="s">
        <v>7997</v>
      </c>
      <c r="AT576" s="121">
        <v>5.6</v>
      </c>
      <c r="AU576" s="121" t="s">
        <v>7999</v>
      </c>
      <c r="AV576" s="121">
        <v>5.7</v>
      </c>
      <c r="AW576" s="122" t="s">
        <v>4249</v>
      </c>
      <c r="AX576" s="122"/>
      <c r="AY576" s="122"/>
      <c r="AZ576" s="754" t="s">
        <v>1874</v>
      </c>
      <c r="BA576" s="122" t="s">
        <v>24</v>
      </c>
      <c r="BB576" s="122" t="s">
        <v>24</v>
      </c>
      <c r="BC576" s="122" t="s">
        <v>2423</v>
      </c>
      <c r="BD576" s="754" t="s">
        <v>7521</v>
      </c>
      <c r="BE576" s="187">
        <v>0</v>
      </c>
      <c r="BF576" s="122" t="s">
        <v>3835</v>
      </c>
      <c r="BG576" s="122" t="s">
        <v>4521</v>
      </c>
      <c r="BH576" s="588"/>
      <c r="BI576" s="588"/>
      <c r="BJ576" s="161"/>
      <c r="BK576" s="161"/>
      <c r="BL576" s="161"/>
      <c r="BM576" s="161"/>
      <c r="BN576" s="161"/>
      <c r="BO576" s="161"/>
      <c r="BP576" s="161">
        <v>1</v>
      </c>
      <c r="BQ576" s="161"/>
      <c r="BR576" s="161" t="s">
        <v>4727</v>
      </c>
      <c r="BS576" s="161"/>
      <c r="BT576" s="161" t="s">
        <v>4727</v>
      </c>
      <c r="BU576" s="161"/>
      <c r="BV576" s="161"/>
      <c r="BW576" s="596" t="s">
        <v>5337</v>
      </c>
      <c r="BX576" s="162" t="s">
        <v>6612</v>
      </c>
      <c r="BY576" s="797" t="s">
        <v>7617</v>
      </c>
      <c r="BZ576" s="790" t="s">
        <v>803</v>
      </c>
      <c r="CA576" s="769">
        <v>2</v>
      </c>
      <c r="CB576" s="765" t="s">
        <v>7556</v>
      </c>
      <c r="CC576" s="854" t="s">
        <v>7380</v>
      </c>
      <c r="CD576" s="150" t="s">
        <v>1876</v>
      </c>
      <c r="CE576" s="150">
        <v>2</v>
      </c>
      <c r="CF576" s="400"/>
      <c r="CG576" s="150" t="s">
        <v>5338</v>
      </c>
      <c r="CH576" s="855" t="s">
        <v>7308</v>
      </c>
      <c r="CI576" s="150" t="s">
        <v>24</v>
      </c>
      <c r="CJ576" s="150"/>
      <c r="CK576" s="150" t="s">
        <v>5339</v>
      </c>
      <c r="CL576" s="150" t="s">
        <v>8263</v>
      </c>
      <c r="CM576" s="258" t="s">
        <v>5391</v>
      </c>
      <c r="CN576" s="257" t="s">
        <v>24</v>
      </c>
      <c r="CO576" s="829">
        <v>63</v>
      </c>
      <c r="CP576" s="828">
        <v>1</v>
      </c>
      <c r="CQ576" s="828">
        <v>8</v>
      </c>
      <c r="CR576" s="828">
        <v>1</v>
      </c>
      <c r="CS576" s="828">
        <v>1</v>
      </c>
      <c r="CT576" s="968"/>
      <c r="CU576" s="1288" t="s">
        <v>8103</v>
      </c>
      <c r="CV576" s="1294">
        <v>32</v>
      </c>
      <c r="CW576" s="1294">
        <v>25</v>
      </c>
      <c r="CX576" s="429" t="s">
        <v>5364</v>
      </c>
      <c r="CY576" s="429">
        <v>34.770000000000003</v>
      </c>
      <c r="CZ576" s="145">
        <v>4.2</v>
      </c>
      <c r="DA576" s="145" t="s">
        <v>24</v>
      </c>
      <c r="DB576" s="429" t="s">
        <v>5365</v>
      </c>
      <c r="DC576" s="150">
        <v>38.86</v>
      </c>
      <c r="DD576" s="150">
        <v>5.5</v>
      </c>
      <c r="DE576" s="150" t="s">
        <v>24</v>
      </c>
      <c r="DF576" s="302" t="s">
        <v>5383</v>
      </c>
      <c r="DG576" s="303" t="s">
        <v>5384</v>
      </c>
      <c r="DH576" s="1166"/>
      <c r="DI576" s="1164"/>
      <c r="DJ576" s="1164"/>
      <c r="DK576" s="1164"/>
      <c r="DL576" s="1166"/>
      <c r="DM576" s="1164"/>
      <c r="DN576" s="1164"/>
      <c r="DO576" s="1164"/>
      <c r="DP576" s="290"/>
      <c r="DQ576" s="291"/>
      <c r="DR576" s="1168"/>
      <c r="DS576" s="865"/>
      <c r="DT576" s="1205"/>
      <c r="DU576" s="1205"/>
      <c r="DV576" s="146"/>
      <c r="DW576" s="146"/>
      <c r="DX576" s="1205"/>
      <c r="DY576" s="1164"/>
      <c r="DZ576" s="1164"/>
      <c r="EA576" s="1164"/>
      <c r="EB576" s="311"/>
      <c r="EC576" s="313"/>
      <c r="ED576" s="1205"/>
      <c r="EE576" s="1205"/>
      <c r="EF576" s="146"/>
      <c r="EG576" s="146"/>
      <c r="EH576" s="1205"/>
      <c r="EI576" s="1164"/>
      <c r="EJ576" s="1164"/>
      <c r="EK576" s="1164"/>
      <c r="EL576" s="311"/>
      <c r="EM576" s="313"/>
      <c r="EN576" s="1167"/>
      <c r="EO576" s="1165"/>
      <c r="EP576" s="1164"/>
      <c r="EQ576" s="1164"/>
      <c r="ER576" s="1164"/>
      <c r="ES576" s="1164"/>
      <c r="ET576" s="1164"/>
      <c r="EU576" s="1164"/>
      <c r="EV576" s="1164"/>
      <c r="EW576" s="1164"/>
      <c r="EX576" s="313"/>
      <c r="EY576" s="313"/>
      <c r="EZ576" s="1164"/>
      <c r="FA576" s="1164"/>
      <c r="FB576" s="1164"/>
      <c r="FC576" s="1164"/>
      <c r="FD576" s="1164"/>
      <c r="FE576" s="1164"/>
      <c r="FF576" s="1164"/>
      <c r="FG576" s="1164"/>
      <c r="FH576" s="313"/>
      <c r="FI576" s="313"/>
      <c r="FJ576" s="1165"/>
    </row>
    <row r="577" spans="1:166" ht="14" hidden="1" customHeight="1">
      <c r="A577" s="118" t="s">
        <v>145</v>
      </c>
      <c r="B577" s="616">
        <v>111</v>
      </c>
      <c r="C577" s="616">
        <v>24</v>
      </c>
      <c r="D577" s="616"/>
      <c r="E577" s="605" t="s">
        <v>1952</v>
      </c>
      <c r="F577" s="140" t="s">
        <v>2172</v>
      </c>
      <c r="G577" s="141">
        <v>2001</v>
      </c>
      <c r="H577" s="118">
        <v>11469166</v>
      </c>
      <c r="I577" s="118">
        <v>1</v>
      </c>
      <c r="J577" s="118"/>
      <c r="K577" s="118"/>
      <c r="L577" s="118">
        <v>1</v>
      </c>
      <c r="M577" s="118"/>
      <c r="N577" s="118">
        <v>1</v>
      </c>
      <c r="O577" s="142">
        <v>1</v>
      </c>
      <c r="P577" s="118" t="s">
        <v>452</v>
      </c>
      <c r="Q577" s="118"/>
      <c r="R577" s="118" t="s">
        <v>25</v>
      </c>
      <c r="S577" s="118">
        <v>1</v>
      </c>
      <c r="T577" s="118"/>
      <c r="U577" s="118"/>
      <c r="V577" s="118"/>
      <c r="W577" s="118" t="s">
        <v>24</v>
      </c>
      <c r="X577" s="118"/>
      <c r="Y577" s="118"/>
      <c r="Z577" s="118"/>
      <c r="AA577" s="118"/>
      <c r="AB577" s="118"/>
      <c r="AC577" s="145"/>
      <c r="AD577" s="573">
        <v>1</v>
      </c>
      <c r="AE577" s="573">
        <v>2</v>
      </c>
      <c r="AF577" s="154">
        <v>1</v>
      </c>
      <c r="AG577" s="160"/>
      <c r="AH577" s="704"/>
      <c r="AI577" s="122">
        <v>2</v>
      </c>
      <c r="AJ577" s="485"/>
      <c r="AK577" s="204" t="s">
        <v>4250</v>
      </c>
      <c r="AL577" s="192">
        <v>1</v>
      </c>
      <c r="AM577" s="205">
        <v>0</v>
      </c>
      <c r="AN577" s="122">
        <f>Table66[[#This Row],[Data_Subjects_n_ptsd]]+Table66[[#This Row],[Data_Subjects_n_control]]</f>
        <v>32</v>
      </c>
      <c r="AO577" s="122">
        <v>19</v>
      </c>
      <c r="AP577" s="122">
        <v>13</v>
      </c>
      <c r="AQ577" s="122" t="s">
        <v>803</v>
      </c>
      <c r="AR577" s="122" t="s">
        <v>803</v>
      </c>
      <c r="AS577" s="150" t="s">
        <v>4248</v>
      </c>
      <c r="AT577" s="150">
        <v>2.81</v>
      </c>
      <c r="AU577" s="150" t="s">
        <v>4247</v>
      </c>
      <c r="AV577" s="150">
        <v>3.09</v>
      </c>
      <c r="AW577" s="150" t="s">
        <v>4249</v>
      </c>
      <c r="AX577" s="122"/>
      <c r="AY577" s="122"/>
      <c r="AZ577" s="754" t="s">
        <v>1874</v>
      </c>
      <c r="BA577" s="122" t="s">
        <v>24</v>
      </c>
      <c r="BB577" s="122" t="s">
        <v>24</v>
      </c>
      <c r="BC577" s="122" t="s">
        <v>4161</v>
      </c>
      <c r="BD577" s="754" t="s">
        <v>7521</v>
      </c>
      <c r="BE577" s="187">
        <v>0</v>
      </c>
      <c r="BF577" s="122" t="s">
        <v>3835</v>
      </c>
      <c r="BG577" s="122" t="s">
        <v>4251</v>
      </c>
      <c r="BH577" s="588"/>
      <c r="BI577" s="588"/>
      <c r="BJ577" s="161"/>
      <c r="BK577" s="161"/>
      <c r="BL577" s="161"/>
      <c r="BM577" s="161"/>
      <c r="BN577" s="161"/>
      <c r="BO577" s="161"/>
      <c r="BP577" s="161">
        <v>1</v>
      </c>
      <c r="BQ577" s="161"/>
      <c r="BR577" s="161"/>
      <c r="BS577" s="161"/>
      <c r="BT577" s="161"/>
      <c r="BU577" s="161"/>
      <c r="BV577" s="161"/>
      <c r="BW577" s="596" t="s">
        <v>4268</v>
      </c>
      <c r="BX577" s="162" t="s">
        <v>6609</v>
      </c>
      <c r="BY577" s="797" t="s">
        <v>7616</v>
      </c>
      <c r="BZ577" s="789" t="s">
        <v>803</v>
      </c>
      <c r="CA577" s="765">
        <v>2</v>
      </c>
      <c r="CB577" s="765" t="s">
        <v>7556</v>
      </c>
      <c r="CC577" s="854" t="s">
        <v>7380</v>
      </c>
      <c r="CD577" s="150" t="s">
        <v>1876</v>
      </c>
      <c r="CE577" s="150">
        <v>2</v>
      </c>
      <c r="CF577" s="400"/>
      <c r="CG577" s="150" t="s">
        <v>4266</v>
      </c>
      <c r="CH577" s="855" t="s">
        <v>7308</v>
      </c>
      <c r="CI577" s="150" t="s">
        <v>24</v>
      </c>
      <c r="CJ577" s="150"/>
      <c r="CK577" s="150" t="s">
        <v>4271</v>
      </c>
      <c r="CL577" s="150" t="s">
        <v>4000</v>
      </c>
      <c r="CM577" s="258" t="s">
        <v>4300</v>
      </c>
      <c r="CN577" s="257" t="s">
        <v>24</v>
      </c>
      <c r="CO577" s="829">
        <v>22</v>
      </c>
      <c r="CP577" s="829">
        <v>1</v>
      </c>
      <c r="CQ577" s="829">
        <v>1</v>
      </c>
      <c r="CR577" s="829">
        <v>1</v>
      </c>
      <c r="CS577" s="829">
        <v>1</v>
      </c>
      <c r="CT577" s="968"/>
      <c r="CU577" s="1288" t="s">
        <v>8103</v>
      </c>
      <c r="CV577" s="1294">
        <v>12</v>
      </c>
      <c r="CW577" s="1294">
        <v>11</v>
      </c>
      <c r="CX577" s="151" t="s">
        <v>4273</v>
      </c>
      <c r="CY577" s="150">
        <v>96.58</v>
      </c>
      <c r="CZ577" s="150">
        <v>9.98</v>
      </c>
      <c r="DA577" s="150" t="s">
        <v>24</v>
      </c>
      <c r="DB577" s="151" t="s">
        <v>4282</v>
      </c>
      <c r="DC577" s="150">
        <v>110.23</v>
      </c>
      <c r="DD577" s="150">
        <v>9.98</v>
      </c>
      <c r="DE577" s="150" t="s">
        <v>24</v>
      </c>
      <c r="DF577" s="294" t="s">
        <v>4297</v>
      </c>
      <c r="DG577" s="295" t="s">
        <v>4299</v>
      </c>
      <c r="DH577" s="1178" t="s">
        <v>24</v>
      </c>
      <c r="DI577" s="500" t="s">
        <v>24</v>
      </c>
      <c r="DJ577" s="1164" t="s">
        <v>24</v>
      </c>
      <c r="DK577" s="500" t="s">
        <v>24</v>
      </c>
      <c r="DL577" s="1166" t="s">
        <v>24</v>
      </c>
      <c r="DM577" s="500" t="s">
        <v>24</v>
      </c>
      <c r="DN577" s="1164" t="s">
        <v>24</v>
      </c>
      <c r="DO577" s="1150" t="s">
        <v>24</v>
      </c>
      <c r="DP577" s="290" t="s">
        <v>24</v>
      </c>
      <c r="DQ577" s="388"/>
      <c r="DR577" s="1168"/>
      <c r="DS577" s="865"/>
      <c r="DT577" s="1166"/>
      <c r="DU577" s="1164"/>
      <c r="DV577" s="1164"/>
      <c r="DW577" s="1164"/>
      <c r="DX577" s="1164"/>
      <c r="DY577" s="1164"/>
      <c r="DZ577" s="1164"/>
      <c r="EA577" s="1164"/>
      <c r="EB577" s="302"/>
      <c r="EC577" s="303"/>
      <c r="ED577" s="1164"/>
      <c r="EE577" s="1164"/>
      <c r="EF577" s="1164"/>
      <c r="EG577" s="1164"/>
      <c r="EH577" s="1164"/>
      <c r="EI577" s="1164"/>
      <c r="EJ577" s="1164"/>
      <c r="EK577" s="1164"/>
      <c r="EL577" s="302"/>
      <c r="EM577" s="303"/>
      <c r="EN577" s="1167"/>
      <c r="EO577" s="1165"/>
      <c r="EP577" s="1164"/>
      <c r="EQ577" s="1164"/>
      <c r="ER577" s="1164"/>
      <c r="ES577" s="1164"/>
      <c r="ET577" s="1166"/>
      <c r="EU577" s="1164"/>
      <c r="EV577" s="1164"/>
      <c r="EW577" s="1164"/>
      <c r="EX577" s="313"/>
      <c r="EY577" s="313"/>
      <c r="EZ577" s="1166"/>
      <c r="FA577" s="1164"/>
      <c r="FB577" s="1164"/>
      <c r="FC577" s="1164"/>
      <c r="FD577" s="1166"/>
      <c r="FE577" s="1164"/>
      <c r="FF577" s="1164"/>
      <c r="FG577" s="1164"/>
      <c r="FH577" s="313"/>
      <c r="FI577" s="313"/>
      <c r="FJ577" s="1165"/>
    </row>
    <row r="578" spans="1:166" ht="14" hidden="1" customHeight="1">
      <c r="A578" s="79" t="s">
        <v>281</v>
      </c>
      <c r="B578" s="362">
        <v>201</v>
      </c>
      <c r="C578" s="362">
        <v>71</v>
      </c>
      <c r="D578" s="362"/>
      <c r="E578" s="604" t="s">
        <v>2010</v>
      </c>
      <c r="F578" s="124" t="s">
        <v>2242</v>
      </c>
      <c r="G578" s="125">
        <v>2008</v>
      </c>
      <c r="H578" s="79">
        <v>18498263</v>
      </c>
      <c r="I578" s="79">
        <v>1</v>
      </c>
      <c r="J578" s="126" t="s">
        <v>1780</v>
      </c>
      <c r="K578" s="127" t="s">
        <v>1764</v>
      </c>
      <c r="L578" s="164">
        <v>0</v>
      </c>
      <c r="M578" s="79" t="s">
        <v>1751</v>
      </c>
      <c r="N578" s="79">
        <v>1</v>
      </c>
      <c r="O578" s="128">
        <v>1</v>
      </c>
      <c r="P578" s="79" t="s">
        <v>739</v>
      </c>
      <c r="Q578" s="79" t="s">
        <v>1147</v>
      </c>
      <c r="R578" s="79" t="s">
        <v>736</v>
      </c>
      <c r="S578" s="79">
        <v>1</v>
      </c>
      <c r="T578" s="79"/>
      <c r="U578" s="79"/>
      <c r="V578" s="79"/>
      <c r="W578" s="79" t="s">
        <v>738</v>
      </c>
      <c r="X578" s="79"/>
      <c r="Y578" s="79"/>
      <c r="Z578" s="79"/>
      <c r="AA578" s="79"/>
      <c r="AB578" s="79"/>
      <c r="AC578" s="506"/>
      <c r="AD578" s="573">
        <v>1</v>
      </c>
      <c r="AE578" s="573">
        <v>2</v>
      </c>
      <c r="AF578" s="154">
        <v>1</v>
      </c>
      <c r="AG578" s="155" t="s">
        <v>5455</v>
      </c>
      <c r="AH578" s="704"/>
      <c r="AI578" s="121">
        <v>2</v>
      </c>
      <c r="AJ578" s="484" t="s">
        <v>5454</v>
      </c>
      <c r="AK578" s="202" t="s">
        <v>5444</v>
      </c>
      <c r="AL578" s="192">
        <v>0</v>
      </c>
      <c r="AM578" s="203">
        <v>0</v>
      </c>
      <c r="AN578" s="121">
        <v>79</v>
      </c>
      <c r="AO578" s="121">
        <v>45</v>
      </c>
      <c r="AP578" s="121">
        <v>34</v>
      </c>
      <c r="AQ578" s="121" t="s">
        <v>5447</v>
      </c>
      <c r="AR578" s="121" t="s">
        <v>5447</v>
      </c>
      <c r="AS578" s="121" t="s">
        <v>5448</v>
      </c>
      <c r="AT578" s="121" t="s">
        <v>24</v>
      </c>
      <c r="AU578" s="121" t="s">
        <v>5448</v>
      </c>
      <c r="AV578" s="121" t="s">
        <v>24</v>
      </c>
      <c r="AW578" s="121" t="s">
        <v>5442</v>
      </c>
      <c r="AX578" s="121"/>
      <c r="AY578" s="121"/>
      <c r="AZ578" s="754" t="s">
        <v>1874</v>
      </c>
      <c r="BA578" s="121" t="s">
        <v>24</v>
      </c>
      <c r="BB578" s="121" t="s">
        <v>24</v>
      </c>
      <c r="BC578" s="121" t="s">
        <v>2423</v>
      </c>
      <c r="BD578" s="754" t="s">
        <v>7521</v>
      </c>
      <c r="BE578" s="187">
        <v>0</v>
      </c>
      <c r="BF578" s="121" t="s">
        <v>3835</v>
      </c>
      <c r="BG578" s="121" t="s">
        <v>5443</v>
      </c>
      <c r="BH578" s="594"/>
      <c r="BI578" s="594"/>
      <c r="BJ578" s="156"/>
      <c r="BK578" s="156"/>
      <c r="BL578" s="156"/>
      <c r="BM578" s="156"/>
      <c r="BN578" s="156"/>
      <c r="BO578" s="156"/>
      <c r="BP578" s="156">
        <v>1</v>
      </c>
      <c r="BQ578" s="156"/>
      <c r="BR578" s="156"/>
      <c r="BS578" s="156"/>
      <c r="BT578" s="156"/>
      <c r="BU578" s="156"/>
      <c r="BV578" s="156"/>
      <c r="BW578" s="595" t="s">
        <v>4721</v>
      </c>
      <c r="BX578" s="157" t="s">
        <v>6615</v>
      </c>
      <c r="BY578" s="797" t="s">
        <v>7620</v>
      </c>
      <c r="BZ578" s="789" t="s">
        <v>803</v>
      </c>
      <c r="CA578" s="769">
        <v>2</v>
      </c>
      <c r="CB578" s="765" t="s">
        <v>7556</v>
      </c>
      <c r="CC578" s="810" t="s">
        <v>7380</v>
      </c>
      <c r="CD578" s="134" t="s">
        <v>1876</v>
      </c>
      <c r="CE578" s="134">
        <v>2</v>
      </c>
      <c r="CF578" s="400"/>
      <c r="CG578" s="134" t="s">
        <v>5445</v>
      </c>
      <c r="CH578" s="753" t="s">
        <v>7314</v>
      </c>
      <c r="CI578" s="134" t="s">
        <v>24</v>
      </c>
      <c r="CJ578" s="134"/>
      <c r="CK578" s="134" t="s">
        <v>5446</v>
      </c>
      <c r="CL578" s="134" t="s">
        <v>469</v>
      </c>
      <c r="CM578" s="259" t="s">
        <v>5453</v>
      </c>
      <c r="CN578" s="454" t="s">
        <v>24</v>
      </c>
      <c r="CO578" s="828">
        <v>65</v>
      </c>
      <c r="CP578" s="828">
        <v>1</v>
      </c>
      <c r="CQ578" s="828">
        <v>1</v>
      </c>
      <c r="CR578" s="828">
        <v>0</v>
      </c>
      <c r="CS578" s="828">
        <v>1</v>
      </c>
      <c r="CT578" s="967"/>
      <c r="CU578" s="1288" t="s">
        <v>8103</v>
      </c>
      <c r="CV578" s="1294">
        <v>34</v>
      </c>
      <c r="CW578" s="1294">
        <v>27</v>
      </c>
      <c r="CX578" s="138" t="s">
        <v>5449</v>
      </c>
      <c r="CY578" s="134">
        <v>15.755000000000001</v>
      </c>
      <c r="CZ578" s="134">
        <v>4.7149999999999999</v>
      </c>
      <c r="DA578" s="134" t="s">
        <v>24</v>
      </c>
      <c r="DB578" s="138" t="s">
        <v>5450</v>
      </c>
      <c r="DC578" s="134">
        <v>22.823</v>
      </c>
      <c r="DD578" s="134">
        <v>1.07</v>
      </c>
      <c r="DE578" s="134" t="s">
        <v>24</v>
      </c>
      <c r="DF578" s="294" t="s">
        <v>5451</v>
      </c>
      <c r="DG578" s="295" t="s">
        <v>5452</v>
      </c>
      <c r="DH578" s="1171" t="s">
        <v>24</v>
      </c>
      <c r="DI578" s="1169" t="s">
        <v>24</v>
      </c>
      <c r="DJ578" s="1169" t="s">
        <v>24</v>
      </c>
      <c r="DK578" s="1169" t="s">
        <v>24</v>
      </c>
      <c r="DL578" s="1169" t="s">
        <v>24</v>
      </c>
      <c r="DM578" s="1169" t="s">
        <v>24</v>
      </c>
      <c r="DN578" s="1169" t="s">
        <v>24</v>
      </c>
      <c r="DO578" s="1169" t="s">
        <v>24</v>
      </c>
      <c r="DP578" s="288"/>
      <c r="DQ578" s="289"/>
      <c r="DR578" s="1168"/>
      <c r="DS578" s="865"/>
      <c r="DT578" s="1171"/>
      <c r="DU578" s="1169"/>
      <c r="DV578" s="1169"/>
      <c r="DW578" s="1169"/>
      <c r="DX578" s="1169"/>
      <c r="DY578" s="1169"/>
      <c r="DZ578" s="1169"/>
      <c r="EA578" s="1169"/>
      <c r="EB578" s="304"/>
      <c r="EC578" s="312"/>
      <c r="ED578" s="1169"/>
      <c r="EE578" s="1169"/>
      <c r="EF578" s="1169"/>
      <c r="EG578" s="1169"/>
      <c r="EH578" s="1169"/>
      <c r="EI578" s="1169"/>
      <c r="EJ578" s="1169"/>
      <c r="EK578" s="1169"/>
      <c r="EL578" s="304"/>
      <c r="EM578" s="312"/>
      <c r="EN578" s="309"/>
      <c r="EO578" s="1170"/>
      <c r="EP578" s="1169"/>
      <c r="EQ578" s="1169"/>
      <c r="ER578" s="1169"/>
      <c r="ES578" s="1169"/>
      <c r="ET578" s="1171"/>
      <c r="EU578" s="1169"/>
      <c r="EV578" s="1169"/>
      <c r="EW578" s="1169"/>
      <c r="EX578" s="312"/>
      <c r="EY578" s="312"/>
      <c r="EZ578" s="1171"/>
      <c r="FA578" s="1169"/>
      <c r="FB578" s="1169"/>
      <c r="FC578" s="1169"/>
      <c r="FD578" s="1171"/>
      <c r="FE578" s="1169"/>
      <c r="FF578" s="1169"/>
      <c r="FG578" s="1169"/>
      <c r="FH578" s="312"/>
      <c r="FI578" s="312"/>
      <c r="FJ578" s="1170"/>
    </row>
    <row r="579" spans="1:166" s="20" customFormat="1" ht="14" hidden="1" customHeight="1">
      <c r="A579" s="1090" t="s">
        <v>982</v>
      </c>
      <c r="B579" s="1405">
        <v>202</v>
      </c>
      <c r="C579" s="1405"/>
      <c r="D579" s="1405">
        <v>78</v>
      </c>
      <c r="E579" s="1406" t="s">
        <v>2114</v>
      </c>
      <c r="F579" s="1407" t="s">
        <v>2373</v>
      </c>
      <c r="G579" s="1408">
        <v>2015</v>
      </c>
      <c r="H579" s="1090">
        <v>26225843</v>
      </c>
      <c r="I579" s="1090">
        <v>1</v>
      </c>
      <c r="J579" s="1090">
        <v>1</v>
      </c>
      <c r="K579" s="1090"/>
      <c r="L579" s="1090">
        <v>1</v>
      </c>
      <c r="M579" s="1090"/>
      <c r="N579" s="1090">
        <v>1</v>
      </c>
      <c r="O579" s="1090">
        <v>2</v>
      </c>
      <c r="P579" s="1090" t="s">
        <v>1206</v>
      </c>
      <c r="Q579" s="1090" t="s">
        <v>1552</v>
      </c>
      <c r="R579" s="1090" t="s">
        <v>1127</v>
      </c>
      <c r="S579" s="1090"/>
      <c r="T579" s="1090" t="s">
        <v>1495</v>
      </c>
      <c r="U579" s="1090" t="s">
        <v>803</v>
      </c>
      <c r="V579" s="1090"/>
      <c r="W579" s="1090" t="s">
        <v>1550</v>
      </c>
      <c r="X579" s="1090" t="s">
        <v>1551</v>
      </c>
      <c r="Y579" s="1090"/>
      <c r="Z579" s="1090"/>
      <c r="AA579" s="1090" t="s">
        <v>1549</v>
      </c>
      <c r="AB579" s="1090" t="s">
        <v>1548</v>
      </c>
      <c r="AC579" s="1409" t="s">
        <v>6277</v>
      </c>
      <c r="AD579" s="1409">
        <v>1</v>
      </c>
      <c r="AE579" s="1409">
        <v>1</v>
      </c>
      <c r="AF579" s="1410">
        <v>0</v>
      </c>
      <c r="AG579" s="1411" t="s">
        <v>8129</v>
      </c>
      <c r="AH579" s="1409"/>
      <c r="AI579" s="1409">
        <v>4</v>
      </c>
      <c r="AJ579" s="1409"/>
      <c r="AK579" s="1412" t="s">
        <v>7006</v>
      </c>
      <c r="AL579" s="1407" t="s">
        <v>6991</v>
      </c>
      <c r="AM579" s="1413">
        <v>1</v>
      </c>
      <c r="AN579" s="1409" t="s">
        <v>6992</v>
      </c>
      <c r="AO579" s="1409" t="s">
        <v>6993</v>
      </c>
      <c r="AP579" s="1409">
        <v>6</v>
      </c>
      <c r="AQ579" s="1409" t="s">
        <v>6994</v>
      </c>
      <c r="AR579" s="1409" t="s">
        <v>6994</v>
      </c>
      <c r="AS579" s="1409" t="s">
        <v>2687</v>
      </c>
      <c r="AT579" s="1409" t="s">
        <v>24</v>
      </c>
      <c r="AU579" s="1409" t="s">
        <v>2687</v>
      </c>
      <c r="AV579" s="1409" t="s">
        <v>24</v>
      </c>
      <c r="AW579" s="1409" t="s">
        <v>7005</v>
      </c>
      <c r="AX579" s="1409"/>
      <c r="AY579" s="1409"/>
      <c r="AZ579" s="1409" t="s">
        <v>7317</v>
      </c>
      <c r="BA579" s="1409">
        <v>1</v>
      </c>
      <c r="BB579" s="1409">
        <v>1</v>
      </c>
      <c r="BC579" s="1409" t="s">
        <v>6986</v>
      </c>
      <c r="BD579" s="1409" t="s">
        <v>7523</v>
      </c>
      <c r="BE579" s="1409"/>
      <c r="BF579" s="1409" t="s">
        <v>2912</v>
      </c>
      <c r="BG579" s="1409" t="s">
        <v>6653</v>
      </c>
      <c r="BH579" s="1407"/>
      <c r="BI579" s="1407"/>
      <c r="BJ579" s="1565">
        <v>1</v>
      </c>
      <c r="BK579" s="1565">
        <v>1</v>
      </c>
      <c r="BL579" s="1565"/>
      <c r="BM579" s="1565"/>
      <c r="BN579" s="1565"/>
      <c r="BO579" s="1565"/>
      <c r="BP579" s="1565">
        <v>1</v>
      </c>
      <c r="BQ579" s="1565"/>
      <c r="BR579" s="1565"/>
      <c r="BS579" s="1565"/>
      <c r="BT579" s="1565"/>
      <c r="BU579" s="1565"/>
      <c r="BV579" s="1565" t="s">
        <v>6276</v>
      </c>
      <c r="BW579" s="1565" t="s">
        <v>6996</v>
      </c>
      <c r="BX579" s="1416" t="s">
        <v>6657</v>
      </c>
      <c r="BY579" s="1416" t="s">
        <v>7613</v>
      </c>
      <c r="BZ579" s="1416" t="s">
        <v>803</v>
      </c>
      <c r="CA579" s="1565">
        <v>1</v>
      </c>
      <c r="CB579" s="1565" t="s">
        <v>7556</v>
      </c>
      <c r="CC579" s="1584" t="s">
        <v>7380</v>
      </c>
      <c r="CD579" s="1409" t="s">
        <v>1876</v>
      </c>
      <c r="CE579" s="1409" t="s">
        <v>6987</v>
      </c>
      <c r="CF579" s="1409" t="s">
        <v>7588</v>
      </c>
      <c r="CG579" s="1409" t="s">
        <v>6988</v>
      </c>
      <c r="CH579" s="1409" t="s">
        <v>7310</v>
      </c>
      <c r="CI579" s="1409" t="s">
        <v>6985</v>
      </c>
      <c r="CJ579" s="1409"/>
      <c r="CK579" s="1409" t="s">
        <v>6990</v>
      </c>
      <c r="CL579" s="1409" t="s">
        <v>8011</v>
      </c>
      <c r="CM579" s="1414" t="s">
        <v>7004</v>
      </c>
      <c r="CN579" s="1415" t="s">
        <v>6627</v>
      </c>
      <c r="CO579" s="1415">
        <v>65</v>
      </c>
      <c r="CP579" s="1415">
        <v>1</v>
      </c>
      <c r="CQ579" s="1415"/>
      <c r="CR579" s="1415">
        <v>1</v>
      </c>
      <c r="CS579" s="1415">
        <v>-1</v>
      </c>
      <c r="CT579" s="1415"/>
      <c r="CU579" s="1415"/>
      <c r="CV579" s="1335" t="s">
        <v>8128</v>
      </c>
      <c r="CW579" s="1335">
        <v>106</v>
      </c>
      <c r="CX579" s="1416" t="s">
        <v>7008</v>
      </c>
      <c r="CY579" s="1409">
        <v>116</v>
      </c>
      <c r="CZ579" s="1409" t="s">
        <v>24</v>
      </c>
      <c r="DA579" s="1409">
        <v>27.9</v>
      </c>
      <c r="DB579" s="1416" t="s">
        <v>7010</v>
      </c>
      <c r="DC579" s="1409">
        <v>12</v>
      </c>
      <c r="DD579" s="1409" t="s">
        <v>24</v>
      </c>
      <c r="DE579" s="1409">
        <v>3.3</v>
      </c>
      <c r="DF579" s="1424" t="s">
        <v>6998</v>
      </c>
      <c r="DG579" s="1407" t="s">
        <v>3060</v>
      </c>
      <c r="DH579" s="1409"/>
      <c r="DI579" s="1409"/>
      <c r="DJ579" s="1418"/>
      <c r="DK579" s="1409"/>
      <c r="DL579" s="1418"/>
      <c r="DM579" s="1409"/>
      <c r="DN579" s="1418"/>
      <c r="DO579" s="1409"/>
      <c r="DP579" s="1414"/>
      <c r="DQ579" s="1407"/>
      <c r="DR579" s="1419" t="s">
        <v>24</v>
      </c>
      <c r="DS579" s="1420" t="s">
        <v>24</v>
      </c>
      <c r="DT579" s="1420"/>
      <c r="DU579" s="1409"/>
      <c r="DV579" s="1418"/>
      <c r="DW579" s="1409"/>
      <c r="DX579" s="1418"/>
      <c r="DY579" s="1409"/>
      <c r="DZ579" s="1418"/>
      <c r="EA579" s="1409"/>
      <c r="EB579" s="1419"/>
      <c r="EC579" s="1418"/>
      <c r="ED579" s="1418"/>
      <c r="EE579" s="1409"/>
      <c r="EF579" s="1418"/>
      <c r="EG579" s="1409"/>
      <c r="EH579" s="1418"/>
      <c r="EI579" s="1409"/>
      <c r="EJ579" s="1418"/>
      <c r="EK579" s="1409"/>
      <c r="EL579" s="1419"/>
      <c r="EM579" s="1418"/>
      <c r="EN579" s="1419" t="s">
        <v>24</v>
      </c>
      <c r="EO579" s="1418" t="s">
        <v>24</v>
      </c>
      <c r="EP579" s="1409"/>
      <c r="EQ579" s="1409"/>
      <c r="ER579" s="1409"/>
      <c r="ES579" s="1409"/>
      <c r="ET579" s="1409"/>
      <c r="EU579" s="1409"/>
      <c r="EV579" s="1409"/>
      <c r="EW579" s="1409"/>
      <c r="EX579" s="1418"/>
      <c r="EY579" s="1418"/>
      <c r="EZ579" s="1409"/>
      <c r="FA579" s="1409"/>
      <c r="FB579" s="1409"/>
      <c r="FC579" s="1409"/>
      <c r="FD579" s="1409"/>
      <c r="FE579" s="1409"/>
      <c r="FF579" s="1409"/>
      <c r="FG579" s="1409"/>
      <c r="FH579" s="1409"/>
      <c r="FI579" s="1409"/>
      <c r="FJ579" s="1418" t="s">
        <v>24</v>
      </c>
    </row>
    <row r="580" spans="1:166" s="1089" customFormat="1" ht="14" hidden="1" customHeight="1">
      <c r="A580" s="118" t="s">
        <v>965</v>
      </c>
      <c r="B580" s="616">
        <v>234</v>
      </c>
      <c r="C580" s="616">
        <v>85</v>
      </c>
      <c r="D580" s="616"/>
      <c r="E580" s="605" t="s">
        <v>2120</v>
      </c>
      <c r="F580" s="140" t="s">
        <v>2381</v>
      </c>
      <c r="G580" s="141">
        <v>2014</v>
      </c>
      <c r="H580" s="118">
        <v>24975424</v>
      </c>
      <c r="I580" s="118">
        <v>1</v>
      </c>
      <c r="J580" s="118" t="s">
        <v>1788</v>
      </c>
      <c r="K580" s="118" t="s">
        <v>23</v>
      </c>
      <c r="L580" s="118">
        <v>1</v>
      </c>
      <c r="M580" s="118"/>
      <c r="N580" s="118">
        <v>1</v>
      </c>
      <c r="O580" s="142">
        <v>2</v>
      </c>
      <c r="P580" s="118" t="s">
        <v>1398</v>
      </c>
      <c r="Q580" s="118" t="s">
        <v>1216</v>
      </c>
      <c r="R580" s="118" t="s">
        <v>1127</v>
      </c>
      <c r="S580" s="118"/>
      <c r="T580" s="118" t="s">
        <v>1487</v>
      </c>
      <c r="U580" s="118" t="s">
        <v>803</v>
      </c>
      <c r="V580" s="118"/>
      <c r="W580" s="118" t="s">
        <v>1599</v>
      </c>
      <c r="X580" s="118"/>
      <c r="Y580" s="118" t="s">
        <v>1132</v>
      </c>
      <c r="Z580" s="118"/>
      <c r="AA580" s="118" t="s">
        <v>1598</v>
      </c>
      <c r="AB580" s="118"/>
      <c r="AC580" s="145"/>
      <c r="AD580" s="573">
        <v>1</v>
      </c>
      <c r="AE580" s="573">
        <v>2</v>
      </c>
      <c r="AF580" s="352">
        <v>1</v>
      </c>
      <c r="AG580" s="160" t="s">
        <v>5862</v>
      </c>
      <c r="AH580" s="704"/>
      <c r="AI580" s="122">
        <v>4</v>
      </c>
      <c r="AJ580" s="485" t="s">
        <v>5875</v>
      </c>
      <c r="AK580" s="204"/>
      <c r="AL580" s="192" t="s">
        <v>5860</v>
      </c>
      <c r="AM580" s="205"/>
      <c r="AN580" s="122">
        <f>Table66[[#This Row],[Data_Subjects_n_ptsd]]+Table66[[#This Row],[Data_Subjects_n_control]]</f>
        <v>16</v>
      </c>
      <c r="AO580" s="122">
        <f>6</f>
        <v>6</v>
      </c>
      <c r="AP580" s="122">
        <v>10</v>
      </c>
      <c r="AQ580" s="122" t="s">
        <v>803</v>
      </c>
      <c r="AR580" s="122" t="s">
        <v>803</v>
      </c>
      <c r="AS580" s="122" t="s">
        <v>7506</v>
      </c>
      <c r="AT580" s="122" t="s">
        <v>24</v>
      </c>
      <c r="AU580" s="122" t="s">
        <v>7506</v>
      </c>
      <c r="AV580" s="122" t="s">
        <v>24</v>
      </c>
      <c r="AW580" s="122" t="s">
        <v>5854</v>
      </c>
      <c r="AX580" s="122"/>
      <c r="AY580" s="122"/>
      <c r="AZ580" s="754" t="s">
        <v>1487</v>
      </c>
      <c r="BA580" s="122">
        <v>1</v>
      </c>
      <c r="BB580" s="122">
        <v>1</v>
      </c>
      <c r="BC580" s="122" t="s">
        <v>8064</v>
      </c>
      <c r="BD580" s="754" t="s">
        <v>7521</v>
      </c>
      <c r="BE580" s="754"/>
      <c r="BF580" s="122" t="s">
        <v>1130</v>
      </c>
      <c r="BG580" s="526" t="s">
        <v>5880</v>
      </c>
      <c r="BH580" s="161"/>
      <c r="BI580" s="161"/>
      <c r="BJ580" s="161"/>
      <c r="BK580" s="161"/>
      <c r="BL580" s="161"/>
      <c r="BM580" s="161"/>
      <c r="BN580" s="161"/>
      <c r="BO580" s="161"/>
      <c r="BP580" s="161">
        <v>1</v>
      </c>
      <c r="BQ580" s="161"/>
      <c r="BR580" s="161"/>
      <c r="BS580" s="161"/>
      <c r="BT580" s="161"/>
      <c r="BU580" s="161"/>
      <c r="BV580" s="161"/>
      <c r="BW580" s="596" t="s">
        <v>5832</v>
      </c>
      <c r="BX580" s="162" t="s">
        <v>6657</v>
      </c>
      <c r="BY580" s="797" t="s">
        <v>7613</v>
      </c>
      <c r="BZ580" s="790" t="s">
        <v>803</v>
      </c>
      <c r="CA580" s="765">
        <v>1</v>
      </c>
      <c r="CB580" s="772" t="s">
        <v>7556</v>
      </c>
      <c r="CC580" s="772" t="s">
        <v>7384</v>
      </c>
      <c r="CD580" s="150" t="s">
        <v>1876</v>
      </c>
      <c r="CE580" s="150" t="s">
        <v>5855</v>
      </c>
      <c r="CF580" s="400" t="s">
        <v>7589</v>
      </c>
      <c r="CG580" s="150" t="s">
        <v>5833</v>
      </c>
      <c r="CH580" s="753" t="s">
        <v>7310</v>
      </c>
      <c r="CI580" s="150" t="s">
        <v>5829</v>
      </c>
      <c r="CJ580" s="150"/>
      <c r="CK580" s="150" t="s">
        <v>5834</v>
      </c>
      <c r="CL580" s="150" t="s">
        <v>8297</v>
      </c>
      <c r="CM580" s="258" t="s">
        <v>5887</v>
      </c>
      <c r="CN580" s="257" t="s">
        <v>6627</v>
      </c>
      <c r="CO580" s="829">
        <v>75</v>
      </c>
      <c r="CP580" s="829">
        <v>1</v>
      </c>
      <c r="CQ580" s="829">
        <v>3</v>
      </c>
      <c r="CR580" s="829">
        <v>1</v>
      </c>
      <c r="CS580" s="829">
        <v>-1</v>
      </c>
      <c r="CT580" s="968"/>
      <c r="CU580" s="1289" t="s">
        <v>1878</v>
      </c>
      <c r="CV580" s="1295" t="s">
        <v>8130</v>
      </c>
      <c r="CW580" s="1295" t="s">
        <v>8130</v>
      </c>
      <c r="CX580" s="151" t="s">
        <v>5865</v>
      </c>
      <c r="CY580" s="150">
        <v>7.0451100000000002</v>
      </c>
      <c r="CZ580" s="150" t="s">
        <v>24</v>
      </c>
      <c r="DA580" s="150">
        <f>9.5635-Table66[[#This Row],[Data_Outcome1_M]]</f>
        <v>2.5183899999999992</v>
      </c>
      <c r="DB580" s="151" t="s">
        <v>8060</v>
      </c>
      <c r="DC580" s="150">
        <v>13.9953</v>
      </c>
      <c r="DD580" s="150" t="s">
        <v>24</v>
      </c>
      <c r="DE580" s="150">
        <f>17.9657-Table66[[#This Row],[Data_Outcome2_M]]</f>
        <v>3.9703999999999979</v>
      </c>
      <c r="DF580" s="543" t="s">
        <v>5883</v>
      </c>
      <c r="DG580" s="545" t="s">
        <v>5866</v>
      </c>
      <c r="DH580" s="1178"/>
      <c r="DI580" s="500"/>
      <c r="DJ580" s="1164"/>
      <c r="DK580" s="500"/>
      <c r="DL580" s="1166"/>
      <c r="DM580" s="500"/>
      <c r="DN580" s="1164"/>
      <c r="DO580" s="1150"/>
      <c r="DP580" s="290"/>
      <c r="DQ580" s="388"/>
      <c r="DR580" s="1168"/>
      <c r="DS580" s="865"/>
      <c r="DT580" s="1166"/>
      <c r="DU580" s="500"/>
      <c r="DV580" s="1164"/>
      <c r="DW580" s="500"/>
      <c r="DX580" s="1166"/>
      <c r="DY580" s="500"/>
      <c r="DZ580" s="1164"/>
      <c r="EA580" s="500"/>
      <c r="EB580" s="311"/>
      <c r="EC580" s="313"/>
      <c r="ED580" s="1164"/>
      <c r="EE580" s="500"/>
      <c r="EF580" s="1164"/>
      <c r="EG580" s="500"/>
      <c r="EH580" s="1164"/>
      <c r="EI580" s="500"/>
      <c r="EJ580" s="1164"/>
      <c r="EK580" s="500"/>
      <c r="EL580" s="311"/>
      <c r="EM580" s="313"/>
      <c r="EN580" s="1167"/>
      <c r="EO580" s="1165"/>
      <c r="EP580" s="500"/>
      <c r="EQ580" s="500"/>
      <c r="ER580" s="500"/>
      <c r="ES580" s="500"/>
      <c r="ET580" s="500"/>
      <c r="EU580" s="500"/>
      <c r="EV580" s="500"/>
      <c r="EW580" s="500"/>
      <c r="EX580" s="665"/>
      <c r="EY580" s="665"/>
      <c r="EZ580" s="500"/>
      <c r="FA580" s="500"/>
      <c r="FB580" s="500"/>
      <c r="FC580" s="500"/>
      <c r="FD580" s="500"/>
      <c r="FE580" s="500"/>
      <c r="FF580" s="500"/>
      <c r="FG580" s="500"/>
      <c r="FH580" s="665"/>
      <c r="FI580" s="665"/>
      <c r="FJ580" s="1165"/>
    </row>
    <row r="581" spans="1:166" ht="14" hidden="1" customHeight="1">
      <c r="A581" s="118" t="s">
        <v>982</v>
      </c>
      <c r="B581" s="616">
        <v>202</v>
      </c>
      <c r="C581" s="616"/>
      <c r="D581" s="616">
        <v>78</v>
      </c>
      <c r="E581" s="605" t="s">
        <v>2114</v>
      </c>
      <c r="F581" s="140" t="s">
        <v>2373</v>
      </c>
      <c r="G581" s="141">
        <v>2015</v>
      </c>
      <c r="H581" s="118">
        <v>26225843</v>
      </c>
      <c r="I581" s="118">
        <v>1</v>
      </c>
      <c r="J581" s="118">
        <v>1</v>
      </c>
      <c r="K581" s="118"/>
      <c r="L581" s="118">
        <v>1</v>
      </c>
      <c r="M581" s="118"/>
      <c r="N581" s="118">
        <v>1</v>
      </c>
      <c r="O581" s="142">
        <v>2</v>
      </c>
      <c r="P581" s="118" t="s">
        <v>1206</v>
      </c>
      <c r="Q581" s="118" t="s">
        <v>1552</v>
      </c>
      <c r="R581" s="118" t="s">
        <v>1127</v>
      </c>
      <c r="S581" s="118"/>
      <c r="T581" s="118" t="s">
        <v>1495</v>
      </c>
      <c r="U581" s="118" t="s">
        <v>803</v>
      </c>
      <c r="V581" s="118"/>
      <c r="W581" s="118" t="s">
        <v>1550</v>
      </c>
      <c r="X581" s="118" t="s">
        <v>1551</v>
      </c>
      <c r="Y581" s="118"/>
      <c r="Z581" s="118"/>
      <c r="AA581" s="118" t="s">
        <v>1549</v>
      </c>
      <c r="AB581" s="118" t="s">
        <v>1548</v>
      </c>
      <c r="AC581" s="145" t="s">
        <v>6277</v>
      </c>
      <c r="AD581" s="653">
        <v>1</v>
      </c>
      <c r="AE581" s="653">
        <v>1</v>
      </c>
      <c r="AF581" s="159">
        <v>1</v>
      </c>
      <c r="AG581" s="160" t="s">
        <v>8166</v>
      </c>
      <c r="AH581" s="704"/>
      <c r="AI581" s="122">
        <v>4</v>
      </c>
      <c r="AJ581" s="485"/>
      <c r="AK581" s="204" t="s">
        <v>7006</v>
      </c>
      <c r="AL581" s="192" t="s">
        <v>6991</v>
      </c>
      <c r="AM581" s="205">
        <v>1</v>
      </c>
      <c r="AN581" s="122">
        <f>Table66[[#This Row],[Data_Subjects_n_ptsd]]+Table66[[#This Row],[Data_Subjects_n_control]]</f>
        <v>12</v>
      </c>
      <c r="AO581" s="122">
        <v>6</v>
      </c>
      <c r="AP581" s="122">
        <f>6</f>
        <v>6</v>
      </c>
      <c r="AQ581" s="122" t="s">
        <v>6994</v>
      </c>
      <c r="AR581" s="122" t="s">
        <v>6994</v>
      </c>
      <c r="AS581" s="122" t="s">
        <v>2687</v>
      </c>
      <c r="AT581" s="122" t="s">
        <v>24</v>
      </c>
      <c r="AU581" s="122" t="s">
        <v>2687</v>
      </c>
      <c r="AV581" s="122" t="s">
        <v>24</v>
      </c>
      <c r="AW581" s="122" t="s">
        <v>7005</v>
      </c>
      <c r="AX581" s="122"/>
      <c r="AY581" s="122"/>
      <c r="AZ581" s="754" t="s">
        <v>7317</v>
      </c>
      <c r="BA581" s="122">
        <v>1</v>
      </c>
      <c r="BB581" s="122">
        <v>1</v>
      </c>
      <c r="BC581" s="122" t="s">
        <v>6986</v>
      </c>
      <c r="BD581" s="754" t="s">
        <v>7523</v>
      </c>
      <c r="BE581" s="754"/>
      <c r="BF581" s="122" t="s">
        <v>2912</v>
      </c>
      <c r="BG581" s="122" t="s">
        <v>6653</v>
      </c>
      <c r="BH581" s="588"/>
      <c r="BI581" s="588"/>
      <c r="BJ581" s="161">
        <v>1</v>
      </c>
      <c r="BK581" s="161">
        <v>1</v>
      </c>
      <c r="BL581" s="161"/>
      <c r="BM581" s="161"/>
      <c r="BN581" s="161"/>
      <c r="BO581" s="161"/>
      <c r="BP581" s="161">
        <v>1</v>
      </c>
      <c r="BQ581" s="161"/>
      <c r="BR581" s="161"/>
      <c r="BS581" s="161"/>
      <c r="BT581" s="161"/>
      <c r="BU581" s="161"/>
      <c r="BV581" s="161" t="s">
        <v>6276</v>
      </c>
      <c r="BW581" s="596" t="s">
        <v>6996</v>
      </c>
      <c r="BX581" s="162" t="s">
        <v>6657</v>
      </c>
      <c r="BY581" s="797" t="s">
        <v>7613</v>
      </c>
      <c r="BZ581" s="789" t="s">
        <v>7609</v>
      </c>
      <c r="CA581" s="766">
        <v>1</v>
      </c>
      <c r="CB581" s="772" t="s">
        <v>7556</v>
      </c>
      <c r="CC581" s="817" t="s">
        <v>7380</v>
      </c>
      <c r="CD581" s="150" t="s">
        <v>1876</v>
      </c>
      <c r="CE581" s="150" t="s">
        <v>6987</v>
      </c>
      <c r="CF581" s="400" t="s">
        <v>7588</v>
      </c>
      <c r="CG581" s="150" t="s">
        <v>6988</v>
      </c>
      <c r="CH581" s="753" t="s">
        <v>7310</v>
      </c>
      <c r="CI581" s="150" t="s">
        <v>6985</v>
      </c>
      <c r="CJ581" s="150"/>
      <c r="CK581" s="150" t="s">
        <v>6990</v>
      </c>
      <c r="CL581" s="1079" t="s">
        <v>8011</v>
      </c>
      <c r="CM581" s="258" t="s">
        <v>7004</v>
      </c>
      <c r="CN581" s="257" t="s">
        <v>6627</v>
      </c>
      <c r="CO581" s="829">
        <v>65</v>
      </c>
      <c r="CP581" s="829">
        <v>1</v>
      </c>
      <c r="CQ581" s="829">
        <v>2</v>
      </c>
      <c r="CR581" s="829">
        <v>1</v>
      </c>
      <c r="CS581" s="829">
        <v>-1</v>
      </c>
      <c r="CT581" s="968"/>
      <c r="CU581" s="1289" t="s">
        <v>8104</v>
      </c>
      <c r="CV581" s="1295">
        <v>117</v>
      </c>
      <c r="CW581" s="1296">
        <v>106</v>
      </c>
      <c r="CX581" s="151" t="s">
        <v>7016</v>
      </c>
      <c r="CY581" s="150">
        <v>144.071</v>
      </c>
      <c r="CZ581" s="150" t="s">
        <v>24</v>
      </c>
      <c r="DA581" s="150">
        <f>178.753-Table66[[#This Row],[Data_Outcome1_M]]</f>
        <v>34.681999999999988</v>
      </c>
      <c r="DB581" s="151" t="s">
        <v>7014</v>
      </c>
      <c r="DC581" s="150">
        <v>345.05200000000002</v>
      </c>
      <c r="DD581" s="150" t="s">
        <v>24</v>
      </c>
      <c r="DE581" s="150">
        <f>415.381-Table66[[#This Row],[Data_Outcome2_M]]</f>
        <v>70.328999999999951</v>
      </c>
      <c r="DF581" s="686" t="s">
        <v>5379</v>
      </c>
      <c r="DG581" s="502" t="s">
        <v>3790</v>
      </c>
      <c r="DH581" s="1166"/>
      <c r="DI581" s="1164"/>
      <c r="DJ581" s="1164"/>
      <c r="DK581" s="1164"/>
      <c r="DL581" s="1166"/>
      <c r="DM581" s="1164"/>
      <c r="DN581" s="1164"/>
      <c r="DO581" s="1164"/>
      <c r="DP581" s="290"/>
      <c r="DQ581" s="291"/>
      <c r="DR581" s="1168"/>
      <c r="DS581" s="865"/>
      <c r="DT581" s="1166"/>
      <c r="DU581" s="1164"/>
      <c r="DV581" s="1164"/>
      <c r="DW581" s="1164"/>
      <c r="DX581" s="1164"/>
      <c r="DY581" s="1164"/>
      <c r="DZ581" s="1164"/>
      <c r="EA581" s="1164"/>
      <c r="EB581" s="1204"/>
      <c r="EC581" s="1203"/>
      <c r="ED581" s="1166"/>
      <c r="EE581" s="1164"/>
      <c r="EF581" s="1164"/>
      <c r="EG581" s="1164"/>
      <c r="EH581" s="1166"/>
      <c r="EI581" s="1164"/>
      <c r="EJ581" s="1164"/>
      <c r="EK581" s="1164"/>
      <c r="EL581" s="1202"/>
      <c r="EM581" s="313"/>
      <c r="EN581" s="1167"/>
      <c r="EO581" s="1165"/>
      <c r="EP581" s="1166"/>
      <c r="EQ581" s="1164"/>
      <c r="ER581" s="1164"/>
      <c r="ES581" s="1164"/>
      <c r="ET581" s="1166"/>
      <c r="EU581" s="1164"/>
      <c r="EV581" s="1164"/>
      <c r="EW581" s="1164"/>
      <c r="EX581" s="313"/>
      <c r="EY581" s="313"/>
      <c r="EZ581" s="1166"/>
      <c r="FA581" s="1164"/>
      <c r="FB581" s="1164"/>
      <c r="FC581" s="1164"/>
      <c r="FD581" s="1164"/>
      <c r="FE581" s="1164"/>
      <c r="FF581" s="1164"/>
      <c r="FG581" s="1164"/>
      <c r="FH581" s="313"/>
      <c r="FI581" s="313"/>
      <c r="FJ581" s="1165"/>
    </row>
    <row r="582" spans="1:166" s="20" customFormat="1" ht="14" hidden="1" customHeight="1">
      <c r="A582" s="1090" t="s">
        <v>982</v>
      </c>
      <c r="B582" s="1405">
        <v>202</v>
      </c>
      <c r="C582" s="1405"/>
      <c r="D582" s="1405">
        <v>78</v>
      </c>
      <c r="E582" s="1406" t="s">
        <v>2114</v>
      </c>
      <c r="F582" s="1407" t="s">
        <v>2373</v>
      </c>
      <c r="G582" s="1408">
        <v>2015</v>
      </c>
      <c r="H582" s="1090">
        <v>26225843</v>
      </c>
      <c r="I582" s="1090">
        <v>1</v>
      </c>
      <c r="J582" s="1090">
        <v>1</v>
      </c>
      <c r="K582" s="1090"/>
      <c r="L582" s="1090">
        <v>1</v>
      </c>
      <c r="M582" s="1090"/>
      <c r="N582" s="1090">
        <v>1</v>
      </c>
      <c r="O582" s="1090">
        <v>2</v>
      </c>
      <c r="P582" s="1090" t="s">
        <v>1206</v>
      </c>
      <c r="Q582" s="1090" t="s">
        <v>1552</v>
      </c>
      <c r="R582" s="1090" t="s">
        <v>1127</v>
      </c>
      <c r="S582" s="1090"/>
      <c r="T582" s="1090" t="s">
        <v>1495</v>
      </c>
      <c r="U582" s="1090" t="s">
        <v>803</v>
      </c>
      <c r="V582" s="1090"/>
      <c r="W582" s="1090" t="s">
        <v>1550</v>
      </c>
      <c r="X582" s="1090" t="s">
        <v>1551</v>
      </c>
      <c r="Y582" s="1090"/>
      <c r="Z582" s="1090"/>
      <c r="AA582" s="1090" t="s">
        <v>1549</v>
      </c>
      <c r="AB582" s="1090" t="s">
        <v>1548</v>
      </c>
      <c r="AC582" s="1409" t="s">
        <v>6277</v>
      </c>
      <c r="AD582" s="1409">
        <v>1</v>
      </c>
      <c r="AE582" s="1409">
        <v>1</v>
      </c>
      <c r="AF582" s="1410">
        <v>0</v>
      </c>
      <c r="AG582" s="1411" t="s">
        <v>8129</v>
      </c>
      <c r="AH582" s="1409"/>
      <c r="AI582" s="1409">
        <v>4</v>
      </c>
      <c r="AJ582" s="1409"/>
      <c r="AK582" s="1412" t="s">
        <v>7006</v>
      </c>
      <c r="AL582" s="1407" t="s">
        <v>6991</v>
      </c>
      <c r="AM582" s="1413">
        <v>1</v>
      </c>
      <c r="AN582" s="1409" t="s">
        <v>6992</v>
      </c>
      <c r="AO582" s="1409" t="s">
        <v>6993</v>
      </c>
      <c r="AP582" s="1409">
        <v>6</v>
      </c>
      <c r="AQ582" s="1409" t="s">
        <v>6994</v>
      </c>
      <c r="AR582" s="1409" t="s">
        <v>6994</v>
      </c>
      <c r="AS582" s="1409" t="s">
        <v>2687</v>
      </c>
      <c r="AT582" s="1409" t="s">
        <v>24</v>
      </c>
      <c r="AU582" s="1409" t="s">
        <v>2687</v>
      </c>
      <c r="AV582" s="1409" t="s">
        <v>24</v>
      </c>
      <c r="AW582" s="1409" t="s">
        <v>7005</v>
      </c>
      <c r="AX582" s="1409"/>
      <c r="AY582" s="1409"/>
      <c r="AZ582" s="1409" t="s">
        <v>7317</v>
      </c>
      <c r="BA582" s="1409">
        <v>1</v>
      </c>
      <c r="BB582" s="1409">
        <v>1</v>
      </c>
      <c r="BC582" s="1409" t="s">
        <v>6986</v>
      </c>
      <c r="BD582" s="1409" t="s">
        <v>7523</v>
      </c>
      <c r="BE582" s="1409"/>
      <c r="BF582" s="1409" t="s">
        <v>2912</v>
      </c>
      <c r="BG582" s="1409" t="s">
        <v>6653</v>
      </c>
      <c r="BH582" s="1407"/>
      <c r="BI582" s="1407"/>
      <c r="BJ582" s="1565">
        <v>1</v>
      </c>
      <c r="BK582" s="1565">
        <v>1</v>
      </c>
      <c r="BL582" s="1565"/>
      <c r="BM582" s="1565"/>
      <c r="BN582" s="1565"/>
      <c r="BO582" s="1565"/>
      <c r="BP582" s="1565">
        <v>1</v>
      </c>
      <c r="BQ582" s="1565"/>
      <c r="BR582" s="1565"/>
      <c r="BS582" s="1565"/>
      <c r="BT582" s="1565"/>
      <c r="BU582" s="1565"/>
      <c r="BV582" s="1565" t="s">
        <v>6276</v>
      </c>
      <c r="BW582" s="1565" t="s">
        <v>6996</v>
      </c>
      <c r="BX582" s="1416" t="s">
        <v>6657</v>
      </c>
      <c r="BY582" s="1416" t="s">
        <v>7613</v>
      </c>
      <c r="BZ582" s="1416" t="s">
        <v>803</v>
      </c>
      <c r="CA582" s="1565">
        <v>1</v>
      </c>
      <c r="CB582" s="1584" t="s">
        <v>7556</v>
      </c>
      <c r="CC582" s="1584" t="s">
        <v>7380</v>
      </c>
      <c r="CD582" s="1409" t="s">
        <v>1876</v>
      </c>
      <c r="CE582" s="1409" t="s">
        <v>6987</v>
      </c>
      <c r="CF582" s="1409" t="s">
        <v>7588</v>
      </c>
      <c r="CG582" s="1409" t="s">
        <v>6988</v>
      </c>
      <c r="CH582" s="1409" t="s">
        <v>7310</v>
      </c>
      <c r="CI582" s="1409" t="s">
        <v>6985</v>
      </c>
      <c r="CJ582" s="1409"/>
      <c r="CK582" s="1409" t="s">
        <v>6990</v>
      </c>
      <c r="CL582" s="1409" t="s">
        <v>8012</v>
      </c>
      <c r="CM582" s="1414" t="s">
        <v>7004</v>
      </c>
      <c r="CN582" s="1415" t="s">
        <v>6627</v>
      </c>
      <c r="CO582" s="1415">
        <v>65</v>
      </c>
      <c r="CP582" s="1415">
        <v>1</v>
      </c>
      <c r="CQ582" s="1415"/>
      <c r="CR582" s="1415">
        <v>1</v>
      </c>
      <c r="CS582" s="1415">
        <v>1</v>
      </c>
      <c r="CT582" s="1415"/>
      <c r="CU582" s="1415"/>
      <c r="CV582" s="1335" t="s">
        <v>8128</v>
      </c>
      <c r="CW582" s="1335">
        <v>106</v>
      </c>
      <c r="CX582" s="1416" t="s">
        <v>7017</v>
      </c>
      <c r="CY582" s="1409">
        <v>289.7</v>
      </c>
      <c r="CZ582" s="1409" t="s">
        <v>24</v>
      </c>
      <c r="DA582" s="1409">
        <v>68.8</v>
      </c>
      <c r="DB582" s="1416" t="s">
        <v>7018</v>
      </c>
      <c r="DC582" s="1409">
        <v>494</v>
      </c>
      <c r="DD582" s="1409" t="s">
        <v>24</v>
      </c>
      <c r="DE582" s="1409">
        <v>13.7</v>
      </c>
      <c r="DF582" s="1417" t="s">
        <v>6999</v>
      </c>
      <c r="DG582" s="1409" t="s">
        <v>2588</v>
      </c>
      <c r="DH582" s="1420"/>
      <c r="DI582" s="1418"/>
      <c r="DJ582" s="1418"/>
      <c r="DK582" s="1418"/>
      <c r="DL582" s="1420"/>
      <c r="DM582" s="1418"/>
      <c r="DN582" s="1418"/>
      <c r="DO582" s="1418"/>
      <c r="DP582" s="1414"/>
      <c r="DQ582" s="1407"/>
      <c r="DR582" s="1419"/>
      <c r="DS582" s="1420"/>
      <c r="DT582" s="1420"/>
      <c r="DU582" s="1418"/>
      <c r="DV582" s="1418"/>
      <c r="DW582" s="1418"/>
      <c r="DX582" s="1418"/>
      <c r="DY582" s="1418"/>
      <c r="DZ582" s="1418"/>
      <c r="EA582" s="1418"/>
      <c r="EB582" s="1421"/>
      <c r="EC582" s="1422"/>
      <c r="ED582" s="1420"/>
      <c r="EE582" s="1418"/>
      <c r="EF582" s="1418"/>
      <c r="EG582" s="1418"/>
      <c r="EH582" s="1420"/>
      <c r="EI582" s="1418"/>
      <c r="EJ582" s="1418"/>
      <c r="EK582" s="1418"/>
      <c r="EL582" s="1423"/>
      <c r="EM582" s="1418"/>
      <c r="EN582" s="1419"/>
      <c r="EO582" s="1418"/>
      <c r="EP582" s="1420"/>
      <c r="EQ582" s="1418"/>
      <c r="ER582" s="1418"/>
      <c r="ES582" s="1418"/>
      <c r="ET582" s="1420"/>
      <c r="EU582" s="1418"/>
      <c r="EV582" s="1418"/>
      <c r="EW582" s="1418"/>
      <c r="EX582" s="1418"/>
      <c r="EY582" s="1418"/>
      <c r="EZ582" s="1420"/>
      <c r="FA582" s="1418"/>
      <c r="FB582" s="1418"/>
      <c r="FC582" s="1418"/>
      <c r="FD582" s="1418"/>
      <c r="FE582" s="1418"/>
      <c r="FF582" s="1418"/>
      <c r="FG582" s="1418"/>
      <c r="FH582" s="1418"/>
      <c r="FI582" s="1418"/>
      <c r="FJ582" s="1418"/>
    </row>
    <row r="583" spans="1:166" s="1089" customFormat="1" ht="14" hidden="1" customHeight="1">
      <c r="A583" s="118" t="s">
        <v>965</v>
      </c>
      <c r="B583" s="616">
        <v>234</v>
      </c>
      <c r="C583" s="616">
        <v>85</v>
      </c>
      <c r="D583" s="616"/>
      <c r="E583" s="605" t="s">
        <v>2120</v>
      </c>
      <c r="F583" s="140" t="s">
        <v>2381</v>
      </c>
      <c r="G583" s="141">
        <v>2014</v>
      </c>
      <c r="H583" s="118">
        <v>24975424</v>
      </c>
      <c r="I583" s="118">
        <v>1</v>
      </c>
      <c r="J583" s="118" t="s">
        <v>1788</v>
      </c>
      <c r="K583" s="118" t="s">
        <v>23</v>
      </c>
      <c r="L583" s="118">
        <v>1</v>
      </c>
      <c r="M583" s="118"/>
      <c r="N583" s="118">
        <v>1</v>
      </c>
      <c r="O583" s="142">
        <v>2</v>
      </c>
      <c r="P583" s="118" t="s">
        <v>1398</v>
      </c>
      <c r="Q583" s="118" t="s">
        <v>1216</v>
      </c>
      <c r="R583" s="118" t="s">
        <v>1127</v>
      </c>
      <c r="S583" s="118"/>
      <c r="T583" s="118" t="s">
        <v>1487</v>
      </c>
      <c r="U583" s="118" t="s">
        <v>803</v>
      </c>
      <c r="V583" s="118"/>
      <c r="W583" s="118" t="s">
        <v>1599</v>
      </c>
      <c r="X583" s="118"/>
      <c r="Y583" s="118" t="s">
        <v>1132</v>
      </c>
      <c r="Z583" s="118"/>
      <c r="AA583" s="118" t="s">
        <v>1598</v>
      </c>
      <c r="AB583" s="118"/>
      <c r="AC583" s="145"/>
      <c r="AD583" s="573">
        <v>1</v>
      </c>
      <c r="AE583" s="573">
        <v>2</v>
      </c>
      <c r="AF583" s="352">
        <v>1</v>
      </c>
      <c r="AG583" s="160" t="s">
        <v>5862</v>
      </c>
      <c r="AH583" s="704"/>
      <c r="AI583" s="122">
        <v>4</v>
      </c>
      <c r="AJ583" s="485" t="s">
        <v>5875</v>
      </c>
      <c r="AK583" s="204"/>
      <c r="AL583" s="192" t="s">
        <v>5860</v>
      </c>
      <c r="AM583" s="205"/>
      <c r="AN583" s="122">
        <f>Table66[[#This Row],[Data_Subjects_n_ptsd]]+Table66[[#This Row],[Data_Subjects_n_control]]</f>
        <v>22</v>
      </c>
      <c r="AO583" s="122">
        <f>6</f>
        <v>6</v>
      </c>
      <c r="AP583" s="122">
        <v>16</v>
      </c>
      <c r="AQ583" s="122" t="s">
        <v>803</v>
      </c>
      <c r="AR583" s="122" t="s">
        <v>803</v>
      </c>
      <c r="AS583" s="122" t="s">
        <v>7506</v>
      </c>
      <c r="AT583" s="122" t="s">
        <v>24</v>
      </c>
      <c r="AU583" s="122" t="s">
        <v>7506</v>
      </c>
      <c r="AV583" s="122" t="s">
        <v>24</v>
      </c>
      <c r="AW583" s="122" t="s">
        <v>5854</v>
      </c>
      <c r="AX583" s="122"/>
      <c r="AY583" s="122"/>
      <c r="AZ583" s="754" t="s">
        <v>1487</v>
      </c>
      <c r="BA583" s="122">
        <v>1</v>
      </c>
      <c r="BB583" s="122">
        <v>1</v>
      </c>
      <c r="BC583" s="122" t="s">
        <v>5831</v>
      </c>
      <c r="BD583" s="754" t="s">
        <v>7526</v>
      </c>
      <c r="BE583" s="754"/>
      <c r="BF583" s="122" t="s">
        <v>1130</v>
      </c>
      <c r="BG583" s="526" t="s">
        <v>5880</v>
      </c>
      <c r="BH583" s="161"/>
      <c r="BI583" s="161"/>
      <c r="BJ583" s="161"/>
      <c r="BK583" s="161"/>
      <c r="BL583" s="161"/>
      <c r="BM583" s="161"/>
      <c r="BN583" s="161"/>
      <c r="BO583" s="161"/>
      <c r="BP583" s="161">
        <v>1</v>
      </c>
      <c r="BQ583" s="161"/>
      <c r="BR583" s="161"/>
      <c r="BS583" s="161"/>
      <c r="BT583" s="161"/>
      <c r="BU583" s="161"/>
      <c r="BV583" s="161"/>
      <c r="BW583" s="596" t="s">
        <v>5832</v>
      </c>
      <c r="BX583" s="162" t="s">
        <v>6657</v>
      </c>
      <c r="BY583" s="797" t="s">
        <v>7613</v>
      </c>
      <c r="BZ583" s="790" t="s">
        <v>803</v>
      </c>
      <c r="CA583" s="765">
        <v>1</v>
      </c>
      <c r="CB583" s="772" t="s">
        <v>7556</v>
      </c>
      <c r="CC583" s="772" t="s">
        <v>7384</v>
      </c>
      <c r="CD583" s="150" t="s">
        <v>1876</v>
      </c>
      <c r="CE583" s="150" t="s">
        <v>5855</v>
      </c>
      <c r="CF583" s="400" t="s">
        <v>7589</v>
      </c>
      <c r="CG583" s="150" t="s">
        <v>5833</v>
      </c>
      <c r="CH583" s="753" t="s">
        <v>7310</v>
      </c>
      <c r="CI583" s="150" t="s">
        <v>5829</v>
      </c>
      <c r="CJ583" s="150"/>
      <c r="CK583" s="150" t="s">
        <v>5834</v>
      </c>
      <c r="CL583" s="150" t="s">
        <v>8297</v>
      </c>
      <c r="CM583" s="258" t="s">
        <v>5887</v>
      </c>
      <c r="CN583" s="257" t="s">
        <v>6627</v>
      </c>
      <c r="CO583" s="829">
        <v>75</v>
      </c>
      <c r="CP583" s="829">
        <v>1</v>
      </c>
      <c r="CQ583" s="829">
        <v>4</v>
      </c>
      <c r="CR583" s="829">
        <v>1</v>
      </c>
      <c r="CS583" s="829">
        <v>-1</v>
      </c>
      <c r="CT583" s="968"/>
      <c r="CU583" s="1289" t="s">
        <v>7609</v>
      </c>
      <c r="CV583" s="1295" t="s">
        <v>8130</v>
      </c>
      <c r="CW583" s="1295">
        <v>115</v>
      </c>
      <c r="CX583" s="151" t="s">
        <v>5865</v>
      </c>
      <c r="CY583" s="150">
        <v>7.0451100000000002</v>
      </c>
      <c r="CZ583" s="150" t="s">
        <v>24</v>
      </c>
      <c r="DA583" s="150">
        <f>9.5635-Table66[[#This Row],[Data_Outcome1_M]]</f>
        <v>2.5183899999999992</v>
      </c>
      <c r="DB583" s="151" t="s">
        <v>5863</v>
      </c>
      <c r="DC583" s="150">
        <v>21.7194</v>
      </c>
      <c r="DD583" s="150" t="s">
        <v>24</v>
      </c>
      <c r="DE583" s="150">
        <f>25.1092-Table66[[#This Row],[Data_Outcome2_M]]</f>
        <v>3.389800000000001</v>
      </c>
      <c r="DF583" s="549"/>
      <c r="DG583" s="1130"/>
      <c r="DH583" s="526"/>
      <c r="DI583" s="122"/>
      <c r="DJ583" s="1164"/>
      <c r="DK583" s="122"/>
      <c r="DL583" s="1166"/>
      <c r="DM583" s="122"/>
      <c r="DN583" s="1164"/>
      <c r="DO583" s="122"/>
      <c r="DP583" s="290"/>
      <c r="DQ583" s="291"/>
      <c r="DR583" s="280"/>
      <c r="DS583" s="865"/>
      <c r="DT583" s="1166"/>
      <c r="DU583" s="122"/>
      <c r="DV583" s="1164"/>
      <c r="DW583" s="122"/>
      <c r="DX583" s="1166"/>
      <c r="DY583" s="122"/>
      <c r="DZ583" s="1164"/>
      <c r="EA583" s="122"/>
      <c r="EB583" s="311"/>
      <c r="EC583" s="313"/>
      <c r="ED583" s="1164"/>
      <c r="EE583" s="122"/>
      <c r="EF583" s="1164"/>
      <c r="EG583" s="122"/>
      <c r="EH583" s="1164"/>
      <c r="EI583" s="122"/>
      <c r="EJ583" s="1164"/>
      <c r="EK583" s="122"/>
      <c r="EL583" s="311"/>
      <c r="EM583" s="313"/>
      <c r="EN583" s="1167"/>
      <c r="EO583" s="1165"/>
      <c r="EP583" s="1164"/>
      <c r="EQ583" s="1164"/>
      <c r="ER583" s="1164"/>
      <c r="ES583" s="1164"/>
      <c r="ET583" s="1164"/>
      <c r="EU583" s="1164"/>
      <c r="EV583" s="1164"/>
      <c r="EW583" s="1164"/>
      <c r="EX583" s="313"/>
      <c r="EY583" s="313"/>
      <c r="EZ583" s="1164"/>
      <c r="FA583" s="1164"/>
      <c r="FB583" s="1164"/>
      <c r="FC583" s="1164"/>
      <c r="FD583" s="1164"/>
      <c r="FE583" s="1164"/>
      <c r="FF583" s="1164"/>
      <c r="FG583" s="1164"/>
      <c r="FH583" s="313"/>
      <c r="FI583" s="313"/>
      <c r="FJ583" s="1165"/>
    </row>
    <row r="584" spans="1:166" ht="14" hidden="1" customHeight="1">
      <c r="A584" s="118" t="s">
        <v>982</v>
      </c>
      <c r="B584" s="616">
        <v>202</v>
      </c>
      <c r="C584" s="616"/>
      <c r="D584" s="616">
        <v>78</v>
      </c>
      <c r="E584" s="605" t="s">
        <v>2114</v>
      </c>
      <c r="F584" s="140" t="s">
        <v>2373</v>
      </c>
      <c r="G584" s="141">
        <v>2015</v>
      </c>
      <c r="H584" s="118">
        <v>26225843</v>
      </c>
      <c r="I584" s="118">
        <v>1</v>
      </c>
      <c r="J584" s="118">
        <v>1</v>
      </c>
      <c r="K584" s="118"/>
      <c r="L584" s="118">
        <v>1</v>
      </c>
      <c r="M584" s="118"/>
      <c r="N584" s="118">
        <v>1</v>
      </c>
      <c r="O584" s="142">
        <v>2</v>
      </c>
      <c r="P584" s="118" t="s">
        <v>1206</v>
      </c>
      <c r="Q584" s="118" t="s">
        <v>1552</v>
      </c>
      <c r="R584" s="118" t="s">
        <v>1127</v>
      </c>
      <c r="S584" s="118"/>
      <c r="T584" s="118" t="s">
        <v>1495</v>
      </c>
      <c r="U584" s="118" t="s">
        <v>803</v>
      </c>
      <c r="V584" s="118"/>
      <c r="W584" s="118" t="s">
        <v>1550</v>
      </c>
      <c r="X584" s="118" t="s">
        <v>1551</v>
      </c>
      <c r="Y584" s="118"/>
      <c r="Z584" s="118"/>
      <c r="AA584" s="118" t="s">
        <v>1549</v>
      </c>
      <c r="AB584" s="118" t="s">
        <v>1548</v>
      </c>
      <c r="AC584" s="145" t="s">
        <v>6277</v>
      </c>
      <c r="AD584" s="653">
        <v>1</v>
      </c>
      <c r="AE584" s="653">
        <v>1</v>
      </c>
      <c r="AF584" s="159">
        <v>1</v>
      </c>
      <c r="AG584" s="160" t="s">
        <v>8166</v>
      </c>
      <c r="AH584" s="704"/>
      <c r="AI584" s="122">
        <v>4</v>
      </c>
      <c r="AJ584" s="485"/>
      <c r="AK584" s="204" t="s">
        <v>7006</v>
      </c>
      <c r="AL584" s="192" t="s">
        <v>6991</v>
      </c>
      <c r="AM584" s="205">
        <v>1</v>
      </c>
      <c r="AN584" s="122">
        <f>Table66[[#This Row],[Data_Subjects_n_ptsd]]+Table66[[#This Row],[Data_Subjects_n_control]]</f>
        <v>12</v>
      </c>
      <c r="AO584" s="122">
        <v>6</v>
      </c>
      <c r="AP584" s="122">
        <f>6</f>
        <v>6</v>
      </c>
      <c r="AQ584" s="122" t="s">
        <v>6994</v>
      </c>
      <c r="AR584" s="122" t="s">
        <v>6994</v>
      </c>
      <c r="AS584" s="122" t="s">
        <v>2687</v>
      </c>
      <c r="AT584" s="122" t="s">
        <v>24</v>
      </c>
      <c r="AU584" s="122" t="s">
        <v>2687</v>
      </c>
      <c r="AV584" s="122" t="s">
        <v>24</v>
      </c>
      <c r="AW584" s="122" t="s">
        <v>7005</v>
      </c>
      <c r="AX584" s="122"/>
      <c r="AY584" s="122"/>
      <c r="AZ584" s="754" t="s">
        <v>7317</v>
      </c>
      <c r="BA584" s="122">
        <v>1</v>
      </c>
      <c r="BB584" s="122">
        <v>1</v>
      </c>
      <c r="BC584" s="122" t="s">
        <v>6986</v>
      </c>
      <c r="BD584" s="754" t="s">
        <v>7523</v>
      </c>
      <c r="BE584" s="754"/>
      <c r="BF584" s="122" t="s">
        <v>2912</v>
      </c>
      <c r="BG584" s="122" t="s">
        <v>6653</v>
      </c>
      <c r="BH584" s="588"/>
      <c r="BI584" s="588"/>
      <c r="BJ584" s="161">
        <v>1</v>
      </c>
      <c r="BK584" s="161">
        <v>1</v>
      </c>
      <c r="BL584" s="161"/>
      <c r="BM584" s="161"/>
      <c r="BN584" s="161"/>
      <c r="BO584" s="161"/>
      <c r="BP584" s="161">
        <v>1</v>
      </c>
      <c r="BQ584" s="161"/>
      <c r="BR584" s="161"/>
      <c r="BS584" s="161"/>
      <c r="BT584" s="161"/>
      <c r="BU584" s="161"/>
      <c r="BV584" s="161" t="s">
        <v>6276</v>
      </c>
      <c r="BW584" s="596" t="s">
        <v>6996</v>
      </c>
      <c r="BX584" s="162" t="s">
        <v>6657</v>
      </c>
      <c r="BY584" s="797" t="s">
        <v>7613</v>
      </c>
      <c r="BZ584" s="789" t="s">
        <v>7609</v>
      </c>
      <c r="CA584" s="766">
        <v>1</v>
      </c>
      <c r="CB584" s="772" t="s">
        <v>7556</v>
      </c>
      <c r="CC584" s="817" t="s">
        <v>7380</v>
      </c>
      <c r="CD584" s="150" t="s">
        <v>1876</v>
      </c>
      <c r="CE584" s="150" t="s">
        <v>6987</v>
      </c>
      <c r="CF584" s="400" t="s">
        <v>7588</v>
      </c>
      <c r="CG584" s="150" t="s">
        <v>6988</v>
      </c>
      <c r="CH584" s="753" t="s">
        <v>7310</v>
      </c>
      <c r="CI584" s="150" t="s">
        <v>6985</v>
      </c>
      <c r="CJ584" s="150"/>
      <c r="CK584" s="150" t="s">
        <v>6990</v>
      </c>
      <c r="CL584" s="1079" t="s">
        <v>8012</v>
      </c>
      <c r="CM584" s="258" t="s">
        <v>7004</v>
      </c>
      <c r="CN584" s="257" t="s">
        <v>6627</v>
      </c>
      <c r="CO584" s="829">
        <v>65</v>
      </c>
      <c r="CP584" s="829">
        <v>1</v>
      </c>
      <c r="CQ584" s="829">
        <v>4</v>
      </c>
      <c r="CR584" s="829">
        <v>1</v>
      </c>
      <c r="CS584" s="829">
        <v>1</v>
      </c>
      <c r="CT584" s="968"/>
      <c r="CU584" s="1289" t="s">
        <v>8104</v>
      </c>
      <c r="CV584" s="1295">
        <v>117</v>
      </c>
      <c r="CW584" s="1296">
        <v>106</v>
      </c>
      <c r="CX584" s="151" t="s">
        <v>7021</v>
      </c>
      <c r="CY584" s="150">
        <v>256.28199999999998</v>
      </c>
      <c r="CZ584" s="150" t="s">
        <v>24</v>
      </c>
      <c r="DA584" s="555">
        <f>298.035-Table66[[#This Row],[Data_Outcome1_M]]</f>
        <v>41.753000000000043</v>
      </c>
      <c r="DB584" s="151" t="s">
        <v>7020</v>
      </c>
      <c r="DC584" s="150">
        <v>101.601</v>
      </c>
      <c r="DD584" s="150" t="s">
        <v>24</v>
      </c>
      <c r="DE584" s="150">
        <f>106.612-Table66[[#This Row],[Data_Outcome2_M]]</f>
        <v>5.0109999999999957</v>
      </c>
      <c r="DF584" s="303" t="s">
        <v>7002</v>
      </c>
      <c r="DG584" s="303" t="s">
        <v>7003</v>
      </c>
      <c r="DH584" s="1166"/>
      <c r="DI584" s="1164"/>
      <c r="DJ584" s="1164"/>
      <c r="DK584" s="1164"/>
      <c r="DL584" s="1166"/>
      <c r="DM584" s="1164"/>
      <c r="DN584" s="1164"/>
      <c r="DO584" s="1164"/>
      <c r="DP584" s="290"/>
      <c r="DQ584" s="291"/>
      <c r="DR584" s="1168"/>
      <c r="DS584" s="865"/>
      <c r="DT584" s="1166"/>
      <c r="DU584" s="1164"/>
      <c r="DV584" s="1164"/>
      <c r="DW584" s="1164"/>
      <c r="DX584" s="1164"/>
      <c r="DY584" s="1164"/>
      <c r="DZ584" s="1164"/>
      <c r="EA584" s="1164"/>
      <c r="EB584" s="1204"/>
      <c r="EC584" s="1203"/>
      <c r="ED584" s="1166"/>
      <c r="EE584" s="1164"/>
      <c r="EF584" s="1164"/>
      <c r="EG584" s="1164"/>
      <c r="EH584" s="1166"/>
      <c r="EI584" s="1164"/>
      <c r="EJ584" s="1164"/>
      <c r="EK584" s="1164"/>
      <c r="EL584" s="1202"/>
      <c r="EM584" s="313"/>
      <c r="EN584" s="1167"/>
      <c r="EO584" s="1165"/>
      <c r="EP584" s="1166"/>
      <c r="EQ584" s="1164"/>
      <c r="ER584" s="1164"/>
      <c r="ES584" s="1164"/>
      <c r="ET584" s="1166"/>
      <c r="EU584" s="1164"/>
      <c r="EV584" s="1164"/>
      <c r="EW584" s="1164"/>
      <c r="EX584" s="313"/>
      <c r="EY584" s="313"/>
      <c r="EZ584" s="1166"/>
      <c r="FA584" s="1164"/>
      <c r="FB584" s="1164"/>
      <c r="FC584" s="1164"/>
      <c r="FD584" s="1164"/>
      <c r="FE584" s="1164"/>
      <c r="FF584" s="1164"/>
      <c r="FG584" s="1164"/>
      <c r="FH584" s="313"/>
      <c r="FI584" s="313"/>
      <c r="FJ584" s="1165"/>
    </row>
    <row r="585" spans="1:166" s="20" customFormat="1" ht="14" hidden="1" customHeight="1">
      <c r="A585" s="1090" t="s">
        <v>982</v>
      </c>
      <c r="B585" s="1405">
        <v>202</v>
      </c>
      <c r="C585" s="1405"/>
      <c r="D585" s="1405">
        <v>78</v>
      </c>
      <c r="E585" s="1406" t="s">
        <v>2114</v>
      </c>
      <c r="F585" s="1407" t="s">
        <v>2373</v>
      </c>
      <c r="G585" s="1408">
        <v>2015</v>
      </c>
      <c r="H585" s="1090">
        <v>26225843</v>
      </c>
      <c r="I585" s="1090">
        <v>1</v>
      </c>
      <c r="J585" s="1090">
        <v>1</v>
      </c>
      <c r="K585" s="1090"/>
      <c r="L585" s="1090">
        <v>1</v>
      </c>
      <c r="M585" s="1090"/>
      <c r="N585" s="1090">
        <v>1</v>
      </c>
      <c r="O585" s="1090">
        <v>2</v>
      </c>
      <c r="P585" s="1090" t="s">
        <v>1206</v>
      </c>
      <c r="Q585" s="1090" t="s">
        <v>1552</v>
      </c>
      <c r="R585" s="1090" t="s">
        <v>1127</v>
      </c>
      <c r="S585" s="1090"/>
      <c r="T585" s="1090" t="s">
        <v>1495</v>
      </c>
      <c r="U585" s="1090" t="s">
        <v>803</v>
      </c>
      <c r="V585" s="1090"/>
      <c r="W585" s="1090" t="s">
        <v>1550</v>
      </c>
      <c r="X585" s="1090" t="s">
        <v>1551</v>
      </c>
      <c r="Y585" s="1090"/>
      <c r="Z585" s="1090"/>
      <c r="AA585" s="1090" t="s">
        <v>1549</v>
      </c>
      <c r="AB585" s="1090" t="s">
        <v>1548</v>
      </c>
      <c r="AC585" s="1409" t="s">
        <v>6277</v>
      </c>
      <c r="AD585" s="1409">
        <v>1</v>
      </c>
      <c r="AE585" s="1409">
        <v>1</v>
      </c>
      <c r="AF585" s="1410">
        <v>0</v>
      </c>
      <c r="AG585" s="1411" t="s">
        <v>8129</v>
      </c>
      <c r="AH585" s="1409"/>
      <c r="AI585" s="1409">
        <v>4</v>
      </c>
      <c r="AJ585" s="1409"/>
      <c r="AK585" s="1412" t="s">
        <v>7006</v>
      </c>
      <c r="AL585" s="1407" t="s">
        <v>6991</v>
      </c>
      <c r="AM585" s="1413">
        <v>1</v>
      </c>
      <c r="AN585" s="1409" t="s">
        <v>6992</v>
      </c>
      <c r="AO585" s="1409" t="s">
        <v>6993</v>
      </c>
      <c r="AP585" s="1409">
        <v>6</v>
      </c>
      <c r="AQ585" s="1409" t="s">
        <v>6994</v>
      </c>
      <c r="AR585" s="1409" t="s">
        <v>6994</v>
      </c>
      <c r="AS585" s="1409" t="s">
        <v>2687</v>
      </c>
      <c r="AT585" s="1409" t="s">
        <v>24</v>
      </c>
      <c r="AU585" s="1409" t="s">
        <v>2687</v>
      </c>
      <c r="AV585" s="1409" t="s">
        <v>24</v>
      </c>
      <c r="AW585" s="1409" t="s">
        <v>7005</v>
      </c>
      <c r="AX585" s="1409"/>
      <c r="AY585" s="1409"/>
      <c r="AZ585" s="1409" t="s">
        <v>7317</v>
      </c>
      <c r="BA585" s="1409">
        <v>1</v>
      </c>
      <c r="BB585" s="1409">
        <v>1</v>
      </c>
      <c r="BC585" s="1409" t="s">
        <v>6986</v>
      </c>
      <c r="BD585" s="1409" t="s">
        <v>7523</v>
      </c>
      <c r="BE585" s="1409"/>
      <c r="BF585" s="1409" t="s">
        <v>2912</v>
      </c>
      <c r="BG585" s="1409" t="s">
        <v>6653</v>
      </c>
      <c r="BH585" s="1407"/>
      <c r="BI585" s="1407"/>
      <c r="BJ585" s="1565">
        <v>1</v>
      </c>
      <c r="BK585" s="1565"/>
      <c r="BL585" s="1565"/>
      <c r="BM585" s="1565"/>
      <c r="BN585" s="1565"/>
      <c r="BO585" s="1565"/>
      <c r="BP585" s="1565">
        <v>1</v>
      </c>
      <c r="BQ585" s="1565"/>
      <c r="BR585" s="1565"/>
      <c r="BS585" s="1565"/>
      <c r="BT585" s="1565"/>
      <c r="BU585" s="1565"/>
      <c r="BV585" s="1565" t="s">
        <v>6276</v>
      </c>
      <c r="BW585" s="1565" t="s">
        <v>6995</v>
      </c>
      <c r="BX585" s="1416" t="s">
        <v>6657</v>
      </c>
      <c r="BY585" s="1416" t="s">
        <v>7613</v>
      </c>
      <c r="BZ585" s="1416" t="s">
        <v>803</v>
      </c>
      <c r="CA585" s="1565">
        <v>1</v>
      </c>
      <c r="CB585" s="1584" t="s">
        <v>7556</v>
      </c>
      <c r="CC585" s="1584" t="s">
        <v>7380</v>
      </c>
      <c r="CD585" s="1409" t="s">
        <v>1876</v>
      </c>
      <c r="CE585" s="1409" t="s">
        <v>6987</v>
      </c>
      <c r="CF585" s="1409" t="s">
        <v>7588</v>
      </c>
      <c r="CG585" s="1409" t="s">
        <v>6988</v>
      </c>
      <c r="CH585" s="1409" t="s">
        <v>7310</v>
      </c>
      <c r="CI585" s="1409" t="s">
        <v>6985</v>
      </c>
      <c r="CJ585" s="1409"/>
      <c r="CK585" s="1409" t="s">
        <v>6989</v>
      </c>
      <c r="CL585" s="1409" t="s">
        <v>6640</v>
      </c>
      <c r="CM585" s="1414" t="s">
        <v>7022</v>
      </c>
      <c r="CN585" s="1415">
        <v>0</v>
      </c>
      <c r="CO585" s="1415">
        <v>65</v>
      </c>
      <c r="CP585" s="1415">
        <v>1</v>
      </c>
      <c r="CQ585" s="1415"/>
      <c r="CR585" s="1415">
        <v>1</v>
      </c>
      <c r="CS585" s="1415">
        <v>1</v>
      </c>
      <c r="CT585" s="1415"/>
      <c r="CU585" s="1415"/>
      <c r="CV585" s="1335" t="s">
        <v>8128</v>
      </c>
      <c r="CW585" s="1335">
        <v>106</v>
      </c>
      <c r="CX585" s="1416" t="s">
        <v>7007</v>
      </c>
      <c r="CY585" s="1409">
        <v>50.6</v>
      </c>
      <c r="CZ585" s="1409" t="s">
        <v>24</v>
      </c>
      <c r="DA585" s="1409">
        <v>2.4</v>
      </c>
      <c r="DB585" s="1416" t="s">
        <v>7009</v>
      </c>
      <c r="DC585" s="1409">
        <v>11</v>
      </c>
      <c r="DD585" s="1409" t="s">
        <v>24</v>
      </c>
      <c r="DE585" s="1409">
        <v>2.6</v>
      </c>
      <c r="DF585" s="1417" t="s">
        <v>6997</v>
      </c>
      <c r="DG585" s="1409" t="s">
        <v>2555</v>
      </c>
      <c r="DH585" s="1418"/>
      <c r="DI585" s="1418"/>
      <c r="DJ585" s="1418"/>
      <c r="DK585" s="1418"/>
      <c r="DL585" s="1418"/>
      <c r="DM585" s="1418"/>
      <c r="DN585" s="1418"/>
      <c r="DO585" s="1418"/>
      <c r="DP585" s="1414"/>
      <c r="DQ585" s="1407"/>
      <c r="DR585" s="1419" t="s">
        <v>24</v>
      </c>
      <c r="DS585" s="1420" t="s">
        <v>24</v>
      </c>
      <c r="DT585" s="1420"/>
      <c r="DU585" s="1418"/>
      <c r="DV585" s="1418"/>
      <c r="DW585" s="1418"/>
      <c r="DX585" s="1418"/>
      <c r="DY585" s="1418"/>
      <c r="DZ585" s="1418"/>
      <c r="EA585" s="1418"/>
      <c r="EB585" s="1419"/>
      <c r="EC585" s="1418"/>
      <c r="ED585" s="1418" t="s">
        <v>24</v>
      </c>
      <c r="EE585" s="1418" t="s">
        <v>24</v>
      </c>
      <c r="EF585" s="1418" t="s">
        <v>24</v>
      </c>
      <c r="EG585" s="1418" t="s">
        <v>24</v>
      </c>
      <c r="EH585" s="1418" t="s">
        <v>24</v>
      </c>
      <c r="EI585" s="1418" t="s">
        <v>24</v>
      </c>
      <c r="EJ585" s="1418" t="s">
        <v>24</v>
      </c>
      <c r="EK585" s="1418" t="s">
        <v>24</v>
      </c>
      <c r="EL585" s="1419"/>
      <c r="EM585" s="1418"/>
      <c r="EN585" s="1419"/>
      <c r="EO585" s="1418"/>
      <c r="EP585" s="1418" t="s">
        <v>24</v>
      </c>
      <c r="EQ585" s="1418" t="s">
        <v>24</v>
      </c>
      <c r="ER585" s="1418" t="s">
        <v>24</v>
      </c>
      <c r="ES585" s="1418" t="s">
        <v>24</v>
      </c>
      <c r="ET585" s="1418" t="s">
        <v>24</v>
      </c>
      <c r="EU585" s="1418" t="s">
        <v>24</v>
      </c>
      <c r="EV585" s="1418" t="s">
        <v>24</v>
      </c>
      <c r="EW585" s="1418" t="s">
        <v>24</v>
      </c>
      <c r="EX585" s="1418"/>
      <c r="EY585" s="1418"/>
      <c r="EZ585" s="1418" t="s">
        <v>24</v>
      </c>
      <c r="FA585" s="1418" t="s">
        <v>24</v>
      </c>
      <c r="FB585" s="1418" t="s">
        <v>24</v>
      </c>
      <c r="FC585" s="1418" t="s">
        <v>24</v>
      </c>
      <c r="FD585" s="1418" t="s">
        <v>24</v>
      </c>
      <c r="FE585" s="1418" t="s">
        <v>24</v>
      </c>
      <c r="FF585" s="1418" t="s">
        <v>24</v>
      </c>
      <c r="FG585" s="1418" t="s">
        <v>24</v>
      </c>
      <c r="FH585" s="1418" t="s">
        <v>24</v>
      </c>
      <c r="FI585" s="1418" t="s">
        <v>24</v>
      </c>
      <c r="FJ585" s="1418" t="s">
        <v>24</v>
      </c>
    </row>
    <row r="586" spans="1:166" s="1089" customFormat="1" ht="15" hidden="1" customHeight="1">
      <c r="A586" s="79" t="s">
        <v>965</v>
      </c>
      <c r="B586" s="617">
        <v>234</v>
      </c>
      <c r="C586" s="617">
        <v>85</v>
      </c>
      <c r="D586" s="617"/>
      <c r="E586" s="608" t="s">
        <v>2120</v>
      </c>
      <c r="F586" s="181" t="s">
        <v>2381</v>
      </c>
      <c r="G586" s="182">
        <v>2014</v>
      </c>
      <c r="H586" s="79">
        <v>24975424</v>
      </c>
      <c r="I586" s="79">
        <v>1</v>
      </c>
      <c r="J586" s="79" t="s">
        <v>1788</v>
      </c>
      <c r="K586" s="79" t="s">
        <v>23</v>
      </c>
      <c r="L586" s="79">
        <v>1</v>
      </c>
      <c r="M586" s="79"/>
      <c r="N586" s="79">
        <v>1</v>
      </c>
      <c r="O586" s="128">
        <v>2</v>
      </c>
      <c r="P586" s="79" t="s">
        <v>1398</v>
      </c>
      <c r="Q586" s="79" t="s">
        <v>1216</v>
      </c>
      <c r="R586" s="79" t="s">
        <v>1127</v>
      </c>
      <c r="S586" s="79"/>
      <c r="T586" s="79" t="s">
        <v>1487</v>
      </c>
      <c r="U586" s="79" t="s">
        <v>803</v>
      </c>
      <c r="V586" s="79"/>
      <c r="W586" s="79" t="s">
        <v>1599</v>
      </c>
      <c r="X586" s="79"/>
      <c r="Y586" s="79" t="s">
        <v>1132</v>
      </c>
      <c r="Z586" s="79"/>
      <c r="AA586" s="79" t="s">
        <v>1598</v>
      </c>
      <c r="AB586" s="79"/>
      <c r="AC586" s="506"/>
      <c r="AD586" s="573">
        <v>1</v>
      </c>
      <c r="AE586" s="573">
        <v>2</v>
      </c>
      <c r="AF586" s="352">
        <v>1</v>
      </c>
      <c r="AG586" s="353" t="s">
        <v>5861</v>
      </c>
      <c r="AH586" s="704"/>
      <c r="AI586" s="346">
        <v>4</v>
      </c>
      <c r="AJ586" s="487" t="s">
        <v>5875</v>
      </c>
      <c r="AK586" s="459"/>
      <c r="AL586" s="348" t="s">
        <v>5860</v>
      </c>
      <c r="AM586" s="349"/>
      <c r="AN586" s="346">
        <f>Table66[[#This Row],[Data_Subjects_n_ptsd]]+Table66[[#This Row],[Data_Subjects_n_control]]</f>
        <v>32</v>
      </c>
      <c r="AO586" s="346">
        <v>16</v>
      </c>
      <c r="AP586" s="346">
        <v>16</v>
      </c>
      <c r="AQ586" s="346" t="s">
        <v>803</v>
      </c>
      <c r="AR586" s="346" t="s">
        <v>803</v>
      </c>
      <c r="AS586" s="122" t="s">
        <v>7506</v>
      </c>
      <c r="AT586" s="346" t="s">
        <v>24</v>
      </c>
      <c r="AU586" s="122" t="s">
        <v>7506</v>
      </c>
      <c r="AV586" s="346" t="s">
        <v>24</v>
      </c>
      <c r="AW586" s="346" t="s">
        <v>5830</v>
      </c>
      <c r="AX586" s="346"/>
      <c r="AY586" s="346"/>
      <c r="AZ586" s="754" t="s">
        <v>1487</v>
      </c>
      <c r="BA586" s="346">
        <v>1</v>
      </c>
      <c r="BB586" s="346">
        <v>1</v>
      </c>
      <c r="BC586" s="346" t="s">
        <v>5831</v>
      </c>
      <c r="BD586" s="754" t="s">
        <v>7526</v>
      </c>
      <c r="BE586" s="754"/>
      <c r="BF586" s="346" t="s">
        <v>1130</v>
      </c>
      <c r="BG586" s="346" t="s">
        <v>4508</v>
      </c>
      <c r="BH586" s="598"/>
      <c r="BI586" s="598"/>
      <c r="BJ586" s="184"/>
      <c r="BK586" s="184"/>
      <c r="BL586" s="184"/>
      <c r="BM586" s="184"/>
      <c r="BN586" s="184"/>
      <c r="BO586" s="184"/>
      <c r="BP586" s="184">
        <v>1</v>
      </c>
      <c r="BQ586" s="184"/>
      <c r="BR586" s="184"/>
      <c r="BS586" s="184"/>
      <c r="BT586" s="184"/>
      <c r="BU586" s="184"/>
      <c r="BV586" s="184"/>
      <c r="BW586" s="600" t="s">
        <v>5832</v>
      </c>
      <c r="BX586" s="185" t="s">
        <v>6657</v>
      </c>
      <c r="BY586" s="797" t="s">
        <v>7613</v>
      </c>
      <c r="BZ586" s="791" t="s">
        <v>803</v>
      </c>
      <c r="CA586" s="765">
        <v>1</v>
      </c>
      <c r="CB586" s="772" t="s">
        <v>7556</v>
      </c>
      <c r="CC586" s="772" t="s">
        <v>7384</v>
      </c>
      <c r="CD586" s="186" t="s">
        <v>1876</v>
      </c>
      <c r="CE586" s="186" t="s">
        <v>5856</v>
      </c>
      <c r="CF586" s="400" t="s">
        <v>7589</v>
      </c>
      <c r="CG586" s="186" t="s">
        <v>5833</v>
      </c>
      <c r="CH586" s="753" t="s">
        <v>7310</v>
      </c>
      <c r="CI586" s="186" t="s">
        <v>5829</v>
      </c>
      <c r="CJ586" s="186"/>
      <c r="CK586" s="186" t="s">
        <v>5834</v>
      </c>
      <c r="CL586" s="150" t="s">
        <v>8297</v>
      </c>
      <c r="CM586" s="261" t="s">
        <v>5852</v>
      </c>
      <c r="CN586" s="620" t="s">
        <v>6627</v>
      </c>
      <c r="CO586" s="830">
        <v>75</v>
      </c>
      <c r="CP586" s="830">
        <v>2</v>
      </c>
      <c r="CQ586" s="830">
        <v>2</v>
      </c>
      <c r="CR586" s="830">
        <v>1</v>
      </c>
      <c r="CS586" s="830">
        <v>-1</v>
      </c>
      <c r="CT586" s="969"/>
      <c r="CU586" s="1289" t="s">
        <v>8104</v>
      </c>
      <c r="CV586" s="1295">
        <v>126</v>
      </c>
      <c r="CW586" s="1295">
        <v>115</v>
      </c>
      <c r="CX586" s="267" t="s">
        <v>5837</v>
      </c>
      <c r="CY586" s="186">
        <v>11.313700000000001</v>
      </c>
      <c r="CZ586" s="186" t="s">
        <v>24</v>
      </c>
      <c r="DA586" s="186">
        <f>13.7399-Table66[[#This Row],[Data_Outcome1_M]]</f>
        <v>2.4261999999999997</v>
      </c>
      <c r="DB586" s="267" t="s">
        <v>5839</v>
      </c>
      <c r="DC586" s="186">
        <v>21.813300000000002</v>
      </c>
      <c r="DD586" s="186" t="s">
        <v>24</v>
      </c>
      <c r="DE586" s="186">
        <f>25.0195-Table66[[#This Row],[Data_Outcome2_M]]</f>
        <v>3.2061999999999991</v>
      </c>
      <c r="DF586" s="294" t="s">
        <v>5838</v>
      </c>
      <c r="DG586" s="295" t="s">
        <v>5876</v>
      </c>
      <c r="DH586" s="1195"/>
      <c r="DI586" s="676"/>
      <c r="DJ586" s="1189"/>
      <c r="DK586" s="676"/>
      <c r="DL586" s="1192"/>
      <c r="DM586" s="676"/>
      <c r="DN586" s="1189"/>
      <c r="DO586" s="1152"/>
      <c r="DP586" s="294"/>
      <c r="DQ586" s="1116"/>
      <c r="DR586" s="1168"/>
      <c r="DS586" s="865"/>
      <c r="DT586" s="1192"/>
      <c r="DU586" s="676"/>
      <c r="DV586" s="1189"/>
      <c r="DW586" s="676"/>
      <c r="DX586" s="1192"/>
      <c r="DY586" s="676"/>
      <c r="DZ586" s="1189"/>
      <c r="EA586" s="676"/>
      <c r="EB586" s="1193"/>
      <c r="EC586" s="1190"/>
      <c r="ED586" s="1192"/>
      <c r="EE586" s="346"/>
      <c r="EF586" s="1189"/>
      <c r="EG586" s="346"/>
      <c r="EH586" s="1192"/>
      <c r="EI586" s="346"/>
      <c r="EJ586" s="1189"/>
      <c r="EK586" s="346"/>
      <c r="EL586" s="1193"/>
      <c r="EM586" s="1190"/>
      <c r="EN586" s="1168"/>
      <c r="EO586" s="1191"/>
      <c r="EP586" s="1278"/>
      <c r="EQ586" s="346"/>
      <c r="ER586" s="346"/>
      <c r="ES586" s="346"/>
      <c r="ET586" s="1278"/>
      <c r="EU586" s="346"/>
      <c r="EV586" s="346"/>
      <c r="EW586" s="346"/>
      <c r="EX586" s="315"/>
      <c r="EY586" s="315"/>
      <c r="EZ586" s="1192"/>
      <c r="FA586" s="1189"/>
      <c r="FB586" s="1189"/>
      <c r="FC586" s="1189"/>
      <c r="FD586" s="1192"/>
      <c r="FE586" s="1189"/>
      <c r="FF586" s="1189"/>
      <c r="FG586" s="1189"/>
      <c r="FH586" s="1190"/>
      <c r="FI586" s="1190"/>
      <c r="FJ586" s="1191"/>
    </row>
    <row r="587" spans="1:166" ht="14" hidden="1" customHeight="1">
      <c r="A587" s="79" t="s">
        <v>982</v>
      </c>
      <c r="B587" s="362">
        <v>202</v>
      </c>
      <c r="C587" s="362"/>
      <c r="D587" s="362">
        <v>78</v>
      </c>
      <c r="E587" s="604" t="s">
        <v>2114</v>
      </c>
      <c r="F587" s="124" t="s">
        <v>2373</v>
      </c>
      <c r="G587" s="125">
        <v>2015</v>
      </c>
      <c r="H587" s="79">
        <v>26225843</v>
      </c>
      <c r="I587" s="79">
        <v>1</v>
      </c>
      <c r="J587" s="126">
        <v>1</v>
      </c>
      <c r="K587" s="127"/>
      <c r="L587" s="79">
        <v>1</v>
      </c>
      <c r="M587" s="79"/>
      <c r="N587" s="79">
        <v>1</v>
      </c>
      <c r="O587" s="128">
        <v>2</v>
      </c>
      <c r="P587" s="79" t="s">
        <v>1206</v>
      </c>
      <c r="Q587" s="79" t="s">
        <v>1552</v>
      </c>
      <c r="R587" s="79" t="s">
        <v>1127</v>
      </c>
      <c r="S587" s="79"/>
      <c r="T587" s="79" t="s">
        <v>1495</v>
      </c>
      <c r="U587" s="79" t="s">
        <v>803</v>
      </c>
      <c r="V587" s="79"/>
      <c r="W587" s="79" t="s">
        <v>1550</v>
      </c>
      <c r="X587" s="79" t="s">
        <v>1551</v>
      </c>
      <c r="Y587" s="79"/>
      <c r="Z587" s="79"/>
      <c r="AA587" s="79" t="s">
        <v>1549</v>
      </c>
      <c r="AB587" s="79" t="s">
        <v>1548</v>
      </c>
      <c r="AC587" s="506" t="s">
        <v>6277</v>
      </c>
      <c r="AD587" s="573">
        <v>1</v>
      </c>
      <c r="AE587" s="573">
        <v>1</v>
      </c>
      <c r="AF587" s="154">
        <v>1</v>
      </c>
      <c r="AG587" s="160" t="s">
        <v>8166</v>
      </c>
      <c r="AH587" s="704"/>
      <c r="AI587" s="121">
        <v>4</v>
      </c>
      <c r="AJ587" s="484"/>
      <c r="AK587" s="202" t="s">
        <v>7006</v>
      </c>
      <c r="AL587" s="192" t="s">
        <v>6991</v>
      </c>
      <c r="AM587" s="203">
        <v>1</v>
      </c>
      <c r="AN587" s="122">
        <f>Table66[[#This Row],[Data_Subjects_n_ptsd]]+Table66[[#This Row],[Data_Subjects_n_control]]</f>
        <v>12</v>
      </c>
      <c r="AO587" s="121">
        <v>6</v>
      </c>
      <c r="AP587" s="121">
        <f>6</f>
        <v>6</v>
      </c>
      <c r="AQ587" s="121" t="s">
        <v>6994</v>
      </c>
      <c r="AR587" s="121" t="s">
        <v>6994</v>
      </c>
      <c r="AS587" s="121" t="s">
        <v>2687</v>
      </c>
      <c r="AT587" s="121" t="s">
        <v>24</v>
      </c>
      <c r="AU587" s="121" t="s">
        <v>2687</v>
      </c>
      <c r="AV587" s="121" t="s">
        <v>24</v>
      </c>
      <c r="AW587" s="121" t="s">
        <v>7005</v>
      </c>
      <c r="AX587" s="121"/>
      <c r="AY587" s="121"/>
      <c r="AZ587" s="754" t="s">
        <v>7317</v>
      </c>
      <c r="BA587" s="121">
        <v>1</v>
      </c>
      <c r="BB587" s="121">
        <v>1</v>
      </c>
      <c r="BC587" s="121" t="s">
        <v>6986</v>
      </c>
      <c r="BD587" s="754" t="s">
        <v>7523</v>
      </c>
      <c r="BE587" s="754"/>
      <c r="BF587" s="121" t="s">
        <v>2912</v>
      </c>
      <c r="BG587" s="121" t="s">
        <v>6653</v>
      </c>
      <c r="BH587" s="594"/>
      <c r="BI587" s="594"/>
      <c r="BJ587" s="156">
        <v>1</v>
      </c>
      <c r="BK587" s="156"/>
      <c r="BL587" s="156"/>
      <c r="BM587" s="156"/>
      <c r="BN587" s="156"/>
      <c r="BO587" s="156"/>
      <c r="BP587" s="156">
        <v>1</v>
      </c>
      <c r="BQ587" s="156"/>
      <c r="BR587" s="156"/>
      <c r="BS587" s="156"/>
      <c r="BT587" s="156"/>
      <c r="BU587" s="156"/>
      <c r="BV587" s="156" t="s">
        <v>6276</v>
      </c>
      <c r="BW587" s="595" t="s">
        <v>6995</v>
      </c>
      <c r="BX587" s="157" t="s">
        <v>6657</v>
      </c>
      <c r="BY587" s="797" t="s">
        <v>7613</v>
      </c>
      <c r="BZ587" s="789" t="s">
        <v>7609</v>
      </c>
      <c r="CA587" s="765">
        <v>1</v>
      </c>
      <c r="CB587" s="772" t="s">
        <v>7556</v>
      </c>
      <c r="CC587" s="772" t="s">
        <v>7380</v>
      </c>
      <c r="CD587" s="134" t="s">
        <v>1876</v>
      </c>
      <c r="CE587" s="134" t="s">
        <v>6987</v>
      </c>
      <c r="CF587" s="400" t="s">
        <v>7588</v>
      </c>
      <c r="CG587" s="134" t="s">
        <v>6988</v>
      </c>
      <c r="CH587" s="753" t="s">
        <v>7310</v>
      </c>
      <c r="CI587" s="134" t="s">
        <v>6985</v>
      </c>
      <c r="CJ587" s="134"/>
      <c r="CK587" s="134" t="s">
        <v>6989</v>
      </c>
      <c r="CL587" s="134" t="s">
        <v>6640</v>
      </c>
      <c r="CM587" s="259" t="s">
        <v>7022</v>
      </c>
      <c r="CN587" s="454">
        <v>0</v>
      </c>
      <c r="CO587" s="828">
        <v>65</v>
      </c>
      <c r="CP587" s="828">
        <v>1</v>
      </c>
      <c r="CQ587" s="828">
        <v>6</v>
      </c>
      <c r="CR587" s="828">
        <v>1</v>
      </c>
      <c r="CS587" s="828">
        <v>1</v>
      </c>
      <c r="CT587" s="967"/>
      <c r="CU587" s="1289" t="s">
        <v>8104</v>
      </c>
      <c r="CV587" s="1295">
        <v>117</v>
      </c>
      <c r="CW587" s="1296">
        <v>106</v>
      </c>
      <c r="CX587" s="267" t="s">
        <v>7015</v>
      </c>
      <c r="CY587" s="134">
        <v>12.911899999999999</v>
      </c>
      <c r="CZ587" s="168" t="s">
        <v>24</v>
      </c>
      <c r="DA587" s="134">
        <f>17.5064-Table66[[#This Row],[Data_Outcome1_M]]</f>
        <v>4.5945</v>
      </c>
      <c r="DB587" s="138" t="s">
        <v>7013</v>
      </c>
      <c r="DC587" s="134">
        <v>18.130400000000002</v>
      </c>
      <c r="DD587" s="134" t="s">
        <v>24</v>
      </c>
      <c r="DE587" s="134">
        <f>24.4139-Table66[[#This Row],[Data_Outcome2_M]]</f>
        <v>6.2835000000000001</v>
      </c>
      <c r="DF587" s="341" t="s">
        <v>7000</v>
      </c>
      <c r="DG587" s="1124" t="s">
        <v>3790</v>
      </c>
      <c r="DH587" s="1171"/>
      <c r="DI587" s="1169"/>
      <c r="DJ587" s="1169"/>
      <c r="DK587" s="1169"/>
      <c r="DL587" s="1171"/>
      <c r="DM587" s="1169"/>
      <c r="DN587" s="1169"/>
      <c r="DO587" s="1169"/>
      <c r="DP587" s="288"/>
      <c r="DQ587" s="289"/>
      <c r="DR587" s="1168"/>
      <c r="DS587" s="865"/>
      <c r="DT587" s="1192"/>
      <c r="DU587" s="1169"/>
      <c r="DV587" s="1169"/>
      <c r="DW587" s="1169"/>
      <c r="DX587" s="1169"/>
      <c r="DY587" s="1169"/>
      <c r="DZ587" s="1169"/>
      <c r="EA587" s="1169"/>
      <c r="EB587" s="1173"/>
      <c r="EC587" s="1172"/>
      <c r="ED587" s="1169"/>
      <c r="EE587" s="1169"/>
      <c r="EF587" s="1169"/>
      <c r="EG587" s="1169"/>
      <c r="EH587" s="1169"/>
      <c r="EI587" s="1169"/>
      <c r="EJ587" s="1169"/>
      <c r="EK587" s="1169"/>
      <c r="EL587" s="304"/>
      <c r="EM587" s="312"/>
      <c r="EN587" s="309"/>
      <c r="EO587" s="1170"/>
      <c r="EP587" s="1169"/>
      <c r="EQ587" s="1169"/>
      <c r="ER587" s="1169"/>
      <c r="ES587" s="1169"/>
      <c r="ET587" s="1169"/>
      <c r="EU587" s="1169"/>
      <c r="EV587" s="1169"/>
      <c r="EW587" s="1169"/>
      <c r="EX587" s="312"/>
      <c r="EY587" s="312"/>
      <c r="EZ587" s="1169"/>
      <c r="FA587" s="1169"/>
      <c r="FB587" s="1169"/>
      <c r="FC587" s="1169"/>
      <c r="FD587" s="1169"/>
      <c r="FE587" s="1169"/>
      <c r="FF587" s="1169"/>
      <c r="FG587" s="1169"/>
      <c r="FH587" s="312"/>
      <c r="FI587" s="312"/>
      <c r="FJ587" s="1170"/>
    </row>
    <row r="588" spans="1:166" ht="14" hidden="1" customHeight="1">
      <c r="A588" s="79" t="s">
        <v>282</v>
      </c>
      <c r="B588" s="362">
        <v>203</v>
      </c>
      <c r="C588" s="362"/>
      <c r="D588" s="362">
        <v>79</v>
      </c>
      <c r="E588" s="604" t="s">
        <v>2011</v>
      </c>
      <c r="F588" s="124" t="s">
        <v>2243</v>
      </c>
      <c r="G588" s="125">
        <v>2015</v>
      </c>
      <c r="H588" s="79">
        <v>26237266</v>
      </c>
      <c r="I588" s="79">
        <v>1</v>
      </c>
      <c r="J588" s="170" t="s">
        <v>1782</v>
      </c>
      <c r="K588" s="127" t="s">
        <v>1765</v>
      </c>
      <c r="L588" s="164">
        <v>0</v>
      </c>
      <c r="M588" s="79"/>
      <c r="N588" s="79">
        <v>1</v>
      </c>
      <c r="O588" s="128">
        <v>1</v>
      </c>
      <c r="P588" s="79" t="s">
        <v>741</v>
      </c>
      <c r="Q588" s="79" t="s">
        <v>1161</v>
      </c>
      <c r="R588" s="79" t="s">
        <v>740</v>
      </c>
      <c r="S588" s="79">
        <v>1</v>
      </c>
      <c r="T588" s="79"/>
      <c r="U588" s="79"/>
      <c r="V588" s="79"/>
      <c r="W588" s="79"/>
      <c r="X588" s="79"/>
      <c r="Y588" s="79"/>
      <c r="Z588" s="79"/>
      <c r="AA588" s="79"/>
      <c r="AB588" s="79"/>
      <c r="AC588" s="506" t="s">
        <v>6279</v>
      </c>
      <c r="AD588" s="573">
        <v>1</v>
      </c>
      <c r="AE588" s="573">
        <v>0</v>
      </c>
      <c r="AF588" s="924">
        <v>2</v>
      </c>
      <c r="AG588" s="925"/>
      <c r="AH588" s="911"/>
      <c r="AI588" s="923">
        <v>2</v>
      </c>
      <c r="AJ588" s="923"/>
      <c r="AK588" s="926"/>
      <c r="AL588" s="588"/>
      <c r="AM588" s="927"/>
      <c r="AN588" s="923"/>
      <c r="AO588" s="923"/>
      <c r="AP588" s="923"/>
      <c r="AQ588" s="923"/>
      <c r="AR588" s="923"/>
      <c r="AS588" s="923"/>
      <c r="AT588" s="923"/>
      <c r="AU588" s="923"/>
      <c r="AV588" s="923"/>
      <c r="AW588" s="923"/>
      <c r="AX588" s="923"/>
      <c r="AY588" s="923"/>
      <c r="AZ588" s="915"/>
      <c r="BA588" s="923"/>
      <c r="BB588" s="923"/>
      <c r="BC588" s="923"/>
      <c r="BD588" s="915"/>
      <c r="BE588" s="915"/>
      <c r="BF588" s="923"/>
      <c r="BG588" s="923"/>
      <c r="BH588" s="594"/>
      <c r="BI588" s="594"/>
      <c r="BJ588" s="156"/>
      <c r="BK588" s="156"/>
      <c r="BL588" s="156" t="s">
        <v>5207</v>
      </c>
      <c r="BM588" s="156"/>
      <c r="BN588" s="156"/>
      <c r="BO588" s="156"/>
      <c r="BP588" s="156"/>
      <c r="BQ588" s="156" t="s">
        <v>6278</v>
      </c>
      <c r="BR588" s="156" t="s">
        <v>5207</v>
      </c>
      <c r="BS588" s="156"/>
      <c r="BT588" s="156" t="s">
        <v>5207</v>
      </c>
      <c r="BU588" s="156"/>
      <c r="BV588" s="156">
        <v>1</v>
      </c>
      <c r="BW588" s="928"/>
      <c r="BX588" s="929"/>
      <c r="BY588" s="929"/>
      <c r="BZ588" s="929"/>
      <c r="CA588" s="184"/>
      <c r="CB588" s="954"/>
      <c r="CC588" s="954"/>
      <c r="CD588" s="923"/>
      <c r="CE588" s="923"/>
      <c r="CF588" s="923"/>
      <c r="CG588" s="923"/>
      <c r="CH588" s="915"/>
      <c r="CI588" s="923"/>
      <c r="CJ588" s="923"/>
      <c r="CK588" s="923"/>
      <c r="CL588" s="923"/>
      <c r="CM588" s="930"/>
      <c r="CN588" s="931"/>
      <c r="CO588" s="931"/>
      <c r="CP588" s="931"/>
      <c r="CQ588" s="931"/>
      <c r="CR588" s="931"/>
      <c r="CS588" s="931"/>
      <c r="CT588" s="967"/>
      <c r="CU588" s="967"/>
      <c r="CV588" s="967"/>
      <c r="CW588" s="967"/>
      <c r="CX588" s="932"/>
      <c r="CY588" s="923"/>
      <c r="CZ588" s="923"/>
      <c r="DA588" s="923"/>
      <c r="DB588" s="932"/>
      <c r="DC588" s="923"/>
      <c r="DD588" s="923"/>
      <c r="DE588" s="923"/>
      <c r="DF588" s="922"/>
      <c r="DG588" s="911"/>
      <c r="DH588" s="950"/>
      <c r="DI588" s="951"/>
      <c r="DJ588" s="951"/>
      <c r="DK588" s="951"/>
      <c r="DL588" s="950"/>
      <c r="DM588" s="951"/>
      <c r="DN588" s="951"/>
      <c r="DO588" s="951"/>
      <c r="DP588" s="930"/>
      <c r="DQ588" s="594"/>
      <c r="DR588" s="1187"/>
      <c r="DS588" s="1186"/>
      <c r="DT588" s="950"/>
      <c r="DU588" s="951"/>
      <c r="DV588" s="951"/>
      <c r="DW588" s="951"/>
      <c r="DX588" s="951"/>
      <c r="DY588" s="951"/>
      <c r="DZ588" s="951"/>
      <c r="EA588" s="951"/>
      <c r="EB588" s="1185"/>
      <c r="EC588" s="951"/>
      <c r="ED588" s="951"/>
      <c r="EE588" s="951"/>
      <c r="EF588" s="951"/>
      <c r="EG588" s="951"/>
      <c r="EH588" s="951"/>
      <c r="EI588" s="951"/>
      <c r="EJ588" s="951"/>
      <c r="EK588" s="951"/>
      <c r="EL588" s="1185"/>
      <c r="EM588" s="951"/>
      <c r="EN588" s="1185"/>
      <c r="EO588" s="951"/>
      <c r="EP588" s="951"/>
      <c r="EQ588" s="951"/>
      <c r="ER588" s="951"/>
      <c r="ES588" s="951"/>
      <c r="ET588" s="950"/>
      <c r="EU588" s="951"/>
      <c r="EV588" s="951"/>
      <c r="EW588" s="951"/>
      <c r="EX588" s="951"/>
      <c r="EY588" s="951"/>
      <c r="EZ588" s="950"/>
      <c r="FA588" s="951"/>
      <c r="FB588" s="951"/>
      <c r="FC588" s="951"/>
      <c r="FD588" s="950"/>
      <c r="FE588" s="951"/>
      <c r="FF588" s="951"/>
      <c r="FG588" s="951"/>
      <c r="FH588" s="951"/>
      <c r="FI588" s="951"/>
      <c r="FJ588" s="951"/>
    </row>
    <row r="589" spans="1:166" ht="14" hidden="1" customHeight="1">
      <c r="A589" s="79" t="s">
        <v>981</v>
      </c>
      <c r="B589" s="362">
        <v>204</v>
      </c>
      <c r="C589" s="362"/>
      <c r="D589" s="362">
        <v>80</v>
      </c>
      <c r="E589" s="604" t="s">
        <v>2115</v>
      </c>
      <c r="F589" s="124" t="s">
        <v>2374</v>
      </c>
      <c r="G589" s="125">
        <v>2004</v>
      </c>
      <c r="H589" s="79">
        <v>15036608</v>
      </c>
      <c r="I589" s="79">
        <v>1</v>
      </c>
      <c r="J589" s="126">
        <v>1</v>
      </c>
      <c r="K589" s="127"/>
      <c r="L589" s="79">
        <v>1</v>
      </c>
      <c r="M589" s="79"/>
      <c r="N589" s="79">
        <v>1</v>
      </c>
      <c r="O589" s="128">
        <v>2</v>
      </c>
      <c r="P589" s="79" t="s">
        <v>1553</v>
      </c>
      <c r="Q589" s="79" t="s">
        <v>1552</v>
      </c>
      <c r="R589" s="79" t="s">
        <v>1229</v>
      </c>
      <c r="S589" s="79"/>
      <c r="T589" s="79" t="s">
        <v>1498</v>
      </c>
      <c r="U589" s="79" t="s">
        <v>803</v>
      </c>
      <c r="V589" s="79"/>
      <c r="W589" s="79" t="s">
        <v>1682</v>
      </c>
      <c r="X589" s="79"/>
      <c r="Y589" s="79"/>
      <c r="Z589" s="79"/>
      <c r="AA589" s="79"/>
      <c r="AB589" s="79"/>
      <c r="AC589" s="506" t="s">
        <v>6280</v>
      </c>
      <c r="AD589" s="573">
        <v>1</v>
      </c>
      <c r="AE589" s="573">
        <v>1</v>
      </c>
      <c r="AF589" s="154">
        <v>1</v>
      </c>
      <c r="AG589" s="155" t="s">
        <v>8031</v>
      </c>
      <c r="AH589" s="704" t="s">
        <v>8032</v>
      </c>
      <c r="AI589" s="121">
        <v>4</v>
      </c>
      <c r="AJ589" s="484"/>
      <c r="AK589" s="202" t="s">
        <v>7070</v>
      </c>
      <c r="AL589" s="192" t="s">
        <v>7052</v>
      </c>
      <c r="AM589" s="203" t="s">
        <v>7028</v>
      </c>
      <c r="AN589" s="121">
        <f>Table66[[#This Row],[Data_Subjects_n_ptsd]]+Table66[[#This Row],[Data_Subjects_n_control]]</f>
        <v>42</v>
      </c>
      <c r="AO589" s="121">
        <v>21</v>
      </c>
      <c r="AP589" s="121">
        <v>21</v>
      </c>
      <c r="AQ589" s="121" t="s">
        <v>803</v>
      </c>
      <c r="AR589" s="121" t="s">
        <v>803</v>
      </c>
      <c r="AS589" s="121" t="s">
        <v>7027</v>
      </c>
      <c r="AT589" s="121" t="s">
        <v>24</v>
      </c>
      <c r="AU589" s="121" t="s">
        <v>7027</v>
      </c>
      <c r="AV589" s="121" t="s">
        <v>24</v>
      </c>
      <c r="AW589" s="121" t="s">
        <v>7025</v>
      </c>
      <c r="AX589" s="121">
        <v>60</v>
      </c>
      <c r="AY589" s="121">
        <v>0.8</v>
      </c>
      <c r="AZ589" s="754" t="s">
        <v>1814</v>
      </c>
      <c r="BA589" s="121">
        <v>1</v>
      </c>
      <c r="BB589" s="121">
        <v>1</v>
      </c>
      <c r="BC589" s="121" t="s">
        <v>7049</v>
      </c>
      <c r="BD589" s="754" t="s">
        <v>7523</v>
      </c>
      <c r="BE589" s="754"/>
      <c r="BF589" s="121" t="s">
        <v>2912</v>
      </c>
      <c r="BG589" s="121" t="s">
        <v>6653</v>
      </c>
      <c r="BH589" s="594"/>
      <c r="BI589" s="594"/>
      <c r="BJ589" s="156">
        <v>1</v>
      </c>
      <c r="BK589" s="156">
        <v>1</v>
      </c>
      <c r="BL589" s="156"/>
      <c r="BM589" s="156"/>
      <c r="BN589" s="156"/>
      <c r="BO589" s="156"/>
      <c r="BP589" s="156">
        <v>1</v>
      </c>
      <c r="BQ589" s="156"/>
      <c r="BR589" s="156"/>
      <c r="BS589" s="156"/>
      <c r="BT589" s="156"/>
      <c r="BU589" s="156"/>
      <c r="BV589" s="156"/>
      <c r="BW589" s="595" t="s">
        <v>7051</v>
      </c>
      <c r="BX589" s="157" t="s">
        <v>6657</v>
      </c>
      <c r="BY589" s="797" t="s">
        <v>7613</v>
      </c>
      <c r="BZ589" s="789" t="s">
        <v>803</v>
      </c>
      <c r="CA589" s="765">
        <v>1</v>
      </c>
      <c r="CB589" s="765" t="s">
        <v>7556</v>
      </c>
      <c r="CC589" s="765" t="s">
        <v>7384</v>
      </c>
      <c r="CD589" s="134" t="s">
        <v>1876</v>
      </c>
      <c r="CE589" s="134" t="s">
        <v>7029</v>
      </c>
      <c r="CF589" s="400" t="s">
        <v>7581</v>
      </c>
      <c r="CG589" s="134" t="s">
        <v>7042</v>
      </c>
      <c r="CH589" s="753" t="s">
        <v>7309</v>
      </c>
      <c r="CI589" s="134" t="s">
        <v>7026</v>
      </c>
      <c r="CJ589" s="134"/>
      <c r="CK589" s="134" t="s">
        <v>7050</v>
      </c>
      <c r="CL589" s="1385" t="s">
        <v>8242</v>
      </c>
      <c r="CM589" s="259" t="s">
        <v>7053</v>
      </c>
      <c r="CN589" s="454" t="s">
        <v>24</v>
      </c>
      <c r="CO589" s="828">
        <v>66</v>
      </c>
      <c r="CP589" s="828">
        <v>1</v>
      </c>
      <c r="CQ589" s="828">
        <v>1</v>
      </c>
      <c r="CR589" s="828">
        <v>1</v>
      </c>
      <c r="CS589" s="828">
        <v>-1</v>
      </c>
      <c r="CT589" s="967"/>
      <c r="CU589" s="1289" t="s">
        <v>8104</v>
      </c>
      <c r="CV589" s="1295">
        <v>118</v>
      </c>
      <c r="CW589" s="1295">
        <v>107</v>
      </c>
      <c r="CX589" s="138" t="s">
        <v>7040</v>
      </c>
      <c r="CY589" s="138">
        <v>11.1</v>
      </c>
      <c r="CZ589" s="134" t="s">
        <v>24</v>
      </c>
      <c r="DA589" s="134">
        <v>1.7</v>
      </c>
      <c r="DB589" s="134" t="s">
        <v>7041</v>
      </c>
      <c r="DC589" s="134">
        <v>22.3</v>
      </c>
      <c r="DD589" s="134" t="s">
        <v>24</v>
      </c>
      <c r="DE589" s="134">
        <v>1</v>
      </c>
      <c r="DF589" s="821" t="s">
        <v>7043</v>
      </c>
      <c r="DG589" s="875" t="s">
        <v>7044</v>
      </c>
      <c r="DH589" s="1276"/>
      <c r="DI589" s="1276"/>
      <c r="DJ589" s="1169"/>
      <c r="DK589" s="121"/>
      <c r="DL589" s="1169"/>
      <c r="DM589" s="1169"/>
      <c r="DN589" s="1169"/>
      <c r="DO589" s="1169"/>
      <c r="DP589" s="288"/>
      <c r="DQ589" s="681"/>
      <c r="DR589" s="1168"/>
      <c r="DS589" s="865"/>
      <c r="DT589" s="1171"/>
      <c r="DU589" s="1171"/>
      <c r="DV589" s="1169"/>
      <c r="DW589" s="1169"/>
      <c r="DX589" s="1169"/>
      <c r="DY589" s="1169"/>
      <c r="DZ589" s="1169"/>
      <c r="EA589" s="1169"/>
      <c r="EB589" s="304"/>
      <c r="EC589" s="312"/>
      <c r="ED589" s="1171"/>
      <c r="EE589" s="1171"/>
      <c r="EF589" s="1169"/>
      <c r="EG589" s="1169"/>
      <c r="EH589" s="1169"/>
      <c r="EI589" s="1169"/>
      <c r="EJ589" s="1169"/>
      <c r="EK589" s="1169"/>
      <c r="EL589" s="304"/>
      <c r="EM589" s="312"/>
      <c r="EN589" s="309"/>
      <c r="EO589" s="1170"/>
      <c r="EP589" s="1169"/>
      <c r="EQ589" s="1169"/>
      <c r="ER589" s="1169"/>
      <c r="ES589" s="1169"/>
      <c r="ET589" s="1169"/>
      <c r="EU589" s="1169"/>
      <c r="EV589" s="1169"/>
      <c r="EW589" s="1169"/>
      <c r="EX589" s="312"/>
      <c r="EY589" s="312"/>
      <c r="EZ589" s="1171"/>
      <c r="FA589" s="1169"/>
      <c r="FB589" s="1169"/>
      <c r="FC589" s="1169"/>
      <c r="FD589" s="1171"/>
      <c r="FE589" s="1169"/>
      <c r="FF589" s="1169"/>
      <c r="FG589" s="1169"/>
      <c r="FH589" s="312"/>
      <c r="FI589" s="312"/>
      <c r="FJ589" s="1170"/>
    </row>
    <row r="590" spans="1:166" ht="15" hidden="1" customHeight="1">
      <c r="A590" s="118" t="s">
        <v>981</v>
      </c>
      <c r="B590" s="616">
        <v>204</v>
      </c>
      <c r="C590" s="616"/>
      <c r="D590" s="616">
        <v>80</v>
      </c>
      <c r="E590" s="605" t="s">
        <v>2115</v>
      </c>
      <c r="F590" s="140" t="s">
        <v>2374</v>
      </c>
      <c r="G590" s="141">
        <v>2004</v>
      </c>
      <c r="H590" s="118">
        <v>15036608</v>
      </c>
      <c r="I590" s="118">
        <v>1</v>
      </c>
      <c r="J590" s="118">
        <v>1</v>
      </c>
      <c r="K590" s="118"/>
      <c r="L590" s="118">
        <v>1</v>
      </c>
      <c r="M590" s="118"/>
      <c r="N590" s="118">
        <v>1</v>
      </c>
      <c r="O590" s="142">
        <v>2</v>
      </c>
      <c r="P590" s="118" t="s">
        <v>1553</v>
      </c>
      <c r="Q590" s="118" t="s">
        <v>1552</v>
      </c>
      <c r="R590" s="118" t="s">
        <v>1229</v>
      </c>
      <c r="S590" s="118"/>
      <c r="T590" s="118" t="s">
        <v>1498</v>
      </c>
      <c r="U590" s="118" t="s">
        <v>803</v>
      </c>
      <c r="V590" s="118"/>
      <c r="W590" s="118" t="s">
        <v>1682</v>
      </c>
      <c r="X590" s="118"/>
      <c r="Y590" s="118"/>
      <c r="Z590" s="118"/>
      <c r="AA590" s="118"/>
      <c r="AB590" s="118"/>
      <c r="AC590" s="145" t="s">
        <v>6280</v>
      </c>
      <c r="AD590" s="653">
        <v>1</v>
      </c>
      <c r="AE590" s="653">
        <v>1</v>
      </c>
      <c r="AF590" s="159">
        <v>1</v>
      </c>
      <c r="AG590" s="155" t="s">
        <v>7066</v>
      </c>
      <c r="AH590" s="704"/>
      <c r="AI590" s="122">
        <v>4</v>
      </c>
      <c r="AJ590" s="485"/>
      <c r="AK590" s="202" t="s">
        <v>7070</v>
      </c>
      <c r="AL590" s="192" t="s">
        <v>7052</v>
      </c>
      <c r="AM590" s="205" t="s">
        <v>7028</v>
      </c>
      <c r="AN590" s="122">
        <f>Table66[[#This Row],[Data_Subjects_n_ptsd]]+Table66[[#This Row],[Data_Subjects_n_control]]</f>
        <v>42</v>
      </c>
      <c r="AO590" s="122">
        <v>21</v>
      </c>
      <c r="AP590" s="122">
        <v>21</v>
      </c>
      <c r="AQ590" s="122" t="s">
        <v>803</v>
      </c>
      <c r="AR590" s="122" t="s">
        <v>803</v>
      </c>
      <c r="AS590" s="122" t="s">
        <v>7027</v>
      </c>
      <c r="AT590" s="122" t="s">
        <v>24</v>
      </c>
      <c r="AU590" s="122" t="s">
        <v>7027</v>
      </c>
      <c r="AV590" s="122" t="s">
        <v>24</v>
      </c>
      <c r="AW590" s="122" t="s">
        <v>7025</v>
      </c>
      <c r="AX590" s="121">
        <v>60</v>
      </c>
      <c r="AY590" s="121">
        <v>0.8</v>
      </c>
      <c r="AZ590" s="754" t="s">
        <v>1814</v>
      </c>
      <c r="BA590" s="122">
        <v>1</v>
      </c>
      <c r="BB590" s="122">
        <v>1</v>
      </c>
      <c r="BC590" s="122" t="s">
        <v>7049</v>
      </c>
      <c r="BD590" s="754" t="s">
        <v>7523</v>
      </c>
      <c r="BE590" s="754"/>
      <c r="BF590" s="122" t="s">
        <v>2912</v>
      </c>
      <c r="BG590" s="122" t="s">
        <v>6653</v>
      </c>
      <c r="BH590" s="588"/>
      <c r="BI590" s="588"/>
      <c r="BJ590" s="161">
        <v>1</v>
      </c>
      <c r="BK590" s="161">
        <v>1</v>
      </c>
      <c r="BL590" s="161"/>
      <c r="BM590" s="161"/>
      <c r="BN590" s="161"/>
      <c r="BO590" s="161"/>
      <c r="BP590" s="161">
        <v>1</v>
      </c>
      <c r="BQ590" s="161"/>
      <c r="BR590" s="161"/>
      <c r="BS590" s="161"/>
      <c r="BT590" s="161"/>
      <c r="BU590" s="161"/>
      <c r="BV590" s="161"/>
      <c r="BW590" s="596" t="s">
        <v>7056</v>
      </c>
      <c r="BX590" s="162" t="s">
        <v>6596</v>
      </c>
      <c r="BY590" s="797" t="s">
        <v>7615</v>
      </c>
      <c r="BZ590" s="790" t="s">
        <v>7610</v>
      </c>
      <c r="CA590" s="766">
        <v>2</v>
      </c>
      <c r="CB590" s="766" t="s">
        <v>7556</v>
      </c>
      <c r="CC590" s="766" t="s">
        <v>8243</v>
      </c>
      <c r="CD590" s="150" t="s">
        <v>1876</v>
      </c>
      <c r="CE590" s="150" t="s">
        <v>7029</v>
      </c>
      <c r="CF590" s="400" t="s">
        <v>7581</v>
      </c>
      <c r="CG590" s="150" t="s">
        <v>7042</v>
      </c>
      <c r="CH590" s="753" t="s">
        <v>7309</v>
      </c>
      <c r="CI590" s="150" t="s">
        <v>7026</v>
      </c>
      <c r="CJ590" s="150"/>
      <c r="CK590" s="150" t="s">
        <v>7063</v>
      </c>
      <c r="CL590" s="400" t="s">
        <v>8241</v>
      </c>
      <c r="CM590" s="258" t="s">
        <v>7055</v>
      </c>
      <c r="CN590" s="257" t="s">
        <v>6627</v>
      </c>
      <c r="CO590" s="829">
        <v>66</v>
      </c>
      <c r="CP590" s="829">
        <v>1</v>
      </c>
      <c r="CQ590" s="829">
        <v>2</v>
      </c>
      <c r="CR590" s="829">
        <v>1</v>
      </c>
      <c r="CS590" s="829">
        <v>1</v>
      </c>
      <c r="CT590" s="968"/>
      <c r="CU590" s="1289" t="s">
        <v>8104</v>
      </c>
      <c r="CV590" s="1295">
        <v>118</v>
      </c>
      <c r="CW590" s="1295">
        <v>107</v>
      </c>
      <c r="CX590" s="151" t="s">
        <v>7030</v>
      </c>
      <c r="CY590" s="150">
        <v>21.1</v>
      </c>
      <c r="CZ590" s="150" t="s">
        <v>24</v>
      </c>
      <c r="DA590" s="150">
        <v>3.1</v>
      </c>
      <c r="DB590" s="151" t="s">
        <v>7031</v>
      </c>
      <c r="DC590" s="150">
        <v>5.3</v>
      </c>
      <c r="DD590" s="150" t="s">
        <v>24</v>
      </c>
      <c r="DE590" s="150">
        <v>1.4</v>
      </c>
      <c r="DF590" s="294" t="s">
        <v>7037</v>
      </c>
      <c r="DG590" s="295" t="s">
        <v>7038</v>
      </c>
      <c r="DH590" s="121"/>
      <c r="DI590" s="121"/>
      <c r="DJ590" s="1169"/>
      <c r="DK590" s="121"/>
      <c r="DL590" s="1169"/>
      <c r="DM590" s="121"/>
      <c r="DN590" s="1169"/>
      <c r="DO590" s="121"/>
      <c r="DP590" s="288"/>
      <c r="DQ590" s="289"/>
      <c r="DR590" s="1168" t="s">
        <v>24</v>
      </c>
      <c r="DS590" s="865" t="s">
        <v>24</v>
      </c>
      <c r="DT590" s="1171"/>
      <c r="DU590" s="121"/>
      <c r="DV590" s="1169"/>
      <c r="DW590" s="121"/>
      <c r="DX590" s="1169"/>
      <c r="DY590" s="121"/>
      <c r="DZ590" s="1169"/>
      <c r="EA590" s="121"/>
      <c r="EB590" s="304"/>
      <c r="EC590" s="312"/>
      <c r="ED590" s="1169"/>
      <c r="EE590" s="121"/>
      <c r="EF590" s="1169"/>
      <c r="EG590" s="121"/>
      <c r="EH590" s="1169"/>
      <c r="EI590" s="121"/>
      <c r="EJ590" s="1169"/>
      <c r="EK590" s="121"/>
      <c r="EL590" s="304"/>
      <c r="EM590" s="312"/>
      <c r="EN590" s="1167" t="s">
        <v>24</v>
      </c>
      <c r="EO590" s="1165" t="s">
        <v>24</v>
      </c>
      <c r="EP590" s="526"/>
      <c r="EQ590" s="526"/>
      <c r="ER590" s="122"/>
      <c r="ES590" s="122"/>
      <c r="ET590" s="122"/>
      <c r="EU590" s="122"/>
      <c r="EV590" s="122"/>
      <c r="EW590" s="122"/>
      <c r="EX590" s="303"/>
      <c r="EY590" s="684"/>
      <c r="EZ590" s="1166"/>
      <c r="FA590" s="1164"/>
      <c r="FB590" s="1164"/>
      <c r="FC590" s="1164"/>
      <c r="FD590" s="1166"/>
      <c r="FE590" s="1164"/>
      <c r="FF590" s="1164"/>
      <c r="FG590" s="1164"/>
      <c r="FH590" s="313"/>
      <c r="FI590" s="313"/>
      <c r="FJ590" s="1165"/>
    </row>
    <row r="591" spans="1:166" ht="14" hidden="1" customHeight="1">
      <c r="A591" s="158" t="s">
        <v>981</v>
      </c>
      <c r="B591" s="1094">
        <v>204</v>
      </c>
      <c r="C591" s="1094"/>
      <c r="D591" s="1094">
        <v>80</v>
      </c>
      <c r="E591" s="1095" t="s">
        <v>2115</v>
      </c>
      <c r="F591" s="711" t="s">
        <v>2374</v>
      </c>
      <c r="G591" s="1096">
        <v>2004</v>
      </c>
      <c r="H591" s="158">
        <v>15036608</v>
      </c>
      <c r="I591" s="158">
        <v>1</v>
      </c>
      <c r="J591" s="158">
        <v>1</v>
      </c>
      <c r="K591" s="158"/>
      <c r="L591" s="158">
        <v>1</v>
      </c>
      <c r="M591" s="158"/>
      <c r="N591" s="158">
        <v>1</v>
      </c>
      <c r="O591" s="158">
        <v>2</v>
      </c>
      <c r="P591" s="158" t="s">
        <v>1553</v>
      </c>
      <c r="Q591" s="158" t="s">
        <v>1552</v>
      </c>
      <c r="R591" s="158" t="s">
        <v>1229</v>
      </c>
      <c r="S591" s="158"/>
      <c r="T591" s="158" t="s">
        <v>1498</v>
      </c>
      <c r="U591" s="158" t="s">
        <v>803</v>
      </c>
      <c r="V591" s="158"/>
      <c r="W591" s="158" t="s">
        <v>1682</v>
      </c>
      <c r="X591" s="158"/>
      <c r="Y591" s="158"/>
      <c r="Z591" s="158"/>
      <c r="AA591" s="158"/>
      <c r="AB591" s="158"/>
      <c r="AC591" s="800" t="s">
        <v>6280</v>
      </c>
      <c r="AD591" s="800">
        <v>1</v>
      </c>
      <c r="AE591" s="800">
        <v>1</v>
      </c>
      <c r="AF591" s="743">
        <v>0</v>
      </c>
      <c r="AG591" s="166" t="s">
        <v>8069</v>
      </c>
      <c r="AH591" s="509"/>
      <c r="AI591" s="734">
        <v>4</v>
      </c>
      <c r="AJ591" s="734"/>
      <c r="AK591" s="206" t="s">
        <v>7070</v>
      </c>
      <c r="AL591" s="372" t="s">
        <v>7052</v>
      </c>
      <c r="AM591" s="724" t="s">
        <v>7028</v>
      </c>
      <c r="AN591" s="734">
        <f>Table66[[#This Row],[Data_Subjects_n_ptsd]]+Table66[[#This Row],[Data_Subjects_n_control]]</f>
        <v>42</v>
      </c>
      <c r="AO591" s="734">
        <v>21</v>
      </c>
      <c r="AP591" s="734">
        <v>21</v>
      </c>
      <c r="AQ591" s="734" t="s">
        <v>803</v>
      </c>
      <c r="AR591" s="734" t="s">
        <v>803</v>
      </c>
      <c r="AS591" s="734" t="s">
        <v>7027</v>
      </c>
      <c r="AT591" s="734" t="s">
        <v>24</v>
      </c>
      <c r="AU591" s="734" t="s">
        <v>7027</v>
      </c>
      <c r="AV591" s="734" t="s">
        <v>24</v>
      </c>
      <c r="AW591" s="734" t="s">
        <v>7025</v>
      </c>
      <c r="AX591" s="120">
        <v>60</v>
      </c>
      <c r="AY591" s="120">
        <v>0.8</v>
      </c>
      <c r="AZ591" s="755" t="s">
        <v>1814</v>
      </c>
      <c r="BA591" s="734">
        <v>1</v>
      </c>
      <c r="BB591" s="734">
        <v>1</v>
      </c>
      <c r="BC591" s="734" t="s">
        <v>7049</v>
      </c>
      <c r="BD591" s="755" t="s">
        <v>7523</v>
      </c>
      <c r="BE591" s="755"/>
      <c r="BF591" s="734" t="s">
        <v>2912</v>
      </c>
      <c r="BG591" s="734" t="s">
        <v>6653</v>
      </c>
      <c r="BH591" s="372"/>
      <c r="BI591" s="372"/>
      <c r="BJ591" s="735">
        <v>1</v>
      </c>
      <c r="BK591" s="735">
        <v>1</v>
      </c>
      <c r="BL591" s="735"/>
      <c r="BM591" s="735"/>
      <c r="BN591" s="735"/>
      <c r="BO591" s="735"/>
      <c r="BP591" s="735">
        <v>1</v>
      </c>
      <c r="BQ591" s="735"/>
      <c r="BR591" s="735"/>
      <c r="BS591" s="735"/>
      <c r="BT591" s="735"/>
      <c r="BU591" s="735"/>
      <c r="BV591" s="735"/>
      <c r="BW591" s="735" t="s">
        <v>7056</v>
      </c>
      <c r="BX591" s="736" t="s">
        <v>6596</v>
      </c>
      <c r="BY591" s="799" t="s">
        <v>7615</v>
      </c>
      <c r="BZ591" s="736" t="s">
        <v>7610</v>
      </c>
      <c r="CA591" s="736">
        <v>2</v>
      </c>
      <c r="CB591" s="736" t="s">
        <v>7556</v>
      </c>
      <c r="CC591" s="736" t="s">
        <v>7384</v>
      </c>
      <c r="CD591" s="734" t="s">
        <v>1876</v>
      </c>
      <c r="CE591" s="734" t="s">
        <v>7029</v>
      </c>
      <c r="CF591" s="786" t="s">
        <v>7581</v>
      </c>
      <c r="CG591" s="734" t="s">
        <v>7042</v>
      </c>
      <c r="CH591" s="755" t="s">
        <v>7309</v>
      </c>
      <c r="CI591" s="734" t="s">
        <v>7026</v>
      </c>
      <c r="CJ591" s="734"/>
      <c r="CK591" s="734" t="s">
        <v>7063</v>
      </c>
      <c r="CL591" s="786" t="s">
        <v>8034</v>
      </c>
      <c r="CM591" s="737" t="s">
        <v>7055</v>
      </c>
      <c r="CN591" s="738" t="s">
        <v>6627</v>
      </c>
      <c r="CO591" s="738"/>
      <c r="CP591" s="738"/>
      <c r="CQ591" s="738"/>
      <c r="CR591" s="738"/>
      <c r="CS591" s="738"/>
      <c r="CT591" s="738"/>
      <c r="CU591" s="738"/>
      <c r="CV591" s="738"/>
      <c r="CW591" s="738"/>
      <c r="CX591" s="736" t="s">
        <v>7033</v>
      </c>
      <c r="CY591" s="736">
        <v>57.1</v>
      </c>
      <c r="CZ591" s="734" t="s">
        <v>24</v>
      </c>
      <c r="DA591" s="734">
        <v>3</v>
      </c>
      <c r="DB591" s="734" t="s">
        <v>7032</v>
      </c>
      <c r="DC591" s="734">
        <v>74.7</v>
      </c>
      <c r="DD591" s="734" t="s">
        <v>24</v>
      </c>
      <c r="DE591" s="734">
        <v>1.4</v>
      </c>
      <c r="DF591" s="737" t="s">
        <v>7039</v>
      </c>
      <c r="DG591" s="1585" t="s">
        <v>7048</v>
      </c>
      <c r="DH591" s="819"/>
      <c r="DI591" s="823"/>
      <c r="DJ591" s="778"/>
      <c r="DK591" s="742"/>
      <c r="DL591" s="778"/>
      <c r="DM591" s="742"/>
      <c r="DN591" s="778"/>
      <c r="DO591" s="1136"/>
      <c r="DP591" s="737"/>
      <c r="DQ591" s="1586"/>
      <c r="DR591" s="1182"/>
      <c r="DS591" s="956"/>
      <c r="DT591" s="1180"/>
      <c r="DU591" s="823"/>
      <c r="DV591" s="778"/>
      <c r="DW591" s="742"/>
      <c r="DX591" s="778"/>
      <c r="DY591" s="742"/>
      <c r="DZ591" s="778"/>
      <c r="EA591" s="742"/>
      <c r="EB591" s="1181"/>
      <c r="EC591" s="778"/>
      <c r="ED591" s="1180"/>
      <c r="EE591" s="823"/>
      <c r="EF591" s="778"/>
      <c r="EG591" s="742"/>
      <c r="EH591" s="778"/>
      <c r="EI591" s="742"/>
      <c r="EJ591" s="778"/>
      <c r="EK591" s="742"/>
      <c r="EL591" s="1181"/>
      <c r="EM591" s="778"/>
      <c r="EN591" s="1181"/>
      <c r="EO591" s="778"/>
      <c r="EP591" s="1180"/>
      <c r="EQ591" s="1180"/>
      <c r="ER591" s="778"/>
      <c r="ES591" s="778"/>
      <c r="ET591" s="778"/>
      <c r="EU591" s="778"/>
      <c r="EV591" s="778"/>
      <c r="EW591" s="778"/>
      <c r="EX591" s="778"/>
      <c r="EY591" s="1587"/>
      <c r="EZ591" s="1180"/>
      <c r="FA591" s="778"/>
      <c r="FB591" s="778"/>
      <c r="FC591" s="778"/>
      <c r="FD591" s="1180"/>
      <c r="FE591" s="778"/>
      <c r="FF591" s="778"/>
      <c r="FG591" s="778"/>
      <c r="FH591" s="778"/>
      <c r="FI591" s="778"/>
      <c r="FJ591" s="778"/>
    </row>
    <row r="592" spans="1:166" ht="14" hidden="1" customHeight="1">
      <c r="A592" s="118" t="s">
        <v>981</v>
      </c>
      <c r="B592" s="616">
        <v>204</v>
      </c>
      <c r="C592" s="616"/>
      <c r="D592" s="616">
        <v>80</v>
      </c>
      <c r="E592" s="605" t="s">
        <v>2115</v>
      </c>
      <c r="F592" s="140" t="s">
        <v>2374</v>
      </c>
      <c r="G592" s="141">
        <v>2004</v>
      </c>
      <c r="H592" s="118">
        <v>15036608</v>
      </c>
      <c r="I592" s="118">
        <v>1</v>
      </c>
      <c r="J592" s="118">
        <v>1</v>
      </c>
      <c r="K592" s="118"/>
      <c r="L592" s="118">
        <v>1</v>
      </c>
      <c r="M592" s="118"/>
      <c r="N592" s="118">
        <v>1</v>
      </c>
      <c r="O592" s="142">
        <v>2</v>
      </c>
      <c r="P592" s="118" t="s">
        <v>1553</v>
      </c>
      <c r="Q592" s="118" t="s">
        <v>1552</v>
      </c>
      <c r="R592" s="118" t="s">
        <v>1229</v>
      </c>
      <c r="S592" s="118"/>
      <c r="T592" s="118" t="s">
        <v>1498</v>
      </c>
      <c r="U592" s="118" t="s">
        <v>803</v>
      </c>
      <c r="V592" s="118"/>
      <c r="W592" s="118" t="s">
        <v>1682</v>
      </c>
      <c r="X592" s="118"/>
      <c r="Y592" s="118"/>
      <c r="Z592" s="118"/>
      <c r="AA592" s="118"/>
      <c r="AB592" s="118"/>
      <c r="AC592" s="145" t="s">
        <v>6280</v>
      </c>
      <c r="AD592" s="653">
        <v>1</v>
      </c>
      <c r="AE592" s="653">
        <v>1</v>
      </c>
      <c r="AF592" s="159">
        <v>1</v>
      </c>
      <c r="AG592" s="155" t="s">
        <v>7066</v>
      </c>
      <c r="AH592" s="704"/>
      <c r="AI592" s="122">
        <v>4</v>
      </c>
      <c r="AJ592" s="485"/>
      <c r="AK592" s="202" t="s">
        <v>7070</v>
      </c>
      <c r="AL592" s="192" t="s">
        <v>7052</v>
      </c>
      <c r="AM592" s="205" t="s">
        <v>7028</v>
      </c>
      <c r="AN592" s="122">
        <f>Table66[[#This Row],[Data_Subjects_n_ptsd]]+Table66[[#This Row],[Data_Subjects_n_control]]</f>
        <v>42</v>
      </c>
      <c r="AO592" s="122">
        <v>21</v>
      </c>
      <c r="AP592" s="122">
        <v>21</v>
      </c>
      <c r="AQ592" s="122" t="s">
        <v>803</v>
      </c>
      <c r="AR592" s="122" t="s">
        <v>803</v>
      </c>
      <c r="AS592" s="122" t="s">
        <v>7027</v>
      </c>
      <c r="AT592" s="122" t="s">
        <v>24</v>
      </c>
      <c r="AU592" s="122" t="s">
        <v>7027</v>
      </c>
      <c r="AV592" s="122" t="s">
        <v>24</v>
      </c>
      <c r="AW592" s="122" t="s">
        <v>7025</v>
      </c>
      <c r="AX592" s="121">
        <v>60</v>
      </c>
      <c r="AY592" s="121">
        <v>0.8</v>
      </c>
      <c r="AZ592" s="754" t="s">
        <v>1814</v>
      </c>
      <c r="BA592" s="122">
        <v>1</v>
      </c>
      <c r="BB592" s="122">
        <v>1</v>
      </c>
      <c r="BC592" s="122" t="s">
        <v>7049</v>
      </c>
      <c r="BD592" s="754" t="s">
        <v>7523</v>
      </c>
      <c r="BE592" s="754"/>
      <c r="BF592" s="122" t="s">
        <v>2912</v>
      </c>
      <c r="BG592" s="122" t="s">
        <v>6653</v>
      </c>
      <c r="BH592" s="588"/>
      <c r="BI592" s="588"/>
      <c r="BJ592" s="161">
        <v>1</v>
      </c>
      <c r="BK592" s="161">
        <v>1</v>
      </c>
      <c r="BL592" s="161"/>
      <c r="BM592" s="161"/>
      <c r="BN592" s="161"/>
      <c r="BO592" s="161"/>
      <c r="BP592" s="161">
        <v>1</v>
      </c>
      <c r="BQ592" s="161"/>
      <c r="BR592" s="161"/>
      <c r="BS592" s="161"/>
      <c r="BT592" s="161"/>
      <c r="BU592" s="161"/>
      <c r="BV592" s="161"/>
      <c r="BW592" s="596" t="s">
        <v>7056</v>
      </c>
      <c r="BX592" s="162" t="s">
        <v>6596</v>
      </c>
      <c r="BY592" s="797" t="s">
        <v>7615</v>
      </c>
      <c r="BZ592" s="790" t="s">
        <v>7610</v>
      </c>
      <c r="CA592" s="659">
        <v>2</v>
      </c>
      <c r="CB592" s="659" t="s">
        <v>7556</v>
      </c>
      <c r="CC592" s="659" t="s">
        <v>8243</v>
      </c>
      <c r="CD592" s="150" t="s">
        <v>1876</v>
      </c>
      <c r="CE592" s="150" t="s">
        <v>7029</v>
      </c>
      <c r="CF592" s="400" t="s">
        <v>7581</v>
      </c>
      <c r="CG592" s="150" t="s">
        <v>7042</v>
      </c>
      <c r="CH592" s="753" t="s">
        <v>7309</v>
      </c>
      <c r="CI592" s="150" t="s">
        <v>7026</v>
      </c>
      <c r="CJ592" s="150"/>
      <c r="CK592" s="150" t="s">
        <v>7063</v>
      </c>
      <c r="CL592" s="400" t="s">
        <v>8232</v>
      </c>
      <c r="CM592" s="258" t="s">
        <v>7055</v>
      </c>
      <c r="CN592" s="257" t="s">
        <v>6627</v>
      </c>
      <c r="CO592" s="829">
        <v>66</v>
      </c>
      <c r="CP592" s="829">
        <v>1</v>
      </c>
      <c r="CQ592" s="829">
        <v>3</v>
      </c>
      <c r="CR592" s="829">
        <v>1</v>
      </c>
      <c r="CS592" s="829">
        <v>-1</v>
      </c>
      <c r="CT592" s="968"/>
      <c r="CU592" s="1289" t="s">
        <v>8104</v>
      </c>
      <c r="CV592" s="1295">
        <v>118</v>
      </c>
      <c r="CW592" s="1295">
        <v>107</v>
      </c>
      <c r="CX592" s="151" t="s">
        <v>7034</v>
      </c>
      <c r="CY592" s="151">
        <v>1.8</v>
      </c>
      <c r="CZ592" s="150"/>
      <c r="DA592" s="150">
        <v>0.5</v>
      </c>
      <c r="DB592" s="150" t="s">
        <v>7035</v>
      </c>
      <c r="DC592" s="150">
        <v>0</v>
      </c>
      <c r="DD592" s="150" t="s">
        <v>24</v>
      </c>
      <c r="DE592" s="150">
        <v>0</v>
      </c>
      <c r="DF592" s="543" t="s">
        <v>7047</v>
      </c>
      <c r="DG592" s="545" t="s">
        <v>3790</v>
      </c>
      <c r="DH592" s="1166"/>
      <c r="DI592" s="1166"/>
      <c r="DJ592" s="1164"/>
      <c r="DK592" s="1164"/>
      <c r="DL592" s="1164"/>
      <c r="DM592" s="1164"/>
      <c r="DN592" s="1164"/>
      <c r="DO592" s="1164"/>
      <c r="DP592" s="290"/>
      <c r="DQ592" s="527"/>
      <c r="DR592" s="1168"/>
      <c r="DS592" s="865"/>
      <c r="DT592" s="1166"/>
      <c r="DU592" s="1166"/>
      <c r="DV592" s="1164"/>
      <c r="DW592" s="1164"/>
      <c r="DX592" s="1164"/>
      <c r="DY592" s="1164"/>
      <c r="DZ592" s="1164"/>
      <c r="EA592" s="1164"/>
      <c r="EB592" s="311"/>
      <c r="EC592" s="313"/>
      <c r="ED592" s="1166"/>
      <c r="EE592" s="1166"/>
      <c r="EF592" s="1164"/>
      <c r="EG592" s="1164"/>
      <c r="EH592" s="1164"/>
      <c r="EI592" s="1164"/>
      <c r="EJ592" s="1164"/>
      <c r="EK592" s="1164"/>
      <c r="EL592" s="311"/>
      <c r="EM592" s="313"/>
      <c r="EN592" s="1167"/>
      <c r="EO592" s="1165"/>
      <c r="EP592" s="1166"/>
      <c r="EQ592" s="1166"/>
      <c r="ER592" s="1164"/>
      <c r="ES592" s="1164"/>
      <c r="ET592" s="1164"/>
      <c r="EU592" s="1164"/>
      <c r="EV592" s="1164"/>
      <c r="EW592" s="1164"/>
      <c r="EX592" s="313"/>
      <c r="EY592" s="1201"/>
      <c r="EZ592" s="1166"/>
      <c r="FA592" s="1164"/>
      <c r="FB592" s="1164"/>
      <c r="FC592" s="1164"/>
      <c r="FD592" s="1166"/>
      <c r="FE592" s="1164"/>
      <c r="FF592" s="1164"/>
      <c r="FG592" s="1164"/>
      <c r="FH592" s="313"/>
      <c r="FI592" s="313"/>
      <c r="FJ592" s="1165"/>
    </row>
    <row r="593" spans="1:166" ht="14" hidden="1" customHeight="1">
      <c r="A593" s="1058" t="s">
        <v>981</v>
      </c>
      <c r="B593" s="1059">
        <v>204</v>
      </c>
      <c r="C593" s="1059"/>
      <c r="D593" s="1059">
        <v>80</v>
      </c>
      <c r="E593" s="1060" t="s">
        <v>2115</v>
      </c>
      <c r="F593" s="1061" t="s">
        <v>2374</v>
      </c>
      <c r="G593" s="1062">
        <v>2004</v>
      </c>
      <c r="H593" s="1058">
        <v>15036608</v>
      </c>
      <c r="I593" s="1058">
        <v>1</v>
      </c>
      <c r="J593" s="1058">
        <v>1</v>
      </c>
      <c r="K593" s="1058"/>
      <c r="L593" s="1058">
        <v>1</v>
      </c>
      <c r="M593" s="1058"/>
      <c r="N593" s="1058">
        <v>1</v>
      </c>
      <c r="O593" s="1063">
        <v>2</v>
      </c>
      <c r="P593" s="1058" t="s">
        <v>1553</v>
      </c>
      <c r="Q593" s="1058" t="s">
        <v>1552</v>
      </c>
      <c r="R593" s="1058" t="s">
        <v>1229</v>
      </c>
      <c r="S593" s="1058"/>
      <c r="T593" s="1058" t="s">
        <v>1498</v>
      </c>
      <c r="U593" s="1058" t="s">
        <v>803</v>
      </c>
      <c r="V593" s="1058"/>
      <c r="W593" s="1058" t="s">
        <v>1682</v>
      </c>
      <c r="X593" s="1058"/>
      <c r="Y593" s="1058"/>
      <c r="Z593" s="1058"/>
      <c r="AA593" s="1058"/>
      <c r="AB593" s="1058"/>
      <c r="AC593" s="1064" t="s">
        <v>6280</v>
      </c>
      <c r="AD593" s="1065">
        <v>1</v>
      </c>
      <c r="AE593" s="1065">
        <v>1</v>
      </c>
      <c r="AF593" s="1066">
        <v>1</v>
      </c>
      <c r="AG593" s="1067" t="s">
        <v>7066</v>
      </c>
      <c r="AH593" s="1068"/>
      <c r="AI593" s="1064">
        <v>4</v>
      </c>
      <c r="AJ593" s="1069"/>
      <c r="AK593" s="1070" t="s">
        <v>7070</v>
      </c>
      <c r="AL593" s="1071" t="s">
        <v>7052</v>
      </c>
      <c r="AM593" s="1072" t="s">
        <v>7028</v>
      </c>
      <c r="AN593" s="1064">
        <f>Table66[[#This Row],[Data_Subjects_n_ptsd]]+Table66[[#This Row],[Data_Subjects_n_control]]</f>
        <v>42</v>
      </c>
      <c r="AO593" s="1064">
        <v>21</v>
      </c>
      <c r="AP593" s="1064">
        <v>21</v>
      </c>
      <c r="AQ593" s="1064" t="s">
        <v>803</v>
      </c>
      <c r="AR593" s="1064" t="s">
        <v>803</v>
      </c>
      <c r="AS593" s="1064" t="s">
        <v>7027</v>
      </c>
      <c r="AT593" s="1064" t="s">
        <v>24</v>
      </c>
      <c r="AU593" s="1064" t="s">
        <v>7027</v>
      </c>
      <c r="AV593" s="1064" t="s">
        <v>24</v>
      </c>
      <c r="AW593" s="1064" t="s">
        <v>7025</v>
      </c>
      <c r="AX593" s="1064">
        <v>60</v>
      </c>
      <c r="AY593" s="1064">
        <v>0.8</v>
      </c>
      <c r="AZ593" s="1064" t="s">
        <v>1814</v>
      </c>
      <c r="BA593" s="1064">
        <v>1</v>
      </c>
      <c r="BB593" s="1064">
        <v>1</v>
      </c>
      <c r="BC593" s="1064" t="s">
        <v>7049</v>
      </c>
      <c r="BD593" s="1064" t="s">
        <v>7523</v>
      </c>
      <c r="BE593" s="1064"/>
      <c r="BF593" s="1064" t="s">
        <v>2912</v>
      </c>
      <c r="BG593" s="1064" t="s">
        <v>6653</v>
      </c>
      <c r="BH593" s="1073"/>
      <c r="BI593" s="1073"/>
      <c r="BJ593" s="1074">
        <v>1</v>
      </c>
      <c r="BK593" s="1074">
        <v>1</v>
      </c>
      <c r="BL593" s="1074"/>
      <c r="BM593" s="1074"/>
      <c r="BN593" s="1074"/>
      <c r="BO593" s="1074"/>
      <c r="BP593" s="1074">
        <v>1</v>
      </c>
      <c r="BQ593" s="1074"/>
      <c r="BR593" s="1074"/>
      <c r="BS593" s="1074"/>
      <c r="BT593" s="1074"/>
      <c r="BU593" s="1074"/>
      <c r="BV593" s="1074"/>
      <c r="BW593" s="1075" t="s">
        <v>7056</v>
      </c>
      <c r="BX593" s="1076" t="s">
        <v>6596</v>
      </c>
      <c r="BY593" s="1077" t="s">
        <v>7615</v>
      </c>
      <c r="BZ593" s="1078" t="s">
        <v>7610</v>
      </c>
      <c r="CA593" s="1091">
        <v>2</v>
      </c>
      <c r="CB593" s="1091" t="s">
        <v>7556</v>
      </c>
      <c r="CC593" s="1091" t="s">
        <v>8243</v>
      </c>
      <c r="CD593" s="1079" t="s">
        <v>1876</v>
      </c>
      <c r="CE593" s="1079" t="s">
        <v>7029</v>
      </c>
      <c r="CF593" s="1079" t="s">
        <v>7581</v>
      </c>
      <c r="CG593" s="1079" t="s">
        <v>7042</v>
      </c>
      <c r="CH593" s="1079" t="s">
        <v>7309</v>
      </c>
      <c r="CI593" s="1079" t="s">
        <v>7026</v>
      </c>
      <c r="CJ593" s="1079"/>
      <c r="CK593" s="1079" t="s">
        <v>8033</v>
      </c>
      <c r="CL593" s="1385" t="s">
        <v>8242</v>
      </c>
      <c r="CM593" s="1080" t="s">
        <v>7055</v>
      </c>
      <c r="CN593" s="1081" t="s">
        <v>6627</v>
      </c>
      <c r="CO593" s="1082">
        <v>66</v>
      </c>
      <c r="CP593" s="1082">
        <v>1</v>
      </c>
      <c r="CQ593" s="1082">
        <v>4</v>
      </c>
      <c r="CR593" s="1082">
        <v>1</v>
      </c>
      <c r="CS593" s="1082">
        <v>-1</v>
      </c>
      <c r="CT593" s="1083"/>
      <c r="CU593" s="1289" t="s">
        <v>8104</v>
      </c>
      <c r="CV593" s="1295">
        <v>118</v>
      </c>
      <c r="CW593" s="1295">
        <v>107</v>
      </c>
      <c r="CX593" s="151" t="s">
        <v>7036</v>
      </c>
      <c r="CY593" s="151">
        <v>28.8</v>
      </c>
      <c r="CZ593" s="150" t="s">
        <v>24</v>
      </c>
      <c r="DA593" s="150">
        <v>4.7</v>
      </c>
      <c r="DB593" s="150" t="s">
        <v>7045</v>
      </c>
      <c r="DC593" s="150">
        <v>11.1</v>
      </c>
      <c r="DD593" s="150" t="s">
        <v>24</v>
      </c>
      <c r="DE593" s="150">
        <v>1.4</v>
      </c>
      <c r="DF593" s="302" t="s">
        <v>7054</v>
      </c>
      <c r="DG593" s="303" t="s">
        <v>7046</v>
      </c>
      <c r="DH593" s="1197"/>
      <c r="DI593" s="1197"/>
      <c r="DJ593" s="1093"/>
      <c r="DK593" s="1093"/>
      <c r="DL593" s="1093"/>
      <c r="DM593" s="1093"/>
      <c r="DN593" s="1093"/>
      <c r="DO593" s="1093"/>
      <c r="DP593" s="1085"/>
      <c r="DQ593" s="1092"/>
      <c r="DR593" s="1199"/>
      <c r="DS593" s="1200"/>
      <c r="DT593" s="1197"/>
      <c r="DU593" s="1197"/>
      <c r="DV593" s="1093"/>
      <c r="DW593" s="1093"/>
      <c r="DX593" s="1093"/>
      <c r="DY593" s="1093"/>
      <c r="DZ593" s="1093"/>
      <c r="EA593" s="1093"/>
      <c r="EB593" s="1086"/>
      <c r="EC593" s="1087"/>
      <c r="ED593" s="1197"/>
      <c r="EE593" s="1197"/>
      <c r="EF593" s="1093"/>
      <c r="EG593" s="1093"/>
      <c r="EH593" s="1093"/>
      <c r="EI593" s="1093"/>
      <c r="EJ593" s="1093"/>
      <c r="EK593" s="1093"/>
      <c r="EL593" s="1086"/>
      <c r="EM593" s="1087"/>
      <c r="EN593" s="1199"/>
      <c r="EO593" s="1196"/>
      <c r="EP593" s="1197"/>
      <c r="EQ593" s="1197"/>
      <c r="ER593" s="1093"/>
      <c r="ES593" s="1093"/>
      <c r="ET593" s="1093"/>
      <c r="EU593" s="1093"/>
      <c r="EV593" s="1093"/>
      <c r="EW593" s="1093"/>
      <c r="EX593" s="1087"/>
      <c r="EY593" s="1198"/>
      <c r="EZ593" s="1197"/>
      <c r="FA593" s="1093"/>
      <c r="FB593" s="1093"/>
      <c r="FC593" s="1093"/>
      <c r="FD593" s="1197"/>
      <c r="FE593" s="1093"/>
      <c r="FF593" s="1093"/>
      <c r="FG593" s="1093"/>
      <c r="FH593" s="1087"/>
      <c r="FI593" s="1087"/>
      <c r="FJ593" s="1196"/>
    </row>
    <row r="594" spans="1:166" s="1089" customFormat="1" ht="14" hidden="1" customHeight="1">
      <c r="A594" s="153" t="s">
        <v>283</v>
      </c>
      <c r="B594" s="618">
        <v>57</v>
      </c>
      <c r="C594" s="618"/>
      <c r="D594" s="618">
        <v>1</v>
      </c>
      <c r="E594" s="610" t="s">
        <v>2012</v>
      </c>
      <c r="F594" s="368" t="s">
        <v>2244</v>
      </c>
      <c r="G594" s="369">
        <v>2016</v>
      </c>
      <c r="H594" s="153">
        <v>27459209</v>
      </c>
      <c r="I594" s="153">
        <v>1</v>
      </c>
      <c r="J594" s="370"/>
      <c r="K594" s="371"/>
      <c r="L594" s="153">
        <v>1</v>
      </c>
      <c r="M594" s="153"/>
      <c r="N594" s="153">
        <v>1</v>
      </c>
      <c r="O594" s="153">
        <v>1</v>
      </c>
      <c r="P594" s="153" t="s">
        <v>742</v>
      </c>
      <c r="Q594" s="153" t="s">
        <v>1188</v>
      </c>
      <c r="R594" s="153" t="s">
        <v>25</v>
      </c>
      <c r="S594" s="153">
        <v>1</v>
      </c>
      <c r="T594" s="153"/>
      <c r="U594" s="153"/>
      <c r="V594" s="153"/>
      <c r="W594" s="153" t="s">
        <v>743</v>
      </c>
      <c r="X594" s="153" t="s">
        <v>24</v>
      </c>
      <c r="Y594" s="153" t="s">
        <v>24</v>
      </c>
      <c r="Z594" s="153"/>
      <c r="AA594" s="153"/>
      <c r="AB594" s="153"/>
      <c r="AC594" s="536"/>
      <c r="AD594" s="536">
        <v>1</v>
      </c>
      <c r="AE594" s="536">
        <v>1</v>
      </c>
      <c r="AF594" s="165">
        <v>0</v>
      </c>
      <c r="AG594" s="166" t="s">
        <v>7245</v>
      </c>
      <c r="AH594" s="509" t="s">
        <v>7283</v>
      </c>
      <c r="AI594" s="120">
        <v>2</v>
      </c>
      <c r="AJ594" s="120"/>
      <c r="AK594" s="206"/>
      <c r="AL594" s="372"/>
      <c r="AM594" s="207"/>
      <c r="AN594" s="120"/>
      <c r="AO594" s="120"/>
      <c r="AP594" s="120"/>
      <c r="AQ594" s="120"/>
      <c r="AR594" s="120"/>
      <c r="AS594" s="120"/>
      <c r="AT594" s="120"/>
      <c r="AU594" s="120"/>
      <c r="AV594" s="120"/>
      <c r="AW594" s="120"/>
      <c r="AX594" s="120"/>
      <c r="AY594" s="120"/>
      <c r="AZ594" s="755"/>
      <c r="BA594" s="120"/>
      <c r="BB594" s="120"/>
      <c r="BC594" s="120"/>
      <c r="BD594" s="755"/>
      <c r="BE594" s="755"/>
      <c r="BF594" s="120"/>
      <c r="BG594" s="120"/>
      <c r="BH594" s="377"/>
      <c r="BI594" s="377"/>
      <c r="BJ594" s="373"/>
      <c r="BK594" s="373"/>
      <c r="BL594" s="373"/>
      <c r="BM594" s="373"/>
      <c r="BN594" s="373"/>
      <c r="BO594" s="373"/>
      <c r="BP594" s="373" t="s">
        <v>6160</v>
      </c>
      <c r="BQ594" s="373"/>
      <c r="BR594" s="373"/>
      <c r="BS594" s="373" t="s">
        <v>5545</v>
      </c>
      <c r="BT594" s="373"/>
      <c r="BU594" s="373"/>
      <c r="BV594" s="373"/>
      <c r="BW594" s="599" t="s">
        <v>6157</v>
      </c>
      <c r="BX594" s="374"/>
      <c r="BY594" s="374"/>
      <c r="BZ594" s="374"/>
      <c r="CA594" s="510"/>
      <c r="CB594" s="510"/>
      <c r="CC594" s="510"/>
      <c r="CD594" s="120"/>
      <c r="CE594" s="120"/>
      <c r="CF594" s="120"/>
      <c r="CG594" s="120"/>
      <c r="CH594" s="755"/>
      <c r="CI594" s="120"/>
      <c r="CJ594" s="120"/>
      <c r="CK594" s="120"/>
      <c r="CL594" s="120"/>
      <c r="CM594" s="375" t="s">
        <v>24</v>
      </c>
      <c r="CN594" s="380"/>
      <c r="CO594" s="380"/>
      <c r="CP594" s="380"/>
      <c r="CQ594" s="380"/>
      <c r="CR594" s="380"/>
      <c r="CS594" s="380"/>
      <c r="CT594" s="380"/>
      <c r="CU594" s="380"/>
      <c r="CV594" s="380"/>
      <c r="CW594" s="380"/>
      <c r="CX594" s="376"/>
      <c r="CY594" s="120"/>
      <c r="CZ594" s="120"/>
      <c r="DA594" s="120"/>
      <c r="DB594" s="376"/>
      <c r="DC594" s="120"/>
      <c r="DD594" s="120"/>
      <c r="DE594" s="120"/>
      <c r="DF594" s="621"/>
      <c r="DG594" s="509"/>
      <c r="DH594" s="384"/>
      <c r="DI594" s="384"/>
      <c r="DJ594" s="384"/>
      <c r="DK594" s="384"/>
      <c r="DL594" s="384"/>
      <c r="DM594" s="384"/>
      <c r="DN594" s="384"/>
      <c r="DO594" s="384"/>
      <c r="DP594" s="375"/>
      <c r="DQ594" s="377"/>
      <c r="DR594" s="1182"/>
      <c r="DS594" s="956"/>
      <c r="DT594" s="727"/>
      <c r="DU594" s="384"/>
      <c r="DV594" s="384"/>
      <c r="DW594" s="384"/>
      <c r="DX594" s="384"/>
      <c r="DY594" s="384"/>
      <c r="DZ594" s="384"/>
      <c r="EA594" s="384"/>
      <c r="EB594" s="380"/>
      <c r="EC594" s="120"/>
      <c r="ED594" s="384"/>
      <c r="EE594" s="384"/>
      <c r="EF594" s="384"/>
      <c r="EG594" s="384"/>
      <c r="EH594" s="384"/>
      <c r="EI594" s="384"/>
      <c r="EJ594" s="384"/>
      <c r="EK594" s="384"/>
      <c r="EL594" s="380"/>
      <c r="EM594" s="120"/>
      <c r="EN594" s="1012"/>
      <c r="EO594" s="384"/>
      <c r="EP594" s="384"/>
      <c r="EQ594" s="384"/>
      <c r="ER594" s="384"/>
      <c r="ES594" s="384"/>
      <c r="ET594" s="727"/>
      <c r="EU594" s="384"/>
      <c r="EV594" s="384"/>
      <c r="EW594" s="384"/>
      <c r="EX594" s="384"/>
      <c r="EY594" s="384"/>
      <c r="EZ594" s="727"/>
      <c r="FA594" s="384"/>
      <c r="FB594" s="384"/>
      <c r="FC594" s="384"/>
      <c r="FD594" s="727"/>
      <c r="FE594" s="384"/>
      <c r="FF594" s="384"/>
      <c r="FG594" s="384"/>
      <c r="FH594" s="384"/>
      <c r="FI594" s="384"/>
      <c r="FJ594" s="384"/>
    </row>
    <row r="595" spans="1:166" ht="14" hidden="1" customHeight="1">
      <c r="A595" s="153" t="s">
        <v>287</v>
      </c>
      <c r="B595" s="618">
        <v>205</v>
      </c>
      <c r="C595" s="618">
        <v>72</v>
      </c>
      <c r="D595" s="618"/>
      <c r="E595" s="610" t="s">
        <v>2013</v>
      </c>
      <c r="F595" s="368" t="s">
        <v>2245</v>
      </c>
      <c r="G595" s="369">
        <v>2016</v>
      </c>
      <c r="H595" s="153">
        <v>27353125</v>
      </c>
      <c r="I595" s="153">
        <v>1</v>
      </c>
      <c r="J595" s="370"/>
      <c r="K595" s="371"/>
      <c r="L595" s="153">
        <v>1</v>
      </c>
      <c r="M595" s="153"/>
      <c r="N595" s="153">
        <v>1</v>
      </c>
      <c r="O595" s="153">
        <v>1</v>
      </c>
      <c r="P595" s="153" t="s">
        <v>612</v>
      </c>
      <c r="Q595" s="153" t="s">
        <v>1147</v>
      </c>
      <c r="R595" s="153" t="s">
        <v>25</v>
      </c>
      <c r="S595" s="153">
        <v>1</v>
      </c>
      <c r="T595" s="153"/>
      <c r="U595" s="153"/>
      <c r="V595" s="153"/>
      <c r="W595" s="153" t="s">
        <v>750</v>
      </c>
      <c r="X595" s="153"/>
      <c r="Y595" s="153"/>
      <c r="Z595" s="153"/>
      <c r="AA595" s="153"/>
      <c r="AB595" s="153"/>
      <c r="AC595" s="536"/>
      <c r="AD595" s="536">
        <v>1</v>
      </c>
      <c r="AE595" s="536">
        <v>2</v>
      </c>
      <c r="AF595" s="165">
        <v>0</v>
      </c>
      <c r="AG595" s="166" t="s">
        <v>7607</v>
      </c>
      <c r="AH595" s="509" t="s">
        <v>7518</v>
      </c>
      <c r="AI595" s="120">
        <v>2</v>
      </c>
      <c r="AJ595" s="120" t="s">
        <v>5456</v>
      </c>
      <c r="AK595" s="206" t="s">
        <v>5460</v>
      </c>
      <c r="AL595" s="372">
        <v>1</v>
      </c>
      <c r="AM595" s="207">
        <v>0</v>
      </c>
      <c r="AN595" s="120">
        <f>Table66[[#This Row],[Data_Subjects_n_ptsd]]+Table66[[#This Row],[Data_Subjects_n_control]]</f>
        <v>78</v>
      </c>
      <c r="AO595" s="120">
        <v>40</v>
      </c>
      <c r="AP595" s="120">
        <v>38</v>
      </c>
      <c r="AQ595" s="120" t="s">
        <v>5457</v>
      </c>
      <c r="AR595" s="120" t="s">
        <v>5458</v>
      </c>
      <c r="AS595" s="120">
        <v>35.200000000000003</v>
      </c>
      <c r="AT595" s="120">
        <v>9.8000000000000007</v>
      </c>
      <c r="AU595" s="120">
        <v>32.9</v>
      </c>
      <c r="AV595" s="120">
        <v>8.9</v>
      </c>
      <c r="AW595" s="120" t="s">
        <v>1874</v>
      </c>
      <c r="AX595" s="120"/>
      <c r="AY595" s="120"/>
      <c r="AZ595" s="755" t="s">
        <v>1874</v>
      </c>
      <c r="BA595" s="120" t="s">
        <v>24</v>
      </c>
      <c r="BB595" s="120" t="s">
        <v>24</v>
      </c>
      <c r="BC595" s="120" t="s">
        <v>2423</v>
      </c>
      <c r="BD595" s="755" t="s">
        <v>7521</v>
      </c>
      <c r="BE595" s="755"/>
      <c r="BF595" s="120" t="s">
        <v>3835</v>
      </c>
      <c r="BG595" s="120" t="s">
        <v>5459</v>
      </c>
      <c r="BH595" s="377"/>
      <c r="BI595" s="377"/>
      <c r="BJ595" s="373"/>
      <c r="BK595" s="373"/>
      <c r="BL595" s="373"/>
      <c r="BM595" s="373"/>
      <c r="BN595" s="373"/>
      <c r="BO595" s="373"/>
      <c r="BP595" s="373">
        <v>1</v>
      </c>
      <c r="BQ595" s="373"/>
      <c r="BR595" s="373"/>
      <c r="BS595" s="373"/>
      <c r="BT595" s="373"/>
      <c r="BU595" s="373"/>
      <c r="BV595" s="373"/>
      <c r="BW595" s="599" t="s">
        <v>5479</v>
      </c>
      <c r="BX595" s="374" t="s">
        <v>6622</v>
      </c>
      <c r="BY595" s="374"/>
      <c r="BZ595" s="374"/>
      <c r="CA595" s="775">
        <v>2</v>
      </c>
      <c r="CB595" s="511" t="s">
        <v>7556</v>
      </c>
      <c r="CC595" s="775" t="s">
        <v>24</v>
      </c>
      <c r="CD595" s="120" t="s">
        <v>1876</v>
      </c>
      <c r="CE595" s="120">
        <v>2</v>
      </c>
      <c r="CF595" s="786"/>
      <c r="CG595" s="120" t="s">
        <v>5475</v>
      </c>
      <c r="CH595" s="755"/>
      <c r="CI595" s="120" t="s">
        <v>24</v>
      </c>
      <c r="CJ595" s="120"/>
      <c r="CK595" s="120" t="s">
        <v>5480</v>
      </c>
      <c r="CL595" s="120"/>
      <c r="CM595" s="375" t="s">
        <v>5495</v>
      </c>
      <c r="CN595" s="380" t="s">
        <v>6631</v>
      </c>
      <c r="CO595" s="380"/>
      <c r="CP595" s="380"/>
      <c r="CQ595" s="380"/>
      <c r="CR595" s="380"/>
      <c r="CS595" s="380"/>
      <c r="CT595" s="380"/>
      <c r="CU595" s="380"/>
      <c r="CV595" s="380"/>
      <c r="CW595" s="380"/>
      <c r="CX595" s="376" t="s">
        <v>5463</v>
      </c>
      <c r="CY595" s="120">
        <v>40.5</v>
      </c>
      <c r="CZ595" s="120">
        <v>8</v>
      </c>
      <c r="DA595" s="120" t="s">
        <v>24</v>
      </c>
      <c r="DB595" s="376" t="s">
        <v>5464</v>
      </c>
      <c r="DC595" s="120">
        <v>44.2</v>
      </c>
      <c r="DD595" s="120">
        <v>3.5</v>
      </c>
      <c r="DE595" s="120" t="s">
        <v>24</v>
      </c>
      <c r="DF595" s="515" t="s">
        <v>4742</v>
      </c>
      <c r="DG595" s="513" t="s">
        <v>5461</v>
      </c>
      <c r="DH595" s="376" t="s">
        <v>5462</v>
      </c>
      <c r="DI595" s="384">
        <v>7.3</v>
      </c>
      <c r="DJ595" s="384">
        <v>1.7</v>
      </c>
      <c r="DK595" s="384" t="s">
        <v>24</v>
      </c>
      <c r="DL595" s="376" t="s">
        <v>5465</v>
      </c>
      <c r="DM595" s="384">
        <v>7.8</v>
      </c>
      <c r="DN595" s="384">
        <v>0.6</v>
      </c>
      <c r="DO595" s="384" t="s">
        <v>24</v>
      </c>
      <c r="DP595" s="375" t="s">
        <v>5468</v>
      </c>
      <c r="DQ595" s="377" t="s">
        <v>5469</v>
      </c>
      <c r="DR595" s="1182" t="s">
        <v>24</v>
      </c>
      <c r="DS595" s="956" t="s">
        <v>24</v>
      </c>
      <c r="DT595" s="727" t="s">
        <v>5466</v>
      </c>
      <c r="DU595" s="384">
        <v>6.3</v>
      </c>
      <c r="DV595" s="384">
        <v>1.4</v>
      </c>
      <c r="DW595" s="384" t="s">
        <v>24</v>
      </c>
      <c r="DX595" s="727" t="s">
        <v>5467</v>
      </c>
      <c r="DY595" s="384">
        <v>7</v>
      </c>
      <c r="DZ595" s="384">
        <v>1</v>
      </c>
      <c r="EA595" s="384" t="s">
        <v>24</v>
      </c>
      <c r="EB595" s="1012" t="s">
        <v>5470</v>
      </c>
      <c r="EC595" s="384" t="s">
        <v>5471</v>
      </c>
      <c r="ED595" s="384" t="s">
        <v>5481</v>
      </c>
      <c r="EE595" s="384">
        <v>0.6</v>
      </c>
      <c r="EF595" s="384">
        <v>1</v>
      </c>
      <c r="EG595" s="384" t="s">
        <v>24</v>
      </c>
      <c r="EH595" s="384" t="s">
        <v>5485</v>
      </c>
      <c r="EI595" s="384">
        <v>0.2</v>
      </c>
      <c r="EJ595" s="384">
        <v>0.5</v>
      </c>
      <c r="EK595" s="384" t="s">
        <v>24</v>
      </c>
      <c r="EL595" s="1012" t="s">
        <v>5490</v>
      </c>
      <c r="EM595" s="1012" t="s">
        <v>5489</v>
      </c>
      <c r="EN595" s="1012" t="s">
        <v>24</v>
      </c>
      <c r="EO595" s="384" t="s">
        <v>24</v>
      </c>
      <c r="EP595" s="1254" t="s">
        <v>5482</v>
      </c>
      <c r="EQ595" s="384">
        <v>0.5</v>
      </c>
      <c r="ER595" s="384">
        <v>0.7</v>
      </c>
      <c r="ES595" s="384" t="s">
        <v>24</v>
      </c>
      <c r="ET595" s="1254" t="s">
        <v>5486</v>
      </c>
      <c r="EU595" s="384">
        <v>0.2</v>
      </c>
      <c r="EV595" s="384">
        <v>0.5</v>
      </c>
      <c r="EW595" s="384" t="s">
        <v>24</v>
      </c>
      <c r="EX595" s="384" t="s">
        <v>5379</v>
      </c>
      <c r="EY595" s="384" t="s">
        <v>5491</v>
      </c>
      <c r="EZ595" s="384" t="s">
        <v>5483</v>
      </c>
      <c r="FA595" s="384">
        <v>0.4</v>
      </c>
      <c r="FB595" s="384">
        <v>0.6</v>
      </c>
      <c r="FC595" s="384" t="s">
        <v>24</v>
      </c>
      <c r="FD595" s="384" t="s">
        <v>5487</v>
      </c>
      <c r="FE595" s="384">
        <v>0.4</v>
      </c>
      <c r="FF595" s="384">
        <v>0.6</v>
      </c>
      <c r="FG595" s="384" t="s">
        <v>24</v>
      </c>
      <c r="FH595" s="384" t="s">
        <v>5379</v>
      </c>
      <c r="FI595" s="384" t="s">
        <v>5492</v>
      </c>
      <c r="FJ595" s="384" t="s">
        <v>24</v>
      </c>
    </row>
    <row r="596" spans="1:166" ht="14" hidden="1" customHeight="1">
      <c r="A596" s="158" t="s">
        <v>287</v>
      </c>
      <c r="B596" s="1094">
        <v>205</v>
      </c>
      <c r="C596" s="1094">
        <v>72</v>
      </c>
      <c r="D596" s="1094"/>
      <c r="E596" s="1095" t="s">
        <v>2013</v>
      </c>
      <c r="F596" s="711" t="s">
        <v>2245</v>
      </c>
      <c r="G596" s="1096">
        <v>2016</v>
      </c>
      <c r="H596" s="158">
        <v>27353125</v>
      </c>
      <c r="I596" s="158">
        <v>1</v>
      </c>
      <c r="J596" s="158"/>
      <c r="K596" s="158"/>
      <c r="L596" s="158">
        <v>1</v>
      </c>
      <c r="M596" s="158"/>
      <c r="N596" s="158">
        <v>1</v>
      </c>
      <c r="O596" s="158">
        <v>1</v>
      </c>
      <c r="P596" s="158" t="s">
        <v>612</v>
      </c>
      <c r="Q596" s="158" t="s">
        <v>1147</v>
      </c>
      <c r="R596" s="158" t="s">
        <v>25</v>
      </c>
      <c r="S596" s="158">
        <v>1</v>
      </c>
      <c r="T596" s="158"/>
      <c r="U596" s="158"/>
      <c r="V596" s="158"/>
      <c r="W596" s="158" t="s">
        <v>750</v>
      </c>
      <c r="X596" s="158"/>
      <c r="Y596" s="158"/>
      <c r="Z596" s="158"/>
      <c r="AA596" s="158"/>
      <c r="AB596" s="158"/>
      <c r="AC596" s="800"/>
      <c r="AD596" s="536">
        <v>1</v>
      </c>
      <c r="AE596" s="536">
        <v>2</v>
      </c>
      <c r="AF596" s="743">
        <v>0</v>
      </c>
      <c r="AG596" s="166" t="s">
        <v>7607</v>
      </c>
      <c r="AH596" s="509" t="s">
        <v>7518</v>
      </c>
      <c r="AI596" s="734">
        <v>2</v>
      </c>
      <c r="AJ596" s="734" t="s">
        <v>5456</v>
      </c>
      <c r="AK596" s="739" t="s">
        <v>5460</v>
      </c>
      <c r="AL596" s="372">
        <v>1</v>
      </c>
      <c r="AM596" s="724">
        <v>0</v>
      </c>
      <c r="AN596" s="734">
        <f>Table66[[#This Row],[Data_Subjects_n_ptsd]]+Table66[[#This Row],[Data_Subjects_n_control]]</f>
        <v>78</v>
      </c>
      <c r="AO596" s="734">
        <v>40</v>
      </c>
      <c r="AP596" s="734">
        <v>38</v>
      </c>
      <c r="AQ596" s="734" t="s">
        <v>5457</v>
      </c>
      <c r="AR596" s="734" t="s">
        <v>5458</v>
      </c>
      <c r="AS596" s="734">
        <v>35.200000000000003</v>
      </c>
      <c r="AT596" s="734">
        <v>9.8000000000000007</v>
      </c>
      <c r="AU596" s="734">
        <v>32.9</v>
      </c>
      <c r="AV596" s="734">
        <v>8.9</v>
      </c>
      <c r="AW596" s="734" t="s">
        <v>1874</v>
      </c>
      <c r="AX596" s="734"/>
      <c r="AY596" s="734"/>
      <c r="AZ596" s="755" t="s">
        <v>1874</v>
      </c>
      <c r="BA596" s="734" t="s">
        <v>24</v>
      </c>
      <c r="BB596" s="734" t="s">
        <v>24</v>
      </c>
      <c r="BC596" s="734" t="s">
        <v>2423</v>
      </c>
      <c r="BD596" s="755" t="s">
        <v>7521</v>
      </c>
      <c r="BE596" s="755"/>
      <c r="BF596" s="734" t="s">
        <v>3835</v>
      </c>
      <c r="BG596" s="734" t="s">
        <v>5459</v>
      </c>
      <c r="BH596" s="372"/>
      <c r="BI596" s="372"/>
      <c r="BJ596" s="735"/>
      <c r="BK596" s="735"/>
      <c r="BL596" s="735"/>
      <c r="BM596" s="735"/>
      <c r="BN596" s="735"/>
      <c r="BO596" s="735"/>
      <c r="BP596" s="735">
        <v>1</v>
      </c>
      <c r="BQ596" s="735"/>
      <c r="BR596" s="735"/>
      <c r="BS596" s="735"/>
      <c r="BT596" s="735"/>
      <c r="BU596" s="735"/>
      <c r="BV596" s="735"/>
      <c r="BW596" s="735" t="s">
        <v>5478</v>
      </c>
      <c r="BX596" s="736" t="s">
        <v>6623</v>
      </c>
      <c r="BY596" s="736"/>
      <c r="BZ596" s="736"/>
      <c r="CA596" s="775">
        <v>2</v>
      </c>
      <c r="CB596" s="511" t="s">
        <v>7556</v>
      </c>
      <c r="CC596" s="775" t="s">
        <v>24</v>
      </c>
      <c r="CD596" s="734" t="s">
        <v>1876</v>
      </c>
      <c r="CE596" s="734">
        <v>2</v>
      </c>
      <c r="CF596" s="786"/>
      <c r="CG596" s="734" t="s">
        <v>5476</v>
      </c>
      <c r="CH596" s="755"/>
      <c r="CI596" s="734" t="s">
        <v>24</v>
      </c>
      <c r="CJ596" s="734"/>
      <c r="CK596" s="734" t="s">
        <v>5494</v>
      </c>
      <c r="CL596" s="734"/>
      <c r="CM596" s="737" t="s">
        <v>5477</v>
      </c>
      <c r="CN596" s="738">
        <v>0</v>
      </c>
      <c r="CO596" s="738"/>
      <c r="CP596" s="738"/>
      <c r="CQ596" s="738"/>
      <c r="CR596" s="738"/>
      <c r="CS596" s="738"/>
      <c r="CT596" s="738"/>
      <c r="CU596" s="738"/>
      <c r="CV596" s="738"/>
      <c r="CW596" s="738"/>
      <c r="CX596" s="734" t="s">
        <v>5472</v>
      </c>
      <c r="CY596" s="734">
        <v>7.9</v>
      </c>
      <c r="CZ596" s="734">
        <v>0.4</v>
      </c>
      <c r="DA596" s="734" t="s">
        <v>24</v>
      </c>
      <c r="DB596" s="734" t="s">
        <v>5473</v>
      </c>
      <c r="DC596" s="734">
        <v>7.9</v>
      </c>
      <c r="DD596" s="734">
        <v>0.3</v>
      </c>
      <c r="DE596" s="734" t="s">
        <v>24</v>
      </c>
      <c r="DF596" s="515" t="s">
        <v>5379</v>
      </c>
      <c r="DG596" s="513" t="s">
        <v>5474</v>
      </c>
      <c r="DH596" s="376" t="s">
        <v>24</v>
      </c>
      <c r="DI596" s="384" t="s">
        <v>24</v>
      </c>
      <c r="DJ596" s="384" t="s">
        <v>24</v>
      </c>
      <c r="DK596" s="384" t="s">
        <v>24</v>
      </c>
      <c r="DL596" s="120" t="s">
        <v>24</v>
      </c>
      <c r="DM596" s="384" t="s">
        <v>24</v>
      </c>
      <c r="DN596" s="384" t="s">
        <v>24</v>
      </c>
      <c r="DO596" s="384" t="s">
        <v>24</v>
      </c>
      <c r="DP596" s="737"/>
      <c r="DQ596" s="372"/>
      <c r="DR596" s="1182"/>
      <c r="DS596" s="956"/>
      <c r="DT596" s="1180"/>
      <c r="DU596" s="778"/>
      <c r="DV596" s="778"/>
      <c r="DW596" s="778"/>
      <c r="DX596" s="1180"/>
      <c r="DY596" s="778"/>
      <c r="DZ596" s="778"/>
      <c r="EA596" s="778"/>
      <c r="EB596" s="1181"/>
      <c r="EC596" s="778"/>
      <c r="ED596" s="1253"/>
      <c r="EE596" s="1253"/>
      <c r="EF596" s="778"/>
      <c r="EG596" s="778"/>
      <c r="EH596" s="778"/>
      <c r="EI596" s="778"/>
      <c r="EJ596" s="778"/>
      <c r="EK596" s="778"/>
      <c r="EL596" s="1181"/>
      <c r="EM596" s="778"/>
      <c r="EN596" s="1181" t="s">
        <v>24</v>
      </c>
      <c r="EO596" s="778" t="s">
        <v>24</v>
      </c>
      <c r="EP596" s="778"/>
      <c r="EQ596" s="778"/>
      <c r="ER596" s="778"/>
      <c r="ES596" s="778"/>
      <c r="ET596" s="1180"/>
      <c r="EU596" s="778"/>
      <c r="EV596" s="778"/>
      <c r="EW596" s="778"/>
      <c r="EX596" s="778"/>
      <c r="EY596" s="778"/>
      <c r="EZ596" s="1180"/>
      <c r="FA596" s="778"/>
      <c r="FB596" s="778"/>
      <c r="FC596" s="778"/>
      <c r="FD596" s="1180"/>
      <c r="FE596" s="778"/>
      <c r="FF596" s="778"/>
      <c r="FG596" s="778"/>
      <c r="FH596" s="778"/>
      <c r="FI596" s="778"/>
      <c r="FJ596" s="778"/>
    </row>
    <row r="597" spans="1:166" ht="14" hidden="1" customHeight="1">
      <c r="A597" s="79" t="s">
        <v>288</v>
      </c>
      <c r="B597" s="362">
        <v>206</v>
      </c>
      <c r="C597" s="362"/>
      <c r="D597" s="362">
        <v>81</v>
      </c>
      <c r="E597" s="604" t="s">
        <v>2014</v>
      </c>
      <c r="F597" s="124" t="s">
        <v>2246</v>
      </c>
      <c r="G597" s="125">
        <v>2005</v>
      </c>
      <c r="H597" s="79">
        <v>16055312</v>
      </c>
      <c r="I597" s="79">
        <v>1</v>
      </c>
      <c r="J597" s="126"/>
      <c r="K597" s="127"/>
      <c r="L597" s="79">
        <v>1</v>
      </c>
      <c r="M597" s="79"/>
      <c r="N597" s="79">
        <v>1</v>
      </c>
      <c r="O597" s="128">
        <v>1</v>
      </c>
      <c r="P597" s="79" t="s">
        <v>851</v>
      </c>
      <c r="Q597" s="79" t="s">
        <v>780</v>
      </c>
      <c r="R597" s="79" t="s">
        <v>752</v>
      </c>
      <c r="S597" s="79">
        <v>0</v>
      </c>
      <c r="T597" s="79"/>
      <c r="U597" s="79"/>
      <c r="V597" s="79"/>
      <c r="W597" s="79" t="s">
        <v>751</v>
      </c>
      <c r="X597" s="79" t="s">
        <v>753</v>
      </c>
      <c r="Y597" s="79"/>
      <c r="Z597" s="79" t="s">
        <v>754</v>
      </c>
      <c r="AA597" s="79"/>
      <c r="AB597" s="79"/>
      <c r="AC597" s="506" t="s">
        <v>6281</v>
      </c>
      <c r="AD597" s="573">
        <v>1</v>
      </c>
      <c r="AE597" s="573">
        <v>0</v>
      </c>
      <c r="AF597" s="924">
        <v>2</v>
      </c>
      <c r="AG597" s="925"/>
      <c r="AH597" s="911"/>
      <c r="AI597" s="923"/>
      <c r="AJ597" s="923"/>
      <c r="AK597" s="926"/>
      <c r="AL597" s="588"/>
      <c r="AM597" s="927"/>
      <c r="AN597" s="923"/>
      <c r="AO597" s="923"/>
      <c r="AP597" s="923"/>
      <c r="AQ597" s="923"/>
      <c r="AR597" s="923"/>
      <c r="AS597" s="923"/>
      <c r="AT597" s="923"/>
      <c r="AU597" s="923"/>
      <c r="AV597" s="923"/>
      <c r="AW597" s="923"/>
      <c r="AX597" s="923"/>
      <c r="AY597" s="923"/>
      <c r="AZ597" s="915"/>
      <c r="BA597" s="923"/>
      <c r="BB597" s="923"/>
      <c r="BC597" s="923"/>
      <c r="BD597" s="915"/>
      <c r="BE597" s="915"/>
      <c r="BF597" s="923"/>
      <c r="BG597" s="923"/>
      <c r="BH597" s="594"/>
      <c r="BI597" s="594"/>
      <c r="BJ597" s="156"/>
      <c r="BK597" s="156"/>
      <c r="BL597" s="156" t="s">
        <v>5207</v>
      </c>
      <c r="BM597" s="156"/>
      <c r="BN597" s="156"/>
      <c r="BO597" s="156" t="s">
        <v>6282</v>
      </c>
      <c r="BP597" s="156"/>
      <c r="BQ597" s="156"/>
      <c r="BR597" s="156"/>
      <c r="BS597" s="156"/>
      <c r="BT597" s="156"/>
      <c r="BU597" s="156"/>
      <c r="BV597" s="156"/>
      <c r="BW597" s="928"/>
      <c r="BX597" s="929"/>
      <c r="BY597" s="929"/>
      <c r="BZ597" s="929"/>
      <c r="CA597" s="917"/>
      <c r="CB597" s="917"/>
      <c r="CC597" s="917"/>
      <c r="CD597" s="923"/>
      <c r="CE597" s="923"/>
      <c r="CF597" s="923"/>
      <c r="CG597" s="923"/>
      <c r="CH597" s="915"/>
      <c r="CI597" s="923"/>
      <c r="CJ597" s="923"/>
      <c r="CK597" s="923"/>
      <c r="CL597" s="923"/>
      <c r="CM597" s="930"/>
      <c r="CN597" s="931"/>
      <c r="CO597" s="931"/>
      <c r="CP597" s="931"/>
      <c r="CQ597" s="931"/>
      <c r="CR597" s="931"/>
      <c r="CS597" s="931"/>
      <c r="CT597" s="967"/>
      <c r="CU597" s="967"/>
      <c r="CV597" s="967"/>
      <c r="CW597" s="967"/>
      <c r="CX597" s="932"/>
      <c r="CY597" s="923"/>
      <c r="CZ597" s="923"/>
      <c r="DA597" s="923"/>
      <c r="DB597" s="932"/>
      <c r="DC597" s="923"/>
      <c r="DD597" s="923"/>
      <c r="DE597" s="923"/>
      <c r="DF597" s="920"/>
      <c r="DG597" s="598"/>
      <c r="DH597" s="950"/>
      <c r="DI597" s="951"/>
      <c r="DJ597" s="951"/>
      <c r="DK597" s="951"/>
      <c r="DL597" s="950"/>
      <c r="DM597" s="951"/>
      <c r="DN597" s="951"/>
      <c r="DO597" s="951"/>
      <c r="DP597" s="930"/>
      <c r="DQ597" s="594"/>
      <c r="DR597" s="1187"/>
      <c r="DS597" s="1186"/>
      <c r="DT597" s="950"/>
      <c r="DU597" s="951"/>
      <c r="DV597" s="951"/>
      <c r="DW597" s="951"/>
      <c r="DX597" s="951"/>
      <c r="DY597" s="951"/>
      <c r="DZ597" s="951"/>
      <c r="EA597" s="951"/>
      <c r="EB597" s="1185"/>
      <c r="EC597" s="951"/>
      <c r="ED597" s="951"/>
      <c r="EE597" s="951"/>
      <c r="EF597" s="951"/>
      <c r="EG597" s="951"/>
      <c r="EH597" s="951"/>
      <c r="EI597" s="951"/>
      <c r="EJ597" s="951"/>
      <c r="EK597" s="951"/>
      <c r="EL597" s="1185"/>
      <c r="EM597" s="951"/>
      <c r="EN597" s="1185"/>
      <c r="EO597" s="951"/>
      <c r="EP597" s="951"/>
      <c r="EQ597" s="951"/>
      <c r="ER597" s="951"/>
      <c r="ES597" s="951"/>
      <c r="ET597" s="950"/>
      <c r="EU597" s="951"/>
      <c r="EV597" s="951"/>
      <c r="EW597" s="951"/>
      <c r="EX597" s="951"/>
      <c r="EY597" s="951"/>
      <c r="EZ597" s="950"/>
      <c r="FA597" s="951"/>
      <c r="FB597" s="951"/>
      <c r="FC597" s="951"/>
      <c r="FD597" s="950"/>
      <c r="FE597" s="951"/>
      <c r="FF597" s="951"/>
      <c r="FG597" s="951"/>
      <c r="FH597" s="951"/>
      <c r="FI597" s="951"/>
      <c r="FJ597" s="951"/>
    </row>
    <row r="598" spans="1:166" ht="14" hidden="1" customHeight="1">
      <c r="A598" s="153" t="s">
        <v>289</v>
      </c>
      <c r="B598" s="618">
        <v>207</v>
      </c>
      <c r="C598" s="618">
        <v>73</v>
      </c>
      <c r="D598" s="618"/>
      <c r="E598" s="610" t="s">
        <v>2015</v>
      </c>
      <c r="F598" s="368" t="s">
        <v>2247</v>
      </c>
      <c r="G598" s="369">
        <v>2011</v>
      </c>
      <c r="H598" s="153">
        <v>21715297</v>
      </c>
      <c r="I598" s="153">
        <v>1</v>
      </c>
      <c r="J598" s="370"/>
      <c r="K598" s="371"/>
      <c r="L598" s="153">
        <v>1</v>
      </c>
      <c r="M598" s="153"/>
      <c r="N598" s="153">
        <v>1</v>
      </c>
      <c r="O598" s="153">
        <v>1</v>
      </c>
      <c r="P598" s="153" t="s">
        <v>755</v>
      </c>
      <c r="Q598" s="153" t="s">
        <v>1147</v>
      </c>
      <c r="R598" s="153" t="s">
        <v>25</v>
      </c>
      <c r="S598" s="153">
        <v>1</v>
      </c>
      <c r="T598" s="153"/>
      <c r="U598" s="153"/>
      <c r="V598" s="153"/>
      <c r="W598" s="153" t="s">
        <v>756</v>
      </c>
      <c r="X598" s="153" t="s">
        <v>24</v>
      </c>
      <c r="Y598" s="153" t="s">
        <v>757</v>
      </c>
      <c r="Z598" s="153"/>
      <c r="AA598" s="153"/>
      <c r="AB598" s="153"/>
      <c r="AC598" s="536"/>
      <c r="AD598" s="536">
        <v>1</v>
      </c>
      <c r="AE598" s="536">
        <v>2</v>
      </c>
      <c r="AF598" s="165">
        <v>0</v>
      </c>
      <c r="AG598" s="166" t="s">
        <v>7516</v>
      </c>
      <c r="AH598" s="509" t="s">
        <v>7517</v>
      </c>
      <c r="AI598" s="120">
        <v>2</v>
      </c>
      <c r="AJ598" s="120" t="s">
        <v>5509</v>
      </c>
      <c r="AK598" s="206" t="s">
        <v>5498</v>
      </c>
      <c r="AL598" s="372">
        <v>0</v>
      </c>
      <c r="AM598" s="207" t="s">
        <v>24</v>
      </c>
      <c r="AN598" s="120">
        <v>416</v>
      </c>
      <c r="AO598" s="120">
        <v>54</v>
      </c>
      <c r="AP598" s="120">
        <f>Table66[[#This Row],[Data_Subjects_n]]-Table66[[#This Row],[Data_Subjects_n_ptsd]]</f>
        <v>362</v>
      </c>
      <c r="AQ598" s="120" t="s">
        <v>803</v>
      </c>
      <c r="AR598" s="120" t="s">
        <v>803</v>
      </c>
      <c r="AS598" s="120" t="s">
        <v>5496</v>
      </c>
      <c r="AT598" s="120" t="s">
        <v>5497</v>
      </c>
      <c r="AU598" s="120" t="s">
        <v>5496</v>
      </c>
      <c r="AV598" s="120" t="s">
        <v>5497</v>
      </c>
      <c r="AW598" s="120" t="s">
        <v>4249</v>
      </c>
      <c r="AX598" s="120"/>
      <c r="AY598" s="120"/>
      <c r="AZ598" s="755" t="s">
        <v>1874</v>
      </c>
      <c r="BA598" s="120" t="s">
        <v>24</v>
      </c>
      <c r="BB598" s="120" t="s">
        <v>24</v>
      </c>
      <c r="BC598" s="120" t="s">
        <v>2423</v>
      </c>
      <c r="BD598" s="755"/>
      <c r="BE598" s="755"/>
      <c r="BF598" s="120" t="s">
        <v>3835</v>
      </c>
      <c r="BG598" s="120" t="s">
        <v>5499</v>
      </c>
      <c r="BH598" s="377"/>
      <c r="BI598" s="377"/>
      <c r="BJ598" s="373"/>
      <c r="BK598" s="373"/>
      <c r="BL598" s="373"/>
      <c r="BM598" s="373"/>
      <c r="BN598" s="373"/>
      <c r="BO598" s="373" t="s">
        <v>4727</v>
      </c>
      <c r="BP598" s="373">
        <v>1</v>
      </c>
      <c r="BQ598" s="373"/>
      <c r="BR598" s="373"/>
      <c r="BS598" s="373"/>
      <c r="BT598" s="373" t="s">
        <v>4727</v>
      </c>
      <c r="BU598" s="373"/>
      <c r="BV598" s="373"/>
      <c r="BW598" s="599" t="s">
        <v>5501</v>
      </c>
      <c r="BX598" s="374" t="s">
        <v>6624</v>
      </c>
      <c r="BY598" s="374"/>
      <c r="BZ598" s="374"/>
      <c r="CA598" s="511"/>
      <c r="CB598" s="511"/>
      <c r="CC598" s="781"/>
      <c r="CD598" s="120" t="s">
        <v>1876</v>
      </c>
      <c r="CE598" s="120" t="s">
        <v>5502</v>
      </c>
      <c r="CF598" s="120"/>
      <c r="CG598" s="120" t="s">
        <v>5500</v>
      </c>
      <c r="CH598" s="755"/>
      <c r="CI598" s="120" t="s">
        <v>24</v>
      </c>
      <c r="CJ598" s="120"/>
      <c r="CK598" s="120" t="s">
        <v>5503</v>
      </c>
      <c r="CL598" s="120"/>
      <c r="CM598" s="375" t="s">
        <v>5506</v>
      </c>
      <c r="CN598" s="380">
        <v>0</v>
      </c>
      <c r="CO598" s="380"/>
      <c r="CP598" s="380"/>
      <c r="CQ598" s="380"/>
      <c r="CR598" s="380"/>
      <c r="CS598" s="380"/>
      <c r="CT598" s="380"/>
      <c r="CU598" s="380"/>
      <c r="CV598" s="380"/>
      <c r="CW598" s="380"/>
      <c r="CX598" s="376" t="s">
        <v>5504</v>
      </c>
      <c r="CY598" s="120">
        <v>105</v>
      </c>
      <c r="CZ598" s="120" t="s">
        <v>2882</v>
      </c>
      <c r="DA598" s="120" t="s">
        <v>24</v>
      </c>
      <c r="DB598" s="376" t="s">
        <v>5505</v>
      </c>
      <c r="DC598" s="120">
        <v>111</v>
      </c>
      <c r="DD598" s="120" t="s">
        <v>2882</v>
      </c>
      <c r="DE598" s="120" t="s">
        <v>24</v>
      </c>
      <c r="DF598" s="515" t="s">
        <v>5508</v>
      </c>
      <c r="DG598" s="513" t="s">
        <v>5507</v>
      </c>
      <c r="DH598" s="376" t="s">
        <v>24</v>
      </c>
      <c r="DI598" s="384" t="s">
        <v>24</v>
      </c>
      <c r="DJ598" s="384" t="s">
        <v>24</v>
      </c>
      <c r="DK598" s="384" t="s">
        <v>24</v>
      </c>
      <c r="DL598" s="120" t="s">
        <v>24</v>
      </c>
      <c r="DM598" s="384" t="s">
        <v>24</v>
      </c>
      <c r="DN598" s="384" t="s">
        <v>24</v>
      </c>
      <c r="DO598" s="384" t="s">
        <v>24</v>
      </c>
      <c r="DP598" s="375"/>
      <c r="DQ598" s="377"/>
      <c r="DR598" s="1182"/>
      <c r="DS598" s="956"/>
      <c r="DT598" s="376"/>
      <c r="DU598" s="384"/>
      <c r="DV598" s="384"/>
      <c r="DW598" s="384"/>
      <c r="DX598" s="120"/>
      <c r="DY598" s="384"/>
      <c r="DZ598" s="384"/>
      <c r="EA598" s="384"/>
      <c r="EB598" s="380"/>
      <c r="EC598" s="120"/>
      <c r="ED598" s="56"/>
      <c r="EE598" s="20"/>
      <c r="EF598" s="384"/>
      <c r="EG598" s="384"/>
      <c r="EH598" s="120"/>
      <c r="EI598" s="384"/>
      <c r="EJ598" s="384"/>
      <c r="EK598" s="384"/>
      <c r="EL598" s="380"/>
      <c r="EM598" s="120"/>
      <c r="EN598" s="1012"/>
      <c r="EO598" s="384"/>
      <c r="EP598" s="384"/>
      <c r="EQ598" s="384"/>
      <c r="ER598" s="384"/>
      <c r="ES598" s="384"/>
      <c r="ET598" s="727"/>
      <c r="EU598" s="384"/>
      <c r="EV598" s="384"/>
      <c r="EW598" s="384"/>
      <c r="EX598" s="384"/>
      <c r="EY598" s="384"/>
      <c r="EZ598" s="727"/>
      <c r="FA598" s="384"/>
      <c r="FB598" s="384"/>
      <c r="FC598" s="384"/>
      <c r="FD598" s="727"/>
      <c r="FE598" s="384"/>
      <c r="FF598" s="384"/>
      <c r="FG598" s="384"/>
      <c r="FH598" s="384"/>
      <c r="FI598" s="384"/>
      <c r="FJ598" s="384"/>
    </row>
    <row r="599" spans="1:166" ht="14" hidden="1" customHeight="1">
      <c r="A599" s="153" t="s">
        <v>290</v>
      </c>
      <c r="B599" s="618">
        <v>208</v>
      </c>
      <c r="C599" s="618"/>
      <c r="D599" s="618">
        <v>82</v>
      </c>
      <c r="E599" s="610" t="s">
        <v>2016</v>
      </c>
      <c r="F599" s="368" t="s">
        <v>2248</v>
      </c>
      <c r="G599" s="369">
        <v>1992</v>
      </c>
      <c r="H599" s="153">
        <v>1355475</v>
      </c>
      <c r="I599" s="153">
        <v>1</v>
      </c>
      <c r="J599" s="370" t="s">
        <v>66</v>
      </c>
      <c r="K599" s="371"/>
      <c r="L599" s="153">
        <v>1</v>
      </c>
      <c r="M599" s="153"/>
      <c r="N599" s="153">
        <v>1</v>
      </c>
      <c r="O599" s="153">
        <v>1</v>
      </c>
      <c r="P599" s="153" t="s">
        <v>66</v>
      </c>
      <c r="Q599" s="153" t="s">
        <v>1142</v>
      </c>
      <c r="R599" s="153" t="s">
        <v>759</v>
      </c>
      <c r="S599" s="153">
        <v>1</v>
      </c>
      <c r="T599" s="153"/>
      <c r="U599" s="153"/>
      <c r="V599" s="153"/>
      <c r="W599" s="153" t="s">
        <v>760</v>
      </c>
      <c r="X599" s="153"/>
      <c r="Y599" s="153" t="s">
        <v>758</v>
      </c>
      <c r="Z599" s="153"/>
      <c r="AA599" s="153"/>
      <c r="AB599" s="153" t="s">
        <v>761</v>
      </c>
      <c r="AC599" s="536" t="s">
        <v>6284</v>
      </c>
      <c r="AD599" s="536">
        <v>1</v>
      </c>
      <c r="AE599" s="536">
        <v>0</v>
      </c>
      <c r="AF599" s="165">
        <v>0</v>
      </c>
      <c r="AG599" s="729" t="s">
        <v>7278</v>
      </c>
      <c r="AH599" s="730">
        <v>0</v>
      </c>
      <c r="AI599" s="120">
        <v>2</v>
      </c>
      <c r="AJ599" s="120"/>
      <c r="AK599" s="206"/>
      <c r="AL599" s="372"/>
      <c r="AM599" s="207"/>
      <c r="AN599" s="120"/>
      <c r="AO599" s="120"/>
      <c r="AP599" s="120"/>
      <c r="AQ599" s="120"/>
      <c r="AR599" s="120"/>
      <c r="AS599" s="120"/>
      <c r="AT599" s="120"/>
      <c r="AU599" s="120"/>
      <c r="AV599" s="120"/>
      <c r="AW599" s="120"/>
      <c r="AX599" s="120"/>
      <c r="AY599" s="120"/>
      <c r="AZ599" s="755"/>
      <c r="BA599" s="120"/>
      <c r="BB599" s="120"/>
      <c r="BC599" s="120"/>
      <c r="BD599" s="755"/>
      <c r="BE599" s="755"/>
      <c r="BF599" s="120"/>
      <c r="BG599" s="120"/>
      <c r="BH599" s="377"/>
      <c r="BI599" s="377"/>
      <c r="BJ599" s="373"/>
      <c r="BK599" s="373"/>
      <c r="BL599" s="373"/>
      <c r="BM599" s="373"/>
      <c r="BN599" s="373"/>
      <c r="BO599" s="373"/>
      <c r="BP599" s="373"/>
      <c r="BQ599" s="373"/>
      <c r="BR599" s="373"/>
      <c r="BS599" s="373"/>
      <c r="BT599" s="373"/>
      <c r="BU599" s="373"/>
      <c r="BV599" s="373"/>
      <c r="BW599" s="599"/>
      <c r="BX599" s="374"/>
      <c r="BY599" s="374"/>
      <c r="BZ599" s="374"/>
      <c r="CA599" s="511"/>
      <c r="CB599" s="781"/>
      <c r="CC599" s="781"/>
      <c r="CD599" s="120"/>
      <c r="CE599" s="120"/>
      <c r="CF599" s="120"/>
      <c r="CG599" s="120"/>
      <c r="CH599" s="755"/>
      <c r="CI599" s="120"/>
      <c r="CJ599" s="120"/>
      <c r="CK599" s="120"/>
      <c r="CL599" s="120"/>
      <c r="CM599" s="375"/>
      <c r="CN599" s="380"/>
      <c r="CO599" s="380"/>
      <c r="CP599" s="380"/>
      <c r="CQ599" s="380"/>
      <c r="CR599" s="380"/>
      <c r="CS599" s="380"/>
      <c r="CT599" s="380"/>
      <c r="CU599" s="380"/>
      <c r="CV599" s="380"/>
      <c r="CW599" s="380"/>
      <c r="CX599" s="376"/>
      <c r="CY599" s="120"/>
      <c r="CZ599" s="120"/>
      <c r="DA599" s="120"/>
      <c r="DB599" s="376"/>
      <c r="DC599" s="120"/>
      <c r="DD599" s="120"/>
      <c r="DE599" s="120"/>
      <c r="DF599" s="515"/>
      <c r="DG599" s="513"/>
      <c r="DH599" s="727"/>
      <c r="DI599" s="384"/>
      <c r="DJ599" s="384"/>
      <c r="DK599" s="384"/>
      <c r="DL599" s="727"/>
      <c r="DM599" s="384"/>
      <c r="DN599" s="384"/>
      <c r="DO599" s="384"/>
      <c r="DP599" s="375"/>
      <c r="DQ599" s="377"/>
      <c r="DR599" s="1182"/>
      <c r="DS599" s="956"/>
      <c r="DT599" s="727"/>
      <c r="DU599" s="384"/>
      <c r="DV599" s="384"/>
      <c r="DW599" s="384"/>
      <c r="DX599" s="384"/>
      <c r="DY599" s="384"/>
      <c r="DZ599" s="384"/>
      <c r="EA599" s="384"/>
      <c r="EB599" s="1012"/>
      <c r="EC599" s="384"/>
      <c r="ED599" s="384"/>
      <c r="EE599" s="384"/>
      <c r="EF599" s="384"/>
      <c r="EG599" s="384"/>
      <c r="EH599" s="384"/>
      <c r="EI599" s="384"/>
      <c r="EJ599" s="384"/>
      <c r="EK599" s="384"/>
      <c r="EL599" s="1012"/>
      <c r="EM599" s="384"/>
      <c r="EN599" s="1012"/>
      <c r="EO599" s="384"/>
      <c r="EP599" s="384"/>
      <c r="EQ599" s="384"/>
      <c r="ER599" s="384"/>
      <c r="ES599" s="384"/>
      <c r="ET599" s="727"/>
      <c r="EU599" s="384"/>
      <c r="EV599" s="384"/>
      <c r="EW599" s="384"/>
      <c r="EX599" s="384"/>
      <c r="EY599" s="384"/>
      <c r="EZ599" s="727"/>
      <c r="FA599" s="384"/>
      <c r="FB599" s="384"/>
      <c r="FC599" s="384"/>
      <c r="FD599" s="727"/>
      <c r="FE599" s="384"/>
      <c r="FF599" s="384"/>
      <c r="FG599" s="384"/>
      <c r="FH599" s="384"/>
      <c r="FI599" s="384"/>
      <c r="FJ599" s="384"/>
    </row>
    <row r="600" spans="1:166" ht="14" hidden="1" customHeight="1">
      <c r="A600" s="79" t="s">
        <v>291</v>
      </c>
      <c r="B600" s="362">
        <v>209</v>
      </c>
      <c r="C600" s="362">
        <v>74</v>
      </c>
      <c r="D600" s="362"/>
      <c r="E600" s="604" t="s">
        <v>2017</v>
      </c>
      <c r="F600" s="124" t="s">
        <v>2249</v>
      </c>
      <c r="G600" s="125">
        <v>2013</v>
      </c>
      <c r="H600" s="79">
        <v>23755991</v>
      </c>
      <c r="I600" s="79">
        <v>1</v>
      </c>
      <c r="J600" s="126"/>
      <c r="K600" s="127"/>
      <c r="L600" s="79">
        <v>1</v>
      </c>
      <c r="M600" s="79"/>
      <c r="N600" s="79">
        <v>1</v>
      </c>
      <c r="O600" s="128">
        <v>1</v>
      </c>
      <c r="P600" s="79" t="s">
        <v>1914</v>
      </c>
      <c r="Q600" s="79" t="s">
        <v>1160</v>
      </c>
      <c r="R600" s="79" t="s">
        <v>762</v>
      </c>
      <c r="S600" s="79">
        <v>1</v>
      </c>
      <c r="T600" s="79"/>
      <c r="U600" s="79"/>
      <c r="V600" s="79"/>
      <c r="W600" s="79" t="s">
        <v>763</v>
      </c>
      <c r="X600" s="79"/>
      <c r="Y600" s="79"/>
      <c r="Z600" s="79"/>
      <c r="AA600" s="79"/>
      <c r="AB600" s="79"/>
      <c r="AC600" s="506"/>
      <c r="AD600" s="573">
        <v>1</v>
      </c>
      <c r="AE600" s="573">
        <v>2</v>
      </c>
      <c r="AF600" s="154">
        <v>1</v>
      </c>
      <c r="AG600" s="160" t="s">
        <v>7288</v>
      </c>
      <c r="AH600" s="704">
        <v>0</v>
      </c>
      <c r="AI600" s="121">
        <v>2</v>
      </c>
      <c r="AJ600" s="484"/>
      <c r="AK600" s="202" t="s">
        <v>5512</v>
      </c>
      <c r="AL600" s="192">
        <v>1</v>
      </c>
      <c r="AM600" s="203">
        <v>0</v>
      </c>
      <c r="AN600" s="121">
        <f>Table66[[#This Row],[Data_Subjects_n_ptsd]]+Table66[[#This Row],[Data_Subjects_n_control]]</f>
        <v>40</v>
      </c>
      <c r="AO600" s="121">
        <v>19</v>
      </c>
      <c r="AP600" s="121">
        <v>21</v>
      </c>
      <c r="AQ600" s="121" t="s">
        <v>5515</v>
      </c>
      <c r="AR600" s="121" t="s">
        <v>5516</v>
      </c>
      <c r="AS600" s="121">
        <v>32.47</v>
      </c>
      <c r="AT600" s="121">
        <v>6.96</v>
      </c>
      <c r="AU600" s="121">
        <v>34</v>
      </c>
      <c r="AV600" s="121">
        <v>8.92</v>
      </c>
      <c r="AW600" s="121" t="s">
        <v>5510</v>
      </c>
      <c r="AX600" s="121"/>
      <c r="AY600" s="121"/>
      <c r="AZ600" s="754" t="s">
        <v>1874</v>
      </c>
      <c r="BA600" s="121" t="s">
        <v>24</v>
      </c>
      <c r="BB600" s="121" t="s">
        <v>24</v>
      </c>
      <c r="BC600" s="121" t="s">
        <v>2423</v>
      </c>
      <c r="BD600" s="756" t="s">
        <v>7521</v>
      </c>
      <c r="BE600" s="187">
        <v>0</v>
      </c>
      <c r="BF600" s="121" t="s">
        <v>3835</v>
      </c>
      <c r="BG600" s="121" t="s">
        <v>5513</v>
      </c>
      <c r="BH600" s="594"/>
      <c r="BI600" s="594"/>
      <c r="BJ600" s="156"/>
      <c r="BK600" s="156"/>
      <c r="BL600" s="156"/>
      <c r="BM600" s="156"/>
      <c r="BN600" s="156"/>
      <c r="BO600" s="156" t="s">
        <v>4727</v>
      </c>
      <c r="BP600" s="156">
        <v>1</v>
      </c>
      <c r="BQ600" s="156"/>
      <c r="BR600" s="156"/>
      <c r="BS600" s="156"/>
      <c r="BT600" s="156" t="s">
        <v>4727</v>
      </c>
      <c r="BU600" s="156"/>
      <c r="BV600" s="156"/>
      <c r="BW600" s="595" t="s">
        <v>5539</v>
      </c>
      <c r="BX600" s="157" t="s">
        <v>6625</v>
      </c>
      <c r="BY600" s="797" t="s">
        <v>7619</v>
      </c>
      <c r="BZ600" s="789" t="s">
        <v>803</v>
      </c>
      <c r="CA600" s="811">
        <v>2</v>
      </c>
      <c r="CB600" s="660" t="s">
        <v>7556</v>
      </c>
      <c r="CC600" s="811" t="s">
        <v>24</v>
      </c>
      <c r="CD600" s="134" t="s">
        <v>1876</v>
      </c>
      <c r="CE600" s="134" t="s">
        <v>5518</v>
      </c>
      <c r="CF600" s="400"/>
      <c r="CG600" s="134" t="s">
        <v>5514</v>
      </c>
      <c r="CH600" s="753" t="s">
        <v>7342</v>
      </c>
      <c r="CI600" s="134" t="s">
        <v>24</v>
      </c>
      <c r="CJ600" s="134"/>
      <c r="CK600" s="134" t="s">
        <v>5519</v>
      </c>
      <c r="CL600" s="134" t="s">
        <v>8210</v>
      </c>
      <c r="CM600" s="259" t="s">
        <v>5530</v>
      </c>
      <c r="CN600" s="454">
        <v>0</v>
      </c>
      <c r="CO600" s="828">
        <v>67</v>
      </c>
      <c r="CP600" s="828">
        <v>1</v>
      </c>
      <c r="CQ600" s="828">
        <v>1</v>
      </c>
      <c r="CR600" s="828">
        <v>1</v>
      </c>
      <c r="CS600" s="828">
        <v>1</v>
      </c>
      <c r="CT600" s="967"/>
      <c r="CU600" s="1288" t="s">
        <v>8103</v>
      </c>
      <c r="CV600" s="1294">
        <v>35</v>
      </c>
      <c r="CW600" s="1294">
        <v>28</v>
      </c>
      <c r="CX600" s="138" t="s">
        <v>5521</v>
      </c>
      <c r="CY600" s="134">
        <v>45.37</v>
      </c>
      <c r="CZ600" s="134">
        <v>12.85</v>
      </c>
      <c r="DA600" s="134" t="s">
        <v>24</v>
      </c>
      <c r="DB600" s="427" t="s">
        <v>5522</v>
      </c>
      <c r="DC600" s="134">
        <v>48.76</v>
      </c>
      <c r="DD600" s="134">
        <v>9.66</v>
      </c>
      <c r="DE600" s="134" t="s">
        <v>24</v>
      </c>
      <c r="DF600" s="294" t="s">
        <v>5529</v>
      </c>
      <c r="DG600" s="295" t="s">
        <v>5532</v>
      </c>
      <c r="DH600" s="1276"/>
      <c r="DI600" s="121"/>
      <c r="DJ600" s="1169"/>
      <c r="DK600" s="121"/>
      <c r="DL600" s="1169"/>
      <c r="DM600" s="121"/>
      <c r="DN600" s="1169"/>
      <c r="DO600" s="121"/>
      <c r="DP600" s="288"/>
      <c r="DQ600" s="289"/>
      <c r="DR600" s="1168"/>
      <c r="DS600" s="865"/>
      <c r="DT600" s="1171"/>
      <c r="DU600" s="1169"/>
      <c r="DV600" s="1169"/>
      <c r="DW600" s="1169"/>
      <c r="DX600" s="1169"/>
      <c r="DY600" s="1169"/>
      <c r="DZ600" s="1169"/>
      <c r="EA600" s="1169"/>
      <c r="EB600" s="304"/>
      <c r="EC600" s="312"/>
      <c r="EF600" s="1169"/>
      <c r="EG600" s="1169"/>
      <c r="EH600" s="1169"/>
      <c r="EI600" s="1169"/>
      <c r="EJ600" s="1169"/>
      <c r="EK600" s="1169"/>
      <c r="EL600" s="304"/>
      <c r="EM600" s="312"/>
      <c r="EN600" s="309"/>
      <c r="EO600" s="1170"/>
      <c r="EP600" s="1169"/>
      <c r="EQ600" s="1169"/>
      <c r="ER600" s="1169"/>
      <c r="ES600" s="1169"/>
      <c r="ET600" s="1171"/>
      <c r="EU600" s="1169"/>
      <c r="EV600" s="1169"/>
      <c r="EW600" s="1169"/>
      <c r="EX600" s="312"/>
      <c r="EY600" s="312"/>
      <c r="EZ600" s="1171"/>
      <c r="FA600" s="1169"/>
      <c r="FB600" s="1169"/>
      <c r="FC600" s="1169"/>
      <c r="FD600" s="1171"/>
      <c r="FE600" s="1169"/>
      <c r="FF600" s="1169"/>
      <c r="FG600" s="1169"/>
      <c r="FH600" s="312"/>
      <c r="FI600" s="312"/>
      <c r="FJ600" s="1170"/>
    </row>
    <row r="601" spans="1:166" ht="14" hidden="1" customHeight="1">
      <c r="A601" s="79" t="s">
        <v>208</v>
      </c>
      <c r="B601" s="362">
        <v>154</v>
      </c>
      <c r="C601" s="362">
        <v>49</v>
      </c>
      <c r="D601" s="362"/>
      <c r="E601" s="604" t="s">
        <v>1979</v>
      </c>
      <c r="F601" s="124" t="s">
        <v>2203</v>
      </c>
      <c r="G601" s="125">
        <v>2013</v>
      </c>
      <c r="H601" s="79">
        <v>23445934</v>
      </c>
      <c r="I601" s="79">
        <v>1</v>
      </c>
      <c r="J601" s="126"/>
      <c r="K601" s="127"/>
      <c r="L601" s="79">
        <v>1</v>
      </c>
      <c r="M601" s="79"/>
      <c r="N601" s="79">
        <v>1</v>
      </c>
      <c r="O601" s="128">
        <v>1</v>
      </c>
      <c r="P601" s="79" t="s">
        <v>596</v>
      </c>
      <c r="Q601" s="79" t="s">
        <v>1168</v>
      </c>
      <c r="R601" s="79" t="s">
        <v>594</v>
      </c>
      <c r="S601" s="79">
        <v>0</v>
      </c>
      <c r="T601" s="79"/>
      <c r="U601" s="79"/>
      <c r="V601" s="79"/>
      <c r="W601" s="79" t="s">
        <v>597</v>
      </c>
      <c r="X601" s="79" t="s">
        <v>595</v>
      </c>
      <c r="Y601" s="79"/>
      <c r="Z601" s="79"/>
      <c r="AA601" s="79"/>
      <c r="AB601" s="79"/>
      <c r="AC601" s="506"/>
      <c r="AD601" s="573">
        <v>1</v>
      </c>
      <c r="AE601" s="573">
        <v>2</v>
      </c>
      <c r="AF601" s="154">
        <v>1</v>
      </c>
      <c r="AG601" s="155" t="s">
        <v>8164</v>
      </c>
      <c r="AH601" s="704"/>
      <c r="AI601" s="121">
        <v>0</v>
      </c>
      <c r="AJ601" s="484" t="s">
        <v>4927</v>
      </c>
      <c r="AK601" s="498" t="s">
        <v>4926</v>
      </c>
      <c r="AL601" s="192">
        <v>1</v>
      </c>
      <c r="AM601" s="203">
        <v>0</v>
      </c>
      <c r="AN601" s="121">
        <f>Table66[[#This Row],[Data_Subjects_n_ptsd]]+Table66[[#This Row],[Data_Subjects_n_control]]</f>
        <v>98</v>
      </c>
      <c r="AO601" s="121">
        <v>76</v>
      </c>
      <c r="AP601" s="121">
        <f>22</f>
        <v>22</v>
      </c>
      <c r="AQ601" s="121" t="s">
        <v>4925</v>
      </c>
      <c r="AR601" s="121" t="s">
        <v>4925</v>
      </c>
      <c r="AS601" s="121">
        <v>50.7</v>
      </c>
      <c r="AT601" s="121">
        <v>8</v>
      </c>
      <c r="AU601" s="121">
        <v>49.3</v>
      </c>
      <c r="AV601" s="121">
        <v>6</v>
      </c>
      <c r="AW601" s="121" t="s">
        <v>7902</v>
      </c>
      <c r="AX601" s="121"/>
      <c r="AY601" s="121"/>
      <c r="AZ601" s="754" t="s">
        <v>7905</v>
      </c>
      <c r="BA601" s="121" t="s">
        <v>24</v>
      </c>
      <c r="BB601" s="121" t="s">
        <v>24</v>
      </c>
      <c r="BC601" s="121" t="s">
        <v>4924</v>
      </c>
      <c r="BD601" s="754" t="s">
        <v>7522</v>
      </c>
      <c r="BE601" s="1624">
        <v>0</v>
      </c>
      <c r="BF601" s="121" t="s">
        <v>7904</v>
      </c>
      <c r="BG601" s="121" t="s">
        <v>4928</v>
      </c>
      <c r="BH601" s="594"/>
      <c r="BI601" s="594"/>
      <c r="BJ601" s="156"/>
      <c r="BK601" s="156"/>
      <c r="BL601" s="156"/>
      <c r="BM601" s="156"/>
      <c r="BN601" s="156"/>
      <c r="BO601" s="156"/>
      <c r="BP601" s="156">
        <v>1</v>
      </c>
      <c r="BQ601" s="156"/>
      <c r="BR601" s="156"/>
      <c r="BS601" s="156"/>
      <c r="BT601" s="156"/>
      <c r="BU601" s="156"/>
      <c r="BV601" s="156"/>
      <c r="BW601" s="595" t="s">
        <v>4984</v>
      </c>
      <c r="BX601" s="157" t="s">
        <v>6609</v>
      </c>
      <c r="BY601" s="797" t="s">
        <v>7616</v>
      </c>
      <c r="BZ601" s="789" t="s">
        <v>7610</v>
      </c>
      <c r="CA601" s="811">
        <v>2</v>
      </c>
      <c r="CB601" s="660" t="s">
        <v>7556</v>
      </c>
      <c r="CC601" s="660" t="s">
        <v>7380</v>
      </c>
      <c r="CD601" s="134" t="s">
        <v>1876</v>
      </c>
      <c r="CE601" s="134" t="s">
        <v>4931</v>
      </c>
      <c r="CF601" s="400"/>
      <c r="CG601" s="134" t="s">
        <v>7911</v>
      </c>
      <c r="CH601" s="753" t="s">
        <v>7307</v>
      </c>
      <c r="CI601" s="134" t="s">
        <v>24</v>
      </c>
      <c r="CJ601" s="134"/>
      <c r="CK601" s="134" t="s">
        <v>7907</v>
      </c>
      <c r="CL601" s="134" t="s">
        <v>7826</v>
      </c>
      <c r="CM601" s="259" t="s">
        <v>4983</v>
      </c>
      <c r="CN601" s="454" t="s">
        <v>24</v>
      </c>
      <c r="CO601" s="828">
        <v>43</v>
      </c>
      <c r="CP601" s="828">
        <v>1</v>
      </c>
      <c r="CQ601" s="828">
        <v>3</v>
      </c>
      <c r="CR601" s="828">
        <v>1</v>
      </c>
      <c r="CS601" s="828">
        <v>1</v>
      </c>
      <c r="CT601" s="967"/>
      <c r="CU601" s="1291" t="s">
        <v>8102</v>
      </c>
      <c r="CV601" s="1295">
        <v>3</v>
      </c>
      <c r="CW601" s="1295">
        <v>1</v>
      </c>
      <c r="CX601" s="427" t="s">
        <v>4949</v>
      </c>
      <c r="CY601" s="134">
        <v>35.299999999999997</v>
      </c>
      <c r="CZ601" s="134">
        <v>8.8000000000000007</v>
      </c>
      <c r="DA601" s="134" t="s">
        <v>24</v>
      </c>
      <c r="DB601" s="138" t="s">
        <v>4951</v>
      </c>
      <c r="DC601" s="134">
        <v>41.7</v>
      </c>
      <c r="DD601" s="168">
        <v>5.4</v>
      </c>
      <c r="DE601" s="134" t="s">
        <v>24</v>
      </c>
      <c r="DF601" s="288" t="s">
        <v>7897</v>
      </c>
      <c r="DG601" s="295"/>
      <c r="DH601" s="427"/>
      <c r="DI601" s="121"/>
      <c r="DJ601" s="1169"/>
      <c r="DK601" s="121"/>
      <c r="DL601" s="1174"/>
      <c r="DM601" s="121"/>
      <c r="DN601" s="1169"/>
      <c r="DO601" s="121"/>
      <c r="DP601" s="288"/>
      <c r="DQ601" s="289"/>
      <c r="DR601" s="1168"/>
      <c r="DS601" s="865"/>
      <c r="DT601" s="1171"/>
      <c r="DU601" s="121"/>
      <c r="DV601" s="1169"/>
      <c r="DW601" s="121"/>
      <c r="DX601" s="1171"/>
      <c r="DY601" s="121"/>
      <c r="DZ601" s="1169"/>
      <c r="EA601" s="121"/>
      <c r="EB601" s="304"/>
      <c r="EC601" s="312"/>
      <c r="ED601" s="1171"/>
      <c r="EE601" s="121"/>
      <c r="EF601" s="1169"/>
      <c r="EG601" s="121"/>
      <c r="EH601" s="1174"/>
      <c r="EI601" s="121"/>
      <c r="EJ601" s="1169"/>
      <c r="EK601" s="121"/>
      <c r="EL601" s="304"/>
      <c r="EM601" s="312"/>
      <c r="EN601" s="309"/>
      <c r="EO601" s="1170"/>
      <c r="EP601" s="1174"/>
      <c r="EQ601" s="1169"/>
      <c r="ER601" s="1169"/>
      <c r="ES601" s="1169"/>
      <c r="ET601" s="1171"/>
      <c r="EU601" s="1169"/>
      <c r="EV601" s="1169"/>
      <c r="EW601" s="1169"/>
      <c r="EX601" s="312"/>
      <c r="EY601" s="312"/>
      <c r="EZ601" s="1171"/>
      <c r="FA601" s="1169"/>
      <c r="FB601" s="1169"/>
      <c r="FC601" s="1169"/>
      <c r="FD601" s="1171"/>
      <c r="FE601" s="1169"/>
      <c r="FF601" s="1169"/>
      <c r="FG601" s="1169"/>
      <c r="FH601" s="312"/>
      <c r="FI601" s="312"/>
      <c r="FJ601" s="1170"/>
    </row>
    <row r="602" spans="1:166" ht="14" hidden="1" customHeight="1">
      <c r="A602" s="79" t="s">
        <v>208</v>
      </c>
      <c r="B602" s="362">
        <v>154</v>
      </c>
      <c r="C602" s="362">
        <v>49</v>
      </c>
      <c r="D602" s="362"/>
      <c r="E602" s="604" t="s">
        <v>1979</v>
      </c>
      <c r="F602" s="124" t="s">
        <v>2203</v>
      </c>
      <c r="G602" s="125">
        <v>2013</v>
      </c>
      <c r="H602" s="79">
        <v>23445934</v>
      </c>
      <c r="I602" s="79">
        <v>1</v>
      </c>
      <c r="J602" s="126"/>
      <c r="K602" s="127"/>
      <c r="L602" s="79">
        <v>1</v>
      </c>
      <c r="M602" s="79"/>
      <c r="N602" s="79">
        <v>1</v>
      </c>
      <c r="O602" s="128">
        <v>1</v>
      </c>
      <c r="P602" s="79" t="s">
        <v>596</v>
      </c>
      <c r="Q602" s="79" t="s">
        <v>1168</v>
      </c>
      <c r="R602" s="79" t="s">
        <v>594</v>
      </c>
      <c r="S602" s="79">
        <v>0</v>
      </c>
      <c r="T602" s="79"/>
      <c r="U602" s="79"/>
      <c r="V602" s="79"/>
      <c r="W602" s="79" t="s">
        <v>597</v>
      </c>
      <c r="X602" s="79" t="s">
        <v>595</v>
      </c>
      <c r="Y602" s="79"/>
      <c r="Z602" s="79"/>
      <c r="AA602" s="79"/>
      <c r="AB602" s="79"/>
      <c r="AC602" s="506"/>
      <c r="AD602" s="573">
        <v>1</v>
      </c>
      <c r="AE602" s="573">
        <v>2</v>
      </c>
      <c r="AF602" s="154">
        <v>1</v>
      </c>
      <c r="AG602" s="155" t="s">
        <v>8164</v>
      </c>
      <c r="AH602" s="704"/>
      <c r="AI602" s="121">
        <v>0</v>
      </c>
      <c r="AJ602" s="484" t="s">
        <v>4927</v>
      </c>
      <c r="AK602" s="498" t="s">
        <v>4926</v>
      </c>
      <c r="AL602" s="192">
        <v>1</v>
      </c>
      <c r="AM602" s="203">
        <v>0</v>
      </c>
      <c r="AN602" s="121">
        <f>Table66[[#This Row],[Data_Subjects_n_ptsd]]+Table66[[#This Row],[Data_Subjects_n_control]]</f>
        <v>50</v>
      </c>
      <c r="AO602" s="121">
        <v>28</v>
      </c>
      <c r="AP602" s="121">
        <f>22</f>
        <v>22</v>
      </c>
      <c r="AQ602" s="121" t="s">
        <v>4925</v>
      </c>
      <c r="AR602" s="121" t="s">
        <v>4925</v>
      </c>
      <c r="AS602" s="121">
        <v>50.7</v>
      </c>
      <c r="AT602" s="121">
        <v>6.3</v>
      </c>
      <c r="AU602" s="121">
        <v>49.3</v>
      </c>
      <c r="AV602" s="121">
        <v>6</v>
      </c>
      <c r="AW602" s="121" t="s">
        <v>7906</v>
      </c>
      <c r="AX602" s="121"/>
      <c r="AY602" s="121"/>
      <c r="AZ602" s="754" t="s">
        <v>1874</v>
      </c>
      <c r="BA602" s="121" t="s">
        <v>24</v>
      </c>
      <c r="BB602" s="121" t="s">
        <v>24</v>
      </c>
      <c r="BC602" s="121" t="s">
        <v>4924</v>
      </c>
      <c r="BD602" s="754" t="s">
        <v>7522</v>
      </c>
      <c r="BE602" s="1624">
        <v>0</v>
      </c>
      <c r="BF602" s="121" t="s">
        <v>376</v>
      </c>
      <c r="BG602" s="121" t="s">
        <v>4928</v>
      </c>
      <c r="BH602" s="594"/>
      <c r="BI602" s="594"/>
      <c r="BJ602" s="156"/>
      <c r="BK602" s="156"/>
      <c r="BL602" s="156"/>
      <c r="BM602" s="156"/>
      <c r="BN602" s="156"/>
      <c r="BO602" s="156"/>
      <c r="BP602" s="156">
        <v>1</v>
      </c>
      <c r="BQ602" s="156"/>
      <c r="BR602" s="156"/>
      <c r="BS602" s="156"/>
      <c r="BT602" s="156"/>
      <c r="BU602" s="156"/>
      <c r="BV602" s="156"/>
      <c r="BW602" s="595" t="s">
        <v>4984</v>
      </c>
      <c r="BX602" s="157" t="s">
        <v>6609</v>
      </c>
      <c r="BY602" s="797" t="s">
        <v>7616</v>
      </c>
      <c r="BZ602" s="789" t="s">
        <v>7610</v>
      </c>
      <c r="CA602" s="811">
        <v>2</v>
      </c>
      <c r="CB602" s="660" t="s">
        <v>7556</v>
      </c>
      <c r="CC602" s="660" t="s">
        <v>7380</v>
      </c>
      <c r="CD602" s="134" t="s">
        <v>1876</v>
      </c>
      <c r="CE602" s="134" t="s">
        <v>4931</v>
      </c>
      <c r="CF602" s="400"/>
      <c r="CG602" s="134" t="s">
        <v>7911</v>
      </c>
      <c r="CH602" s="753" t="s">
        <v>7307</v>
      </c>
      <c r="CI602" s="134" t="s">
        <v>24</v>
      </c>
      <c r="CJ602" s="134"/>
      <c r="CK602" s="134" t="s">
        <v>7907</v>
      </c>
      <c r="CL602" s="134" t="s">
        <v>7826</v>
      </c>
      <c r="CM602" s="259" t="s">
        <v>4983</v>
      </c>
      <c r="CN602" s="454" t="s">
        <v>24</v>
      </c>
      <c r="CO602" s="828">
        <v>43</v>
      </c>
      <c r="CP602" s="828">
        <v>1</v>
      </c>
      <c r="CQ602" s="828">
        <v>4</v>
      </c>
      <c r="CR602" s="828">
        <v>1</v>
      </c>
      <c r="CS602" s="828">
        <v>1</v>
      </c>
      <c r="CT602" s="967"/>
      <c r="CU602" s="1291" t="s">
        <v>8102</v>
      </c>
      <c r="CV602" s="1295">
        <v>4</v>
      </c>
      <c r="CW602" s="1295">
        <v>1</v>
      </c>
      <c r="CX602" s="427" t="s">
        <v>4950</v>
      </c>
      <c r="CY602" s="134">
        <v>32.1</v>
      </c>
      <c r="CZ602" s="134">
        <v>3.7</v>
      </c>
      <c r="DA602" s="134" t="s">
        <v>24</v>
      </c>
      <c r="DB602" s="138" t="s">
        <v>4951</v>
      </c>
      <c r="DC602" s="134">
        <v>41.7</v>
      </c>
      <c r="DD602" s="168">
        <v>5.4</v>
      </c>
      <c r="DE602" s="134" t="s">
        <v>24</v>
      </c>
      <c r="DF602" s="1113" t="s">
        <v>7898</v>
      </c>
      <c r="DG602" s="295"/>
      <c r="DH602" s="822"/>
      <c r="DI602" s="417"/>
      <c r="DJ602" s="1169"/>
      <c r="DK602" s="417"/>
      <c r="DL602" s="1174"/>
      <c r="DM602" s="417"/>
      <c r="DN602" s="1169"/>
      <c r="DO602" s="1151"/>
      <c r="DP602" s="288"/>
      <c r="DQ602" s="441"/>
      <c r="DR602" s="1168"/>
      <c r="DS602" s="865"/>
      <c r="DT602" s="1171"/>
      <c r="DU602" s="417"/>
      <c r="DV602" s="1169"/>
      <c r="DW602" s="417"/>
      <c r="DX602" s="1171"/>
      <c r="DY602" s="417"/>
      <c r="DZ602" s="1169"/>
      <c r="EA602" s="417"/>
      <c r="EB602" s="304"/>
      <c r="EC602" s="312"/>
      <c r="ED602" s="1171"/>
      <c r="EE602" s="1169"/>
      <c r="EF602" s="1169"/>
      <c r="EG602" s="1169"/>
      <c r="EH602" s="1174"/>
      <c r="EI602" s="1169"/>
      <c r="EJ602" s="1169"/>
      <c r="EK602" s="1169"/>
      <c r="EL602" s="304"/>
      <c r="EM602" s="312"/>
      <c r="EN602" s="309"/>
      <c r="EO602" s="1170"/>
      <c r="EP602" s="1174"/>
      <c r="EQ602" s="1169"/>
      <c r="ER602" s="1169"/>
      <c r="ES602" s="1169"/>
      <c r="ET602" s="1171"/>
      <c r="EU602" s="1169"/>
      <c r="EV602" s="1169"/>
      <c r="EW602" s="1169"/>
      <c r="EX602" s="312"/>
      <c r="EY602" s="312"/>
      <c r="EZ602" s="1171"/>
      <c r="FA602" s="1169"/>
      <c r="FB602" s="1169"/>
      <c r="FC602" s="1169"/>
      <c r="FD602" s="1171"/>
      <c r="FE602" s="1169"/>
      <c r="FF602" s="1169"/>
      <c r="FG602" s="1169"/>
      <c r="FH602" s="312"/>
      <c r="FI602" s="312"/>
      <c r="FJ602" s="1170"/>
    </row>
    <row r="603" spans="1:166" ht="14" hidden="1" customHeight="1">
      <c r="A603" s="79" t="s">
        <v>337</v>
      </c>
      <c r="B603" s="362">
        <v>242</v>
      </c>
      <c r="C603" s="362">
        <v>88</v>
      </c>
      <c r="D603" s="362"/>
      <c r="E603" s="604" t="s">
        <v>2036</v>
      </c>
      <c r="F603" s="124" t="s">
        <v>2275</v>
      </c>
      <c r="G603" s="125">
        <v>2002</v>
      </c>
      <c r="H603" s="79">
        <v>11853357</v>
      </c>
      <c r="I603" s="79">
        <v>1</v>
      </c>
      <c r="J603" s="126"/>
      <c r="K603" s="127"/>
      <c r="L603" s="79">
        <v>1</v>
      </c>
      <c r="M603" s="79"/>
      <c r="N603" s="79">
        <v>1</v>
      </c>
      <c r="O603" s="128">
        <v>1</v>
      </c>
      <c r="P603" s="79" t="s">
        <v>874</v>
      </c>
      <c r="Q603" s="79" t="s">
        <v>1172</v>
      </c>
      <c r="R603" s="79" t="s">
        <v>25</v>
      </c>
      <c r="S603" s="79">
        <v>1</v>
      </c>
      <c r="T603" s="79"/>
      <c r="U603" s="79"/>
      <c r="V603" s="79"/>
      <c r="W603" s="79" t="s">
        <v>875</v>
      </c>
      <c r="X603" s="79" t="s">
        <v>24</v>
      </c>
      <c r="Y603" s="79" t="s">
        <v>24</v>
      </c>
      <c r="Z603" s="79"/>
      <c r="AA603" s="79"/>
      <c r="AB603" s="79"/>
      <c r="AC603" s="506"/>
      <c r="AD603" s="573">
        <v>1</v>
      </c>
      <c r="AE603" s="573">
        <v>2</v>
      </c>
      <c r="AF603" s="154">
        <v>1</v>
      </c>
      <c r="AG603" s="155"/>
      <c r="AH603" s="704"/>
      <c r="AI603" s="121">
        <v>2</v>
      </c>
      <c r="AJ603" s="524" t="s">
        <v>5806</v>
      </c>
      <c r="AK603" s="202"/>
      <c r="AL603" s="192">
        <v>1</v>
      </c>
      <c r="AM603" s="203">
        <v>0</v>
      </c>
      <c r="AN603" s="121">
        <f>Table66[[#This Row],[Data_Subjects_n_ptsd]]+Table66[[#This Row],[Data_Subjects_n_control]]</f>
        <v>47</v>
      </c>
      <c r="AO603" s="121">
        <v>26</v>
      </c>
      <c r="AP603" s="121">
        <v>21</v>
      </c>
      <c r="AQ603" s="121" t="s">
        <v>803</v>
      </c>
      <c r="AR603" s="121" t="s">
        <v>803</v>
      </c>
      <c r="AS603" s="121">
        <v>50.19</v>
      </c>
      <c r="AT603" s="121">
        <v>3.28</v>
      </c>
      <c r="AU603" s="121">
        <v>51.57</v>
      </c>
      <c r="AV603" s="121">
        <v>4.91</v>
      </c>
      <c r="AW603" s="121" t="s">
        <v>3206</v>
      </c>
      <c r="AX603" s="121"/>
      <c r="AY603" s="121"/>
      <c r="AZ603" s="754" t="s">
        <v>1874</v>
      </c>
      <c r="BA603" s="121" t="s">
        <v>24</v>
      </c>
      <c r="BB603" s="121" t="s">
        <v>24</v>
      </c>
      <c r="BC603" s="121" t="s">
        <v>5021</v>
      </c>
      <c r="BD603" s="754" t="s">
        <v>7521</v>
      </c>
      <c r="BE603" s="187">
        <v>0</v>
      </c>
      <c r="BF603" s="121" t="s">
        <v>3835</v>
      </c>
      <c r="BG603" s="121" t="s">
        <v>5805</v>
      </c>
      <c r="BH603" s="594"/>
      <c r="BI603" s="594"/>
      <c r="BJ603" s="156"/>
      <c r="BK603" s="156"/>
      <c r="BL603" s="156" t="s">
        <v>4727</v>
      </c>
      <c r="BM603" s="156"/>
      <c r="BN603" s="156"/>
      <c r="BO603" s="156"/>
      <c r="BP603" s="156">
        <v>1</v>
      </c>
      <c r="BQ603" s="156"/>
      <c r="BR603" s="156"/>
      <c r="BS603" s="156"/>
      <c r="BT603" s="156" t="s">
        <v>4727</v>
      </c>
      <c r="BU603" s="156"/>
      <c r="BV603" s="156"/>
      <c r="BW603" s="595" t="s">
        <v>5808</v>
      </c>
      <c r="BX603" s="157" t="s">
        <v>6611</v>
      </c>
      <c r="BY603" s="797" t="s">
        <v>7616</v>
      </c>
      <c r="BZ603" s="789" t="s">
        <v>7610</v>
      </c>
      <c r="CA603" s="660">
        <v>2</v>
      </c>
      <c r="CB603" s="660" t="s">
        <v>7556</v>
      </c>
      <c r="CC603" s="660" t="s">
        <v>7380</v>
      </c>
      <c r="CD603" s="134" t="s">
        <v>1876</v>
      </c>
      <c r="CE603" s="134">
        <v>2</v>
      </c>
      <c r="CF603" s="400"/>
      <c r="CG603" s="134" t="s">
        <v>4178</v>
      </c>
      <c r="CH603" s="753" t="s">
        <v>7307</v>
      </c>
      <c r="CI603" s="134" t="s">
        <v>24</v>
      </c>
      <c r="CJ603" s="134"/>
      <c r="CK603" s="134" t="s">
        <v>5810</v>
      </c>
      <c r="CL603" s="134" t="s">
        <v>7826</v>
      </c>
      <c r="CM603" s="259" t="s">
        <v>5824</v>
      </c>
      <c r="CN603" s="454" t="s">
        <v>24</v>
      </c>
      <c r="CO603" s="828">
        <v>80</v>
      </c>
      <c r="CP603" s="828">
        <v>1</v>
      </c>
      <c r="CQ603" s="828">
        <v>3</v>
      </c>
      <c r="CR603" s="828">
        <v>1</v>
      </c>
      <c r="CS603" s="828">
        <v>1</v>
      </c>
      <c r="CT603" s="967"/>
      <c r="CU603" s="1288" t="s">
        <v>8103</v>
      </c>
      <c r="CV603" s="1294">
        <v>40</v>
      </c>
      <c r="CW603" s="1294">
        <v>34</v>
      </c>
      <c r="CX603" s="138" t="s">
        <v>4231</v>
      </c>
      <c r="CY603" s="138">
        <v>40.46</v>
      </c>
      <c r="CZ603" s="138">
        <v>8.91</v>
      </c>
      <c r="DA603" s="134" t="s">
        <v>24</v>
      </c>
      <c r="DB603" s="138" t="s">
        <v>5812</v>
      </c>
      <c r="DC603" s="134">
        <v>46.33</v>
      </c>
      <c r="DD603" s="134">
        <v>4.5999999999999996</v>
      </c>
      <c r="DE603" s="134" t="s">
        <v>24</v>
      </c>
      <c r="DF603" s="294" t="s">
        <v>5815</v>
      </c>
      <c r="DG603" s="295" t="s">
        <v>5816</v>
      </c>
      <c r="DH603" s="121"/>
      <c r="DI603" s="121"/>
      <c r="DJ603" s="1169"/>
      <c r="DK603" s="121"/>
      <c r="DL603" s="1169"/>
      <c r="DM603" s="121"/>
      <c r="DN603" s="1169"/>
      <c r="DO603" s="121"/>
      <c r="DP603" s="288"/>
      <c r="DQ603" s="289"/>
      <c r="DR603" s="280"/>
      <c r="DS603" s="865"/>
      <c r="DT603" s="1171"/>
      <c r="DU603" s="121"/>
      <c r="DV603" s="1169"/>
      <c r="DW603" s="121"/>
      <c r="DX603" s="1169"/>
      <c r="DY603" s="121"/>
      <c r="DZ603" s="1169"/>
      <c r="EA603" s="121"/>
      <c r="EB603" s="304"/>
      <c r="EC603" s="312"/>
      <c r="ED603" s="1169"/>
      <c r="EE603" s="121"/>
      <c r="EF603" s="1169"/>
      <c r="EG603" s="121"/>
      <c r="EH603" s="1169"/>
      <c r="EI603" s="121"/>
      <c r="EJ603" s="1169"/>
      <c r="EK603" s="121"/>
      <c r="EL603" s="304"/>
      <c r="EM603" s="312"/>
      <c r="EN603" s="309"/>
      <c r="EO603" s="1170"/>
      <c r="EP603" s="1169"/>
      <c r="EQ603" s="1169"/>
      <c r="ER603" s="1169"/>
      <c r="ES603" s="1169"/>
      <c r="ET603" s="1171"/>
      <c r="EU603" s="1169"/>
      <c r="EV603" s="1169"/>
      <c r="EW603" s="1169"/>
      <c r="EX603" s="312"/>
      <c r="EY603" s="312"/>
      <c r="EZ603" s="1171"/>
      <c r="FA603" s="1169"/>
      <c r="FB603" s="1169"/>
      <c r="FC603" s="1169"/>
      <c r="FD603" s="1171"/>
      <c r="FE603" s="1169"/>
      <c r="FF603" s="1169"/>
      <c r="FG603" s="1169"/>
      <c r="FH603" s="312"/>
      <c r="FI603" s="312"/>
      <c r="FJ603" s="1170"/>
    </row>
    <row r="604" spans="1:166" s="1089" customFormat="1" ht="14" hidden="1" customHeight="1">
      <c r="A604" s="79" t="s">
        <v>292</v>
      </c>
      <c r="B604" s="362">
        <v>210</v>
      </c>
      <c r="C604" s="362"/>
      <c r="D604" s="362">
        <v>83</v>
      </c>
      <c r="E604" s="604" t="s">
        <v>2018</v>
      </c>
      <c r="F604" s="124" t="s">
        <v>2250</v>
      </c>
      <c r="G604" s="125">
        <v>2002</v>
      </c>
      <c r="H604" s="79">
        <v>11848709</v>
      </c>
      <c r="I604" s="79">
        <v>1</v>
      </c>
      <c r="J604" s="126"/>
      <c r="K604" s="127"/>
      <c r="L604" s="79">
        <v>1</v>
      </c>
      <c r="M604" s="79"/>
      <c r="N604" s="79">
        <v>1</v>
      </c>
      <c r="O604" s="128">
        <v>1</v>
      </c>
      <c r="P604" s="79" t="s">
        <v>609</v>
      </c>
      <c r="Q604" s="79" t="s">
        <v>1158</v>
      </c>
      <c r="R604" s="79" t="s">
        <v>471</v>
      </c>
      <c r="S604" s="79">
        <v>0</v>
      </c>
      <c r="T604" s="79"/>
      <c r="U604" s="79"/>
      <c r="V604" s="79"/>
      <c r="W604" s="79" t="s">
        <v>610</v>
      </c>
      <c r="X604" s="79" t="s">
        <v>56</v>
      </c>
      <c r="Y604" s="79"/>
      <c r="Z604" s="79"/>
      <c r="AA604" s="79"/>
      <c r="AB604" s="79"/>
      <c r="AC604" s="506" t="s">
        <v>6285</v>
      </c>
      <c r="AD604" s="573">
        <v>1</v>
      </c>
      <c r="AE604" s="573">
        <v>0</v>
      </c>
      <c r="AF604" s="924">
        <v>2</v>
      </c>
      <c r="AG604" s="925"/>
      <c r="AH604" s="911"/>
      <c r="AI604" s="923"/>
      <c r="AJ604" s="923"/>
      <c r="AK604" s="926"/>
      <c r="AL604" s="588"/>
      <c r="AM604" s="927"/>
      <c r="AN604" s="923"/>
      <c r="AO604" s="923"/>
      <c r="AP604" s="923"/>
      <c r="AQ604" s="923"/>
      <c r="AR604" s="923"/>
      <c r="AS604" s="923"/>
      <c r="AT604" s="923"/>
      <c r="AU604" s="923"/>
      <c r="AV604" s="923"/>
      <c r="AW604" s="923"/>
      <c r="AX604" s="923"/>
      <c r="AY604" s="923"/>
      <c r="AZ604" s="915"/>
      <c r="BA604" s="923"/>
      <c r="BB604" s="923"/>
      <c r="BC604" s="923"/>
      <c r="BD604" s="915"/>
      <c r="BE604" s="915"/>
      <c r="BF604" s="923"/>
      <c r="BG604" s="923"/>
      <c r="BH604" s="594"/>
      <c r="BI604" s="594"/>
      <c r="BJ604" s="156"/>
      <c r="BK604" s="156"/>
      <c r="BL604" s="156"/>
      <c r="BM604" s="156"/>
      <c r="BN604" s="156"/>
      <c r="BO604" s="156"/>
      <c r="BP604" s="156"/>
      <c r="BQ604" s="156"/>
      <c r="BR604" s="156" t="s">
        <v>5207</v>
      </c>
      <c r="BS604" s="156"/>
      <c r="BT604" s="156"/>
      <c r="BU604" s="156"/>
      <c r="BV604" s="156"/>
      <c r="BW604" s="928"/>
      <c r="BX604" s="929"/>
      <c r="BY604" s="929"/>
      <c r="BZ604" s="929"/>
      <c r="CA604" s="917"/>
      <c r="CB604" s="917"/>
      <c r="CC604" s="917"/>
      <c r="CD604" s="923"/>
      <c r="CE604" s="923"/>
      <c r="CF604" s="923"/>
      <c r="CG604" s="923"/>
      <c r="CH604" s="915"/>
      <c r="CI604" s="923"/>
      <c r="CJ604" s="923"/>
      <c r="CK604" s="923"/>
      <c r="CL604" s="923"/>
      <c r="CM604" s="930"/>
      <c r="CN604" s="931"/>
      <c r="CO604" s="931"/>
      <c r="CP604" s="931"/>
      <c r="CQ604" s="931"/>
      <c r="CR604" s="931"/>
      <c r="CS604" s="931"/>
      <c r="CT604" s="967"/>
      <c r="CU604" s="967"/>
      <c r="CV604" s="967"/>
      <c r="CW604" s="967"/>
      <c r="CX604" s="932"/>
      <c r="CY604" s="923"/>
      <c r="CZ604" s="923"/>
      <c r="DA604" s="923"/>
      <c r="DB604" s="932"/>
      <c r="DC604" s="923"/>
      <c r="DD604" s="923"/>
      <c r="DE604" s="923"/>
      <c r="DF604" s="922"/>
      <c r="DG604" s="911"/>
      <c r="DH604" s="950"/>
      <c r="DI604" s="951"/>
      <c r="DJ604" s="951"/>
      <c r="DK604" s="951"/>
      <c r="DL604" s="950"/>
      <c r="DM604" s="951"/>
      <c r="DN604" s="951"/>
      <c r="DO604" s="951"/>
      <c r="DP604" s="930"/>
      <c r="DQ604" s="594"/>
      <c r="DR604" s="1187"/>
      <c r="DS604" s="1186"/>
      <c r="DT604" s="950"/>
      <c r="DU604" s="951"/>
      <c r="DV604" s="951"/>
      <c r="DW604" s="951"/>
      <c r="DX604" s="951"/>
      <c r="DY604" s="951"/>
      <c r="DZ604" s="951"/>
      <c r="EA604" s="951"/>
      <c r="EB604" s="1185"/>
      <c r="EC604" s="951"/>
      <c r="ED604" s="951"/>
      <c r="EE604" s="951"/>
      <c r="EF604" s="951"/>
      <c r="EG604" s="951"/>
      <c r="EH604" s="951"/>
      <c r="EI604" s="951"/>
      <c r="EJ604" s="951"/>
      <c r="EK604" s="951"/>
      <c r="EL604" s="1185"/>
      <c r="EM604" s="951"/>
      <c r="EN604" s="1185"/>
      <c r="EO604" s="951"/>
      <c r="EP604" s="951"/>
      <c r="EQ604" s="951"/>
      <c r="ER604" s="951"/>
      <c r="ES604" s="951"/>
      <c r="ET604" s="950"/>
      <c r="EU604" s="951"/>
      <c r="EV604" s="951"/>
      <c r="EW604" s="951"/>
      <c r="EX604" s="951"/>
      <c r="EY604" s="951"/>
      <c r="EZ604" s="950"/>
      <c r="FA604" s="951"/>
      <c r="FB604" s="951"/>
      <c r="FC604" s="951"/>
      <c r="FD604" s="950"/>
      <c r="FE604" s="951"/>
      <c r="FF604" s="951"/>
      <c r="FG604" s="951"/>
      <c r="FH604" s="951"/>
      <c r="FI604" s="951"/>
      <c r="FJ604" s="951"/>
    </row>
    <row r="605" spans="1:166" ht="14" hidden="1" customHeight="1">
      <c r="A605" s="79" t="s">
        <v>294</v>
      </c>
      <c r="B605" s="362">
        <v>211</v>
      </c>
      <c r="C605" s="362"/>
      <c r="D605" s="362">
        <v>84</v>
      </c>
      <c r="E605" s="604" t="s">
        <v>2019</v>
      </c>
      <c r="F605" s="124" t="s">
        <v>2251</v>
      </c>
      <c r="G605" s="125">
        <v>2011</v>
      </c>
      <c r="H605" s="79">
        <v>21724666</v>
      </c>
      <c r="I605" s="79">
        <v>1</v>
      </c>
      <c r="J605" s="126"/>
      <c r="K605" s="127"/>
      <c r="L605" s="79">
        <v>1</v>
      </c>
      <c r="M605" s="79"/>
      <c r="N605" s="79">
        <v>1</v>
      </c>
      <c r="O605" s="128">
        <v>1</v>
      </c>
      <c r="P605" s="79" t="s">
        <v>771</v>
      </c>
      <c r="Q605" s="79" t="s">
        <v>1146</v>
      </c>
      <c r="R605" s="79" t="s">
        <v>768</v>
      </c>
      <c r="S605" s="79">
        <v>0</v>
      </c>
      <c r="T605" s="79"/>
      <c r="U605" s="79"/>
      <c r="V605" s="79"/>
      <c r="W605" s="79" t="s">
        <v>769</v>
      </c>
      <c r="X605" s="79" t="s">
        <v>56</v>
      </c>
      <c r="Y605" s="79" t="s">
        <v>24</v>
      </c>
      <c r="Z605" s="79" t="s">
        <v>770</v>
      </c>
      <c r="AA605" s="79"/>
      <c r="AB605" s="79"/>
      <c r="AC605" s="506" t="s">
        <v>6286</v>
      </c>
      <c r="AD605" s="573">
        <v>1</v>
      </c>
      <c r="AE605" s="573">
        <v>0</v>
      </c>
      <c r="AF605" s="924">
        <v>2</v>
      </c>
      <c r="AG605" s="925"/>
      <c r="AH605" s="911"/>
      <c r="AI605" s="923"/>
      <c r="AJ605" s="923"/>
      <c r="AK605" s="926"/>
      <c r="AL605" s="588"/>
      <c r="AM605" s="927"/>
      <c r="AN605" s="923"/>
      <c r="AO605" s="923"/>
      <c r="AP605" s="923"/>
      <c r="AQ605" s="923"/>
      <c r="AR605" s="923"/>
      <c r="AS605" s="923"/>
      <c r="AT605" s="923"/>
      <c r="AU605" s="923"/>
      <c r="AV605" s="923"/>
      <c r="AW605" s="923"/>
      <c r="AX605" s="923"/>
      <c r="AY605" s="923"/>
      <c r="AZ605" s="915"/>
      <c r="BA605" s="923"/>
      <c r="BB605" s="923"/>
      <c r="BC605" s="923"/>
      <c r="BD605" s="915"/>
      <c r="BE605" s="915"/>
      <c r="BF605" s="923"/>
      <c r="BG605" s="923"/>
      <c r="BH605" s="594"/>
      <c r="BI605" s="594"/>
      <c r="BJ605" s="156"/>
      <c r="BK605" s="156"/>
      <c r="BL605" s="156"/>
      <c r="BM605" s="156" t="s">
        <v>6175</v>
      </c>
      <c r="BN605" s="156"/>
      <c r="BO605" s="156" t="s">
        <v>4727</v>
      </c>
      <c r="BP605" s="156"/>
      <c r="BQ605" s="156" t="s">
        <v>6278</v>
      </c>
      <c r="BR605" s="156"/>
      <c r="BS605" s="156"/>
      <c r="BT605" s="156"/>
      <c r="BU605" s="156"/>
      <c r="BV605" s="156"/>
      <c r="BW605" s="928"/>
      <c r="BX605" s="929"/>
      <c r="BY605" s="929"/>
      <c r="BZ605" s="929"/>
      <c r="CA605" s="184"/>
      <c r="CB605" s="954"/>
      <c r="CC605" s="954"/>
      <c r="CD605" s="923"/>
      <c r="CE605" s="923"/>
      <c r="CF605" s="923"/>
      <c r="CG605" s="923"/>
      <c r="CH605" s="915"/>
      <c r="CI605" s="923"/>
      <c r="CJ605" s="923"/>
      <c r="CK605" s="923"/>
      <c r="CL605" s="923"/>
      <c r="CM605" s="930"/>
      <c r="CN605" s="931"/>
      <c r="CO605" s="931"/>
      <c r="CP605" s="931"/>
      <c r="CQ605" s="931"/>
      <c r="CR605" s="931"/>
      <c r="CS605" s="931"/>
      <c r="CT605" s="967"/>
      <c r="CU605" s="967"/>
      <c r="CV605" s="967"/>
      <c r="CW605" s="967"/>
      <c r="CX605" s="932"/>
      <c r="CY605" s="923"/>
      <c r="CZ605" s="923"/>
      <c r="DA605" s="923"/>
      <c r="DB605" s="932"/>
      <c r="DC605" s="923"/>
      <c r="DD605" s="923"/>
      <c r="DE605" s="923"/>
      <c r="DF605" s="920"/>
      <c r="DG605" s="598"/>
      <c r="DH605" s="950"/>
      <c r="DI605" s="951"/>
      <c r="DJ605" s="951"/>
      <c r="DK605" s="951"/>
      <c r="DL605" s="950"/>
      <c r="DM605" s="951"/>
      <c r="DN605" s="951"/>
      <c r="DO605" s="951"/>
      <c r="DP605" s="930"/>
      <c r="DQ605" s="594"/>
      <c r="DR605" s="1187"/>
      <c r="DS605" s="1186"/>
      <c r="DT605" s="950"/>
      <c r="DU605" s="951"/>
      <c r="DV605" s="951"/>
      <c r="DW605" s="951"/>
      <c r="DX605" s="951"/>
      <c r="DY605" s="951"/>
      <c r="DZ605" s="951"/>
      <c r="EA605" s="951"/>
      <c r="EB605" s="1185"/>
      <c r="EC605" s="951"/>
      <c r="ED605" s="951"/>
      <c r="EE605" s="951"/>
      <c r="EF605" s="951"/>
      <c r="EG605" s="951"/>
      <c r="EH605" s="951"/>
      <c r="EI605" s="951"/>
      <c r="EJ605" s="951"/>
      <c r="EK605" s="951"/>
      <c r="EL605" s="1185"/>
      <c r="EM605" s="951"/>
      <c r="EN605" s="1185"/>
      <c r="EO605" s="951"/>
      <c r="EP605" s="951"/>
      <c r="EQ605" s="951"/>
      <c r="ER605" s="951"/>
      <c r="ES605" s="951"/>
      <c r="ET605" s="950"/>
      <c r="EU605" s="951"/>
      <c r="EV605" s="951"/>
      <c r="EW605" s="951"/>
      <c r="EX605" s="951"/>
      <c r="EY605" s="951"/>
      <c r="EZ605" s="950"/>
      <c r="FA605" s="951"/>
      <c r="FB605" s="951"/>
      <c r="FC605" s="951"/>
      <c r="FD605" s="950"/>
      <c r="FE605" s="951"/>
      <c r="FF605" s="951"/>
      <c r="FG605" s="951"/>
      <c r="FH605" s="951"/>
      <c r="FI605" s="951"/>
      <c r="FJ605" s="951"/>
    </row>
    <row r="606" spans="1:166" ht="14" hidden="1" customHeight="1">
      <c r="A606" s="79" t="s">
        <v>295</v>
      </c>
      <c r="B606" s="362">
        <v>212</v>
      </c>
      <c r="C606" s="362"/>
      <c r="D606" s="362">
        <v>85</v>
      </c>
      <c r="E606" s="604" t="s">
        <v>2020</v>
      </c>
      <c r="F606" s="124" t="s">
        <v>2252</v>
      </c>
      <c r="G606" s="125">
        <v>2014</v>
      </c>
      <c r="H606" s="79">
        <v>25150386</v>
      </c>
      <c r="I606" s="79">
        <v>1</v>
      </c>
      <c r="J606" s="126"/>
      <c r="K606" s="127"/>
      <c r="L606" s="79">
        <v>1</v>
      </c>
      <c r="M606" s="79"/>
      <c r="N606" s="79">
        <v>1</v>
      </c>
      <c r="O606" s="128">
        <v>1</v>
      </c>
      <c r="P606" s="79" t="s">
        <v>773</v>
      </c>
      <c r="Q606" s="79" t="s">
        <v>1192</v>
      </c>
      <c r="R606" s="79" t="s">
        <v>762</v>
      </c>
      <c r="S606" s="79">
        <v>1</v>
      </c>
      <c r="T606" s="79"/>
      <c r="U606" s="79"/>
      <c r="V606" s="79"/>
      <c r="W606" s="79" t="s">
        <v>772</v>
      </c>
      <c r="X606" s="79" t="s">
        <v>33</v>
      </c>
      <c r="Y606" s="79"/>
      <c r="Z606" s="79"/>
      <c r="AA606" s="79"/>
      <c r="AB606" s="79"/>
      <c r="AC606" s="506" t="s">
        <v>6287</v>
      </c>
      <c r="AD606" s="573">
        <v>1</v>
      </c>
      <c r="AE606" s="573">
        <v>0</v>
      </c>
      <c r="AF606" s="924">
        <v>2</v>
      </c>
      <c r="AG606" s="925"/>
      <c r="AH606" s="911"/>
      <c r="AI606" s="923">
        <v>2</v>
      </c>
      <c r="AJ606" s="923"/>
      <c r="AK606" s="926"/>
      <c r="AL606" s="588"/>
      <c r="AM606" s="927"/>
      <c r="AN606" s="923"/>
      <c r="AO606" s="923"/>
      <c r="AP606" s="923"/>
      <c r="AQ606" s="923"/>
      <c r="AR606" s="923"/>
      <c r="AS606" s="923"/>
      <c r="AT606" s="923"/>
      <c r="AU606" s="923"/>
      <c r="AV606" s="923"/>
      <c r="AW606" s="923"/>
      <c r="AX606" s="923"/>
      <c r="AY606" s="923"/>
      <c r="AZ606" s="915"/>
      <c r="BA606" s="923"/>
      <c r="BB606" s="923"/>
      <c r="BC606" s="923"/>
      <c r="BD606" s="915"/>
      <c r="BE606" s="915"/>
      <c r="BF606" s="923"/>
      <c r="BG606" s="923"/>
      <c r="BH606" s="594"/>
      <c r="BI606" s="594"/>
      <c r="BJ606" s="156"/>
      <c r="BK606" s="156"/>
      <c r="BL606" s="156"/>
      <c r="BM606" s="156" t="s">
        <v>6237</v>
      </c>
      <c r="BN606" s="156"/>
      <c r="BO606" s="156" t="s">
        <v>4727</v>
      </c>
      <c r="BP606" s="156"/>
      <c r="BQ606" s="156" t="s">
        <v>6243</v>
      </c>
      <c r="BR606" s="156"/>
      <c r="BS606" s="156"/>
      <c r="BT606" s="156"/>
      <c r="BU606" s="156"/>
      <c r="BV606" s="156"/>
      <c r="BW606" s="928"/>
      <c r="BX606" s="929"/>
      <c r="BY606" s="929"/>
      <c r="BZ606" s="929"/>
      <c r="CA606" s="184"/>
      <c r="CB606" s="954"/>
      <c r="CC606" s="954"/>
      <c r="CD606" s="923"/>
      <c r="CE606" s="923"/>
      <c r="CF606" s="923"/>
      <c r="CG606" s="923"/>
      <c r="CH606" s="915"/>
      <c r="CI606" s="923"/>
      <c r="CJ606" s="923"/>
      <c r="CK606" s="923"/>
      <c r="CL606" s="923"/>
      <c r="CM606" s="930"/>
      <c r="CN606" s="931"/>
      <c r="CO606" s="931"/>
      <c r="CP606" s="931"/>
      <c r="CQ606" s="931"/>
      <c r="CR606" s="931"/>
      <c r="CS606" s="931"/>
      <c r="CT606" s="967"/>
      <c r="CU606" s="967"/>
      <c r="CV606" s="967"/>
      <c r="CW606" s="967"/>
      <c r="CX606" s="932"/>
      <c r="CY606" s="923"/>
      <c r="CZ606" s="923"/>
      <c r="DA606" s="923"/>
      <c r="DB606" s="932"/>
      <c r="DC606" s="923"/>
      <c r="DD606" s="923"/>
      <c r="DE606" s="923"/>
      <c r="DF606" s="920"/>
      <c r="DG606" s="598"/>
      <c r="DH606" s="950"/>
      <c r="DI606" s="951"/>
      <c r="DJ606" s="951"/>
      <c r="DK606" s="951"/>
      <c r="DL606" s="950"/>
      <c r="DM606" s="951"/>
      <c r="DN606" s="951"/>
      <c r="DO606" s="951"/>
      <c r="DP606" s="930"/>
      <c r="DQ606" s="594"/>
      <c r="DR606" s="1187"/>
      <c r="DS606" s="1186"/>
      <c r="DT606" s="950"/>
      <c r="DU606" s="951"/>
      <c r="DV606" s="951"/>
      <c r="DW606" s="951"/>
      <c r="DX606" s="951"/>
      <c r="DY606" s="951"/>
      <c r="DZ606" s="951"/>
      <c r="EA606" s="951"/>
      <c r="EB606" s="1185"/>
      <c r="EC606" s="951"/>
      <c r="ED606" s="951"/>
      <c r="EE606" s="951"/>
      <c r="EF606" s="951"/>
      <c r="EG606" s="951"/>
      <c r="EH606" s="951"/>
      <c r="EI606" s="951"/>
      <c r="EJ606" s="951"/>
      <c r="EK606" s="951"/>
      <c r="EL606" s="1185"/>
      <c r="EM606" s="951"/>
      <c r="EN606" s="1185"/>
      <c r="EO606" s="951"/>
      <c r="EP606" s="951"/>
      <c r="EQ606" s="951"/>
      <c r="ER606" s="951"/>
      <c r="ES606" s="951"/>
      <c r="ET606" s="950"/>
      <c r="EU606" s="951"/>
      <c r="EV606" s="951"/>
      <c r="EW606" s="951"/>
      <c r="EX606" s="951"/>
      <c r="EY606" s="951"/>
      <c r="EZ606" s="950"/>
      <c r="FA606" s="951"/>
      <c r="FB606" s="951"/>
      <c r="FC606" s="951"/>
      <c r="FD606" s="950"/>
      <c r="FE606" s="951"/>
      <c r="FF606" s="951"/>
      <c r="FG606" s="951"/>
      <c r="FH606" s="951"/>
      <c r="FI606" s="951"/>
      <c r="FJ606" s="951"/>
    </row>
    <row r="607" spans="1:166" ht="14" hidden="1" customHeight="1">
      <c r="A607" s="79" t="s">
        <v>296</v>
      </c>
      <c r="B607" s="362">
        <v>213</v>
      </c>
      <c r="C607" s="362"/>
      <c r="D607" s="362">
        <v>86</v>
      </c>
      <c r="E607" s="604" t="s">
        <v>2020</v>
      </c>
      <c r="F607" s="124" t="s">
        <v>2253</v>
      </c>
      <c r="G607" s="125">
        <v>2014</v>
      </c>
      <c r="H607" s="79">
        <v>24342149</v>
      </c>
      <c r="I607" s="79">
        <v>1</v>
      </c>
      <c r="J607" s="126"/>
      <c r="K607" s="127"/>
      <c r="L607" s="79">
        <v>1</v>
      </c>
      <c r="M607" s="79"/>
      <c r="N607" s="164">
        <v>1</v>
      </c>
      <c r="O607" s="128">
        <v>1</v>
      </c>
      <c r="P607" s="79" t="s">
        <v>775</v>
      </c>
      <c r="Q607" s="79" t="s">
        <v>1164</v>
      </c>
      <c r="R607" s="79" t="s">
        <v>762</v>
      </c>
      <c r="S607" s="79">
        <v>1</v>
      </c>
      <c r="T607" s="79"/>
      <c r="U607" s="79"/>
      <c r="V607" s="79"/>
      <c r="W607" s="79" t="s">
        <v>774</v>
      </c>
      <c r="X607" s="79" t="s">
        <v>33</v>
      </c>
      <c r="Y607" s="79"/>
      <c r="Z607" s="79"/>
      <c r="AA607" s="79"/>
      <c r="AB607" s="79" t="s">
        <v>776</v>
      </c>
      <c r="AC607" s="506" t="s">
        <v>6288</v>
      </c>
      <c r="AD607" s="573">
        <v>1</v>
      </c>
      <c r="AE607" s="573">
        <v>0</v>
      </c>
      <c r="AF607" s="924">
        <v>2</v>
      </c>
      <c r="AG607" s="925"/>
      <c r="AH607" s="911"/>
      <c r="AI607" s="923">
        <v>2</v>
      </c>
      <c r="AJ607" s="923"/>
      <c r="AK607" s="926"/>
      <c r="AL607" s="588"/>
      <c r="AM607" s="927"/>
      <c r="AN607" s="923"/>
      <c r="AO607" s="923"/>
      <c r="AP607" s="923"/>
      <c r="AQ607" s="923"/>
      <c r="AR607" s="923"/>
      <c r="AS607" s="923"/>
      <c r="AT607" s="923"/>
      <c r="AU607" s="923"/>
      <c r="AV607" s="923"/>
      <c r="AW607" s="923"/>
      <c r="AX607" s="923"/>
      <c r="AY607" s="923"/>
      <c r="AZ607" s="915"/>
      <c r="BA607" s="923"/>
      <c r="BB607" s="923"/>
      <c r="BC607" s="923"/>
      <c r="BD607" s="915"/>
      <c r="BE607" s="915"/>
      <c r="BF607" s="923"/>
      <c r="BG607" s="923"/>
      <c r="BH607" s="594"/>
      <c r="BI607" s="594"/>
      <c r="BJ607" s="156"/>
      <c r="BK607" s="156"/>
      <c r="BL607" s="156"/>
      <c r="BM607" s="156"/>
      <c r="BN607" s="156"/>
      <c r="BO607" s="156"/>
      <c r="BP607" s="156"/>
      <c r="BQ607" s="156"/>
      <c r="BR607" s="156"/>
      <c r="BS607" s="156"/>
      <c r="BT607" s="156"/>
      <c r="BU607" s="156"/>
      <c r="BV607" s="156" t="s">
        <v>5545</v>
      </c>
      <c r="BW607" s="928"/>
      <c r="BX607" s="929"/>
      <c r="BY607" s="929"/>
      <c r="BZ607" s="929"/>
      <c r="CA607" s="917"/>
      <c r="CB607" s="917"/>
      <c r="CC607" s="917"/>
      <c r="CD607" s="923"/>
      <c r="CE607" s="923"/>
      <c r="CF607" s="923"/>
      <c r="CG607" s="923"/>
      <c r="CH607" s="915"/>
      <c r="CI607" s="923"/>
      <c r="CJ607" s="923"/>
      <c r="CK607" s="923"/>
      <c r="CL607" s="923"/>
      <c r="CM607" s="930"/>
      <c r="CN607" s="931"/>
      <c r="CO607" s="931"/>
      <c r="CP607" s="931"/>
      <c r="CQ607" s="931"/>
      <c r="CR607" s="931"/>
      <c r="CS607" s="931"/>
      <c r="CT607" s="967"/>
      <c r="CU607" s="967"/>
      <c r="CV607" s="967"/>
      <c r="CW607" s="967"/>
      <c r="CX607" s="932"/>
      <c r="CY607" s="923"/>
      <c r="CZ607" s="923"/>
      <c r="DA607" s="923"/>
      <c r="DB607" s="932"/>
      <c r="DC607" s="923"/>
      <c r="DD607" s="923"/>
      <c r="DE607" s="923"/>
      <c r="DF607" s="920"/>
      <c r="DG607" s="598"/>
      <c r="DH607" s="950"/>
      <c r="DI607" s="951"/>
      <c r="DJ607" s="951"/>
      <c r="DK607" s="951"/>
      <c r="DL607" s="950"/>
      <c r="DM607" s="951"/>
      <c r="DN607" s="951"/>
      <c r="DO607" s="951"/>
      <c r="DP607" s="930"/>
      <c r="DQ607" s="594"/>
      <c r="DR607" s="1187"/>
      <c r="DS607" s="1186"/>
      <c r="DT607" s="950"/>
      <c r="DU607" s="951"/>
      <c r="DV607" s="951"/>
      <c r="DW607" s="951"/>
      <c r="DX607" s="951"/>
      <c r="DY607" s="951"/>
      <c r="DZ607" s="951"/>
      <c r="EA607" s="951"/>
      <c r="EB607" s="1185"/>
      <c r="EC607" s="951"/>
      <c r="ED607" s="951"/>
      <c r="EE607" s="951"/>
      <c r="EF607" s="951"/>
      <c r="EG607" s="951"/>
      <c r="EH607" s="951"/>
      <c r="EI607" s="951"/>
      <c r="EJ607" s="951"/>
      <c r="EK607" s="951"/>
      <c r="EL607" s="1185"/>
      <c r="EM607" s="951"/>
      <c r="EN607" s="1185"/>
      <c r="EO607" s="951"/>
      <c r="EP607" s="951"/>
      <c r="EQ607" s="951"/>
      <c r="ER607" s="951"/>
      <c r="ES607" s="951"/>
      <c r="ET607" s="950"/>
      <c r="EU607" s="951"/>
      <c r="EV607" s="951"/>
      <c r="EW607" s="951"/>
      <c r="EX607" s="951"/>
      <c r="EY607" s="951"/>
      <c r="EZ607" s="950"/>
      <c r="FA607" s="951"/>
      <c r="FB607" s="951"/>
      <c r="FC607" s="951"/>
      <c r="FD607" s="950"/>
      <c r="FE607" s="951"/>
      <c r="FF607" s="951"/>
      <c r="FG607" s="951"/>
      <c r="FH607" s="951"/>
      <c r="FI607" s="951"/>
      <c r="FJ607" s="951"/>
    </row>
    <row r="608" spans="1:166" ht="14" hidden="1" customHeight="1">
      <c r="A608" s="79" t="s">
        <v>297</v>
      </c>
      <c r="B608" s="362">
        <v>214</v>
      </c>
      <c r="C608" s="362"/>
      <c r="D608" s="362">
        <v>87</v>
      </c>
      <c r="E608" s="604" t="s">
        <v>2021</v>
      </c>
      <c r="F608" s="124" t="s">
        <v>2254</v>
      </c>
      <c r="G608" s="125">
        <v>2008</v>
      </c>
      <c r="H608" s="79">
        <v>18590795</v>
      </c>
      <c r="I608" s="79">
        <v>1</v>
      </c>
      <c r="J608" s="126"/>
      <c r="K608" s="127"/>
      <c r="L608" s="79">
        <v>1</v>
      </c>
      <c r="M608" s="79"/>
      <c r="N608" s="79">
        <v>1</v>
      </c>
      <c r="O608" s="128">
        <v>1</v>
      </c>
      <c r="P608" s="79" t="s">
        <v>779</v>
      </c>
      <c r="Q608" s="79" t="s">
        <v>1192</v>
      </c>
      <c r="R608" s="79" t="s">
        <v>25</v>
      </c>
      <c r="S608" s="79">
        <v>1</v>
      </c>
      <c r="T608" s="79"/>
      <c r="U608" s="79"/>
      <c r="V608" s="79"/>
      <c r="W608" s="79" t="s">
        <v>778</v>
      </c>
      <c r="X608" s="79" t="s">
        <v>777</v>
      </c>
      <c r="Y608" s="79"/>
      <c r="Z608" s="79"/>
      <c r="AA608" s="79"/>
      <c r="AB608" s="79"/>
      <c r="AC608" s="506" t="s">
        <v>6290</v>
      </c>
      <c r="AD608" s="573">
        <v>1</v>
      </c>
      <c r="AE608" s="573">
        <v>0</v>
      </c>
      <c r="AF608" s="924">
        <v>2</v>
      </c>
      <c r="AG608" s="925"/>
      <c r="AH608" s="911"/>
      <c r="AI608" s="923">
        <v>2</v>
      </c>
      <c r="AJ608" s="923"/>
      <c r="AK608" s="926"/>
      <c r="AL608" s="588"/>
      <c r="AM608" s="927"/>
      <c r="AN608" s="923"/>
      <c r="AO608" s="923"/>
      <c r="AP608" s="923"/>
      <c r="AQ608" s="923"/>
      <c r="AR608" s="923"/>
      <c r="AS608" s="923"/>
      <c r="AT608" s="923"/>
      <c r="AU608" s="923"/>
      <c r="AV608" s="923"/>
      <c r="AW608" s="923"/>
      <c r="AX608" s="923"/>
      <c r="AY608" s="923"/>
      <c r="AZ608" s="915"/>
      <c r="BA608" s="923"/>
      <c r="BB608" s="923"/>
      <c r="BC608" s="923"/>
      <c r="BD608" s="915"/>
      <c r="BE608" s="915"/>
      <c r="BF608" s="923"/>
      <c r="BG608" s="923"/>
      <c r="BH608" s="594"/>
      <c r="BI608" s="594"/>
      <c r="BJ608" s="156"/>
      <c r="BK608" s="156"/>
      <c r="BL608" s="156" t="s">
        <v>5207</v>
      </c>
      <c r="BM608" s="156" t="s">
        <v>6175</v>
      </c>
      <c r="BN608" s="156"/>
      <c r="BO608" s="156" t="s">
        <v>5207</v>
      </c>
      <c r="BP608" s="156"/>
      <c r="BQ608" s="156"/>
      <c r="BR608" s="156"/>
      <c r="BS608" s="156"/>
      <c r="BT608" s="156" t="s">
        <v>5207</v>
      </c>
      <c r="BU608" s="156"/>
      <c r="BV608" s="156" t="s">
        <v>6289</v>
      </c>
      <c r="BW608" s="928"/>
      <c r="BX608" s="929"/>
      <c r="BY608" s="929"/>
      <c r="BZ608" s="929"/>
      <c r="CA608" s="917"/>
      <c r="CB608" s="917"/>
      <c r="CC608" s="917"/>
      <c r="CD608" s="923"/>
      <c r="CE608" s="923"/>
      <c r="CF608" s="923"/>
      <c r="CG608" s="923"/>
      <c r="CH608" s="915"/>
      <c r="CI608" s="923"/>
      <c r="CJ608" s="923"/>
      <c r="CK608" s="923"/>
      <c r="CL608" s="923"/>
      <c r="CM608" s="930"/>
      <c r="CN608" s="931"/>
      <c r="CO608" s="931"/>
      <c r="CP608" s="931"/>
      <c r="CQ608" s="931"/>
      <c r="CR608" s="931"/>
      <c r="CS608" s="931"/>
      <c r="CT608" s="967"/>
      <c r="CU608" s="967"/>
      <c r="CV608" s="967"/>
      <c r="CW608" s="967"/>
      <c r="CX608" s="932"/>
      <c r="CY608" s="923"/>
      <c r="CZ608" s="923"/>
      <c r="DA608" s="923"/>
      <c r="DB608" s="932"/>
      <c r="DC608" s="923"/>
      <c r="DD608" s="923"/>
      <c r="DE608" s="923"/>
      <c r="DF608" s="920"/>
      <c r="DG608" s="598"/>
      <c r="DH608" s="950"/>
      <c r="DI608" s="951"/>
      <c r="DJ608" s="951"/>
      <c r="DK608" s="951"/>
      <c r="DL608" s="950"/>
      <c r="DM608" s="951"/>
      <c r="DN608" s="951"/>
      <c r="DO608" s="951"/>
      <c r="DP608" s="930"/>
      <c r="DQ608" s="594"/>
      <c r="DR608" s="1187"/>
      <c r="DS608" s="1186"/>
      <c r="DT608" s="950"/>
      <c r="DU608" s="951"/>
      <c r="DV608" s="951"/>
      <c r="DW608" s="951"/>
      <c r="DX608" s="951"/>
      <c r="DY608" s="951"/>
      <c r="DZ608" s="951"/>
      <c r="EA608" s="951"/>
      <c r="EB608" s="1185"/>
      <c r="EC608" s="951"/>
      <c r="ED608" s="951"/>
      <c r="EE608" s="951"/>
      <c r="EF608" s="951"/>
      <c r="EG608" s="951"/>
      <c r="EH608" s="951"/>
      <c r="EI608" s="951"/>
      <c r="EJ608" s="951"/>
      <c r="EK608" s="951"/>
      <c r="EL608" s="1185"/>
      <c r="EM608" s="951"/>
      <c r="EN608" s="1185"/>
      <c r="EO608" s="951"/>
      <c r="EP608" s="951"/>
      <c r="EQ608" s="951"/>
      <c r="ER608" s="951"/>
      <c r="ES608" s="951"/>
      <c r="ET608" s="950"/>
      <c r="EU608" s="951"/>
      <c r="EV608" s="951"/>
      <c r="EW608" s="951"/>
      <c r="EX608" s="951"/>
      <c r="EY608" s="951"/>
      <c r="EZ608" s="950"/>
      <c r="FA608" s="951"/>
      <c r="FB608" s="951"/>
      <c r="FC608" s="951"/>
      <c r="FD608" s="950"/>
      <c r="FE608" s="951"/>
      <c r="FF608" s="951"/>
      <c r="FG608" s="951"/>
      <c r="FH608" s="951"/>
      <c r="FI608" s="951"/>
      <c r="FJ608" s="951"/>
    </row>
    <row r="609" spans="1:166" ht="14" hidden="1" customHeight="1">
      <c r="A609" s="153" t="s">
        <v>298</v>
      </c>
      <c r="B609" s="618">
        <v>215</v>
      </c>
      <c r="C609" s="618">
        <v>75</v>
      </c>
      <c r="D609" s="618"/>
      <c r="E609" s="610" t="s">
        <v>2022</v>
      </c>
      <c r="F609" s="368" t="s">
        <v>2255</v>
      </c>
      <c r="G609" s="369">
        <v>2016</v>
      </c>
      <c r="H609" s="153">
        <v>26645315</v>
      </c>
      <c r="I609" s="153">
        <v>1</v>
      </c>
      <c r="J609" s="370"/>
      <c r="K609" s="371"/>
      <c r="L609" s="153">
        <v>1</v>
      </c>
      <c r="M609" s="153"/>
      <c r="N609" s="153">
        <v>1</v>
      </c>
      <c r="O609" s="153">
        <v>1</v>
      </c>
      <c r="P609" s="153" t="s">
        <v>781</v>
      </c>
      <c r="Q609" s="153" t="s">
        <v>1147</v>
      </c>
      <c r="R609" s="153" t="s">
        <v>783</v>
      </c>
      <c r="S609" s="153">
        <v>1</v>
      </c>
      <c r="T609" s="153"/>
      <c r="U609" s="153"/>
      <c r="V609" s="153"/>
      <c r="W609" s="153" t="s">
        <v>782</v>
      </c>
      <c r="X609" s="153" t="s">
        <v>24</v>
      </c>
      <c r="Y609" s="153"/>
      <c r="Z609" s="153"/>
      <c r="AA609" s="153"/>
      <c r="AB609" s="153" t="s">
        <v>784</v>
      </c>
      <c r="AC609" s="536"/>
      <c r="AD609" s="536">
        <v>1</v>
      </c>
      <c r="AE609" s="536">
        <v>2</v>
      </c>
      <c r="AF609" s="507">
        <v>0</v>
      </c>
      <c r="AG609" s="508" t="s">
        <v>7279</v>
      </c>
      <c r="AH609" s="509">
        <v>0</v>
      </c>
      <c r="AI609" s="120">
        <v>2</v>
      </c>
      <c r="AJ609" s="120"/>
      <c r="AK609" s="206" t="s">
        <v>5543</v>
      </c>
      <c r="AL609" s="372"/>
      <c r="AM609" s="207"/>
      <c r="AN609" s="120"/>
      <c r="AO609" s="120"/>
      <c r="AP609" s="120"/>
      <c r="AQ609" s="120"/>
      <c r="AR609" s="120"/>
      <c r="AS609" s="120"/>
      <c r="AT609" s="120"/>
      <c r="AU609" s="120"/>
      <c r="AV609" s="120"/>
      <c r="AW609" s="120"/>
      <c r="AX609" s="120"/>
      <c r="AY609" s="120"/>
      <c r="AZ609" s="755"/>
      <c r="BA609" s="120"/>
      <c r="BB609" s="120"/>
      <c r="BC609" s="120"/>
      <c r="BD609" s="755"/>
      <c r="BE609" s="755"/>
      <c r="BF609" s="120"/>
      <c r="BG609" s="120" t="s">
        <v>5541</v>
      </c>
      <c r="BH609" s="377"/>
      <c r="BI609" s="377"/>
      <c r="BJ609" s="373"/>
      <c r="BK609" s="373"/>
      <c r="BL609" s="373"/>
      <c r="BM609" s="373"/>
      <c r="BN609" s="373"/>
      <c r="BO609" s="373"/>
      <c r="BP609" s="373">
        <v>1</v>
      </c>
      <c r="BQ609" s="373"/>
      <c r="BR609" s="373"/>
      <c r="BS609" s="373"/>
      <c r="BT609" s="373"/>
      <c r="BU609" s="373"/>
      <c r="BV609" s="373"/>
      <c r="BW609" s="599" t="s">
        <v>24</v>
      </c>
      <c r="BX609" s="374"/>
      <c r="BY609" s="374"/>
      <c r="BZ609" s="374"/>
      <c r="CA609" s="510"/>
      <c r="CB609" s="510"/>
      <c r="CC609" s="510"/>
      <c r="CD609" s="120"/>
      <c r="CE609" s="120"/>
      <c r="CF609" s="120"/>
      <c r="CG609" s="120"/>
      <c r="CH609" s="755"/>
      <c r="CI609" s="384"/>
      <c r="CJ609" s="384"/>
      <c r="CK609" s="120"/>
      <c r="CL609" s="120"/>
      <c r="CM609" s="375"/>
      <c r="CN609" s="380"/>
      <c r="CO609" s="380"/>
      <c r="CP609" s="380"/>
      <c r="CQ609" s="380"/>
      <c r="CR609" s="380"/>
      <c r="CS609" s="380"/>
      <c r="CT609" s="380"/>
      <c r="CU609" s="380"/>
      <c r="CV609" s="380"/>
      <c r="CW609" s="380"/>
      <c r="CX609" s="376"/>
      <c r="CY609" s="120"/>
      <c r="CZ609" s="120"/>
      <c r="DA609" s="120"/>
      <c r="DB609" s="376"/>
      <c r="DC609" s="120"/>
      <c r="DD609" s="120"/>
      <c r="DE609" s="120"/>
      <c r="DF609" s="515"/>
      <c r="DG609" s="513"/>
      <c r="DH609" s="727"/>
      <c r="DI609" s="384"/>
      <c r="DJ609" s="384"/>
      <c r="DK609" s="384"/>
      <c r="DL609" s="727"/>
      <c r="DM609" s="384"/>
      <c r="DN609" s="384"/>
      <c r="DO609" s="384"/>
      <c r="DP609" s="375"/>
      <c r="DQ609" s="377"/>
      <c r="DR609" s="1182"/>
      <c r="DS609" s="956"/>
      <c r="DT609" s="727"/>
      <c r="DU609" s="384"/>
      <c r="DV609" s="384"/>
      <c r="DW609" s="384"/>
      <c r="DX609" s="384"/>
      <c r="DY609" s="384"/>
      <c r="DZ609" s="384"/>
      <c r="EA609" s="384"/>
      <c r="EB609" s="1012"/>
      <c r="EC609" s="384"/>
      <c r="ED609" s="384"/>
      <c r="EE609" s="384"/>
      <c r="EF609" s="384"/>
      <c r="EG609" s="384"/>
      <c r="EH609" s="384"/>
      <c r="EI609" s="384"/>
      <c r="EJ609" s="384"/>
      <c r="EK609" s="384"/>
      <c r="EL609" s="1012"/>
      <c r="EM609" s="384"/>
      <c r="EN609" s="1012"/>
      <c r="EO609" s="384"/>
      <c r="EP609" s="384"/>
      <c r="EQ609" s="384"/>
      <c r="ER609" s="384"/>
      <c r="ES609" s="384"/>
      <c r="ET609" s="727"/>
      <c r="EU609" s="384"/>
      <c r="EV609" s="384"/>
      <c r="EW609" s="384"/>
      <c r="EX609" s="384"/>
      <c r="EY609" s="384"/>
      <c r="EZ609" s="727"/>
      <c r="FA609" s="384"/>
      <c r="FB609" s="384"/>
      <c r="FC609" s="384"/>
      <c r="FD609" s="727"/>
      <c r="FE609" s="384"/>
      <c r="FF609" s="384"/>
      <c r="FG609" s="384"/>
      <c r="FH609" s="384"/>
      <c r="FI609" s="384"/>
      <c r="FJ609" s="384"/>
    </row>
    <row r="610" spans="1:166" ht="14" hidden="1" customHeight="1">
      <c r="A610" s="153" t="s">
        <v>974</v>
      </c>
      <c r="B610" s="1097">
        <v>216</v>
      </c>
      <c r="C610" s="1097">
        <v>76</v>
      </c>
      <c r="D610" s="1097"/>
      <c r="E610" s="1098" t="s">
        <v>2116</v>
      </c>
      <c r="F610" s="1021" t="s">
        <v>2375</v>
      </c>
      <c r="G610" s="1099">
        <v>2007</v>
      </c>
      <c r="H610" s="153">
        <v>17027033</v>
      </c>
      <c r="I610" s="153">
        <v>1</v>
      </c>
      <c r="J610" s="153">
        <v>1</v>
      </c>
      <c r="K610" s="153"/>
      <c r="L610" s="153">
        <v>1</v>
      </c>
      <c r="M610" s="153"/>
      <c r="N610" s="153">
        <v>1</v>
      </c>
      <c r="O610" s="153">
        <v>2</v>
      </c>
      <c r="P610" s="153" t="s">
        <v>1569</v>
      </c>
      <c r="Q610" s="153" t="s">
        <v>1216</v>
      </c>
      <c r="R610" s="153" t="s">
        <v>1568</v>
      </c>
      <c r="S610" s="153"/>
      <c r="T610" s="153" t="s">
        <v>1541</v>
      </c>
      <c r="U610" s="153"/>
      <c r="V610" s="153"/>
      <c r="W610" s="153" t="s">
        <v>1570</v>
      </c>
      <c r="X610" s="153"/>
      <c r="Y610" s="153" t="s">
        <v>1132</v>
      </c>
      <c r="Z610" s="153"/>
      <c r="AA610" s="153"/>
      <c r="AB610" s="153"/>
      <c r="AC610" s="536"/>
      <c r="AD610" s="536">
        <v>1</v>
      </c>
      <c r="AE610" s="536">
        <v>2</v>
      </c>
      <c r="AF610" s="1100">
        <v>0</v>
      </c>
      <c r="AG610" s="708" t="s">
        <v>8043</v>
      </c>
      <c r="AH610" s="536" t="s">
        <v>7197</v>
      </c>
      <c r="AI610" s="536">
        <v>5</v>
      </c>
      <c r="AJ610" s="536" t="s">
        <v>5602</v>
      </c>
      <c r="AK610" s="1023" t="s">
        <v>5557</v>
      </c>
      <c r="AL610" s="1021">
        <v>2</v>
      </c>
      <c r="AM610" s="1022">
        <v>0</v>
      </c>
      <c r="AN610" s="536" t="s">
        <v>5585</v>
      </c>
      <c r="AO610" s="536" t="s">
        <v>5584</v>
      </c>
      <c r="AP610" s="536" t="s">
        <v>5564</v>
      </c>
      <c r="AQ610" s="536" t="s">
        <v>803</v>
      </c>
      <c r="AR610" s="536" t="s">
        <v>803</v>
      </c>
      <c r="AS610" s="536" t="s">
        <v>4544</v>
      </c>
      <c r="AT610" s="536" t="s">
        <v>24</v>
      </c>
      <c r="AU610" s="536" t="s">
        <v>4544</v>
      </c>
      <c r="AV610" s="536" t="s">
        <v>24</v>
      </c>
      <c r="AW610" s="536" t="s">
        <v>5549</v>
      </c>
      <c r="AX610" s="536">
        <v>1</v>
      </c>
      <c r="AY610" s="536">
        <v>1.5</v>
      </c>
      <c r="AZ610" s="536" t="s">
        <v>1814</v>
      </c>
      <c r="BA610" s="536">
        <v>1</v>
      </c>
      <c r="BB610" s="536" t="s">
        <v>5554</v>
      </c>
      <c r="BC610" s="536" t="s">
        <v>5546</v>
      </c>
      <c r="BD610" s="536" t="s">
        <v>7523</v>
      </c>
      <c r="BE610" s="536"/>
      <c r="BF610" s="536" t="s">
        <v>5565</v>
      </c>
      <c r="BG610" s="536" t="s">
        <v>4508</v>
      </c>
      <c r="BH610" s="1021"/>
      <c r="BI610" s="1021"/>
      <c r="BJ610" s="712">
        <v>1</v>
      </c>
      <c r="BK610" s="712" t="s">
        <v>5545</v>
      </c>
      <c r="BL610" s="712"/>
      <c r="BM610" s="712"/>
      <c r="BN610" s="712"/>
      <c r="BO610" s="712"/>
      <c r="BP610" s="712">
        <v>1</v>
      </c>
      <c r="BQ610" s="712"/>
      <c r="BR610" s="712"/>
      <c r="BS610" s="712"/>
      <c r="BT610" s="712"/>
      <c r="BU610" s="712"/>
      <c r="BV610" s="712"/>
      <c r="BW610" s="712" t="s">
        <v>7195</v>
      </c>
      <c r="BX610" s="710" t="s">
        <v>6657</v>
      </c>
      <c r="BY610" s="710" t="s">
        <v>7613</v>
      </c>
      <c r="BZ610" s="710" t="s">
        <v>803</v>
      </c>
      <c r="CA610" s="710">
        <v>1</v>
      </c>
      <c r="CB610" s="710" t="s">
        <v>7556</v>
      </c>
      <c r="CC610" s="710" t="s">
        <v>7384</v>
      </c>
      <c r="CD610" s="536" t="s">
        <v>23</v>
      </c>
      <c r="CE610" s="536" t="s">
        <v>5563</v>
      </c>
      <c r="CF610" s="536" t="s">
        <v>7581</v>
      </c>
      <c r="CG610" s="536" t="s">
        <v>5550</v>
      </c>
      <c r="CH610" s="536" t="s">
        <v>7310</v>
      </c>
      <c r="CI610" s="536" t="s">
        <v>5544</v>
      </c>
      <c r="CJ610" s="536"/>
      <c r="CK610" s="536" t="s">
        <v>5562</v>
      </c>
      <c r="CL610" s="536" t="s">
        <v>2659</v>
      </c>
      <c r="CM610" s="1101" t="s">
        <v>5593</v>
      </c>
      <c r="CN610" s="715" t="s">
        <v>6627</v>
      </c>
      <c r="CO610" s="715"/>
      <c r="CP610" s="715"/>
      <c r="CQ610" s="715"/>
      <c r="CR610" s="715"/>
      <c r="CS610" s="715"/>
      <c r="CT610" s="715"/>
      <c r="CU610" s="715"/>
      <c r="CV610" s="715"/>
      <c r="CW610" s="715"/>
      <c r="CX610" s="710" t="s">
        <v>5572</v>
      </c>
      <c r="CY610" s="536">
        <v>25.98</v>
      </c>
      <c r="CZ610" s="536">
        <v>15.28</v>
      </c>
      <c r="DA610" s="536" t="s">
        <v>24</v>
      </c>
      <c r="DB610" s="710"/>
      <c r="DC610" s="536"/>
      <c r="DD610" s="536"/>
      <c r="DE610" s="536"/>
      <c r="DF610" s="1101" t="s">
        <v>8035</v>
      </c>
      <c r="DG610" s="1021"/>
      <c r="DH610" s="716"/>
      <c r="DI610" s="70"/>
      <c r="DJ610" s="70"/>
      <c r="DK610" s="70"/>
      <c r="DL610" s="716"/>
      <c r="DM610" s="70"/>
      <c r="DN610" s="70"/>
      <c r="DO610" s="70"/>
      <c r="DP610" s="1101"/>
      <c r="DQ610" s="368"/>
      <c r="DR610" s="1267"/>
      <c r="DS610" s="1267"/>
      <c r="DT610" s="70"/>
      <c r="DU610" s="70"/>
      <c r="DV610" s="70"/>
      <c r="DW610" s="70"/>
      <c r="DX610" s="70"/>
      <c r="DY610" s="70"/>
      <c r="DZ610" s="70"/>
      <c r="EA610" s="70"/>
      <c r="EB610" s="1267"/>
      <c r="EC610" s="70"/>
      <c r="ED610" s="70"/>
      <c r="EE610" s="70"/>
      <c r="EF610" s="70"/>
      <c r="EG610" s="70"/>
      <c r="EH610" s="70"/>
      <c r="EI610" s="70"/>
      <c r="EJ610" s="70"/>
      <c r="EK610" s="70"/>
      <c r="EL610" s="1267"/>
      <c r="EM610" s="70"/>
      <c r="EN610" s="1267"/>
      <c r="EO610" s="70"/>
      <c r="EP610" s="70"/>
      <c r="EQ610" s="70"/>
      <c r="ER610" s="70"/>
      <c r="ES610" s="70"/>
      <c r="ET610" s="716"/>
      <c r="EU610" s="70"/>
      <c r="EV610" s="70"/>
      <c r="EW610" s="70"/>
      <c r="EX610" s="70"/>
      <c r="EY610" s="70"/>
      <c r="EZ610" s="716"/>
      <c r="FA610" s="70"/>
      <c r="FB610" s="70"/>
      <c r="FC610" s="70"/>
      <c r="FD610" s="716"/>
      <c r="FE610" s="70"/>
      <c r="FF610" s="70"/>
      <c r="FG610" s="70"/>
      <c r="FH610" s="70"/>
      <c r="FI610" s="70"/>
      <c r="FJ610" s="70"/>
    </row>
    <row r="611" spans="1:166" ht="14" hidden="1" customHeight="1">
      <c r="A611" s="153" t="s">
        <v>974</v>
      </c>
      <c r="B611" s="1097">
        <v>216</v>
      </c>
      <c r="C611" s="1097">
        <v>76</v>
      </c>
      <c r="D611" s="1097"/>
      <c r="E611" s="1098" t="s">
        <v>2116</v>
      </c>
      <c r="F611" s="1021" t="s">
        <v>2375</v>
      </c>
      <c r="G611" s="1099">
        <v>2007</v>
      </c>
      <c r="H611" s="153">
        <v>17027033</v>
      </c>
      <c r="I611" s="153">
        <v>1</v>
      </c>
      <c r="J611" s="153">
        <v>1</v>
      </c>
      <c r="K611" s="153"/>
      <c r="L611" s="153">
        <v>1</v>
      </c>
      <c r="M611" s="153"/>
      <c r="N611" s="153">
        <v>1</v>
      </c>
      <c r="O611" s="153">
        <v>2</v>
      </c>
      <c r="P611" s="153" t="s">
        <v>1569</v>
      </c>
      <c r="Q611" s="153" t="s">
        <v>1216</v>
      </c>
      <c r="R611" s="153" t="s">
        <v>1568</v>
      </c>
      <c r="S611" s="153"/>
      <c r="T611" s="153" t="s">
        <v>1541</v>
      </c>
      <c r="U611" s="153"/>
      <c r="V611" s="153"/>
      <c r="W611" s="153" t="s">
        <v>1570</v>
      </c>
      <c r="X611" s="153"/>
      <c r="Y611" s="153" t="s">
        <v>1132</v>
      </c>
      <c r="Z611" s="153"/>
      <c r="AA611" s="153"/>
      <c r="AB611" s="153"/>
      <c r="AC611" s="536"/>
      <c r="AD611" s="536">
        <v>1</v>
      </c>
      <c r="AE611" s="536">
        <v>2</v>
      </c>
      <c r="AF611" s="1100">
        <v>0</v>
      </c>
      <c r="AG611" s="708" t="s">
        <v>8043</v>
      </c>
      <c r="AH611" s="536" t="s">
        <v>7197</v>
      </c>
      <c r="AI611" s="536">
        <v>5</v>
      </c>
      <c r="AJ611" s="536" t="s">
        <v>5602</v>
      </c>
      <c r="AK611" s="1023" t="s">
        <v>5557</v>
      </c>
      <c r="AL611" s="1021">
        <v>2</v>
      </c>
      <c r="AM611" s="1022">
        <v>0</v>
      </c>
      <c r="AN611" s="536" t="s">
        <v>5585</v>
      </c>
      <c r="AO611" s="536" t="s">
        <v>5584</v>
      </c>
      <c r="AP611" s="536" t="s">
        <v>5564</v>
      </c>
      <c r="AQ611" s="536" t="s">
        <v>803</v>
      </c>
      <c r="AR611" s="536" t="s">
        <v>803</v>
      </c>
      <c r="AS611" s="536" t="s">
        <v>4544</v>
      </c>
      <c r="AT611" s="536" t="s">
        <v>24</v>
      </c>
      <c r="AU611" s="536" t="s">
        <v>4544</v>
      </c>
      <c r="AV611" s="536" t="s">
        <v>24</v>
      </c>
      <c r="AW611" s="536" t="s">
        <v>5549</v>
      </c>
      <c r="AX611" s="536">
        <v>1</v>
      </c>
      <c r="AY611" s="536">
        <v>1.5</v>
      </c>
      <c r="AZ611" s="536" t="s">
        <v>1814</v>
      </c>
      <c r="BA611" s="536">
        <v>1</v>
      </c>
      <c r="BB611" s="536" t="s">
        <v>5554</v>
      </c>
      <c r="BC611" s="536" t="s">
        <v>5546</v>
      </c>
      <c r="BD611" s="536" t="s">
        <v>7523</v>
      </c>
      <c r="BE611" s="536"/>
      <c r="BF611" s="536" t="s">
        <v>5565</v>
      </c>
      <c r="BG611" s="536" t="s">
        <v>4508</v>
      </c>
      <c r="BH611" s="1021"/>
      <c r="BI611" s="1021"/>
      <c r="BJ611" s="712">
        <v>1</v>
      </c>
      <c r="BK611" s="712" t="s">
        <v>5545</v>
      </c>
      <c r="BL611" s="712"/>
      <c r="BM611" s="712"/>
      <c r="BN611" s="712"/>
      <c r="BO611" s="712"/>
      <c r="BP611" s="712">
        <v>1</v>
      </c>
      <c r="BQ611" s="712"/>
      <c r="BR611" s="712"/>
      <c r="BS611" s="712"/>
      <c r="BT611" s="712"/>
      <c r="BU611" s="712"/>
      <c r="BV611" s="712"/>
      <c r="BW611" s="712" t="s">
        <v>7195</v>
      </c>
      <c r="BX611" s="710" t="s">
        <v>6657</v>
      </c>
      <c r="BY611" s="710" t="s">
        <v>7613</v>
      </c>
      <c r="BZ611" s="710" t="s">
        <v>803</v>
      </c>
      <c r="CA611" s="710">
        <v>1</v>
      </c>
      <c r="CB611" s="710" t="s">
        <v>7556</v>
      </c>
      <c r="CC611" s="710" t="s">
        <v>7384</v>
      </c>
      <c r="CD611" s="536" t="s">
        <v>23</v>
      </c>
      <c r="CE611" s="536" t="s">
        <v>5563</v>
      </c>
      <c r="CF611" s="536" t="s">
        <v>7581</v>
      </c>
      <c r="CG611" s="536" t="s">
        <v>5550</v>
      </c>
      <c r="CH611" s="536" t="s">
        <v>7310</v>
      </c>
      <c r="CI611" s="536" t="s">
        <v>5544</v>
      </c>
      <c r="CJ611" s="536"/>
      <c r="CK611" s="536" t="s">
        <v>5562</v>
      </c>
      <c r="CL611" s="536" t="s">
        <v>2659</v>
      </c>
      <c r="CM611" s="1101" t="s">
        <v>5593</v>
      </c>
      <c r="CN611" s="715" t="s">
        <v>6627</v>
      </c>
      <c r="CO611" s="715"/>
      <c r="CP611" s="715"/>
      <c r="CQ611" s="715"/>
      <c r="CR611" s="715"/>
      <c r="CS611" s="715"/>
      <c r="CT611" s="715"/>
      <c r="CU611" s="715"/>
      <c r="CV611" s="715"/>
      <c r="CW611" s="715"/>
      <c r="CX611" s="710" t="s">
        <v>5575</v>
      </c>
      <c r="CY611" s="536">
        <v>27.57</v>
      </c>
      <c r="CZ611" s="536">
        <v>18.63</v>
      </c>
      <c r="DA611" s="536" t="s">
        <v>24</v>
      </c>
      <c r="DB611" s="510" t="s">
        <v>5582</v>
      </c>
      <c r="DC611" s="509">
        <v>10.49</v>
      </c>
      <c r="DD611" s="509">
        <v>11.92</v>
      </c>
      <c r="DE611" s="509" t="s">
        <v>24</v>
      </c>
      <c r="DF611" s="1101" t="s">
        <v>8035</v>
      </c>
      <c r="DG611" s="1021"/>
      <c r="DH611" s="1134"/>
      <c r="DI611" s="1266"/>
      <c r="DJ611" s="70"/>
      <c r="DK611" s="1266"/>
      <c r="DL611" s="716"/>
      <c r="DM611" s="1266"/>
      <c r="DN611" s="70"/>
      <c r="DO611" s="1285"/>
      <c r="DP611" s="1101"/>
      <c r="DQ611" s="367"/>
      <c r="DR611" s="1267"/>
      <c r="DS611" s="1267"/>
      <c r="DT611" s="70"/>
      <c r="DU611" s="70"/>
      <c r="DV611" s="70"/>
      <c r="DW611" s="70"/>
      <c r="DX611" s="70"/>
      <c r="DY611" s="70"/>
      <c r="DZ611" s="70"/>
      <c r="EA611" s="70"/>
      <c r="EB611" s="1267"/>
      <c r="EC611" s="70"/>
      <c r="ED611" s="70"/>
      <c r="EE611" s="70"/>
      <c r="EF611" s="70"/>
      <c r="EG611" s="70"/>
      <c r="EH611" s="70"/>
      <c r="EI611" s="70"/>
      <c r="EJ611" s="70"/>
      <c r="EK611" s="70"/>
      <c r="EL611" s="1267"/>
      <c r="EM611" s="70"/>
      <c r="EN611" s="1267"/>
      <c r="EO611" s="70"/>
      <c r="EP611" s="70"/>
      <c r="EQ611" s="131"/>
      <c r="ER611" s="70"/>
      <c r="ES611" s="70"/>
      <c r="ET611" s="716"/>
      <c r="EU611" s="70"/>
      <c r="EV611" s="70"/>
      <c r="EW611" s="70"/>
      <c r="EX611" s="70"/>
      <c r="EY611" s="70"/>
      <c r="EZ611" s="716"/>
      <c r="FA611" s="70"/>
      <c r="FB611" s="70"/>
      <c r="FC611" s="70"/>
      <c r="FD611" s="716"/>
      <c r="FE611" s="70"/>
      <c r="FF611" s="70"/>
      <c r="FG611" s="70"/>
      <c r="FH611" s="70"/>
      <c r="FI611" s="70"/>
      <c r="FJ611" s="70"/>
    </row>
    <row r="612" spans="1:166" s="717" customFormat="1" ht="14" hidden="1" customHeight="1">
      <c r="A612" s="158" t="s">
        <v>974</v>
      </c>
      <c r="B612" s="1094">
        <v>216</v>
      </c>
      <c r="C612" s="1094">
        <v>76</v>
      </c>
      <c r="D612" s="1094"/>
      <c r="E612" s="1095" t="s">
        <v>2116</v>
      </c>
      <c r="F612" s="711" t="s">
        <v>2375</v>
      </c>
      <c r="G612" s="1096">
        <v>2007</v>
      </c>
      <c r="H612" s="158">
        <v>17027033</v>
      </c>
      <c r="I612" s="158">
        <v>1</v>
      </c>
      <c r="J612" s="158">
        <v>1</v>
      </c>
      <c r="K612" s="158"/>
      <c r="L612" s="158">
        <v>1</v>
      </c>
      <c r="M612" s="158"/>
      <c r="N612" s="158">
        <v>1</v>
      </c>
      <c r="O612" s="158">
        <v>2</v>
      </c>
      <c r="P612" s="158" t="s">
        <v>1569</v>
      </c>
      <c r="Q612" s="158" t="s">
        <v>1216</v>
      </c>
      <c r="R612" s="158" t="s">
        <v>1568</v>
      </c>
      <c r="S612" s="158"/>
      <c r="T612" s="158" t="s">
        <v>1541</v>
      </c>
      <c r="U612" s="158"/>
      <c r="V612" s="158"/>
      <c r="W612" s="158" t="s">
        <v>1570</v>
      </c>
      <c r="X612" s="158"/>
      <c r="Y612" s="158" t="s">
        <v>1132</v>
      </c>
      <c r="Z612" s="158"/>
      <c r="AA612" s="158"/>
      <c r="AB612" s="158"/>
      <c r="AC612" s="800"/>
      <c r="AD612" s="536">
        <v>1</v>
      </c>
      <c r="AE612" s="536">
        <v>2</v>
      </c>
      <c r="AF612" s="576">
        <v>0</v>
      </c>
      <c r="AG612" s="577" t="s">
        <v>8043</v>
      </c>
      <c r="AH612" s="509" t="s">
        <v>7197</v>
      </c>
      <c r="AI612" s="734">
        <v>5</v>
      </c>
      <c r="AJ612" s="734" t="s">
        <v>5603</v>
      </c>
      <c r="AK612" s="739" t="s">
        <v>5560</v>
      </c>
      <c r="AL612" s="372">
        <v>2</v>
      </c>
      <c r="AM612" s="724">
        <v>0</v>
      </c>
      <c r="AN612" s="734" t="s">
        <v>5585</v>
      </c>
      <c r="AO612" s="120" t="s">
        <v>5584</v>
      </c>
      <c r="AP612" s="509" t="s">
        <v>5564</v>
      </c>
      <c r="AQ612" s="734" t="s">
        <v>803</v>
      </c>
      <c r="AR612" s="734" t="s">
        <v>803</v>
      </c>
      <c r="AS612" s="734" t="s">
        <v>4544</v>
      </c>
      <c r="AT612" s="734" t="s">
        <v>24</v>
      </c>
      <c r="AU612" s="734" t="s">
        <v>4544</v>
      </c>
      <c r="AV612" s="734" t="s">
        <v>24</v>
      </c>
      <c r="AW612" s="734" t="s">
        <v>5549</v>
      </c>
      <c r="AX612" s="734">
        <v>1</v>
      </c>
      <c r="AY612" s="734">
        <v>1.5</v>
      </c>
      <c r="AZ612" s="755" t="s">
        <v>1814</v>
      </c>
      <c r="BA612" s="734">
        <v>1</v>
      </c>
      <c r="BB612" s="734" t="s">
        <v>5554</v>
      </c>
      <c r="BC612" s="734" t="s">
        <v>5546</v>
      </c>
      <c r="BD612" s="755" t="s">
        <v>7523</v>
      </c>
      <c r="BE612" s="755"/>
      <c r="BF612" s="734" t="s">
        <v>5566</v>
      </c>
      <c r="BG612" s="734" t="s">
        <v>4508</v>
      </c>
      <c r="BH612" s="372"/>
      <c r="BI612" s="372"/>
      <c r="BJ612" s="735">
        <v>1</v>
      </c>
      <c r="BK612" s="735" t="s">
        <v>5545</v>
      </c>
      <c r="BL612" s="735"/>
      <c r="BM612" s="735"/>
      <c r="BN612" s="735"/>
      <c r="BO612" s="735"/>
      <c r="BP612" s="735">
        <v>1</v>
      </c>
      <c r="BQ612" s="735"/>
      <c r="BR612" s="735"/>
      <c r="BS612" s="735"/>
      <c r="BT612" s="735"/>
      <c r="BU612" s="735"/>
      <c r="BV612" s="735"/>
      <c r="BW612" s="511" t="s">
        <v>7195</v>
      </c>
      <c r="BX612" s="510" t="s">
        <v>6657</v>
      </c>
      <c r="BY612" s="799" t="s">
        <v>7613</v>
      </c>
      <c r="BZ612" s="510" t="s">
        <v>803</v>
      </c>
      <c r="CA612" s="510">
        <v>1</v>
      </c>
      <c r="CB612" s="510" t="s">
        <v>7556</v>
      </c>
      <c r="CC612" s="510" t="s">
        <v>7384</v>
      </c>
      <c r="CD612" s="509" t="s">
        <v>23</v>
      </c>
      <c r="CE612" s="509" t="s">
        <v>5563</v>
      </c>
      <c r="CF612" s="786" t="s">
        <v>7592</v>
      </c>
      <c r="CG612" s="734" t="s">
        <v>5550</v>
      </c>
      <c r="CH612" s="755" t="s">
        <v>7310</v>
      </c>
      <c r="CI612" s="734" t="s">
        <v>5544</v>
      </c>
      <c r="CJ612" s="734"/>
      <c r="CK612" s="509" t="s">
        <v>5562</v>
      </c>
      <c r="CL612" s="509" t="s">
        <v>2659</v>
      </c>
      <c r="CM612" s="515" t="s">
        <v>5597</v>
      </c>
      <c r="CN612" s="621" t="s">
        <v>6627</v>
      </c>
      <c r="CO612" s="621"/>
      <c r="CP612" s="621"/>
      <c r="CQ612" s="621"/>
      <c r="CR612" s="621"/>
      <c r="CS612" s="621"/>
      <c r="CT612" s="621"/>
      <c r="CU612" s="621"/>
      <c r="CV612" s="621"/>
      <c r="CW612" s="621"/>
      <c r="CX612" s="510" t="s">
        <v>5572</v>
      </c>
      <c r="CY612" s="509">
        <v>22.03</v>
      </c>
      <c r="CZ612" s="509">
        <v>11.09</v>
      </c>
      <c r="DA612" s="509" t="s">
        <v>24</v>
      </c>
      <c r="DB612" s="510"/>
      <c r="DC612" s="509"/>
      <c r="DD612" s="509"/>
      <c r="DE612" s="509"/>
      <c r="DF612" s="515" t="s">
        <v>8038</v>
      </c>
      <c r="DG612" s="513"/>
      <c r="DH612" s="510"/>
      <c r="DI612" s="509"/>
      <c r="DJ612" s="1194"/>
      <c r="DK612" s="509"/>
      <c r="DL612" s="956"/>
      <c r="DM612" s="734"/>
      <c r="DN612" s="778"/>
      <c r="DO612" s="734"/>
      <c r="DP612" s="515"/>
      <c r="DQ612" s="513"/>
      <c r="DR612" s="621"/>
      <c r="DS612" s="1182"/>
      <c r="DT612" s="778"/>
      <c r="DU612" s="778"/>
      <c r="DV612" s="778"/>
      <c r="DW612" s="778"/>
      <c r="DX612" s="778"/>
      <c r="DY612" s="778"/>
      <c r="DZ612" s="778"/>
      <c r="EA612" s="778"/>
      <c r="EB612" s="1181"/>
      <c r="EC612" s="778"/>
      <c r="ED612" s="778"/>
      <c r="EE612" s="778"/>
      <c r="EF612" s="778"/>
      <c r="EG612" s="778"/>
      <c r="EH612" s="778"/>
      <c r="EI612" s="778"/>
      <c r="EJ612" s="778"/>
      <c r="EK612" s="778"/>
      <c r="EL612" s="1181"/>
      <c r="EM612" s="778"/>
      <c r="EN612" s="1181"/>
      <c r="EO612" s="778"/>
      <c r="EP612" s="778"/>
      <c r="EQ612" s="778"/>
      <c r="ER612" s="778"/>
      <c r="ES612" s="778"/>
      <c r="ET612" s="1180"/>
      <c r="EU612" s="778"/>
      <c r="EV612" s="778"/>
      <c r="EW612" s="778"/>
      <c r="EX612" s="778"/>
      <c r="EY612" s="778"/>
      <c r="EZ612" s="1180"/>
      <c r="FA612" s="778"/>
      <c r="FB612" s="778"/>
      <c r="FC612" s="778"/>
      <c r="FD612" s="1180"/>
      <c r="FE612" s="778"/>
      <c r="FF612" s="778"/>
      <c r="FG612" s="778"/>
      <c r="FH612" s="778"/>
      <c r="FI612" s="778"/>
      <c r="FJ612" s="778"/>
    </row>
    <row r="613" spans="1:166" ht="14" hidden="1" customHeight="1">
      <c r="A613" s="158" t="s">
        <v>974</v>
      </c>
      <c r="B613" s="1094">
        <v>216</v>
      </c>
      <c r="C613" s="1094">
        <v>76</v>
      </c>
      <c r="D613" s="1094"/>
      <c r="E613" s="1095" t="s">
        <v>2116</v>
      </c>
      <c r="F613" s="711" t="s">
        <v>2375</v>
      </c>
      <c r="G613" s="1096">
        <v>2007</v>
      </c>
      <c r="H613" s="158">
        <v>17027033</v>
      </c>
      <c r="I613" s="158">
        <v>1</v>
      </c>
      <c r="J613" s="158">
        <v>1</v>
      </c>
      <c r="K613" s="158"/>
      <c r="L613" s="158">
        <v>1</v>
      </c>
      <c r="M613" s="158"/>
      <c r="N613" s="158">
        <v>1</v>
      </c>
      <c r="O613" s="158">
        <v>2</v>
      </c>
      <c r="P613" s="158" t="s">
        <v>1569</v>
      </c>
      <c r="Q613" s="158" t="s">
        <v>1216</v>
      </c>
      <c r="R613" s="158" t="s">
        <v>1568</v>
      </c>
      <c r="S613" s="158"/>
      <c r="T613" s="158" t="s">
        <v>1541</v>
      </c>
      <c r="U613" s="158"/>
      <c r="V613" s="158"/>
      <c r="W613" s="158" t="s">
        <v>1570</v>
      </c>
      <c r="X613" s="158"/>
      <c r="Y613" s="158" t="s">
        <v>1132</v>
      </c>
      <c r="Z613" s="158"/>
      <c r="AA613" s="158"/>
      <c r="AB613" s="158"/>
      <c r="AC613" s="800"/>
      <c r="AD613" s="536">
        <v>1</v>
      </c>
      <c r="AE613" s="536">
        <v>2</v>
      </c>
      <c r="AF613" s="576">
        <v>0</v>
      </c>
      <c r="AG613" s="577" t="s">
        <v>8043</v>
      </c>
      <c r="AH613" s="509" t="s">
        <v>7197</v>
      </c>
      <c r="AI613" s="734">
        <v>5</v>
      </c>
      <c r="AJ613" s="734" t="s">
        <v>5603</v>
      </c>
      <c r="AK613" s="739" t="s">
        <v>5560</v>
      </c>
      <c r="AL613" s="372">
        <v>2</v>
      </c>
      <c r="AM613" s="724">
        <v>0</v>
      </c>
      <c r="AN613" s="734" t="s">
        <v>5585</v>
      </c>
      <c r="AO613" s="120" t="s">
        <v>5584</v>
      </c>
      <c r="AP613" s="509" t="s">
        <v>5564</v>
      </c>
      <c r="AQ613" s="734" t="s">
        <v>803</v>
      </c>
      <c r="AR613" s="734" t="s">
        <v>803</v>
      </c>
      <c r="AS613" s="734" t="s">
        <v>4544</v>
      </c>
      <c r="AT613" s="734" t="s">
        <v>24</v>
      </c>
      <c r="AU613" s="734" t="s">
        <v>4544</v>
      </c>
      <c r="AV613" s="734" t="s">
        <v>24</v>
      </c>
      <c r="AW613" s="734" t="s">
        <v>5549</v>
      </c>
      <c r="AX613" s="734">
        <v>1</v>
      </c>
      <c r="AY613" s="734">
        <v>1.5</v>
      </c>
      <c r="AZ613" s="755" t="s">
        <v>1814</v>
      </c>
      <c r="BA613" s="734">
        <v>1</v>
      </c>
      <c r="BB613" s="734" t="s">
        <v>5554</v>
      </c>
      <c r="BC613" s="734" t="s">
        <v>5546</v>
      </c>
      <c r="BD613" s="755" t="s">
        <v>7523</v>
      </c>
      <c r="BE613" s="755"/>
      <c r="BF613" s="734" t="s">
        <v>5566</v>
      </c>
      <c r="BG613" s="734" t="s">
        <v>4508</v>
      </c>
      <c r="BH613" s="372"/>
      <c r="BI613" s="372"/>
      <c r="BJ613" s="735">
        <v>1</v>
      </c>
      <c r="BK613" s="735" t="s">
        <v>5545</v>
      </c>
      <c r="BL613" s="735"/>
      <c r="BM613" s="735"/>
      <c r="BN613" s="735"/>
      <c r="BO613" s="735"/>
      <c r="BP613" s="735">
        <v>1</v>
      </c>
      <c r="BQ613" s="735"/>
      <c r="BR613" s="735"/>
      <c r="BS613" s="735"/>
      <c r="BT613" s="735"/>
      <c r="BU613" s="735"/>
      <c r="BV613" s="735"/>
      <c r="BW613" s="511" t="s">
        <v>7195</v>
      </c>
      <c r="BX613" s="510" t="s">
        <v>6657</v>
      </c>
      <c r="BY613" s="799" t="s">
        <v>7613</v>
      </c>
      <c r="BZ613" s="510" t="s">
        <v>803</v>
      </c>
      <c r="CA613" s="510">
        <v>1</v>
      </c>
      <c r="CB613" s="510" t="s">
        <v>7556</v>
      </c>
      <c r="CC613" s="510" t="s">
        <v>7384</v>
      </c>
      <c r="CD613" s="509" t="s">
        <v>23</v>
      </c>
      <c r="CE613" s="509" t="s">
        <v>5563</v>
      </c>
      <c r="CF613" s="786" t="s">
        <v>7592</v>
      </c>
      <c r="CG613" s="734" t="s">
        <v>5550</v>
      </c>
      <c r="CH613" s="755" t="s">
        <v>7310</v>
      </c>
      <c r="CI613" s="734" t="s">
        <v>5544</v>
      </c>
      <c r="CJ613" s="734"/>
      <c r="CK613" s="509" t="s">
        <v>5562</v>
      </c>
      <c r="CL613" s="509" t="s">
        <v>2659</v>
      </c>
      <c r="CM613" s="515" t="s">
        <v>5597</v>
      </c>
      <c r="CN613" s="621" t="s">
        <v>6627</v>
      </c>
      <c r="CO613" s="621"/>
      <c r="CP613" s="621"/>
      <c r="CQ613" s="621"/>
      <c r="CR613" s="621"/>
      <c r="CS613" s="621"/>
      <c r="CT613" s="621"/>
      <c r="CU613" s="621"/>
      <c r="CV613" s="621"/>
      <c r="CW613" s="621"/>
      <c r="CX613" s="510" t="s">
        <v>5575</v>
      </c>
      <c r="CY613" s="734">
        <v>15.13</v>
      </c>
      <c r="CZ613" s="734">
        <v>11.06</v>
      </c>
      <c r="DA613" s="734" t="s">
        <v>24</v>
      </c>
      <c r="DB613" s="510"/>
      <c r="DC613" s="509"/>
      <c r="DD613" s="509"/>
      <c r="DE613" s="509"/>
      <c r="DF613" s="515" t="s">
        <v>8038</v>
      </c>
      <c r="DG613" s="513"/>
      <c r="DH613" s="510"/>
      <c r="DI613" s="1194"/>
      <c r="DJ613" s="1194"/>
      <c r="DK613" s="1194"/>
      <c r="DL613" s="510"/>
      <c r="DM613" s="778"/>
      <c r="DN613" s="778"/>
      <c r="DO613" s="778"/>
      <c r="DP613" s="515"/>
      <c r="DQ613" s="513"/>
      <c r="DR613" s="621"/>
      <c r="DS613" s="1182"/>
      <c r="DT613" s="778"/>
      <c r="DU613" s="778"/>
      <c r="DV613" s="778"/>
      <c r="DW613" s="778"/>
      <c r="DX613" s="778"/>
      <c r="DY613" s="778"/>
      <c r="DZ613" s="778"/>
      <c r="EA613" s="778"/>
      <c r="EB613" s="1181"/>
      <c r="EC613" s="778"/>
      <c r="ED613" s="778"/>
      <c r="EE613" s="778"/>
      <c r="EF613" s="778"/>
      <c r="EG613" s="778"/>
      <c r="EH613" s="778"/>
      <c r="EI613" s="778"/>
      <c r="EJ613" s="778"/>
      <c r="EK613" s="778"/>
      <c r="EL613" s="1181"/>
      <c r="EM613" s="778"/>
      <c r="EN613" s="1181"/>
      <c r="EO613" s="778"/>
      <c r="EP613" s="778"/>
      <c r="EQ613" s="778"/>
      <c r="ER613" s="778"/>
      <c r="ES613" s="778"/>
      <c r="ET613" s="1180"/>
      <c r="EU613" s="778"/>
      <c r="EV613" s="778"/>
      <c r="EW613" s="778"/>
      <c r="EX613" s="778"/>
      <c r="EY613" s="778"/>
      <c r="EZ613" s="1180"/>
      <c r="FA613" s="778"/>
      <c r="FB613" s="778"/>
      <c r="FC613" s="778"/>
      <c r="FD613" s="1180"/>
      <c r="FE613" s="778"/>
      <c r="FF613" s="778"/>
      <c r="FG613" s="778"/>
      <c r="FH613" s="778"/>
      <c r="FI613" s="778"/>
      <c r="FJ613" s="778"/>
    </row>
    <row r="614" spans="1:166" s="717" customFormat="1" ht="14" hidden="1" customHeight="1">
      <c r="A614" s="158" t="s">
        <v>974</v>
      </c>
      <c r="B614" s="1094">
        <v>216</v>
      </c>
      <c r="C614" s="1094">
        <v>76</v>
      </c>
      <c r="D614" s="1094"/>
      <c r="E614" s="1095" t="s">
        <v>2116</v>
      </c>
      <c r="F614" s="711" t="s">
        <v>2375</v>
      </c>
      <c r="G614" s="1096">
        <v>2007</v>
      </c>
      <c r="H614" s="158">
        <v>17027033</v>
      </c>
      <c r="I614" s="158">
        <v>1</v>
      </c>
      <c r="J614" s="158">
        <v>1</v>
      </c>
      <c r="K614" s="158"/>
      <c r="L614" s="158">
        <v>1</v>
      </c>
      <c r="M614" s="158"/>
      <c r="N614" s="158">
        <v>1</v>
      </c>
      <c r="O614" s="158">
        <v>2</v>
      </c>
      <c r="P614" s="158" t="s">
        <v>1569</v>
      </c>
      <c r="Q614" s="158" t="s">
        <v>1216</v>
      </c>
      <c r="R614" s="158" t="s">
        <v>1568</v>
      </c>
      <c r="S614" s="158"/>
      <c r="T614" s="158" t="s">
        <v>1541</v>
      </c>
      <c r="U614" s="158"/>
      <c r="V614" s="158"/>
      <c r="W614" s="158" t="s">
        <v>1570</v>
      </c>
      <c r="X614" s="158"/>
      <c r="Y614" s="158" t="s">
        <v>1132</v>
      </c>
      <c r="Z614" s="158"/>
      <c r="AA614" s="158"/>
      <c r="AB614" s="158"/>
      <c r="AC614" s="800"/>
      <c r="AD614" s="536">
        <v>1</v>
      </c>
      <c r="AE614" s="536">
        <v>2</v>
      </c>
      <c r="AF614" s="576">
        <v>0</v>
      </c>
      <c r="AG614" s="577" t="s">
        <v>8046</v>
      </c>
      <c r="AH614" s="509" t="s">
        <v>7197</v>
      </c>
      <c r="AI614" s="734">
        <v>5</v>
      </c>
      <c r="AJ614" s="734" t="s">
        <v>5601</v>
      </c>
      <c r="AK614" s="739" t="s">
        <v>5559</v>
      </c>
      <c r="AL614" s="372">
        <v>2</v>
      </c>
      <c r="AM614" s="724">
        <v>0</v>
      </c>
      <c r="AN614" s="734">
        <v>8</v>
      </c>
      <c r="AO614" s="120">
        <v>8</v>
      </c>
      <c r="AP614" s="509" t="s">
        <v>5564</v>
      </c>
      <c r="AQ614" s="734" t="s">
        <v>803</v>
      </c>
      <c r="AR614" s="734" t="s">
        <v>803</v>
      </c>
      <c r="AS614" s="734" t="s">
        <v>4544</v>
      </c>
      <c r="AT614" s="734" t="s">
        <v>24</v>
      </c>
      <c r="AU614" s="734" t="s">
        <v>4544</v>
      </c>
      <c r="AV614" s="734" t="s">
        <v>24</v>
      </c>
      <c r="AW614" s="734" t="s">
        <v>5549</v>
      </c>
      <c r="AX614" s="734">
        <v>1</v>
      </c>
      <c r="AY614" s="734">
        <v>1.5</v>
      </c>
      <c r="AZ614" s="755" t="s">
        <v>1814</v>
      </c>
      <c r="BA614" s="734">
        <v>1</v>
      </c>
      <c r="BB614" s="734" t="s">
        <v>5553</v>
      </c>
      <c r="BC614" s="734" t="s">
        <v>5546</v>
      </c>
      <c r="BD614" s="755" t="s">
        <v>7523</v>
      </c>
      <c r="BE614" s="755"/>
      <c r="BF614" s="734" t="s">
        <v>5566</v>
      </c>
      <c r="BG614" s="734" t="s">
        <v>4508</v>
      </c>
      <c r="BH614" s="372"/>
      <c r="BI614" s="372"/>
      <c r="BJ614" s="735">
        <v>1</v>
      </c>
      <c r="BK614" s="735" t="s">
        <v>5545</v>
      </c>
      <c r="BL614" s="735"/>
      <c r="BM614" s="735"/>
      <c r="BN614" s="735"/>
      <c r="BO614" s="735"/>
      <c r="BP614" s="735">
        <v>1</v>
      </c>
      <c r="BQ614" s="735"/>
      <c r="BR614" s="735"/>
      <c r="BS614" s="735"/>
      <c r="BT614" s="735"/>
      <c r="BU614" s="735"/>
      <c r="BV614" s="735"/>
      <c r="BW614" s="511" t="s">
        <v>7195</v>
      </c>
      <c r="BX614" s="510" t="s">
        <v>6657</v>
      </c>
      <c r="BY614" s="799" t="s">
        <v>7613</v>
      </c>
      <c r="BZ614" s="510" t="s">
        <v>803</v>
      </c>
      <c r="CA614" s="510">
        <v>1</v>
      </c>
      <c r="CB614" s="510" t="s">
        <v>7556</v>
      </c>
      <c r="CC614" s="510" t="s">
        <v>7384</v>
      </c>
      <c r="CD614" s="509" t="s">
        <v>23</v>
      </c>
      <c r="CE614" s="509" t="s">
        <v>5563</v>
      </c>
      <c r="CF614" s="786" t="s">
        <v>7591</v>
      </c>
      <c r="CG614" s="734" t="s">
        <v>5551</v>
      </c>
      <c r="CH614" s="755" t="s">
        <v>7310</v>
      </c>
      <c r="CI614" s="734" t="s">
        <v>5544</v>
      </c>
      <c r="CJ614" s="734"/>
      <c r="CK614" s="509" t="s">
        <v>5562</v>
      </c>
      <c r="CL614" s="509" t="s">
        <v>2659</v>
      </c>
      <c r="CM614" s="737" t="s">
        <v>5595</v>
      </c>
      <c r="CN614" s="738" t="s">
        <v>6627</v>
      </c>
      <c r="CO614" s="738">
        <v>68</v>
      </c>
      <c r="CP614" s="738">
        <v>3</v>
      </c>
      <c r="CQ614" s="738"/>
      <c r="CR614" s="738"/>
      <c r="CS614" s="738"/>
      <c r="CT614" s="738"/>
      <c r="CU614" s="738"/>
      <c r="CV614" s="738"/>
      <c r="CW614" s="738"/>
      <c r="CX614" s="510" t="s">
        <v>5568</v>
      </c>
      <c r="CY614" s="509">
        <v>27.49</v>
      </c>
      <c r="CZ614" s="509">
        <v>13.47</v>
      </c>
      <c r="DA614" s="509"/>
      <c r="DB614" s="120"/>
      <c r="DC614" s="120"/>
      <c r="DD614" s="384"/>
      <c r="DE614" s="120"/>
      <c r="DF614" s="621" t="s">
        <v>8041</v>
      </c>
      <c r="DG614" s="513" t="s">
        <v>24</v>
      </c>
      <c r="DH614" s="120"/>
      <c r="DI614" s="120"/>
      <c r="DJ614" s="384"/>
      <c r="DK614" s="120"/>
      <c r="DL614" s="384"/>
      <c r="DM614" s="120"/>
      <c r="DN614" s="384"/>
      <c r="DO614" s="120"/>
      <c r="DP614" s="375"/>
      <c r="DQ614" s="513"/>
      <c r="DR614" s="621"/>
      <c r="DS614" s="1182"/>
      <c r="DT614" s="778"/>
      <c r="DU614" s="778"/>
      <c r="DV614" s="778"/>
      <c r="DW614" s="778"/>
      <c r="DX614" s="778"/>
      <c r="DY614" s="778"/>
      <c r="DZ614" s="778"/>
      <c r="EA614" s="778"/>
      <c r="EB614" s="1181"/>
      <c r="EC614" s="778"/>
      <c r="ED614" s="778"/>
      <c r="EE614" s="778"/>
      <c r="EF614" s="778"/>
      <c r="EG614" s="778"/>
      <c r="EH614" s="778"/>
      <c r="EI614" s="778"/>
      <c r="EJ614" s="778"/>
      <c r="EK614" s="778"/>
      <c r="EL614" s="1181"/>
      <c r="EM614" s="778"/>
      <c r="EN614" s="1181"/>
      <c r="EO614" s="778"/>
      <c r="EP614" s="778"/>
      <c r="EQ614" s="778"/>
      <c r="ER614" s="778"/>
      <c r="ES614" s="778"/>
      <c r="ET614" s="1180"/>
      <c r="EU614" s="778"/>
      <c r="EV614" s="778"/>
      <c r="EW614" s="778"/>
      <c r="EX614" s="778"/>
      <c r="EY614" s="778"/>
      <c r="EZ614" s="1180"/>
      <c r="FA614" s="778"/>
      <c r="FB614" s="778"/>
      <c r="FC614" s="778"/>
      <c r="FD614" s="1180"/>
      <c r="FE614" s="778"/>
      <c r="FF614" s="778"/>
      <c r="FG614" s="778"/>
      <c r="FH614" s="778"/>
      <c r="FI614" s="778"/>
      <c r="FJ614" s="778"/>
    </row>
    <row r="615" spans="1:166" ht="14" hidden="1" customHeight="1">
      <c r="A615" s="158" t="s">
        <v>974</v>
      </c>
      <c r="B615" s="1094">
        <v>216</v>
      </c>
      <c r="C615" s="1094">
        <v>76</v>
      </c>
      <c r="D615" s="1094"/>
      <c r="E615" s="1095" t="s">
        <v>2116</v>
      </c>
      <c r="F615" s="711" t="s">
        <v>2375</v>
      </c>
      <c r="G615" s="1096">
        <v>2007</v>
      </c>
      <c r="H615" s="158">
        <v>17027033</v>
      </c>
      <c r="I615" s="158">
        <v>1</v>
      </c>
      <c r="J615" s="158">
        <v>1</v>
      </c>
      <c r="K615" s="158"/>
      <c r="L615" s="158">
        <v>1</v>
      </c>
      <c r="M615" s="158"/>
      <c r="N615" s="158">
        <v>1</v>
      </c>
      <c r="O615" s="158">
        <v>2</v>
      </c>
      <c r="P615" s="158" t="s">
        <v>1569</v>
      </c>
      <c r="Q615" s="158" t="s">
        <v>1216</v>
      </c>
      <c r="R615" s="158" t="s">
        <v>1568</v>
      </c>
      <c r="S615" s="158"/>
      <c r="T615" s="158" t="s">
        <v>1541</v>
      </c>
      <c r="U615" s="158"/>
      <c r="V615" s="158"/>
      <c r="W615" s="158" t="s">
        <v>1570</v>
      </c>
      <c r="X615" s="158"/>
      <c r="Y615" s="158" t="s">
        <v>1132</v>
      </c>
      <c r="Z615" s="158"/>
      <c r="AA615" s="158"/>
      <c r="AB615" s="158"/>
      <c r="AC615" s="800"/>
      <c r="AD615" s="536">
        <v>1</v>
      </c>
      <c r="AE615" s="536">
        <v>2</v>
      </c>
      <c r="AF615" s="576">
        <v>0</v>
      </c>
      <c r="AG615" s="577" t="s">
        <v>8044</v>
      </c>
      <c r="AH615" s="509" t="s">
        <v>7197</v>
      </c>
      <c r="AI615" s="734">
        <v>5</v>
      </c>
      <c r="AJ615" s="734" t="s">
        <v>5601</v>
      </c>
      <c r="AK615" s="739" t="s">
        <v>5559</v>
      </c>
      <c r="AL615" s="372">
        <v>2</v>
      </c>
      <c r="AM615" s="724">
        <v>0</v>
      </c>
      <c r="AN615" s="734">
        <v>8</v>
      </c>
      <c r="AO615" s="120">
        <v>8</v>
      </c>
      <c r="AP615" s="509" t="s">
        <v>5564</v>
      </c>
      <c r="AQ615" s="734" t="s">
        <v>803</v>
      </c>
      <c r="AR615" s="734" t="s">
        <v>803</v>
      </c>
      <c r="AS615" s="734" t="s">
        <v>4544</v>
      </c>
      <c r="AT615" s="734" t="s">
        <v>24</v>
      </c>
      <c r="AU615" s="734" t="s">
        <v>4544</v>
      </c>
      <c r="AV615" s="734" t="s">
        <v>24</v>
      </c>
      <c r="AW615" s="734" t="s">
        <v>5549</v>
      </c>
      <c r="AX615" s="734">
        <v>1</v>
      </c>
      <c r="AY615" s="734">
        <v>1.5</v>
      </c>
      <c r="AZ615" s="755" t="s">
        <v>1814</v>
      </c>
      <c r="BA615" s="734">
        <v>1</v>
      </c>
      <c r="BB615" s="734" t="s">
        <v>5553</v>
      </c>
      <c r="BC615" s="734" t="s">
        <v>5546</v>
      </c>
      <c r="BD615" s="755" t="s">
        <v>7523</v>
      </c>
      <c r="BE615" s="755"/>
      <c r="BF615" s="734" t="s">
        <v>5566</v>
      </c>
      <c r="BG615" s="734" t="s">
        <v>4508</v>
      </c>
      <c r="BH615" s="372"/>
      <c r="BI615" s="372"/>
      <c r="BJ615" s="735">
        <v>1</v>
      </c>
      <c r="BK615" s="735" t="s">
        <v>5545</v>
      </c>
      <c r="BL615" s="735"/>
      <c r="BM615" s="735"/>
      <c r="BN615" s="735"/>
      <c r="BO615" s="735"/>
      <c r="BP615" s="735">
        <v>1</v>
      </c>
      <c r="BQ615" s="735"/>
      <c r="BR615" s="735"/>
      <c r="BS615" s="735"/>
      <c r="BT615" s="735"/>
      <c r="BU615" s="735"/>
      <c r="BV615" s="735"/>
      <c r="BW615" s="511" t="s">
        <v>7195</v>
      </c>
      <c r="BX615" s="510" t="s">
        <v>6657</v>
      </c>
      <c r="BY615" s="799" t="s">
        <v>7613</v>
      </c>
      <c r="BZ615" s="510" t="s">
        <v>803</v>
      </c>
      <c r="CA615" s="510">
        <v>1</v>
      </c>
      <c r="CB615" s="510" t="s">
        <v>7556</v>
      </c>
      <c r="CC615" s="510" t="s">
        <v>7384</v>
      </c>
      <c r="CD615" s="509" t="s">
        <v>23</v>
      </c>
      <c r="CE615" s="509" t="s">
        <v>5563</v>
      </c>
      <c r="CF615" s="786" t="s">
        <v>7591</v>
      </c>
      <c r="CG615" s="734" t="s">
        <v>5551</v>
      </c>
      <c r="CH615" s="755" t="s">
        <v>7310</v>
      </c>
      <c r="CI615" s="734" t="s">
        <v>5544</v>
      </c>
      <c r="CJ615" s="734"/>
      <c r="CK615" s="509" t="s">
        <v>5562</v>
      </c>
      <c r="CL615" s="509" t="s">
        <v>2659</v>
      </c>
      <c r="CM615" s="737" t="s">
        <v>5595</v>
      </c>
      <c r="CN615" s="738" t="s">
        <v>6627</v>
      </c>
      <c r="CO615" s="738"/>
      <c r="CP615" s="738"/>
      <c r="CQ615" s="738"/>
      <c r="CR615" s="738"/>
      <c r="CS615" s="738"/>
      <c r="CT615" s="738"/>
      <c r="CU615" s="738"/>
      <c r="CV615" s="738"/>
      <c r="CW615" s="738"/>
      <c r="CX615" s="510" t="s">
        <v>5569</v>
      </c>
      <c r="CY615" s="509">
        <v>12.62</v>
      </c>
      <c r="CZ615" s="509">
        <v>6.69</v>
      </c>
      <c r="DA615" s="509" t="s">
        <v>24</v>
      </c>
      <c r="DB615" s="510"/>
      <c r="DC615" s="509"/>
      <c r="DD615" s="509"/>
      <c r="DE615" s="509"/>
      <c r="DF615" s="515" t="s">
        <v>8038</v>
      </c>
      <c r="DG615" s="513"/>
      <c r="DH615" s="1135"/>
      <c r="DI615" s="635"/>
      <c r="DJ615" s="1194"/>
      <c r="DK615" s="635"/>
      <c r="DL615" s="510"/>
      <c r="DM615" s="635"/>
      <c r="DN615" s="778"/>
      <c r="DO615" s="1136"/>
      <c r="DP615" s="515"/>
      <c r="DQ615" s="513"/>
      <c r="DR615" s="868"/>
      <c r="DS615" s="1182"/>
      <c r="DT615" s="778"/>
      <c r="DU615" s="778"/>
      <c r="DV615" s="778"/>
      <c r="DW615" s="778"/>
      <c r="DX615" s="778"/>
      <c r="DY615" s="778"/>
      <c r="DZ615" s="778"/>
      <c r="EA615" s="778"/>
      <c r="EB615" s="1181"/>
      <c r="EC615" s="778"/>
      <c r="ED615" s="778"/>
      <c r="EE615" s="778"/>
      <c r="EF615" s="778"/>
      <c r="EG615" s="778"/>
      <c r="EH615" s="778"/>
      <c r="EI615" s="778"/>
      <c r="EJ615" s="778"/>
      <c r="EK615" s="778"/>
      <c r="EL615" s="1181"/>
      <c r="EM615" s="778"/>
      <c r="EN615" s="1181"/>
      <c r="EO615" s="778"/>
      <c r="EP615" s="778"/>
      <c r="EQ615" s="778"/>
      <c r="ER615" s="778"/>
      <c r="ES615" s="778"/>
      <c r="ET615" s="1180"/>
      <c r="EU615" s="778"/>
      <c r="EV615" s="778"/>
      <c r="EW615" s="778"/>
      <c r="EX615" s="778"/>
      <c r="EY615" s="778"/>
      <c r="EZ615" s="1180"/>
      <c r="FA615" s="778"/>
      <c r="FB615" s="778"/>
      <c r="FC615" s="778"/>
      <c r="FD615" s="1180"/>
      <c r="FE615" s="778"/>
      <c r="FF615" s="778"/>
      <c r="FG615" s="778"/>
      <c r="FH615" s="778"/>
      <c r="FI615" s="778"/>
      <c r="FJ615" s="778"/>
    </row>
    <row r="616" spans="1:166" ht="14" hidden="1" customHeight="1">
      <c r="A616" s="158" t="s">
        <v>974</v>
      </c>
      <c r="B616" s="1094">
        <v>216</v>
      </c>
      <c r="C616" s="1094">
        <v>76</v>
      </c>
      <c r="D616" s="1094"/>
      <c r="E616" s="1095" t="s">
        <v>2116</v>
      </c>
      <c r="F616" s="711" t="s">
        <v>2375</v>
      </c>
      <c r="G616" s="1096">
        <v>2007</v>
      </c>
      <c r="H616" s="158">
        <v>17027033</v>
      </c>
      <c r="I616" s="158">
        <v>1</v>
      </c>
      <c r="J616" s="158">
        <v>1</v>
      </c>
      <c r="K616" s="158"/>
      <c r="L616" s="158">
        <v>1</v>
      </c>
      <c r="M616" s="158"/>
      <c r="N616" s="158">
        <v>1</v>
      </c>
      <c r="O616" s="158">
        <v>2</v>
      </c>
      <c r="P616" s="158" t="s">
        <v>1569</v>
      </c>
      <c r="Q616" s="158" t="s">
        <v>1216</v>
      </c>
      <c r="R616" s="158" t="s">
        <v>1568</v>
      </c>
      <c r="S616" s="158"/>
      <c r="T616" s="158" t="s">
        <v>1541</v>
      </c>
      <c r="U616" s="158"/>
      <c r="V616" s="158"/>
      <c r="W616" s="158" t="s">
        <v>1570</v>
      </c>
      <c r="X616" s="158"/>
      <c r="Y616" s="158" t="s">
        <v>1132</v>
      </c>
      <c r="Z616" s="158"/>
      <c r="AA616" s="158"/>
      <c r="AB616" s="158"/>
      <c r="AC616" s="800"/>
      <c r="AD616" s="536">
        <v>1</v>
      </c>
      <c r="AE616" s="536">
        <v>2</v>
      </c>
      <c r="AF616" s="576">
        <v>0</v>
      </c>
      <c r="AG616" s="577" t="s">
        <v>8044</v>
      </c>
      <c r="AH616" s="509" t="s">
        <v>7197</v>
      </c>
      <c r="AI616" s="734">
        <v>5</v>
      </c>
      <c r="AJ616" s="734" t="s">
        <v>5601</v>
      </c>
      <c r="AK616" s="739" t="s">
        <v>5559</v>
      </c>
      <c r="AL616" s="372">
        <v>2</v>
      </c>
      <c r="AM616" s="724">
        <v>0</v>
      </c>
      <c r="AN616" s="734">
        <v>8</v>
      </c>
      <c r="AO616" s="120">
        <v>8</v>
      </c>
      <c r="AP616" s="509" t="s">
        <v>5564</v>
      </c>
      <c r="AQ616" s="734" t="s">
        <v>803</v>
      </c>
      <c r="AR616" s="734" t="s">
        <v>803</v>
      </c>
      <c r="AS616" s="734" t="s">
        <v>4544</v>
      </c>
      <c r="AT616" s="734" t="s">
        <v>24</v>
      </c>
      <c r="AU616" s="734" t="s">
        <v>4544</v>
      </c>
      <c r="AV616" s="734" t="s">
        <v>24</v>
      </c>
      <c r="AW616" s="734" t="s">
        <v>5549</v>
      </c>
      <c r="AX616" s="734">
        <v>1</v>
      </c>
      <c r="AY616" s="734">
        <v>1.5</v>
      </c>
      <c r="AZ616" s="755" t="s">
        <v>1814</v>
      </c>
      <c r="BA616" s="734">
        <v>1</v>
      </c>
      <c r="BB616" s="734" t="s">
        <v>5553</v>
      </c>
      <c r="BC616" s="734" t="s">
        <v>5546</v>
      </c>
      <c r="BD616" s="755" t="s">
        <v>7523</v>
      </c>
      <c r="BE616" s="755"/>
      <c r="BF616" s="734" t="s">
        <v>5566</v>
      </c>
      <c r="BG616" s="734" t="s">
        <v>4508</v>
      </c>
      <c r="BH616" s="372"/>
      <c r="BI616" s="372"/>
      <c r="BJ616" s="735">
        <v>1</v>
      </c>
      <c r="BK616" s="735" t="s">
        <v>5545</v>
      </c>
      <c r="BL616" s="735"/>
      <c r="BM616" s="735"/>
      <c r="BN616" s="735"/>
      <c r="BO616" s="735"/>
      <c r="BP616" s="735">
        <v>1</v>
      </c>
      <c r="BQ616" s="735"/>
      <c r="BR616" s="735"/>
      <c r="BS616" s="735"/>
      <c r="BT616" s="735"/>
      <c r="BU616" s="735"/>
      <c r="BV616" s="735"/>
      <c r="BW616" s="511" t="s">
        <v>7195</v>
      </c>
      <c r="BX616" s="510" t="s">
        <v>6657</v>
      </c>
      <c r="BY616" s="799" t="s">
        <v>7613</v>
      </c>
      <c r="BZ616" s="510" t="s">
        <v>803</v>
      </c>
      <c r="CA616" s="510">
        <v>1</v>
      </c>
      <c r="CB616" s="510" t="s">
        <v>7556</v>
      </c>
      <c r="CC616" s="510" t="s">
        <v>7384</v>
      </c>
      <c r="CD616" s="509" t="s">
        <v>23</v>
      </c>
      <c r="CE616" s="509" t="s">
        <v>5563</v>
      </c>
      <c r="CF616" s="786" t="s">
        <v>7591</v>
      </c>
      <c r="CG616" s="734" t="s">
        <v>5551</v>
      </c>
      <c r="CH616" s="755" t="s">
        <v>7310</v>
      </c>
      <c r="CI616" s="734" t="s">
        <v>5544</v>
      </c>
      <c r="CJ616" s="734"/>
      <c r="CK616" s="509" t="s">
        <v>5562</v>
      </c>
      <c r="CL616" s="509" t="s">
        <v>2659</v>
      </c>
      <c r="CM616" s="737" t="s">
        <v>5595</v>
      </c>
      <c r="CN616" s="738" t="s">
        <v>6627</v>
      </c>
      <c r="CO616" s="738"/>
      <c r="CP616" s="738"/>
      <c r="CQ616" s="738"/>
      <c r="CR616" s="738"/>
      <c r="CS616" s="738"/>
      <c r="CT616" s="738"/>
      <c r="CU616" s="738"/>
      <c r="CV616" s="738"/>
      <c r="CW616" s="738"/>
      <c r="CX616" s="510" t="s">
        <v>5571</v>
      </c>
      <c r="CY616" s="509">
        <v>3.96</v>
      </c>
      <c r="CZ616" s="734">
        <v>4.17</v>
      </c>
      <c r="DA616" s="734" t="s">
        <v>24</v>
      </c>
      <c r="DB616" s="510"/>
      <c r="DC616" s="509"/>
      <c r="DD616" s="509"/>
      <c r="DE616" s="509"/>
      <c r="DF616" s="621" t="s">
        <v>8038</v>
      </c>
      <c r="DG616" s="513"/>
      <c r="DH616" s="510"/>
      <c r="DI616" s="509"/>
      <c r="DJ616" s="1194"/>
      <c r="DK616" s="509"/>
      <c r="DL616" s="956"/>
      <c r="DM616" s="509"/>
      <c r="DN616" s="778"/>
      <c r="DO616" s="734"/>
      <c r="DP616" s="515"/>
      <c r="DQ616" s="513"/>
      <c r="DR616" s="1182"/>
      <c r="DS616" s="1182"/>
      <c r="DT616" s="778"/>
      <c r="DU616" s="778"/>
      <c r="DV616" s="778"/>
      <c r="DW616" s="778"/>
      <c r="DX616" s="778"/>
      <c r="DY616" s="778"/>
      <c r="DZ616" s="778"/>
      <c r="EA616" s="778"/>
      <c r="EB616" s="1181"/>
      <c r="EC616" s="778"/>
      <c r="ED616" s="778"/>
      <c r="EE616" s="778"/>
      <c r="EF616" s="778"/>
      <c r="EG616" s="778"/>
      <c r="EH616" s="778"/>
      <c r="EI616" s="734"/>
      <c r="EJ616" s="778"/>
      <c r="EK616" s="734"/>
      <c r="EL616" s="1181"/>
      <c r="EM616" s="778"/>
      <c r="EN616" s="1181"/>
      <c r="EO616" s="778"/>
      <c r="EP616" s="778"/>
      <c r="EQ616" s="778"/>
      <c r="ER616" s="778"/>
      <c r="ES616" s="778"/>
      <c r="ET616" s="1180"/>
      <c r="EU616" s="778"/>
      <c r="EV616" s="778"/>
      <c r="EW616" s="778"/>
      <c r="EX616" s="778"/>
      <c r="EY616" s="778"/>
      <c r="EZ616" s="1180"/>
      <c r="FA616" s="778"/>
      <c r="FB616" s="778"/>
      <c r="FC616" s="778"/>
      <c r="FD616" s="1180"/>
      <c r="FE616" s="778"/>
      <c r="FF616" s="778"/>
      <c r="FG616" s="778"/>
      <c r="FH616" s="778"/>
      <c r="FI616" s="778"/>
      <c r="FJ616" s="778"/>
    </row>
    <row r="617" spans="1:166" ht="14" hidden="1" customHeight="1">
      <c r="A617" s="153" t="s">
        <v>974</v>
      </c>
      <c r="B617" s="1097">
        <v>216</v>
      </c>
      <c r="C617" s="1097">
        <v>76</v>
      </c>
      <c r="D617" s="1097"/>
      <c r="E617" s="1098" t="s">
        <v>2116</v>
      </c>
      <c r="F617" s="1021" t="s">
        <v>2375</v>
      </c>
      <c r="G617" s="1099">
        <v>2007</v>
      </c>
      <c r="H617" s="153">
        <v>17027033</v>
      </c>
      <c r="I617" s="153">
        <v>1</v>
      </c>
      <c r="J617" s="153">
        <v>1</v>
      </c>
      <c r="K617" s="153"/>
      <c r="L617" s="153">
        <v>1</v>
      </c>
      <c r="M617" s="153"/>
      <c r="N617" s="153">
        <v>1</v>
      </c>
      <c r="O617" s="153">
        <v>2</v>
      </c>
      <c r="P617" s="153" t="s">
        <v>1569</v>
      </c>
      <c r="Q617" s="153" t="s">
        <v>1216</v>
      </c>
      <c r="R617" s="153" t="s">
        <v>1568</v>
      </c>
      <c r="S617" s="153"/>
      <c r="T617" s="153" t="s">
        <v>1541</v>
      </c>
      <c r="U617" s="153"/>
      <c r="V617" s="153"/>
      <c r="W617" s="153" t="s">
        <v>1570</v>
      </c>
      <c r="X617" s="153"/>
      <c r="Y617" s="153" t="s">
        <v>1132</v>
      </c>
      <c r="Z617" s="153"/>
      <c r="AA617" s="153"/>
      <c r="AB617" s="153"/>
      <c r="AC617" s="536"/>
      <c r="AD617" s="536">
        <v>1</v>
      </c>
      <c r="AE617" s="536">
        <v>2</v>
      </c>
      <c r="AF617" s="576">
        <v>0</v>
      </c>
      <c r="AG617" s="577" t="s">
        <v>8047</v>
      </c>
      <c r="AH617" s="509" t="s">
        <v>7197</v>
      </c>
      <c r="AI617" s="509">
        <v>5</v>
      </c>
      <c r="AJ617" s="509" t="s">
        <v>5603</v>
      </c>
      <c r="AK617" s="512" t="s">
        <v>5556</v>
      </c>
      <c r="AL617" s="513">
        <v>2</v>
      </c>
      <c r="AM617" s="514">
        <v>0</v>
      </c>
      <c r="AN617" s="509">
        <v>8</v>
      </c>
      <c r="AO617" s="120">
        <v>8</v>
      </c>
      <c r="AP617" s="509" t="s">
        <v>5564</v>
      </c>
      <c r="AQ617" s="509" t="s">
        <v>803</v>
      </c>
      <c r="AR617" s="509" t="s">
        <v>803</v>
      </c>
      <c r="AS617" s="509" t="s">
        <v>4544</v>
      </c>
      <c r="AT617" s="509" t="s">
        <v>24</v>
      </c>
      <c r="AU617" s="509" t="s">
        <v>4544</v>
      </c>
      <c r="AV617" s="509" t="s">
        <v>24</v>
      </c>
      <c r="AW617" s="509" t="s">
        <v>5549</v>
      </c>
      <c r="AX617" s="734">
        <v>1</v>
      </c>
      <c r="AY617" s="734">
        <v>1.5</v>
      </c>
      <c r="AZ617" s="755" t="s">
        <v>1814</v>
      </c>
      <c r="BA617" s="509">
        <v>1</v>
      </c>
      <c r="BB617" s="509" t="s">
        <v>5553</v>
      </c>
      <c r="BC617" s="509" t="s">
        <v>5546</v>
      </c>
      <c r="BD617" s="755" t="s">
        <v>7523</v>
      </c>
      <c r="BE617" s="755"/>
      <c r="BF617" s="509" t="s">
        <v>5565</v>
      </c>
      <c r="BG617" s="509" t="s">
        <v>4508</v>
      </c>
      <c r="BH617" s="513"/>
      <c r="BI617" s="513"/>
      <c r="BJ617" s="511">
        <v>1</v>
      </c>
      <c r="BK617" s="511" t="s">
        <v>5545</v>
      </c>
      <c r="BL617" s="511"/>
      <c r="BM617" s="511"/>
      <c r="BN617" s="511"/>
      <c r="BO617" s="511"/>
      <c r="BP617" s="511">
        <v>1</v>
      </c>
      <c r="BQ617" s="511"/>
      <c r="BR617" s="511"/>
      <c r="BS617" s="511"/>
      <c r="BT617" s="511"/>
      <c r="BU617" s="511"/>
      <c r="BV617" s="511"/>
      <c r="BW617" s="511" t="s">
        <v>7195</v>
      </c>
      <c r="BX617" s="510" t="s">
        <v>6657</v>
      </c>
      <c r="BY617" s="799" t="s">
        <v>7613</v>
      </c>
      <c r="BZ617" s="510" t="s">
        <v>803</v>
      </c>
      <c r="CA617" s="510">
        <v>1</v>
      </c>
      <c r="CB617" s="510" t="s">
        <v>7556</v>
      </c>
      <c r="CC617" s="510" t="s">
        <v>7384</v>
      </c>
      <c r="CD617" s="509" t="s">
        <v>23</v>
      </c>
      <c r="CE617" s="509" t="s">
        <v>5563</v>
      </c>
      <c r="CF617" s="786" t="s">
        <v>7591</v>
      </c>
      <c r="CG617" s="509" t="s">
        <v>5551</v>
      </c>
      <c r="CH617" s="755" t="s">
        <v>7310</v>
      </c>
      <c r="CI617" s="509" t="s">
        <v>5544</v>
      </c>
      <c r="CJ617" s="509"/>
      <c r="CK617" s="509" t="s">
        <v>5562</v>
      </c>
      <c r="CL617" s="509" t="s">
        <v>2659</v>
      </c>
      <c r="CM617" s="515" t="s">
        <v>5596</v>
      </c>
      <c r="CN617" s="621" t="s">
        <v>6627</v>
      </c>
      <c r="CO617" s="621">
        <v>68</v>
      </c>
      <c r="CP617" s="621">
        <v>4</v>
      </c>
      <c r="CQ617" s="621"/>
      <c r="CR617" s="621"/>
      <c r="CS617" s="621"/>
      <c r="CT617" s="621"/>
      <c r="CU617" s="621"/>
      <c r="CV617" s="621"/>
      <c r="CW617" s="621"/>
      <c r="CX617" s="510" t="s">
        <v>5568</v>
      </c>
      <c r="CY617" s="509">
        <v>57.49</v>
      </c>
      <c r="CZ617" s="509">
        <v>20.59</v>
      </c>
      <c r="DA617" s="509" t="s">
        <v>24</v>
      </c>
      <c r="DB617" s="384"/>
      <c r="DC617" s="120"/>
      <c r="DD617" s="384"/>
      <c r="DE617" s="120"/>
      <c r="DF617" s="515" t="s">
        <v>8036</v>
      </c>
      <c r="DG617" s="513" t="s">
        <v>24</v>
      </c>
      <c r="DH617" s="384"/>
      <c r="DI617" s="384"/>
      <c r="DJ617" s="384"/>
      <c r="DK617" s="384"/>
      <c r="DL617" s="384"/>
      <c r="DM617" s="384"/>
      <c r="DN617" s="384"/>
      <c r="DO617" s="384"/>
      <c r="DP617" s="375"/>
      <c r="DQ617" s="377"/>
      <c r="DR617" s="1182"/>
      <c r="DS617" s="1182"/>
      <c r="DT617" s="778" t="s">
        <v>24</v>
      </c>
      <c r="DU617" s="778" t="s">
        <v>24</v>
      </c>
      <c r="DV617" s="778" t="s">
        <v>24</v>
      </c>
      <c r="DW617" s="778" t="s">
        <v>24</v>
      </c>
      <c r="DX617" s="778" t="s">
        <v>24</v>
      </c>
      <c r="DY617" s="778" t="s">
        <v>24</v>
      </c>
      <c r="DZ617" s="778" t="s">
        <v>24</v>
      </c>
      <c r="EA617" s="778" t="s">
        <v>24</v>
      </c>
      <c r="EB617" s="1182"/>
      <c r="EC617" s="1194"/>
      <c r="ED617" s="778" t="s">
        <v>24</v>
      </c>
      <c r="EE617" s="778" t="s">
        <v>24</v>
      </c>
      <c r="EF617" s="778" t="s">
        <v>24</v>
      </c>
      <c r="EG617" s="778" t="s">
        <v>24</v>
      </c>
      <c r="EH617" s="778" t="s">
        <v>24</v>
      </c>
      <c r="EI617" s="734" t="s">
        <v>24</v>
      </c>
      <c r="EJ617" s="778" t="s">
        <v>24</v>
      </c>
      <c r="EK617" s="734" t="s">
        <v>24</v>
      </c>
      <c r="EL617" s="1182"/>
      <c r="EM617" s="1194"/>
      <c r="EN617" s="1182"/>
      <c r="EO617" s="1194"/>
      <c r="EP617" s="1194"/>
      <c r="EQ617" s="1194"/>
      <c r="ER617" s="1194"/>
      <c r="ES617" s="1194"/>
      <c r="ET617" s="956"/>
      <c r="EU617" s="1194"/>
      <c r="EV617" s="1194"/>
      <c r="EW617" s="1194"/>
      <c r="EX617" s="1194"/>
      <c r="EY617" s="1194"/>
      <c r="EZ617" s="956"/>
      <c r="FA617" s="1194"/>
      <c r="FB617" s="1194"/>
      <c r="FC617" s="1194"/>
      <c r="FD617" s="956"/>
      <c r="FE617" s="1194"/>
      <c r="FF617" s="1194"/>
      <c r="FG617" s="1194"/>
      <c r="FH617" s="1194"/>
      <c r="FI617" s="1194"/>
      <c r="FJ617" s="1194"/>
    </row>
    <row r="618" spans="1:166" ht="14" hidden="1" customHeight="1">
      <c r="A618" s="153" t="s">
        <v>974</v>
      </c>
      <c r="B618" s="1097">
        <v>216</v>
      </c>
      <c r="C618" s="1097">
        <v>76</v>
      </c>
      <c r="D618" s="1097"/>
      <c r="E618" s="1098" t="s">
        <v>2116</v>
      </c>
      <c r="F618" s="1021" t="s">
        <v>2375</v>
      </c>
      <c r="G618" s="1099">
        <v>2007</v>
      </c>
      <c r="H618" s="153">
        <v>17027033</v>
      </c>
      <c r="I618" s="153">
        <v>1</v>
      </c>
      <c r="J618" s="153">
        <v>1</v>
      </c>
      <c r="K618" s="153"/>
      <c r="L618" s="153">
        <v>1</v>
      </c>
      <c r="M618" s="153"/>
      <c r="N618" s="153">
        <v>1</v>
      </c>
      <c r="O618" s="153">
        <v>2</v>
      </c>
      <c r="P618" s="153" t="s">
        <v>1569</v>
      </c>
      <c r="Q618" s="153" t="s">
        <v>1216</v>
      </c>
      <c r="R618" s="153" t="s">
        <v>1568</v>
      </c>
      <c r="S618" s="153"/>
      <c r="T618" s="153" t="s">
        <v>1541</v>
      </c>
      <c r="U618" s="153"/>
      <c r="V618" s="153"/>
      <c r="W618" s="153" t="s">
        <v>1570</v>
      </c>
      <c r="X618" s="153"/>
      <c r="Y618" s="153" t="s">
        <v>1132</v>
      </c>
      <c r="Z618" s="153"/>
      <c r="AA618" s="153"/>
      <c r="AB618" s="153"/>
      <c r="AC618" s="536"/>
      <c r="AD618" s="536">
        <v>1</v>
      </c>
      <c r="AE618" s="536">
        <v>2</v>
      </c>
      <c r="AF618" s="576">
        <v>0</v>
      </c>
      <c r="AG618" s="577" t="s">
        <v>8043</v>
      </c>
      <c r="AH618" s="509" t="s">
        <v>7197</v>
      </c>
      <c r="AI618" s="509">
        <v>5</v>
      </c>
      <c r="AJ618" s="509" t="s">
        <v>5603</v>
      </c>
      <c r="AK618" s="512" t="s">
        <v>5556</v>
      </c>
      <c r="AL618" s="513">
        <v>2</v>
      </c>
      <c r="AM618" s="514">
        <v>0</v>
      </c>
      <c r="AN618" s="509">
        <v>8</v>
      </c>
      <c r="AO618" s="120">
        <v>8</v>
      </c>
      <c r="AP618" s="509" t="s">
        <v>5564</v>
      </c>
      <c r="AQ618" s="509" t="s">
        <v>803</v>
      </c>
      <c r="AR618" s="509" t="s">
        <v>803</v>
      </c>
      <c r="AS618" s="509" t="s">
        <v>4544</v>
      </c>
      <c r="AT618" s="509" t="s">
        <v>24</v>
      </c>
      <c r="AU618" s="509" t="s">
        <v>4544</v>
      </c>
      <c r="AV618" s="509" t="s">
        <v>24</v>
      </c>
      <c r="AW618" s="509" t="s">
        <v>5549</v>
      </c>
      <c r="AX618" s="734">
        <v>1</v>
      </c>
      <c r="AY618" s="734">
        <v>1.5</v>
      </c>
      <c r="AZ618" s="755" t="s">
        <v>1814</v>
      </c>
      <c r="BA618" s="509">
        <v>1</v>
      </c>
      <c r="BB618" s="509" t="s">
        <v>5553</v>
      </c>
      <c r="BC618" s="509" t="s">
        <v>5546</v>
      </c>
      <c r="BD618" s="755" t="s">
        <v>7523</v>
      </c>
      <c r="BE618" s="755"/>
      <c r="BF618" s="509" t="s">
        <v>5565</v>
      </c>
      <c r="BG618" s="509" t="s">
        <v>4508</v>
      </c>
      <c r="BH618" s="513"/>
      <c r="BI618" s="513"/>
      <c r="BJ618" s="511">
        <v>1</v>
      </c>
      <c r="BK618" s="511" t="s">
        <v>5545</v>
      </c>
      <c r="BL618" s="511"/>
      <c r="BM618" s="511"/>
      <c r="BN618" s="511"/>
      <c r="BO618" s="511"/>
      <c r="BP618" s="511">
        <v>1</v>
      </c>
      <c r="BQ618" s="511"/>
      <c r="BR618" s="511"/>
      <c r="BS618" s="511"/>
      <c r="BT618" s="511"/>
      <c r="BU618" s="511"/>
      <c r="BV618" s="511"/>
      <c r="BW618" s="511" t="s">
        <v>7195</v>
      </c>
      <c r="BX618" s="510" t="s">
        <v>6657</v>
      </c>
      <c r="BY618" s="799" t="s">
        <v>7613</v>
      </c>
      <c r="BZ618" s="510" t="s">
        <v>803</v>
      </c>
      <c r="CA618" s="510">
        <v>1</v>
      </c>
      <c r="CB618" s="510" t="s">
        <v>7556</v>
      </c>
      <c r="CC618" s="510" t="s">
        <v>7384</v>
      </c>
      <c r="CD618" s="509" t="s">
        <v>23</v>
      </c>
      <c r="CE618" s="509" t="s">
        <v>5563</v>
      </c>
      <c r="CF618" s="786" t="s">
        <v>7591</v>
      </c>
      <c r="CG618" s="509" t="s">
        <v>5551</v>
      </c>
      <c r="CH618" s="755" t="s">
        <v>7310</v>
      </c>
      <c r="CI618" s="509" t="s">
        <v>5544</v>
      </c>
      <c r="CJ618" s="509"/>
      <c r="CK618" s="509" t="s">
        <v>5562</v>
      </c>
      <c r="CL618" s="509" t="s">
        <v>2659</v>
      </c>
      <c r="CM618" s="515" t="s">
        <v>5596</v>
      </c>
      <c r="CN618" s="621" t="s">
        <v>6627</v>
      </c>
      <c r="CO618" s="621"/>
      <c r="CP618" s="621"/>
      <c r="CQ618" s="621"/>
      <c r="CR618" s="621"/>
      <c r="CS618" s="621"/>
      <c r="CT618" s="621"/>
      <c r="CU618" s="621"/>
      <c r="CV618" s="621"/>
      <c r="CW618" s="621"/>
      <c r="CX618" s="510" t="s">
        <v>5569</v>
      </c>
      <c r="CY618" s="509">
        <v>9.86</v>
      </c>
      <c r="CZ618" s="509">
        <v>3.48</v>
      </c>
      <c r="DA618" s="509" t="s">
        <v>24</v>
      </c>
      <c r="DB618" s="510"/>
      <c r="DC618" s="509"/>
      <c r="DD618" s="509"/>
      <c r="DE618" s="509"/>
      <c r="DF618" s="621" t="s">
        <v>8035</v>
      </c>
      <c r="DG618" s="513"/>
      <c r="DH618" s="510"/>
      <c r="DI618" s="509"/>
      <c r="DJ618" s="1194"/>
      <c r="DK618" s="509"/>
      <c r="DL618" s="956"/>
      <c r="DM618" s="509"/>
      <c r="DN618" s="1194"/>
      <c r="DO618" s="509"/>
      <c r="DP618" s="515"/>
      <c r="DQ618" s="513"/>
      <c r="DR618" s="621"/>
      <c r="DS618" s="1182"/>
      <c r="DT618" s="778"/>
      <c r="DU618" s="778"/>
      <c r="DV618" s="778"/>
      <c r="DW618" s="778"/>
      <c r="DX618" s="778"/>
      <c r="DY618" s="778"/>
      <c r="DZ618" s="778"/>
      <c r="EA618" s="778"/>
      <c r="EB618" s="1182"/>
      <c r="EC618" s="1194"/>
      <c r="ED618" s="778"/>
      <c r="EE618" s="778"/>
      <c r="EF618" s="778"/>
      <c r="EG618" s="778"/>
      <c r="EH618" s="778"/>
      <c r="EI618" s="778"/>
      <c r="EJ618" s="778"/>
      <c r="EK618" s="778"/>
      <c r="EL618" s="1182"/>
      <c r="EM618" s="1194"/>
      <c r="EN618" s="1182"/>
      <c r="EO618" s="1194"/>
      <c r="EP618" s="509"/>
      <c r="EQ618" s="509"/>
      <c r="ER618" s="509"/>
      <c r="ES618" s="509"/>
      <c r="ET618" s="510"/>
      <c r="EU618" s="509"/>
      <c r="EV618" s="509"/>
      <c r="EW618" s="509"/>
      <c r="EX618" s="509"/>
      <c r="EY618" s="509"/>
      <c r="EZ618" s="956"/>
      <c r="FA618" s="1194"/>
      <c r="FB618" s="1194"/>
      <c r="FC618" s="1194"/>
      <c r="FD618" s="956"/>
      <c r="FE618" s="1194"/>
      <c r="FF618" s="1194"/>
      <c r="FG618" s="1194"/>
      <c r="FH618" s="1194"/>
      <c r="FI618" s="1194"/>
      <c r="FJ618" s="1194"/>
    </row>
    <row r="619" spans="1:166" ht="14" hidden="1" customHeight="1">
      <c r="A619" s="153" t="s">
        <v>974</v>
      </c>
      <c r="B619" s="1097">
        <v>216</v>
      </c>
      <c r="C619" s="1097">
        <v>76</v>
      </c>
      <c r="D619" s="1097"/>
      <c r="E619" s="1098" t="s">
        <v>2116</v>
      </c>
      <c r="F619" s="1021" t="s">
        <v>2375</v>
      </c>
      <c r="G619" s="1099">
        <v>2007</v>
      </c>
      <c r="H619" s="153">
        <v>17027033</v>
      </c>
      <c r="I619" s="153">
        <v>1</v>
      </c>
      <c r="J619" s="153">
        <v>1</v>
      </c>
      <c r="K619" s="153"/>
      <c r="L619" s="153">
        <v>1</v>
      </c>
      <c r="M619" s="153"/>
      <c r="N619" s="153">
        <v>1</v>
      </c>
      <c r="O619" s="153">
        <v>2</v>
      </c>
      <c r="P619" s="153" t="s">
        <v>1569</v>
      </c>
      <c r="Q619" s="153" t="s">
        <v>1216</v>
      </c>
      <c r="R619" s="153" t="s">
        <v>1568</v>
      </c>
      <c r="S619" s="153"/>
      <c r="T619" s="153" t="s">
        <v>1541</v>
      </c>
      <c r="U619" s="153"/>
      <c r="V619" s="153"/>
      <c r="W619" s="153" t="s">
        <v>1570</v>
      </c>
      <c r="X619" s="153"/>
      <c r="Y619" s="153" t="s">
        <v>1132</v>
      </c>
      <c r="Z619" s="153"/>
      <c r="AA619" s="153"/>
      <c r="AB619" s="153"/>
      <c r="AC619" s="536"/>
      <c r="AD619" s="536">
        <v>1</v>
      </c>
      <c r="AE619" s="536">
        <v>2</v>
      </c>
      <c r="AF619" s="576">
        <v>0</v>
      </c>
      <c r="AG619" s="577" t="s">
        <v>8043</v>
      </c>
      <c r="AH619" s="509" t="s">
        <v>7197</v>
      </c>
      <c r="AI619" s="509">
        <v>5</v>
      </c>
      <c r="AJ619" s="509" t="s">
        <v>5603</v>
      </c>
      <c r="AK619" s="512" t="s">
        <v>5556</v>
      </c>
      <c r="AL619" s="513">
        <v>2</v>
      </c>
      <c r="AM619" s="514">
        <v>0</v>
      </c>
      <c r="AN619" s="509">
        <v>8</v>
      </c>
      <c r="AO619" s="120">
        <v>8</v>
      </c>
      <c r="AP619" s="509" t="s">
        <v>5564</v>
      </c>
      <c r="AQ619" s="509" t="s">
        <v>803</v>
      </c>
      <c r="AR619" s="509" t="s">
        <v>803</v>
      </c>
      <c r="AS619" s="509" t="s">
        <v>4544</v>
      </c>
      <c r="AT619" s="509" t="s">
        <v>24</v>
      </c>
      <c r="AU619" s="509" t="s">
        <v>4544</v>
      </c>
      <c r="AV619" s="509" t="s">
        <v>24</v>
      </c>
      <c r="AW619" s="509" t="s">
        <v>5549</v>
      </c>
      <c r="AX619" s="734">
        <v>1</v>
      </c>
      <c r="AY619" s="734">
        <v>1.5</v>
      </c>
      <c r="AZ619" s="755" t="s">
        <v>1814</v>
      </c>
      <c r="BA619" s="509">
        <v>1</v>
      </c>
      <c r="BB619" s="509" t="s">
        <v>5553</v>
      </c>
      <c r="BC619" s="509" t="s">
        <v>5546</v>
      </c>
      <c r="BD619" s="755" t="s">
        <v>7523</v>
      </c>
      <c r="BE619" s="755"/>
      <c r="BF619" s="509" t="s">
        <v>5565</v>
      </c>
      <c r="BG619" s="509" t="s">
        <v>4508</v>
      </c>
      <c r="BH619" s="513"/>
      <c r="BI619" s="513"/>
      <c r="BJ619" s="511">
        <v>1</v>
      </c>
      <c r="BK619" s="511" t="s">
        <v>5545</v>
      </c>
      <c r="BL619" s="511"/>
      <c r="BM619" s="511"/>
      <c r="BN619" s="511"/>
      <c r="BO619" s="511"/>
      <c r="BP619" s="511">
        <v>1</v>
      </c>
      <c r="BQ619" s="511"/>
      <c r="BR619" s="511"/>
      <c r="BS619" s="511"/>
      <c r="BT619" s="511"/>
      <c r="BU619" s="511"/>
      <c r="BV619" s="511"/>
      <c r="BW619" s="511" t="s">
        <v>7195</v>
      </c>
      <c r="BX619" s="510" t="s">
        <v>6657</v>
      </c>
      <c r="BY619" s="799" t="s">
        <v>7613</v>
      </c>
      <c r="BZ619" s="510" t="s">
        <v>803</v>
      </c>
      <c r="CA619" s="511">
        <v>1</v>
      </c>
      <c r="CB619" s="781" t="s">
        <v>7556</v>
      </c>
      <c r="CC619" s="511" t="s">
        <v>7384</v>
      </c>
      <c r="CD619" s="509" t="s">
        <v>23</v>
      </c>
      <c r="CE619" s="509" t="s">
        <v>5563</v>
      </c>
      <c r="CF619" s="786" t="s">
        <v>7591</v>
      </c>
      <c r="CG619" s="509" t="s">
        <v>5551</v>
      </c>
      <c r="CH619" s="755" t="s">
        <v>7310</v>
      </c>
      <c r="CI619" s="509" t="s">
        <v>5544</v>
      </c>
      <c r="CJ619" s="509"/>
      <c r="CK619" s="509" t="s">
        <v>5562</v>
      </c>
      <c r="CL619" s="509" t="s">
        <v>2659</v>
      </c>
      <c r="CM619" s="515" t="s">
        <v>5596</v>
      </c>
      <c r="CN619" s="621" t="s">
        <v>6627</v>
      </c>
      <c r="CO619" s="621"/>
      <c r="CP619" s="621"/>
      <c r="CQ619" s="621"/>
      <c r="CR619" s="621"/>
      <c r="CS619" s="621"/>
      <c r="CT619" s="621"/>
      <c r="CU619" s="621"/>
      <c r="CV619" s="621"/>
      <c r="CW619" s="621"/>
      <c r="CX619" s="510" t="s">
        <v>5571</v>
      </c>
      <c r="CY619" s="509">
        <v>7.49</v>
      </c>
      <c r="CZ619" s="509">
        <v>8.4700000000000006</v>
      </c>
      <c r="DA619" s="509" t="s">
        <v>24</v>
      </c>
      <c r="DB619" s="510"/>
      <c r="DC619" s="635"/>
      <c r="DD619" s="509"/>
      <c r="DE619" s="1122"/>
      <c r="DF619" s="515" t="s">
        <v>8035</v>
      </c>
      <c r="DG619" s="513"/>
      <c r="DH619" s="1135"/>
      <c r="DI619" s="635"/>
      <c r="DJ619" s="1194"/>
      <c r="DK619" s="635"/>
      <c r="DL619" s="956"/>
      <c r="DM619" s="635"/>
      <c r="DN619" s="1194"/>
      <c r="DO619" s="1122"/>
      <c r="DP619" s="515"/>
      <c r="DQ619" s="513"/>
      <c r="DR619" s="868"/>
      <c r="DS619" s="1182"/>
      <c r="DT619" s="778"/>
      <c r="DU619" s="778"/>
      <c r="DV619" s="778"/>
      <c r="DW619" s="778"/>
      <c r="DX619" s="778"/>
      <c r="DY619" s="778"/>
      <c r="DZ619" s="778"/>
      <c r="EA619" s="778"/>
      <c r="EB619" s="1182"/>
      <c r="EC619" s="1194"/>
      <c r="ED619" s="778"/>
      <c r="EE619" s="778"/>
      <c r="EF619" s="778"/>
      <c r="EG619" s="778"/>
      <c r="EH619" s="778"/>
      <c r="EI619" s="778"/>
      <c r="EJ619" s="778"/>
      <c r="EK619" s="778"/>
      <c r="EL619" s="1182"/>
      <c r="EM619" s="1194"/>
      <c r="EN619" s="1182"/>
      <c r="EO619" s="1194"/>
      <c r="EP619" s="509"/>
      <c r="EQ619" s="509"/>
      <c r="ER619" s="509"/>
      <c r="ES619" s="509"/>
      <c r="ET619" s="510"/>
      <c r="EU619" s="509"/>
      <c r="EV619" s="509"/>
      <c r="EW619" s="509"/>
      <c r="EX619" s="509"/>
      <c r="EY619" s="509"/>
      <c r="EZ619" s="956"/>
      <c r="FA619" s="1194"/>
      <c r="FB619" s="1194"/>
      <c r="FC619" s="1194"/>
      <c r="FD619" s="956"/>
      <c r="FE619" s="1194"/>
      <c r="FF619" s="1194"/>
      <c r="FG619" s="1194"/>
      <c r="FH619" s="1194"/>
      <c r="FI619" s="1194"/>
      <c r="FJ619" s="1194"/>
    </row>
    <row r="620" spans="1:166" ht="14" hidden="1" customHeight="1">
      <c r="A620" s="79" t="s">
        <v>1049</v>
      </c>
      <c r="B620" s="614">
        <v>21</v>
      </c>
      <c r="C620" s="614"/>
      <c r="D620" s="614"/>
      <c r="E620" s="604" t="s">
        <v>2078</v>
      </c>
      <c r="F620" s="124" t="s">
        <v>2332</v>
      </c>
      <c r="G620" s="125">
        <v>2016</v>
      </c>
      <c r="H620" s="79">
        <v>27740964</v>
      </c>
      <c r="I620" s="79">
        <v>1</v>
      </c>
      <c r="J620" s="126"/>
      <c r="K620" s="127"/>
      <c r="L620" s="79">
        <v>1</v>
      </c>
      <c r="M620" s="79"/>
      <c r="N620" s="79">
        <v>1</v>
      </c>
      <c r="O620" s="128">
        <v>2</v>
      </c>
      <c r="P620" s="79" t="s">
        <v>1327</v>
      </c>
      <c r="Q620" s="79" t="s">
        <v>1224</v>
      </c>
      <c r="R620" s="79" t="s">
        <v>1225</v>
      </c>
      <c r="S620" s="79"/>
      <c r="T620" s="79" t="s">
        <v>1541</v>
      </c>
      <c r="U620" s="79"/>
      <c r="V620" s="79"/>
      <c r="W620" s="79" t="s">
        <v>1355</v>
      </c>
      <c r="X620" s="79"/>
      <c r="Y620" s="79"/>
      <c r="Z620" s="79"/>
      <c r="AA620" s="79" t="s">
        <v>1356</v>
      </c>
      <c r="AB620" s="79"/>
      <c r="AC620" s="506"/>
      <c r="AD620" s="573">
        <v>1</v>
      </c>
      <c r="AE620" s="573">
        <v>2</v>
      </c>
      <c r="AF620" s="154">
        <v>1</v>
      </c>
      <c r="AG620" s="155" t="s">
        <v>3313</v>
      </c>
      <c r="AH620" s="704" t="s">
        <v>7459</v>
      </c>
      <c r="AI620" s="134">
        <v>4</v>
      </c>
      <c r="AJ620" s="484"/>
      <c r="AK620" s="213" t="s">
        <v>3310</v>
      </c>
      <c r="AL620" s="192" t="s">
        <v>7627</v>
      </c>
      <c r="AM620" s="215">
        <v>0</v>
      </c>
      <c r="AN620" s="134">
        <f>Table66[[#This Row],[Data_Subjects_n_ptsd]]+Table66[[#This Row],[Data_Subjects_n_control]]</f>
        <v>24</v>
      </c>
      <c r="AO620" s="134">
        <v>14</v>
      </c>
      <c r="AP620" s="134">
        <v>10</v>
      </c>
      <c r="AQ620" s="134" t="s">
        <v>803</v>
      </c>
      <c r="AR620" s="134" t="s">
        <v>803</v>
      </c>
      <c r="AS620" s="134" t="s">
        <v>2468</v>
      </c>
      <c r="AT620" s="134" t="s">
        <v>24</v>
      </c>
      <c r="AU620" s="134" t="s">
        <v>2468</v>
      </c>
      <c r="AV620" s="134" t="s">
        <v>24</v>
      </c>
      <c r="AW620" s="134" t="s">
        <v>2974</v>
      </c>
      <c r="AX620" s="134">
        <v>1</v>
      </c>
      <c r="AY620" s="134">
        <v>2</v>
      </c>
      <c r="AZ620" s="753" t="s">
        <v>1814</v>
      </c>
      <c r="BA620" s="134">
        <v>1</v>
      </c>
      <c r="BB620" s="134" t="s">
        <v>3328</v>
      </c>
      <c r="BC620" s="134" t="s">
        <v>2975</v>
      </c>
      <c r="BD620" s="753" t="s">
        <v>7523</v>
      </c>
      <c r="BE620" s="753"/>
      <c r="BF620" s="134" t="s">
        <v>1130</v>
      </c>
      <c r="BG620" s="134" t="s">
        <v>2554</v>
      </c>
      <c r="BH620" s="594"/>
      <c r="BI620" s="594"/>
      <c r="BJ620" s="156">
        <v>1</v>
      </c>
      <c r="BK620" s="156"/>
      <c r="BL620" s="156"/>
      <c r="BM620" s="156"/>
      <c r="BN620" s="156"/>
      <c r="BO620" s="156"/>
      <c r="BP620" s="156"/>
      <c r="BQ620" s="156"/>
      <c r="BR620" s="156"/>
      <c r="BS620" s="156"/>
      <c r="BT620" s="156"/>
      <c r="BU620" s="156"/>
      <c r="BV620" s="156"/>
      <c r="BW620" s="595" t="s">
        <v>6701</v>
      </c>
      <c r="BX620" s="157" t="s">
        <v>6657</v>
      </c>
      <c r="BY620" s="797" t="s">
        <v>7613</v>
      </c>
      <c r="BZ620" s="789" t="s">
        <v>803</v>
      </c>
      <c r="CA620" s="765">
        <v>1</v>
      </c>
      <c r="CB620" s="772" t="s">
        <v>7556</v>
      </c>
      <c r="CC620" s="765" t="s">
        <v>7384</v>
      </c>
      <c r="CD620" s="134" t="s">
        <v>1876</v>
      </c>
      <c r="CE620" s="134">
        <v>2</v>
      </c>
      <c r="CF620" s="400" t="s">
        <v>7847</v>
      </c>
      <c r="CG620" s="134" t="s">
        <v>7844</v>
      </c>
      <c r="CH620" s="753" t="s">
        <v>7310</v>
      </c>
      <c r="CI620" s="134" t="s">
        <v>1121</v>
      </c>
      <c r="CJ620" s="134"/>
      <c r="CK620" s="134" t="s">
        <v>2989</v>
      </c>
      <c r="CL620" s="134" t="s">
        <v>8284</v>
      </c>
      <c r="CM620" s="259" t="s">
        <v>3326</v>
      </c>
      <c r="CN620" s="454" t="s">
        <v>6627</v>
      </c>
      <c r="CO620" s="828">
        <v>32</v>
      </c>
      <c r="CP620" s="828">
        <v>1</v>
      </c>
      <c r="CQ620" s="828">
        <v>1</v>
      </c>
      <c r="CR620" s="828">
        <v>1</v>
      </c>
      <c r="CS620" s="828">
        <v>-1</v>
      </c>
      <c r="CT620" s="967"/>
      <c r="CU620" s="1289" t="s">
        <v>8104</v>
      </c>
      <c r="CV620" s="1295">
        <v>88</v>
      </c>
      <c r="CW620" s="1295">
        <v>80</v>
      </c>
      <c r="CX620" s="138" t="s">
        <v>8019</v>
      </c>
      <c r="CY620" s="134">
        <v>1.2261899999999999</v>
      </c>
      <c r="CZ620" s="134" t="s">
        <v>24</v>
      </c>
      <c r="DA620" s="134">
        <f>1.67816-Table66[[#This Row],[Data_Outcome1_M]]</f>
        <v>0.4519700000000002</v>
      </c>
      <c r="DB620" s="138" t="s">
        <v>8022</v>
      </c>
      <c r="DC620" s="134">
        <v>4.1132499999999999</v>
      </c>
      <c r="DD620" s="134" t="s">
        <v>24</v>
      </c>
      <c r="DE620" s="134">
        <f>4.71954-Table66[[#This Row],[Data_Outcome2_M]]</f>
        <v>0.60629000000000044</v>
      </c>
      <c r="DF620" s="435" t="s">
        <v>2987</v>
      </c>
      <c r="DG620" s="289" t="s">
        <v>2991</v>
      </c>
      <c r="DH620" s="1276"/>
      <c r="DI620" s="121"/>
      <c r="DJ620" s="1169"/>
      <c r="DK620" s="121"/>
      <c r="DL620" s="1276"/>
      <c r="DM620" s="121"/>
      <c r="DN620" s="1169"/>
      <c r="DO620" s="121"/>
      <c r="DP620" s="288"/>
      <c r="DQ620" s="289"/>
      <c r="DR620" s="1168"/>
      <c r="DS620" s="865"/>
      <c r="DT620" s="1276"/>
      <c r="DU620" s="121"/>
      <c r="DV620" s="1169"/>
      <c r="DW620" s="121"/>
      <c r="DX620" s="1276"/>
      <c r="DY620" s="121"/>
      <c r="DZ620" s="1169"/>
      <c r="EA620" s="121"/>
      <c r="EB620" s="300"/>
      <c r="EC620" s="301"/>
      <c r="ED620" s="121"/>
      <c r="EE620" s="121"/>
      <c r="EF620" s="1169"/>
      <c r="EG620" s="121"/>
      <c r="EH620" s="121"/>
      <c r="EI620" s="121"/>
      <c r="EJ620" s="1169"/>
      <c r="EK620" s="121"/>
      <c r="EL620" s="300"/>
      <c r="EM620" s="301"/>
      <c r="EN620" s="309"/>
      <c r="EO620" s="1170"/>
      <c r="EP620" s="121"/>
      <c r="EQ620" s="121"/>
      <c r="ER620" s="121"/>
      <c r="ES620" s="121"/>
      <c r="ET620" s="1276"/>
      <c r="EU620" s="121"/>
      <c r="EV620" s="121"/>
      <c r="EW620" s="121"/>
      <c r="EX620" s="312"/>
      <c r="EY620" s="312"/>
      <c r="EZ620" s="1276"/>
      <c r="FA620" s="121"/>
      <c r="FB620" s="121"/>
      <c r="FC620" s="121"/>
      <c r="FD620" s="1276"/>
      <c r="FE620" s="121"/>
      <c r="FF620" s="121"/>
      <c r="FG620" s="121"/>
      <c r="FH620" s="301"/>
      <c r="FI620" s="301"/>
      <c r="FJ620" s="1170"/>
    </row>
    <row r="621" spans="1:166" ht="14" hidden="1" customHeight="1">
      <c r="A621" s="118" t="s">
        <v>1110</v>
      </c>
      <c r="B621" s="767">
        <v>5</v>
      </c>
      <c r="C621" s="767"/>
      <c r="D621" s="767"/>
      <c r="E621" s="605" t="s">
        <v>2053</v>
      </c>
      <c r="F621" s="140" t="s">
        <v>2296</v>
      </c>
      <c r="G621" s="141">
        <v>2014</v>
      </c>
      <c r="H621" s="118">
        <v>24808840</v>
      </c>
      <c r="I621" s="118">
        <v>1</v>
      </c>
      <c r="J621" s="118">
        <v>1</v>
      </c>
      <c r="K621" s="118"/>
      <c r="L621" s="118">
        <v>1</v>
      </c>
      <c r="M621" s="118"/>
      <c r="N621" s="158">
        <v>1</v>
      </c>
      <c r="O621" s="142">
        <v>2</v>
      </c>
      <c r="P621" s="127" t="s">
        <v>1220</v>
      </c>
      <c r="Q621" s="127" t="s">
        <v>1169</v>
      </c>
      <c r="R621" s="127" t="s">
        <v>1127</v>
      </c>
      <c r="S621" s="127"/>
      <c r="T621" s="127" t="s">
        <v>1544</v>
      </c>
      <c r="U621" s="127" t="s">
        <v>803</v>
      </c>
      <c r="V621" s="127"/>
      <c r="W621" s="127" t="s">
        <v>1140</v>
      </c>
      <c r="X621" s="127" t="s">
        <v>24</v>
      </c>
      <c r="Y621" s="127"/>
      <c r="Z621" s="127"/>
      <c r="AA621" s="127"/>
      <c r="AB621" s="127" t="s">
        <v>1141</v>
      </c>
      <c r="AC621" s="145"/>
      <c r="AD621" s="653">
        <v>1</v>
      </c>
      <c r="AE621" s="653">
        <v>2</v>
      </c>
      <c r="AF621" s="352">
        <v>1</v>
      </c>
      <c r="AG621" s="160" t="s">
        <v>24</v>
      </c>
      <c r="AH621" s="732">
        <v>0</v>
      </c>
      <c r="AI621" s="122">
        <v>4</v>
      </c>
      <c r="AJ621" s="485"/>
      <c r="AK621" s="204" t="s">
        <v>7420</v>
      </c>
      <c r="AL621" s="192">
        <v>2</v>
      </c>
      <c r="AM621" s="227">
        <v>0</v>
      </c>
      <c r="AN621" s="150">
        <f>Table66[[#This Row],[Data_Subjects_n_ptsd]]+Table66[[#This Row],[Data_Subjects_n_control]]</f>
        <v>22</v>
      </c>
      <c r="AO621" s="150">
        <v>11</v>
      </c>
      <c r="AP621" s="150">
        <v>11</v>
      </c>
      <c r="AQ621" s="150" t="s">
        <v>803</v>
      </c>
      <c r="AR621" s="150" t="s">
        <v>803</v>
      </c>
      <c r="AS621" s="150" t="s">
        <v>2494</v>
      </c>
      <c r="AT621" s="150" t="s">
        <v>24</v>
      </c>
      <c r="AU621" s="150" t="s">
        <v>2494</v>
      </c>
      <c r="AV621" s="150" t="s">
        <v>24</v>
      </c>
      <c r="AW621" s="150" t="s">
        <v>7399</v>
      </c>
      <c r="AX621" s="150">
        <v>5</v>
      </c>
      <c r="AY621" s="150">
        <v>0.8</v>
      </c>
      <c r="AZ621" s="150" t="s">
        <v>1814</v>
      </c>
      <c r="BA621" s="150">
        <v>1</v>
      </c>
      <c r="BB621" s="150">
        <v>1</v>
      </c>
      <c r="BC621" s="150" t="s">
        <v>7400</v>
      </c>
      <c r="BD621" s="753" t="s">
        <v>7523</v>
      </c>
      <c r="BE621" s="753"/>
      <c r="BF621" s="150" t="s">
        <v>1130</v>
      </c>
      <c r="BG621" s="150" t="s">
        <v>2554</v>
      </c>
      <c r="BH621" s="588"/>
      <c r="BI621" s="588"/>
      <c r="BJ621" s="161">
        <v>1</v>
      </c>
      <c r="BK621" s="161"/>
      <c r="BL621" s="161"/>
      <c r="BM621" s="161"/>
      <c r="BN621" s="161"/>
      <c r="BO621" s="161"/>
      <c r="BP621" s="161"/>
      <c r="BQ621" s="161"/>
      <c r="BR621" s="161"/>
      <c r="BS621" s="161"/>
      <c r="BT621" s="161"/>
      <c r="BU621" s="161"/>
      <c r="BV621" s="161"/>
      <c r="BW621" s="596" t="s">
        <v>7419</v>
      </c>
      <c r="BX621" s="162" t="s">
        <v>6657</v>
      </c>
      <c r="BY621" s="797" t="s">
        <v>7613</v>
      </c>
      <c r="BZ621" s="790" t="s">
        <v>803</v>
      </c>
      <c r="CA621" s="766">
        <v>1</v>
      </c>
      <c r="CB621" s="772" t="s">
        <v>7556</v>
      </c>
      <c r="CC621" s="766" t="s">
        <v>7384</v>
      </c>
      <c r="CD621" s="150" t="s">
        <v>1876</v>
      </c>
      <c r="CE621" s="150">
        <v>2</v>
      </c>
      <c r="CF621" s="400" t="s">
        <v>7583</v>
      </c>
      <c r="CG621" s="150" t="s">
        <v>7414</v>
      </c>
      <c r="CH621" s="150" t="s">
        <v>7310</v>
      </c>
      <c r="CI621" s="150" t="s">
        <v>2471</v>
      </c>
      <c r="CJ621" s="150">
        <v>0</v>
      </c>
      <c r="CK621" s="150" t="s">
        <v>2659</v>
      </c>
      <c r="CL621" s="150" t="s">
        <v>8296</v>
      </c>
      <c r="CM621" s="258" t="s">
        <v>2597</v>
      </c>
      <c r="CN621" s="257" t="s">
        <v>6627</v>
      </c>
      <c r="CO621" s="829">
        <v>3</v>
      </c>
      <c r="CP621" s="829">
        <v>8</v>
      </c>
      <c r="CQ621" s="829">
        <v>1</v>
      </c>
      <c r="CR621" s="829">
        <v>0</v>
      </c>
      <c r="CS621" s="829">
        <v>1</v>
      </c>
      <c r="CT621" s="968"/>
      <c r="CU621" s="1289" t="s">
        <v>8104</v>
      </c>
      <c r="CV621" s="1295">
        <v>49</v>
      </c>
      <c r="CW621" s="1295">
        <v>43</v>
      </c>
      <c r="CX621" s="151" t="s">
        <v>2580</v>
      </c>
      <c r="CY621" s="150">
        <v>25.549399999999999</v>
      </c>
      <c r="CZ621" s="150" t="s">
        <v>24</v>
      </c>
      <c r="DA621" s="150">
        <f>30.4945-Table66[[#This Row],[Data_Outcome1_M]]</f>
        <v>4.9451000000000001</v>
      </c>
      <c r="DB621" s="151" t="s">
        <v>2585</v>
      </c>
      <c r="DC621" s="150">
        <v>3.5714299999999999</v>
      </c>
      <c r="DD621" s="150" t="s">
        <v>24</v>
      </c>
      <c r="DE621" s="150">
        <f>4.3956-Table66[[#This Row],[Data_Outcome2_M]]</f>
        <v>0.82417000000000007</v>
      </c>
      <c r="DF621" s="821" t="s">
        <v>2594</v>
      </c>
      <c r="DG621" s="821" t="s">
        <v>2588</v>
      </c>
      <c r="DH621" s="1166"/>
      <c r="DI621" s="1164"/>
      <c r="DJ621" s="1164"/>
      <c r="DK621" s="1164"/>
      <c r="DL621" s="1166"/>
      <c r="DM621" s="1164"/>
      <c r="DN621" s="1164"/>
      <c r="DO621" s="1164"/>
      <c r="DP621" s="290"/>
      <c r="DQ621" s="291"/>
      <c r="DR621" s="1168"/>
      <c r="DS621" s="865"/>
      <c r="DT621" s="1166"/>
      <c r="DU621" s="1164"/>
      <c r="DV621" s="1164"/>
      <c r="DW621" s="1164"/>
      <c r="DX621" s="1166"/>
      <c r="DY621" s="1164"/>
      <c r="DZ621" s="1164"/>
      <c r="EA621" s="1164"/>
      <c r="EB621" s="311"/>
      <c r="EC621" s="313"/>
      <c r="ED621" s="1166"/>
      <c r="EE621" s="122"/>
      <c r="EF621" s="122"/>
      <c r="EG621" s="122"/>
      <c r="EH621" s="1166"/>
      <c r="EI621" s="122"/>
      <c r="EJ621" s="1164"/>
      <c r="EK621" s="122"/>
      <c r="EL621" s="311"/>
      <c r="EM621" s="313"/>
      <c r="EN621" s="1167"/>
      <c r="EO621" s="1165"/>
      <c r="EP621" s="1164"/>
      <c r="EQ621" s="1164"/>
      <c r="ER621" s="1164"/>
      <c r="ES621" s="1164"/>
      <c r="ET621" s="1164"/>
      <c r="EU621" s="122"/>
      <c r="EV621" s="122"/>
      <c r="EW621" s="122"/>
      <c r="EX621" s="313"/>
      <c r="EY621" s="313"/>
      <c r="EZ621" s="1166"/>
      <c r="FA621" s="1164"/>
      <c r="FB621" s="1164"/>
      <c r="FC621" s="1164"/>
      <c r="FD621" s="1166"/>
      <c r="FE621" s="1164"/>
      <c r="FF621" s="1164"/>
      <c r="FG621" s="1164"/>
      <c r="FH621" s="313"/>
      <c r="FI621" s="313"/>
      <c r="FJ621" s="1165"/>
    </row>
    <row r="622" spans="1:166" s="1506" customFormat="1" ht="14" hidden="1" customHeight="1">
      <c r="A622" s="1487" t="s">
        <v>974</v>
      </c>
      <c r="B622" s="1488">
        <v>216</v>
      </c>
      <c r="C622" s="1488">
        <v>76</v>
      </c>
      <c r="D622" s="1488"/>
      <c r="E622" s="1489" t="s">
        <v>2116</v>
      </c>
      <c r="F622" s="1490" t="s">
        <v>2375</v>
      </c>
      <c r="G622" s="1491">
        <v>2007</v>
      </c>
      <c r="H622" s="1487">
        <v>17027033</v>
      </c>
      <c r="I622" s="1487">
        <v>1</v>
      </c>
      <c r="J622" s="1487">
        <v>1</v>
      </c>
      <c r="K622" s="1487"/>
      <c r="L622" s="1487">
        <v>1</v>
      </c>
      <c r="M622" s="1487"/>
      <c r="N622" s="1487">
        <v>1</v>
      </c>
      <c r="O622" s="1487">
        <v>2</v>
      </c>
      <c r="P622" s="1487" t="s">
        <v>1569</v>
      </c>
      <c r="Q622" s="1487" t="s">
        <v>1216</v>
      </c>
      <c r="R622" s="1487" t="s">
        <v>1568</v>
      </c>
      <c r="S622" s="1487"/>
      <c r="T622" s="1487" t="s">
        <v>1541</v>
      </c>
      <c r="U622" s="1487"/>
      <c r="V622" s="1487"/>
      <c r="W622" s="1487" t="s">
        <v>1570</v>
      </c>
      <c r="X622" s="1487"/>
      <c r="Y622" s="1487" t="s">
        <v>1132</v>
      </c>
      <c r="Z622" s="1487"/>
      <c r="AA622" s="1487"/>
      <c r="AB622" s="1487"/>
      <c r="AC622" s="1492"/>
      <c r="AD622" s="1492">
        <v>1</v>
      </c>
      <c r="AE622" s="1492">
        <v>2</v>
      </c>
      <c r="AF622" s="1493">
        <v>1</v>
      </c>
      <c r="AG622" s="231" t="s">
        <v>8133</v>
      </c>
      <c r="AH622" s="704" t="s">
        <v>8134</v>
      </c>
      <c r="AI622" s="1492">
        <v>5</v>
      </c>
      <c r="AJ622" s="1492" t="s">
        <v>5601</v>
      </c>
      <c r="AK622" s="1494" t="s">
        <v>5559</v>
      </c>
      <c r="AL622" s="1490" t="s">
        <v>3099</v>
      </c>
      <c r="AM622" s="1590">
        <v>0</v>
      </c>
      <c r="AN622" s="1457">
        <v>8</v>
      </c>
      <c r="AO622" s="1457">
        <v>8</v>
      </c>
      <c r="AP622" s="1457">
        <v>13</v>
      </c>
      <c r="AQ622" s="1457" t="s">
        <v>803</v>
      </c>
      <c r="AR622" s="1457" t="s">
        <v>803</v>
      </c>
      <c r="AS622" s="1457" t="s">
        <v>4544</v>
      </c>
      <c r="AT622" s="1457" t="s">
        <v>24</v>
      </c>
      <c r="AU622" s="1457" t="s">
        <v>4544</v>
      </c>
      <c r="AV622" s="1457" t="s">
        <v>24</v>
      </c>
      <c r="AW622" s="1457" t="s">
        <v>5549</v>
      </c>
      <c r="AX622" s="150">
        <v>1</v>
      </c>
      <c r="AY622" s="150">
        <v>1.5</v>
      </c>
      <c r="AZ622" s="753" t="s">
        <v>1814</v>
      </c>
      <c r="BA622" s="150">
        <v>1</v>
      </c>
      <c r="BB622" s="150" t="s">
        <v>5553</v>
      </c>
      <c r="BC622" s="1457" t="s">
        <v>5546</v>
      </c>
      <c r="BD622" s="1457" t="s">
        <v>7523</v>
      </c>
      <c r="BE622" s="1457"/>
      <c r="BF622" s="1457" t="s">
        <v>8132</v>
      </c>
      <c r="BG622" s="1457" t="s">
        <v>4508</v>
      </c>
      <c r="BH622" s="588"/>
      <c r="BI622" s="588"/>
      <c r="BJ622" s="161">
        <v>1</v>
      </c>
      <c r="BK622" s="161" t="s">
        <v>5545</v>
      </c>
      <c r="BL622" s="161"/>
      <c r="BM622" s="161"/>
      <c r="BN622" s="161"/>
      <c r="BO622" s="161"/>
      <c r="BP622" s="161">
        <v>1</v>
      </c>
      <c r="BQ622" s="161"/>
      <c r="BR622" s="161"/>
      <c r="BS622" s="161"/>
      <c r="BT622" s="161"/>
      <c r="BU622" s="161"/>
      <c r="BV622" s="161"/>
      <c r="BW622" s="600" t="s">
        <v>7195</v>
      </c>
      <c r="BX622" s="185" t="s">
        <v>6657</v>
      </c>
      <c r="BY622" s="797" t="s">
        <v>7613</v>
      </c>
      <c r="BZ622" s="791" t="s">
        <v>803</v>
      </c>
      <c r="CA622" s="765">
        <v>1</v>
      </c>
      <c r="CB622" s="772" t="s">
        <v>7556</v>
      </c>
      <c r="CC622" s="765" t="s">
        <v>7384</v>
      </c>
      <c r="CD622" s="186" t="s">
        <v>23</v>
      </c>
      <c r="CE622" s="186" t="s">
        <v>5563</v>
      </c>
      <c r="CF622" s="400" t="s">
        <v>7596</v>
      </c>
      <c r="CG622" s="1457" t="s">
        <v>5551</v>
      </c>
      <c r="CH622" s="1457" t="s">
        <v>7310</v>
      </c>
      <c r="CI622" s="150" t="s">
        <v>5544</v>
      </c>
      <c r="CJ622" s="150"/>
      <c r="CK622" s="1457" t="s">
        <v>5562</v>
      </c>
      <c r="CL622" s="150" t="s">
        <v>8296</v>
      </c>
      <c r="CM622" s="1509" t="s">
        <v>5595</v>
      </c>
      <c r="CN622" s="1510" t="s">
        <v>6627</v>
      </c>
      <c r="CO622" s="1510">
        <v>68</v>
      </c>
      <c r="CP622" s="1510">
        <v>2</v>
      </c>
      <c r="CQ622" s="1510">
        <v>3</v>
      </c>
      <c r="CR622" s="1510">
        <v>1</v>
      </c>
      <c r="CS622" s="1510">
        <v>1</v>
      </c>
      <c r="CT622" s="1510"/>
      <c r="CU622" s="1510" t="s">
        <v>8104</v>
      </c>
      <c r="CV622" s="1509">
        <v>157</v>
      </c>
      <c r="CW622" s="1509">
        <v>145</v>
      </c>
      <c r="CX622" s="1464" t="s">
        <v>5570</v>
      </c>
      <c r="CY622" s="1457">
        <v>23.39</v>
      </c>
      <c r="CZ622" s="1457">
        <v>14</v>
      </c>
      <c r="DA622" s="1457" t="s">
        <v>24</v>
      </c>
      <c r="DB622" s="1464" t="s">
        <v>5582</v>
      </c>
      <c r="DC622" s="1457">
        <v>4.4400000000000004</v>
      </c>
      <c r="DD622" s="1457">
        <v>3.93</v>
      </c>
      <c r="DE622" s="1457" t="s">
        <v>24</v>
      </c>
      <c r="DF622" s="1510" t="s">
        <v>8040</v>
      </c>
      <c r="DG622" s="1490"/>
      <c r="DH622" s="1511"/>
      <c r="DI622" s="1492"/>
      <c r="DJ622" s="1512"/>
      <c r="DK622" s="1492"/>
      <c r="DL622" s="1513"/>
      <c r="DM622" s="1492"/>
      <c r="DN622" s="1512"/>
      <c r="DO622" s="1492"/>
      <c r="DP622" s="1509"/>
      <c r="DQ622" s="1490"/>
      <c r="DR622" s="1510"/>
      <c r="DS622" s="1514"/>
      <c r="DT622" s="1512"/>
      <c r="DU622" s="1492"/>
      <c r="DV622" s="1512"/>
      <c r="DW622" s="1492"/>
      <c r="DX622" s="1512"/>
      <c r="DY622" s="1512"/>
      <c r="DZ622" s="1512"/>
      <c r="EA622" s="1512"/>
      <c r="EB622" s="1514"/>
      <c r="EC622" s="1512"/>
      <c r="ED622" s="1512"/>
      <c r="EE622" s="1492"/>
      <c r="EF622" s="1512"/>
      <c r="EG622" s="1492"/>
      <c r="EH622" s="1512"/>
      <c r="EI622" s="1512"/>
      <c r="EJ622" s="1512"/>
      <c r="EK622" s="1512"/>
      <c r="EL622" s="1514"/>
      <c r="EM622" s="1512"/>
      <c r="EN622" s="1514"/>
      <c r="EO622" s="1512"/>
      <c r="EP622" s="1492"/>
      <c r="EQ622" s="1492"/>
      <c r="ER622" s="1492"/>
      <c r="ES622" s="1492"/>
      <c r="ET622" s="1511"/>
      <c r="EU622" s="1492"/>
      <c r="EV622" s="1492"/>
      <c r="EW622" s="1492"/>
      <c r="EX622" s="1492"/>
      <c r="EY622" s="1492"/>
      <c r="EZ622" s="1513"/>
      <c r="FA622" s="1512"/>
      <c r="FB622" s="1512"/>
      <c r="FC622" s="1512"/>
      <c r="FD622" s="1513"/>
      <c r="FE622" s="1512"/>
      <c r="FF622" s="1512"/>
      <c r="FG622" s="1512"/>
      <c r="FH622" s="1512"/>
      <c r="FI622" s="1512"/>
      <c r="FJ622" s="1512"/>
    </row>
    <row r="623" spans="1:166" s="1506" customFormat="1" ht="16" hidden="1" customHeight="1">
      <c r="A623" s="1445" t="s">
        <v>974</v>
      </c>
      <c r="B623" s="1446">
        <v>216</v>
      </c>
      <c r="C623" s="1446">
        <v>76</v>
      </c>
      <c r="D623" s="1446"/>
      <c r="E623" s="1447" t="s">
        <v>2116</v>
      </c>
      <c r="F623" s="1448" t="s">
        <v>2375</v>
      </c>
      <c r="G623" s="1449">
        <v>2007</v>
      </c>
      <c r="H623" s="1445">
        <v>17027033</v>
      </c>
      <c r="I623" s="1445">
        <v>1</v>
      </c>
      <c r="J623" s="1445">
        <v>1</v>
      </c>
      <c r="K623" s="1445"/>
      <c r="L623" s="1445">
        <v>1</v>
      </c>
      <c r="M623" s="1445"/>
      <c r="N623" s="1445">
        <v>1</v>
      </c>
      <c r="O623" s="1450">
        <v>2</v>
      </c>
      <c r="P623" s="1445" t="s">
        <v>1569</v>
      </c>
      <c r="Q623" s="1445" t="s">
        <v>1216</v>
      </c>
      <c r="R623" s="1445" t="s">
        <v>1568</v>
      </c>
      <c r="S623" s="1445"/>
      <c r="T623" s="1445" t="s">
        <v>1541</v>
      </c>
      <c r="U623" s="1445"/>
      <c r="V623" s="1445"/>
      <c r="W623" s="1445" t="s">
        <v>1570</v>
      </c>
      <c r="X623" s="1445"/>
      <c r="Y623" s="1445" t="s">
        <v>1132</v>
      </c>
      <c r="Z623" s="1445"/>
      <c r="AA623" s="1445"/>
      <c r="AB623" s="1445"/>
      <c r="AC623" s="1451"/>
      <c r="AD623" s="1452">
        <v>1</v>
      </c>
      <c r="AE623" s="1452">
        <v>2</v>
      </c>
      <c r="AF623" s="1453">
        <v>1</v>
      </c>
      <c r="AG623" s="231" t="s">
        <v>8133</v>
      </c>
      <c r="AH623" s="704" t="s">
        <v>8134</v>
      </c>
      <c r="AI623" s="1451">
        <v>5</v>
      </c>
      <c r="AJ623" s="1454" t="s">
        <v>5603</v>
      </c>
      <c r="AK623" s="1455" t="s">
        <v>5556</v>
      </c>
      <c r="AL623" s="1456" t="s">
        <v>3099</v>
      </c>
      <c r="AM623" s="1590">
        <v>0</v>
      </c>
      <c r="AN623" s="1457">
        <v>8</v>
      </c>
      <c r="AO623" s="1457">
        <v>8</v>
      </c>
      <c r="AP623" s="1457">
        <v>14</v>
      </c>
      <c r="AQ623" s="1457" t="s">
        <v>803</v>
      </c>
      <c r="AR623" s="1457" t="s">
        <v>803</v>
      </c>
      <c r="AS623" s="1457" t="s">
        <v>4544</v>
      </c>
      <c r="AT623" s="1457" t="s">
        <v>24</v>
      </c>
      <c r="AU623" s="1457" t="s">
        <v>4544</v>
      </c>
      <c r="AV623" s="1457" t="s">
        <v>24</v>
      </c>
      <c r="AW623" s="1457" t="s">
        <v>5549</v>
      </c>
      <c r="AX623" s="150">
        <v>1</v>
      </c>
      <c r="AY623" s="150">
        <v>1.5</v>
      </c>
      <c r="AZ623" s="753" t="s">
        <v>1814</v>
      </c>
      <c r="BA623" s="186">
        <v>1</v>
      </c>
      <c r="BB623" s="186" t="s">
        <v>5553</v>
      </c>
      <c r="BC623" s="1457" t="s">
        <v>5546</v>
      </c>
      <c r="BD623" s="1457" t="s">
        <v>7523</v>
      </c>
      <c r="BE623" s="1457"/>
      <c r="BF623" s="1457" t="s">
        <v>8131</v>
      </c>
      <c r="BG623" s="1457" t="s">
        <v>4508</v>
      </c>
      <c r="BH623" s="598"/>
      <c r="BI623" s="598"/>
      <c r="BJ623" s="184">
        <v>1</v>
      </c>
      <c r="BK623" s="184" t="s">
        <v>5545</v>
      </c>
      <c r="BL623" s="184"/>
      <c r="BM623" s="184"/>
      <c r="BN623" s="184"/>
      <c r="BO623" s="184"/>
      <c r="BP623" s="184">
        <v>1</v>
      </c>
      <c r="BQ623" s="184"/>
      <c r="BR623" s="184"/>
      <c r="BS623" s="184"/>
      <c r="BT623" s="184"/>
      <c r="BU623" s="184"/>
      <c r="BV623" s="184"/>
      <c r="BW623" s="600" t="s">
        <v>7195</v>
      </c>
      <c r="BX623" s="185" t="s">
        <v>6657</v>
      </c>
      <c r="BY623" s="797" t="s">
        <v>7613</v>
      </c>
      <c r="BZ623" s="791" t="s">
        <v>803</v>
      </c>
      <c r="CA623" s="765">
        <v>1</v>
      </c>
      <c r="CB623" s="765" t="s">
        <v>7556</v>
      </c>
      <c r="CC623" s="765" t="s">
        <v>7384</v>
      </c>
      <c r="CD623" s="186" t="s">
        <v>23</v>
      </c>
      <c r="CE623" s="186" t="s">
        <v>5563</v>
      </c>
      <c r="CF623" s="400" t="s">
        <v>7596</v>
      </c>
      <c r="CG623" s="1457" t="s">
        <v>5551</v>
      </c>
      <c r="CH623" s="1457" t="s">
        <v>7310</v>
      </c>
      <c r="CI623" s="186" t="s">
        <v>5544</v>
      </c>
      <c r="CJ623" s="186"/>
      <c r="CK623" s="1457" t="s">
        <v>5562</v>
      </c>
      <c r="CL623" s="150" t="s">
        <v>8296</v>
      </c>
      <c r="CM623" s="1458" t="s">
        <v>5596</v>
      </c>
      <c r="CN623" s="1459" t="s">
        <v>6627</v>
      </c>
      <c r="CO623" s="1460">
        <v>68</v>
      </c>
      <c r="CP623" s="1460">
        <v>1</v>
      </c>
      <c r="CQ623" s="1460">
        <v>3</v>
      </c>
      <c r="CR623" s="1460">
        <v>1</v>
      </c>
      <c r="CS623" s="1460">
        <v>1</v>
      </c>
      <c r="CT623" s="1461"/>
      <c r="CU623" s="1462" t="s">
        <v>8104</v>
      </c>
      <c r="CV623" s="1463">
        <v>154</v>
      </c>
      <c r="CW623" s="1463">
        <v>144</v>
      </c>
      <c r="CX623" s="1464" t="s">
        <v>5570</v>
      </c>
      <c r="CY623" s="1457">
        <v>41.05</v>
      </c>
      <c r="CZ623" s="1457">
        <v>17.36</v>
      </c>
      <c r="DA623" s="1457" t="s">
        <v>24</v>
      </c>
      <c r="DB623" s="1464" t="s">
        <v>5582</v>
      </c>
      <c r="DC623" s="1450">
        <v>10.49</v>
      </c>
      <c r="DD623" s="1457">
        <v>11.92</v>
      </c>
      <c r="DE623" s="1844" t="s">
        <v>24</v>
      </c>
      <c r="DF623" s="1469" t="s">
        <v>8042</v>
      </c>
      <c r="DG623" s="1465" t="s">
        <v>24</v>
      </c>
      <c r="DH623" s="1620"/>
      <c r="DI623" s="1445"/>
      <c r="DJ623" s="1467"/>
      <c r="DK623" s="1445"/>
      <c r="DL623" s="1468"/>
      <c r="DM623" s="1445"/>
      <c r="DN623" s="1467"/>
      <c r="DO623" s="1683"/>
      <c r="DP623" s="1469"/>
      <c r="DQ623" s="1859"/>
      <c r="DR623" s="1684"/>
      <c r="DS623" s="1470"/>
      <c r="DT623" s="1467"/>
      <c r="DU623" s="1451"/>
      <c r="DV623" s="1467"/>
      <c r="DW623" s="1451"/>
      <c r="DX623" s="1467"/>
      <c r="DY623" s="1451"/>
      <c r="DZ623" s="1467"/>
      <c r="EA623" s="1451"/>
      <c r="EB623" s="1471"/>
      <c r="EC623" s="1472"/>
      <c r="ED623" s="1467"/>
      <c r="EE623" s="1451"/>
      <c r="EF623" s="1467"/>
      <c r="EG623" s="1451"/>
      <c r="EH623" s="1467"/>
      <c r="EI623" s="1467"/>
      <c r="EJ623" s="1467"/>
      <c r="EK623" s="1467"/>
      <c r="EL623" s="1471"/>
      <c r="EM623" s="1472"/>
      <c r="EN623" s="1470"/>
      <c r="EO623" s="1473"/>
      <c r="EP623" s="1451"/>
      <c r="EQ623" s="1451"/>
      <c r="ER623" s="1451"/>
      <c r="ES623" s="1451"/>
      <c r="ET623" s="1466"/>
      <c r="EU623" s="1451"/>
      <c r="EV623" s="1451"/>
      <c r="EW623" s="1451"/>
      <c r="EX623" s="1474"/>
      <c r="EY623" s="1474"/>
      <c r="EZ623" s="1468"/>
      <c r="FA623" s="1467"/>
      <c r="FB623" s="1467"/>
      <c r="FC623" s="1467"/>
      <c r="FD623" s="1468"/>
      <c r="FE623" s="1467"/>
      <c r="FF623" s="1467"/>
      <c r="FG623" s="1467"/>
      <c r="FH623" s="1472"/>
      <c r="FI623" s="1472"/>
      <c r="FJ623" s="1473"/>
    </row>
    <row r="624" spans="1:166" s="1515" customFormat="1" ht="14" hidden="1" customHeight="1">
      <c r="A624" s="79" t="s">
        <v>1049</v>
      </c>
      <c r="B624" s="614">
        <v>21</v>
      </c>
      <c r="C624" s="614"/>
      <c r="D624" s="614"/>
      <c r="E624" s="604" t="s">
        <v>2078</v>
      </c>
      <c r="F624" s="124" t="s">
        <v>2332</v>
      </c>
      <c r="G624" s="125">
        <v>2016</v>
      </c>
      <c r="H624" s="79">
        <v>27740964</v>
      </c>
      <c r="I624" s="79">
        <v>1</v>
      </c>
      <c r="J624" s="126"/>
      <c r="K624" s="127"/>
      <c r="L624" s="79">
        <v>1</v>
      </c>
      <c r="M624" s="79"/>
      <c r="N624" s="79">
        <v>1</v>
      </c>
      <c r="O624" s="128">
        <v>2</v>
      </c>
      <c r="P624" s="79" t="s">
        <v>1327</v>
      </c>
      <c r="Q624" s="79" t="s">
        <v>1224</v>
      </c>
      <c r="R624" s="79" t="s">
        <v>1225</v>
      </c>
      <c r="S624" s="79"/>
      <c r="T624" s="79" t="s">
        <v>1541</v>
      </c>
      <c r="U624" s="79"/>
      <c r="V624" s="79"/>
      <c r="W624" s="79" t="s">
        <v>1355</v>
      </c>
      <c r="X624" s="79"/>
      <c r="Y624" s="79"/>
      <c r="Z624" s="79"/>
      <c r="AA624" s="79" t="s">
        <v>1356</v>
      </c>
      <c r="AB624" s="79"/>
      <c r="AC624" s="506"/>
      <c r="AD624" s="573">
        <v>1</v>
      </c>
      <c r="AE624" s="573">
        <v>2</v>
      </c>
      <c r="AF624" s="154">
        <v>1</v>
      </c>
      <c r="AG624" s="155" t="s">
        <v>3313</v>
      </c>
      <c r="AH624" s="704" t="s">
        <v>7459</v>
      </c>
      <c r="AI624" s="134">
        <v>4</v>
      </c>
      <c r="AJ624" s="484"/>
      <c r="AK624" s="213" t="s">
        <v>3310</v>
      </c>
      <c r="AL624" s="192" t="s">
        <v>7627</v>
      </c>
      <c r="AM624" s="215">
        <v>0</v>
      </c>
      <c r="AN624" s="134">
        <f>Table66[[#This Row],[Data_Subjects_n_ptsd]]+Table66[[#This Row],[Data_Subjects_n_control]]</f>
        <v>24</v>
      </c>
      <c r="AO624" s="134">
        <v>14</v>
      </c>
      <c r="AP624" s="134">
        <v>10</v>
      </c>
      <c r="AQ624" s="134" t="s">
        <v>803</v>
      </c>
      <c r="AR624" s="134" t="s">
        <v>803</v>
      </c>
      <c r="AS624" s="134" t="s">
        <v>2468</v>
      </c>
      <c r="AT624" s="134" t="s">
        <v>24</v>
      </c>
      <c r="AU624" s="134" t="s">
        <v>2468</v>
      </c>
      <c r="AV624" s="134" t="s">
        <v>24</v>
      </c>
      <c r="AW624" s="134" t="s">
        <v>2974</v>
      </c>
      <c r="AX624" s="134">
        <v>1</v>
      </c>
      <c r="AY624" s="134">
        <v>2</v>
      </c>
      <c r="AZ624" s="753" t="s">
        <v>1814</v>
      </c>
      <c r="BA624" s="134">
        <v>1</v>
      </c>
      <c r="BB624" s="134" t="s">
        <v>3328</v>
      </c>
      <c r="BC624" s="134" t="s">
        <v>2975</v>
      </c>
      <c r="BD624" s="753" t="s">
        <v>7523</v>
      </c>
      <c r="BE624" s="753"/>
      <c r="BF624" s="134" t="s">
        <v>1130</v>
      </c>
      <c r="BG624" s="134" t="s">
        <v>2554</v>
      </c>
      <c r="BH624" s="594"/>
      <c r="BI624" s="594"/>
      <c r="BJ624" s="156">
        <v>1</v>
      </c>
      <c r="BK624" s="156"/>
      <c r="BL624" s="156"/>
      <c r="BM624" s="156"/>
      <c r="BN624" s="156"/>
      <c r="BO624" s="156"/>
      <c r="BP624" s="156"/>
      <c r="BQ624" s="156"/>
      <c r="BR624" s="156"/>
      <c r="BS624" s="156"/>
      <c r="BT624" s="156"/>
      <c r="BU624" s="156"/>
      <c r="BV624" s="156"/>
      <c r="BW624" s="595" t="s">
        <v>6701</v>
      </c>
      <c r="BX624" s="157" t="s">
        <v>6657</v>
      </c>
      <c r="BY624" s="797" t="s">
        <v>7613</v>
      </c>
      <c r="BZ624" s="789" t="s">
        <v>803</v>
      </c>
      <c r="CA624" s="765">
        <v>1</v>
      </c>
      <c r="CB624" s="765" t="s">
        <v>7556</v>
      </c>
      <c r="CC624" s="765" t="s">
        <v>7384</v>
      </c>
      <c r="CD624" s="134" t="s">
        <v>1876</v>
      </c>
      <c r="CE624" s="134">
        <v>2</v>
      </c>
      <c r="CF624" s="400" t="s">
        <v>7848</v>
      </c>
      <c r="CG624" s="134" t="s">
        <v>7845</v>
      </c>
      <c r="CH624" s="753" t="s">
        <v>7310</v>
      </c>
      <c r="CI624" s="134" t="s">
        <v>1121</v>
      </c>
      <c r="CJ624" s="134"/>
      <c r="CK624" s="134" t="s">
        <v>2989</v>
      </c>
      <c r="CL624" s="134" t="s">
        <v>8284</v>
      </c>
      <c r="CM624" s="259" t="s">
        <v>3326</v>
      </c>
      <c r="CN624" s="454" t="s">
        <v>6627</v>
      </c>
      <c r="CO624" s="828">
        <v>32</v>
      </c>
      <c r="CP624" s="828">
        <v>1</v>
      </c>
      <c r="CQ624" s="828">
        <v>2</v>
      </c>
      <c r="CR624" s="828">
        <v>1</v>
      </c>
      <c r="CS624" s="828">
        <v>-1</v>
      </c>
      <c r="CT624" s="967"/>
      <c r="CU624" s="1289" t="s">
        <v>8104</v>
      </c>
      <c r="CV624" s="1295">
        <v>88</v>
      </c>
      <c r="CW624" s="1295">
        <v>80</v>
      </c>
      <c r="CX624" s="138" t="s">
        <v>8020</v>
      </c>
      <c r="CY624" s="134">
        <v>0.94716500000000003</v>
      </c>
      <c r="CZ624" s="134" t="s">
        <v>24</v>
      </c>
      <c r="DA624" s="134">
        <f>1.13454-Table66[[#This Row],[Data_Outcome1_M]]</f>
        <v>0.18737500000000007</v>
      </c>
      <c r="DB624" s="138" t="s">
        <v>8023</v>
      </c>
      <c r="DC624" s="134">
        <v>3.5365799999999998</v>
      </c>
      <c r="DD624" s="134" t="s">
        <v>24</v>
      </c>
      <c r="DE624" s="134">
        <f>3.9665-Table66[[#This Row],[Data_Outcome2_M]]</f>
        <v>0.42992000000000008</v>
      </c>
      <c r="DF624" s="300" t="s">
        <v>2988</v>
      </c>
      <c r="DG624" s="436" t="s">
        <v>2992</v>
      </c>
      <c r="DH624" s="1276"/>
      <c r="DI624" s="1169"/>
      <c r="DJ624" s="1169"/>
      <c r="DK624" s="1169"/>
      <c r="DL624" s="1276"/>
      <c r="DM624" s="1169"/>
      <c r="DN624" s="1169"/>
      <c r="DO624" s="1169"/>
      <c r="DP624" s="288"/>
      <c r="DQ624" s="289"/>
      <c r="DR624" s="1168"/>
      <c r="DS624" s="865"/>
      <c r="DT624" s="1276"/>
      <c r="DU624" s="1169"/>
      <c r="DV624" s="1169"/>
      <c r="DW624" s="1169"/>
      <c r="DX624" s="1276"/>
      <c r="DY624" s="1169"/>
      <c r="DZ624" s="1169"/>
      <c r="EA624" s="1169"/>
      <c r="EB624" s="300"/>
      <c r="EC624" s="301"/>
      <c r="ED624" s="121"/>
      <c r="EE624" s="1169"/>
      <c r="EF624" s="1169"/>
      <c r="EG624" s="1169"/>
      <c r="EH624" s="121"/>
      <c r="EI624" s="1169"/>
      <c r="EJ624" s="1169"/>
      <c r="EK624" s="1169"/>
      <c r="EL624" s="300"/>
      <c r="EM624" s="301"/>
      <c r="EN624" s="309"/>
      <c r="EO624" s="1170"/>
      <c r="EP624" s="1169"/>
      <c r="EQ624" s="1169"/>
      <c r="ER624" s="1169"/>
      <c r="ES624" s="1169"/>
      <c r="ET624" s="1171"/>
      <c r="EU624" s="1169"/>
      <c r="EV624" s="1169"/>
      <c r="EW624" s="1169"/>
      <c r="EX624" s="312"/>
      <c r="EY624" s="312"/>
      <c r="EZ624" s="1171"/>
      <c r="FA624" s="1169"/>
      <c r="FB624" s="1169"/>
      <c r="FC624" s="1169"/>
      <c r="FD624" s="1171"/>
      <c r="FE624" s="1169"/>
      <c r="FF624" s="1169"/>
      <c r="FG624" s="1169"/>
      <c r="FH624" s="312"/>
      <c r="FI624" s="312"/>
      <c r="FJ624" s="1170"/>
    </row>
    <row r="625" spans="1:166" s="1475" customFormat="1" ht="14" hidden="1" customHeight="1">
      <c r="A625" s="118" t="s">
        <v>1110</v>
      </c>
      <c r="B625" s="767">
        <v>5</v>
      </c>
      <c r="C625" s="767"/>
      <c r="D625" s="767"/>
      <c r="E625" s="605" t="s">
        <v>2053</v>
      </c>
      <c r="F625" s="140" t="s">
        <v>2296</v>
      </c>
      <c r="G625" s="141">
        <v>2014</v>
      </c>
      <c r="H625" s="118">
        <v>24808840</v>
      </c>
      <c r="I625" s="118">
        <v>1</v>
      </c>
      <c r="J625" s="118">
        <v>1</v>
      </c>
      <c r="K625" s="118"/>
      <c r="L625" s="118">
        <v>1</v>
      </c>
      <c r="M625" s="118"/>
      <c r="N625" s="158">
        <v>1</v>
      </c>
      <c r="O625" s="142">
        <v>2</v>
      </c>
      <c r="P625" s="127" t="s">
        <v>1220</v>
      </c>
      <c r="Q625" s="127" t="s">
        <v>1169</v>
      </c>
      <c r="R625" s="127" t="s">
        <v>1127</v>
      </c>
      <c r="S625" s="127"/>
      <c r="T625" s="127" t="s">
        <v>1544</v>
      </c>
      <c r="U625" s="127" t="s">
        <v>803</v>
      </c>
      <c r="V625" s="127"/>
      <c r="W625" s="127" t="s">
        <v>1140</v>
      </c>
      <c r="X625" s="127" t="s">
        <v>24</v>
      </c>
      <c r="Y625" s="127"/>
      <c r="Z625" s="127"/>
      <c r="AA625" s="127"/>
      <c r="AB625" s="127" t="s">
        <v>1141</v>
      </c>
      <c r="AC625" s="145"/>
      <c r="AD625" s="653">
        <v>1</v>
      </c>
      <c r="AE625" s="653">
        <v>2</v>
      </c>
      <c r="AF625" s="352">
        <v>1</v>
      </c>
      <c r="AG625" s="160" t="s">
        <v>24</v>
      </c>
      <c r="AH625" s="732">
        <v>0</v>
      </c>
      <c r="AI625" s="122">
        <v>4</v>
      </c>
      <c r="AJ625" s="485"/>
      <c r="AK625" s="204" t="s">
        <v>7420</v>
      </c>
      <c r="AL625" s="192">
        <v>2</v>
      </c>
      <c r="AM625" s="227">
        <v>0</v>
      </c>
      <c r="AN625" s="150">
        <f>Table66[[#This Row],[Data_Subjects_n_ptsd]]+Table66[[#This Row],[Data_Subjects_n_control]]</f>
        <v>20</v>
      </c>
      <c r="AO625" s="150">
        <v>11</v>
      </c>
      <c r="AP625" s="150">
        <v>9</v>
      </c>
      <c r="AQ625" s="150" t="s">
        <v>803</v>
      </c>
      <c r="AR625" s="150" t="s">
        <v>803</v>
      </c>
      <c r="AS625" s="150" t="s">
        <v>2494</v>
      </c>
      <c r="AT625" s="150" t="s">
        <v>24</v>
      </c>
      <c r="AU625" s="150" t="s">
        <v>2494</v>
      </c>
      <c r="AV625" s="150" t="s">
        <v>24</v>
      </c>
      <c r="AW625" s="150" t="s">
        <v>7399</v>
      </c>
      <c r="AX625" s="150">
        <v>5</v>
      </c>
      <c r="AY625" s="150">
        <v>0.8</v>
      </c>
      <c r="AZ625" s="150" t="s">
        <v>1814</v>
      </c>
      <c r="BA625" s="150">
        <v>1</v>
      </c>
      <c r="BB625" s="150">
        <v>1</v>
      </c>
      <c r="BC625" s="150" t="s">
        <v>7400</v>
      </c>
      <c r="BD625" s="753" t="s">
        <v>7523</v>
      </c>
      <c r="BE625" s="753"/>
      <c r="BF625" s="150" t="s">
        <v>1130</v>
      </c>
      <c r="BG625" s="150" t="s">
        <v>2554</v>
      </c>
      <c r="BH625" s="588"/>
      <c r="BI625" s="588"/>
      <c r="BJ625" s="161">
        <v>1</v>
      </c>
      <c r="BK625" s="161"/>
      <c r="BL625" s="161"/>
      <c r="BM625" s="161"/>
      <c r="BN625" s="161"/>
      <c r="BO625" s="161"/>
      <c r="BP625" s="161"/>
      <c r="BQ625" s="161"/>
      <c r="BR625" s="161"/>
      <c r="BS625" s="161"/>
      <c r="BT625" s="161"/>
      <c r="BU625" s="161"/>
      <c r="BV625" s="161"/>
      <c r="BW625" s="596" t="s">
        <v>7416</v>
      </c>
      <c r="BX625" s="162" t="s">
        <v>6657</v>
      </c>
      <c r="BY625" s="797" t="s">
        <v>7613</v>
      </c>
      <c r="BZ625" s="790" t="s">
        <v>803</v>
      </c>
      <c r="CA625" s="766">
        <v>1</v>
      </c>
      <c r="CB625" s="765" t="s">
        <v>7556</v>
      </c>
      <c r="CC625" s="766" t="s">
        <v>7384</v>
      </c>
      <c r="CD625" s="150" t="s">
        <v>1876</v>
      </c>
      <c r="CE625" s="150">
        <v>2</v>
      </c>
      <c r="CF625" s="400" t="s">
        <v>7580</v>
      </c>
      <c r="CG625" s="150" t="s">
        <v>7411</v>
      </c>
      <c r="CH625" s="150" t="s">
        <v>7310</v>
      </c>
      <c r="CI625" s="150" t="s">
        <v>2471</v>
      </c>
      <c r="CJ625" s="150">
        <v>0</v>
      </c>
      <c r="CK625" s="150" t="s">
        <v>2659</v>
      </c>
      <c r="CL625" s="150" t="s">
        <v>8296</v>
      </c>
      <c r="CM625" s="258" t="s">
        <v>2597</v>
      </c>
      <c r="CN625" s="257" t="s">
        <v>6627</v>
      </c>
      <c r="CO625" s="829">
        <v>3</v>
      </c>
      <c r="CP625" s="829">
        <v>10</v>
      </c>
      <c r="CQ625" s="829">
        <v>1</v>
      </c>
      <c r="CR625" s="829">
        <v>0</v>
      </c>
      <c r="CS625" s="829">
        <v>1</v>
      </c>
      <c r="CT625" s="968"/>
      <c r="CU625" s="1289" t="s">
        <v>8104</v>
      </c>
      <c r="CV625" s="1295">
        <v>50</v>
      </c>
      <c r="CW625" s="1295">
        <v>44</v>
      </c>
      <c r="CX625" s="151" t="s">
        <v>2570</v>
      </c>
      <c r="CY625" s="150">
        <v>51.648299999999999</v>
      </c>
      <c r="CZ625" s="150" t="s">
        <v>24</v>
      </c>
      <c r="DA625" s="150">
        <f>76.0989-Table66[[#This Row],[Data_Outcome1_M]]</f>
        <v>24.450600000000001</v>
      </c>
      <c r="DB625" s="151" t="s">
        <v>2571</v>
      </c>
      <c r="DC625" s="150">
        <v>2.7472500000000002</v>
      </c>
      <c r="DD625" s="150" t="s">
        <v>24</v>
      </c>
      <c r="DE625" s="150">
        <f>7.41759-Table66[[#This Row],[Data_Outcome2_M]]</f>
        <v>4.6703399999999995</v>
      </c>
      <c r="DF625" s="294" t="s">
        <v>2552</v>
      </c>
      <c r="DG625" s="295" t="s">
        <v>2588</v>
      </c>
      <c r="DH625" s="122"/>
      <c r="DI625" s="122"/>
      <c r="DJ625" s="1164"/>
      <c r="DK625" s="122"/>
      <c r="DL625" s="1164"/>
      <c r="DM625" s="122"/>
      <c r="DN625" s="1164"/>
      <c r="DO625" s="122"/>
      <c r="DP625" s="290"/>
      <c r="DQ625" s="291"/>
      <c r="DR625" s="1168"/>
      <c r="DS625" s="865"/>
      <c r="DT625" s="1166"/>
      <c r="DU625" s="1164"/>
      <c r="DV625" s="1164"/>
      <c r="DW625" s="1164"/>
      <c r="DX625" s="1166"/>
      <c r="DY625" s="1164"/>
      <c r="DZ625" s="1164"/>
      <c r="EA625" s="1164"/>
      <c r="EB625" s="311"/>
      <c r="EC625" s="313"/>
      <c r="ED625" s="1166"/>
      <c r="EE625" s="122"/>
      <c r="EF625" s="122"/>
      <c r="EG625" s="122"/>
      <c r="EH625" s="1166"/>
      <c r="EI625" s="1164"/>
      <c r="EJ625" s="1164"/>
      <c r="EK625" s="1164"/>
      <c r="EL625" s="311"/>
      <c r="EM625" s="313"/>
      <c r="EN625" s="1167"/>
      <c r="EO625" s="1165"/>
      <c r="EP625" s="1166"/>
      <c r="EQ625" s="1164"/>
      <c r="ER625" s="1164"/>
      <c r="ES625" s="1164"/>
      <c r="ET625" s="1166"/>
      <c r="EU625" s="1164"/>
      <c r="EV625" s="1164"/>
      <c r="EW625" s="1164"/>
      <c r="EX625" s="313"/>
      <c r="EY625" s="313"/>
      <c r="EZ625" s="1166"/>
      <c r="FA625" s="1164"/>
      <c r="FB625" s="1164"/>
      <c r="FC625" s="1164"/>
      <c r="FD625" s="1166"/>
      <c r="FE625" s="1164"/>
      <c r="FF625" s="1164"/>
      <c r="FG625" s="1164"/>
      <c r="FH625" s="313"/>
      <c r="FI625" s="313"/>
      <c r="FJ625" s="1165"/>
    </row>
    <row r="626" spans="1:166" s="1530" customFormat="1" ht="14" hidden="1" customHeight="1">
      <c r="A626" s="118" t="s">
        <v>1110</v>
      </c>
      <c r="B626" s="767">
        <v>5</v>
      </c>
      <c r="C626" s="767"/>
      <c r="D626" s="767"/>
      <c r="E626" s="605" t="s">
        <v>2053</v>
      </c>
      <c r="F626" s="140" t="s">
        <v>2296</v>
      </c>
      <c r="G626" s="141">
        <v>2014</v>
      </c>
      <c r="H626" s="118">
        <v>24808840</v>
      </c>
      <c r="I626" s="118">
        <v>1</v>
      </c>
      <c r="J626" s="118">
        <v>1</v>
      </c>
      <c r="K626" s="118"/>
      <c r="L626" s="118">
        <v>1</v>
      </c>
      <c r="M626" s="118"/>
      <c r="N626" s="158">
        <v>1</v>
      </c>
      <c r="O626" s="142">
        <v>2</v>
      </c>
      <c r="P626" s="118" t="s">
        <v>1220</v>
      </c>
      <c r="Q626" s="118" t="s">
        <v>1169</v>
      </c>
      <c r="R626" s="118" t="s">
        <v>1127</v>
      </c>
      <c r="S626" s="118"/>
      <c r="T626" s="118" t="s">
        <v>1544</v>
      </c>
      <c r="U626" s="118" t="s">
        <v>803</v>
      </c>
      <c r="V626" s="118"/>
      <c r="W626" s="118" t="s">
        <v>1140</v>
      </c>
      <c r="X626" s="118" t="s">
        <v>24</v>
      </c>
      <c r="Y626" s="118"/>
      <c r="Z626" s="118"/>
      <c r="AA626" s="118"/>
      <c r="AB626" s="118" t="s">
        <v>1141</v>
      </c>
      <c r="AC626" s="145"/>
      <c r="AD626" s="653">
        <v>1</v>
      </c>
      <c r="AE626" s="653">
        <v>2</v>
      </c>
      <c r="AF626" s="352">
        <v>1</v>
      </c>
      <c r="AG626" s="160" t="s">
        <v>24</v>
      </c>
      <c r="AH626" s="732">
        <v>0</v>
      </c>
      <c r="AI626" s="122">
        <v>4</v>
      </c>
      <c r="AJ626" s="485"/>
      <c r="AK626" s="204" t="s">
        <v>7422</v>
      </c>
      <c r="AL626" s="192" t="s">
        <v>7395</v>
      </c>
      <c r="AM626" s="227">
        <v>0</v>
      </c>
      <c r="AN626" s="150">
        <f>Table66[[#This Row],[Data_Subjects_n_ptsd]]+Table66[[#This Row],[Data_Subjects_n_control]]</f>
        <v>18</v>
      </c>
      <c r="AO626" s="150">
        <v>9</v>
      </c>
      <c r="AP626" s="150">
        <v>9</v>
      </c>
      <c r="AQ626" s="150" t="s">
        <v>803</v>
      </c>
      <c r="AR626" s="150" t="s">
        <v>803</v>
      </c>
      <c r="AS626" s="150" t="s">
        <v>2494</v>
      </c>
      <c r="AT626" s="150" t="s">
        <v>24</v>
      </c>
      <c r="AU626" s="150" t="s">
        <v>2494</v>
      </c>
      <c r="AV626" s="150" t="s">
        <v>24</v>
      </c>
      <c r="AW626" s="150" t="s">
        <v>7397</v>
      </c>
      <c r="AX626" s="150"/>
      <c r="AY626" s="150"/>
      <c r="AZ626" s="150" t="s">
        <v>7317</v>
      </c>
      <c r="BA626" s="150">
        <v>1</v>
      </c>
      <c r="BB626" s="150">
        <v>1</v>
      </c>
      <c r="BC626" s="150" t="s">
        <v>7386</v>
      </c>
      <c r="BD626" s="753" t="s">
        <v>7523</v>
      </c>
      <c r="BE626" s="753"/>
      <c r="BF626" s="150" t="s">
        <v>1130</v>
      </c>
      <c r="BG626" s="150" t="s">
        <v>2554</v>
      </c>
      <c r="BH626" s="588"/>
      <c r="BI626" s="588"/>
      <c r="BJ626" s="161">
        <v>1</v>
      </c>
      <c r="BK626" s="161"/>
      <c r="BL626" s="161"/>
      <c r="BM626" s="161"/>
      <c r="BN626" s="161"/>
      <c r="BO626" s="161"/>
      <c r="BP626" s="161"/>
      <c r="BQ626" s="161"/>
      <c r="BR626" s="161"/>
      <c r="BS626" s="161"/>
      <c r="BT626" s="161"/>
      <c r="BU626" s="161"/>
      <c r="BV626" s="161"/>
      <c r="BW626" s="596" t="s">
        <v>7391</v>
      </c>
      <c r="BX626" s="162" t="s">
        <v>6657</v>
      </c>
      <c r="BY626" s="797" t="s">
        <v>7613</v>
      </c>
      <c r="BZ626" s="790" t="s">
        <v>803</v>
      </c>
      <c r="CA626" s="766">
        <v>1</v>
      </c>
      <c r="CB626" s="765" t="s">
        <v>7556</v>
      </c>
      <c r="CC626" s="766" t="s">
        <v>7384</v>
      </c>
      <c r="CD626" s="150" t="s">
        <v>1876</v>
      </c>
      <c r="CE626" s="150">
        <v>2</v>
      </c>
      <c r="CF626" s="400" t="s">
        <v>7580</v>
      </c>
      <c r="CG626" s="150" t="s">
        <v>7389</v>
      </c>
      <c r="CH626" s="150" t="s">
        <v>7310</v>
      </c>
      <c r="CI626" s="150" t="s">
        <v>2471</v>
      </c>
      <c r="CJ626" s="150">
        <v>0</v>
      </c>
      <c r="CK626" s="150" t="s">
        <v>2659</v>
      </c>
      <c r="CL626" s="150" t="s">
        <v>8296</v>
      </c>
      <c r="CM626" s="258" t="s">
        <v>3229</v>
      </c>
      <c r="CN626" s="257">
        <v>0</v>
      </c>
      <c r="CO626" s="829">
        <v>3</v>
      </c>
      <c r="CP626" s="829">
        <v>11</v>
      </c>
      <c r="CQ626" s="829">
        <v>1</v>
      </c>
      <c r="CR626" s="829">
        <v>0</v>
      </c>
      <c r="CS626" s="829">
        <v>1</v>
      </c>
      <c r="CT626" s="968"/>
      <c r="CU626" s="1289" t="s">
        <v>8104</v>
      </c>
      <c r="CV626" s="1295">
        <v>51</v>
      </c>
      <c r="CW626" s="1295">
        <v>45</v>
      </c>
      <c r="CX626" s="151" t="s">
        <v>2502</v>
      </c>
      <c r="CY626" s="150">
        <v>5.0383600000000001E-2</v>
      </c>
      <c r="CZ626" s="150" t="s">
        <v>24</v>
      </c>
      <c r="DA626" s="150">
        <f>0.371223-Table66[[#This Row],[Data_Outcome1_M]]</f>
        <v>0.3208394</v>
      </c>
      <c r="DB626" s="151" t="s">
        <v>2503</v>
      </c>
      <c r="DC626" s="150">
        <v>0</v>
      </c>
      <c r="DD626" s="150" t="s">
        <v>24</v>
      </c>
      <c r="DE626" s="150">
        <v>0</v>
      </c>
      <c r="DF626" s="549" t="s">
        <v>7960</v>
      </c>
      <c r="DG626" s="295" t="s">
        <v>2480</v>
      </c>
      <c r="DH626" s="122" t="s">
        <v>24</v>
      </c>
      <c r="DI626" s="122"/>
      <c r="DJ626" s="1164"/>
      <c r="DK626" s="122"/>
      <c r="DL626" s="1164"/>
      <c r="DM626" s="122"/>
      <c r="DN626" s="1164"/>
      <c r="DO626" s="122"/>
      <c r="DP626" s="290"/>
      <c r="DQ626" s="291"/>
      <c r="DR626" s="280"/>
      <c r="DS626" s="865"/>
      <c r="DT626" s="1166"/>
      <c r="DU626" s="122"/>
      <c r="DV626" s="1164"/>
      <c r="DW626" s="122"/>
      <c r="DX626" s="1166"/>
      <c r="DY626" s="122"/>
      <c r="DZ626" s="1164"/>
      <c r="EA626" s="122"/>
      <c r="EB626" s="311"/>
      <c r="EC626" s="313"/>
      <c r="ED626" s="1164"/>
      <c r="EE626" s="122"/>
      <c r="EF626" s="1164"/>
      <c r="EG626" s="122"/>
      <c r="EH626" s="1164"/>
      <c r="EI626" s="122"/>
      <c r="EJ626" s="1164"/>
      <c r="EK626" s="122"/>
      <c r="EL626" s="311"/>
      <c r="EM626" s="313"/>
      <c r="EN626" s="278"/>
      <c r="EO626" s="279"/>
      <c r="EP626" s="122"/>
      <c r="EQ626" s="122"/>
      <c r="ER626" s="122"/>
      <c r="ES626" s="122"/>
      <c r="ET626" s="526"/>
      <c r="EU626" s="122"/>
      <c r="EV626" s="122"/>
      <c r="EW626" s="122"/>
      <c r="EX626" s="303"/>
      <c r="EY626" s="303"/>
      <c r="EZ626" s="526"/>
      <c r="FA626" s="122"/>
      <c r="FB626" s="122"/>
      <c r="FC626" s="122"/>
      <c r="FD626" s="526"/>
      <c r="FE626" s="122"/>
      <c r="FF626" s="122"/>
      <c r="FG626" s="122"/>
      <c r="FH626" s="303"/>
      <c r="FI626" s="303"/>
      <c r="FJ626" s="279"/>
    </row>
    <row r="627" spans="1:166" s="1530" customFormat="1" ht="15" hidden="1" customHeight="1">
      <c r="A627" s="118" t="s">
        <v>1110</v>
      </c>
      <c r="B627" s="767">
        <v>5</v>
      </c>
      <c r="C627" s="767"/>
      <c r="D627" s="767"/>
      <c r="E627" s="605" t="s">
        <v>2053</v>
      </c>
      <c r="F627" s="140" t="s">
        <v>2296</v>
      </c>
      <c r="G627" s="141">
        <v>2014</v>
      </c>
      <c r="H627" s="118">
        <v>24808840</v>
      </c>
      <c r="I627" s="118">
        <v>1</v>
      </c>
      <c r="J627" s="118">
        <v>1</v>
      </c>
      <c r="K627" s="118"/>
      <c r="L627" s="118">
        <v>1</v>
      </c>
      <c r="M627" s="118"/>
      <c r="N627" s="158">
        <v>1</v>
      </c>
      <c r="O627" s="142">
        <v>2</v>
      </c>
      <c r="P627" s="118" t="s">
        <v>1220</v>
      </c>
      <c r="Q627" s="118" t="s">
        <v>1169</v>
      </c>
      <c r="R627" s="118" t="s">
        <v>1127</v>
      </c>
      <c r="S627" s="118"/>
      <c r="T627" s="118" t="s">
        <v>1544</v>
      </c>
      <c r="U627" s="118" t="s">
        <v>803</v>
      </c>
      <c r="V627" s="118"/>
      <c r="W627" s="118" t="s">
        <v>1140</v>
      </c>
      <c r="X627" s="118" t="s">
        <v>24</v>
      </c>
      <c r="Y627" s="118"/>
      <c r="Z627" s="118"/>
      <c r="AA627" s="118"/>
      <c r="AB627" s="118" t="s">
        <v>1141</v>
      </c>
      <c r="AC627" s="145"/>
      <c r="AD627" s="653">
        <v>1</v>
      </c>
      <c r="AE627" s="653">
        <v>2</v>
      </c>
      <c r="AF627" s="352">
        <v>1</v>
      </c>
      <c r="AG627" s="160" t="s">
        <v>24</v>
      </c>
      <c r="AH627" s="732" t="s">
        <v>7408</v>
      </c>
      <c r="AI627" s="122">
        <v>4</v>
      </c>
      <c r="AJ627" s="485"/>
      <c r="AK627" s="204" t="s">
        <v>7420</v>
      </c>
      <c r="AL627" s="192">
        <v>2</v>
      </c>
      <c r="AM627" s="227">
        <v>0</v>
      </c>
      <c r="AN627" s="150">
        <f>Table66[[#This Row],[Data_Subjects_n_ptsd]]+Table66[[#This Row],[Data_Subjects_n_control]]</f>
        <v>17</v>
      </c>
      <c r="AO627" s="150">
        <v>9</v>
      </c>
      <c r="AP627" s="150">
        <v>8</v>
      </c>
      <c r="AQ627" s="150" t="s">
        <v>803</v>
      </c>
      <c r="AR627" s="150" t="s">
        <v>803</v>
      </c>
      <c r="AS627" s="150" t="s">
        <v>2494</v>
      </c>
      <c r="AT627" s="150" t="s">
        <v>24</v>
      </c>
      <c r="AU627" s="150" t="s">
        <v>2494</v>
      </c>
      <c r="AV627" s="150" t="s">
        <v>24</v>
      </c>
      <c r="AW627" s="150" t="s">
        <v>7398</v>
      </c>
      <c r="AX627" s="150">
        <v>5</v>
      </c>
      <c r="AY627" s="150">
        <v>0.8</v>
      </c>
      <c r="AZ627" s="150" t="s">
        <v>1814</v>
      </c>
      <c r="BA627" s="150">
        <v>1</v>
      </c>
      <c r="BB627" s="150">
        <v>1</v>
      </c>
      <c r="BC627" s="150" t="s">
        <v>7400</v>
      </c>
      <c r="BD627" s="753" t="s">
        <v>7523</v>
      </c>
      <c r="BE627" s="753"/>
      <c r="BF627" s="150" t="s">
        <v>1130</v>
      </c>
      <c r="BG627" s="150" t="s">
        <v>2554</v>
      </c>
      <c r="BH627" s="588"/>
      <c r="BI627" s="588"/>
      <c r="BJ627" s="161">
        <v>1</v>
      </c>
      <c r="BK627" s="161"/>
      <c r="BL627" s="161"/>
      <c r="BM627" s="161"/>
      <c r="BN627" s="161"/>
      <c r="BO627" s="161"/>
      <c r="BP627" s="161"/>
      <c r="BQ627" s="161"/>
      <c r="BR627" s="161"/>
      <c r="BS627" s="161"/>
      <c r="BT627" s="161"/>
      <c r="BU627" s="161"/>
      <c r="BV627" s="161"/>
      <c r="BW627" s="596" t="s">
        <v>7403</v>
      </c>
      <c r="BX627" s="162" t="s">
        <v>6657</v>
      </c>
      <c r="BY627" s="797" t="s">
        <v>7613</v>
      </c>
      <c r="BZ627" s="790" t="s">
        <v>803</v>
      </c>
      <c r="CA627" s="766">
        <v>1</v>
      </c>
      <c r="CB627" s="772" t="s">
        <v>7556</v>
      </c>
      <c r="CC627" s="766" t="s">
        <v>7384</v>
      </c>
      <c r="CD627" s="150" t="s">
        <v>1876</v>
      </c>
      <c r="CE627" s="150">
        <v>2</v>
      </c>
      <c r="CF627" s="400" t="s">
        <v>7580</v>
      </c>
      <c r="CG627" s="150" t="s">
        <v>7405</v>
      </c>
      <c r="CH627" s="150" t="s">
        <v>7310</v>
      </c>
      <c r="CI627" s="150" t="s">
        <v>2471</v>
      </c>
      <c r="CJ627" s="150">
        <v>0</v>
      </c>
      <c r="CK627" s="150" t="s">
        <v>2659</v>
      </c>
      <c r="CL627" s="150" t="s">
        <v>8296</v>
      </c>
      <c r="CM627" s="258" t="s">
        <v>2598</v>
      </c>
      <c r="CN627" s="257" t="s">
        <v>6627</v>
      </c>
      <c r="CO627" s="829">
        <v>3</v>
      </c>
      <c r="CP627" s="829">
        <v>9</v>
      </c>
      <c r="CQ627" s="829">
        <v>1</v>
      </c>
      <c r="CR627" s="829">
        <v>0</v>
      </c>
      <c r="CS627" s="829">
        <v>1</v>
      </c>
      <c r="CT627" s="968"/>
      <c r="CU627" s="1289" t="s">
        <v>8104</v>
      </c>
      <c r="CV627" s="1295">
        <v>54</v>
      </c>
      <c r="CW627" s="1295">
        <v>48</v>
      </c>
      <c r="CX627" s="151" t="s">
        <v>2501</v>
      </c>
      <c r="CY627" s="150">
        <v>27.619299999999999</v>
      </c>
      <c r="CZ627" s="150" t="s">
        <v>24</v>
      </c>
      <c r="DA627" s="150">
        <f>35.5448-Table66[[#This Row],[Data_Outcome1_M]]</f>
        <v>7.9255000000000031</v>
      </c>
      <c r="DB627" s="151" t="s">
        <v>2504</v>
      </c>
      <c r="DC627" s="150">
        <v>5.9852800000000004</v>
      </c>
      <c r="DD627" s="150" t="s">
        <v>24</v>
      </c>
      <c r="DE627" s="150">
        <f>8.44529-Table66[[#This Row],[Data_Outcome2_M]]</f>
        <v>2.4600099999999996</v>
      </c>
      <c r="DF627" s="294" t="s">
        <v>2595</v>
      </c>
      <c r="DG627" s="295" t="s">
        <v>2555</v>
      </c>
      <c r="DH627" s="1183"/>
      <c r="DI627" s="500"/>
      <c r="DJ627" s="1164"/>
      <c r="DK627" s="500"/>
      <c r="DL627" s="1164"/>
      <c r="DM627" s="500"/>
      <c r="DN627" s="1164"/>
      <c r="DO627" s="1150"/>
      <c r="DP627" s="290"/>
      <c r="DQ627" s="388"/>
      <c r="DR627" s="864"/>
      <c r="DS627" s="865"/>
      <c r="DT627" s="1166"/>
      <c r="DU627" s="500"/>
      <c r="DV627" s="1164"/>
      <c r="DW627" s="500"/>
      <c r="DX627" s="1166"/>
      <c r="DY627" s="500"/>
      <c r="DZ627" s="1164"/>
      <c r="EA627" s="500"/>
      <c r="EB627" s="311"/>
      <c r="EC627" s="313"/>
      <c r="ED627" s="1164"/>
      <c r="EE627" s="500"/>
      <c r="EF627" s="1164"/>
      <c r="EG627" s="500"/>
      <c r="EH627" s="1164"/>
      <c r="EI627" s="500"/>
      <c r="EJ627" s="1164"/>
      <c r="EK627" s="500"/>
      <c r="EL627" s="311"/>
      <c r="EM627" s="313"/>
      <c r="EN627" s="1167"/>
      <c r="EO627" s="1165"/>
      <c r="EP627" s="122"/>
      <c r="EQ627" s="122"/>
      <c r="ER627" s="122"/>
      <c r="ES627" s="122"/>
      <c r="ET627" s="526"/>
      <c r="EU627" s="122"/>
      <c r="EV627" s="122"/>
      <c r="EW627" s="122"/>
      <c r="EX627" s="303"/>
      <c r="EY627" s="303"/>
      <c r="EZ627" s="1166"/>
      <c r="FA627" s="1164"/>
      <c r="FB627" s="1164"/>
      <c r="FC627" s="1164"/>
      <c r="FD627" s="1166"/>
      <c r="FE627" s="1164"/>
      <c r="FF627" s="1164"/>
      <c r="FG627" s="1164"/>
      <c r="FH627" s="313"/>
      <c r="FI627" s="313"/>
      <c r="FJ627" s="1165"/>
    </row>
    <row r="628" spans="1:166" ht="14" hidden="1" customHeight="1">
      <c r="A628" s="79" t="s">
        <v>1088</v>
      </c>
      <c r="B628" s="614">
        <v>12</v>
      </c>
      <c r="C628" s="614"/>
      <c r="D628" s="614"/>
      <c r="E628" s="604" t="s">
        <v>1938</v>
      </c>
      <c r="F628" s="124" t="s">
        <v>2308</v>
      </c>
      <c r="G628" s="125">
        <v>2012</v>
      </c>
      <c r="H628" s="79">
        <v>21976046</v>
      </c>
      <c r="I628" s="79">
        <v>1</v>
      </c>
      <c r="J628" s="126" t="s">
        <v>1827</v>
      </c>
      <c r="K628" s="127"/>
      <c r="L628" s="79">
        <v>0</v>
      </c>
      <c r="M628" s="79"/>
      <c r="N628" s="79">
        <v>0</v>
      </c>
      <c r="O628" s="128">
        <v>2</v>
      </c>
      <c r="P628" s="79" t="s">
        <v>1220</v>
      </c>
      <c r="Q628" s="79" t="s">
        <v>24</v>
      </c>
      <c r="R628" s="79" t="s">
        <v>1127</v>
      </c>
      <c r="S628" s="79"/>
      <c r="T628" s="79" t="s">
        <v>1507</v>
      </c>
      <c r="U628" s="79" t="s">
        <v>23</v>
      </c>
      <c r="V628" s="79" t="s">
        <v>23</v>
      </c>
      <c r="W628" s="79" t="s">
        <v>1833</v>
      </c>
      <c r="X628" s="79" t="s">
        <v>1259</v>
      </c>
      <c r="Y628" s="79" t="s">
        <v>1132</v>
      </c>
      <c r="Z628" s="79"/>
      <c r="AA628" s="79"/>
      <c r="AB628" s="79" t="s">
        <v>1260</v>
      </c>
      <c r="AC628" s="506"/>
      <c r="AD628" s="573">
        <v>1</v>
      </c>
      <c r="AE628" s="573">
        <v>2</v>
      </c>
      <c r="AF628" s="352">
        <v>1</v>
      </c>
      <c r="AG628" s="155" t="s">
        <v>2729</v>
      </c>
      <c r="AH628" s="704"/>
      <c r="AI628" s="121">
        <v>4</v>
      </c>
      <c r="AJ628" s="484"/>
      <c r="AK628" s="202" t="s">
        <v>2721</v>
      </c>
      <c r="AL628" s="192">
        <v>0</v>
      </c>
      <c r="AM628" s="215">
        <v>1</v>
      </c>
      <c r="AN628" s="134" t="s">
        <v>2728</v>
      </c>
      <c r="AO628" s="134">
        <v>10</v>
      </c>
      <c r="AP628" s="134">
        <v>10</v>
      </c>
      <c r="AQ628" s="134" t="s">
        <v>803</v>
      </c>
      <c r="AR628" s="134" t="s">
        <v>803</v>
      </c>
      <c r="AS628" s="134" t="s">
        <v>7503</v>
      </c>
      <c r="AT628" s="134" t="s">
        <v>24</v>
      </c>
      <c r="AU628" s="134" t="s">
        <v>7503</v>
      </c>
      <c r="AV628" s="134" t="s">
        <v>24</v>
      </c>
      <c r="AW628" s="134" t="s">
        <v>2717</v>
      </c>
      <c r="AX628" s="134"/>
      <c r="AY628" s="134"/>
      <c r="AZ628" s="753" t="s">
        <v>7317</v>
      </c>
      <c r="BA628" s="134">
        <v>1</v>
      </c>
      <c r="BB628" s="134">
        <v>1</v>
      </c>
      <c r="BC628" s="134" t="s">
        <v>2718</v>
      </c>
      <c r="BD628" s="753" t="s">
        <v>7523</v>
      </c>
      <c r="BE628" s="753"/>
      <c r="BF628" s="134" t="s">
        <v>1130</v>
      </c>
      <c r="BG628" s="150" t="s">
        <v>2720</v>
      </c>
      <c r="BH628" s="588"/>
      <c r="BI628" s="588"/>
      <c r="BJ628" s="156">
        <v>1</v>
      </c>
      <c r="BK628" s="156"/>
      <c r="BL628" s="156"/>
      <c r="BM628" s="156"/>
      <c r="BN628" s="156"/>
      <c r="BO628" s="156"/>
      <c r="BP628" s="156"/>
      <c r="BQ628" s="156"/>
      <c r="BR628" s="156"/>
      <c r="BS628" s="156"/>
      <c r="BT628" s="156"/>
      <c r="BU628" s="156"/>
      <c r="BV628" s="156"/>
      <c r="BW628" s="595" t="s">
        <v>6701</v>
      </c>
      <c r="BX628" s="157" t="s">
        <v>6657</v>
      </c>
      <c r="BY628" s="797" t="s">
        <v>7613</v>
      </c>
      <c r="BZ628" s="789" t="s">
        <v>803</v>
      </c>
      <c r="CA628" s="765">
        <v>1</v>
      </c>
      <c r="CB628" s="772" t="s">
        <v>7556</v>
      </c>
      <c r="CC628" s="766" t="s">
        <v>7384</v>
      </c>
      <c r="CD628" s="134" t="s">
        <v>1876</v>
      </c>
      <c r="CE628" s="134" t="s">
        <v>2722</v>
      </c>
      <c r="CF628" s="400" t="s">
        <v>7580</v>
      </c>
      <c r="CG628" s="134" t="s">
        <v>2719</v>
      </c>
      <c r="CH628" s="753" t="s">
        <v>7310</v>
      </c>
      <c r="CI628" s="134" t="s">
        <v>7554</v>
      </c>
      <c r="CJ628" s="134"/>
      <c r="CK628" s="134" t="s">
        <v>2659</v>
      </c>
      <c r="CL628" s="150" t="s">
        <v>8296</v>
      </c>
      <c r="CM628" s="259" t="s">
        <v>2727</v>
      </c>
      <c r="CN628" s="454" t="s">
        <v>6627</v>
      </c>
      <c r="CO628" s="828">
        <v>11</v>
      </c>
      <c r="CP628" s="828">
        <v>1</v>
      </c>
      <c r="CQ628" s="828">
        <v>1</v>
      </c>
      <c r="CR628" s="828">
        <v>0</v>
      </c>
      <c r="CS628" s="828">
        <v>1</v>
      </c>
      <c r="CT628" s="967"/>
      <c r="CU628" s="1290" t="s">
        <v>8104</v>
      </c>
      <c r="CV628" s="1295">
        <v>67</v>
      </c>
      <c r="CW628" s="1295">
        <v>59</v>
      </c>
      <c r="CX628" s="138" t="s">
        <v>2726</v>
      </c>
      <c r="CY628" s="134">
        <v>36.9405</v>
      </c>
      <c r="CZ628" s="134" t="s">
        <v>24</v>
      </c>
      <c r="DA628" s="134">
        <f>42.2634-Table66[[#This Row],[Data_Outcome1_M]]</f>
        <v>5.3228999999999971</v>
      </c>
      <c r="DB628" s="138" t="s">
        <v>2725</v>
      </c>
      <c r="DC628" s="134">
        <v>16.450099999999999</v>
      </c>
      <c r="DD628" s="134" t="s">
        <v>24</v>
      </c>
      <c r="DE628" s="134">
        <f>19.3968-Table66[[#This Row],[Data_Outcome2_M]]</f>
        <v>2.9466999999999999</v>
      </c>
      <c r="DF628" s="549" t="s">
        <v>2723</v>
      </c>
      <c r="DG628" s="295" t="s">
        <v>2724</v>
      </c>
      <c r="DH628" s="1276" t="s">
        <v>24</v>
      </c>
      <c r="DI628" s="1169" t="s">
        <v>24</v>
      </c>
      <c r="DJ628" s="1169"/>
      <c r="DK628" s="1169"/>
      <c r="DL628" s="1276"/>
      <c r="DM628" s="1169"/>
      <c r="DN628" s="1169"/>
      <c r="DO628" s="1169"/>
      <c r="DP628" s="288"/>
      <c r="DQ628" s="289"/>
      <c r="DR628" s="1168"/>
      <c r="DS628" s="865"/>
      <c r="DT628" s="1276"/>
      <c r="DU628" s="1169"/>
      <c r="DV628" s="1169"/>
      <c r="DW628" s="1169"/>
      <c r="DX628" s="121"/>
      <c r="DY628" s="1169"/>
      <c r="DZ628" s="1169"/>
      <c r="EA628" s="1169"/>
      <c r="EB628" s="300"/>
      <c r="EC628" s="301"/>
      <c r="ED628" s="121"/>
      <c r="EE628" s="1169"/>
      <c r="EF628" s="1169"/>
      <c r="EG628" s="1169"/>
      <c r="EH628" s="121"/>
      <c r="EI628" s="121"/>
      <c r="EJ628" s="1169"/>
      <c r="EK628" s="121"/>
      <c r="EL628" s="300"/>
      <c r="EM628" s="301"/>
      <c r="EN628" s="309"/>
      <c r="EO628" s="1170"/>
      <c r="EP628" s="1169"/>
      <c r="EQ628" s="1169"/>
      <c r="ER628" s="1169"/>
      <c r="ES628" s="1169"/>
      <c r="ET628" s="1171"/>
      <c r="EU628" s="121"/>
      <c r="EV628" s="121"/>
      <c r="EW628" s="121"/>
      <c r="EX628" s="312"/>
      <c r="EY628" s="312"/>
      <c r="EZ628" s="1171"/>
      <c r="FA628" s="1169"/>
      <c r="FB628" s="1169"/>
      <c r="FC628" s="1169"/>
      <c r="FD628" s="1171"/>
      <c r="FE628" s="1169"/>
      <c r="FF628" s="1169"/>
      <c r="FG628" s="1169"/>
      <c r="FH628" s="312"/>
      <c r="FI628" s="312"/>
      <c r="FJ628" s="1170"/>
    </row>
    <row r="629" spans="1:166" ht="14" hidden="1" customHeight="1">
      <c r="A629" s="79" t="s">
        <v>946</v>
      </c>
      <c r="B629" s="362">
        <v>53</v>
      </c>
      <c r="C629" s="362"/>
      <c r="D629" s="362"/>
      <c r="E629" s="604" t="s">
        <v>2129</v>
      </c>
      <c r="F629" s="124" t="s">
        <v>2393</v>
      </c>
      <c r="G629" s="125">
        <v>2012</v>
      </c>
      <c r="H629" s="79">
        <v>22927935</v>
      </c>
      <c r="I629" s="79">
        <v>1</v>
      </c>
      <c r="J629" s="126">
        <v>1</v>
      </c>
      <c r="K629" s="127"/>
      <c r="L629" s="79">
        <v>1</v>
      </c>
      <c r="M629" s="79"/>
      <c r="N629" s="79">
        <v>1</v>
      </c>
      <c r="O629" s="128">
        <v>2</v>
      </c>
      <c r="P629" s="79" t="s">
        <v>1220</v>
      </c>
      <c r="Q629" s="79" t="s">
        <v>1216</v>
      </c>
      <c r="R629" s="79" t="s">
        <v>1138</v>
      </c>
      <c r="S629" s="79"/>
      <c r="T629" s="79" t="s">
        <v>1541</v>
      </c>
      <c r="U629" s="79" t="s">
        <v>1638</v>
      </c>
      <c r="V629" s="79"/>
      <c r="W629" s="79" t="s">
        <v>1501</v>
      </c>
      <c r="X629" s="79"/>
      <c r="Y629" s="79" t="s">
        <v>1637</v>
      </c>
      <c r="Z629" s="79"/>
      <c r="AA629" s="79"/>
      <c r="AB629" s="79"/>
      <c r="AC629" s="506"/>
      <c r="AD629" s="573">
        <v>1</v>
      </c>
      <c r="AE629" s="573">
        <v>2</v>
      </c>
      <c r="AF629" s="154">
        <v>1</v>
      </c>
      <c r="AG629" s="155"/>
      <c r="AH629" s="704"/>
      <c r="AI629" s="121">
        <v>5</v>
      </c>
      <c r="AJ629" s="484"/>
      <c r="AK629" s="202"/>
      <c r="AL629" s="192">
        <v>1</v>
      </c>
      <c r="AM629" s="203">
        <v>0</v>
      </c>
      <c r="AN629" s="121">
        <f>Table66[[#This Row],[Data_Subjects_n_ptsd]]+Table66[[#This Row],[Data_Subjects_n_control]]</f>
        <v>36</v>
      </c>
      <c r="AO629" s="121">
        <v>24</v>
      </c>
      <c r="AP629" s="121">
        <v>12</v>
      </c>
      <c r="AQ629" s="121" t="s">
        <v>1878</v>
      </c>
      <c r="AR629" s="121" t="s">
        <v>1878</v>
      </c>
      <c r="AS629" s="121" t="s">
        <v>3723</v>
      </c>
      <c r="AT629" s="121" t="s">
        <v>24</v>
      </c>
      <c r="AU629" s="121" t="s">
        <v>3723</v>
      </c>
      <c r="AV629" s="121" t="s">
        <v>24</v>
      </c>
      <c r="AW629" s="121" t="s">
        <v>3724</v>
      </c>
      <c r="AX629" s="121">
        <v>3</v>
      </c>
      <c r="AY629" s="121">
        <v>1.5</v>
      </c>
      <c r="AZ629" s="754" t="s">
        <v>1814</v>
      </c>
      <c r="BA629" s="121">
        <v>1</v>
      </c>
      <c r="BB629" s="121" t="s">
        <v>3731</v>
      </c>
      <c r="BC629" s="121" t="s">
        <v>7550</v>
      </c>
      <c r="BD629" s="754" t="s">
        <v>7523</v>
      </c>
      <c r="BE629" s="754"/>
      <c r="BF629" s="121" t="s">
        <v>3725</v>
      </c>
      <c r="BG629" s="121" t="s">
        <v>3279</v>
      </c>
      <c r="BH629" s="594"/>
      <c r="BI629" s="594"/>
      <c r="BJ629" s="156">
        <v>1</v>
      </c>
      <c r="BK629" s="156"/>
      <c r="BL629" s="156"/>
      <c r="BM629" s="156"/>
      <c r="BN629" s="156"/>
      <c r="BO629" s="156"/>
      <c r="BP629" s="156"/>
      <c r="BQ629" s="156"/>
      <c r="BR629" s="156"/>
      <c r="BS629" s="156"/>
      <c r="BT629" s="156"/>
      <c r="BU629" s="156"/>
      <c r="BV629" s="156"/>
      <c r="BW629" s="595" t="s">
        <v>7376</v>
      </c>
      <c r="BX629" s="157" t="s">
        <v>6657</v>
      </c>
      <c r="BY629" s="797" t="s">
        <v>7613</v>
      </c>
      <c r="BZ629" s="789" t="s">
        <v>803</v>
      </c>
      <c r="CA629" s="765">
        <v>1</v>
      </c>
      <c r="CB629" s="772" t="s">
        <v>7556</v>
      </c>
      <c r="CC629" s="765" t="s">
        <v>7384</v>
      </c>
      <c r="CD629" s="134" t="s">
        <v>1876</v>
      </c>
      <c r="CE629" s="134">
        <v>2</v>
      </c>
      <c r="CF629" s="400" t="s">
        <v>7580</v>
      </c>
      <c r="CG629" s="134" t="s">
        <v>7375</v>
      </c>
      <c r="CH629" s="753" t="s">
        <v>7310</v>
      </c>
      <c r="CI629" s="134" t="s">
        <v>3726</v>
      </c>
      <c r="CJ629" s="134" t="s">
        <v>7374</v>
      </c>
      <c r="CK629" s="134" t="s">
        <v>3722</v>
      </c>
      <c r="CL629" s="150" t="s">
        <v>8296</v>
      </c>
      <c r="CM629" s="259" t="s">
        <v>3758</v>
      </c>
      <c r="CN629" s="454" t="s">
        <v>6627</v>
      </c>
      <c r="CO629" s="828">
        <v>90</v>
      </c>
      <c r="CP629" s="828">
        <v>1</v>
      </c>
      <c r="CQ629" s="828">
        <v>1</v>
      </c>
      <c r="CR629" s="828">
        <v>1</v>
      </c>
      <c r="CS629" s="828">
        <v>1</v>
      </c>
      <c r="CT629" s="967"/>
      <c r="CU629" s="1289" t="s">
        <v>8104</v>
      </c>
      <c r="CV629" s="1295">
        <v>159</v>
      </c>
      <c r="CW629" s="1295">
        <v>146</v>
      </c>
      <c r="CX629" s="138" t="s">
        <v>3738</v>
      </c>
      <c r="CY629" s="134">
        <v>3.84</v>
      </c>
      <c r="CZ629" s="134" t="s">
        <v>24</v>
      </c>
      <c r="DA629" s="134">
        <v>0.37</v>
      </c>
      <c r="DB629" s="138" t="s">
        <v>3739</v>
      </c>
      <c r="DC629" s="134">
        <v>1.17</v>
      </c>
      <c r="DD629" s="134" t="s">
        <v>24</v>
      </c>
      <c r="DE629" s="134">
        <v>0.13</v>
      </c>
      <c r="DF629" s="294" t="s">
        <v>3744</v>
      </c>
      <c r="DG629" s="295" t="s">
        <v>2588</v>
      </c>
      <c r="DH629" s="121"/>
      <c r="DI629" s="121"/>
      <c r="DJ629" s="1169"/>
      <c r="DK629" s="121"/>
      <c r="DL629" s="1169"/>
      <c r="DM629" s="121"/>
      <c r="DN629" s="1169"/>
      <c r="DO629" s="121"/>
      <c r="DP629" s="288"/>
      <c r="DQ629" s="289"/>
      <c r="DR629" s="1168"/>
      <c r="DS629" s="865"/>
      <c r="DT629" s="1171"/>
      <c r="DU629" s="121"/>
      <c r="DV629" s="1169"/>
      <c r="DW629" s="121"/>
      <c r="DX629" s="1169"/>
      <c r="DY629" s="121"/>
      <c r="DZ629" s="1169"/>
      <c r="EA629" s="121"/>
      <c r="EB629" s="304"/>
      <c r="EC629" s="312"/>
      <c r="ED629" s="1169"/>
      <c r="EE629" s="1169"/>
      <c r="EF629" s="1169"/>
      <c r="EG629" s="1169"/>
      <c r="EH629" s="1169"/>
      <c r="EI629" s="1169"/>
      <c r="EJ629" s="1169"/>
      <c r="EK629" s="1169"/>
      <c r="EL629" s="304"/>
      <c r="EM629" s="312"/>
      <c r="EN629" s="309"/>
      <c r="EO629" s="1170"/>
      <c r="EP629" s="1169"/>
      <c r="EQ629" s="1169"/>
      <c r="ER629" s="1169"/>
      <c r="ES629" s="1169"/>
      <c r="ET629" s="1171"/>
      <c r="EU629" s="1169"/>
      <c r="EV629" s="1169"/>
      <c r="EW629" s="1169"/>
      <c r="EX629" s="312"/>
      <c r="EY629" s="312"/>
      <c r="EZ629" s="1171"/>
      <c r="FA629" s="1169"/>
      <c r="FB629" s="1169"/>
      <c r="FC629" s="1169"/>
      <c r="FD629" s="1171"/>
      <c r="FE629" s="1169"/>
      <c r="FF629" s="1169"/>
      <c r="FG629" s="1169"/>
      <c r="FH629" s="312"/>
      <c r="FI629" s="312"/>
      <c r="FJ629" s="1170"/>
    </row>
    <row r="630" spans="1:166" ht="14" hidden="1" customHeight="1">
      <c r="A630" s="158" t="s">
        <v>974</v>
      </c>
      <c r="B630" s="1094">
        <v>216</v>
      </c>
      <c r="C630" s="1094">
        <v>76</v>
      </c>
      <c r="D630" s="1094"/>
      <c r="E630" s="1095" t="s">
        <v>2116</v>
      </c>
      <c r="F630" s="711" t="s">
        <v>2375</v>
      </c>
      <c r="G630" s="1096">
        <v>2007</v>
      </c>
      <c r="H630" s="158">
        <v>17027033</v>
      </c>
      <c r="I630" s="158">
        <v>1</v>
      </c>
      <c r="J630" s="158">
        <v>1</v>
      </c>
      <c r="K630" s="158"/>
      <c r="L630" s="158">
        <v>1</v>
      </c>
      <c r="M630" s="158"/>
      <c r="N630" s="158">
        <v>1</v>
      </c>
      <c r="O630" s="158">
        <v>2</v>
      </c>
      <c r="P630" s="158" t="s">
        <v>1569</v>
      </c>
      <c r="Q630" s="158" t="s">
        <v>1216</v>
      </c>
      <c r="R630" s="158" t="s">
        <v>1568</v>
      </c>
      <c r="S630" s="158"/>
      <c r="T630" s="158" t="s">
        <v>1541</v>
      </c>
      <c r="U630" s="158"/>
      <c r="V630" s="158"/>
      <c r="W630" s="158" t="s">
        <v>1570</v>
      </c>
      <c r="X630" s="158"/>
      <c r="Y630" s="158" t="s">
        <v>1132</v>
      </c>
      <c r="Z630" s="158"/>
      <c r="AA630" s="158"/>
      <c r="AB630" s="158"/>
      <c r="AC630" s="800"/>
      <c r="AD630" s="536">
        <v>1</v>
      </c>
      <c r="AE630" s="536">
        <v>2</v>
      </c>
      <c r="AF630" s="743">
        <v>0</v>
      </c>
      <c r="AG630" s="744" t="s">
        <v>8045</v>
      </c>
      <c r="AH630" s="509" t="s">
        <v>7196</v>
      </c>
      <c r="AI630" s="734">
        <v>5</v>
      </c>
      <c r="AJ630" s="734" t="s">
        <v>5603</v>
      </c>
      <c r="AK630" s="739" t="s">
        <v>5561</v>
      </c>
      <c r="AL630" s="372">
        <v>2</v>
      </c>
      <c r="AM630" s="724">
        <v>0</v>
      </c>
      <c r="AN630" s="734">
        <f>14+13</f>
        <v>27</v>
      </c>
      <c r="AO630" s="734">
        <v>14</v>
      </c>
      <c r="AP630" s="734">
        <v>13</v>
      </c>
      <c r="AQ630" s="734" t="s">
        <v>803</v>
      </c>
      <c r="AR630" s="734" t="s">
        <v>803</v>
      </c>
      <c r="AS630" s="734" t="s">
        <v>4544</v>
      </c>
      <c r="AT630" s="734" t="s">
        <v>24</v>
      </c>
      <c r="AU630" s="734" t="s">
        <v>4544</v>
      </c>
      <c r="AV630" s="734" t="s">
        <v>24</v>
      </c>
      <c r="AW630" s="734" t="s">
        <v>5549</v>
      </c>
      <c r="AX630" s="734">
        <v>1</v>
      </c>
      <c r="AY630" s="734">
        <v>1.5</v>
      </c>
      <c r="AZ630" s="755" t="s">
        <v>1814</v>
      </c>
      <c r="BA630" s="734">
        <v>1</v>
      </c>
      <c r="BB630" s="734" t="s">
        <v>5555</v>
      </c>
      <c r="BC630" s="734" t="s">
        <v>5546</v>
      </c>
      <c r="BD630" s="755" t="s">
        <v>7523</v>
      </c>
      <c r="BE630" s="755"/>
      <c r="BF630" s="734" t="s">
        <v>5566</v>
      </c>
      <c r="BG630" s="734" t="s">
        <v>4508</v>
      </c>
      <c r="BH630" s="372"/>
      <c r="BI630" s="372"/>
      <c r="BJ630" s="735">
        <v>1</v>
      </c>
      <c r="BK630" s="735" t="s">
        <v>5545</v>
      </c>
      <c r="BL630" s="735"/>
      <c r="BM630" s="735"/>
      <c r="BN630" s="735"/>
      <c r="BO630" s="735"/>
      <c r="BP630" s="735">
        <v>1</v>
      </c>
      <c r="BQ630" s="735"/>
      <c r="BR630" s="735"/>
      <c r="BS630" s="735"/>
      <c r="BT630" s="735"/>
      <c r="BU630" s="735"/>
      <c r="BV630" s="735"/>
      <c r="BW630" s="511" t="s">
        <v>7195</v>
      </c>
      <c r="BX630" s="510" t="s">
        <v>6657</v>
      </c>
      <c r="BY630" s="799" t="s">
        <v>7613</v>
      </c>
      <c r="BZ630" s="510" t="s">
        <v>803</v>
      </c>
      <c r="CA630" s="511">
        <v>1</v>
      </c>
      <c r="CB630" s="781" t="s">
        <v>7556</v>
      </c>
      <c r="CC630" s="511" t="s">
        <v>7384</v>
      </c>
      <c r="CD630" s="509" t="s">
        <v>1876</v>
      </c>
      <c r="CE630" s="734">
        <v>2</v>
      </c>
      <c r="CF630" s="786" t="s">
        <v>7593</v>
      </c>
      <c r="CG630" s="734" t="s">
        <v>5552</v>
      </c>
      <c r="CH630" s="755" t="s">
        <v>7310</v>
      </c>
      <c r="CI630" s="734" t="s">
        <v>5544</v>
      </c>
      <c r="CJ630" s="734"/>
      <c r="CK630" s="509" t="s">
        <v>5562</v>
      </c>
      <c r="CL630" s="509" t="s">
        <v>2659</v>
      </c>
      <c r="CM630" s="515" t="s">
        <v>5598</v>
      </c>
      <c r="CN630" s="621" t="s">
        <v>6627</v>
      </c>
      <c r="CO630" s="621"/>
      <c r="CP630" s="621"/>
      <c r="CQ630" s="621"/>
      <c r="CR630" s="621"/>
      <c r="CS630" s="621"/>
      <c r="CT630" s="621"/>
      <c r="CU630" s="621"/>
      <c r="CV630" s="621"/>
      <c r="CW630" s="621"/>
      <c r="CX630" s="510" t="s">
        <v>5577</v>
      </c>
      <c r="CY630" s="734">
        <v>17.739999999999998</v>
      </c>
      <c r="CZ630" s="734">
        <v>18.36</v>
      </c>
      <c r="DA630" s="734" t="s">
        <v>24</v>
      </c>
      <c r="DB630" s="510" t="s">
        <v>5581</v>
      </c>
      <c r="DC630" s="734">
        <v>2.3199999999999998</v>
      </c>
      <c r="DD630" s="734">
        <v>2.33</v>
      </c>
      <c r="DE630" s="734" t="s">
        <v>24</v>
      </c>
      <c r="DF630" s="621" t="s">
        <v>8038</v>
      </c>
      <c r="DG630" s="513"/>
      <c r="DH630" s="510"/>
      <c r="DI630" s="509"/>
      <c r="DJ630" s="1194"/>
      <c r="DK630" s="509"/>
      <c r="DL630" s="956"/>
      <c r="DM630" s="734"/>
      <c r="DN630" s="778"/>
      <c r="DO630" s="734"/>
      <c r="DP630" s="515"/>
      <c r="DQ630" s="513"/>
      <c r="DR630" s="1182"/>
      <c r="DS630" s="1182"/>
      <c r="DT630" s="956"/>
      <c r="DU630" s="509"/>
      <c r="DV630" s="1194"/>
      <c r="DW630" s="509"/>
      <c r="DX630" s="956"/>
      <c r="DY630" s="734"/>
      <c r="DZ630" s="778"/>
      <c r="EA630" s="734"/>
      <c r="EB630" s="1182"/>
      <c r="EC630" s="1194"/>
      <c r="ED630" s="956"/>
      <c r="EE630" s="1194"/>
      <c r="EF630" s="1194"/>
      <c r="EG630" s="1194"/>
      <c r="EH630" s="956"/>
      <c r="EI630" s="734"/>
      <c r="EJ630" s="778"/>
      <c r="EK630" s="734"/>
      <c r="EL630" s="1182"/>
      <c r="EM630" s="1194"/>
      <c r="EN630" s="1181"/>
      <c r="EO630" s="778"/>
      <c r="EP630" s="734"/>
      <c r="EQ630" s="734"/>
      <c r="ER630" s="734"/>
      <c r="ES630" s="734"/>
      <c r="ET630" s="736"/>
      <c r="EU630" s="734"/>
      <c r="EV630" s="734"/>
      <c r="EW630" s="734"/>
      <c r="EX630" s="734"/>
      <c r="EY630" s="734"/>
      <c r="EZ630" s="736"/>
      <c r="FA630" s="734"/>
      <c r="FB630" s="734"/>
      <c r="FC630" s="734"/>
      <c r="FD630" s="736"/>
      <c r="FE630" s="734"/>
      <c r="FF630" s="734"/>
      <c r="FG630" s="734"/>
      <c r="FH630" s="734"/>
      <c r="FI630" s="734"/>
      <c r="FJ630" s="734"/>
    </row>
    <row r="631" spans="1:166" ht="14" hidden="1" customHeight="1">
      <c r="A631" s="158" t="s">
        <v>974</v>
      </c>
      <c r="B631" s="1094">
        <v>216</v>
      </c>
      <c r="C631" s="1094">
        <v>76</v>
      </c>
      <c r="D631" s="1094"/>
      <c r="E631" s="1095" t="s">
        <v>2116</v>
      </c>
      <c r="F631" s="711" t="s">
        <v>2375</v>
      </c>
      <c r="G631" s="1096">
        <v>2007</v>
      </c>
      <c r="H631" s="158">
        <v>17027033</v>
      </c>
      <c r="I631" s="158">
        <v>1</v>
      </c>
      <c r="J631" s="158">
        <v>1</v>
      </c>
      <c r="K631" s="158"/>
      <c r="L631" s="158">
        <v>1</v>
      </c>
      <c r="M631" s="158"/>
      <c r="N631" s="158">
        <v>1</v>
      </c>
      <c r="O631" s="158">
        <v>2</v>
      </c>
      <c r="P631" s="158" t="s">
        <v>1569</v>
      </c>
      <c r="Q631" s="158" t="s">
        <v>1216</v>
      </c>
      <c r="R631" s="158" t="s">
        <v>1568</v>
      </c>
      <c r="S631" s="158"/>
      <c r="T631" s="158" t="s">
        <v>1541</v>
      </c>
      <c r="U631" s="158"/>
      <c r="V631" s="158"/>
      <c r="W631" s="158" t="s">
        <v>1570</v>
      </c>
      <c r="X631" s="158"/>
      <c r="Y631" s="158" t="s">
        <v>1132</v>
      </c>
      <c r="Z631" s="158"/>
      <c r="AA631" s="158"/>
      <c r="AB631" s="158"/>
      <c r="AC631" s="800"/>
      <c r="AD631" s="536">
        <v>1</v>
      </c>
      <c r="AE631" s="536">
        <v>2</v>
      </c>
      <c r="AF631" s="743">
        <v>0</v>
      </c>
      <c r="AG631" s="744" t="s">
        <v>8045</v>
      </c>
      <c r="AH631" s="509" t="s">
        <v>7196</v>
      </c>
      <c r="AI631" s="734">
        <v>5</v>
      </c>
      <c r="AJ631" s="734" t="s">
        <v>5603</v>
      </c>
      <c r="AK631" s="739" t="s">
        <v>5561</v>
      </c>
      <c r="AL631" s="372">
        <v>2</v>
      </c>
      <c r="AM631" s="724">
        <v>0</v>
      </c>
      <c r="AN631" s="734">
        <f>14+13</f>
        <v>27</v>
      </c>
      <c r="AO631" s="734">
        <v>14</v>
      </c>
      <c r="AP631" s="734">
        <v>13</v>
      </c>
      <c r="AQ631" s="734" t="s">
        <v>803</v>
      </c>
      <c r="AR631" s="734" t="s">
        <v>803</v>
      </c>
      <c r="AS631" s="734" t="s">
        <v>4544</v>
      </c>
      <c r="AT631" s="734" t="s">
        <v>24</v>
      </c>
      <c r="AU631" s="734" t="s">
        <v>4544</v>
      </c>
      <c r="AV631" s="734" t="s">
        <v>24</v>
      </c>
      <c r="AW631" s="734" t="s">
        <v>5549</v>
      </c>
      <c r="AX631" s="734">
        <v>1</v>
      </c>
      <c r="AY631" s="734">
        <v>1.5</v>
      </c>
      <c r="AZ631" s="755" t="s">
        <v>1814</v>
      </c>
      <c r="BA631" s="734">
        <v>1</v>
      </c>
      <c r="BB631" s="734" t="s">
        <v>5555</v>
      </c>
      <c r="BC631" s="734" t="s">
        <v>5546</v>
      </c>
      <c r="BD631" s="755" t="s">
        <v>7523</v>
      </c>
      <c r="BE631" s="755"/>
      <c r="BF631" s="734" t="s">
        <v>5566</v>
      </c>
      <c r="BG631" s="734" t="s">
        <v>4508</v>
      </c>
      <c r="BH631" s="372"/>
      <c r="BI631" s="372"/>
      <c r="BJ631" s="735">
        <v>1</v>
      </c>
      <c r="BK631" s="735" t="s">
        <v>5545</v>
      </c>
      <c r="BL631" s="735"/>
      <c r="BM631" s="735"/>
      <c r="BN631" s="735"/>
      <c r="BO631" s="735"/>
      <c r="BP631" s="735">
        <v>1</v>
      </c>
      <c r="BQ631" s="735"/>
      <c r="BR631" s="735"/>
      <c r="BS631" s="735"/>
      <c r="BT631" s="735"/>
      <c r="BU631" s="735"/>
      <c r="BV631" s="735"/>
      <c r="BW631" s="511" t="s">
        <v>7195</v>
      </c>
      <c r="BX631" s="510" t="s">
        <v>6657</v>
      </c>
      <c r="BY631" s="799" t="s">
        <v>7613</v>
      </c>
      <c r="BZ631" s="510" t="s">
        <v>803</v>
      </c>
      <c r="CA631" s="511">
        <v>1</v>
      </c>
      <c r="CB631" s="781" t="s">
        <v>7556</v>
      </c>
      <c r="CC631" s="511" t="s">
        <v>7384</v>
      </c>
      <c r="CD631" s="509" t="s">
        <v>1876</v>
      </c>
      <c r="CE631" s="734">
        <v>2</v>
      </c>
      <c r="CF631" s="786" t="s">
        <v>7593</v>
      </c>
      <c r="CG631" s="734" t="s">
        <v>5552</v>
      </c>
      <c r="CH631" s="755" t="s">
        <v>7310</v>
      </c>
      <c r="CI631" s="734" t="s">
        <v>5544</v>
      </c>
      <c r="CJ631" s="734"/>
      <c r="CK631" s="509" t="s">
        <v>5562</v>
      </c>
      <c r="CL631" s="509" t="s">
        <v>2659</v>
      </c>
      <c r="CM631" s="515" t="s">
        <v>5598</v>
      </c>
      <c r="CN631" s="621" t="s">
        <v>6627</v>
      </c>
      <c r="CO631" s="621"/>
      <c r="CP631" s="621"/>
      <c r="CQ631" s="621"/>
      <c r="CR631" s="621"/>
      <c r="CS631" s="621"/>
      <c r="CT631" s="621"/>
      <c r="CU631" s="621"/>
      <c r="CV631" s="621"/>
      <c r="CW631" s="621"/>
      <c r="CX631" s="510" t="s">
        <v>5578</v>
      </c>
      <c r="CY631" s="734">
        <v>8.94</v>
      </c>
      <c r="CZ631" s="734">
        <v>8.2100000000000009</v>
      </c>
      <c r="DA631" s="734" t="s">
        <v>24</v>
      </c>
      <c r="DB631" s="510" t="s">
        <v>5583</v>
      </c>
      <c r="DC631" s="734">
        <v>0.66</v>
      </c>
      <c r="DD631" s="734">
        <v>7.8E-2</v>
      </c>
      <c r="DE631" s="734" t="s">
        <v>24</v>
      </c>
      <c r="DF631" s="515" t="s">
        <v>8038</v>
      </c>
      <c r="DG631" s="513"/>
      <c r="DH631" s="1135"/>
      <c r="DI631" s="635"/>
      <c r="DJ631" s="509"/>
      <c r="DK631" s="635"/>
      <c r="DL631" s="510"/>
      <c r="DM631" s="742"/>
      <c r="DN631" s="734"/>
      <c r="DO631" s="1136"/>
      <c r="DP631" s="515"/>
      <c r="DQ631" s="1141"/>
      <c r="DR631" s="868"/>
      <c r="DS631" s="1182"/>
      <c r="DT631" s="956"/>
      <c r="DU631" s="635"/>
      <c r="DV631" s="1194"/>
      <c r="DW631" s="635"/>
      <c r="DX631" s="956"/>
      <c r="DY631" s="742"/>
      <c r="DZ631" s="778"/>
      <c r="EA631" s="742"/>
      <c r="EB631" s="1182"/>
      <c r="EC631" s="1194"/>
      <c r="ED631" s="956"/>
      <c r="EE631" s="635"/>
      <c r="EF631" s="1194"/>
      <c r="EG631" s="635"/>
      <c r="EH631" s="956"/>
      <c r="EI631" s="742"/>
      <c r="EJ631" s="778"/>
      <c r="EK631" s="742"/>
      <c r="EL631" s="1182"/>
      <c r="EM631" s="1194"/>
      <c r="EN631" s="1181"/>
      <c r="EO631" s="778"/>
      <c r="EP631" s="778"/>
      <c r="EQ631" s="778"/>
      <c r="ER631" s="778"/>
      <c r="ES631" s="778"/>
      <c r="ET631" s="1180"/>
      <c r="EU631" s="778"/>
      <c r="EV631" s="778"/>
      <c r="EW631" s="778"/>
      <c r="EX631" s="778"/>
      <c r="EY631" s="778"/>
      <c r="EZ631" s="1180"/>
      <c r="FA631" s="778"/>
      <c r="FB631" s="778"/>
      <c r="FC631" s="778"/>
      <c r="FD631" s="1180"/>
      <c r="FE631" s="778"/>
      <c r="FF631" s="778"/>
      <c r="FG631" s="778"/>
      <c r="FH631" s="778"/>
      <c r="FI631" s="778"/>
      <c r="FJ631" s="778"/>
    </row>
    <row r="632" spans="1:166" ht="14" hidden="1" customHeight="1">
      <c r="A632" s="158" t="s">
        <v>974</v>
      </c>
      <c r="B632" s="1094">
        <v>216</v>
      </c>
      <c r="C632" s="1094">
        <v>76</v>
      </c>
      <c r="D632" s="1094"/>
      <c r="E632" s="1095" t="s">
        <v>2116</v>
      </c>
      <c r="F632" s="711" t="s">
        <v>2375</v>
      </c>
      <c r="G632" s="1096">
        <v>2007</v>
      </c>
      <c r="H632" s="158">
        <v>17027033</v>
      </c>
      <c r="I632" s="158">
        <v>1</v>
      </c>
      <c r="J632" s="158">
        <v>1</v>
      </c>
      <c r="K632" s="158"/>
      <c r="L632" s="158">
        <v>1</v>
      </c>
      <c r="M632" s="158"/>
      <c r="N632" s="158">
        <v>1</v>
      </c>
      <c r="O632" s="158">
        <v>2</v>
      </c>
      <c r="P632" s="158" t="s">
        <v>1569</v>
      </c>
      <c r="Q632" s="158" t="s">
        <v>1216</v>
      </c>
      <c r="R632" s="158" t="s">
        <v>1568</v>
      </c>
      <c r="S632" s="158"/>
      <c r="T632" s="158" t="s">
        <v>1541</v>
      </c>
      <c r="U632" s="158"/>
      <c r="V632" s="158"/>
      <c r="W632" s="158" t="s">
        <v>1570</v>
      </c>
      <c r="X632" s="158"/>
      <c r="Y632" s="158" t="s">
        <v>1132</v>
      </c>
      <c r="Z632" s="158"/>
      <c r="AA632" s="158"/>
      <c r="AB632" s="158"/>
      <c r="AC632" s="800"/>
      <c r="AD632" s="536">
        <v>1</v>
      </c>
      <c r="AE632" s="536">
        <v>2</v>
      </c>
      <c r="AF632" s="743">
        <v>0</v>
      </c>
      <c r="AG632" s="744" t="s">
        <v>8045</v>
      </c>
      <c r="AH632" s="509" t="s">
        <v>7196</v>
      </c>
      <c r="AI632" s="734">
        <v>5</v>
      </c>
      <c r="AJ632" s="734" t="s">
        <v>5603</v>
      </c>
      <c r="AK632" s="739" t="s">
        <v>5558</v>
      </c>
      <c r="AL632" s="372">
        <v>2</v>
      </c>
      <c r="AM632" s="724">
        <v>0</v>
      </c>
      <c r="AN632" s="734">
        <f>14+14</f>
        <v>28</v>
      </c>
      <c r="AO632" s="734">
        <v>14</v>
      </c>
      <c r="AP632" s="734">
        <v>14</v>
      </c>
      <c r="AQ632" s="734" t="s">
        <v>803</v>
      </c>
      <c r="AR632" s="734" t="s">
        <v>803</v>
      </c>
      <c r="AS632" s="734" t="s">
        <v>4544</v>
      </c>
      <c r="AT632" s="734" t="s">
        <v>24</v>
      </c>
      <c r="AU632" s="734" t="s">
        <v>4544</v>
      </c>
      <c r="AV632" s="734" t="s">
        <v>24</v>
      </c>
      <c r="AW632" s="734" t="s">
        <v>5549</v>
      </c>
      <c r="AX632" s="734">
        <v>1</v>
      </c>
      <c r="AY632" s="734">
        <v>1.5</v>
      </c>
      <c r="AZ632" s="755" t="s">
        <v>1814</v>
      </c>
      <c r="BA632" s="734">
        <v>1</v>
      </c>
      <c r="BB632" s="734" t="s">
        <v>5555</v>
      </c>
      <c r="BC632" s="734" t="s">
        <v>5546</v>
      </c>
      <c r="BD632" s="755" t="s">
        <v>7523</v>
      </c>
      <c r="BE632" s="755"/>
      <c r="BF632" s="734" t="s">
        <v>5565</v>
      </c>
      <c r="BG632" s="734" t="s">
        <v>4508</v>
      </c>
      <c r="BH632" s="372"/>
      <c r="BI632" s="372"/>
      <c r="BJ632" s="735">
        <v>1</v>
      </c>
      <c r="BK632" s="735" t="s">
        <v>5545</v>
      </c>
      <c r="BL632" s="735"/>
      <c r="BM632" s="735"/>
      <c r="BN632" s="735"/>
      <c r="BO632" s="735"/>
      <c r="BP632" s="735">
        <v>1</v>
      </c>
      <c r="BQ632" s="735"/>
      <c r="BR632" s="735"/>
      <c r="BS632" s="735"/>
      <c r="BT632" s="735"/>
      <c r="BU632" s="735"/>
      <c r="BV632" s="735"/>
      <c r="BW632" s="511" t="s">
        <v>7195</v>
      </c>
      <c r="BX632" s="510" t="s">
        <v>6657</v>
      </c>
      <c r="BY632" s="799" t="s">
        <v>7613</v>
      </c>
      <c r="BZ632" s="510" t="s">
        <v>803</v>
      </c>
      <c r="CA632" s="511">
        <v>1</v>
      </c>
      <c r="CB632" s="781" t="s">
        <v>7556</v>
      </c>
      <c r="CC632" s="511" t="s">
        <v>7384</v>
      </c>
      <c r="CD632" s="509" t="s">
        <v>1876</v>
      </c>
      <c r="CE632" s="734">
        <v>2</v>
      </c>
      <c r="CF632" s="786" t="s">
        <v>7593</v>
      </c>
      <c r="CG632" s="734" t="s">
        <v>5552</v>
      </c>
      <c r="CH632" s="755" t="s">
        <v>7310</v>
      </c>
      <c r="CI632" s="734" t="s">
        <v>5544</v>
      </c>
      <c r="CJ632" s="734"/>
      <c r="CK632" s="509" t="s">
        <v>5562</v>
      </c>
      <c r="CL632" s="509" t="s">
        <v>2659</v>
      </c>
      <c r="CM632" s="515" t="s">
        <v>5594</v>
      </c>
      <c r="CN632" s="621" t="s">
        <v>6627</v>
      </c>
      <c r="CO632" s="621"/>
      <c r="CP632" s="621"/>
      <c r="CQ632" s="621"/>
      <c r="CR632" s="621"/>
      <c r="CS632" s="621"/>
      <c r="CT632" s="621"/>
      <c r="CU632" s="621"/>
      <c r="CV632" s="621"/>
      <c r="CW632" s="621"/>
      <c r="CX632" s="510" t="s">
        <v>5577</v>
      </c>
      <c r="CY632" s="734">
        <v>29.02</v>
      </c>
      <c r="CZ632" s="734">
        <v>15.82</v>
      </c>
      <c r="DA632" s="734" t="s">
        <v>24</v>
      </c>
      <c r="DB632" s="510" t="s">
        <v>5581</v>
      </c>
      <c r="DC632" s="734">
        <v>3.72</v>
      </c>
      <c r="DD632" s="734">
        <v>6.58</v>
      </c>
      <c r="DE632" s="734" t="s">
        <v>24</v>
      </c>
      <c r="DF632" s="621" t="s">
        <v>8035</v>
      </c>
      <c r="DG632" s="513"/>
      <c r="DH632" s="510"/>
      <c r="DI632" s="509"/>
      <c r="DJ632" s="1194"/>
      <c r="DK632" s="509"/>
      <c r="DL632" s="956"/>
      <c r="DM632" s="734"/>
      <c r="DN632" s="778"/>
      <c r="DO632" s="734"/>
      <c r="DP632" s="515"/>
      <c r="DQ632" s="513"/>
      <c r="DR632" s="621"/>
      <c r="DS632" s="1182"/>
      <c r="DT632" s="956"/>
      <c r="DU632" s="509"/>
      <c r="DV632" s="1194"/>
      <c r="DW632" s="509"/>
      <c r="DX632" s="956"/>
      <c r="DY632" s="734"/>
      <c r="DZ632" s="778"/>
      <c r="EA632" s="778"/>
      <c r="EB632" s="1182"/>
      <c r="EC632" s="1194"/>
      <c r="ED632" s="956"/>
      <c r="EE632" s="1194"/>
      <c r="EF632" s="1194"/>
      <c r="EG632" s="1194"/>
      <c r="EH632" s="956"/>
      <c r="EI632" s="778"/>
      <c r="EJ632" s="778"/>
      <c r="EK632" s="778"/>
      <c r="EL632" s="1182"/>
      <c r="EM632" s="1194"/>
      <c r="EN632" s="1181"/>
      <c r="EO632" s="778"/>
      <c r="EP632" s="778"/>
      <c r="EQ632" s="778"/>
      <c r="ER632" s="778"/>
      <c r="ES632" s="778"/>
      <c r="ET632" s="1180"/>
      <c r="EU632" s="778"/>
      <c r="EV632" s="778"/>
      <c r="EW632" s="778"/>
      <c r="EX632" s="778"/>
      <c r="EY632" s="778"/>
      <c r="EZ632" s="1180"/>
      <c r="FA632" s="778"/>
      <c r="FB632" s="778"/>
      <c r="FC632" s="778"/>
      <c r="FD632" s="1180"/>
      <c r="FE632" s="778"/>
      <c r="FF632" s="778"/>
      <c r="FG632" s="778"/>
      <c r="FH632" s="778"/>
      <c r="FI632" s="778"/>
      <c r="FJ632" s="778"/>
    </row>
    <row r="633" spans="1:166" ht="14" hidden="1" customHeight="1">
      <c r="A633" s="158" t="s">
        <v>974</v>
      </c>
      <c r="B633" s="1094">
        <v>216</v>
      </c>
      <c r="C633" s="1094">
        <v>76</v>
      </c>
      <c r="D633" s="1094"/>
      <c r="E633" s="1095" t="s">
        <v>2116</v>
      </c>
      <c r="F633" s="711" t="s">
        <v>2375</v>
      </c>
      <c r="G633" s="1096">
        <v>2007</v>
      </c>
      <c r="H633" s="158">
        <v>17027033</v>
      </c>
      <c r="I633" s="158">
        <v>1</v>
      </c>
      <c r="J633" s="158">
        <v>1</v>
      </c>
      <c r="K633" s="158"/>
      <c r="L633" s="158">
        <v>1</v>
      </c>
      <c r="M633" s="158"/>
      <c r="N633" s="158">
        <v>1</v>
      </c>
      <c r="O633" s="158">
        <v>2</v>
      </c>
      <c r="P633" s="158" t="s">
        <v>1569</v>
      </c>
      <c r="Q633" s="158" t="s">
        <v>1216</v>
      </c>
      <c r="R633" s="158" t="s">
        <v>1568</v>
      </c>
      <c r="S633" s="158"/>
      <c r="T633" s="158" t="s">
        <v>1541</v>
      </c>
      <c r="U633" s="158"/>
      <c r="V633" s="158"/>
      <c r="W633" s="158" t="s">
        <v>1570</v>
      </c>
      <c r="X633" s="158"/>
      <c r="Y633" s="158" t="s">
        <v>1132</v>
      </c>
      <c r="Z633" s="158"/>
      <c r="AA633" s="158"/>
      <c r="AB633" s="158"/>
      <c r="AC633" s="800"/>
      <c r="AD633" s="536">
        <v>1</v>
      </c>
      <c r="AE633" s="536">
        <v>2</v>
      </c>
      <c r="AF633" s="743">
        <v>0</v>
      </c>
      <c r="AG633" s="744" t="s">
        <v>8045</v>
      </c>
      <c r="AH633" s="509" t="s">
        <v>7196</v>
      </c>
      <c r="AI633" s="734">
        <v>5</v>
      </c>
      <c r="AJ633" s="734" t="s">
        <v>5603</v>
      </c>
      <c r="AK633" s="739" t="s">
        <v>5558</v>
      </c>
      <c r="AL633" s="372">
        <v>2</v>
      </c>
      <c r="AM633" s="724">
        <v>0</v>
      </c>
      <c r="AN633" s="734">
        <f>14+14</f>
        <v>28</v>
      </c>
      <c r="AO633" s="734">
        <v>14</v>
      </c>
      <c r="AP633" s="734">
        <v>14</v>
      </c>
      <c r="AQ633" s="734" t="s">
        <v>803</v>
      </c>
      <c r="AR633" s="734" t="s">
        <v>803</v>
      </c>
      <c r="AS633" s="734" t="s">
        <v>4544</v>
      </c>
      <c r="AT633" s="734" t="s">
        <v>24</v>
      </c>
      <c r="AU633" s="734" t="s">
        <v>4544</v>
      </c>
      <c r="AV633" s="734" t="s">
        <v>24</v>
      </c>
      <c r="AW633" s="734" t="s">
        <v>5549</v>
      </c>
      <c r="AX633" s="734">
        <v>1</v>
      </c>
      <c r="AY633" s="734">
        <v>1.5</v>
      </c>
      <c r="AZ633" s="755" t="s">
        <v>1814</v>
      </c>
      <c r="BA633" s="734">
        <v>1</v>
      </c>
      <c r="BB633" s="734" t="s">
        <v>5555</v>
      </c>
      <c r="BC633" s="734" t="s">
        <v>5546</v>
      </c>
      <c r="BD633" s="755" t="s">
        <v>7523</v>
      </c>
      <c r="BE633" s="755"/>
      <c r="BF633" s="734" t="s">
        <v>5565</v>
      </c>
      <c r="BG633" s="734" t="s">
        <v>4508</v>
      </c>
      <c r="BH633" s="372"/>
      <c r="BI633" s="372"/>
      <c r="BJ633" s="735">
        <v>1</v>
      </c>
      <c r="BK633" s="735" t="s">
        <v>5545</v>
      </c>
      <c r="BL633" s="735"/>
      <c r="BM633" s="735"/>
      <c r="BN633" s="735"/>
      <c r="BO633" s="735"/>
      <c r="BP633" s="735">
        <v>1</v>
      </c>
      <c r="BQ633" s="735"/>
      <c r="BR633" s="735"/>
      <c r="BS633" s="735"/>
      <c r="BT633" s="735"/>
      <c r="BU633" s="735"/>
      <c r="BV633" s="735"/>
      <c r="BW633" s="511" t="s">
        <v>7195</v>
      </c>
      <c r="BX633" s="510" t="s">
        <v>6657</v>
      </c>
      <c r="BY633" s="799" t="s">
        <v>7613</v>
      </c>
      <c r="BZ633" s="510" t="s">
        <v>803</v>
      </c>
      <c r="CA633" s="511">
        <v>1</v>
      </c>
      <c r="CB633" s="781" t="s">
        <v>7556</v>
      </c>
      <c r="CC633" s="511" t="s">
        <v>7384</v>
      </c>
      <c r="CD633" s="509" t="s">
        <v>1876</v>
      </c>
      <c r="CE633" s="734">
        <v>2</v>
      </c>
      <c r="CF633" s="786" t="s">
        <v>7593</v>
      </c>
      <c r="CG633" s="734" t="s">
        <v>5552</v>
      </c>
      <c r="CH633" s="755" t="s">
        <v>7310</v>
      </c>
      <c r="CI633" s="734" t="s">
        <v>5544</v>
      </c>
      <c r="CJ633" s="734"/>
      <c r="CK633" s="509" t="s">
        <v>5562</v>
      </c>
      <c r="CL633" s="509" t="s">
        <v>2659</v>
      </c>
      <c r="CM633" s="515" t="s">
        <v>5594</v>
      </c>
      <c r="CN633" s="621" t="s">
        <v>6627</v>
      </c>
      <c r="CO633" s="621"/>
      <c r="CP633" s="621"/>
      <c r="CQ633" s="621"/>
      <c r="CR633" s="621"/>
      <c r="CS633" s="621"/>
      <c r="CT633" s="621"/>
      <c r="CU633" s="621"/>
      <c r="CV633" s="621"/>
      <c r="CW633" s="621"/>
      <c r="CX633" s="510" t="s">
        <v>5578</v>
      </c>
      <c r="CY633" s="734">
        <v>25.69</v>
      </c>
      <c r="CZ633" s="734">
        <v>14.61</v>
      </c>
      <c r="DA633" s="734" t="s">
        <v>24</v>
      </c>
      <c r="DB633" s="510" t="s">
        <v>5583</v>
      </c>
      <c r="DC633" s="734">
        <v>1.96</v>
      </c>
      <c r="DD633" s="734">
        <v>4.45</v>
      </c>
      <c r="DE633" s="734" t="s">
        <v>24</v>
      </c>
      <c r="DF633" s="515" t="s">
        <v>8035</v>
      </c>
      <c r="DG633" s="513"/>
      <c r="DH633" s="510"/>
      <c r="DI633" s="509"/>
      <c r="DJ633" s="509"/>
      <c r="DK633" s="509"/>
      <c r="DL633" s="510"/>
      <c r="DM633" s="734"/>
      <c r="DN633" s="734"/>
      <c r="DO633" s="734"/>
      <c r="DP633" s="515"/>
      <c r="DQ633" s="513"/>
      <c r="DR633" s="1182"/>
      <c r="DS633" s="1182"/>
      <c r="DT633" s="956"/>
      <c r="DU633" s="1194"/>
      <c r="DV633" s="1194"/>
      <c r="DW633" s="1194"/>
      <c r="DX633" s="956"/>
      <c r="DY633" s="778"/>
      <c r="DZ633" s="778"/>
      <c r="EA633" s="778"/>
      <c r="EB633" s="1182"/>
      <c r="EC633" s="1194"/>
      <c r="ED633" s="956"/>
      <c r="EE633" s="1194"/>
      <c r="EF633" s="1194"/>
      <c r="EG633" s="1194"/>
      <c r="EH633" s="956"/>
      <c r="EI633" s="778"/>
      <c r="EJ633" s="778"/>
      <c r="EK633" s="778"/>
      <c r="EL633" s="1182"/>
      <c r="EM633" s="1194"/>
      <c r="EN633" s="1181"/>
      <c r="EO633" s="778"/>
      <c r="EP633" s="778"/>
      <c r="EQ633" s="778"/>
      <c r="ER633" s="778"/>
      <c r="ES633" s="778"/>
      <c r="ET633" s="1180"/>
      <c r="EU633" s="778"/>
      <c r="EV633" s="778"/>
      <c r="EW633" s="778"/>
      <c r="EX633" s="778"/>
      <c r="EY633" s="778"/>
      <c r="EZ633" s="1180"/>
      <c r="FA633" s="778"/>
      <c r="FB633" s="778"/>
      <c r="FC633" s="778"/>
      <c r="FD633" s="1180"/>
      <c r="FE633" s="778"/>
      <c r="FF633" s="778"/>
      <c r="FG633" s="778"/>
      <c r="FH633" s="778"/>
      <c r="FI633" s="778"/>
      <c r="FJ633" s="778"/>
    </row>
    <row r="634" spans="1:166" ht="14" hidden="1" customHeight="1">
      <c r="A634" s="153" t="s">
        <v>302</v>
      </c>
      <c r="B634" s="618">
        <v>217</v>
      </c>
      <c r="C634" s="618"/>
      <c r="D634" s="618">
        <v>88</v>
      </c>
      <c r="E634" s="610" t="s">
        <v>2023</v>
      </c>
      <c r="F634" s="368" t="s">
        <v>2256</v>
      </c>
      <c r="G634" s="369">
        <v>2013</v>
      </c>
      <c r="H634" s="153">
        <v>23672579</v>
      </c>
      <c r="I634" s="153">
        <v>1</v>
      </c>
      <c r="J634" s="370"/>
      <c r="K634" s="371"/>
      <c r="L634" s="153">
        <v>1</v>
      </c>
      <c r="M634" s="153"/>
      <c r="N634" s="153">
        <v>1</v>
      </c>
      <c r="O634" s="153">
        <v>1</v>
      </c>
      <c r="P634" s="153" t="s">
        <v>792</v>
      </c>
      <c r="Q634" s="153" t="s">
        <v>23</v>
      </c>
      <c r="R634" s="153" t="s">
        <v>762</v>
      </c>
      <c r="S634" s="153">
        <v>1</v>
      </c>
      <c r="T634" s="153"/>
      <c r="U634" s="153"/>
      <c r="V634" s="153"/>
      <c r="W634" s="153" t="s">
        <v>492</v>
      </c>
      <c r="X634" s="153" t="s">
        <v>24</v>
      </c>
      <c r="Y634" s="153" t="s">
        <v>24</v>
      </c>
      <c r="Z634" s="153" t="s">
        <v>793</v>
      </c>
      <c r="AA634" s="153"/>
      <c r="AB634" s="153"/>
      <c r="AC634" s="536" t="s">
        <v>6291</v>
      </c>
      <c r="AD634" s="536">
        <v>1</v>
      </c>
      <c r="AE634" s="536">
        <v>1</v>
      </c>
      <c r="AF634" s="165">
        <v>0</v>
      </c>
      <c r="AG634" s="166" t="s">
        <v>7214</v>
      </c>
      <c r="AH634" s="509" t="s">
        <v>7273</v>
      </c>
      <c r="AI634" s="120">
        <v>2</v>
      </c>
      <c r="AJ634" s="120"/>
      <c r="AK634" s="206"/>
      <c r="AL634" s="372"/>
      <c r="AM634" s="207"/>
      <c r="AN634" s="120"/>
      <c r="AO634" s="120"/>
      <c r="AP634" s="120"/>
      <c r="AQ634" s="120"/>
      <c r="AR634" s="120"/>
      <c r="AS634" s="120"/>
      <c r="AT634" s="120"/>
      <c r="AU634" s="120"/>
      <c r="AV634" s="120"/>
      <c r="AW634" s="120"/>
      <c r="AX634" s="120"/>
      <c r="AY634" s="120"/>
      <c r="AZ634" s="755"/>
      <c r="BA634" s="120"/>
      <c r="BB634" s="120"/>
      <c r="BC634" s="120"/>
      <c r="BD634" s="755"/>
      <c r="BE634" s="755"/>
      <c r="BF634" s="120"/>
      <c r="BG634" s="120"/>
      <c r="BH634" s="377"/>
      <c r="BI634" s="377"/>
      <c r="BJ634" s="373"/>
      <c r="BK634" s="373"/>
      <c r="BL634" s="373" t="s">
        <v>5207</v>
      </c>
      <c r="BM634" s="373"/>
      <c r="BN634" s="373"/>
      <c r="BO634" s="373" t="s">
        <v>5207</v>
      </c>
      <c r="BP634" s="373" t="s">
        <v>5207</v>
      </c>
      <c r="BQ634" s="373"/>
      <c r="BR634" s="373"/>
      <c r="BS634" s="373"/>
      <c r="BT634" s="373" t="s">
        <v>5207</v>
      </c>
      <c r="BU634" s="373" t="s">
        <v>5207</v>
      </c>
      <c r="BV634" s="373"/>
      <c r="BW634" s="599"/>
      <c r="BX634" s="374"/>
      <c r="BY634" s="374"/>
      <c r="BZ634" s="374"/>
      <c r="CA634" s="511"/>
      <c r="CB634" s="781"/>
      <c r="CC634" s="511"/>
      <c r="CD634" s="120"/>
      <c r="CE634" s="120"/>
      <c r="CF634" s="120"/>
      <c r="CG634" s="120"/>
      <c r="CH634" s="755"/>
      <c r="CI634" s="120"/>
      <c r="CJ634" s="120"/>
      <c r="CK634" s="120"/>
      <c r="CL634" s="120"/>
      <c r="CM634" s="375"/>
      <c r="CN634" s="380"/>
      <c r="CO634" s="380"/>
      <c r="CP634" s="380"/>
      <c r="CQ634" s="380"/>
      <c r="CR634" s="380"/>
      <c r="CS634" s="380"/>
      <c r="CT634" s="380"/>
      <c r="CU634" s="380"/>
      <c r="CV634" s="380"/>
      <c r="CW634" s="380"/>
      <c r="CX634" s="376"/>
      <c r="CY634" s="120"/>
      <c r="CZ634" s="120"/>
      <c r="DA634" s="120"/>
      <c r="DB634" s="376"/>
      <c r="DC634" s="120"/>
      <c r="DD634" s="120"/>
      <c r="DE634" s="120"/>
      <c r="DF634" s="621"/>
      <c r="DG634" s="513"/>
      <c r="DH634" s="727"/>
      <c r="DI634" s="384"/>
      <c r="DJ634" s="384"/>
      <c r="DK634" s="384"/>
      <c r="DL634" s="727"/>
      <c r="DM634" s="384"/>
      <c r="DN634" s="384"/>
      <c r="DO634" s="384"/>
      <c r="DP634" s="375"/>
      <c r="DQ634" s="377"/>
      <c r="DR634" s="1182"/>
      <c r="DS634" s="956"/>
      <c r="DT634" s="727"/>
      <c r="DU634" s="120"/>
      <c r="DV634" s="384"/>
      <c r="DW634" s="120"/>
      <c r="DX634" s="384"/>
      <c r="DY634" s="384"/>
      <c r="DZ634" s="384"/>
      <c r="EA634" s="384"/>
      <c r="EB634" s="380"/>
      <c r="EC634" s="120"/>
      <c r="ED634" s="384"/>
      <c r="EE634" s="384"/>
      <c r="EF634" s="384"/>
      <c r="EG634" s="384"/>
      <c r="EH634" s="384"/>
      <c r="EI634" s="384"/>
      <c r="EJ634" s="384"/>
      <c r="EK634" s="384"/>
      <c r="EL634" s="1012"/>
      <c r="EM634" s="384"/>
      <c r="EN634" s="1012"/>
      <c r="EO634" s="384"/>
      <c r="EP634" s="384"/>
      <c r="EQ634" s="384"/>
      <c r="ER634" s="384"/>
      <c r="ES634" s="384"/>
      <c r="ET634" s="727"/>
      <c r="EU634" s="384"/>
      <c r="EV634" s="384"/>
      <c r="EW634" s="384"/>
      <c r="EX634" s="384"/>
      <c r="EY634" s="384"/>
      <c r="EZ634" s="727"/>
      <c r="FA634" s="384"/>
      <c r="FB634" s="384"/>
      <c r="FC634" s="384"/>
      <c r="FD634" s="727"/>
      <c r="FE634" s="384"/>
      <c r="FF634" s="384"/>
      <c r="FG634" s="384"/>
      <c r="FH634" s="384"/>
      <c r="FI634" s="384"/>
      <c r="FJ634" s="384"/>
    </row>
    <row r="635" spans="1:166" ht="14" hidden="1" customHeight="1">
      <c r="A635" s="118" t="s">
        <v>145</v>
      </c>
      <c r="B635" s="616">
        <v>111</v>
      </c>
      <c r="C635" s="616">
        <v>24</v>
      </c>
      <c r="D635" s="616"/>
      <c r="E635" s="605" t="s">
        <v>1952</v>
      </c>
      <c r="F635" s="140" t="s">
        <v>2172</v>
      </c>
      <c r="G635" s="141">
        <v>2001</v>
      </c>
      <c r="H635" s="118">
        <v>11469166</v>
      </c>
      <c r="I635" s="118">
        <v>1</v>
      </c>
      <c r="J635" s="118"/>
      <c r="K635" s="118"/>
      <c r="L635" s="118">
        <v>1</v>
      </c>
      <c r="M635" s="118"/>
      <c r="N635" s="118">
        <v>1</v>
      </c>
      <c r="O635" s="142">
        <v>1</v>
      </c>
      <c r="P635" s="118" t="s">
        <v>452</v>
      </c>
      <c r="Q635" s="118"/>
      <c r="R635" s="118" t="s">
        <v>25</v>
      </c>
      <c r="S635" s="118">
        <v>1</v>
      </c>
      <c r="T635" s="118"/>
      <c r="U635" s="118"/>
      <c r="V635" s="118"/>
      <c r="W635" s="118" t="s">
        <v>24</v>
      </c>
      <c r="X635" s="118"/>
      <c r="Y635" s="118"/>
      <c r="Z635" s="118"/>
      <c r="AA635" s="118"/>
      <c r="AB635" s="118"/>
      <c r="AC635" s="145"/>
      <c r="AD635" s="573">
        <v>1</v>
      </c>
      <c r="AE635" s="573">
        <v>2</v>
      </c>
      <c r="AF635" s="154">
        <v>1</v>
      </c>
      <c r="AG635" s="160"/>
      <c r="AH635" s="704"/>
      <c r="AI635" s="122">
        <v>2</v>
      </c>
      <c r="AJ635" s="485"/>
      <c r="AK635" s="204" t="s">
        <v>4250</v>
      </c>
      <c r="AL635" s="192">
        <v>1</v>
      </c>
      <c r="AM635" s="205">
        <v>0</v>
      </c>
      <c r="AN635" s="122">
        <f>Table66[[#This Row],[Data_Subjects_n_ptsd]]+Table66[[#This Row],[Data_Subjects_n_control]]</f>
        <v>32</v>
      </c>
      <c r="AO635" s="122">
        <v>19</v>
      </c>
      <c r="AP635" s="122">
        <v>13</v>
      </c>
      <c r="AQ635" s="122" t="s">
        <v>803</v>
      </c>
      <c r="AR635" s="122" t="s">
        <v>803</v>
      </c>
      <c r="AS635" s="150" t="s">
        <v>4248</v>
      </c>
      <c r="AT635" s="150">
        <v>2.81</v>
      </c>
      <c r="AU635" s="150" t="s">
        <v>4247</v>
      </c>
      <c r="AV635" s="150">
        <v>3.09</v>
      </c>
      <c r="AW635" s="150" t="s">
        <v>4249</v>
      </c>
      <c r="AX635" s="122"/>
      <c r="AY635" s="122"/>
      <c r="AZ635" s="754" t="s">
        <v>1874</v>
      </c>
      <c r="BA635" s="122" t="s">
        <v>24</v>
      </c>
      <c r="BB635" s="122" t="s">
        <v>24</v>
      </c>
      <c r="BC635" s="122" t="s">
        <v>4161</v>
      </c>
      <c r="BD635" s="754" t="s">
        <v>7521</v>
      </c>
      <c r="BE635" s="187">
        <v>0</v>
      </c>
      <c r="BF635" s="121" t="s">
        <v>5116</v>
      </c>
      <c r="BG635" s="122" t="s">
        <v>4251</v>
      </c>
      <c r="BH635" s="588"/>
      <c r="BI635" s="588"/>
      <c r="BJ635" s="161"/>
      <c r="BK635" s="161"/>
      <c r="BL635" s="161"/>
      <c r="BM635" s="161"/>
      <c r="BN635" s="161"/>
      <c r="BO635" s="161"/>
      <c r="BP635" s="161">
        <v>1</v>
      </c>
      <c r="BQ635" s="161"/>
      <c r="BR635" s="161"/>
      <c r="BS635" s="161"/>
      <c r="BT635" s="161"/>
      <c r="BU635" s="161"/>
      <c r="BV635" s="161"/>
      <c r="BW635" s="596" t="s">
        <v>7781</v>
      </c>
      <c r="BX635" s="162" t="s">
        <v>7780</v>
      </c>
      <c r="BY635" s="797" t="s">
        <v>7617</v>
      </c>
      <c r="BZ635" s="790" t="s">
        <v>803</v>
      </c>
      <c r="CA635" s="765">
        <v>2</v>
      </c>
      <c r="CB635" s="772" t="s">
        <v>7556</v>
      </c>
      <c r="CC635" s="765" t="s">
        <v>7380</v>
      </c>
      <c r="CD635" s="150" t="s">
        <v>1876</v>
      </c>
      <c r="CE635" s="150">
        <v>2</v>
      </c>
      <c r="CF635" s="400"/>
      <c r="CG635" s="150" t="s">
        <v>7782</v>
      </c>
      <c r="CH635" s="753" t="s">
        <v>7336</v>
      </c>
      <c r="CI635" s="150" t="s">
        <v>24</v>
      </c>
      <c r="CJ635" s="150"/>
      <c r="CK635" s="150" t="s">
        <v>7785</v>
      </c>
      <c r="CL635" s="150" t="s">
        <v>8237</v>
      </c>
      <c r="CM635" s="258" t="s">
        <v>4302</v>
      </c>
      <c r="CN635" s="257" t="s">
        <v>24</v>
      </c>
      <c r="CO635" s="829">
        <v>22</v>
      </c>
      <c r="CP635" s="829">
        <v>1</v>
      </c>
      <c r="CQ635" s="829">
        <v>4</v>
      </c>
      <c r="CR635" s="829">
        <v>1</v>
      </c>
      <c r="CS635" s="829">
        <v>1</v>
      </c>
      <c r="CT635" s="968"/>
      <c r="CU635" s="1288" t="s">
        <v>8103</v>
      </c>
      <c r="CV635" s="1294">
        <v>12</v>
      </c>
      <c r="CW635" s="1294">
        <v>11</v>
      </c>
      <c r="CX635" s="151" t="s">
        <v>4290</v>
      </c>
      <c r="CY635" s="150">
        <v>18.89</v>
      </c>
      <c r="CZ635" s="150">
        <v>6.67</v>
      </c>
      <c r="DA635" s="150" t="s">
        <v>24</v>
      </c>
      <c r="DB635" s="151" t="s">
        <v>4292</v>
      </c>
      <c r="DC635" s="150">
        <v>17.579999999999998</v>
      </c>
      <c r="DD635" s="150">
        <v>8.7200000000000006</v>
      </c>
      <c r="DE635" s="150" t="s">
        <v>24</v>
      </c>
      <c r="DF635" s="290" t="s">
        <v>3229</v>
      </c>
      <c r="DG635" s="291" t="s">
        <v>4294</v>
      </c>
      <c r="DH635" s="1169"/>
      <c r="DI635" s="1169"/>
      <c r="DJ635" s="1169"/>
      <c r="DK635" s="1169"/>
      <c r="DL635" s="1169"/>
      <c r="DM635" s="1169"/>
      <c r="DN635" s="1169"/>
      <c r="DO635" s="1169"/>
      <c r="DP635" s="288"/>
      <c r="DQ635" s="289"/>
      <c r="DR635" s="1168"/>
      <c r="DS635" s="865"/>
      <c r="DT635" s="1166"/>
      <c r="DU635" s="1164"/>
      <c r="DV635" s="1164"/>
      <c r="DW635" s="1164"/>
      <c r="DX635" s="1164"/>
      <c r="DY635" s="1164"/>
      <c r="DZ635" s="1164"/>
      <c r="EA635" s="1164"/>
      <c r="EB635" s="311"/>
      <c r="EC635" s="313"/>
      <c r="ED635" s="1164"/>
      <c r="EE635" s="1164"/>
      <c r="EF635" s="1164"/>
      <c r="EG635" s="1164"/>
      <c r="EH635" s="1164"/>
      <c r="EI635" s="1164"/>
      <c r="EJ635" s="1164"/>
      <c r="EK635" s="1164"/>
      <c r="EL635" s="311"/>
      <c r="EM635" s="313"/>
      <c r="EN635" s="1167"/>
      <c r="EO635" s="1165"/>
      <c r="EP635" s="1164"/>
      <c r="EQ635" s="1164"/>
      <c r="ER635" s="1164"/>
      <c r="ES635" s="1164"/>
      <c r="ET635" s="1166"/>
      <c r="EU635" s="1164"/>
      <c r="EV635" s="1164"/>
      <c r="EW635" s="1164"/>
      <c r="EX635" s="313"/>
      <c r="EY635" s="313"/>
      <c r="EZ635" s="1166"/>
      <c r="FA635" s="1164"/>
      <c r="FB635" s="1164"/>
      <c r="FC635" s="1164"/>
      <c r="FD635" s="1166"/>
      <c r="FE635" s="1164"/>
      <c r="FF635" s="1164"/>
      <c r="FG635" s="1164"/>
      <c r="FH635" s="313"/>
      <c r="FI635" s="313"/>
      <c r="FJ635" s="1165"/>
    </row>
    <row r="636" spans="1:166" ht="14" hidden="1" customHeight="1">
      <c r="A636" s="79" t="s">
        <v>303</v>
      </c>
      <c r="B636" s="362">
        <v>218</v>
      </c>
      <c r="C636" s="362">
        <v>77</v>
      </c>
      <c r="D636" s="362"/>
      <c r="E636" s="604" t="s">
        <v>2024</v>
      </c>
      <c r="F636" s="124" t="s">
        <v>2257</v>
      </c>
      <c r="G636" s="125">
        <v>2007</v>
      </c>
      <c r="H636" s="79">
        <v>17436378</v>
      </c>
      <c r="I636" s="79">
        <v>1</v>
      </c>
      <c r="J636" s="126"/>
      <c r="K636" s="127"/>
      <c r="L636" s="79">
        <v>1</v>
      </c>
      <c r="M636" s="79"/>
      <c r="N636" s="79">
        <v>1</v>
      </c>
      <c r="O636" s="128">
        <v>1</v>
      </c>
      <c r="P636" s="79" t="s">
        <v>794</v>
      </c>
      <c r="Q636" s="79" t="s">
        <v>1147</v>
      </c>
      <c r="R636" s="79" t="s">
        <v>591</v>
      </c>
      <c r="S636" s="79">
        <v>1</v>
      </c>
      <c r="T636" s="79"/>
      <c r="U636" s="79"/>
      <c r="V636" s="79"/>
      <c r="W636" s="79" t="s">
        <v>795</v>
      </c>
      <c r="X636" s="79" t="s">
        <v>24</v>
      </c>
      <c r="Y636" s="79" t="s">
        <v>24</v>
      </c>
      <c r="Z636" s="79"/>
      <c r="AA636" s="79"/>
      <c r="AB636" s="79"/>
      <c r="AC636" s="506"/>
      <c r="AD636" s="573">
        <v>1</v>
      </c>
      <c r="AE636" s="573">
        <v>2</v>
      </c>
      <c r="AF636" s="154">
        <v>1</v>
      </c>
      <c r="AG636" s="155"/>
      <c r="AH636" s="704"/>
      <c r="AI636" s="121">
        <v>2</v>
      </c>
      <c r="AJ636" s="484" t="s">
        <v>5625</v>
      </c>
      <c r="AK636" s="202" t="s">
        <v>5604</v>
      </c>
      <c r="AL636" s="192">
        <v>1</v>
      </c>
      <c r="AM636" s="215">
        <v>0</v>
      </c>
      <c r="AN636" s="134">
        <f>Table66[[#This Row],[Data_Subjects_n_ptsd]]+Table66[[#This Row],[Data_Subjects_n_control]]</f>
        <v>41</v>
      </c>
      <c r="AO636" s="134">
        <v>20</v>
      </c>
      <c r="AP636" s="134">
        <v>21</v>
      </c>
      <c r="AQ636" s="134" t="s">
        <v>803</v>
      </c>
      <c r="AR636" s="134" t="s">
        <v>803</v>
      </c>
      <c r="AS636" s="134">
        <v>38.1</v>
      </c>
      <c r="AT636" s="134">
        <v>5.7</v>
      </c>
      <c r="AU636" s="134">
        <v>38</v>
      </c>
      <c r="AV636" s="134">
        <v>6</v>
      </c>
      <c r="AW636" s="134" t="s">
        <v>5605</v>
      </c>
      <c r="AX636" s="134"/>
      <c r="AY636" s="134"/>
      <c r="AZ636" s="753" t="s">
        <v>1874</v>
      </c>
      <c r="BA636" s="134" t="s">
        <v>24</v>
      </c>
      <c r="BB636" s="134" t="s">
        <v>24</v>
      </c>
      <c r="BC636" s="134" t="s">
        <v>5607</v>
      </c>
      <c r="BD636" s="753" t="s">
        <v>7522</v>
      </c>
      <c r="BE636" s="187">
        <v>0</v>
      </c>
      <c r="BF636" s="134" t="s">
        <v>3835</v>
      </c>
      <c r="BG636" s="134" t="s">
        <v>5606</v>
      </c>
      <c r="BH636" s="594"/>
      <c r="BI636" s="594"/>
      <c r="BJ636" s="156"/>
      <c r="BK636" s="156"/>
      <c r="BL636" s="156"/>
      <c r="BM636" s="156"/>
      <c r="BN636" s="156"/>
      <c r="BO636" s="156"/>
      <c r="BP636" s="156">
        <v>1</v>
      </c>
      <c r="BQ636" s="156"/>
      <c r="BR636" s="156"/>
      <c r="BS636" s="156"/>
      <c r="BT636" s="156"/>
      <c r="BU636" s="156"/>
      <c r="BV636" s="156"/>
      <c r="BW636" s="595" t="s">
        <v>5337</v>
      </c>
      <c r="BX636" s="157" t="s">
        <v>6612</v>
      </c>
      <c r="BY636" s="797" t="s">
        <v>7617</v>
      </c>
      <c r="BZ636" s="789" t="s">
        <v>803</v>
      </c>
      <c r="CA636" s="769">
        <v>2</v>
      </c>
      <c r="CB636" s="772" t="s">
        <v>7556</v>
      </c>
      <c r="CC636" s="765" t="s">
        <v>7380</v>
      </c>
      <c r="CD636" s="134" t="s">
        <v>1876</v>
      </c>
      <c r="CE636" s="134">
        <v>2</v>
      </c>
      <c r="CF636" s="400"/>
      <c r="CG636" s="134" t="s">
        <v>5608</v>
      </c>
      <c r="CH636" s="753" t="s">
        <v>7336</v>
      </c>
      <c r="CI636" s="134" t="s">
        <v>24</v>
      </c>
      <c r="CJ636" s="134"/>
      <c r="CK636" s="134" t="s">
        <v>5609</v>
      </c>
      <c r="CL636" s="134" t="s">
        <v>8237</v>
      </c>
      <c r="CM636" s="259" t="s">
        <v>5624</v>
      </c>
      <c r="CN636" s="454" t="s">
        <v>24</v>
      </c>
      <c r="CO636" s="828">
        <v>69</v>
      </c>
      <c r="CP636" s="828">
        <v>1</v>
      </c>
      <c r="CQ636" s="828">
        <v>2</v>
      </c>
      <c r="CR636" s="828">
        <v>1</v>
      </c>
      <c r="CS636" s="828">
        <v>1</v>
      </c>
      <c r="CT636" s="967"/>
      <c r="CU636" s="1291" t="s">
        <v>8102</v>
      </c>
      <c r="CV636" s="1295">
        <v>36</v>
      </c>
      <c r="CW636" s="1295">
        <v>29</v>
      </c>
      <c r="CX636" s="138" t="s">
        <v>5614</v>
      </c>
      <c r="CY636" s="134">
        <v>15.7</v>
      </c>
      <c r="CZ636" s="134">
        <v>6.1</v>
      </c>
      <c r="DA636" s="134" t="s">
        <v>24</v>
      </c>
      <c r="DB636" s="138" t="s">
        <v>5615</v>
      </c>
      <c r="DC636" s="134">
        <v>26.3</v>
      </c>
      <c r="DD636" s="134">
        <v>4.5999999999999996</v>
      </c>
      <c r="DE636" s="134" t="s">
        <v>24</v>
      </c>
      <c r="DF636" s="434" t="s">
        <v>8051</v>
      </c>
      <c r="DG636" s="436" t="s">
        <v>5622</v>
      </c>
      <c r="DH636" s="1179"/>
      <c r="DI636" s="417"/>
      <c r="DJ636" s="1169"/>
      <c r="DK636" s="417"/>
      <c r="DL636" s="1169"/>
      <c r="DM636" s="417"/>
      <c r="DN636" s="1169"/>
      <c r="DO636" s="1151"/>
      <c r="DP636" s="288"/>
      <c r="DQ636" s="441"/>
      <c r="DR636" s="1168"/>
      <c r="DS636" s="1168"/>
      <c r="DT636" s="1171"/>
      <c r="DU636" s="417"/>
      <c r="DV636" s="1169"/>
      <c r="DW636" s="417"/>
      <c r="DX636" s="1171"/>
      <c r="DY636" s="417"/>
      <c r="DZ636" s="1169"/>
      <c r="EA636" s="417"/>
      <c r="EB636" s="304"/>
      <c r="EC636" s="312"/>
      <c r="ED636" s="1169"/>
      <c r="EE636" s="417"/>
      <c r="EF636" s="1169"/>
      <c r="EG636" s="417"/>
      <c r="EH636" s="1169"/>
      <c r="EI636" s="417"/>
      <c r="EJ636" s="1169"/>
      <c r="EK636" s="417"/>
      <c r="EL636" s="304"/>
      <c r="EM636" s="312"/>
      <c r="EN636" s="1167"/>
      <c r="EO636" s="1170"/>
      <c r="EP636" s="1169"/>
      <c r="EQ636" s="1169"/>
      <c r="ER636" s="1169"/>
      <c r="ES636" s="1169"/>
      <c r="ET636" s="1171"/>
      <c r="EU636" s="1169"/>
      <c r="EV636" s="1169"/>
      <c r="EW636" s="1169"/>
      <c r="EX636" s="312"/>
      <c r="EY636" s="312"/>
      <c r="EZ636" s="1171"/>
      <c r="FA636" s="1169"/>
      <c r="FB636" s="1169"/>
      <c r="FC636" s="1169"/>
      <c r="FD636" s="1171"/>
      <c r="FE636" s="1169"/>
      <c r="FF636" s="1169"/>
      <c r="FG636" s="1169"/>
      <c r="FH636" s="312"/>
      <c r="FI636" s="312"/>
      <c r="FJ636" s="1170"/>
    </row>
    <row r="637" spans="1:166" ht="14" hidden="1" customHeight="1">
      <c r="A637" s="153" t="s">
        <v>303</v>
      </c>
      <c r="B637" s="618">
        <v>218</v>
      </c>
      <c r="C637" s="618">
        <v>77</v>
      </c>
      <c r="D637" s="618"/>
      <c r="E637" s="610" t="s">
        <v>2024</v>
      </c>
      <c r="F637" s="368" t="s">
        <v>2257</v>
      </c>
      <c r="G637" s="369">
        <v>2007</v>
      </c>
      <c r="H637" s="153">
        <v>17436378</v>
      </c>
      <c r="I637" s="153">
        <v>1</v>
      </c>
      <c r="J637" s="370"/>
      <c r="K637" s="371"/>
      <c r="L637" s="153">
        <v>1</v>
      </c>
      <c r="M637" s="153"/>
      <c r="N637" s="153">
        <v>1</v>
      </c>
      <c r="O637" s="153">
        <v>1</v>
      </c>
      <c r="P637" s="153" t="s">
        <v>794</v>
      </c>
      <c r="Q637" s="153" t="s">
        <v>1147</v>
      </c>
      <c r="R637" s="153" t="s">
        <v>591</v>
      </c>
      <c r="S637" s="153">
        <v>1</v>
      </c>
      <c r="T637" s="153"/>
      <c r="U637" s="153"/>
      <c r="V637" s="153"/>
      <c r="W637" s="153" t="s">
        <v>795</v>
      </c>
      <c r="X637" s="153" t="s">
        <v>24</v>
      </c>
      <c r="Y637" s="153" t="s">
        <v>24</v>
      </c>
      <c r="Z637" s="153"/>
      <c r="AA637" s="153"/>
      <c r="AB637" s="153"/>
      <c r="AC637" s="536"/>
      <c r="AD637" s="536">
        <v>1</v>
      </c>
      <c r="AE637" s="536">
        <v>2</v>
      </c>
      <c r="AF637" s="165">
        <v>0</v>
      </c>
      <c r="AG637" s="166" t="s">
        <v>8053</v>
      </c>
      <c r="AH637" s="509"/>
      <c r="AI637" s="120">
        <v>2</v>
      </c>
      <c r="AJ637" s="120" t="s">
        <v>5625</v>
      </c>
      <c r="AK637" s="206" t="s">
        <v>5604</v>
      </c>
      <c r="AL637" s="372">
        <v>1</v>
      </c>
      <c r="AM637" s="207">
        <v>0</v>
      </c>
      <c r="AN637" s="120">
        <f>Table66[[#This Row],[Data_Subjects_n_ptsd]]+Table66[[#This Row],[Data_Subjects_n_control]]</f>
        <v>41</v>
      </c>
      <c r="AO637" s="120">
        <v>20</v>
      </c>
      <c r="AP637" s="120">
        <v>21</v>
      </c>
      <c r="AQ637" s="120" t="s">
        <v>803</v>
      </c>
      <c r="AR637" s="120" t="s">
        <v>803</v>
      </c>
      <c r="AS637" s="120">
        <v>38.1</v>
      </c>
      <c r="AT637" s="120">
        <v>5.7</v>
      </c>
      <c r="AU637" s="120">
        <v>38</v>
      </c>
      <c r="AV637" s="120">
        <v>6</v>
      </c>
      <c r="AW637" s="120" t="s">
        <v>5605</v>
      </c>
      <c r="AX637" s="120"/>
      <c r="AY637" s="120"/>
      <c r="AZ637" s="755" t="s">
        <v>1874</v>
      </c>
      <c r="BA637" s="120" t="s">
        <v>24</v>
      </c>
      <c r="BB637" s="120" t="s">
        <v>24</v>
      </c>
      <c r="BC637" s="120" t="s">
        <v>5607</v>
      </c>
      <c r="BD637" s="755" t="s">
        <v>7522</v>
      </c>
      <c r="BE637" s="755"/>
      <c r="BF637" s="120" t="s">
        <v>3835</v>
      </c>
      <c r="BG637" s="120" t="s">
        <v>5606</v>
      </c>
      <c r="BH637" s="377"/>
      <c r="BI637" s="377"/>
      <c r="BJ637" s="373"/>
      <c r="BK637" s="373"/>
      <c r="BL637" s="373"/>
      <c r="BM637" s="373"/>
      <c r="BN637" s="373"/>
      <c r="BO637" s="373"/>
      <c r="BP637" s="373">
        <v>1</v>
      </c>
      <c r="BQ637" s="373"/>
      <c r="BR637" s="373"/>
      <c r="BS637" s="373"/>
      <c r="BT637" s="373"/>
      <c r="BU637" s="373"/>
      <c r="BV637" s="373"/>
      <c r="BW637" s="599" t="s">
        <v>5337</v>
      </c>
      <c r="BX637" s="374" t="s">
        <v>6612</v>
      </c>
      <c r="BY637" s="799" t="s">
        <v>7617</v>
      </c>
      <c r="BZ637" s="374"/>
      <c r="CA637" s="775">
        <v>2</v>
      </c>
      <c r="CB637" s="781" t="s">
        <v>7556</v>
      </c>
      <c r="CC637" s="775" t="s">
        <v>24</v>
      </c>
      <c r="CD637" s="120" t="s">
        <v>1876</v>
      </c>
      <c r="CE637" s="120">
        <v>2</v>
      </c>
      <c r="CF637" s="786"/>
      <c r="CG637" s="120" t="s">
        <v>5608</v>
      </c>
      <c r="CH637" s="755" t="s">
        <v>7336</v>
      </c>
      <c r="CI637" s="120" t="s">
        <v>24</v>
      </c>
      <c r="CJ637" s="120"/>
      <c r="CK637" s="120" t="s">
        <v>5609</v>
      </c>
      <c r="CL637" s="120"/>
      <c r="CM637" s="375" t="s">
        <v>5624</v>
      </c>
      <c r="CN637" s="380" t="s">
        <v>24</v>
      </c>
      <c r="CO637" s="380"/>
      <c r="CP637" s="380"/>
      <c r="CQ637" s="380"/>
      <c r="CR637" s="380"/>
      <c r="CS637" s="380"/>
      <c r="CT637" s="380"/>
      <c r="CU637" s="380"/>
      <c r="CV637" s="380"/>
      <c r="CW637" s="380"/>
      <c r="CX637" s="376" t="s">
        <v>5610</v>
      </c>
      <c r="CY637" s="120">
        <v>35.6</v>
      </c>
      <c r="CZ637" s="120">
        <v>0.8</v>
      </c>
      <c r="DA637" s="120" t="s">
        <v>24</v>
      </c>
      <c r="DB637" s="376" t="s">
        <v>5611</v>
      </c>
      <c r="DC637" s="120">
        <v>35.799999999999997</v>
      </c>
      <c r="DD637" s="120">
        <v>0</v>
      </c>
      <c r="DE637" s="120" t="s">
        <v>24</v>
      </c>
      <c r="DF637" s="515" t="s">
        <v>5379</v>
      </c>
      <c r="DG637" s="513" t="s">
        <v>5620</v>
      </c>
      <c r="DH637" s="384"/>
      <c r="DI637" s="384"/>
      <c r="DJ637" s="384"/>
      <c r="DK637" s="384"/>
      <c r="DL637" s="384"/>
      <c r="DM637" s="384"/>
      <c r="DN637" s="384"/>
      <c r="DO637" s="384"/>
      <c r="DP637" s="375"/>
      <c r="DQ637" s="377"/>
      <c r="DR637" s="1182"/>
      <c r="DS637" s="1182"/>
      <c r="DT637" s="727"/>
      <c r="DU637" s="384"/>
      <c r="DV637" s="384"/>
      <c r="DW637" s="384"/>
      <c r="DX637" s="384"/>
      <c r="DY637" s="384"/>
      <c r="DZ637" s="384"/>
      <c r="EA637" s="384"/>
      <c r="EB637" s="1012"/>
      <c r="EC637" s="384"/>
      <c r="ED637" s="384"/>
      <c r="EE637" s="384"/>
      <c r="EF637" s="384"/>
      <c r="EG637" s="384"/>
      <c r="EH637" s="384"/>
      <c r="EI637" s="384"/>
      <c r="EJ637" s="384"/>
      <c r="EK637" s="384"/>
      <c r="EL637" s="1012"/>
      <c r="EM637" s="384"/>
      <c r="EN637" s="1181"/>
      <c r="EO637" s="384"/>
      <c r="EP637" s="384"/>
      <c r="EQ637" s="384"/>
      <c r="ER637" s="384"/>
      <c r="ES637" s="384"/>
      <c r="ET637" s="727"/>
      <c r="EU637" s="384"/>
      <c r="EV637" s="384"/>
      <c r="EW637" s="384"/>
      <c r="EX637" s="384"/>
      <c r="EY637" s="384"/>
      <c r="EZ637" s="727"/>
      <c r="FA637" s="384"/>
      <c r="FB637" s="384"/>
      <c r="FC637" s="384"/>
      <c r="FD637" s="727"/>
      <c r="FE637" s="384"/>
      <c r="FF637" s="384"/>
      <c r="FG637" s="384"/>
      <c r="FH637" s="384"/>
      <c r="FI637" s="384"/>
      <c r="FJ637" s="384"/>
    </row>
    <row r="638" spans="1:166" ht="14" hidden="1" customHeight="1">
      <c r="A638" s="79" t="s">
        <v>303</v>
      </c>
      <c r="B638" s="362">
        <v>218</v>
      </c>
      <c r="C638" s="362">
        <v>77</v>
      </c>
      <c r="D638" s="362"/>
      <c r="E638" s="604" t="s">
        <v>2024</v>
      </c>
      <c r="F638" s="124" t="s">
        <v>2257</v>
      </c>
      <c r="G638" s="125">
        <v>2007</v>
      </c>
      <c r="H638" s="79">
        <v>17436378</v>
      </c>
      <c r="I638" s="79">
        <v>1</v>
      </c>
      <c r="J638" s="126"/>
      <c r="K638" s="127"/>
      <c r="L638" s="79">
        <v>1</v>
      </c>
      <c r="M638" s="79"/>
      <c r="N638" s="79">
        <v>1</v>
      </c>
      <c r="O638" s="128">
        <v>1</v>
      </c>
      <c r="P638" s="79" t="s">
        <v>794</v>
      </c>
      <c r="Q638" s="79" t="s">
        <v>1147</v>
      </c>
      <c r="R638" s="79" t="s">
        <v>591</v>
      </c>
      <c r="S638" s="79">
        <v>1</v>
      </c>
      <c r="T638" s="79"/>
      <c r="U638" s="79"/>
      <c r="V638" s="79"/>
      <c r="W638" s="79" t="s">
        <v>795</v>
      </c>
      <c r="X638" s="79" t="s">
        <v>24</v>
      </c>
      <c r="Y638" s="79" t="s">
        <v>24</v>
      </c>
      <c r="Z638" s="79"/>
      <c r="AA638" s="79"/>
      <c r="AB638" s="79"/>
      <c r="AC638" s="506"/>
      <c r="AD638" s="573">
        <v>1</v>
      </c>
      <c r="AE638" s="573">
        <v>2</v>
      </c>
      <c r="AF638" s="154">
        <v>1</v>
      </c>
      <c r="AG638" s="155"/>
      <c r="AH638" s="704"/>
      <c r="AI638" s="121">
        <v>2</v>
      </c>
      <c r="AJ638" s="484" t="s">
        <v>5625</v>
      </c>
      <c r="AK638" s="202" t="s">
        <v>5604</v>
      </c>
      <c r="AL638" s="192">
        <v>1</v>
      </c>
      <c r="AM638" s="215">
        <v>0</v>
      </c>
      <c r="AN638" s="134">
        <f>Table66[[#This Row],[Data_Subjects_n_ptsd]]+Table66[[#This Row],[Data_Subjects_n_control]]</f>
        <v>41</v>
      </c>
      <c r="AO638" s="134">
        <v>20</v>
      </c>
      <c r="AP638" s="134">
        <v>21</v>
      </c>
      <c r="AQ638" s="134" t="s">
        <v>803</v>
      </c>
      <c r="AR638" s="134" t="s">
        <v>803</v>
      </c>
      <c r="AS638" s="134">
        <v>38.1</v>
      </c>
      <c r="AT638" s="134">
        <v>5.7</v>
      </c>
      <c r="AU638" s="134">
        <v>38</v>
      </c>
      <c r="AV638" s="134">
        <v>6</v>
      </c>
      <c r="AW638" s="134" t="s">
        <v>5605</v>
      </c>
      <c r="AX638" s="134"/>
      <c r="AY638" s="134"/>
      <c r="AZ638" s="753" t="s">
        <v>1874</v>
      </c>
      <c r="BA638" s="134" t="s">
        <v>24</v>
      </c>
      <c r="BB638" s="134" t="s">
        <v>24</v>
      </c>
      <c r="BC638" s="134" t="s">
        <v>5607</v>
      </c>
      <c r="BD638" s="753" t="s">
        <v>7522</v>
      </c>
      <c r="BE638" s="187">
        <v>0</v>
      </c>
      <c r="BF638" s="134" t="s">
        <v>3835</v>
      </c>
      <c r="BG638" s="134" t="s">
        <v>5606</v>
      </c>
      <c r="BH638" s="594"/>
      <c r="BI638" s="594"/>
      <c r="BJ638" s="156"/>
      <c r="BK638" s="156"/>
      <c r="BL638" s="156"/>
      <c r="BM638" s="156"/>
      <c r="BN638" s="156"/>
      <c r="BO638" s="156"/>
      <c r="BP638" s="156">
        <v>1</v>
      </c>
      <c r="BQ638" s="156"/>
      <c r="BR638" s="156"/>
      <c r="BS638" s="156"/>
      <c r="BT638" s="156"/>
      <c r="BU638" s="156"/>
      <c r="BV638" s="156"/>
      <c r="BW638" s="595" t="s">
        <v>5337</v>
      </c>
      <c r="BX638" s="157" t="s">
        <v>6612</v>
      </c>
      <c r="BY638" s="797" t="s">
        <v>7617</v>
      </c>
      <c r="BZ638" s="789" t="s">
        <v>803</v>
      </c>
      <c r="CA638" s="769">
        <v>2</v>
      </c>
      <c r="CB638" s="772" t="s">
        <v>7556</v>
      </c>
      <c r="CC638" s="769" t="s">
        <v>24</v>
      </c>
      <c r="CD638" s="134" t="s">
        <v>1876</v>
      </c>
      <c r="CE638" s="134">
        <v>2</v>
      </c>
      <c r="CF638" s="400"/>
      <c r="CG638" s="134" t="s">
        <v>8052</v>
      </c>
      <c r="CH638" s="753" t="s">
        <v>8211</v>
      </c>
      <c r="CI638" s="134" t="s">
        <v>24</v>
      </c>
      <c r="CJ638" s="134"/>
      <c r="CK638" s="134" t="s">
        <v>5609</v>
      </c>
      <c r="CL638" s="134" t="s">
        <v>8212</v>
      </c>
      <c r="CM638" s="259" t="s">
        <v>5624</v>
      </c>
      <c r="CN638" s="454" t="s">
        <v>24</v>
      </c>
      <c r="CO638" s="828">
        <v>69</v>
      </c>
      <c r="CP638" s="828">
        <v>1</v>
      </c>
      <c r="CQ638" s="828">
        <v>3</v>
      </c>
      <c r="CR638" s="828">
        <v>1</v>
      </c>
      <c r="CS638" s="828">
        <v>-1</v>
      </c>
      <c r="CT638" s="967"/>
      <c r="CU638" s="1291" t="s">
        <v>8102</v>
      </c>
      <c r="CV638" s="1295">
        <v>36</v>
      </c>
      <c r="CW638" s="1295">
        <v>29</v>
      </c>
      <c r="CX638" s="134" t="s">
        <v>5616</v>
      </c>
      <c r="CY638" s="134">
        <v>7.8</v>
      </c>
      <c r="CZ638" s="134">
        <v>3</v>
      </c>
      <c r="DA638" s="134" t="s">
        <v>24</v>
      </c>
      <c r="DB638" s="134" t="s">
        <v>5617</v>
      </c>
      <c r="DC638" s="134">
        <v>4</v>
      </c>
      <c r="DD638" s="134">
        <v>1.9</v>
      </c>
      <c r="DE638" s="134" t="s">
        <v>24</v>
      </c>
      <c r="DF638" s="300" t="s">
        <v>5618</v>
      </c>
      <c r="DG638" s="301" t="s">
        <v>5619</v>
      </c>
      <c r="DH638" s="1175"/>
      <c r="DI638" s="417"/>
      <c r="DJ638" s="1169"/>
      <c r="DK638" s="417"/>
      <c r="DL638" s="1171"/>
      <c r="DM638" s="417"/>
      <c r="DN638" s="1169"/>
      <c r="DO638" s="1151"/>
      <c r="DP638" s="288"/>
      <c r="DQ638" s="441"/>
      <c r="DR638" s="1168"/>
      <c r="DS638" s="1168"/>
      <c r="DT638" s="1171"/>
      <c r="DU638" s="1169"/>
      <c r="DV638" s="1169"/>
      <c r="DW638" s="1169"/>
      <c r="DX638" s="1171"/>
      <c r="DY638" s="1169"/>
      <c r="DZ638" s="1169"/>
      <c r="EA638" s="1169"/>
      <c r="EB638" s="304"/>
      <c r="EC638" s="312"/>
      <c r="ED638" s="1169"/>
      <c r="EE638" s="1169"/>
      <c r="EF638" s="1169"/>
      <c r="EG638" s="1169"/>
      <c r="EH638" s="1169"/>
      <c r="EI638" s="1169"/>
      <c r="EJ638" s="1169"/>
      <c r="EK638" s="1169"/>
      <c r="EL638" s="304"/>
      <c r="EM638" s="312"/>
      <c r="EN638" s="1167"/>
      <c r="EO638" s="1170"/>
      <c r="EP638" s="1169"/>
      <c r="EQ638" s="1169"/>
      <c r="ER638" s="1169"/>
      <c r="ES638" s="1169"/>
      <c r="ET638" s="1171"/>
      <c r="EU638" s="1169"/>
      <c r="EV638" s="1169"/>
      <c r="EW638" s="1169"/>
      <c r="EX638" s="312"/>
      <c r="EY638" s="312"/>
      <c r="EZ638" s="1171"/>
      <c r="FA638" s="1169"/>
      <c r="FB638" s="1169"/>
      <c r="FC638" s="1169"/>
      <c r="FD638" s="1171"/>
      <c r="FE638" s="1169"/>
      <c r="FF638" s="1169"/>
      <c r="FG638" s="1169"/>
      <c r="FH638" s="312"/>
      <c r="FI638" s="312"/>
      <c r="FJ638" s="1170"/>
    </row>
    <row r="639" spans="1:166" ht="14" hidden="1" customHeight="1">
      <c r="A639" s="79" t="s">
        <v>971</v>
      </c>
      <c r="B639" s="362">
        <v>219</v>
      </c>
      <c r="C639" s="362">
        <v>78</v>
      </c>
      <c r="D639" s="362"/>
      <c r="E639" s="604" t="s">
        <v>2117</v>
      </c>
      <c r="F639" s="124" t="s">
        <v>2376</v>
      </c>
      <c r="G639" s="125">
        <v>2015</v>
      </c>
      <c r="H639" s="79">
        <v>25533441</v>
      </c>
      <c r="I639" s="79">
        <v>1</v>
      </c>
      <c r="J639" s="126"/>
      <c r="K639" s="127"/>
      <c r="L639" s="79">
        <v>1</v>
      </c>
      <c r="M639" s="79"/>
      <c r="N639" s="79">
        <v>1</v>
      </c>
      <c r="O639" s="128">
        <v>2</v>
      </c>
      <c r="P639" s="79" t="s">
        <v>1464</v>
      </c>
      <c r="Q639" s="79" t="s">
        <v>1216</v>
      </c>
      <c r="R639" s="79" t="s">
        <v>1130</v>
      </c>
      <c r="S639" s="79"/>
      <c r="T639" s="79" t="s">
        <v>1487</v>
      </c>
      <c r="U639" s="79" t="s">
        <v>803</v>
      </c>
      <c r="V639" s="79"/>
      <c r="W639" s="79" t="s">
        <v>1580</v>
      </c>
      <c r="X639" s="79" t="s">
        <v>1579</v>
      </c>
      <c r="Y639" s="79" t="s">
        <v>1209</v>
      </c>
      <c r="Z639" s="79"/>
      <c r="AA639" s="79" t="s">
        <v>1578</v>
      </c>
      <c r="AB639" s="79"/>
      <c r="AC639" s="506"/>
      <c r="AD639" s="573">
        <v>1</v>
      </c>
      <c r="AE639" s="573">
        <v>2</v>
      </c>
      <c r="AF639" s="154">
        <v>1</v>
      </c>
      <c r="AG639" s="155"/>
      <c r="AH639" s="704">
        <v>0</v>
      </c>
      <c r="AI639" s="121">
        <v>4</v>
      </c>
      <c r="AJ639" s="484" t="s">
        <v>5640</v>
      </c>
      <c r="AK639" s="202" t="s">
        <v>5639</v>
      </c>
      <c r="AL639" s="192">
        <v>1</v>
      </c>
      <c r="AM639" s="215">
        <v>0</v>
      </c>
      <c r="AN639" s="134">
        <f>Table66[[#This Row],[Data_Subjects_n_ptsd]]+Table66[[#This Row],[Data_Subjects_n_control]]</f>
        <v>20</v>
      </c>
      <c r="AO639" s="134">
        <v>10</v>
      </c>
      <c r="AP639" s="134">
        <v>10</v>
      </c>
      <c r="AQ639" s="134" t="s">
        <v>803</v>
      </c>
      <c r="AR639" s="134" t="s">
        <v>803</v>
      </c>
      <c r="AS639" s="134" t="s">
        <v>7507</v>
      </c>
      <c r="AT639" s="134" t="s">
        <v>24</v>
      </c>
      <c r="AU639" s="134" t="s">
        <v>7507</v>
      </c>
      <c r="AV639" s="134" t="s">
        <v>24</v>
      </c>
      <c r="AW639" s="134" t="s">
        <v>5627</v>
      </c>
      <c r="AX639" s="134"/>
      <c r="AY639" s="134"/>
      <c r="AZ639" s="753" t="s">
        <v>1487</v>
      </c>
      <c r="BA639" s="134">
        <v>1</v>
      </c>
      <c r="BB639" s="134">
        <v>1</v>
      </c>
      <c r="BC639" s="134" t="s">
        <v>5628</v>
      </c>
      <c r="BD639" s="753" t="s">
        <v>7522</v>
      </c>
      <c r="BE639" s="753"/>
      <c r="BF639" s="134" t="s">
        <v>3698</v>
      </c>
      <c r="BG639" s="134" t="s">
        <v>3045</v>
      </c>
      <c r="BH639" s="594"/>
      <c r="BI639" s="594"/>
      <c r="BJ639" s="156"/>
      <c r="BK639" s="156"/>
      <c r="BL639" s="156"/>
      <c r="BM639" s="156"/>
      <c r="BN639" s="156"/>
      <c r="BO639" s="156"/>
      <c r="BP639" s="156">
        <v>1</v>
      </c>
      <c r="BQ639" s="156"/>
      <c r="BR639" s="156"/>
      <c r="BS639" s="156"/>
      <c r="BT639" s="156"/>
      <c r="BU639" s="156"/>
      <c r="BV639" s="156"/>
      <c r="BW639" s="595" t="s">
        <v>5632</v>
      </c>
      <c r="BX639" s="157" t="s">
        <v>8054</v>
      </c>
      <c r="BY639" s="797" t="s">
        <v>7614</v>
      </c>
      <c r="BZ639" s="789" t="s">
        <v>803</v>
      </c>
      <c r="CA639" s="769">
        <v>2</v>
      </c>
      <c r="CB639" s="810" t="s">
        <v>7556</v>
      </c>
      <c r="CC639" s="1724" t="s">
        <v>7384</v>
      </c>
      <c r="CD639" s="134" t="s">
        <v>1876</v>
      </c>
      <c r="CE639" s="134" t="s">
        <v>5629</v>
      </c>
      <c r="CF639" s="400" t="s">
        <v>7580</v>
      </c>
      <c r="CG639" s="134" t="s">
        <v>5630</v>
      </c>
      <c r="CH639" s="753" t="s">
        <v>7355</v>
      </c>
      <c r="CI639" s="134" t="s">
        <v>5626</v>
      </c>
      <c r="CJ639" s="134"/>
      <c r="CK639" s="134" t="s">
        <v>5631</v>
      </c>
      <c r="CL639" s="134" t="s">
        <v>8232</v>
      </c>
      <c r="CM639" s="259" t="s">
        <v>5641</v>
      </c>
      <c r="CN639" s="454" t="s">
        <v>24</v>
      </c>
      <c r="CO639" s="828">
        <v>70</v>
      </c>
      <c r="CP639" s="828">
        <v>1</v>
      </c>
      <c r="CQ639" s="828">
        <v>1</v>
      </c>
      <c r="CR639" s="828">
        <v>1</v>
      </c>
      <c r="CS639" s="828">
        <v>-1</v>
      </c>
      <c r="CT639" s="967"/>
      <c r="CU639" s="1290" t="s">
        <v>8104</v>
      </c>
      <c r="CV639" s="1295">
        <v>119</v>
      </c>
      <c r="CW639" s="1295">
        <v>108</v>
      </c>
      <c r="CX639" s="138" t="s">
        <v>5636</v>
      </c>
      <c r="CY639" s="134">
        <v>4.9824599999999997</v>
      </c>
      <c r="CZ639" s="168" t="s">
        <v>24</v>
      </c>
      <c r="DA639" s="134">
        <f>5.75439-Table66[[#This Row],[Data_Outcome1_M]]</f>
        <v>0.77193000000000023</v>
      </c>
      <c r="DB639" s="138" t="s">
        <v>5637</v>
      </c>
      <c r="DC639" s="134">
        <v>0.30409399999999998</v>
      </c>
      <c r="DD639" s="134" t="s">
        <v>24</v>
      </c>
      <c r="DE639" s="134">
        <f>0.561404-Table66[[#This Row],[Data_Outcome2_M]]</f>
        <v>0.25731000000000004</v>
      </c>
      <c r="DF639" s="549" t="s">
        <v>5633</v>
      </c>
      <c r="DG639" s="551" t="s">
        <v>2555</v>
      </c>
      <c r="DH639" s="1169"/>
      <c r="DI639" s="1169"/>
      <c r="DJ639" s="1169"/>
      <c r="DK639" s="1169"/>
      <c r="DL639" s="1169"/>
      <c r="DM639" s="1169"/>
      <c r="DN639" s="1169"/>
      <c r="DO639" s="1169"/>
      <c r="DP639" s="288"/>
      <c r="DQ639" s="289"/>
      <c r="DR639" s="1168"/>
      <c r="DS639" s="865"/>
      <c r="DT639" s="1171"/>
      <c r="DU639" s="1169"/>
      <c r="DV639" s="1169"/>
      <c r="DW639" s="1169"/>
      <c r="DX639" s="1169"/>
      <c r="DY639" s="1169"/>
      <c r="DZ639" s="1169"/>
      <c r="EA639" s="1169"/>
      <c r="EB639" s="304"/>
      <c r="EC639" s="312"/>
      <c r="ED639" s="1169"/>
      <c r="EE639" s="1169"/>
      <c r="EF639" s="1169"/>
      <c r="EG639" s="1169"/>
      <c r="EH639" s="1169"/>
      <c r="EI639" s="1169"/>
      <c r="EJ639" s="1169"/>
      <c r="EK639" s="1169"/>
      <c r="EL639" s="304"/>
      <c r="EM639" s="312"/>
      <c r="EN639" s="309"/>
      <c r="EO639" s="1170"/>
      <c r="EP639" s="1169"/>
      <c r="EQ639" s="1169"/>
      <c r="ER639" s="1169"/>
      <c r="ES639" s="1169"/>
      <c r="ET639" s="1171"/>
      <c r="EU639" s="1169"/>
      <c r="EV639" s="1169"/>
      <c r="EW639" s="1169"/>
      <c r="EX639" s="312"/>
      <c r="EY639" s="312"/>
      <c r="EZ639" s="1171"/>
      <c r="FA639" s="1169"/>
      <c r="FB639" s="1169"/>
      <c r="FC639" s="1169"/>
      <c r="FD639" s="1171"/>
      <c r="FE639" s="1169"/>
      <c r="FF639" s="1169"/>
      <c r="FG639" s="1169"/>
      <c r="FH639" s="312"/>
      <c r="FI639" s="312"/>
      <c r="FJ639" s="1170"/>
    </row>
    <row r="640" spans="1:166" ht="14" hidden="1" customHeight="1">
      <c r="A640" s="79" t="s">
        <v>971</v>
      </c>
      <c r="B640" s="362">
        <v>219</v>
      </c>
      <c r="C640" s="362">
        <v>78</v>
      </c>
      <c r="D640" s="362"/>
      <c r="E640" s="604" t="s">
        <v>2117</v>
      </c>
      <c r="F640" s="124" t="s">
        <v>2376</v>
      </c>
      <c r="G640" s="125">
        <v>2015</v>
      </c>
      <c r="H640" s="79">
        <v>25533441</v>
      </c>
      <c r="I640" s="79">
        <v>1</v>
      </c>
      <c r="J640" s="126"/>
      <c r="K640" s="127"/>
      <c r="L640" s="79">
        <v>1</v>
      </c>
      <c r="M640" s="79"/>
      <c r="N640" s="79">
        <v>1</v>
      </c>
      <c r="O640" s="128">
        <v>2</v>
      </c>
      <c r="P640" s="79" t="s">
        <v>1464</v>
      </c>
      <c r="Q640" s="79" t="s">
        <v>1216</v>
      </c>
      <c r="R640" s="79" t="s">
        <v>1130</v>
      </c>
      <c r="S640" s="79"/>
      <c r="T640" s="79" t="s">
        <v>1487</v>
      </c>
      <c r="U640" s="79" t="s">
        <v>803</v>
      </c>
      <c r="V640" s="79"/>
      <c r="W640" s="79" t="s">
        <v>1580</v>
      </c>
      <c r="X640" s="79" t="s">
        <v>1579</v>
      </c>
      <c r="Y640" s="79" t="s">
        <v>1209</v>
      </c>
      <c r="Z640" s="79"/>
      <c r="AA640" s="79" t="s">
        <v>1578</v>
      </c>
      <c r="AB640" s="79"/>
      <c r="AC640" s="506"/>
      <c r="AD640" s="573">
        <v>1</v>
      </c>
      <c r="AE640" s="573">
        <v>2</v>
      </c>
      <c r="AF640" s="154">
        <v>1</v>
      </c>
      <c r="AG640" s="155"/>
      <c r="AH640" s="704">
        <v>0</v>
      </c>
      <c r="AI640" s="121">
        <v>4</v>
      </c>
      <c r="AJ640" s="484" t="s">
        <v>5640</v>
      </c>
      <c r="AK640" s="202" t="s">
        <v>5639</v>
      </c>
      <c r="AL640" s="192">
        <v>1</v>
      </c>
      <c r="AM640" s="215">
        <v>0</v>
      </c>
      <c r="AN640" s="134">
        <f>Table66[[#This Row],[Data_Subjects_n_ptsd]]+Table66[[#This Row],[Data_Subjects_n_control]]</f>
        <v>20</v>
      </c>
      <c r="AO640" s="134">
        <v>10</v>
      </c>
      <c r="AP640" s="134">
        <v>10</v>
      </c>
      <c r="AQ640" s="134" t="s">
        <v>803</v>
      </c>
      <c r="AR640" s="134" t="s">
        <v>803</v>
      </c>
      <c r="AS640" s="134" t="s">
        <v>7507</v>
      </c>
      <c r="AT640" s="134" t="s">
        <v>24</v>
      </c>
      <c r="AU640" s="134" t="s">
        <v>7507</v>
      </c>
      <c r="AV640" s="134" t="s">
        <v>24</v>
      </c>
      <c r="AW640" s="134" t="s">
        <v>5627</v>
      </c>
      <c r="AX640" s="134"/>
      <c r="AY640" s="134"/>
      <c r="AZ640" s="753" t="s">
        <v>1487</v>
      </c>
      <c r="BA640" s="134">
        <v>1</v>
      </c>
      <c r="BB640" s="134">
        <v>1</v>
      </c>
      <c r="BC640" s="134" t="s">
        <v>5628</v>
      </c>
      <c r="BD640" s="753" t="s">
        <v>7522</v>
      </c>
      <c r="BE640" s="753"/>
      <c r="BF640" s="134" t="s">
        <v>3698</v>
      </c>
      <c r="BG640" s="134" t="s">
        <v>3045</v>
      </c>
      <c r="BH640" s="594"/>
      <c r="BI640" s="594"/>
      <c r="BJ640" s="156"/>
      <c r="BK640" s="156"/>
      <c r="BL640" s="156"/>
      <c r="BM640" s="156"/>
      <c r="BN640" s="156"/>
      <c r="BO640" s="156"/>
      <c r="BP640" s="156">
        <v>1</v>
      </c>
      <c r="BQ640" s="156"/>
      <c r="BR640" s="156"/>
      <c r="BS640" s="156"/>
      <c r="BT640" s="156"/>
      <c r="BU640" s="156"/>
      <c r="BV640" s="156"/>
      <c r="BW640" s="595" t="s">
        <v>5632</v>
      </c>
      <c r="BX640" s="157" t="s">
        <v>8054</v>
      </c>
      <c r="BY640" s="797" t="s">
        <v>7614</v>
      </c>
      <c r="BZ640" s="789" t="s">
        <v>803</v>
      </c>
      <c r="CA640" s="811">
        <v>2</v>
      </c>
      <c r="CB640" s="811" t="s">
        <v>7556</v>
      </c>
      <c r="CC640" s="1724" t="s">
        <v>7384</v>
      </c>
      <c r="CD640" s="134" t="s">
        <v>1876</v>
      </c>
      <c r="CE640" s="134" t="s">
        <v>5629</v>
      </c>
      <c r="CF640" s="400" t="s">
        <v>7580</v>
      </c>
      <c r="CG640" s="134" t="s">
        <v>5630</v>
      </c>
      <c r="CH640" s="753" t="s">
        <v>7355</v>
      </c>
      <c r="CI640" s="134" t="s">
        <v>5626</v>
      </c>
      <c r="CJ640" s="134"/>
      <c r="CK640" s="134" t="s">
        <v>5631</v>
      </c>
      <c r="CL640" s="134" t="s">
        <v>8232</v>
      </c>
      <c r="CM640" s="259" t="s">
        <v>5641</v>
      </c>
      <c r="CN640" s="454" t="s">
        <v>24</v>
      </c>
      <c r="CO640" s="828">
        <v>70</v>
      </c>
      <c r="CP640" s="828">
        <v>1</v>
      </c>
      <c r="CQ640" s="828">
        <v>2</v>
      </c>
      <c r="CR640" s="828">
        <v>1</v>
      </c>
      <c r="CS640" s="828">
        <v>-1</v>
      </c>
      <c r="CT640" s="967"/>
      <c r="CU640" s="1290" t="s">
        <v>8104</v>
      </c>
      <c r="CV640" s="1295">
        <v>119</v>
      </c>
      <c r="CW640" s="1295">
        <v>108</v>
      </c>
      <c r="CX640" s="138" t="s">
        <v>5634</v>
      </c>
      <c r="CY640" s="134">
        <v>4.4299099999999996</v>
      </c>
      <c r="CZ640" s="134" t="s">
        <v>24</v>
      </c>
      <c r="DA640" s="134">
        <f>5.30841-Table66[[#This Row],[Data_Outcome1_M]]</f>
        <v>0.87850000000000072</v>
      </c>
      <c r="DB640" s="138" t="s">
        <v>5635</v>
      </c>
      <c r="DC640" s="134">
        <v>0.80373799999999995</v>
      </c>
      <c r="DD640" s="134" t="s">
        <v>24</v>
      </c>
      <c r="DE640" s="134">
        <f>1.15888-Table66[[#This Row],[Data_Outcome2_M]]</f>
        <v>0.35514199999999996</v>
      </c>
      <c r="DF640" s="288" t="s">
        <v>5638</v>
      </c>
      <c r="DG640" s="289" t="s">
        <v>2555</v>
      </c>
      <c r="DH640" s="1175"/>
      <c r="DI640" s="417"/>
      <c r="DJ640" s="1169"/>
      <c r="DK640" s="417"/>
      <c r="DL640" s="1171"/>
      <c r="DM640" s="417"/>
      <c r="DN640" s="1169"/>
      <c r="DO640" s="1151"/>
      <c r="DP640" s="288"/>
      <c r="DQ640" s="441"/>
      <c r="DR640" s="1168"/>
      <c r="DS640" s="865"/>
      <c r="DT640" s="1171"/>
      <c r="DU640" s="1169"/>
      <c r="DV640" s="1169"/>
      <c r="DW640" s="1169"/>
      <c r="DX640" s="1169"/>
      <c r="DY640" s="1169"/>
      <c r="DZ640" s="1169"/>
      <c r="EA640" s="1169"/>
      <c r="EB640" s="304"/>
      <c r="EC640" s="312"/>
      <c r="ED640" s="1169"/>
      <c r="EE640" s="1169"/>
      <c r="EF640" s="1169"/>
      <c r="EG640" s="1169"/>
      <c r="EH640" s="1169"/>
      <c r="EI640" s="1169"/>
      <c r="EJ640" s="1169"/>
      <c r="EK640" s="1169"/>
      <c r="EL640" s="304"/>
      <c r="EM640" s="312"/>
      <c r="EN640" s="309"/>
      <c r="EO640" s="1170"/>
      <c r="EP640" s="1169"/>
      <c r="EQ640" s="1169"/>
      <c r="ER640" s="1169"/>
      <c r="ES640" s="1169"/>
      <c r="ET640" s="1171"/>
      <c r="EU640" s="1169"/>
      <c r="EV640" s="1169"/>
      <c r="EW640" s="1169"/>
      <c r="EX640" s="312"/>
      <c r="EY640" s="312"/>
      <c r="EZ640" s="1171"/>
      <c r="FA640" s="1169"/>
      <c r="FB640" s="1169"/>
      <c r="FC640" s="1169"/>
      <c r="FD640" s="1171"/>
      <c r="FE640" s="1169"/>
      <c r="FF640" s="1169"/>
      <c r="FG640" s="1169"/>
      <c r="FH640" s="312"/>
      <c r="FI640" s="312"/>
      <c r="FJ640" s="1170"/>
    </row>
    <row r="641" spans="1:166" ht="14" hidden="1" customHeight="1">
      <c r="A641" s="153" t="s">
        <v>305</v>
      </c>
      <c r="B641" s="618">
        <v>220</v>
      </c>
      <c r="C641" s="618">
        <v>79</v>
      </c>
      <c r="D641" s="618"/>
      <c r="E641" s="610" t="s">
        <v>2025</v>
      </c>
      <c r="F641" s="368" t="s">
        <v>2258</v>
      </c>
      <c r="G641" s="369">
        <v>2014</v>
      </c>
      <c r="H641" s="153">
        <v>24245926</v>
      </c>
      <c r="I641" s="153">
        <v>1</v>
      </c>
      <c r="J641" s="370"/>
      <c r="K641" s="371"/>
      <c r="L641" s="153">
        <v>1</v>
      </c>
      <c r="M641" s="153"/>
      <c r="N641" s="153">
        <v>1</v>
      </c>
      <c r="O641" s="153">
        <v>1</v>
      </c>
      <c r="P641" s="153" t="s">
        <v>797</v>
      </c>
      <c r="Q641" s="153" t="s">
        <v>1147</v>
      </c>
      <c r="R641" s="153" t="s">
        <v>514</v>
      </c>
      <c r="S641" s="153">
        <v>1</v>
      </c>
      <c r="T641" s="153"/>
      <c r="U641" s="153"/>
      <c r="V641" s="153"/>
      <c r="W641" s="153"/>
      <c r="X641" s="153"/>
      <c r="Y641" s="153"/>
      <c r="Z641" s="153"/>
      <c r="AA641" s="153"/>
      <c r="AB641" s="153" t="s">
        <v>799</v>
      </c>
      <c r="AC641" s="536"/>
      <c r="AD641" s="536">
        <v>1</v>
      </c>
      <c r="AE641" s="536">
        <v>2</v>
      </c>
      <c r="AF641" s="165">
        <v>0</v>
      </c>
      <c r="AG641" s="166" t="s">
        <v>7237</v>
      </c>
      <c r="AH641" s="509">
        <v>0</v>
      </c>
      <c r="AI641" s="120">
        <v>2</v>
      </c>
      <c r="AJ641" s="120"/>
      <c r="AK641" s="206" t="s">
        <v>5642</v>
      </c>
      <c r="AL641" s="372"/>
      <c r="AM641" s="207"/>
      <c r="AN641" s="120"/>
      <c r="AO641" s="120"/>
      <c r="AP641" s="120"/>
      <c r="AQ641" s="120"/>
      <c r="AR641" s="120"/>
      <c r="AS641" s="120"/>
      <c r="AT641" s="120"/>
      <c r="AU641" s="120"/>
      <c r="AV641" s="120"/>
      <c r="AW641" s="120"/>
      <c r="AX641" s="120"/>
      <c r="AY641" s="120"/>
      <c r="AZ641" s="755"/>
      <c r="BA641" s="120"/>
      <c r="BB641" s="120"/>
      <c r="BC641" s="120"/>
      <c r="BD641" s="755"/>
      <c r="BE641" s="755"/>
      <c r="BF641" s="120"/>
      <c r="BG641" s="120"/>
      <c r="BH641" s="377"/>
      <c r="BI641" s="377"/>
      <c r="BJ641" s="373"/>
      <c r="BK641" s="373"/>
      <c r="BL641" s="373"/>
      <c r="BM641" s="373"/>
      <c r="BN641" s="373"/>
      <c r="BO641" s="373"/>
      <c r="BP641" s="373">
        <v>1</v>
      </c>
      <c r="BQ641" s="373"/>
      <c r="BR641" s="373"/>
      <c r="BS641" s="373"/>
      <c r="BT641" s="373"/>
      <c r="BU641" s="373"/>
      <c r="BV641" s="373"/>
      <c r="BW641" s="599" t="s">
        <v>24</v>
      </c>
      <c r="BX641" s="374"/>
      <c r="BY641" s="374"/>
      <c r="BZ641" s="374"/>
      <c r="CA641" s="510"/>
      <c r="CB641" s="510"/>
      <c r="CC641" s="510"/>
      <c r="CD641" s="120"/>
      <c r="CE641" s="120"/>
      <c r="CF641" s="120"/>
      <c r="CG641" s="120"/>
      <c r="CH641" s="755"/>
      <c r="CI641" s="120"/>
      <c r="CJ641" s="120"/>
      <c r="CK641" s="120"/>
      <c r="CL641" s="120"/>
      <c r="CM641" s="375"/>
      <c r="CN641" s="380"/>
      <c r="CO641" s="380"/>
      <c r="CP641" s="380"/>
      <c r="CQ641" s="380"/>
      <c r="CR641" s="380"/>
      <c r="CS641" s="380"/>
      <c r="CT641" s="380"/>
      <c r="CU641" s="380"/>
      <c r="CV641" s="380"/>
      <c r="CW641" s="380"/>
      <c r="CX641" s="376"/>
      <c r="CY641" s="120"/>
      <c r="CZ641" s="120"/>
      <c r="DA641" s="120"/>
      <c r="DB641" s="376"/>
      <c r="DC641" s="120"/>
      <c r="DD641" s="120"/>
      <c r="DE641" s="120"/>
      <c r="DF641" s="515"/>
      <c r="DG641" s="513"/>
      <c r="DH641" s="727"/>
      <c r="DI641" s="384"/>
      <c r="DJ641" s="384"/>
      <c r="DK641" s="384"/>
      <c r="DL641" s="727"/>
      <c r="DM641" s="384"/>
      <c r="DN641" s="384"/>
      <c r="DO641" s="384"/>
      <c r="DP641" s="375"/>
      <c r="DQ641" s="377"/>
      <c r="DR641" s="1182"/>
      <c r="DS641" s="956"/>
      <c r="DT641" s="727"/>
      <c r="DU641" s="120"/>
      <c r="DV641" s="384"/>
      <c r="DW641" s="120"/>
      <c r="DX641" s="384"/>
      <c r="DY641" s="120"/>
      <c r="DZ641" s="384"/>
      <c r="EA641" s="120"/>
      <c r="EB641" s="1012"/>
      <c r="EC641" s="384"/>
      <c r="ED641" s="384"/>
      <c r="EE641" s="120"/>
      <c r="EF641" s="384"/>
      <c r="EG641" s="120"/>
      <c r="EH641" s="384"/>
      <c r="EI641" s="120"/>
      <c r="EJ641" s="384"/>
      <c r="EK641" s="120"/>
      <c r="EL641" s="1012"/>
      <c r="EM641" s="384"/>
      <c r="EN641" s="380"/>
      <c r="EO641" s="120"/>
      <c r="EP641" s="384"/>
      <c r="EQ641" s="384"/>
      <c r="ER641" s="384"/>
      <c r="ES641" s="384"/>
      <c r="ET641" s="727"/>
      <c r="EU641" s="384"/>
      <c r="EV641" s="384"/>
      <c r="EW641" s="384"/>
      <c r="EX641" s="384"/>
      <c r="EY641" s="384"/>
      <c r="EZ641" s="727"/>
      <c r="FA641" s="384"/>
      <c r="FB641" s="384"/>
      <c r="FC641" s="384"/>
      <c r="FD641" s="727"/>
      <c r="FE641" s="384"/>
      <c r="FF641" s="384"/>
      <c r="FG641" s="384"/>
      <c r="FH641" s="384"/>
      <c r="FI641" s="384"/>
      <c r="FJ641" s="384"/>
    </row>
    <row r="642" spans="1:166" ht="14" hidden="1" customHeight="1">
      <c r="A642" s="153" t="s">
        <v>312</v>
      </c>
      <c r="B642" s="618">
        <v>221</v>
      </c>
      <c r="C642" s="618"/>
      <c r="D642" s="618">
        <v>89</v>
      </c>
      <c r="E642" s="610" t="s">
        <v>2026</v>
      </c>
      <c r="F642" s="368" t="s">
        <v>2259</v>
      </c>
      <c r="G642" s="369">
        <v>2015</v>
      </c>
      <c r="H642" s="153">
        <v>26029852</v>
      </c>
      <c r="I642" s="153">
        <v>1</v>
      </c>
      <c r="J642" s="370"/>
      <c r="K642" s="371"/>
      <c r="L642" s="153">
        <v>1</v>
      </c>
      <c r="M642" s="153"/>
      <c r="N642" s="153">
        <v>1</v>
      </c>
      <c r="O642" s="153">
        <v>1</v>
      </c>
      <c r="P642" s="153" t="s">
        <v>812</v>
      </c>
      <c r="Q642" s="153" t="s">
        <v>1154</v>
      </c>
      <c r="R642" s="153" t="s">
        <v>1194</v>
      </c>
      <c r="S642" s="153">
        <v>1</v>
      </c>
      <c r="T642" s="153"/>
      <c r="U642" s="153"/>
      <c r="V642" s="153"/>
      <c r="W642" s="153" t="s">
        <v>492</v>
      </c>
      <c r="X642" s="153" t="s">
        <v>24</v>
      </c>
      <c r="Y642" s="153" t="s">
        <v>24</v>
      </c>
      <c r="Z642" s="153" t="s">
        <v>24</v>
      </c>
      <c r="AA642" s="153"/>
      <c r="AB642" s="153"/>
      <c r="AC642" s="536" t="s">
        <v>6292</v>
      </c>
      <c r="AD642" s="536">
        <v>1</v>
      </c>
      <c r="AE642" s="536">
        <v>1</v>
      </c>
      <c r="AF642" s="165">
        <v>0</v>
      </c>
      <c r="AG642" s="166" t="s">
        <v>7230</v>
      </c>
      <c r="AH642" s="509" t="s">
        <v>7273</v>
      </c>
      <c r="AI642" s="120">
        <v>2</v>
      </c>
      <c r="AJ642" s="120"/>
      <c r="AK642" s="206"/>
      <c r="AL642" s="372"/>
      <c r="AM642" s="207"/>
      <c r="AN642" s="120"/>
      <c r="AO642" s="120"/>
      <c r="AP642" s="120"/>
      <c r="AQ642" s="120"/>
      <c r="AR642" s="120"/>
      <c r="AS642" s="120"/>
      <c r="AT642" s="120"/>
      <c r="AU642" s="120"/>
      <c r="AV642" s="120"/>
      <c r="AW642" s="120"/>
      <c r="AX642" s="120"/>
      <c r="AY642" s="120"/>
      <c r="AZ642" s="755"/>
      <c r="BA642" s="120"/>
      <c r="BB642" s="120"/>
      <c r="BC642" s="120"/>
      <c r="BD642" s="755"/>
      <c r="BE642" s="755"/>
      <c r="BF642" s="120"/>
      <c r="BG642" s="120"/>
      <c r="BH642" s="377"/>
      <c r="BI642" s="377"/>
      <c r="BJ642" s="373"/>
      <c r="BK642" s="373"/>
      <c r="BL642" s="373" t="s">
        <v>5207</v>
      </c>
      <c r="BM642" s="373"/>
      <c r="BN642" s="373"/>
      <c r="BO642" s="373" t="s">
        <v>5207</v>
      </c>
      <c r="BP642" s="373" t="s">
        <v>6174</v>
      </c>
      <c r="BQ642" s="373"/>
      <c r="BR642" s="373"/>
      <c r="BS642" s="373"/>
      <c r="BT642" s="373" t="s">
        <v>5207</v>
      </c>
      <c r="BU642" s="373"/>
      <c r="BV642" s="373" t="s">
        <v>6293</v>
      </c>
      <c r="BW642" s="599"/>
      <c r="BX642" s="374"/>
      <c r="BY642" s="374"/>
      <c r="BZ642" s="374"/>
      <c r="CA642" s="511"/>
      <c r="CB642" s="781"/>
      <c r="CC642" s="781"/>
      <c r="CD642" s="120"/>
      <c r="CE642" s="120"/>
      <c r="CF642" s="120"/>
      <c r="CG642" s="120"/>
      <c r="CH642" s="755"/>
      <c r="CI642" s="120"/>
      <c r="CJ642" s="120"/>
      <c r="CK642" s="120"/>
      <c r="CL642" s="120"/>
      <c r="CM642" s="375"/>
      <c r="CN642" s="380"/>
      <c r="CO642" s="380"/>
      <c r="CP642" s="380"/>
      <c r="CQ642" s="380"/>
      <c r="CR642" s="380"/>
      <c r="CS642" s="380"/>
      <c r="CT642" s="380"/>
      <c r="CU642" s="380"/>
      <c r="CV642" s="380"/>
      <c r="CW642" s="380"/>
      <c r="CX642" s="376"/>
      <c r="CY642" s="120"/>
      <c r="CZ642" s="120"/>
      <c r="DA642" s="120"/>
      <c r="DB642" s="376"/>
      <c r="DC642" s="120"/>
      <c r="DD642" s="120"/>
      <c r="DE642" s="120"/>
      <c r="DF642" s="515"/>
      <c r="DG642" s="513"/>
      <c r="DH642" s="376"/>
      <c r="DI642" s="120"/>
      <c r="DJ642" s="384"/>
      <c r="DK642" s="120"/>
      <c r="DL642" s="727"/>
      <c r="DM642" s="120"/>
      <c r="DN642" s="384"/>
      <c r="DO642" s="120"/>
      <c r="DP642" s="375"/>
      <c r="DQ642" s="377"/>
      <c r="DR642" s="1182"/>
      <c r="DS642" s="956"/>
      <c r="DT642" s="727"/>
      <c r="DU642" s="120"/>
      <c r="DV642" s="384"/>
      <c r="DW642" s="120"/>
      <c r="DX642" s="384"/>
      <c r="DY642" s="120"/>
      <c r="DZ642" s="384"/>
      <c r="EA642" s="120"/>
      <c r="EB642" s="380"/>
      <c r="EC642" s="120"/>
      <c r="ED642" s="384"/>
      <c r="EE642" s="120"/>
      <c r="EF642" s="384"/>
      <c r="EG642" s="120"/>
      <c r="EH642" s="384"/>
      <c r="EI642" s="120"/>
      <c r="EJ642" s="384"/>
      <c r="EK642" s="120"/>
      <c r="EL642" s="380"/>
      <c r="EM642" s="384"/>
      <c r="EN642" s="1012"/>
      <c r="EO642" s="384"/>
      <c r="EP642" s="120"/>
      <c r="EQ642" s="120"/>
      <c r="ER642" s="120"/>
      <c r="ES642" s="120"/>
      <c r="ET642" s="376"/>
      <c r="EU642" s="120"/>
      <c r="EV642" s="120"/>
      <c r="EW642" s="120"/>
      <c r="EX642" s="120"/>
      <c r="EY642" s="120"/>
      <c r="EZ642" s="376"/>
      <c r="FA642" s="120"/>
      <c r="FB642" s="120"/>
      <c r="FC642" s="120"/>
      <c r="FD642" s="376"/>
      <c r="FE642" s="120"/>
      <c r="FF642" s="120"/>
      <c r="FG642" s="120"/>
      <c r="FH642" s="120"/>
      <c r="FI642" s="120"/>
      <c r="FJ642" s="384"/>
    </row>
    <row r="643" spans="1:166" ht="14" hidden="1" customHeight="1">
      <c r="A643" s="79" t="s">
        <v>336</v>
      </c>
      <c r="B643" s="362">
        <v>241</v>
      </c>
      <c r="C643" s="362"/>
      <c r="D643" s="362"/>
      <c r="E643" s="604" t="s">
        <v>2036</v>
      </c>
      <c r="F643" s="124" t="s">
        <v>2274</v>
      </c>
      <c r="G643" s="125">
        <v>1998</v>
      </c>
      <c r="H643" s="79">
        <v>9460740</v>
      </c>
      <c r="I643" s="79">
        <v>1</v>
      </c>
      <c r="J643" s="126"/>
      <c r="K643" s="127"/>
      <c r="L643" s="79">
        <v>1</v>
      </c>
      <c r="M643" s="79"/>
      <c r="N643" s="79">
        <v>1</v>
      </c>
      <c r="O643" s="128">
        <v>1</v>
      </c>
      <c r="P643" s="79" t="s">
        <v>31</v>
      </c>
      <c r="Q643" s="79" t="s">
        <v>1157</v>
      </c>
      <c r="R643" s="79" t="s">
        <v>819</v>
      </c>
      <c r="S643" s="79">
        <v>1</v>
      </c>
      <c r="T643" s="79"/>
      <c r="U643" s="79"/>
      <c r="V643" s="79"/>
      <c r="W643" s="79" t="s">
        <v>873</v>
      </c>
      <c r="X643" s="79" t="s">
        <v>24</v>
      </c>
      <c r="Y643" s="79" t="s">
        <v>24</v>
      </c>
      <c r="Z643" s="79"/>
      <c r="AA643" s="79"/>
      <c r="AB643" s="79"/>
      <c r="AC643" s="506"/>
      <c r="AD643" s="573">
        <v>1</v>
      </c>
      <c r="AE643" s="573">
        <v>2</v>
      </c>
      <c r="AF643" s="154">
        <v>1</v>
      </c>
      <c r="AG643" s="155"/>
      <c r="AH643" s="704"/>
      <c r="AI643" s="121">
        <v>2</v>
      </c>
      <c r="AJ643" s="484"/>
      <c r="AK643" s="202" t="s">
        <v>5804</v>
      </c>
      <c r="AL643" s="192">
        <v>1</v>
      </c>
      <c r="AM643" s="203">
        <v>0</v>
      </c>
      <c r="AN643" s="121">
        <f>Table66[[#This Row],[Data_Subjects_n_ptsd]]+Table66[[#This Row],[Data_Subjects_n_control]]</f>
        <v>43</v>
      </c>
      <c r="AO643" s="121">
        <v>24</v>
      </c>
      <c r="AP643" s="121">
        <v>19</v>
      </c>
      <c r="AQ643" s="134" t="s">
        <v>5744</v>
      </c>
      <c r="AR643" s="121" t="s">
        <v>5745</v>
      </c>
      <c r="AS643" s="121">
        <v>36.299999999999997</v>
      </c>
      <c r="AT643" s="121">
        <v>9.8000000000000007</v>
      </c>
      <c r="AU643" s="121">
        <v>35.299999999999997</v>
      </c>
      <c r="AV643" s="121">
        <v>8.6999999999999993</v>
      </c>
      <c r="AW643" s="121" t="s">
        <v>5746</v>
      </c>
      <c r="AX643" s="121"/>
      <c r="AY643" s="121"/>
      <c r="AZ643" s="754" t="s">
        <v>1874</v>
      </c>
      <c r="BA643" s="121" t="s">
        <v>24</v>
      </c>
      <c r="BB643" s="121" t="s">
        <v>24</v>
      </c>
      <c r="BC643" s="121" t="s">
        <v>5749</v>
      </c>
      <c r="BD643" s="754" t="s">
        <v>7521</v>
      </c>
      <c r="BE643" s="187">
        <v>0</v>
      </c>
      <c r="BF643" s="121" t="s">
        <v>5747</v>
      </c>
      <c r="BG643" s="121" t="s">
        <v>5748</v>
      </c>
      <c r="BH643" s="594"/>
      <c r="BI643" s="594"/>
      <c r="BJ643" s="156"/>
      <c r="BK643" s="156"/>
      <c r="BL643" s="156" t="s">
        <v>4727</v>
      </c>
      <c r="BM643" s="156"/>
      <c r="BN643" s="156"/>
      <c r="BO643" s="156"/>
      <c r="BP643" s="156">
        <v>1</v>
      </c>
      <c r="BQ643" s="156"/>
      <c r="BR643" s="156"/>
      <c r="BS643" s="156"/>
      <c r="BT643" s="156" t="s">
        <v>4727</v>
      </c>
      <c r="BU643" s="156"/>
      <c r="BV643" s="156"/>
      <c r="BW643" s="595" t="s">
        <v>3843</v>
      </c>
      <c r="BX643" s="157" t="s">
        <v>6610</v>
      </c>
      <c r="BY643" s="797" t="s">
        <v>7616</v>
      </c>
      <c r="BZ643" s="789" t="s">
        <v>7610</v>
      </c>
      <c r="CA643" s="765">
        <v>2</v>
      </c>
      <c r="CB643" s="772" t="s">
        <v>7556</v>
      </c>
      <c r="CC643" s="660" t="s">
        <v>7380</v>
      </c>
      <c r="CD643" s="134" t="s">
        <v>1876</v>
      </c>
      <c r="CE643" s="134">
        <v>2</v>
      </c>
      <c r="CF643" s="400"/>
      <c r="CG643" s="134" t="s">
        <v>5750</v>
      </c>
      <c r="CH643" s="753" t="s">
        <v>7307</v>
      </c>
      <c r="CI643" s="134" t="s">
        <v>24</v>
      </c>
      <c r="CJ643" s="134"/>
      <c r="CK643" s="134" t="s">
        <v>5751</v>
      </c>
      <c r="CL643" s="134" t="s">
        <v>7827</v>
      </c>
      <c r="CM643" s="259" t="s">
        <v>5802</v>
      </c>
      <c r="CN643" s="454" t="s">
        <v>24</v>
      </c>
      <c r="CO643" s="828">
        <v>79</v>
      </c>
      <c r="CP643" s="828">
        <v>1</v>
      </c>
      <c r="CQ643" s="828">
        <v>11</v>
      </c>
      <c r="CR643" s="828">
        <v>1</v>
      </c>
      <c r="CS643" s="828">
        <v>-1</v>
      </c>
      <c r="CT643" s="968"/>
      <c r="CU643" s="1288" t="s">
        <v>8103</v>
      </c>
      <c r="CV643" s="1294">
        <v>39</v>
      </c>
      <c r="CW643" s="1294">
        <v>33</v>
      </c>
      <c r="CX643" s="134" t="s">
        <v>5761</v>
      </c>
      <c r="CY643" s="134">
        <v>3.8</v>
      </c>
      <c r="CZ643" s="134">
        <v>3.4</v>
      </c>
      <c r="DA643" s="134" t="s">
        <v>24</v>
      </c>
      <c r="DB643" s="134" t="s">
        <v>5771</v>
      </c>
      <c r="DC643" s="134">
        <v>2</v>
      </c>
      <c r="DD643" s="134">
        <v>2.1</v>
      </c>
      <c r="DE643" s="134" t="s">
        <v>24</v>
      </c>
      <c r="DF643" s="691" t="s">
        <v>5783</v>
      </c>
      <c r="DG643" s="691" t="s">
        <v>5784</v>
      </c>
      <c r="DH643" s="1276"/>
      <c r="DI643" s="121"/>
      <c r="DJ643" s="1169"/>
      <c r="DK643" s="121"/>
      <c r="DL643" s="1171"/>
      <c r="DM643" s="121"/>
      <c r="DN643" s="1169"/>
      <c r="DO643" s="121"/>
      <c r="DP643" s="288"/>
      <c r="DQ643" s="289"/>
      <c r="DR643" s="280"/>
      <c r="DS643" s="865"/>
      <c r="DT643" s="1169"/>
      <c r="DU643" s="163"/>
      <c r="DV643" s="1188"/>
      <c r="DW643" s="163"/>
      <c r="DX643" s="1169"/>
      <c r="DY643" s="121"/>
      <c r="DZ643" s="1169"/>
      <c r="EA643" s="121"/>
      <c r="EB643" s="304"/>
      <c r="EC643" s="312"/>
      <c r="ED643" s="1169"/>
      <c r="EE643" s="1169"/>
      <c r="EF643" s="1169"/>
      <c r="EG643" s="1169"/>
      <c r="EH643" s="1169"/>
      <c r="EI643" s="1169"/>
      <c r="EJ643" s="1169"/>
      <c r="EK643" s="1169"/>
      <c r="EL643" s="304"/>
      <c r="EM643" s="312"/>
      <c r="EN643" s="309"/>
      <c r="EO643" s="1170"/>
      <c r="EP643" s="1169"/>
      <c r="EQ643" s="1169"/>
      <c r="ER643" s="1169"/>
      <c r="ES643" s="1169"/>
      <c r="ET643" s="1169"/>
      <c r="EU643" s="1169"/>
      <c r="EV643" s="1169"/>
      <c r="EW643" s="1169"/>
      <c r="EX643" s="312"/>
      <c r="EY643" s="312"/>
      <c r="EZ643" s="1171"/>
      <c r="FA643" s="1169"/>
      <c r="FB643" s="1169"/>
      <c r="FC643" s="1169"/>
      <c r="FD643" s="1171"/>
      <c r="FE643" s="1169"/>
      <c r="FF643" s="1169"/>
      <c r="FG643" s="1169"/>
      <c r="FH643" s="312"/>
      <c r="FI643" s="312"/>
      <c r="FJ643" s="1170"/>
    </row>
    <row r="644" spans="1:166" ht="14" hidden="1" customHeight="1">
      <c r="A644" s="79" t="s">
        <v>336</v>
      </c>
      <c r="B644" s="362">
        <v>241</v>
      </c>
      <c r="C644" s="362"/>
      <c r="D644" s="362"/>
      <c r="E644" s="604" t="s">
        <v>2036</v>
      </c>
      <c r="F644" s="124" t="s">
        <v>2274</v>
      </c>
      <c r="G644" s="125">
        <v>1998</v>
      </c>
      <c r="H644" s="79">
        <v>9460740</v>
      </c>
      <c r="I644" s="79">
        <v>1</v>
      </c>
      <c r="J644" s="126"/>
      <c r="K644" s="127"/>
      <c r="L644" s="79">
        <v>1</v>
      </c>
      <c r="M644" s="79"/>
      <c r="N644" s="79">
        <v>1</v>
      </c>
      <c r="O644" s="128">
        <v>1</v>
      </c>
      <c r="P644" s="79" t="s">
        <v>31</v>
      </c>
      <c r="Q644" s="79" t="s">
        <v>1157</v>
      </c>
      <c r="R644" s="79" t="s">
        <v>819</v>
      </c>
      <c r="S644" s="79">
        <v>1</v>
      </c>
      <c r="T644" s="79"/>
      <c r="U644" s="79"/>
      <c r="V644" s="79"/>
      <c r="W644" s="79" t="s">
        <v>873</v>
      </c>
      <c r="X644" s="79" t="s">
        <v>24</v>
      </c>
      <c r="Y644" s="79" t="s">
        <v>24</v>
      </c>
      <c r="Z644" s="79"/>
      <c r="AA644" s="79"/>
      <c r="AB644" s="79"/>
      <c r="AC644" s="506"/>
      <c r="AD644" s="573">
        <v>1</v>
      </c>
      <c r="AE644" s="573">
        <v>2</v>
      </c>
      <c r="AF644" s="154">
        <v>1</v>
      </c>
      <c r="AG644" s="155"/>
      <c r="AH644" s="704"/>
      <c r="AI644" s="121">
        <v>2</v>
      </c>
      <c r="AJ644" s="484"/>
      <c r="AK644" s="202" t="s">
        <v>5804</v>
      </c>
      <c r="AL644" s="192">
        <v>1</v>
      </c>
      <c r="AM644" s="203">
        <v>0</v>
      </c>
      <c r="AN644" s="121">
        <f>Table66[[#This Row],[Data_Subjects_n_ptsd]]+Table66[[#This Row],[Data_Subjects_n_control]]</f>
        <v>43</v>
      </c>
      <c r="AO644" s="121">
        <v>24</v>
      </c>
      <c r="AP644" s="121">
        <v>19</v>
      </c>
      <c r="AQ644" s="134" t="s">
        <v>5744</v>
      </c>
      <c r="AR644" s="121" t="s">
        <v>5745</v>
      </c>
      <c r="AS644" s="121">
        <v>36.299999999999997</v>
      </c>
      <c r="AT644" s="121">
        <v>9.8000000000000007</v>
      </c>
      <c r="AU644" s="121">
        <v>35.299999999999997</v>
      </c>
      <c r="AV644" s="121">
        <v>8.6999999999999993</v>
      </c>
      <c r="AW644" s="121" t="s">
        <v>5746</v>
      </c>
      <c r="AX644" s="121"/>
      <c r="AY644" s="121"/>
      <c r="AZ644" s="754" t="s">
        <v>1874</v>
      </c>
      <c r="BA644" s="121" t="s">
        <v>24</v>
      </c>
      <c r="BB644" s="121" t="s">
        <v>24</v>
      </c>
      <c r="BC644" s="121" t="s">
        <v>5749</v>
      </c>
      <c r="BD644" s="754" t="s">
        <v>7521</v>
      </c>
      <c r="BE644" s="187">
        <v>0</v>
      </c>
      <c r="BF644" s="121" t="s">
        <v>5747</v>
      </c>
      <c r="BG644" s="121" t="s">
        <v>5748</v>
      </c>
      <c r="BH644" s="594"/>
      <c r="BI644" s="594"/>
      <c r="BJ644" s="156"/>
      <c r="BK644" s="156"/>
      <c r="BL644" s="156" t="s">
        <v>4727</v>
      </c>
      <c r="BM644" s="156"/>
      <c r="BN644" s="156"/>
      <c r="BO644" s="156"/>
      <c r="BP644" s="156">
        <v>1</v>
      </c>
      <c r="BQ644" s="156"/>
      <c r="BR644" s="156"/>
      <c r="BS644" s="156"/>
      <c r="BT644" s="156" t="s">
        <v>4727</v>
      </c>
      <c r="BU644" s="156"/>
      <c r="BV644" s="156"/>
      <c r="BW644" s="595" t="s">
        <v>3843</v>
      </c>
      <c r="BX644" s="157" t="s">
        <v>6610</v>
      </c>
      <c r="BY644" s="797" t="s">
        <v>7616</v>
      </c>
      <c r="BZ644" s="789" t="s">
        <v>7610</v>
      </c>
      <c r="CA644" s="660">
        <v>2</v>
      </c>
      <c r="CB644" s="660" t="s">
        <v>7556</v>
      </c>
      <c r="CC644" s="660" t="s">
        <v>7380</v>
      </c>
      <c r="CD644" s="134" t="s">
        <v>1876</v>
      </c>
      <c r="CE644" s="134">
        <v>2</v>
      </c>
      <c r="CF644" s="400"/>
      <c r="CG644" s="134" t="s">
        <v>5750</v>
      </c>
      <c r="CH644" s="753" t="s">
        <v>7307</v>
      </c>
      <c r="CI644" s="134" t="s">
        <v>24</v>
      </c>
      <c r="CJ644" s="134"/>
      <c r="CK644" s="134" t="s">
        <v>5751</v>
      </c>
      <c r="CL644" s="466" t="s">
        <v>7826</v>
      </c>
      <c r="CM644" s="259" t="s">
        <v>5802</v>
      </c>
      <c r="CN644" s="454" t="s">
        <v>24</v>
      </c>
      <c r="CO644" s="828">
        <v>79</v>
      </c>
      <c r="CP644" s="828">
        <v>1</v>
      </c>
      <c r="CQ644" s="828">
        <v>4</v>
      </c>
      <c r="CR644" s="828">
        <v>1</v>
      </c>
      <c r="CS644" s="828">
        <v>1</v>
      </c>
      <c r="CT644" s="968"/>
      <c r="CU644" s="1288" t="s">
        <v>8103</v>
      </c>
      <c r="CV644" s="1294">
        <v>39</v>
      </c>
      <c r="CW644" s="1294">
        <v>33</v>
      </c>
      <c r="CX644" s="138" t="s">
        <v>5754</v>
      </c>
      <c r="CY644" s="134">
        <v>44.3</v>
      </c>
      <c r="CZ644" s="168">
        <v>7.9</v>
      </c>
      <c r="DA644" s="134" t="s">
        <v>24</v>
      </c>
      <c r="DB644" s="138" t="s">
        <v>5764</v>
      </c>
      <c r="DC644" s="134">
        <v>49.7</v>
      </c>
      <c r="DD644" s="134">
        <v>7.3</v>
      </c>
      <c r="DE644" s="134" t="s">
        <v>24</v>
      </c>
      <c r="DF644" s="294" t="s">
        <v>5653</v>
      </c>
      <c r="DG644" s="295" t="s">
        <v>5774</v>
      </c>
      <c r="DH644" s="1179"/>
      <c r="DI644" s="417"/>
      <c r="DJ644" s="1169"/>
      <c r="DK644" s="417"/>
      <c r="DL644" s="1169"/>
      <c r="DM644" s="417"/>
      <c r="DN644" s="1169"/>
      <c r="DO644" s="1151"/>
      <c r="DP644" s="288"/>
      <c r="DQ644" s="441"/>
      <c r="DR644" s="280"/>
      <c r="DS644" s="865"/>
      <c r="DT644" s="1171"/>
      <c r="DU644" s="121"/>
      <c r="DV644" s="1169"/>
      <c r="DW644" s="121"/>
      <c r="DX644" s="1169"/>
      <c r="DY644" s="121"/>
      <c r="DZ644" s="1169"/>
      <c r="EA644" s="121"/>
      <c r="EB644" s="304"/>
      <c r="EC644" s="312"/>
      <c r="ED644" s="1169"/>
      <c r="EE644" s="121"/>
      <c r="EF644" s="1169"/>
      <c r="EG644" s="121"/>
      <c r="EH644" s="1169"/>
      <c r="EI644" s="121"/>
      <c r="EJ644" s="1169"/>
      <c r="EK644" s="121"/>
      <c r="EL644" s="304"/>
      <c r="EM644" s="312"/>
      <c r="EN644" s="309"/>
      <c r="EO644" s="1170"/>
      <c r="EP644" s="121"/>
      <c r="EQ644" s="121"/>
      <c r="ER644" s="121"/>
      <c r="ES644" s="121"/>
      <c r="ET644" s="121"/>
      <c r="EU644" s="121"/>
      <c r="EV644" s="121"/>
      <c r="EW644" s="121"/>
      <c r="EX644" s="301"/>
      <c r="EY644" s="301"/>
      <c r="EZ644" s="121"/>
      <c r="FA644" s="121"/>
      <c r="FB644" s="121"/>
      <c r="FC644" s="121"/>
      <c r="FD644" s="121"/>
      <c r="FE644" s="121"/>
      <c r="FF644" s="121"/>
      <c r="FG644" s="121"/>
      <c r="FH644" s="301"/>
      <c r="FI644" s="301"/>
      <c r="FJ644" s="1170"/>
    </row>
    <row r="645" spans="1:166" ht="14" hidden="1" customHeight="1">
      <c r="A645" s="153" t="s">
        <v>314</v>
      </c>
      <c r="B645" s="618">
        <v>223</v>
      </c>
      <c r="C645" s="618"/>
      <c r="D645" s="618">
        <v>90</v>
      </c>
      <c r="E645" s="610" t="s">
        <v>2028</v>
      </c>
      <c r="F645" s="368" t="s">
        <v>2261</v>
      </c>
      <c r="G645" s="369">
        <v>2014</v>
      </c>
      <c r="H645" s="153">
        <v>24686914</v>
      </c>
      <c r="I645" s="153">
        <v>1</v>
      </c>
      <c r="J645" s="370"/>
      <c r="K645" s="371"/>
      <c r="L645" s="153">
        <v>1</v>
      </c>
      <c r="M645" s="153"/>
      <c r="N645" s="153">
        <v>1</v>
      </c>
      <c r="O645" s="153">
        <v>1</v>
      </c>
      <c r="P645" s="153" t="s">
        <v>816</v>
      </c>
      <c r="Q645" s="153" t="s">
        <v>1189</v>
      </c>
      <c r="R645" s="153" t="s">
        <v>25</v>
      </c>
      <c r="S645" s="153">
        <v>1</v>
      </c>
      <c r="T645" s="153"/>
      <c r="U645" s="153"/>
      <c r="V645" s="153"/>
      <c r="W645" s="153" t="s">
        <v>817</v>
      </c>
      <c r="X645" s="153"/>
      <c r="Y645" s="153"/>
      <c r="Z645" s="153"/>
      <c r="AA645" s="153"/>
      <c r="AB645" s="153"/>
      <c r="AC645" s="536" t="s">
        <v>6296</v>
      </c>
      <c r="AD645" s="536">
        <v>1</v>
      </c>
      <c r="AE645" s="536">
        <v>1</v>
      </c>
      <c r="AF645" s="165">
        <v>0</v>
      </c>
      <c r="AG645" s="166" t="s">
        <v>7655</v>
      </c>
      <c r="AH645" s="509"/>
      <c r="AI645" s="120">
        <v>2</v>
      </c>
      <c r="AJ645" s="120"/>
      <c r="AK645" s="206"/>
      <c r="AL645" s="372"/>
      <c r="AM645" s="207">
        <v>0</v>
      </c>
      <c r="AN645" s="120"/>
      <c r="AO645" s="120"/>
      <c r="AP645" s="120"/>
      <c r="AQ645" s="120"/>
      <c r="AR645" s="120"/>
      <c r="AS645" s="120"/>
      <c r="AT645" s="120"/>
      <c r="AU645" s="120"/>
      <c r="AV645" s="120"/>
      <c r="AW645" s="120"/>
      <c r="AX645" s="120"/>
      <c r="AY645" s="120"/>
      <c r="AZ645" s="755"/>
      <c r="BA645" s="120"/>
      <c r="BB645" s="120"/>
      <c r="BC645" s="120"/>
      <c r="BD645" s="755"/>
      <c r="BE645" s="755"/>
      <c r="BF645" s="120"/>
      <c r="BG645" s="120"/>
      <c r="BH645" s="377"/>
      <c r="BI645" s="377"/>
      <c r="BJ645" s="373"/>
      <c r="BK645" s="373"/>
      <c r="BL645" s="373" t="s">
        <v>5207</v>
      </c>
      <c r="BM645" s="373"/>
      <c r="BN645" s="373"/>
      <c r="BO645" s="373" t="s">
        <v>6294</v>
      </c>
      <c r="BP645" s="373"/>
      <c r="BQ645" s="373"/>
      <c r="BR645" s="373"/>
      <c r="BS645" s="373"/>
      <c r="BT645" s="373" t="s">
        <v>5207</v>
      </c>
      <c r="BU645" s="373" t="s">
        <v>6295</v>
      </c>
      <c r="BV645" s="373">
        <v>1</v>
      </c>
      <c r="BW645" s="599"/>
      <c r="BX645" s="374"/>
      <c r="BY645" s="799"/>
      <c r="BZ645" s="374"/>
      <c r="CA645" s="510"/>
      <c r="CB645" s="510"/>
      <c r="CC645" s="510"/>
      <c r="CD645" s="120"/>
      <c r="CE645" s="120"/>
      <c r="CF645" s="786"/>
      <c r="CG645" s="120"/>
      <c r="CH645" s="755"/>
      <c r="CI645" s="120"/>
      <c r="CJ645" s="120"/>
      <c r="CK645" s="120"/>
      <c r="CL645" s="120"/>
      <c r="CM645" s="375"/>
      <c r="CN645" s="380"/>
      <c r="CO645" s="380"/>
      <c r="CP645" s="380"/>
      <c r="CQ645" s="380"/>
      <c r="CR645" s="380"/>
      <c r="CS645" s="380"/>
      <c r="CT645" s="380"/>
      <c r="CU645" s="380"/>
      <c r="CV645" s="380"/>
      <c r="CW645" s="380"/>
      <c r="CX645" s="376"/>
      <c r="CY645" s="120"/>
      <c r="CZ645" s="120"/>
      <c r="DA645" s="120"/>
      <c r="DB645" s="376"/>
      <c r="DC645" s="120"/>
      <c r="DD645" s="120"/>
      <c r="DE645" s="120"/>
      <c r="DF645" s="515"/>
      <c r="DG645" s="513"/>
      <c r="DH645" s="727"/>
      <c r="DI645" s="384"/>
      <c r="DJ645" s="384"/>
      <c r="DK645" s="384"/>
      <c r="DL645" s="727"/>
      <c r="DM645" s="384"/>
      <c r="DN645" s="384"/>
      <c r="DO645" s="384"/>
      <c r="DP645" s="375"/>
      <c r="DQ645" s="377"/>
      <c r="DR645" s="1182"/>
      <c r="DS645" s="956"/>
      <c r="DT645" s="727"/>
      <c r="DU645" s="384"/>
      <c r="DV645" s="384"/>
      <c r="DW645" s="384"/>
      <c r="DX645" s="384"/>
      <c r="DY645" s="384"/>
      <c r="DZ645" s="384"/>
      <c r="EA645" s="384"/>
      <c r="EB645" s="1012"/>
      <c r="EC645" s="384"/>
      <c r="ED645" s="384"/>
      <c r="EE645" s="384"/>
      <c r="EF645" s="384"/>
      <c r="EG645" s="384"/>
      <c r="EH645" s="384"/>
      <c r="EI645" s="384"/>
      <c r="EJ645" s="384"/>
      <c r="EK645" s="384"/>
      <c r="EL645" s="1012"/>
      <c r="EM645" s="384"/>
      <c r="EN645" s="1012"/>
      <c r="EO645" s="384"/>
      <c r="EP645" s="384"/>
      <c r="EQ645" s="384"/>
      <c r="ER645" s="384"/>
      <c r="ES645" s="384"/>
      <c r="ET645" s="727"/>
      <c r="EU645" s="384"/>
      <c r="EV645" s="384"/>
      <c r="EW645" s="384"/>
      <c r="EX645" s="384"/>
      <c r="EY645" s="384"/>
      <c r="EZ645" s="727"/>
      <c r="FA645" s="384"/>
      <c r="FB645" s="384"/>
      <c r="FC645" s="384"/>
      <c r="FD645" s="727"/>
      <c r="FE645" s="384"/>
      <c r="FF645" s="384"/>
      <c r="FG645" s="384"/>
      <c r="FH645" s="384"/>
      <c r="FI645" s="384"/>
      <c r="FJ645" s="384"/>
    </row>
    <row r="646" spans="1:166" ht="14" hidden="1" customHeight="1">
      <c r="A646" s="79" t="s">
        <v>1023</v>
      </c>
      <c r="B646" s="362">
        <v>158</v>
      </c>
      <c r="C646" s="362">
        <v>50</v>
      </c>
      <c r="D646" s="362"/>
      <c r="E646" s="604" t="s">
        <v>2091</v>
      </c>
      <c r="F646" s="124" t="s">
        <v>2346</v>
      </c>
      <c r="G646" s="125">
        <v>2009</v>
      </c>
      <c r="H646" s="79">
        <v>17886167</v>
      </c>
      <c r="I646" s="79">
        <v>1</v>
      </c>
      <c r="J646" s="126"/>
      <c r="K646" s="127"/>
      <c r="L646" s="79">
        <v>1</v>
      </c>
      <c r="M646" s="79"/>
      <c r="N646" s="171">
        <v>1</v>
      </c>
      <c r="O646" s="128">
        <v>2</v>
      </c>
      <c r="P646" s="79" t="s">
        <v>1347</v>
      </c>
      <c r="Q646" s="79" t="s">
        <v>1216</v>
      </c>
      <c r="R646" s="79" t="s">
        <v>1127</v>
      </c>
      <c r="S646" s="79"/>
      <c r="T646" s="79" t="s">
        <v>1507</v>
      </c>
      <c r="U646" s="79" t="s">
        <v>1539</v>
      </c>
      <c r="V646" s="79"/>
      <c r="W646" s="79" t="s">
        <v>1409</v>
      </c>
      <c r="X646" s="79"/>
      <c r="Y646" s="79"/>
      <c r="Z646" s="79"/>
      <c r="AA646" s="79"/>
      <c r="AB646" s="79"/>
      <c r="AC646" s="506"/>
      <c r="AD646" s="573">
        <v>1</v>
      </c>
      <c r="AE646" s="573">
        <v>2</v>
      </c>
      <c r="AF646" s="154">
        <v>1</v>
      </c>
      <c r="AG646" s="155" t="s">
        <v>5006</v>
      </c>
      <c r="AH646" s="704"/>
      <c r="AI646" s="121">
        <v>4</v>
      </c>
      <c r="AJ646" s="484" t="s">
        <v>5002</v>
      </c>
      <c r="AK646" s="202" t="s">
        <v>4993</v>
      </c>
      <c r="AL646" s="192">
        <v>2</v>
      </c>
      <c r="AM646" s="203">
        <v>0</v>
      </c>
      <c r="AN646" s="121">
        <v>53</v>
      </c>
      <c r="AO646" s="121">
        <f>6+7+6+6</f>
        <v>25</v>
      </c>
      <c r="AP646" s="121">
        <f>7+7+6+8</f>
        <v>28</v>
      </c>
      <c r="AQ646" s="121" t="s">
        <v>7915</v>
      </c>
      <c r="AR646" s="121" t="s">
        <v>7916</v>
      </c>
      <c r="AS646" s="121" t="s">
        <v>2494</v>
      </c>
      <c r="AT646" s="121" t="s">
        <v>24</v>
      </c>
      <c r="AU646" s="121" t="s">
        <v>2494</v>
      </c>
      <c r="AV646" s="121" t="s">
        <v>24</v>
      </c>
      <c r="AW646" s="121" t="s">
        <v>4991</v>
      </c>
      <c r="AX646" s="121"/>
      <c r="AY646" s="121"/>
      <c r="AZ646" s="754" t="s">
        <v>7317</v>
      </c>
      <c r="BA646" s="121">
        <v>1</v>
      </c>
      <c r="BB646" s="121">
        <v>1</v>
      </c>
      <c r="BC646" s="121" t="s">
        <v>4992</v>
      </c>
      <c r="BD646" s="754" t="s">
        <v>7523</v>
      </c>
      <c r="BE646" s="754"/>
      <c r="BF646" s="121" t="s">
        <v>3698</v>
      </c>
      <c r="BG646" s="121" t="s">
        <v>5001</v>
      </c>
      <c r="BH646" s="594"/>
      <c r="BI646" s="594"/>
      <c r="BJ646" s="156"/>
      <c r="BK646" s="156"/>
      <c r="BL646" s="156"/>
      <c r="BM646" s="156"/>
      <c r="BN646" s="156"/>
      <c r="BO646" s="156"/>
      <c r="BP646" s="156">
        <v>1</v>
      </c>
      <c r="BQ646" s="156"/>
      <c r="BR646" s="156"/>
      <c r="BS646" s="156"/>
      <c r="BT646" s="156"/>
      <c r="BU646" s="156"/>
      <c r="BV646" s="156"/>
      <c r="BW646" s="595" t="s">
        <v>3282</v>
      </c>
      <c r="BX646" s="157" t="s">
        <v>6617</v>
      </c>
      <c r="BY646" s="797" t="s">
        <v>7614</v>
      </c>
      <c r="BZ646" s="789" t="s">
        <v>803</v>
      </c>
      <c r="CA646" s="660">
        <v>2</v>
      </c>
      <c r="CB646" s="660" t="s">
        <v>7556</v>
      </c>
      <c r="CC646" s="1724" t="s">
        <v>7384</v>
      </c>
      <c r="CD646" s="134" t="s">
        <v>1876</v>
      </c>
      <c r="CE646" s="134" t="s">
        <v>4996</v>
      </c>
      <c r="CF646" s="400" t="s">
        <v>7580</v>
      </c>
      <c r="CG646" s="134" t="s">
        <v>4995</v>
      </c>
      <c r="CH646" s="753" t="s">
        <v>1512</v>
      </c>
      <c r="CI646" s="134" t="s">
        <v>4985</v>
      </c>
      <c r="CJ646" s="134"/>
      <c r="CK646" s="134" t="s">
        <v>4994</v>
      </c>
      <c r="CL646" s="134" t="s">
        <v>8216</v>
      </c>
      <c r="CM646" s="259" t="s">
        <v>5005</v>
      </c>
      <c r="CN646" s="454" t="s">
        <v>24</v>
      </c>
      <c r="CO646" s="828">
        <v>46</v>
      </c>
      <c r="CP646" s="828">
        <v>1</v>
      </c>
      <c r="CQ646" s="828">
        <v>1</v>
      </c>
      <c r="CR646" s="828">
        <v>0</v>
      </c>
      <c r="CS646" s="828">
        <v>1</v>
      </c>
      <c r="CT646" s="967"/>
      <c r="CU646" s="1290" t="s">
        <v>8104</v>
      </c>
      <c r="CV646" s="1295">
        <v>100</v>
      </c>
      <c r="CW646" s="1295">
        <v>92</v>
      </c>
      <c r="CX646" s="138" t="s">
        <v>4997</v>
      </c>
      <c r="CY646" s="134">
        <v>68.334199999999996</v>
      </c>
      <c r="CZ646" s="134" t="s">
        <v>24</v>
      </c>
      <c r="DA646" s="134">
        <f>75.0186-Table66[[#This Row],[Data_Outcome1_M]]</f>
        <v>6.6844000000000108</v>
      </c>
      <c r="DB646" s="138" t="s">
        <v>4998</v>
      </c>
      <c r="DC646" s="134">
        <v>62.056699999999999</v>
      </c>
      <c r="DD646" s="168" t="s">
        <v>24</v>
      </c>
      <c r="DE646" s="134">
        <f>68.4397-Table66[[#This Row],[Data_Outcome2_M]]</f>
        <v>6.3830000000000027</v>
      </c>
      <c r="DF646" s="1113" t="s">
        <v>5003</v>
      </c>
      <c r="DG646" s="1123" t="s">
        <v>5004</v>
      </c>
      <c r="DH646" s="1276"/>
      <c r="DI646" s="121"/>
      <c r="DJ646" s="1169"/>
      <c r="DK646" s="121"/>
      <c r="DL646" s="1171"/>
      <c r="DM646" s="121"/>
      <c r="DN646" s="1169"/>
      <c r="DO646" s="121"/>
      <c r="DP646" s="288"/>
      <c r="DQ646" s="289"/>
      <c r="DR646" s="1168"/>
      <c r="DS646" s="865"/>
      <c r="DT646" s="1276"/>
      <c r="DU646" s="121"/>
      <c r="DV646" s="121"/>
      <c r="DW646" s="121"/>
      <c r="DX646" s="121"/>
      <c r="DY646" s="121"/>
      <c r="DZ646" s="1169"/>
      <c r="EA646" s="121"/>
      <c r="EB646" s="304"/>
      <c r="EC646" s="312"/>
      <c r="ED646" s="121"/>
      <c r="EE646" s="121"/>
      <c r="EF646" s="121"/>
      <c r="EG646" s="121"/>
      <c r="EH646" s="121"/>
      <c r="EI646" s="121"/>
      <c r="EJ646" s="1169"/>
      <c r="EK646" s="121"/>
      <c r="EL646" s="304"/>
      <c r="EM646" s="312"/>
      <c r="EN646" s="309"/>
      <c r="EO646" s="1170"/>
      <c r="EP646" s="121"/>
      <c r="EQ646" s="1276"/>
      <c r="ER646" s="121"/>
      <c r="ES646" s="121"/>
      <c r="ET646" s="121"/>
      <c r="EU646" s="121"/>
      <c r="EV646" s="121"/>
      <c r="EW646" s="121"/>
      <c r="EX646" s="301"/>
      <c r="EY646" s="301"/>
      <c r="EZ646" s="121"/>
      <c r="FA646" s="121"/>
      <c r="FB646" s="121"/>
      <c r="FC646" s="121"/>
      <c r="FD646" s="121"/>
      <c r="FE646" s="121"/>
      <c r="FF646" s="121"/>
      <c r="FG646" s="121"/>
      <c r="FH646" s="301"/>
      <c r="FI646" s="301"/>
      <c r="FJ646" s="277"/>
    </row>
    <row r="647" spans="1:166" ht="14" hidden="1" customHeight="1">
      <c r="A647" s="79" t="s">
        <v>1023</v>
      </c>
      <c r="B647" s="362">
        <v>158</v>
      </c>
      <c r="C647" s="362">
        <v>50</v>
      </c>
      <c r="D647" s="362"/>
      <c r="E647" s="604" t="s">
        <v>2091</v>
      </c>
      <c r="F647" s="124" t="s">
        <v>2346</v>
      </c>
      <c r="G647" s="125">
        <v>2009</v>
      </c>
      <c r="H647" s="79">
        <v>17886167</v>
      </c>
      <c r="I647" s="79">
        <v>1</v>
      </c>
      <c r="J647" s="126"/>
      <c r="K647" s="127"/>
      <c r="L647" s="79">
        <v>1</v>
      </c>
      <c r="M647" s="79"/>
      <c r="N647" s="171">
        <v>1</v>
      </c>
      <c r="O647" s="128">
        <v>2</v>
      </c>
      <c r="P647" s="79" t="s">
        <v>1347</v>
      </c>
      <c r="Q647" s="79" t="s">
        <v>1216</v>
      </c>
      <c r="R647" s="79" t="s">
        <v>1127</v>
      </c>
      <c r="S647" s="79"/>
      <c r="T647" s="79" t="s">
        <v>1507</v>
      </c>
      <c r="U647" s="79" t="s">
        <v>1539</v>
      </c>
      <c r="V647" s="79"/>
      <c r="W647" s="79" t="s">
        <v>1409</v>
      </c>
      <c r="X647" s="79"/>
      <c r="Y647" s="79"/>
      <c r="Z647" s="79"/>
      <c r="AA647" s="79"/>
      <c r="AB647" s="79"/>
      <c r="AC647" s="506"/>
      <c r="AD647" s="573">
        <v>1</v>
      </c>
      <c r="AE647" s="573">
        <v>2</v>
      </c>
      <c r="AF647" s="154">
        <v>1</v>
      </c>
      <c r="AG647" s="155" t="s">
        <v>5006</v>
      </c>
      <c r="AH647" s="704"/>
      <c r="AI647" s="121">
        <v>4</v>
      </c>
      <c r="AJ647" s="484" t="s">
        <v>5002</v>
      </c>
      <c r="AK647" s="202" t="s">
        <v>4993</v>
      </c>
      <c r="AL647" s="192">
        <v>2</v>
      </c>
      <c r="AM647" s="203">
        <v>0</v>
      </c>
      <c r="AN647" s="121">
        <v>40</v>
      </c>
      <c r="AO647" s="121">
        <v>20</v>
      </c>
      <c r="AP647" s="121">
        <v>20</v>
      </c>
      <c r="AQ647" s="121" t="s">
        <v>7917</v>
      </c>
      <c r="AR647" s="121" t="s">
        <v>7917</v>
      </c>
      <c r="AS647" s="121" t="s">
        <v>2494</v>
      </c>
      <c r="AT647" s="121" t="s">
        <v>24</v>
      </c>
      <c r="AU647" s="121" t="s">
        <v>2494</v>
      </c>
      <c r="AV647" s="121" t="s">
        <v>24</v>
      </c>
      <c r="AW647" s="121" t="s">
        <v>4991</v>
      </c>
      <c r="AX647" s="121"/>
      <c r="AY647" s="121"/>
      <c r="AZ647" s="754" t="s">
        <v>7317</v>
      </c>
      <c r="BA647" s="121">
        <v>1</v>
      </c>
      <c r="BB647" s="121">
        <v>1</v>
      </c>
      <c r="BC647" s="121" t="s">
        <v>4992</v>
      </c>
      <c r="BD647" s="754" t="s">
        <v>7523</v>
      </c>
      <c r="BE647" s="754"/>
      <c r="BF647" s="121" t="s">
        <v>3698</v>
      </c>
      <c r="BG647" s="121" t="s">
        <v>5001</v>
      </c>
      <c r="BH647" s="594"/>
      <c r="BI647" s="594"/>
      <c r="BJ647" s="156"/>
      <c r="BK647" s="156"/>
      <c r="BL647" s="156"/>
      <c r="BM647" s="156"/>
      <c r="BN647" s="156"/>
      <c r="BO647" s="156"/>
      <c r="BP647" s="156">
        <v>1</v>
      </c>
      <c r="BQ647" s="156"/>
      <c r="BR647" s="156"/>
      <c r="BS647" s="156"/>
      <c r="BT647" s="156"/>
      <c r="BU647" s="156"/>
      <c r="BV647" s="156"/>
      <c r="BW647" s="595" t="s">
        <v>3282</v>
      </c>
      <c r="BX647" s="157" t="s">
        <v>6617</v>
      </c>
      <c r="BY647" s="797" t="s">
        <v>7614</v>
      </c>
      <c r="BZ647" s="789" t="s">
        <v>803</v>
      </c>
      <c r="CA647" s="765">
        <v>2</v>
      </c>
      <c r="CB647" s="772" t="s">
        <v>7556</v>
      </c>
      <c r="CC647" s="1724" t="s">
        <v>7384</v>
      </c>
      <c r="CD647" s="134" t="s">
        <v>1876</v>
      </c>
      <c r="CE647" s="134" t="s">
        <v>4996</v>
      </c>
      <c r="CF647" s="400" t="s">
        <v>7580</v>
      </c>
      <c r="CG647" s="134" t="s">
        <v>4995</v>
      </c>
      <c r="CH647" s="753" t="s">
        <v>1512</v>
      </c>
      <c r="CI647" s="134" t="s">
        <v>4985</v>
      </c>
      <c r="CJ647" s="134"/>
      <c r="CK647" s="134" t="s">
        <v>4994</v>
      </c>
      <c r="CL647" s="134" t="s">
        <v>8216</v>
      </c>
      <c r="CM647" s="259" t="s">
        <v>5005</v>
      </c>
      <c r="CN647" s="454" t="s">
        <v>24</v>
      </c>
      <c r="CO647" s="828">
        <v>46</v>
      </c>
      <c r="CP647" s="828">
        <v>2</v>
      </c>
      <c r="CQ647" s="828">
        <v>1</v>
      </c>
      <c r="CR647" s="828">
        <v>0</v>
      </c>
      <c r="CS647" s="828">
        <v>1</v>
      </c>
      <c r="CT647" s="967"/>
      <c r="CU647" s="1290" t="s">
        <v>8104</v>
      </c>
      <c r="CV647" s="1295">
        <v>101</v>
      </c>
      <c r="CW647" s="1295">
        <v>93</v>
      </c>
      <c r="CX647" s="138" t="s">
        <v>4999</v>
      </c>
      <c r="CY647" s="134">
        <v>42.701500000000003</v>
      </c>
      <c r="CZ647" s="134" t="s">
        <v>24</v>
      </c>
      <c r="DA647" s="134">
        <f>46.7121-Table66[[#This Row],[Data_Outcome1_M]]</f>
        <v>4.0105999999999966</v>
      </c>
      <c r="DB647" s="138" t="s">
        <v>5000</v>
      </c>
      <c r="DC647" s="134">
        <v>66.666700000000006</v>
      </c>
      <c r="DD647" s="168" t="s">
        <v>24</v>
      </c>
      <c r="DE647" s="134">
        <f>70.5674-Table66[[#This Row],[Data_Outcome2_M]]</f>
        <v>3.9007000000000005</v>
      </c>
      <c r="DF647" s="1113" t="s">
        <v>5003</v>
      </c>
      <c r="DG647" s="1123" t="s">
        <v>5004</v>
      </c>
      <c r="DH647" s="1175"/>
      <c r="DI647" s="417"/>
      <c r="DJ647" s="1169"/>
      <c r="DK647" s="417"/>
      <c r="DL647" s="1171"/>
      <c r="DM647" s="417"/>
      <c r="DN647" s="1169"/>
      <c r="DO647" s="1151"/>
      <c r="DP647" s="288"/>
      <c r="DQ647" s="441"/>
      <c r="DR647" s="1168"/>
      <c r="DS647" s="865"/>
      <c r="DT647" s="1276"/>
      <c r="DU647" s="417"/>
      <c r="DV647" s="1169"/>
      <c r="DW647" s="417"/>
      <c r="DX647" s="1169"/>
      <c r="DY647" s="417"/>
      <c r="DZ647" s="1169"/>
      <c r="EA647" s="417"/>
      <c r="EB647" s="300"/>
      <c r="EC647" s="301"/>
      <c r="ED647" s="1169"/>
      <c r="EE647" s="417"/>
      <c r="EF647" s="1169"/>
      <c r="EG647" s="417"/>
      <c r="EH647" s="1169"/>
      <c r="EI647" s="417"/>
      <c r="EJ647" s="1169"/>
      <c r="EK647" s="417"/>
      <c r="EL647" s="304"/>
      <c r="EM647" s="312"/>
      <c r="EN647" s="309"/>
      <c r="EO647" s="1170"/>
      <c r="EP647" s="417"/>
      <c r="EQ647" s="1155"/>
      <c r="ER647" s="417"/>
      <c r="ES647" s="417"/>
      <c r="ET647" s="417"/>
      <c r="EU647" s="417"/>
      <c r="EV647" s="417"/>
      <c r="EW647" s="417"/>
      <c r="EX647" s="469"/>
      <c r="EY647" s="469"/>
      <c r="EZ647" s="417"/>
      <c r="FA647" s="417"/>
      <c r="FB647" s="417"/>
      <c r="FC647" s="417"/>
      <c r="FD647" s="417"/>
      <c r="FE647" s="417"/>
      <c r="FF647" s="417"/>
      <c r="FG647" s="417"/>
      <c r="FH647" s="469"/>
      <c r="FI647" s="469"/>
      <c r="FJ647" s="1170"/>
    </row>
    <row r="648" spans="1:166" ht="14" hidden="1" customHeight="1">
      <c r="A648" s="1698" t="s">
        <v>988</v>
      </c>
      <c r="B648" s="1723">
        <v>43</v>
      </c>
      <c r="C648" s="1723">
        <v>3</v>
      </c>
      <c r="D648" s="1723"/>
      <c r="E648" s="1700" t="s">
        <v>2111</v>
      </c>
      <c r="F648" s="181" t="s">
        <v>2370</v>
      </c>
      <c r="G648" s="1701">
        <v>1998</v>
      </c>
      <c r="H648" s="1698">
        <v>9676829</v>
      </c>
      <c r="I648" s="1698">
        <v>1</v>
      </c>
      <c r="J648" s="1698">
        <v>1</v>
      </c>
      <c r="K648" s="1698"/>
      <c r="L648" s="1698">
        <v>1</v>
      </c>
      <c r="M648" s="1698"/>
      <c r="N648" s="1698">
        <v>1</v>
      </c>
      <c r="O648" s="1698">
        <v>2</v>
      </c>
      <c r="P648" s="1698" t="s">
        <v>1220</v>
      </c>
      <c r="Q648" s="1698" t="s">
        <v>1216</v>
      </c>
      <c r="R648" s="1698" t="s">
        <v>1127</v>
      </c>
      <c r="S648" s="1698"/>
      <c r="T648" s="1698" t="s">
        <v>1525</v>
      </c>
      <c r="U648" s="1698" t="s">
        <v>803</v>
      </c>
      <c r="V648" s="1698"/>
      <c r="W648" s="1698" t="s">
        <v>1526</v>
      </c>
      <c r="X648" s="1698"/>
      <c r="Y648" s="1698"/>
      <c r="Z648" s="1698"/>
      <c r="AA648" s="1698"/>
      <c r="AB648" s="1698"/>
      <c r="AC648" s="1702"/>
      <c r="AD648" s="1702">
        <v>1</v>
      </c>
      <c r="AE648" s="1702">
        <v>2</v>
      </c>
      <c r="AF648" s="1703">
        <v>1</v>
      </c>
      <c r="AG648" s="1704" t="s">
        <v>8178</v>
      </c>
      <c r="AH648" s="1705"/>
      <c r="AI648" s="1705">
        <v>4</v>
      </c>
      <c r="AJ648" s="1705"/>
      <c r="AK648" s="1720"/>
      <c r="AL648" s="1706" t="s">
        <v>3099</v>
      </c>
      <c r="AM648" s="1707">
        <v>0</v>
      </c>
      <c r="AN648" s="1705">
        <f>Table66[[#This Row],[Data_Subjects_n_ptsd]]+Table66[[#This Row],[Data_Subjects_n_control]]</f>
        <v>24</v>
      </c>
      <c r="AO648" s="1705">
        <f>24/2</f>
        <v>12</v>
      </c>
      <c r="AP648" s="1705">
        <v>12</v>
      </c>
      <c r="AQ648" s="1705" t="s">
        <v>803</v>
      </c>
      <c r="AR648" s="1705" t="s">
        <v>803</v>
      </c>
      <c r="AS648" s="1705" t="s">
        <v>7497</v>
      </c>
      <c r="AT648" s="1705" t="s">
        <v>24</v>
      </c>
      <c r="AU648" s="1705" t="s">
        <v>7497</v>
      </c>
      <c r="AV648" s="1705" t="s">
        <v>24</v>
      </c>
      <c r="AW648" s="1705" t="s">
        <v>7986</v>
      </c>
      <c r="AX648" s="1705"/>
      <c r="AY648" s="1705"/>
      <c r="AZ648" s="1705" t="s">
        <v>1721</v>
      </c>
      <c r="BA648" s="1705">
        <v>1</v>
      </c>
      <c r="BB648" s="1705">
        <v>1</v>
      </c>
      <c r="BC648" s="1705" t="s">
        <v>3531</v>
      </c>
      <c r="BD648" s="1705" t="s">
        <v>7523</v>
      </c>
      <c r="BE648" s="1705"/>
      <c r="BF648" s="1705" t="s">
        <v>1130</v>
      </c>
      <c r="BG648" s="1705" t="s">
        <v>3279</v>
      </c>
      <c r="BH648" s="1706"/>
      <c r="BI648" s="1706"/>
      <c r="BJ648" s="1708"/>
      <c r="BK648" s="1708"/>
      <c r="BL648" s="1708"/>
      <c r="BM648" s="1708"/>
      <c r="BN648" s="1708"/>
      <c r="BO648" s="1708"/>
      <c r="BP648" s="1708">
        <v>1</v>
      </c>
      <c r="BQ648" s="1708"/>
      <c r="BR648" s="1708"/>
      <c r="BS648" s="1708"/>
      <c r="BT648" s="1708"/>
      <c r="BU648" s="1708"/>
      <c r="BV648" s="1708"/>
      <c r="BW648" s="1708" t="s">
        <v>3562</v>
      </c>
      <c r="BX648" s="1709" t="s">
        <v>7467</v>
      </c>
      <c r="BY648" s="1709" t="s">
        <v>7613</v>
      </c>
      <c r="BZ648" s="1709" t="s">
        <v>803</v>
      </c>
      <c r="CA648" s="1708">
        <v>1</v>
      </c>
      <c r="CB648" s="1734" t="s">
        <v>7556</v>
      </c>
      <c r="CC648" s="1709" t="s">
        <v>7384</v>
      </c>
      <c r="CD648" s="1705" t="s">
        <v>1876</v>
      </c>
      <c r="CE648" s="1705" t="s">
        <v>3537</v>
      </c>
      <c r="CF648" s="1705" t="s">
        <v>7988</v>
      </c>
      <c r="CG648" s="1705" t="s">
        <v>3551</v>
      </c>
      <c r="CH648" s="1705" t="s">
        <v>1512</v>
      </c>
      <c r="CI648" s="1705" t="s">
        <v>2471</v>
      </c>
      <c r="CJ648" s="1705"/>
      <c r="CK648" s="1705" t="s">
        <v>3534</v>
      </c>
      <c r="CL648" s="134" t="s">
        <v>8216</v>
      </c>
      <c r="CM648" s="1710" t="s">
        <v>3561</v>
      </c>
      <c r="CN648" s="1711" t="s">
        <v>24</v>
      </c>
      <c r="CO648" s="1711">
        <v>62</v>
      </c>
      <c r="CP648" s="1711">
        <v>1</v>
      </c>
      <c r="CQ648" s="1711">
        <v>1</v>
      </c>
      <c r="CR648" s="1711">
        <v>1</v>
      </c>
      <c r="CS648" s="1711">
        <v>1</v>
      </c>
      <c r="CT648" s="1711"/>
      <c r="CU648" s="1711" t="s">
        <v>8104</v>
      </c>
      <c r="CV648" s="1710">
        <v>113</v>
      </c>
      <c r="CW648" s="1710">
        <v>104</v>
      </c>
      <c r="CX648" s="1709" t="s">
        <v>3554</v>
      </c>
      <c r="CY648" s="1705">
        <v>31.4589</v>
      </c>
      <c r="CZ648" s="1705">
        <f>45.8823-Table66[[#This Row],[Data_Outcome1_M]]</f>
        <v>14.423400000000001</v>
      </c>
      <c r="DA648" s="1705" t="s">
        <v>24</v>
      </c>
      <c r="DB648" s="1709" t="s">
        <v>3540</v>
      </c>
      <c r="DC648" s="1705">
        <v>58.446300000000001</v>
      </c>
      <c r="DD648" s="1705">
        <f>75.1771-Table66[[#This Row],[Data_Outcome2_M]]</f>
        <v>16.730799999999995</v>
      </c>
      <c r="DE648" s="1705" t="s">
        <v>24</v>
      </c>
      <c r="DF648" s="1710" t="s">
        <v>7984</v>
      </c>
      <c r="DG648" s="1706" t="s">
        <v>3559</v>
      </c>
      <c r="DH648" s="1709"/>
      <c r="DI648" s="1715"/>
      <c r="DJ648" s="1715"/>
      <c r="DK648" s="1715"/>
      <c r="DL648" s="1709"/>
      <c r="DM648" s="1715"/>
      <c r="DN648" s="1715"/>
      <c r="DO648" s="1715"/>
      <c r="DP648" s="1710"/>
      <c r="DQ648" s="1706"/>
      <c r="DR648" s="1716"/>
      <c r="DS648" s="1717"/>
      <c r="DT648" s="1717"/>
      <c r="DU648" s="1715"/>
      <c r="DV648" s="1715"/>
      <c r="DW648" s="1715"/>
      <c r="DX648" s="1717"/>
      <c r="DY648" s="1715"/>
      <c r="DZ648" s="1715"/>
      <c r="EA648" s="1715"/>
      <c r="EB648" s="1716"/>
      <c r="EC648" s="1715"/>
      <c r="ED648" s="1717"/>
      <c r="EE648" s="1715"/>
      <c r="EF648" s="1715"/>
      <c r="EG648" s="1715"/>
      <c r="EH648" s="1715"/>
      <c r="EI648" s="1715"/>
      <c r="EJ648" s="1715"/>
      <c r="EK648" s="1715"/>
      <c r="EL648" s="1716"/>
      <c r="EM648" s="1715"/>
      <c r="EN648" s="1716"/>
      <c r="EO648" s="1715"/>
      <c r="EP648" s="1715"/>
      <c r="EQ648" s="1715"/>
      <c r="ER648" s="1715"/>
      <c r="ES648" s="1715"/>
      <c r="ET648" s="1717"/>
      <c r="EU648" s="1715"/>
      <c r="EV648" s="1715"/>
      <c r="EW648" s="1715"/>
      <c r="EX648" s="1715"/>
      <c r="EY648" s="1715"/>
      <c r="EZ648" s="1717"/>
      <c r="FA648" s="1715"/>
      <c r="FB648" s="1715"/>
      <c r="FC648" s="1715"/>
      <c r="FD648" s="1717"/>
      <c r="FE648" s="1715"/>
      <c r="FF648" s="1715"/>
      <c r="FG648" s="1715"/>
      <c r="FH648" s="1715"/>
      <c r="FI648" s="1715"/>
      <c r="FJ648" s="1715"/>
    </row>
    <row r="649" spans="1:166" ht="14" hidden="1" customHeight="1">
      <c r="A649" s="1698" t="s">
        <v>988</v>
      </c>
      <c r="B649" s="1723">
        <v>43</v>
      </c>
      <c r="C649" s="1723">
        <v>3</v>
      </c>
      <c r="D649" s="1723"/>
      <c r="E649" s="1700" t="s">
        <v>2111</v>
      </c>
      <c r="F649" s="181" t="s">
        <v>2370</v>
      </c>
      <c r="G649" s="1701">
        <v>1998</v>
      </c>
      <c r="H649" s="1698">
        <v>9676829</v>
      </c>
      <c r="I649" s="1698">
        <v>1</v>
      </c>
      <c r="J649" s="1698">
        <v>1</v>
      </c>
      <c r="K649" s="1698"/>
      <c r="L649" s="1698">
        <v>1</v>
      </c>
      <c r="M649" s="1698"/>
      <c r="N649" s="1698">
        <v>1</v>
      </c>
      <c r="O649" s="1698">
        <v>2</v>
      </c>
      <c r="P649" s="1698" t="s">
        <v>1220</v>
      </c>
      <c r="Q649" s="1698" t="s">
        <v>1216</v>
      </c>
      <c r="R649" s="1698" t="s">
        <v>1127</v>
      </c>
      <c r="S649" s="1698"/>
      <c r="T649" s="1698" t="s">
        <v>1525</v>
      </c>
      <c r="U649" s="1698" t="s">
        <v>803</v>
      </c>
      <c r="V649" s="1698"/>
      <c r="W649" s="1698" t="s">
        <v>1526</v>
      </c>
      <c r="X649" s="1698"/>
      <c r="Y649" s="1698"/>
      <c r="Z649" s="1698"/>
      <c r="AA649" s="1698"/>
      <c r="AB649" s="1698"/>
      <c r="AC649" s="1702"/>
      <c r="AD649" s="1702">
        <v>1</v>
      </c>
      <c r="AE649" s="1702">
        <v>2</v>
      </c>
      <c r="AF649" s="1703">
        <v>1</v>
      </c>
      <c r="AG649" s="1704" t="s">
        <v>8178</v>
      </c>
      <c r="AH649" s="1705"/>
      <c r="AI649" s="1705">
        <v>4</v>
      </c>
      <c r="AJ649" s="1705"/>
      <c r="AK649" s="1720"/>
      <c r="AL649" s="1706" t="s">
        <v>3099</v>
      </c>
      <c r="AM649" s="1707">
        <v>0</v>
      </c>
      <c r="AN649" s="1705">
        <f>Table66[[#This Row],[Data_Subjects_n_ptsd]]+Table66[[#This Row],[Data_Subjects_n_control]]</f>
        <v>24</v>
      </c>
      <c r="AO649" s="1705">
        <f>24/2</f>
        <v>12</v>
      </c>
      <c r="AP649" s="1705">
        <v>12</v>
      </c>
      <c r="AQ649" s="1705" t="s">
        <v>803</v>
      </c>
      <c r="AR649" s="1705" t="s">
        <v>803</v>
      </c>
      <c r="AS649" s="1705" t="s">
        <v>7497</v>
      </c>
      <c r="AT649" s="1705" t="s">
        <v>24</v>
      </c>
      <c r="AU649" s="1705" t="s">
        <v>7497</v>
      </c>
      <c r="AV649" s="1705" t="s">
        <v>24</v>
      </c>
      <c r="AW649" s="1705" t="s">
        <v>7987</v>
      </c>
      <c r="AX649" s="1705"/>
      <c r="AY649" s="1705"/>
      <c r="AZ649" s="1705" t="s">
        <v>1721</v>
      </c>
      <c r="BA649" s="1705">
        <v>1</v>
      </c>
      <c r="BB649" s="1705">
        <v>1</v>
      </c>
      <c r="BC649" s="1705" t="s">
        <v>3531</v>
      </c>
      <c r="BD649" s="1705" t="s">
        <v>7523</v>
      </c>
      <c r="BE649" s="1705"/>
      <c r="BF649" s="1705" t="s">
        <v>1130</v>
      </c>
      <c r="BG649" s="1705" t="s">
        <v>3279</v>
      </c>
      <c r="BH649" s="1706"/>
      <c r="BI649" s="1706"/>
      <c r="BJ649" s="1708"/>
      <c r="BK649" s="1708"/>
      <c r="BL649" s="1708"/>
      <c r="BM649" s="1708"/>
      <c r="BN649" s="1708"/>
      <c r="BO649" s="1708"/>
      <c r="BP649" s="1708">
        <v>1</v>
      </c>
      <c r="BQ649" s="1708"/>
      <c r="BR649" s="1708"/>
      <c r="BS649" s="1708"/>
      <c r="BT649" s="1708"/>
      <c r="BU649" s="1708"/>
      <c r="BV649" s="1708"/>
      <c r="BW649" s="1708" t="s">
        <v>3562</v>
      </c>
      <c r="BX649" s="1709" t="s">
        <v>7467</v>
      </c>
      <c r="BY649" s="1709" t="s">
        <v>7614</v>
      </c>
      <c r="BZ649" s="1709" t="s">
        <v>803</v>
      </c>
      <c r="CA649" s="1708">
        <v>2</v>
      </c>
      <c r="CB649" s="1734" t="s">
        <v>7556</v>
      </c>
      <c r="CC649" s="1709" t="s">
        <v>7384</v>
      </c>
      <c r="CD649" s="1705" t="s">
        <v>1876</v>
      </c>
      <c r="CE649" s="1705" t="s">
        <v>3537</v>
      </c>
      <c r="CF649" s="1705" t="s">
        <v>7988</v>
      </c>
      <c r="CG649" s="1705" t="s">
        <v>3551</v>
      </c>
      <c r="CH649" s="1705" t="s">
        <v>1512</v>
      </c>
      <c r="CI649" s="1705" t="s">
        <v>2471</v>
      </c>
      <c r="CJ649" s="1705"/>
      <c r="CK649" s="1705" t="s">
        <v>3534</v>
      </c>
      <c r="CL649" s="134" t="s">
        <v>8216</v>
      </c>
      <c r="CM649" s="1710" t="s">
        <v>3561</v>
      </c>
      <c r="CN649" s="1711" t="s">
        <v>24</v>
      </c>
      <c r="CO649" s="1711">
        <v>62</v>
      </c>
      <c r="CP649" s="1711">
        <v>1</v>
      </c>
      <c r="CQ649" s="1711">
        <v>2</v>
      </c>
      <c r="CR649" s="1711">
        <v>1</v>
      </c>
      <c r="CS649" s="1711">
        <v>1</v>
      </c>
      <c r="CT649" s="1711"/>
      <c r="CU649" s="1711" t="s">
        <v>8104</v>
      </c>
      <c r="CV649" s="1710">
        <v>114</v>
      </c>
      <c r="CW649" s="1710">
        <v>104</v>
      </c>
      <c r="CX649" s="1709" t="s">
        <v>3555</v>
      </c>
      <c r="CY649" s="1705">
        <v>53.894799999999996</v>
      </c>
      <c r="CZ649" s="1705">
        <f>69.0874-Table66[[#This Row],[Data_Outcome1_M]]</f>
        <v>15.192600000000006</v>
      </c>
      <c r="DA649" s="1705" t="s">
        <v>24</v>
      </c>
      <c r="DB649" s="1709" t="s">
        <v>3540</v>
      </c>
      <c r="DC649" s="1705">
        <v>58.446300000000001</v>
      </c>
      <c r="DD649" s="1705">
        <f>75.1771-Table66[[#This Row],[Data_Outcome2_M]]</f>
        <v>16.730799999999995</v>
      </c>
      <c r="DE649" s="1705" t="s">
        <v>24</v>
      </c>
      <c r="DF649" s="1711"/>
      <c r="DG649" s="1705"/>
      <c r="DH649" s="1709"/>
      <c r="DI649" s="1705"/>
      <c r="DJ649" s="1715"/>
      <c r="DK649" s="1705"/>
      <c r="DL649" s="1717"/>
      <c r="DM649" s="1705"/>
      <c r="DN649" s="1715"/>
      <c r="DO649" s="1705"/>
      <c r="DP649" s="1710"/>
      <c r="DQ649" s="1706"/>
      <c r="DR649" s="1716"/>
      <c r="DS649" s="1717"/>
      <c r="DT649" s="1717"/>
      <c r="DU649" s="1705"/>
      <c r="DV649" s="1715"/>
      <c r="DW649" s="1705"/>
      <c r="DX649" s="1717"/>
      <c r="DY649" s="1705"/>
      <c r="DZ649" s="1715"/>
      <c r="EA649" s="1705"/>
      <c r="EB649" s="1716"/>
      <c r="EC649" s="1715"/>
      <c r="ED649" s="1717"/>
      <c r="EE649" s="1705"/>
      <c r="EF649" s="1715"/>
      <c r="EG649" s="1705"/>
      <c r="EH649" s="1715"/>
      <c r="EI649" s="1705"/>
      <c r="EJ649" s="1715"/>
      <c r="EK649" s="1705"/>
      <c r="EL649" s="1716"/>
      <c r="EM649" s="1715"/>
      <c r="EN649" s="1716"/>
      <c r="EO649" s="1715"/>
      <c r="EP649" s="1705"/>
      <c r="EQ649" s="1705"/>
      <c r="ER649" s="1705"/>
      <c r="ES649" s="1705"/>
      <c r="ET649" s="1709"/>
      <c r="EU649" s="1705"/>
      <c r="EV649" s="1705"/>
      <c r="EW649" s="1705"/>
      <c r="EX649" s="1705"/>
      <c r="EY649" s="1705"/>
      <c r="EZ649" s="1709"/>
      <c r="FA649" s="1705"/>
      <c r="FB649" s="1705"/>
      <c r="FC649" s="1705"/>
      <c r="FD649" s="1709"/>
      <c r="FE649" s="1705"/>
      <c r="FF649" s="1705"/>
      <c r="FG649" s="1705"/>
      <c r="FH649" s="1705"/>
      <c r="FI649" s="1705"/>
      <c r="FJ649" s="1715"/>
    </row>
    <row r="650" spans="1:166" ht="14" hidden="1" customHeight="1">
      <c r="A650" s="1698" t="s">
        <v>988</v>
      </c>
      <c r="B650" s="1723">
        <v>43</v>
      </c>
      <c r="C650" s="1723">
        <v>3</v>
      </c>
      <c r="D650" s="1723"/>
      <c r="E650" s="1700" t="s">
        <v>2111</v>
      </c>
      <c r="F650" s="181" t="s">
        <v>2370</v>
      </c>
      <c r="G650" s="1701">
        <v>1998</v>
      </c>
      <c r="H650" s="1698">
        <v>9676829</v>
      </c>
      <c r="I650" s="1698">
        <v>1</v>
      </c>
      <c r="J650" s="1698">
        <v>1</v>
      </c>
      <c r="K650" s="1698"/>
      <c r="L650" s="1698">
        <v>1</v>
      </c>
      <c r="M650" s="1698"/>
      <c r="N650" s="1698">
        <v>1</v>
      </c>
      <c r="O650" s="1698">
        <v>2</v>
      </c>
      <c r="P650" s="1698" t="s">
        <v>1220</v>
      </c>
      <c r="Q650" s="1698" t="s">
        <v>1216</v>
      </c>
      <c r="R650" s="1698" t="s">
        <v>1127</v>
      </c>
      <c r="S650" s="1698"/>
      <c r="T650" s="1698" t="s">
        <v>1525</v>
      </c>
      <c r="U650" s="1698" t="s">
        <v>803</v>
      </c>
      <c r="V650" s="1698"/>
      <c r="W650" s="1698" t="s">
        <v>1526</v>
      </c>
      <c r="X650" s="1698"/>
      <c r="Y650" s="1698"/>
      <c r="Z650" s="1698"/>
      <c r="AA650" s="1698"/>
      <c r="AB650" s="1698"/>
      <c r="AC650" s="1702"/>
      <c r="AD650" s="1702">
        <v>1</v>
      </c>
      <c r="AE650" s="1702">
        <v>2</v>
      </c>
      <c r="AF650" s="1703">
        <v>1</v>
      </c>
      <c r="AG650" s="1704" t="s">
        <v>8179</v>
      </c>
      <c r="AH650" s="1705"/>
      <c r="AI650" s="1705">
        <v>4</v>
      </c>
      <c r="AJ650" s="1705"/>
      <c r="AK650" s="1720"/>
      <c r="AL650" s="1706">
        <v>2</v>
      </c>
      <c r="AM650" s="1707">
        <v>0</v>
      </c>
      <c r="AN650" s="1705">
        <f>Table66[[#This Row],[Data_Subjects_n_ptsd]]+Table66[[#This Row],[Data_Subjects_n_control]]</f>
        <v>12</v>
      </c>
      <c r="AO650" s="1705">
        <v>6</v>
      </c>
      <c r="AP650" s="1705">
        <v>6</v>
      </c>
      <c r="AQ650" s="1705" t="s">
        <v>803</v>
      </c>
      <c r="AR650" s="1705" t="s">
        <v>803</v>
      </c>
      <c r="AS650" s="1705" t="s">
        <v>7497</v>
      </c>
      <c r="AT650" s="1705" t="s">
        <v>24</v>
      </c>
      <c r="AU650" s="1705" t="s">
        <v>7497</v>
      </c>
      <c r="AV650" s="1705" t="s">
        <v>24</v>
      </c>
      <c r="AW650" s="1705" t="s">
        <v>3548</v>
      </c>
      <c r="AX650" s="1705"/>
      <c r="AY650" s="1705"/>
      <c r="AZ650" s="1705" t="s">
        <v>1721</v>
      </c>
      <c r="BA650" s="1705">
        <v>1</v>
      </c>
      <c r="BB650" s="1705">
        <v>1</v>
      </c>
      <c r="BC650" s="1705" t="s">
        <v>3531</v>
      </c>
      <c r="BD650" s="1705" t="s">
        <v>7523</v>
      </c>
      <c r="BE650" s="1705"/>
      <c r="BF650" s="1705" t="s">
        <v>1130</v>
      </c>
      <c r="BG650" s="1705" t="s">
        <v>3279</v>
      </c>
      <c r="BH650" s="1706"/>
      <c r="BI650" s="1706"/>
      <c r="BJ650" s="1708"/>
      <c r="BK650" s="1708"/>
      <c r="BL650" s="1708"/>
      <c r="BM650" s="1708"/>
      <c r="BN650" s="1708"/>
      <c r="BO650" s="1708"/>
      <c r="BP650" s="1708">
        <v>1</v>
      </c>
      <c r="BQ650" s="1708"/>
      <c r="BR650" s="1708"/>
      <c r="BS650" s="1708"/>
      <c r="BT650" s="1708"/>
      <c r="BU650" s="1708"/>
      <c r="BV650" s="1708"/>
      <c r="BW650" s="1708" t="s">
        <v>7466</v>
      </c>
      <c r="BX650" s="1709" t="s">
        <v>7467</v>
      </c>
      <c r="BY650" s="1709" t="s">
        <v>7613</v>
      </c>
      <c r="BZ650" s="1709" t="s">
        <v>803</v>
      </c>
      <c r="CA650" s="1708">
        <v>1</v>
      </c>
      <c r="CB650" s="1734" t="s">
        <v>7556</v>
      </c>
      <c r="CC650" s="1709" t="s">
        <v>7384</v>
      </c>
      <c r="CD650" s="1705" t="s">
        <v>1876</v>
      </c>
      <c r="CE650" s="1705" t="s">
        <v>3533</v>
      </c>
      <c r="CF650" s="1705" t="s">
        <v>7994</v>
      </c>
      <c r="CG650" s="1705" t="s">
        <v>3538</v>
      </c>
      <c r="CH650" s="1705" t="s">
        <v>1512</v>
      </c>
      <c r="CI650" s="1705" t="s">
        <v>2471</v>
      </c>
      <c r="CJ650" s="1705"/>
      <c r="CK650" s="1705" t="s">
        <v>3534</v>
      </c>
      <c r="CL650" s="134" t="s">
        <v>8216</v>
      </c>
      <c r="CM650" s="1710" t="s">
        <v>3547</v>
      </c>
      <c r="CN650" s="1711" t="s">
        <v>24</v>
      </c>
      <c r="CO650" s="1711">
        <v>62</v>
      </c>
      <c r="CP650" s="1711">
        <v>2</v>
      </c>
      <c r="CQ650" s="1711">
        <v>1</v>
      </c>
      <c r="CR650" s="1711">
        <v>0</v>
      </c>
      <c r="CS650" s="1711">
        <v>1</v>
      </c>
      <c r="CT650" s="1711"/>
      <c r="CU650" s="1711" t="s">
        <v>8104</v>
      </c>
      <c r="CV650" s="1710">
        <v>115</v>
      </c>
      <c r="CW650" s="1710">
        <v>105</v>
      </c>
      <c r="CX650" s="1709" t="s">
        <v>3539</v>
      </c>
      <c r="CY650" s="1705">
        <v>37.521500000000003</v>
      </c>
      <c r="CZ650" s="1715">
        <f>43.7423-Table66[[#This Row],[Data_Outcome1_M]]</f>
        <v>6.220799999999997</v>
      </c>
      <c r="DA650" s="1705" t="s">
        <v>24</v>
      </c>
      <c r="DB650" s="1709" t="s">
        <v>3540</v>
      </c>
      <c r="DC650" s="1705">
        <v>63.921999999999997</v>
      </c>
      <c r="DD650" s="1705">
        <f>76.5082-Table66[[#This Row],[Data_Outcome2_M]]</f>
        <v>12.586200000000005</v>
      </c>
      <c r="DE650" s="1705" t="s">
        <v>24</v>
      </c>
      <c r="DF650" s="1711" t="s">
        <v>7991</v>
      </c>
      <c r="DG650" s="1705" t="s">
        <v>3541</v>
      </c>
      <c r="DH650" s="1709"/>
      <c r="DI650" s="1705"/>
      <c r="DJ650" s="1715"/>
      <c r="DK650" s="1705"/>
      <c r="DL650" s="1717"/>
      <c r="DM650" s="1705"/>
      <c r="DN650" s="1715"/>
      <c r="DO650" s="1705"/>
      <c r="DP650" s="1710"/>
      <c r="DQ650" s="1706"/>
      <c r="DR650" s="1716"/>
      <c r="DS650" s="1717"/>
      <c r="DT650" s="1717"/>
      <c r="DU650" s="1715"/>
      <c r="DV650" s="1715"/>
      <c r="DW650" s="1715"/>
      <c r="DX650" s="1715"/>
      <c r="DY650" s="1715"/>
      <c r="DZ650" s="1715"/>
      <c r="EA650" s="1715"/>
      <c r="EB650" s="1716"/>
      <c r="EC650" s="1715"/>
      <c r="ED650" s="1715"/>
      <c r="EE650" s="1715"/>
      <c r="EF650" s="1715"/>
      <c r="EG650" s="1715"/>
      <c r="EH650" s="1715"/>
      <c r="EI650" s="1715"/>
      <c r="EJ650" s="1715"/>
      <c r="EK650" s="1715"/>
      <c r="EL650" s="1716"/>
      <c r="EM650" s="1715"/>
      <c r="EN650" s="1716"/>
      <c r="EO650" s="1715"/>
      <c r="EP650" s="1715"/>
      <c r="EQ650" s="1715"/>
      <c r="ER650" s="1715"/>
      <c r="ES650" s="1715"/>
      <c r="ET650" s="1717"/>
      <c r="EU650" s="1715"/>
      <c r="EV650" s="1715"/>
      <c r="EW650" s="1715"/>
      <c r="EX650" s="1715"/>
      <c r="EY650" s="1715"/>
      <c r="EZ650" s="1717"/>
      <c r="FA650" s="1715"/>
      <c r="FB650" s="1715"/>
      <c r="FC650" s="1715"/>
      <c r="FD650" s="1717"/>
      <c r="FE650" s="1715"/>
      <c r="FF650" s="1715"/>
      <c r="FG650" s="1715"/>
      <c r="FH650" s="1715"/>
      <c r="FI650" s="1715"/>
      <c r="FJ650" s="1715"/>
    </row>
    <row r="651" spans="1:166" ht="14" hidden="1" customHeight="1">
      <c r="A651" s="79" t="s">
        <v>970</v>
      </c>
      <c r="B651" s="362">
        <v>224</v>
      </c>
      <c r="C651" s="362">
        <v>81</v>
      </c>
      <c r="D651" s="362"/>
      <c r="E651" s="604" t="s">
        <v>2118</v>
      </c>
      <c r="F651" s="124" t="s">
        <v>2377</v>
      </c>
      <c r="G651" s="125">
        <v>2016</v>
      </c>
      <c r="H651" s="79">
        <v>27297027</v>
      </c>
      <c r="I651" s="79">
        <v>1</v>
      </c>
      <c r="J651" s="126">
        <v>1</v>
      </c>
      <c r="K651" s="127"/>
      <c r="L651" s="79">
        <v>1</v>
      </c>
      <c r="M651" s="79"/>
      <c r="N651" s="79">
        <v>1</v>
      </c>
      <c r="O651" s="128">
        <v>2</v>
      </c>
      <c r="P651" s="79" t="s">
        <v>1588</v>
      </c>
      <c r="Q651" s="79" t="s">
        <v>1216</v>
      </c>
      <c r="R651" s="79" t="s">
        <v>1127</v>
      </c>
      <c r="S651" s="79"/>
      <c r="T651" s="79" t="s">
        <v>1498</v>
      </c>
      <c r="U651" s="79"/>
      <c r="V651" s="79"/>
      <c r="W651" s="79" t="s">
        <v>1583</v>
      </c>
      <c r="X651" s="79" t="s">
        <v>1582</v>
      </c>
      <c r="Y651" s="79"/>
      <c r="Z651" s="79"/>
      <c r="AA651" s="79" t="s">
        <v>1581</v>
      </c>
      <c r="AB651" s="79"/>
      <c r="AC651" s="506"/>
      <c r="AD651" s="573">
        <v>1</v>
      </c>
      <c r="AE651" s="573">
        <v>2</v>
      </c>
      <c r="AF651" s="154">
        <v>1</v>
      </c>
      <c r="AG651" s="155" t="s">
        <v>5671</v>
      </c>
      <c r="AH651" s="704"/>
      <c r="AI651" s="121">
        <v>4</v>
      </c>
      <c r="AJ651" s="484" t="s">
        <v>5695</v>
      </c>
      <c r="AK651" s="202" t="s">
        <v>5705</v>
      </c>
      <c r="AL651" s="192" t="s">
        <v>8056</v>
      </c>
      <c r="AM651" s="215">
        <v>0</v>
      </c>
      <c r="AN651" s="134">
        <f>Table66[[#This Row],[Data_Subjects_n_ptsd]]+Table66[[#This Row],[Data_Subjects_n_control]]</f>
        <v>24</v>
      </c>
      <c r="AO651" s="134">
        <v>12</v>
      </c>
      <c r="AP651" s="134">
        <v>12</v>
      </c>
      <c r="AQ651" s="134" t="s">
        <v>803</v>
      </c>
      <c r="AR651" s="134" t="s">
        <v>803</v>
      </c>
      <c r="AS651" s="150" t="s">
        <v>2687</v>
      </c>
      <c r="AT651" s="150" t="s">
        <v>24</v>
      </c>
      <c r="AU651" s="150" t="s">
        <v>2687</v>
      </c>
      <c r="AV651" s="134" t="s">
        <v>24</v>
      </c>
      <c r="AW651" s="134" t="s">
        <v>5665</v>
      </c>
      <c r="AX651" s="134">
        <v>10</v>
      </c>
      <c r="AY651" s="134">
        <v>1</v>
      </c>
      <c r="AZ651" s="753" t="s">
        <v>1814</v>
      </c>
      <c r="BA651" s="134">
        <v>1</v>
      </c>
      <c r="BB651" s="134" t="s">
        <v>5664</v>
      </c>
      <c r="BC651" s="134" t="s">
        <v>5662</v>
      </c>
      <c r="BD651" s="753" t="s">
        <v>7522</v>
      </c>
      <c r="BE651" s="753"/>
      <c r="BF651" s="134" t="s">
        <v>3698</v>
      </c>
      <c r="BG651" s="134" t="s">
        <v>4508</v>
      </c>
      <c r="BH651" s="594"/>
      <c r="BI651" s="594"/>
      <c r="BJ651" s="156"/>
      <c r="BK651" s="156"/>
      <c r="BL651" s="156"/>
      <c r="BM651" s="156"/>
      <c r="BN651" s="156"/>
      <c r="BO651" s="156"/>
      <c r="BP651" s="156">
        <v>1</v>
      </c>
      <c r="BQ651" s="156"/>
      <c r="BR651" s="156"/>
      <c r="BS651" s="156"/>
      <c r="BT651" s="156"/>
      <c r="BU651" s="156"/>
      <c r="BV651" s="156"/>
      <c r="BW651" s="595" t="s">
        <v>3282</v>
      </c>
      <c r="BX651" s="157" t="s">
        <v>6617</v>
      </c>
      <c r="BY651" s="797" t="s">
        <v>7614</v>
      </c>
      <c r="BZ651" s="789" t="s">
        <v>803</v>
      </c>
      <c r="CA651" s="765">
        <v>2</v>
      </c>
      <c r="CB651" s="772" t="s">
        <v>7556</v>
      </c>
      <c r="CC651" s="1724" t="s">
        <v>7384</v>
      </c>
      <c r="CD651" s="134" t="s">
        <v>1876</v>
      </c>
      <c r="CE651" s="134" t="s">
        <v>5663</v>
      </c>
      <c r="CF651" s="400" t="s">
        <v>7599</v>
      </c>
      <c r="CG651" s="134" t="s">
        <v>5669</v>
      </c>
      <c r="CH651" s="753" t="s">
        <v>1512</v>
      </c>
      <c r="CI651" s="134" t="s">
        <v>5667</v>
      </c>
      <c r="CJ651" s="134"/>
      <c r="CK651" s="134" t="s">
        <v>5670</v>
      </c>
      <c r="CL651" s="134" t="s">
        <v>8216</v>
      </c>
      <c r="CM651" s="259" t="s">
        <v>5702</v>
      </c>
      <c r="CN651" s="454" t="s">
        <v>24</v>
      </c>
      <c r="CO651" s="828">
        <v>72</v>
      </c>
      <c r="CP651" s="828">
        <v>1</v>
      </c>
      <c r="CQ651" s="828">
        <v>6</v>
      </c>
      <c r="CR651" s="828">
        <v>1</v>
      </c>
      <c r="CS651" s="828">
        <v>1</v>
      </c>
      <c r="CT651" s="967"/>
      <c r="CU651" s="1289" t="s">
        <v>8104</v>
      </c>
      <c r="CV651" s="1295">
        <v>120</v>
      </c>
      <c r="CW651" s="1295">
        <v>109</v>
      </c>
      <c r="CX651" s="427" t="s">
        <v>5688</v>
      </c>
      <c r="CY651" s="424">
        <v>12.717499999999999</v>
      </c>
      <c r="CZ651" s="424" t="s">
        <v>24</v>
      </c>
      <c r="DA651" s="424">
        <f>13.4131-Table66[[#This Row],[Data_Outcome1_M]]</f>
        <v>0.69560000000000066</v>
      </c>
      <c r="DB651" s="427" t="s">
        <v>5689</v>
      </c>
      <c r="DC651" s="134">
        <v>19.587</v>
      </c>
      <c r="DD651" s="134" t="s">
        <v>24</v>
      </c>
      <c r="DE651" s="134">
        <f>20.1957-Table66[[#This Row],[Data_Outcome2_M]]</f>
        <v>0.60869999999999891</v>
      </c>
      <c r="DF651" s="301" t="s">
        <v>5703</v>
      </c>
      <c r="DG651" s="301" t="s">
        <v>5704</v>
      </c>
      <c r="DH651" s="1171"/>
      <c r="DI651" s="1169"/>
      <c r="DJ651" s="1169"/>
      <c r="DK651" s="1169"/>
      <c r="DL651" s="1171"/>
      <c r="DM651" s="1169"/>
      <c r="DN651" s="1169"/>
      <c r="DO651" s="1169"/>
      <c r="DP651" s="288"/>
      <c r="DQ651" s="289"/>
      <c r="DR651" s="1168"/>
      <c r="DS651" s="865"/>
      <c r="DT651" s="1171"/>
      <c r="DU651" s="1169"/>
      <c r="DV651" s="1169"/>
      <c r="DW651" s="1169"/>
      <c r="DX651" s="1171"/>
      <c r="DY651" s="1169"/>
      <c r="DZ651" s="1169"/>
      <c r="EA651" s="1169"/>
      <c r="EB651" s="304"/>
      <c r="EC651" s="312"/>
      <c r="ED651" s="1171"/>
      <c r="EE651" s="1169"/>
      <c r="EF651" s="1169"/>
      <c r="EG651" s="1169"/>
      <c r="EH651" s="1171"/>
      <c r="EI651" s="1169"/>
      <c r="EJ651" s="1169"/>
      <c r="EK651" s="1169"/>
      <c r="EL651" s="304"/>
      <c r="EM651" s="312"/>
      <c r="EN651" s="309"/>
      <c r="EO651" s="1170"/>
      <c r="EP651" s="1171"/>
      <c r="EQ651" s="1169"/>
      <c r="ER651" s="1169"/>
      <c r="ES651" s="1169"/>
      <c r="ET651" s="1171"/>
      <c r="EU651" s="1169"/>
      <c r="EV651" s="1169"/>
      <c r="EW651" s="1169"/>
      <c r="EX651" s="312"/>
      <c r="EY651" s="312"/>
      <c r="EZ651" s="1174"/>
      <c r="FA651" s="1177"/>
      <c r="FB651" s="1177"/>
      <c r="FC651" s="1177"/>
      <c r="FD651" s="1174"/>
      <c r="FE651" s="1169"/>
      <c r="FF651" s="1169"/>
      <c r="FG651" s="1169"/>
      <c r="FH651" s="312"/>
      <c r="FI651" s="312"/>
      <c r="FJ651" s="1170"/>
    </row>
    <row r="652" spans="1:166" ht="14" customHeight="1">
      <c r="A652" s="876" t="s">
        <v>225</v>
      </c>
      <c r="B652" s="877">
        <v>28</v>
      </c>
      <c r="C652" s="877"/>
      <c r="D652" s="877"/>
      <c r="E652" s="878" t="s">
        <v>1987</v>
      </c>
      <c r="F652" s="879" t="s">
        <v>2213</v>
      </c>
      <c r="G652" s="880">
        <v>2008</v>
      </c>
      <c r="H652" s="876">
        <v>18313695</v>
      </c>
      <c r="I652" s="876">
        <v>1</v>
      </c>
      <c r="J652" s="876"/>
      <c r="K652" s="876"/>
      <c r="L652" s="876">
        <v>1</v>
      </c>
      <c r="M652" s="876"/>
      <c r="N652" s="876">
        <v>1</v>
      </c>
      <c r="O652" s="882">
        <v>1</v>
      </c>
      <c r="P652" s="876" t="s">
        <v>627</v>
      </c>
      <c r="Q652" s="876" t="s">
        <v>1142</v>
      </c>
      <c r="R652" s="876" t="s">
        <v>628</v>
      </c>
      <c r="S652" s="876">
        <v>1</v>
      </c>
      <c r="T652" s="876"/>
      <c r="U652" s="876"/>
      <c r="V652" s="876"/>
      <c r="W652" s="876" t="s">
        <v>629</v>
      </c>
      <c r="X652" s="876" t="s">
        <v>24</v>
      </c>
      <c r="Y652" s="876" t="s">
        <v>630</v>
      </c>
      <c r="Z652" s="876"/>
      <c r="AA652" s="876"/>
      <c r="AB652" s="876" t="s">
        <v>631</v>
      </c>
      <c r="AC652" s="883"/>
      <c r="AD652" s="884">
        <v>1</v>
      </c>
      <c r="AE652" s="884">
        <v>2</v>
      </c>
      <c r="AF652" s="885">
        <v>1</v>
      </c>
      <c r="AG652" s="160" t="s">
        <v>7949</v>
      </c>
      <c r="AH652" s="704"/>
      <c r="AI652" s="883">
        <v>0</v>
      </c>
      <c r="AJ652" s="888"/>
      <c r="AK652" s="889"/>
      <c r="AL652" s="890">
        <v>1</v>
      </c>
      <c r="AM652" s="891">
        <v>0</v>
      </c>
      <c r="AN652" s="122">
        <f>Table66[[#This Row],[Data_Subjects_n_ptsd]]+Table66[[#This Row],[Data_Subjects_n_control]]</f>
        <v>21</v>
      </c>
      <c r="AO652" s="122">
        <f>7</f>
        <v>7</v>
      </c>
      <c r="AP652" s="122">
        <v>14</v>
      </c>
      <c r="AQ652" s="122" t="s">
        <v>803</v>
      </c>
      <c r="AR652" s="150" t="s">
        <v>803</v>
      </c>
      <c r="AS652" s="150">
        <v>58.1</v>
      </c>
      <c r="AT652" s="150">
        <v>2.8</v>
      </c>
      <c r="AU652" s="150">
        <v>59.1</v>
      </c>
      <c r="AV652" s="150">
        <v>2.5</v>
      </c>
      <c r="AW652" s="150" t="s">
        <v>1874</v>
      </c>
      <c r="AX652" s="122"/>
      <c r="AY652" s="122"/>
      <c r="AZ652" s="754" t="s">
        <v>1874</v>
      </c>
      <c r="BA652" s="122" t="s">
        <v>24</v>
      </c>
      <c r="BB652" s="122" t="s">
        <v>24</v>
      </c>
      <c r="BC652" s="122" t="s">
        <v>7951</v>
      </c>
      <c r="BD652" s="754" t="s">
        <v>7522</v>
      </c>
      <c r="BE652" s="187">
        <v>1</v>
      </c>
      <c r="BF652" s="883" t="s">
        <v>2875</v>
      </c>
      <c r="BG652" s="883" t="s">
        <v>1875</v>
      </c>
      <c r="BH652" s="892"/>
      <c r="BI652" s="892"/>
      <c r="BJ652" s="893">
        <v>1</v>
      </c>
      <c r="BK652" s="893"/>
      <c r="BL652" s="893"/>
      <c r="BM652" s="893"/>
      <c r="BN652" s="893"/>
      <c r="BO652" s="893"/>
      <c r="BP652" s="893"/>
      <c r="BQ652" s="893"/>
      <c r="BR652" s="893"/>
      <c r="BS652" s="893"/>
      <c r="BT652" s="893"/>
      <c r="BU652" s="893"/>
      <c r="BV652" s="893"/>
      <c r="BW652" s="894" t="s">
        <v>1891</v>
      </c>
      <c r="BX652" s="895" t="s">
        <v>6596</v>
      </c>
      <c r="BY652" s="896" t="s">
        <v>7615</v>
      </c>
      <c r="BZ652" s="897" t="s">
        <v>803</v>
      </c>
      <c r="CA652" s="898">
        <v>4</v>
      </c>
      <c r="CB652" s="1807" t="s">
        <v>7556</v>
      </c>
      <c r="CC652" s="772" t="s">
        <v>7955</v>
      </c>
      <c r="CD652" s="899" t="s">
        <v>1876</v>
      </c>
      <c r="CE652" s="899" t="s">
        <v>3136</v>
      </c>
      <c r="CF652" s="899"/>
      <c r="CG652" s="899" t="s">
        <v>3137</v>
      </c>
      <c r="CH652" s="899" t="s">
        <v>1488</v>
      </c>
      <c r="CI652" s="899" t="s">
        <v>24</v>
      </c>
      <c r="CJ652" s="899">
        <v>1</v>
      </c>
      <c r="CK652" s="899" t="s">
        <v>3138</v>
      </c>
      <c r="CL652" s="899" t="s">
        <v>630</v>
      </c>
      <c r="CM652" s="900" t="s">
        <v>3166</v>
      </c>
      <c r="CN652" s="901">
        <v>0</v>
      </c>
      <c r="CO652" s="829">
        <v>51</v>
      </c>
      <c r="CP652" s="829">
        <v>1</v>
      </c>
      <c r="CQ652" s="829">
        <v>18</v>
      </c>
      <c r="CR652" s="829">
        <v>1</v>
      </c>
      <c r="CS652" s="829">
        <v>-1</v>
      </c>
      <c r="CT652" s="968" t="s">
        <v>7837</v>
      </c>
      <c r="CU652" s="1291" t="s">
        <v>8102</v>
      </c>
      <c r="CV652" s="1295">
        <v>20</v>
      </c>
      <c r="CW652" s="1295">
        <v>22</v>
      </c>
      <c r="CX652" s="138" t="s">
        <v>3140</v>
      </c>
      <c r="CY652" s="134">
        <v>0.31679099999999999</v>
      </c>
      <c r="CZ652" s="134" t="s">
        <v>24</v>
      </c>
      <c r="DA652" s="134">
        <f>0.425933-Table66[[#This Row],[Data_Outcome1_M]]</f>
        <v>0.10914200000000002</v>
      </c>
      <c r="DB652" s="138" t="s">
        <v>3146</v>
      </c>
      <c r="DC652" s="134">
        <v>0.321828</v>
      </c>
      <c r="DD652" s="134" t="s">
        <v>24</v>
      </c>
      <c r="DE652" s="134">
        <f>0.437687-Table66[[#This Row],[Data_Outcome2_M]]</f>
        <v>0.11585899999999999</v>
      </c>
      <c r="DF652" s="1005"/>
      <c r="DG652" s="1006"/>
      <c r="DH652" s="1220"/>
      <c r="DI652" s="1218"/>
      <c r="DJ652" s="1218"/>
      <c r="DK652" s="1218"/>
      <c r="DL652" s="1220"/>
      <c r="DM652" s="1218"/>
      <c r="DN652" s="1218"/>
      <c r="DO652" s="1218"/>
      <c r="DP652" s="904"/>
      <c r="DQ652" s="905"/>
      <c r="DR652" s="1223"/>
      <c r="DS652" s="1224"/>
      <c r="DT652" s="1220"/>
      <c r="DU652" s="1218"/>
      <c r="DV652" s="1218"/>
      <c r="DW652" s="1218"/>
      <c r="DX652" s="1220"/>
      <c r="DY652" s="1218"/>
      <c r="DZ652" s="1218"/>
      <c r="EA652" s="1218"/>
      <c r="EB652" s="1010"/>
      <c r="EC652" s="1011"/>
      <c r="ED652" s="1220"/>
      <c r="EE652" s="1218"/>
      <c r="EF652" s="1218"/>
      <c r="EG652" s="1218"/>
      <c r="EH652" s="1220"/>
      <c r="EI652" s="1218"/>
      <c r="EJ652" s="1218"/>
      <c r="EK652" s="1218"/>
      <c r="EL652" s="1010"/>
      <c r="EM652" s="1011"/>
      <c r="EN652" s="1223"/>
      <c r="EO652" s="1219"/>
      <c r="EP652" s="1218"/>
      <c r="EQ652" s="1218"/>
      <c r="ER652" s="1218"/>
      <c r="ES652" s="1218"/>
      <c r="ET652" s="1220"/>
      <c r="EU652" s="1218"/>
      <c r="EV652" s="1218"/>
      <c r="EW652" s="1218"/>
      <c r="EX652" s="1011"/>
      <c r="EY652" s="1011"/>
      <c r="EZ652" s="1220"/>
      <c r="FA652" s="1218"/>
      <c r="FB652" s="1218"/>
      <c r="FC652" s="1218"/>
      <c r="FD652" s="1220"/>
      <c r="FE652" s="1218"/>
      <c r="FF652" s="1218"/>
      <c r="FG652" s="1218"/>
      <c r="FH652" s="1011"/>
      <c r="FI652" s="1011"/>
      <c r="FJ652" s="1219"/>
    </row>
    <row r="653" spans="1:166" ht="14" customHeight="1">
      <c r="A653" s="79" t="s">
        <v>1019</v>
      </c>
      <c r="B653" s="614">
        <v>29</v>
      </c>
      <c r="C653" s="614"/>
      <c r="D653" s="614"/>
      <c r="E653" s="604" t="s">
        <v>2094</v>
      </c>
      <c r="F653" s="124" t="s">
        <v>2349</v>
      </c>
      <c r="G653" s="125">
        <v>2013</v>
      </c>
      <c r="H653" s="79">
        <v>23474020</v>
      </c>
      <c r="I653" s="79">
        <v>1</v>
      </c>
      <c r="J653" s="126"/>
      <c r="K653" s="127"/>
      <c r="L653" s="79">
        <v>1</v>
      </c>
      <c r="M653" s="79"/>
      <c r="N653" s="153">
        <v>1</v>
      </c>
      <c r="O653" s="128">
        <v>2</v>
      </c>
      <c r="P653" s="79" t="s">
        <v>1419</v>
      </c>
      <c r="Q653" s="79" t="s">
        <v>1216</v>
      </c>
      <c r="R653" s="79" t="s">
        <v>1127</v>
      </c>
      <c r="S653" s="79"/>
      <c r="T653" s="79" t="s">
        <v>1487</v>
      </c>
      <c r="U653" s="79"/>
      <c r="V653" s="79"/>
      <c r="W653" s="79" t="s">
        <v>1418</v>
      </c>
      <c r="X653" s="79"/>
      <c r="Y653" s="79"/>
      <c r="Z653" s="79"/>
      <c r="AA653" s="79" t="s">
        <v>1666</v>
      </c>
      <c r="AB653" s="79" t="s">
        <v>1665</v>
      </c>
      <c r="AC653" s="506"/>
      <c r="AD653" s="573">
        <v>1</v>
      </c>
      <c r="AE653" s="573">
        <v>2</v>
      </c>
      <c r="AF653" s="154">
        <v>1</v>
      </c>
      <c r="AG653" s="155" t="s">
        <v>3178</v>
      </c>
      <c r="AH653" s="704" t="s">
        <v>7546</v>
      </c>
      <c r="AI653" s="121">
        <v>4</v>
      </c>
      <c r="AJ653" s="484"/>
      <c r="AK653" s="202" t="s">
        <v>3176</v>
      </c>
      <c r="AL653" s="192">
        <v>1</v>
      </c>
      <c r="AM653" s="203" t="s">
        <v>7547</v>
      </c>
      <c r="AN653" s="121">
        <f>Table66[[#This Row],[Data_Subjects_n_ptsd]]+Table66[[#This Row],[Data_Subjects_n_control]]</f>
        <v>18</v>
      </c>
      <c r="AO653" s="121">
        <f>(10 + 8)/2</f>
        <v>9</v>
      </c>
      <c r="AP653" s="121">
        <f>(10 + 8)/2</f>
        <v>9</v>
      </c>
      <c r="AQ653" s="121" t="s">
        <v>1878</v>
      </c>
      <c r="AR653" s="134" t="s">
        <v>1878</v>
      </c>
      <c r="AS653" s="134" t="s">
        <v>7487</v>
      </c>
      <c r="AT653" s="134" t="s">
        <v>24</v>
      </c>
      <c r="AU653" s="134" t="s">
        <v>7487</v>
      </c>
      <c r="AV653" s="134" t="s">
        <v>24</v>
      </c>
      <c r="AW653" s="134" t="s">
        <v>2963</v>
      </c>
      <c r="AX653" s="121"/>
      <c r="AY653" s="121"/>
      <c r="AZ653" s="754" t="s">
        <v>1487</v>
      </c>
      <c r="BA653" s="121">
        <v>1</v>
      </c>
      <c r="BB653" s="121">
        <v>1</v>
      </c>
      <c r="BC653" s="121" t="s">
        <v>7548</v>
      </c>
      <c r="BD653" s="754" t="s">
        <v>7523</v>
      </c>
      <c r="BE653" s="754"/>
      <c r="BF653" s="121" t="s">
        <v>2912</v>
      </c>
      <c r="BG653" s="121" t="s">
        <v>2798</v>
      </c>
      <c r="BH653" s="594"/>
      <c r="BI653" s="594"/>
      <c r="BJ653" s="156">
        <v>1</v>
      </c>
      <c r="BK653" s="156"/>
      <c r="BL653" s="156"/>
      <c r="BM653" s="156"/>
      <c r="BN653" s="156"/>
      <c r="BO653" s="156"/>
      <c r="BP653" s="156"/>
      <c r="BQ653" s="156"/>
      <c r="BR653" s="156"/>
      <c r="BS653" s="156"/>
      <c r="BT653" s="156"/>
      <c r="BU653" s="156"/>
      <c r="BV653" s="156"/>
      <c r="BW653" s="595" t="s">
        <v>3194</v>
      </c>
      <c r="BX653" s="157" t="s">
        <v>6598</v>
      </c>
      <c r="BY653" s="797" t="s">
        <v>7615</v>
      </c>
      <c r="BZ653" s="789" t="s">
        <v>803</v>
      </c>
      <c r="CA653" s="765">
        <v>4</v>
      </c>
      <c r="CB653" s="772" t="s">
        <v>7556</v>
      </c>
      <c r="CC653" s="765" t="s">
        <v>7384</v>
      </c>
      <c r="CD653" s="134" t="s">
        <v>1876</v>
      </c>
      <c r="CE653" s="134" t="s">
        <v>3177</v>
      </c>
      <c r="CF653" s="400" t="s">
        <v>7956</v>
      </c>
      <c r="CG653" s="134" t="s">
        <v>7564</v>
      </c>
      <c r="CH653" s="753" t="s">
        <v>1488</v>
      </c>
      <c r="CI653" s="134" t="s">
        <v>3175</v>
      </c>
      <c r="CJ653" s="134"/>
      <c r="CK653" s="134" t="s">
        <v>2659</v>
      </c>
      <c r="CL653" s="134" t="s">
        <v>2659</v>
      </c>
      <c r="CM653" s="259" t="s">
        <v>3202</v>
      </c>
      <c r="CN653" s="454" t="s">
        <v>6627</v>
      </c>
      <c r="CO653" s="828">
        <v>52</v>
      </c>
      <c r="CP653" s="828">
        <v>1</v>
      </c>
      <c r="CQ653" s="828">
        <v>1</v>
      </c>
      <c r="CR653" s="828">
        <v>1</v>
      </c>
      <c r="CS653" s="828">
        <v>1</v>
      </c>
      <c r="CT653" s="967"/>
      <c r="CU653" s="1289" t="s">
        <v>8104</v>
      </c>
      <c r="CV653" s="1295">
        <v>106</v>
      </c>
      <c r="CW653" s="1295">
        <v>97</v>
      </c>
      <c r="CX653" s="138" t="s">
        <v>3181</v>
      </c>
      <c r="CY653" s="134">
        <v>58.611199999999997</v>
      </c>
      <c r="CZ653" s="134" t="s">
        <v>24</v>
      </c>
      <c r="DA653" s="134">
        <f>61.3098-Table66[[#This Row],[Data_Outcome1_M]]</f>
        <v>2.6986000000000061</v>
      </c>
      <c r="DB653" s="138" t="s">
        <v>3182</v>
      </c>
      <c r="DC653" s="134">
        <v>32.091999999999999</v>
      </c>
      <c r="DD653" s="134" t="s">
        <v>24</v>
      </c>
      <c r="DE653" s="134">
        <f>33.9967-Table66[[#This Row],[Data_Outcome2_M]]</f>
        <v>1.9046999999999983</v>
      </c>
      <c r="DF653" s="294" t="s">
        <v>3195</v>
      </c>
      <c r="DG653" s="295" t="s">
        <v>3060</v>
      </c>
      <c r="DH653" s="1179"/>
      <c r="DI653" s="417"/>
      <c r="DJ653" s="1169"/>
      <c r="DK653" s="417"/>
      <c r="DL653" s="1169"/>
      <c r="DM653" s="417"/>
      <c r="DN653" s="1169"/>
      <c r="DO653" s="1151"/>
      <c r="DP653" s="288"/>
      <c r="DQ653" s="441"/>
      <c r="DR653" s="1168"/>
      <c r="DS653" s="865"/>
      <c r="DT653" s="1171"/>
      <c r="DU653" s="121"/>
      <c r="DV653" s="1169"/>
      <c r="DW653" s="121"/>
      <c r="DX653" s="1169"/>
      <c r="DY653" s="121"/>
      <c r="DZ653" s="1169"/>
      <c r="EA653" s="121"/>
      <c r="EB653" s="304"/>
      <c r="EC653" s="312"/>
      <c r="ED653" s="1169"/>
      <c r="EE653" s="121"/>
      <c r="EF653" s="1169"/>
      <c r="EG653" s="121"/>
      <c r="EH653" s="1169"/>
      <c r="EI653" s="121"/>
      <c r="EJ653" s="1169"/>
      <c r="EK653" s="121"/>
      <c r="EL653" s="304"/>
      <c r="EM653" s="312"/>
      <c r="EN653" s="309"/>
      <c r="EO653" s="1170"/>
      <c r="EP653" s="1169"/>
      <c r="EQ653" s="1169"/>
      <c r="ER653" s="1169"/>
      <c r="ES653" s="1169"/>
      <c r="ET653" s="1169"/>
      <c r="EU653" s="1169"/>
      <c r="EV653" s="1169"/>
      <c r="EW653" s="1169"/>
      <c r="EX653" s="312"/>
      <c r="EY653" s="312"/>
      <c r="EZ653" s="1169"/>
      <c r="FA653" s="1169"/>
      <c r="FB653" s="1169"/>
      <c r="FC653" s="1169"/>
      <c r="FD653" s="1169"/>
      <c r="FE653" s="1169"/>
      <c r="FF653" s="1169"/>
      <c r="FG653" s="1169"/>
      <c r="FH653" s="312"/>
      <c r="FI653" s="312"/>
      <c r="FJ653" s="1170"/>
    </row>
    <row r="654" spans="1:166" ht="15" hidden="1" customHeight="1">
      <c r="A654" s="153" t="s">
        <v>969</v>
      </c>
      <c r="B654" s="618">
        <v>46</v>
      </c>
      <c r="C654" s="618"/>
      <c r="D654" s="618"/>
      <c r="E654" s="610" t="s">
        <v>2118</v>
      </c>
      <c r="F654" s="368" t="s">
        <v>2378</v>
      </c>
      <c r="G654" s="369">
        <v>2014</v>
      </c>
      <c r="H654" s="153">
        <v>24667363</v>
      </c>
      <c r="I654" s="153">
        <v>1</v>
      </c>
      <c r="J654" s="370">
        <v>1</v>
      </c>
      <c r="K654" s="371"/>
      <c r="L654" s="153">
        <v>1</v>
      </c>
      <c r="M654" s="153"/>
      <c r="N654" s="153">
        <v>1</v>
      </c>
      <c r="O654" s="153">
        <v>2</v>
      </c>
      <c r="P654" s="153" t="s">
        <v>1588</v>
      </c>
      <c r="Q654" s="153" t="s">
        <v>1216</v>
      </c>
      <c r="R654" s="153" t="s">
        <v>1127</v>
      </c>
      <c r="S654" s="153"/>
      <c r="T654" s="153" t="s">
        <v>1501</v>
      </c>
      <c r="U654" s="153" t="s">
        <v>1539</v>
      </c>
      <c r="V654" s="153"/>
      <c r="W654" s="153" t="s">
        <v>1589</v>
      </c>
      <c r="X654" s="153" t="s">
        <v>1213</v>
      </c>
      <c r="Y654" s="153"/>
      <c r="Z654" s="153"/>
      <c r="AA654" s="153"/>
      <c r="AB654" s="153"/>
      <c r="AC654" s="536"/>
      <c r="AD654" s="536">
        <v>1</v>
      </c>
      <c r="AE654" s="536">
        <v>2</v>
      </c>
      <c r="AF654" s="165">
        <v>0</v>
      </c>
      <c r="AG654" s="166" t="s">
        <v>7238</v>
      </c>
      <c r="AH654" s="509"/>
      <c r="AI654" s="120">
        <v>4</v>
      </c>
      <c r="AJ654" s="120"/>
      <c r="AK654" s="206"/>
      <c r="AL654" s="372"/>
      <c r="AM654" s="207"/>
      <c r="AN654" s="120"/>
      <c r="AO654" s="120"/>
      <c r="AP654" s="120"/>
      <c r="AQ654" s="120"/>
      <c r="AR654" s="120"/>
      <c r="AS654" s="120"/>
      <c r="AT654" s="120"/>
      <c r="AU654" s="120"/>
      <c r="AV654" s="120"/>
      <c r="AW654" s="120"/>
      <c r="AX654" s="120"/>
      <c r="AY654" s="120"/>
      <c r="AZ654" s="755"/>
      <c r="BA654" s="120"/>
      <c r="BB654" s="120"/>
      <c r="BC654" s="120"/>
      <c r="BD654" s="755"/>
      <c r="BE654" s="755"/>
      <c r="BF654" s="120"/>
      <c r="BG654" s="120"/>
      <c r="BH654" s="377"/>
      <c r="BI654" s="377"/>
      <c r="BJ654" s="373">
        <v>1</v>
      </c>
      <c r="BK654" s="373"/>
      <c r="BL654" s="373"/>
      <c r="BM654" s="373"/>
      <c r="BN654" s="373"/>
      <c r="BO654" s="373"/>
      <c r="BP654" s="373"/>
      <c r="BQ654" s="373"/>
      <c r="BR654" s="373"/>
      <c r="BS654" s="373"/>
      <c r="BT654" s="373"/>
      <c r="BU654" s="373"/>
      <c r="BV654" s="373"/>
      <c r="BW654" s="599"/>
      <c r="BX654" s="374"/>
      <c r="BY654" s="799"/>
      <c r="BZ654" s="374"/>
      <c r="CA654" s="511"/>
      <c r="CB654" s="781"/>
      <c r="CC654" s="511"/>
      <c r="CD654" s="120"/>
      <c r="CE654" s="120"/>
      <c r="CF654" s="786"/>
      <c r="CG654" s="120"/>
      <c r="CH654" s="755"/>
      <c r="CI654" s="120"/>
      <c r="CJ654" s="120"/>
      <c r="CK654" s="120"/>
      <c r="CL654" s="120"/>
      <c r="CM654" s="518"/>
      <c r="CN654" s="631"/>
      <c r="CO654" s="631"/>
      <c r="CP654" s="631"/>
      <c r="CQ654" s="631"/>
      <c r="CR654" s="631"/>
      <c r="CS654" s="631"/>
      <c r="CT654" s="631"/>
      <c r="CU654" s="631"/>
      <c r="CV654" s="1588"/>
      <c r="CW654" s="1588"/>
      <c r="CX654" s="376"/>
      <c r="CY654" s="120"/>
      <c r="CZ654" s="120"/>
      <c r="DA654" s="120"/>
      <c r="DB654" s="376"/>
      <c r="DC654" s="120"/>
      <c r="DD654" s="120"/>
      <c r="DE654" s="120"/>
      <c r="DF654" s="515"/>
      <c r="DG654" s="513"/>
      <c r="DH654" s="727"/>
      <c r="DI654" s="384"/>
      <c r="DJ654" s="384"/>
      <c r="DK654" s="384"/>
      <c r="DL654" s="727"/>
      <c r="DM654" s="384"/>
      <c r="DN654" s="384"/>
      <c r="DO654" s="384"/>
      <c r="DP654" s="375"/>
      <c r="DQ654" s="377"/>
      <c r="DR654" s="1182"/>
      <c r="DS654" s="956"/>
      <c r="DT654" s="727"/>
      <c r="DU654" s="384"/>
      <c r="DV654" s="384"/>
      <c r="DW654" s="384"/>
      <c r="DX654" s="384"/>
      <c r="DY654" s="384"/>
      <c r="DZ654" s="384"/>
      <c r="EA654" s="384"/>
      <c r="EB654" s="1012"/>
      <c r="EC654" s="384"/>
      <c r="ED654" s="384"/>
      <c r="EE654" s="384"/>
      <c r="EF654" s="384"/>
      <c r="EG654" s="384"/>
      <c r="EH654" s="384"/>
      <c r="EI654" s="384"/>
      <c r="EJ654" s="384"/>
      <c r="EK654" s="384"/>
      <c r="EL654" s="1012"/>
      <c r="EM654" s="384"/>
      <c r="EN654" s="1012"/>
      <c r="EO654" s="384"/>
      <c r="EP654" s="384"/>
      <c r="EQ654" s="384"/>
      <c r="ER654" s="384"/>
      <c r="ES654" s="384"/>
      <c r="ET654" s="727"/>
      <c r="EU654" s="384"/>
      <c r="EV654" s="384"/>
      <c r="EW654" s="384"/>
      <c r="EX654" s="384"/>
      <c r="EY654" s="384"/>
      <c r="EZ654" s="727"/>
      <c r="FA654" s="384"/>
      <c r="FB654" s="384"/>
      <c r="FC654" s="384"/>
      <c r="FD654" s="727"/>
      <c r="FE654" s="384"/>
      <c r="FF654" s="384"/>
      <c r="FG654" s="384"/>
      <c r="FH654" s="384"/>
      <c r="FI654" s="384"/>
      <c r="FJ654" s="384"/>
    </row>
    <row r="655" spans="1:166" ht="15" hidden="1" customHeight="1">
      <c r="A655" s="153" t="s">
        <v>315</v>
      </c>
      <c r="B655" s="618">
        <v>225</v>
      </c>
      <c r="C655" s="618">
        <v>82</v>
      </c>
      <c r="D655" s="618"/>
      <c r="E655" s="610" t="s">
        <v>2029</v>
      </c>
      <c r="F655" s="368" t="s">
        <v>2262</v>
      </c>
      <c r="G655" s="369">
        <v>2010</v>
      </c>
      <c r="H655" s="153">
        <v>21180658</v>
      </c>
      <c r="I655" s="153">
        <v>1</v>
      </c>
      <c r="J655" s="370"/>
      <c r="K655" s="371"/>
      <c r="L655" s="153">
        <v>1</v>
      </c>
      <c r="M655" s="153"/>
      <c r="N655" s="153">
        <v>1</v>
      </c>
      <c r="O655" s="153">
        <v>1</v>
      </c>
      <c r="P655" s="153" t="s">
        <v>1178</v>
      </c>
      <c r="Q655" s="153" t="s">
        <v>1142</v>
      </c>
      <c r="R655" s="153" t="s">
        <v>819</v>
      </c>
      <c r="S655" s="153">
        <v>1</v>
      </c>
      <c r="T655" s="153"/>
      <c r="U655" s="153"/>
      <c r="V655" s="153"/>
      <c r="W655" s="153" t="s">
        <v>820</v>
      </c>
      <c r="X655" s="153"/>
      <c r="Y655" s="153" t="s">
        <v>821</v>
      </c>
      <c r="Z655" s="153"/>
      <c r="AA655" s="153"/>
      <c r="AB655" s="153" t="s">
        <v>818</v>
      </c>
      <c r="AC655" s="536"/>
      <c r="AD655" s="536">
        <v>1</v>
      </c>
      <c r="AE655" s="536">
        <v>2</v>
      </c>
      <c r="AF655" s="165">
        <v>0</v>
      </c>
      <c r="AG655" s="166" t="s">
        <v>7249</v>
      </c>
      <c r="AH655" s="509">
        <v>0</v>
      </c>
      <c r="AI655" s="120">
        <v>2</v>
      </c>
      <c r="AJ655" s="120"/>
      <c r="AK655" s="206"/>
      <c r="AL655" s="372"/>
      <c r="AM655" s="207"/>
      <c r="AN655" s="120"/>
      <c r="AO655" s="120"/>
      <c r="AP655" s="120"/>
      <c r="AQ655" s="120"/>
      <c r="AR655" s="120"/>
      <c r="AS655" s="120"/>
      <c r="AT655" s="120"/>
      <c r="AU655" s="120"/>
      <c r="AV655" s="120"/>
      <c r="AW655" s="120"/>
      <c r="AX655" s="120"/>
      <c r="AY655" s="120"/>
      <c r="AZ655" s="755"/>
      <c r="BA655" s="120"/>
      <c r="BB655" s="120"/>
      <c r="BC655" s="120"/>
      <c r="BD655" s="755"/>
      <c r="BE655" s="755"/>
      <c r="BF655" s="120"/>
      <c r="BG655" s="120"/>
      <c r="BH655" s="377"/>
      <c r="BI655" s="377"/>
      <c r="BJ655" s="373"/>
      <c r="BK655" s="373"/>
      <c r="BL655" s="373"/>
      <c r="BM655" s="373"/>
      <c r="BN655" s="373"/>
      <c r="BO655" s="373"/>
      <c r="BP655" s="373">
        <v>1</v>
      </c>
      <c r="BQ655" s="373"/>
      <c r="BR655" s="373"/>
      <c r="BS655" s="373"/>
      <c r="BT655" s="373"/>
      <c r="BU655" s="373"/>
      <c r="BV655" s="373"/>
      <c r="BW655" s="599"/>
      <c r="BX655" s="374"/>
      <c r="BY655" s="374"/>
      <c r="BZ655" s="374"/>
      <c r="CA655" s="511"/>
      <c r="CB655" s="781"/>
      <c r="CC655" s="511"/>
      <c r="CD655" s="120"/>
      <c r="CE655" s="120"/>
      <c r="CF655" s="120"/>
      <c r="CG655" s="120"/>
      <c r="CH655" s="755"/>
      <c r="CI655" s="120"/>
      <c r="CJ655" s="120"/>
      <c r="CK655" s="120"/>
      <c r="CL655" s="120"/>
      <c r="CM655" s="375"/>
      <c r="CN655" s="380"/>
      <c r="CO655" s="380"/>
      <c r="CP655" s="380"/>
      <c r="CQ655" s="380"/>
      <c r="CR655" s="380"/>
      <c r="CS655" s="380"/>
      <c r="CT655" s="380"/>
      <c r="CU655" s="380"/>
      <c r="CV655" s="380"/>
      <c r="CW655" s="380"/>
      <c r="CX655" s="376"/>
      <c r="CY655" s="120"/>
      <c r="CZ655" s="120"/>
      <c r="DA655" s="120"/>
      <c r="DB655" s="376"/>
      <c r="DC655" s="120"/>
      <c r="DD655" s="120"/>
      <c r="DE655" s="120"/>
      <c r="DF655" s="515"/>
      <c r="DG655" s="513"/>
      <c r="DH655" s="376"/>
      <c r="DI655" s="120"/>
      <c r="DJ655" s="384"/>
      <c r="DK655" s="120"/>
      <c r="DL655" s="727"/>
      <c r="DM655" s="120"/>
      <c r="DN655" s="384"/>
      <c r="DO655" s="120"/>
      <c r="DP655" s="375"/>
      <c r="DQ655" s="377"/>
      <c r="DR655" s="621"/>
      <c r="DS655" s="956"/>
      <c r="DT655" s="727"/>
      <c r="DU655" s="120"/>
      <c r="DV655" s="384"/>
      <c r="DW655" s="120"/>
      <c r="DX655" s="384"/>
      <c r="DY655" s="120"/>
      <c r="DZ655" s="384"/>
      <c r="EA655" s="120"/>
      <c r="EB655" s="1012"/>
      <c r="EC655" s="384"/>
      <c r="ED655" s="384"/>
      <c r="EE655" s="120"/>
      <c r="EF655" s="384"/>
      <c r="EG655" s="120"/>
      <c r="EH655" s="384"/>
      <c r="EI655" s="120"/>
      <c r="EJ655" s="384"/>
      <c r="EK655" s="120"/>
      <c r="EL655" s="1012"/>
      <c r="EM655" s="384"/>
      <c r="EN655" s="380"/>
      <c r="EO655" s="120"/>
      <c r="EP655" s="120"/>
      <c r="EQ655" s="120"/>
      <c r="ER655" s="120"/>
      <c r="ES655" s="120"/>
      <c r="ET655" s="376"/>
      <c r="EU655" s="120"/>
      <c r="EV655" s="120"/>
      <c r="EW655" s="120"/>
      <c r="EX655" s="120"/>
      <c r="EY655" s="120"/>
      <c r="EZ655" s="376"/>
      <c r="FA655" s="120"/>
      <c r="FB655" s="120"/>
      <c r="FC655" s="120"/>
      <c r="FD655" s="376"/>
      <c r="FE655" s="120"/>
      <c r="FF655" s="120"/>
      <c r="FG655" s="120"/>
      <c r="FH655" s="120"/>
      <c r="FI655" s="120"/>
      <c r="FJ655" s="120"/>
    </row>
    <row r="656" spans="1:166" ht="15" hidden="1" customHeight="1">
      <c r="A656" s="153" t="s">
        <v>316</v>
      </c>
      <c r="B656" s="618">
        <v>226</v>
      </c>
      <c r="C656" s="618">
        <v>83</v>
      </c>
      <c r="D656" s="618"/>
      <c r="E656" s="610" t="s">
        <v>2030</v>
      </c>
      <c r="F656" s="368" t="s">
        <v>2263</v>
      </c>
      <c r="G656" s="369">
        <v>1990</v>
      </c>
      <c r="H656" s="153">
        <v>2365895</v>
      </c>
      <c r="I656" s="153">
        <v>1</v>
      </c>
      <c r="J656" s="370" t="s">
        <v>1784</v>
      </c>
      <c r="K656" s="371"/>
      <c r="L656" s="153">
        <v>1</v>
      </c>
      <c r="M656" s="153"/>
      <c r="N656" s="153">
        <v>0</v>
      </c>
      <c r="O656" s="153">
        <v>1</v>
      </c>
      <c r="P656" s="153" t="s">
        <v>825</v>
      </c>
      <c r="Q656" s="153" t="s">
        <v>1172</v>
      </c>
      <c r="R656" s="153" t="s">
        <v>822</v>
      </c>
      <c r="S656" s="153">
        <v>0</v>
      </c>
      <c r="T656" s="153"/>
      <c r="U656" s="153"/>
      <c r="V656" s="153"/>
      <c r="W656" s="153" t="s">
        <v>823</v>
      </c>
      <c r="X656" s="153"/>
      <c r="Y656" s="153"/>
      <c r="Z656" s="153"/>
      <c r="AA656" s="153"/>
      <c r="AB656" s="153" t="s">
        <v>824</v>
      </c>
      <c r="AC656" s="536"/>
      <c r="AD656" s="536">
        <v>1</v>
      </c>
      <c r="AE656" s="536">
        <v>2</v>
      </c>
      <c r="AF656" s="165">
        <v>0</v>
      </c>
      <c r="AG656" s="166" t="s">
        <v>7239</v>
      </c>
      <c r="AH656" s="509">
        <v>0</v>
      </c>
      <c r="AI656" s="120">
        <v>2</v>
      </c>
      <c r="AJ656" s="120"/>
      <c r="AK656" s="206"/>
      <c r="AL656" s="372"/>
      <c r="AM656" s="207"/>
      <c r="AN656" s="120"/>
      <c r="AO656" s="120"/>
      <c r="AP656" s="120"/>
      <c r="AQ656" s="120"/>
      <c r="AR656" s="120"/>
      <c r="AS656" s="120"/>
      <c r="AT656" s="120"/>
      <c r="AU656" s="120"/>
      <c r="AV656" s="120"/>
      <c r="AW656" s="120"/>
      <c r="AX656" s="120"/>
      <c r="AY656" s="120"/>
      <c r="AZ656" s="755"/>
      <c r="BA656" s="120"/>
      <c r="BB656" s="120"/>
      <c r="BC656" s="120"/>
      <c r="BD656" s="755"/>
      <c r="BE656" s="755"/>
      <c r="BF656" s="120"/>
      <c r="BG656" s="120"/>
      <c r="BH656" s="377"/>
      <c r="BI656" s="377"/>
      <c r="BJ656" s="373"/>
      <c r="BK656" s="373"/>
      <c r="BL656" s="373">
        <v>1</v>
      </c>
      <c r="BM656" s="373"/>
      <c r="BN656" s="373"/>
      <c r="BO656" s="373"/>
      <c r="BP656" s="373">
        <v>1</v>
      </c>
      <c r="BQ656" s="373"/>
      <c r="BR656" s="373"/>
      <c r="BS656" s="373"/>
      <c r="BT656" s="373"/>
      <c r="BU656" s="373"/>
      <c r="BV656" s="373"/>
      <c r="BW656" s="599"/>
      <c r="BX656" s="374"/>
      <c r="BY656" s="374"/>
      <c r="BZ656" s="374"/>
      <c r="CA656" s="511"/>
      <c r="CB656" s="781"/>
      <c r="CC656" s="511"/>
      <c r="CD656" s="120"/>
      <c r="CE656" s="120"/>
      <c r="CF656" s="120"/>
      <c r="CG656" s="120"/>
      <c r="CH656" s="755"/>
      <c r="CI656" s="120"/>
      <c r="CJ656" s="120"/>
      <c r="CK656" s="120"/>
      <c r="CL656" s="120"/>
      <c r="CM656" s="375"/>
      <c r="CN656" s="380"/>
      <c r="CO656" s="380"/>
      <c r="CP656" s="380"/>
      <c r="CQ656" s="380"/>
      <c r="CR656" s="380"/>
      <c r="CS656" s="380"/>
      <c r="CT656" s="380"/>
      <c r="CU656" s="380"/>
      <c r="CV656" s="380"/>
      <c r="CW656" s="380"/>
      <c r="CX656" s="376"/>
      <c r="CY656" s="120"/>
      <c r="CZ656" s="120"/>
      <c r="DA656" s="120"/>
      <c r="DB656" s="376"/>
      <c r="DC656" s="120"/>
      <c r="DD656" s="120"/>
      <c r="DE656" s="120"/>
      <c r="DF656" s="515"/>
      <c r="DG656" s="513"/>
      <c r="DH656" s="727"/>
      <c r="DI656" s="384"/>
      <c r="DJ656" s="384"/>
      <c r="DK656" s="384"/>
      <c r="DL656" s="727"/>
      <c r="DM656" s="384"/>
      <c r="DN656" s="384"/>
      <c r="DO656" s="384"/>
      <c r="DP656" s="375"/>
      <c r="DQ656" s="377"/>
      <c r="DR656" s="1182"/>
      <c r="DS656" s="956"/>
      <c r="DT656" s="727"/>
      <c r="DU656" s="384"/>
      <c r="DV656" s="384"/>
      <c r="DW656" s="384"/>
      <c r="DX656" s="384"/>
      <c r="DY656" s="384"/>
      <c r="DZ656" s="384"/>
      <c r="EA656" s="384"/>
      <c r="EB656" s="1012"/>
      <c r="EC656" s="384"/>
      <c r="ED656" s="384"/>
      <c r="EE656" s="384"/>
      <c r="EF656" s="384"/>
      <c r="EG656" s="384"/>
      <c r="EH656" s="384"/>
      <c r="EI656" s="384"/>
      <c r="EJ656" s="384"/>
      <c r="EK656" s="384"/>
      <c r="EL656" s="1012"/>
      <c r="EM656" s="384"/>
      <c r="EN656" s="1012"/>
      <c r="EO656" s="384"/>
      <c r="EP656" s="384"/>
      <c r="EQ656" s="384"/>
      <c r="ER656" s="384"/>
      <c r="ES656" s="384"/>
      <c r="ET656" s="727"/>
      <c r="EU656" s="384"/>
      <c r="EV656" s="384"/>
      <c r="EW656" s="384"/>
      <c r="EX656" s="384"/>
      <c r="EY656" s="384"/>
      <c r="EZ656" s="727"/>
      <c r="FA656" s="384"/>
      <c r="FB656" s="384"/>
      <c r="FC656" s="384"/>
      <c r="FD656" s="727"/>
      <c r="FE656" s="384"/>
      <c r="FF656" s="384"/>
      <c r="FG656" s="384"/>
      <c r="FH656" s="384"/>
      <c r="FI656" s="384"/>
      <c r="FJ656" s="384"/>
    </row>
    <row r="657" spans="1:166" ht="15" hidden="1" customHeight="1">
      <c r="A657" s="153" t="s">
        <v>317</v>
      </c>
      <c r="B657" s="618">
        <v>227</v>
      </c>
      <c r="C657" s="618"/>
      <c r="D657" s="618"/>
      <c r="E657" s="610" t="s">
        <v>2030</v>
      </c>
      <c r="F657" s="368" t="s">
        <v>2264</v>
      </c>
      <c r="G657" s="369">
        <v>1991</v>
      </c>
      <c r="H657" s="153">
        <v>1984709</v>
      </c>
      <c r="I657" s="153">
        <v>1</v>
      </c>
      <c r="J657" s="370" t="s">
        <v>1784</v>
      </c>
      <c r="K657" s="371" t="s">
        <v>1767</v>
      </c>
      <c r="L657" s="153">
        <v>1</v>
      </c>
      <c r="M657" s="153"/>
      <c r="N657" s="153">
        <v>0</v>
      </c>
      <c r="O657" s="153">
        <v>1</v>
      </c>
      <c r="P657" s="153" t="s">
        <v>538</v>
      </c>
      <c r="Q657" s="153" t="s">
        <v>538</v>
      </c>
      <c r="R657" s="153" t="s">
        <v>822</v>
      </c>
      <c r="S657" s="153">
        <v>0</v>
      </c>
      <c r="T657" s="153"/>
      <c r="U657" s="153"/>
      <c r="V657" s="153"/>
      <c r="W657" s="153" t="s">
        <v>826</v>
      </c>
      <c r="X657" s="153"/>
      <c r="Y657" s="153"/>
      <c r="Z657" s="153" t="s">
        <v>827</v>
      </c>
      <c r="AA657" s="153"/>
      <c r="AB657" s="153" t="s">
        <v>828</v>
      </c>
      <c r="AC657" s="536"/>
      <c r="AD657" s="536">
        <v>1</v>
      </c>
      <c r="AE657" s="536">
        <v>2</v>
      </c>
      <c r="AF657" s="165">
        <v>0</v>
      </c>
      <c r="AG657" s="166" t="s">
        <v>7240</v>
      </c>
      <c r="AH657" s="509">
        <v>0</v>
      </c>
      <c r="AI657" s="120">
        <v>2</v>
      </c>
      <c r="AJ657" s="120"/>
      <c r="AK657" s="206"/>
      <c r="AL657" s="372"/>
      <c r="AM657" s="207"/>
      <c r="AN657" s="120"/>
      <c r="AO657" s="120"/>
      <c r="AP657" s="120"/>
      <c r="AQ657" s="120"/>
      <c r="AR657" s="120"/>
      <c r="AS657" s="120"/>
      <c r="AT657" s="120"/>
      <c r="AU657" s="120"/>
      <c r="AV657" s="120"/>
      <c r="AW657" s="120"/>
      <c r="AX657" s="120"/>
      <c r="AY657" s="120"/>
      <c r="AZ657" s="755"/>
      <c r="BA657" s="120"/>
      <c r="BB657" s="120"/>
      <c r="BC657" s="120"/>
      <c r="BD657" s="755"/>
      <c r="BE657" s="755"/>
      <c r="BF657" s="120"/>
      <c r="BG657" s="120"/>
      <c r="BH657" s="377"/>
      <c r="BI657" s="377"/>
      <c r="BJ657" s="373"/>
      <c r="BK657" s="373"/>
      <c r="BL657" s="373"/>
      <c r="BM657" s="373"/>
      <c r="BN657" s="373"/>
      <c r="BO657" s="373"/>
      <c r="BP657" s="373">
        <v>1</v>
      </c>
      <c r="BQ657" s="373"/>
      <c r="BR657" s="373"/>
      <c r="BS657" s="373"/>
      <c r="BT657" s="373"/>
      <c r="BU657" s="373"/>
      <c r="BV657" s="373"/>
      <c r="BW657" s="599"/>
      <c r="BX657" s="374"/>
      <c r="BY657" s="374"/>
      <c r="BZ657" s="374"/>
      <c r="CA657" s="511"/>
      <c r="CB657" s="781"/>
      <c r="CC657" s="511"/>
      <c r="CD657" s="120"/>
      <c r="CE657" s="120"/>
      <c r="CF657" s="120"/>
      <c r="CG657" s="120"/>
      <c r="CH657" s="755"/>
      <c r="CI657" s="120"/>
      <c r="CJ657" s="120"/>
      <c r="CK657" s="120"/>
      <c r="CL657" s="120"/>
      <c r="CM657" s="375"/>
      <c r="CN657" s="380"/>
      <c r="CO657" s="380"/>
      <c r="CP657" s="380"/>
      <c r="CQ657" s="380"/>
      <c r="CR657" s="380"/>
      <c r="CS657" s="380"/>
      <c r="CT657" s="380"/>
      <c r="CU657" s="380"/>
      <c r="CV657" s="380"/>
      <c r="CW657" s="380"/>
      <c r="CX657" s="376"/>
      <c r="CY657" s="120"/>
      <c r="CZ657" s="120"/>
      <c r="DA657" s="120"/>
      <c r="DB657" s="376"/>
      <c r="DC657" s="120"/>
      <c r="DD657" s="120"/>
      <c r="DE657" s="120"/>
      <c r="DF657" s="515"/>
      <c r="DG657" s="513"/>
      <c r="DH657" s="727"/>
      <c r="DI657" s="384"/>
      <c r="DJ657" s="384"/>
      <c r="DK657" s="384"/>
      <c r="DL657" s="727"/>
      <c r="DM657" s="384"/>
      <c r="DN657" s="384"/>
      <c r="DO657" s="384"/>
      <c r="DP657" s="375"/>
      <c r="DQ657" s="377"/>
      <c r="DR657" s="1182"/>
      <c r="DS657" s="956"/>
      <c r="DT657" s="727"/>
      <c r="DU657" s="384"/>
      <c r="DV657" s="384"/>
      <c r="DW657" s="384"/>
      <c r="DX657" s="384"/>
      <c r="DY657" s="384"/>
      <c r="DZ657" s="384"/>
      <c r="EA657" s="384"/>
      <c r="EB657" s="1012"/>
      <c r="EC657" s="384"/>
      <c r="ED657" s="384"/>
      <c r="EE657" s="384"/>
      <c r="EF657" s="384"/>
      <c r="EG657" s="384"/>
      <c r="EH657" s="384"/>
      <c r="EI657" s="384"/>
      <c r="EJ657" s="384"/>
      <c r="EK657" s="384"/>
      <c r="EL657" s="1012"/>
      <c r="EM657" s="384"/>
      <c r="EN657" s="1012"/>
      <c r="EO657" s="384"/>
      <c r="EP657" s="384"/>
      <c r="EQ657" s="384"/>
      <c r="ER657" s="384"/>
      <c r="ES657" s="384"/>
      <c r="ET657" s="727"/>
      <c r="EU657" s="384"/>
      <c r="EV657" s="384"/>
      <c r="EW657" s="384"/>
      <c r="EX657" s="384"/>
      <c r="EY657" s="384"/>
      <c r="EZ657" s="727"/>
      <c r="FA657" s="384"/>
      <c r="FB657" s="384"/>
      <c r="FC657" s="384"/>
      <c r="FD657" s="727"/>
      <c r="FE657" s="384"/>
      <c r="FF657" s="384"/>
      <c r="FG657" s="384"/>
      <c r="FH657" s="384"/>
      <c r="FI657" s="384"/>
      <c r="FJ657" s="384"/>
    </row>
    <row r="658" spans="1:166" ht="15" hidden="1" customHeight="1">
      <c r="A658" s="79" t="s">
        <v>322</v>
      </c>
      <c r="B658" s="362">
        <v>228</v>
      </c>
      <c r="C658" s="362"/>
      <c r="D658" s="362">
        <v>91</v>
      </c>
      <c r="E658" s="604" t="s">
        <v>2031</v>
      </c>
      <c r="F658" s="124" t="s">
        <v>2265</v>
      </c>
      <c r="G658" s="125">
        <v>2015</v>
      </c>
      <c r="H658" s="79">
        <v>26481979</v>
      </c>
      <c r="I658" s="79">
        <v>1</v>
      </c>
      <c r="J658" s="126"/>
      <c r="K658" s="127"/>
      <c r="L658" s="79">
        <v>1</v>
      </c>
      <c r="M658" s="79"/>
      <c r="N658" s="79">
        <v>1</v>
      </c>
      <c r="O658" s="128">
        <v>1</v>
      </c>
      <c r="P658" s="79" t="s">
        <v>21</v>
      </c>
      <c r="Q658" s="79" t="s">
        <v>1163</v>
      </c>
      <c r="R658" s="79" t="s">
        <v>819</v>
      </c>
      <c r="S658" s="79">
        <v>1</v>
      </c>
      <c r="T658" s="79"/>
      <c r="U658" s="79"/>
      <c r="V658" s="79"/>
      <c r="W658" s="79" t="s">
        <v>837</v>
      </c>
      <c r="X658" s="79" t="s">
        <v>836</v>
      </c>
      <c r="Y658" s="79"/>
      <c r="Z658" s="79"/>
      <c r="AA658" s="79"/>
      <c r="AB658" s="79"/>
      <c r="AC658" s="506" t="s">
        <v>6297</v>
      </c>
      <c r="AD658" s="573">
        <v>1</v>
      </c>
      <c r="AE658" s="573">
        <v>0</v>
      </c>
      <c r="AF658" s="924">
        <v>2</v>
      </c>
      <c r="AG658" s="925"/>
      <c r="AH658" s="911"/>
      <c r="AI658" s="923">
        <v>2</v>
      </c>
      <c r="AJ658" s="923"/>
      <c r="AK658" s="926"/>
      <c r="AL658" s="588"/>
      <c r="AM658" s="927"/>
      <c r="AN658" s="923"/>
      <c r="AO658" s="923"/>
      <c r="AP658" s="923"/>
      <c r="AQ658" s="923"/>
      <c r="AR658" s="923"/>
      <c r="AS658" s="923"/>
      <c r="AT658" s="923"/>
      <c r="AU658" s="923"/>
      <c r="AV658" s="923"/>
      <c r="AW658" s="923"/>
      <c r="AX658" s="923"/>
      <c r="AY658" s="923"/>
      <c r="AZ658" s="915"/>
      <c r="BA658" s="923"/>
      <c r="BB658" s="923"/>
      <c r="BC658" s="923"/>
      <c r="BD658" s="915"/>
      <c r="BE658" s="915"/>
      <c r="BF658" s="923"/>
      <c r="BG658" s="923"/>
      <c r="BH658" s="594"/>
      <c r="BI658" s="594"/>
      <c r="BJ658" s="156"/>
      <c r="BK658" s="156"/>
      <c r="BL658" s="156" t="s">
        <v>5207</v>
      </c>
      <c r="BM658" s="156" t="s">
        <v>6175</v>
      </c>
      <c r="BN658" s="156"/>
      <c r="BO658" s="156" t="s">
        <v>5207</v>
      </c>
      <c r="BP658" s="156"/>
      <c r="BQ658" s="156" t="s">
        <v>6240</v>
      </c>
      <c r="BR658" s="156"/>
      <c r="BS658" s="156"/>
      <c r="BT658" s="156"/>
      <c r="BU658" s="156"/>
      <c r="BV658" s="156"/>
      <c r="BW658" s="928"/>
      <c r="BX658" s="929"/>
      <c r="BY658" s="929"/>
      <c r="BZ658" s="929"/>
      <c r="CA658" s="917"/>
      <c r="CB658" s="917"/>
      <c r="CC658" s="917"/>
      <c r="CD658" s="923"/>
      <c r="CE658" s="923"/>
      <c r="CF658" s="923"/>
      <c r="CG658" s="923"/>
      <c r="CH658" s="915"/>
      <c r="CI658" s="923"/>
      <c r="CJ658" s="923"/>
      <c r="CK658" s="923"/>
      <c r="CL658" s="923"/>
      <c r="CM658" s="930"/>
      <c r="CN658" s="931"/>
      <c r="CO658" s="931"/>
      <c r="CP658" s="931"/>
      <c r="CQ658" s="931"/>
      <c r="CR658" s="931"/>
      <c r="CS658" s="931"/>
      <c r="CT658" s="967"/>
      <c r="CU658" s="967"/>
      <c r="CV658" s="967"/>
      <c r="CW658" s="967"/>
      <c r="CX658" s="932"/>
      <c r="CY658" s="923"/>
      <c r="CZ658" s="923"/>
      <c r="DA658" s="923"/>
      <c r="DB658" s="932"/>
      <c r="DC658" s="923"/>
      <c r="DD658" s="923"/>
      <c r="DE658" s="923"/>
      <c r="DF658" s="920"/>
      <c r="DG658" s="598"/>
      <c r="DH658" s="950"/>
      <c r="DI658" s="951"/>
      <c r="DJ658" s="951"/>
      <c r="DK658" s="951"/>
      <c r="DL658" s="950"/>
      <c r="DM658" s="951"/>
      <c r="DN658" s="951"/>
      <c r="DO658" s="951"/>
      <c r="DP658" s="930"/>
      <c r="DQ658" s="594"/>
      <c r="DR658" s="1187"/>
      <c r="DS658" s="1186"/>
      <c r="DT658" s="950"/>
      <c r="DU658" s="951"/>
      <c r="DV658" s="951"/>
      <c r="DW658" s="951"/>
      <c r="DX658" s="951"/>
      <c r="DY658" s="951"/>
      <c r="DZ658" s="951"/>
      <c r="EA658" s="951"/>
      <c r="EB658" s="1185"/>
      <c r="EC658" s="951"/>
      <c r="ED658" s="951"/>
      <c r="EE658" s="951"/>
      <c r="EF658" s="951"/>
      <c r="EG658" s="951"/>
      <c r="EH658" s="951"/>
      <c r="EI658" s="951"/>
      <c r="EJ658" s="951"/>
      <c r="EK658" s="951"/>
      <c r="EL658" s="1185"/>
      <c r="EM658" s="951"/>
      <c r="EN658" s="1185"/>
      <c r="EO658" s="951"/>
      <c r="EP658" s="951"/>
      <c r="EQ658" s="951"/>
      <c r="ER658" s="951"/>
      <c r="ES658" s="951"/>
      <c r="ET658" s="950"/>
      <c r="EU658" s="951"/>
      <c r="EV658" s="951"/>
      <c r="EW658" s="951"/>
      <c r="EX658" s="951"/>
      <c r="EY658" s="951"/>
      <c r="EZ658" s="950"/>
      <c r="FA658" s="951"/>
      <c r="FB658" s="951"/>
      <c r="FC658" s="951"/>
      <c r="FD658" s="950"/>
      <c r="FE658" s="951"/>
      <c r="FF658" s="951"/>
      <c r="FG658" s="951"/>
      <c r="FH658" s="951"/>
      <c r="FI658" s="951"/>
      <c r="FJ658" s="951"/>
    </row>
    <row r="659" spans="1:166" ht="15" hidden="1" customHeight="1">
      <c r="A659" s="79" t="s">
        <v>320</v>
      </c>
      <c r="B659" s="362">
        <v>229</v>
      </c>
      <c r="C659" s="362"/>
      <c r="D659" s="362">
        <v>92</v>
      </c>
      <c r="E659" s="604" t="s">
        <v>2031</v>
      </c>
      <c r="F659" s="124" t="s">
        <v>2266</v>
      </c>
      <c r="G659" s="125">
        <v>2013</v>
      </c>
      <c r="H659" s="79">
        <v>24157540</v>
      </c>
      <c r="I659" s="79">
        <v>1</v>
      </c>
      <c r="J659" s="126"/>
      <c r="K659" s="127"/>
      <c r="L659" s="79">
        <v>1</v>
      </c>
      <c r="M659" s="79"/>
      <c r="N659" s="79">
        <v>1</v>
      </c>
      <c r="O659" s="128">
        <v>1</v>
      </c>
      <c r="P659" s="79" t="s">
        <v>832</v>
      </c>
      <c r="Q659" s="79" t="s">
        <v>1192</v>
      </c>
      <c r="R659" s="79" t="s">
        <v>25</v>
      </c>
      <c r="S659" s="79">
        <v>1</v>
      </c>
      <c r="T659" s="79"/>
      <c r="U659" s="79"/>
      <c r="V659" s="79"/>
      <c r="W659" s="79" t="s">
        <v>778</v>
      </c>
      <c r="X659" s="79" t="s">
        <v>24</v>
      </c>
      <c r="Y659" s="79" t="s">
        <v>24</v>
      </c>
      <c r="Z659" s="79" t="s">
        <v>833</v>
      </c>
      <c r="AA659" s="79"/>
      <c r="AB659" s="79"/>
      <c r="AC659" s="506" t="s">
        <v>6298</v>
      </c>
      <c r="AD659" s="573">
        <v>1</v>
      </c>
      <c r="AE659" s="573">
        <v>0</v>
      </c>
      <c r="AF659" s="924">
        <v>2</v>
      </c>
      <c r="AG659" s="925"/>
      <c r="AH659" s="911"/>
      <c r="AI659" s="923">
        <v>2</v>
      </c>
      <c r="AJ659" s="923"/>
      <c r="AK659" s="926"/>
      <c r="AL659" s="588"/>
      <c r="AM659" s="927"/>
      <c r="AN659" s="923"/>
      <c r="AO659" s="923"/>
      <c r="AP659" s="923"/>
      <c r="AQ659" s="923"/>
      <c r="AR659" s="923"/>
      <c r="AS659" s="923"/>
      <c r="AT659" s="923"/>
      <c r="AU659" s="923"/>
      <c r="AV659" s="923"/>
      <c r="AW659" s="923"/>
      <c r="AX659" s="923"/>
      <c r="AY659" s="923"/>
      <c r="AZ659" s="915"/>
      <c r="BA659" s="923"/>
      <c r="BB659" s="923"/>
      <c r="BC659" s="923"/>
      <c r="BD659" s="915"/>
      <c r="BE659" s="915"/>
      <c r="BF659" s="923"/>
      <c r="BG659" s="923"/>
      <c r="BH659" s="594"/>
      <c r="BI659" s="594"/>
      <c r="BJ659" s="156"/>
      <c r="BK659" s="156"/>
      <c r="BL659" s="156"/>
      <c r="BM659" s="156" t="s">
        <v>6175</v>
      </c>
      <c r="BN659" s="156"/>
      <c r="BO659" s="156" t="s">
        <v>5207</v>
      </c>
      <c r="BP659" s="156"/>
      <c r="BQ659" s="156" t="s">
        <v>6243</v>
      </c>
      <c r="BR659" s="156"/>
      <c r="BS659" s="156"/>
      <c r="BT659" s="156"/>
      <c r="BU659" s="156"/>
      <c r="BV659" s="156"/>
      <c r="BW659" s="928"/>
      <c r="BX659" s="929"/>
      <c r="BY659" s="929"/>
      <c r="BZ659" s="929"/>
      <c r="CA659" s="917"/>
      <c r="CB659" s="917"/>
      <c r="CC659" s="917"/>
      <c r="CD659" s="923"/>
      <c r="CE659" s="923"/>
      <c r="CF659" s="923"/>
      <c r="CG659" s="923"/>
      <c r="CH659" s="915"/>
      <c r="CI659" s="923"/>
      <c r="CJ659" s="923"/>
      <c r="CK659" s="923"/>
      <c r="CL659" s="923"/>
      <c r="CM659" s="930"/>
      <c r="CN659" s="931"/>
      <c r="CO659" s="931"/>
      <c r="CP659" s="931"/>
      <c r="CQ659" s="931"/>
      <c r="CR659" s="931"/>
      <c r="CS659" s="931"/>
      <c r="CT659" s="967"/>
      <c r="CU659" s="967"/>
      <c r="CV659" s="967"/>
      <c r="CW659" s="967"/>
      <c r="CX659" s="932"/>
      <c r="CY659" s="923"/>
      <c r="CZ659" s="923"/>
      <c r="DA659" s="923"/>
      <c r="DB659" s="932"/>
      <c r="DC659" s="923"/>
      <c r="DD659" s="923"/>
      <c r="DE659" s="923"/>
      <c r="DF659" s="920"/>
      <c r="DG659" s="598"/>
      <c r="DH659" s="950"/>
      <c r="DI659" s="951"/>
      <c r="DJ659" s="951"/>
      <c r="DK659" s="951"/>
      <c r="DL659" s="950"/>
      <c r="DM659" s="951"/>
      <c r="DN659" s="951"/>
      <c r="DO659" s="951"/>
      <c r="DP659" s="930"/>
      <c r="DQ659" s="594"/>
      <c r="DR659" s="1187"/>
      <c r="DS659" s="1186"/>
      <c r="DT659" s="950"/>
      <c r="DU659" s="951"/>
      <c r="DV659" s="951"/>
      <c r="DW659" s="951"/>
      <c r="DX659" s="951"/>
      <c r="DY659" s="951"/>
      <c r="DZ659" s="951"/>
      <c r="EA659" s="951"/>
      <c r="EB659" s="1185"/>
      <c r="EC659" s="951"/>
      <c r="ED659" s="951"/>
      <c r="EE659" s="951"/>
      <c r="EF659" s="951"/>
      <c r="EG659" s="951"/>
      <c r="EH659" s="951"/>
      <c r="EI659" s="951"/>
      <c r="EJ659" s="951"/>
      <c r="EK659" s="951"/>
      <c r="EL659" s="1185"/>
      <c r="EM659" s="951"/>
      <c r="EN659" s="1185"/>
      <c r="EO659" s="951"/>
      <c r="EP659" s="951"/>
      <c r="EQ659" s="951"/>
      <c r="ER659" s="951"/>
      <c r="ES659" s="951"/>
      <c r="ET659" s="950"/>
      <c r="EU659" s="951"/>
      <c r="EV659" s="951"/>
      <c r="EW659" s="951"/>
      <c r="EX659" s="951"/>
      <c r="EY659" s="951"/>
      <c r="EZ659" s="950"/>
      <c r="FA659" s="951"/>
      <c r="FB659" s="951"/>
      <c r="FC659" s="951"/>
      <c r="FD659" s="950"/>
      <c r="FE659" s="951"/>
      <c r="FF659" s="951"/>
      <c r="FG659" s="951"/>
      <c r="FH659" s="951"/>
      <c r="FI659" s="951"/>
      <c r="FJ659" s="951"/>
    </row>
    <row r="660" spans="1:166" ht="15" hidden="1" customHeight="1">
      <c r="A660" s="79" t="s">
        <v>321</v>
      </c>
      <c r="B660" s="362">
        <v>230</v>
      </c>
      <c r="C660" s="362"/>
      <c r="D660" s="362">
        <v>93</v>
      </c>
      <c r="E660" s="604" t="s">
        <v>2031</v>
      </c>
      <c r="F660" s="124" t="s">
        <v>2267</v>
      </c>
      <c r="G660" s="125">
        <v>2012</v>
      </c>
      <c r="H660" s="79">
        <v>22595028</v>
      </c>
      <c r="I660" s="79">
        <v>1</v>
      </c>
      <c r="J660" s="126"/>
      <c r="K660" s="127"/>
      <c r="L660" s="79">
        <v>1</v>
      </c>
      <c r="M660" s="79"/>
      <c r="N660" s="79">
        <v>1</v>
      </c>
      <c r="O660" s="128">
        <v>1</v>
      </c>
      <c r="P660" s="79" t="s">
        <v>834</v>
      </c>
      <c r="Q660" s="79" t="s">
        <v>1192</v>
      </c>
      <c r="R660" s="79" t="s">
        <v>835</v>
      </c>
      <c r="S660" s="79">
        <v>1</v>
      </c>
      <c r="T660" s="79"/>
      <c r="U660" s="79"/>
      <c r="V660" s="79"/>
      <c r="W660" s="79" t="s">
        <v>778</v>
      </c>
      <c r="X660" s="79"/>
      <c r="Y660" s="79"/>
      <c r="Z660" s="79"/>
      <c r="AA660" s="79"/>
      <c r="AB660" s="79"/>
      <c r="AC660" s="506" t="s">
        <v>6296</v>
      </c>
      <c r="AD660" s="573">
        <v>1</v>
      </c>
      <c r="AE660" s="573">
        <v>0</v>
      </c>
      <c r="AF660" s="924">
        <v>2</v>
      </c>
      <c r="AG660" s="925"/>
      <c r="AH660" s="911"/>
      <c r="AI660" s="923">
        <v>2</v>
      </c>
      <c r="AJ660" s="923"/>
      <c r="AK660" s="926"/>
      <c r="AL660" s="588"/>
      <c r="AM660" s="927"/>
      <c r="AN660" s="923"/>
      <c r="AO660" s="923"/>
      <c r="AP660" s="923"/>
      <c r="AQ660" s="923"/>
      <c r="AR660" s="923"/>
      <c r="AS660" s="923"/>
      <c r="AT660" s="923"/>
      <c r="AU660" s="923"/>
      <c r="AV660" s="923"/>
      <c r="AW660" s="923"/>
      <c r="AX660" s="923"/>
      <c r="AY660" s="923"/>
      <c r="AZ660" s="915"/>
      <c r="BA660" s="923"/>
      <c r="BB660" s="923"/>
      <c r="BC660" s="923"/>
      <c r="BD660" s="915"/>
      <c r="BE660" s="915"/>
      <c r="BF660" s="923"/>
      <c r="BG660" s="923"/>
      <c r="BH660" s="594"/>
      <c r="BI660" s="594"/>
      <c r="BJ660" s="156"/>
      <c r="BK660" s="156"/>
      <c r="BL660" s="156"/>
      <c r="BM660" s="156" t="s">
        <v>6175</v>
      </c>
      <c r="BN660" s="156"/>
      <c r="BO660" s="156" t="s">
        <v>5207</v>
      </c>
      <c r="BP660" s="156"/>
      <c r="BQ660" s="156" t="s">
        <v>6243</v>
      </c>
      <c r="BR660" s="156"/>
      <c r="BS660" s="156"/>
      <c r="BT660" s="156" t="s">
        <v>5207</v>
      </c>
      <c r="BU660" s="156"/>
      <c r="BV660" s="156"/>
      <c r="BW660" s="928"/>
      <c r="BX660" s="929"/>
      <c r="BY660" s="929"/>
      <c r="BZ660" s="929"/>
      <c r="CA660" s="917"/>
      <c r="CB660" s="917"/>
      <c r="CC660" s="917"/>
      <c r="CD660" s="923"/>
      <c r="CE660" s="923"/>
      <c r="CF660" s="923"/>
      <c r="CG660" s="923"/>
      <c r="CH660" s="915"/>
      <c r="CI660" s="923"/>
      <c r="CJ660" s="923"/>
      <c r="CK660" s="923"/>
      <c r="CL660" s="923"/>
      <c r="CM660" s="930"/>
      <c r="CN660" s="931"/>
      <c r="CO660" s="931"/>
      <c r="CP660" s="931"/>
      <c r="CQ660" s="931"/>
      <c r="CR660" s="931"/>
      <c r="CS660" s="931"/>
      <c r="CT660" s="967"/>
      <c r="CU660" s="967"/>
      <c r="CV660" s="967"/>
      <c r="CW660" s="967"/>
      <c r="CX660" s="932"/>
      <c r="CY660" s="923"/>
      <c r="CZ660" s="923"/>
      <c r="DA660" s="923"/>
      <c r="DB660" s="932"/>
      <c r="DC660" s="923"/>
      <c r="DD660" s="923"/>
      <c r="DE660" s="923"/>
      <c r="DF660" s="920"/>
      <c r="DG660" s="598"/>
      <c r="DH660" s="950"/>
      <c r="DI660" s="951"/>
      <c r="DJ660" s="951"/>
      <c r="DK660" s="951"/>
      <c r="DL660" s="950"/>
      <c r="DM660" s="951"/>
      <c r="DN660" s="951"/>
      <c r="DO660" s="951"/>
      <c r="DP660" s="930"/>
      <c r="DQ660" s="594"/>
      <c r="DR660" s="1187"/>
      <c r="DS660" s="1186"/>
      <c r="DT660" s="950"/>
      <c r="DU660" s="951"/>
      <c r="DV660" s="951"/>
      <c r="DW660" s="951"/>
      <c r="DX660" s="951"/>
      <c r="DY660" s="951"/>
      <c r="DZ660" s="951"/>
      <c r="EA660" s="951"/>
      <c r="EB660" s="1185"/>
      <c r="EC660" s="951"/>
      <c r="ED660" s="951"/>
      <c r="EE660" s="951"/>
      <c r="EF660" s="951"/>
      <c r="EG660" s="951"/>
      <c r="EH660" s="951"/>
      <c r="EI660" s="951"/>
      <c r="EJ660" s="951"/>
      <c r="EK660" s="951"/>
      <c r="EL660" s="1185"/>
      <c r="EM660" s="951"/>
      <c r="EN660" s="1185"/>
      <c r="EO660" s="951"/>
      <c r="EP660" s="951"/>
      <c r="EQ660" s="951"/>
      <c r="ER660" s="951"/>
      <c r="ES660" s="951"/>
      <c r="ET660" s="950"/>
      <c r="EU660" s="951"/>
      <c r="EV660" s="951"/>
      <c r="EW660" s="951"/>
      <c r="EX660" s="951"/>
      <c r="EY660" s="951"/>
      <c r="EZ660" s="950"/>
      <c r="FA660" s="951"/>
      <c r="FB660" s="951"/>
      <c r="FC660" s="951"/>
      <c r="FD660" s="950"/>
      <c r="FE660" s="951"/>
      <c r="FF660" s="951"/>
      <c r="FG660" s="951"/>
      <c r="FH660" s="951"/>
      <c r="FI660" s="951"/>
      <c r="FJ660" s="951"/>
    </row>
    <row r="661" spans="1:166" ht="15" hidden="1" customHeight="1">
      <c r="A661" s="158" t="s">
        <v>968</v>
      </c>
      <c r="B661" s="1094">
        <v>47</v>
      </c>
      <c r="C661" s="1094"/>
      <c r="D661" s="1094"/>
      <c r="E661" s="1095" t="s">
        <v>2119</v>
      </c>
      <c r="F661" s="711" t="s">
        <v>2379</v>
      </c>
      <c r="G661" s="1096">
        <v>2006</v>
      </c>
      <c r="H661" s="158">
        <v>17031709</v>
      </c>
      <c r="I661" s="158">
        <v>1</v>
      </c>
      <c r="J661" s="158">
        <v>1</v>
      </c>
      <c r="K661" s="158"/>
      <c r="L661" s="158">
        <v>1</v>
      </c>
      <c r="M661" s="158"/>
      <c r="N661" s="158">
        <v>1</v>
      </c>
      <c r="O661" s="158">
        <v>2</v>
      </c>
      <c r="P661" s="158" t="s">
        <v>1227</v>
      </c>
      <c r="Q661" s="158" t="s">
        <v>1216</v>
      </c>
      <c r="R661" s="158" t="s">
        <v>1127</v>
      </c>
      <c r="S661" s="158"/>
      <c r="T661" s="158" t="s">
        <v>1487</v>
      </c>
      <c r="U661" s="158" t="s">
        <v>803</v>
      </c>
      <c r="V661" s="158"/>
      <c r="W661" s="158" t="s">
        <v>1501</v>
      </c>
      <c r="X661" s="158"/>
      <c r="Y661" s="158" t="s">
        <v>1132</v>
      </c>
      <c r="Z661" s="158"/>
      <c r="AA661" s="158" t="s">
        <v>1590</v>
      </c>
      <c r="AB661" s="158"/>
      <c r="AC661" s="800"/>
      <c r="AD661" s="536">
        <v>1</v>
      </c>
      <c r="AE661" s="536">
        <v>2</v>
      </c>
      <c r="AF661" s="743">
        <v>0</v>
      </c>
      <c r="AG661" s="744" t="s">
        <v>8058</v>
      </c>
      <c r="AH661" s="509"/>
      <c r="AI661" s="734">
        <v>4</v>
      </c>
      <c r="AJ661" s="734"/>
      <c r="AK661" s="206" t="s">
        <v>3602</v>
      </c>
      <c r="AL661" s="372">
        <v>2</v>
      </c>
      <c r="AM661" s="724">
        <v>1</v>
      </c>
      <c r="AN661" s="734">
        <f>Table66[[#This Row],[Data_Subjects_n_ptsd]]+Table66[[#This Row],[Data_Subjects_n_control]]</f>
        <v>18</v>
      </c>
      <c r="AO661" s="734">
        <v>9</v>
      </c>
      <c r="AP661" s="734">
        <v>9</v>
      </c>
      <c r="AQ661" s="734" t="s">
        <v>803</v>
      </c>
      <c r="AR661" s="734" t="s">
        <v>803</v>
      </c>
      <c r="AS661" s="734" t="s">
        <v>3595</v>
      </c>
      <c r="AT661" s="734" t="s">
        <v>24</v>
      </c>
      <c r="AU661" s="734" t="s">
        <v>3595</v>
      </c>
      <c r="AV661" s="734" t="s">
        <v>24</v>
      </c>
      <c r="AW661" s="734" t="s">
        <v>3596</v>
      </c>
      <c r="AX661" s="734"/>
      <c r="AY661" s="734"/>
      <c r="AZ661" s="755" t="s">
        <v>1487</v>
      </c>
      <c r="BA661" s="734">
        <v>1</v>
      </c>
      <c r="BB661" s="734">
        <v>1</v>
      </c>
      <c r="BC661" s="734" t="s">
        <v>3597</v>
      </c>
      <c r="BD661" s="755" t="s">
        <v>7523</v>
      </c>
      <c r="BE661" s="755"/>
      <c r="BF661" s="734" t="s">
        <v>1130</v>
      </c>
      <c r="BG661" s="734" t="s">
        <v>2798</v>
      </c>
      <c r="BH661" s="372"/>
      <c r="BI661" s="372"/>
      <c r="BJ661" s="735">
        <v>1</v>
      </c>
      <c r="BK661" s="735"/>
      <c r="BL661" s="735"/>
      <c r="BM661" s="735"/>
      <c r="BN661" s="735"/>
      <c r="BO661" s="735"/>
      <c r="BP661" s="735"/>
      <c r="BQ661" s="735"/>
      <c r="BR661" s="735"/>
      <c r="BS661" s="735"/>
      <c r="BT661" s="735"/>
      <c r="BU661" s="735"/>
      <c r="BV661" s="735"/>
      <c r="BW661" s="599" t="s">
        <v>3610</v>
      </c>
      <c r="BX661" s="374" t="s">
        <v>6595</v>
      </c>
      <c r="BY661" s="799" t="s">
        <v>7615</v>
      </c>
      <c r="BZ661" s="374" t="s">
        <v>803</v>
      </c>
      <c r="CA661" s="510">
        <v>4</v>
      </c>
      <c r="CB661" s="510" t="s">
        <v>7556</v>
      </c>
      <c r="CC661" s="510" t="s">
        <v>7384</v>
      </c>
      <c r="CD661" s="734" t="s">
        <v>1876</v>
      </c>
      <c r="CE661" s="734">
        <v>2</v>
      </c>
      <c r="CF661" s="786" t="s">
        <v>7584</v>
      </c>
      <c r="CG661" s="734" t="s">
        <v>3606</v>
      </c>
      <c r="CH661" s="755" t="s">
        <v>1488</v>
      </c>
      <c r="CI661" s="734" t="s">
        <v>3514</v>
      </c>
      <c r="CJ661" s="734"/>
      <c r="CK661" s="734" t="s">
        <v>3237</v>
      </c>
      <c r="CL661" s="120" t="s">
        <v>6640</v>
      </c>
      <c r="CM661" s="375" t="s">
        <v>3607</v>
      </c>
      <c r="CN661" s="380">
        <v>0</v>
      </c>
      <c r="CO661" s="380"/>
      <c r="CP661" s="380"/>
      <c r="CQ661" s="380"/>
      <c r="CR661" s="380"/>
      <c r="CS661" s="380"/>
      <c r="CT661" s="380"/>
      <c r="CU661" s="380"/>
      <c r="CV661" s="380"/>
      <c r="CW661" s="380"/>
      <c r="CX661" s="736" t="s">
        <v>3608</v>
      </c>
      <c r="CY661" s="734">
        <v>68.599999999999994</v>
      </c>
      <c r="CZ661" s="734" t="s">
        <v>24</v>
      </c>
      <c r="DA661" s="734">
        <v>21.2</v>
      </c>
      <c r="DB661" s="1589" t="s">
        <v>3609</v>
      </c>
      <c r="DC661" s="734">
        <v>77.5</v>
      </c>
      <c r="DD661" s="734" t="s">
        <v>24</v>
      </c>
      <c r="DE661" s="734">
        <v>23.3</v>
      </c>
      <c r="DF661" s="515" t="s">
        <v>3390</v>
      </c>
      <c r="DG661" s="513" t="s">
        <v>2480</v>
      </c>
      <c r="DH661" s="1180"/>
      <c r="DI661" s="778"/>
      <c r="DJ661" s="778"/>
      <c r="DK661" s="778"/>
      <c r="DL661" s="1180"/>
      <c r="DM661" s="778"/>
      <c r="DN661" s="778"/>
      <c r="DO661" s="778"/>
      <c r="DP661" s="737"/>
      <c r="DQ661" s="372"/>
      <c r="DR661" s="1182"/>
      <c r="DS661" s="956"/>
      <c r="DT661" s="1180"/>
      <c r="DU661" s="778"/>
      <c r="DV661" s="778"/>
      <c r="DW661" s="778"/>
      <c r="DX661" s="778"/>
      <c r="DY661" s="778"/>
      <c r="DZ661" s="778"/>
      <c r="EA661" s="778"/>
      <c r="EB661" s="1181"/>
      <c r="EC661" s="778"/>
      <c r="ED661" s="778"/>
      <c r="EE661" s="778"/>
      <c r="EF661" s="778"/>
      <c r="EG661" s="778"/>
      <c r="EH661" s="778"/>
      <c r="EI661" s="778"/>
      <c r="EJ661" s="778"/>
      <c r="EK661" s="778"/>
      <c r="EL661" s="1181"/>
      <c r="EM661" s="778"/>
      <c r="EN661" s="1181"/>
      <c r="EO661" s="778"/>
      <c r="EP661" s="778"/>
      <c r="EQ661" s="778"/>
      <c r="ER661" s="778"/>
      <c r="ES661" s="778"/>
      <c r="ET661" s="1180"/>
      <c r="EU661" s="778"/>
      <c r="EV661" s="778"/>
      <c r="EW661" s="778"/>
      <c r="EX661" s="778"/>
      <c r="EY661" s="778"/>
      <c r="EZ661" s="1180"/>
      <c r="FA661" s="778"/>
      <c r="FB661" s="778"/>
      <c r="FC661" s="778"/>
      <c r="FD661" s="1180"/>
      <c r="FE661" s="778"/>
      <c r="FF661" s="778"/>
      <c r="FG661" s="778"/>
      <c r="FH661" s="778"/>
      <c r="FI661" s="778"/>
      <c r="FJ661" s="778"/>
    </row>
    <row r="662" spans="1:166" ht="15" customHeight="1">
      <c r="A662" s="79" t="s">
        <v>1019</v>
      </c>
      <c r="B662" s="614">
        <v>29</v>
      </c>
      <c r="C662" s="614"/>
      <c r="D662" s="614"/>
      <c r="E662" s="604" t="s">
        <v>2094</v>
      </c>
      <c r="F662" s="124" t="s">
        <v>2349</v>
      </c>
      <c r="G662" s="125">
        <v>2013</v>
      </c>
      <c r="H662" s="79">
        <v>23474020</v>
      </c>
      <c r="I662" s="79">
        <v>1</v>
      </c>
      <c r="J662" s="126"/>
      <c r="K662" s="127"/>
      <c r="L662" s="79">
        <v>1</v>
      </c>
      <c r="M662" s="79"/>
      <c r="N662" s="153">
        <v>1</v>
      </c>
      <c r="O662" s="128">
        <v>2</v>
      </c>
      <c r="P662" s="79" t="s">
        <v>1419</v>
      </c>
      <c r="Q662" s="79" t="s">
        <v>1216</v>
      </c>
      <c r="R662" s="79" t="s">
        <v>1127</v>
      </c>
      <c r="S662" s="79"/>
      <c r="T662" s="79" t="s">
        <v>1487</v>
      </c>
      <c r="U662" s="79"/>
      <c r="V662" s="79"/>
      <c r="W662" s="79" t="s">
        <v>1418</v>
      </c>
      <c r="X662" s="79"/>
      <c r="Y662" s="79"/>
      <c r="Z662" s="79"/>
      <c r="AA662" s="79" t="s">
        <v>1666</v>
      </c>
      <c r="AB662" s="79" t="s">
        <v>1665</v>
      </c>
      <c r="AC662" s="506"/>
      <c r="AD662" s="573">
        <v>1</v>
      </c>
      <c r="AE662" s="573">
        <v>2</v>
      </c>
      <c r="AF662" s="154">
        <v>1</v>
      </c>
      <c r="AG662" s="155" t="s">
        <v>3178</v>
      </c>
      <c r="AH662" s="704" t="s">
        <v>7546</v>
      </c>
      <c r="AI662" s="121">
        <v>4</v>
      </c>
      <c r="AJ662" s="484"/>
      <c r="AK662" s="202" t="s">
        <v>3176</v>
      </c>
      <c r="AL662" s="192">
        <v>1</v>
      </c>
      <c r="AM662" s="203" t="s">
        <v>7547</v>
      </c>
      <c r="AN662" s="121">
        <f>Table66[[#This Row],[Data_Subjects_n_ptsd]]+Table66[[#This Row],[Data_Subjects_n_control]]</f>
        <v>18</v>
      </c>
      <c r="AO662" s="121">
        <f>(10 + 8)/2</f>
        <v>9</v>
      </c>
      <c r="AP662" s="121">
        <f>(10 + 8)/2</f>
        <v>9</v>
      </c>
      <c r="AQ662" s="121" t="s">
        <v>1878</v>
      </c>
      <c r="AR662" s="134" t="s">
        <v>1878</v>
      </c>
      <c r="AS662" s="134" t="s">
        <v>7487</v>
      </c>
      <c r="AT662" s="134" t="s">
        <v>24</v>
      </c>
      <c r="AU662" s="134" t="s">
        <v>7487</v>
      </c>
      <c r="AV662" s="134" t="s">
        <v>24</v>
      </c>
      <c r="AW662" s="134" t="s">
        <v>2963</v>
      </c>
      <c r="AX662" s="121"/>
      <c r="AY662" s="121"/>
      <c r="AZ662" s="754" t="s">
        <v>1487</v>
      </c>
      <c r="BA662" s="121">
        <v>1</v>
      </c>
      <c r="BB662" s="121">
        <v>1</v>
      </c>
      <c r="BC662" s="121" t="s">
        <v>7548</v>
      </c>
      <c r="BD662" s="754" t="s">
        <v>7523</v>
      </c>
      <c r="BE662" s="754"/>
      <c r="BF662" s="121" t="s">
        <v>2912</v>
      </c>
      <c r="BG662" s="121" t="s">
        <v>2798</v>
      </c>
      <c r="BH662" s="594"/>
      <c r="BI662" s="594"/>
      <c r="BJ662" s="156">
        <v>1</v>
      </c>
      <c r="BK662" s="156"/>
      <c r="BL662" s="156"/>
      <c r="BM662" s="156"/>
      <c r="BN662" s="156"/>
      <c r="BO662" s="156"/>
      <c r="BP662" s="156"/>
      <c r="BQ662" s="156"/>
      <c r="BR662" s="156"/>
      <c r="BS662" s="156"/>
      <c r="BT662" s="156"/>
      <c r="BU662" s="156"/>
      <c r="BV662" s="156"/>
      <c r="BW662" s="595" t="s">
        <v>3194</v>
      </c>
      <c r="BX662" s="157" t="s">
        <v>6598</v>
      </c>
      <c r="BY662" s="797" t="s">
        <v>7615</v>
      </c>
      <c r="BZ662" s="789" t="s">
        <v>803</v>
      </c>
      <c r="CA662" s="660">
        <v>4</v>
      </c>
      <c r="CB662" s="660" t="s">
        <v>7556</v>
      </c>
      <c r="CC662" s="660" t="s">
        <v>7384</v>
      </c>
      <c r="CD662" s="134" t="s">
        <v>1876</v>
      </c>
      <c r="CE662" s="134" t="s">
        <v>3177</v>
      </c>
      <c r="CF662" s="3" t="s">
        <v>7957</v>
      </c>
      <c r="CG662" s="134" t="s">
        <v>7564</v>
      </c>
      <c r="CH662" s="753" t="s">
        <v>1488</v>
      </c>
      <c r="CI662" s="134" t="s">
        <v>3175</v>
      </c>
      <c r="CJ662" s="134"/>
      <c r="CK662" s="134" t="s">
        <v>2659</v>
      </c>
      <c r="CL662" s="134" t="s">
        <v>2659</v>
      </c>
      <c r="CM662" s="259" t="s">
        <v>3202</v>
      </c>
      <c r="CN662" s="454" t="s">
        <v>6627</v>
      </c>
      <c r="CO662" s="828">
        <v>52</v>
      </c>
      <c r="CP662" s="828">
        <v>1</v>
      </c>
      <c r="CQ662" s="828">
        <v>2</v>
      </c>
      <c r="CR662" s="828">
        <v>1</v>
      </c>
      <c r="CS662" s="828">
        <v>1</v>
      </c>
      <c r="CT662" s="967"/>
      <c r="CU662" s="1289" t="s">
        <v>8104</v>
      </c>
      <c r="CV662" s="1295">
        <v>106</v>
      </c>
      <c r="CW662" s="1295">
        <v>97</v>
      </c>
      <c r="CX662" s="138" t="s">
        <v>3183</v>
      </c>
      <c r="CY662" s="134">
        <v>55.651400000000002</v>
      </c>
      <c r="CZ662" s="134" t="s">
        <v>24</v>
      </c>
      <c r="DA662" s="134">
        <f>58.9847-Table66[[#This Row],[Data_Outcome1_M]]</f>
        <v>3.3332999999999942</v>
      </c>
      <c r="DB662" s="138" t="s">
        <v>3184</v>
      </c>
      <c r="DC662" s="134">
        <v>33.735399999999998</v>
      </c>
      <c r="DD662" s="134" t="s">
        <v>24</v>
      </c>
      <c r="DE662" s="134">
        <f>35.9578-Table66[[#This Row],[Data_Outcome2_M]]</f>
        <v>2.2224000000000004</v>
      </c>
      <c r="DF662" s="288" t="s">
        <v>3196</v>
      </c>
      <c r="DG662" s="289" t="s">
        <v>3060</v>
      </c>
      <c r="DH662" s="1276"/>
      <c r="DI662" s="121"/>
      <c r="DJ662" s="1169"/>
      <c r="DK662" s="121"/>
      <c r="DL662" s="1171"/>
      <c r="DM662" s="121"/>
      <c r="DN662" s="1169"/>
      <c r="DO662" s="121"/>
      <c r="DP662" s="288"/>
      <c r="DQ662" s="289"/>
      <c r="DR662" s="1168"/>
      <c r="DS662" s="865"/>
      <c r="DT662" s="1171"/>
      <c r="DU662" s="121"/>
      <c r="DV662" s="1169"/>
      <c r="DW662" s="121"/>
      <c r="DX662" s="1171"/>
      <c r="DY662" s="121"/>
      <c r="DZ662" s="1169"/>
      <c r="EA662" s="121"/>
      <c r="EB662" s="304"/>
      <c r="EC662" s="312"/>
      <c r="ED662" s="1171"/>
      <c r="EE662" s="121"/>
      <c r="EF662" s="1169"/>
      <c r="EG662" s="121"/>
      <c r="EH662" s="1171"/>
      <c r="EI662" s="121"/>
      <c r="EJ662" s="1169"/>
      <c r="EK662" s="121"/>
      <c r="EL662" s="304"/>
      <c r="EM662" s="312"/>
      <c r="EN662" s="309"/>
      <c r="EO662" s="1170"/>
      <c r="EP662" s="1276"/>
      <c r="EQ662" s="121"/>
      <c r="ER662" s="121"/>
      <c r="ES662" s="121"/>
      <c r="ET662" s="1276"/>
      <c r="EU662" s="121"/>
      <c r="EV662" s="121"/>
      <c r="EW662" s="121"/>
      <c r="EX662" s="301"/>
      <c r="EY662" s="301"/>
      <c r="EZ662" s="1276"/>
      <c r="FA662" s="121"/>
      <c r="FB662" s="121"/>
      <c r="FC662" s="121"/>
      <c r="FD662" s="1276"/>
      <c r="FE662" s="121"/>
      <c r="FF662" s="121"/>
      <c r="FG662" s="121"/>
      <c r="FH662" s="301"/>
      <c r="FI662" s="301"/>
      <c r="FJ662" s="1170"/>
    </row>
    <row r="663" spans="1:166" ht="15" customHeight="1">
      <c r="A663" s="79" t="s">
        <v>1019</v>
      </c>
      <c r="B663" s="614">
        <v>29</v>
      </c>
      <c r="C663" s="614"/>
      <c r="D663" s="614"/>
      <c r="E663" s="604" t="s">
        <v>2094</v>
      </c>
      <c r="F663" s="124" t="s">
        <v>2349</v>
      </c>
      <c r="G663" s="125">
        <v>2013</v>
      </c>
      <c r="H663" s="79">
        <v>23474020</v>
      </c>
      <c r="I663" s="79">
        <v>1</v>
      </c>
      <c r="J663" s="126"/>
      <c r="K663" s="127"/>
      <c r="L663" s="79">
        <v>1</v>
      </c>
      <c r="M663" s="79"/>
      <c r="N663" s="153">
        <v>1</v>
      </c>
      <c r="O663" s="128">
        <v>2</v>
      </c>
      <c r="P663" s="79" t="s">
        <v>1419</v>
      </c>
      <c r="Q663" s="79" t="s">
        <v>1216</v>
      </c>
      <c r="R663" s="79" t="s">
        <v>1127</v>
      </c>
      <c r="S663" s="79"/>
      <c r="T663" s="79" t="s">
        <v>1487</v>
      </c>
      <c r="U663" s="79"/>
      <c r="V663" s="79"/>
      <c r="W663" s="79" t="s">
        <v>1418</v>
      </c>
      <c r="X663" s="79"/>
      <c r="Y663" s="79"/>
      <c r="Z663" s="79"/>
      <c r="AA663" s="79" t="s">
        <v>1666</v>
      </c>
      <c r="AB663" s="79" t="s">
        <v>1665</v>
      </c>
      <c r="AC663" s="506"/>
      <c r="AD663" s="573">
        <v>1</v>
      </c>
      <c r="AE663" s="573">
        <v>2</v>
      </c>
      <c r="AF663" s="154">
        <v>1</v>
      </c>
      <c r="AG663" s="155" t="s">
        <v>3178</v>
      </c>
      <c r="AH663" s="704" t="s">
        <v>7546</v>
      </c>
      <c r="AI663" s="121">
        <v>4</v>
      </c>
      <c r="AJ663" s="484"/>
      <c r="AK663" s="202" t="s">
        <v>3176</v>
      </c>
      <c r="AL663" s="192">
        <v>1</v>
      </c>
      <c r="AM663" s="203" t="s">
        <v>7547</v>
      </c>
      <c r="AN663" s="121">
        <f>Table66[[#This Row],[Data_Subjects_n_ptsd]]+Table66[[#This Row],[Data_Subjects_n_control]]</f>
        <v>18</v>
      </c>
      <c r="AO663" s="121">
        <f>(10 + 8)/2</f>
        <v>9</v>
      </c>
      <c r="AP663" s="121">
        <f>(10 + 8)/2</f>
        <v>9</v>
      </c>
      <c r="AQ663" s="121" t="s">
        <v>1878</v>
      </c>
      <c r="AR663" s="134" t="s">
        <v>1878</v>
      </c>
      <c r="AS663" s="134" t="s">
        <v>7487</v>
      </c>
      <c r="AT663" s="134" t="s">
        <v>24</v>
      </c>
      <c r="AU663" s="134" t="s">
        <v>7487</v>
      </c>
      <c r="AV663" s="134" t="s">
        <v>24</v>
      </c>
      <c r="AW663" s="134" t="s">
        <v>2963</v>
      </c>
      <c r="AX663" s="121"/>
      <c r="AY663" s="121"/>
      <c r="AZ663" s="754" t="s">
        <v>1487</v>
      </c>
      <c r="BA663" s="121">
        <v>1</v>
      </c>
      <c r="BB663" s="121">
        <v>1</v>
      </c>
      <c r="BC663" s="121" t="s">
        <v>7548</v>
      </c>
      <c r="BD663" s="754" t="s">
        <v>7523</v>
      </c>
      <c r="BE663" s="754"/>
      <c r="BF663" s="121" t="s">
        <v>2912</v>
      </c>
      <c r="BG663" s="121" t="s">
        <v>2798</v>
      </c>
      <c r="BH663" s="594"/>
      <c r="BI663" s="594"/>
      <c r="BJ663" s="156">
        <v>1</v>
      </c>
      <c r="BK663" s="156"/>
      <c r="BL663" s="156"/>
      <c r="BM663" s="156"/>
      <c r="BN663" s="156"/>
      <c r="BO663" s="156"/>
      <c r="BP663" s="156"/>
      <c r="BQ663" s="156"/>
      <c r="BR663" s="156"/>
      <c r="BS663" s="156"/>
      <c r="BT663" s="156"/>
      <c r="BU663" s="156"/>
      <c r="BV663" s="156"/>
      <c r="BW663" s="595" t="s">
        <v>3194</v>
      </c>
      <c r="BX663" s="157" t="s">
        <v>6598</v>
      </c>
      <c r="BY663" s="797" t="s">
        <v>7615</v>
      </c>
      <c r="BZ663" s="789" t="s">
        <v>803</v>
      </c>
      <c r="CA663" s="660">
        <v>4</v>
      </c>
      <c r="CB663" s="660" t="s">
        <v>7556</v>
      </c>
      <c r="CC663" s="660" t="s">
        <v>7384</v>
      </c>
      <c r="CD663" s="134" t="s">
        <v>1876</v>
      </c>
      <c r="CE663" s="134" t="s">
        <v>3177</v>
      </c>
      <c r="CF663" s="400" t="s">
        <v>7958</v>
      </c>
      <c r="CG663" s="134" t="s">
        <v>7564</v>
      </c>
      <c r="CH663" s="753" t="s">
        <v>1488</v>
      </c>
      <c r="CI663" s="134" t="s">
        <v>3175</v>
      </c>
      <c r="CJ663" s="134"/>
      <c r="CK663" s="134" t="s">
        <v>2659</v>
      </c>
      <c r="CL663" s="134" t="s">
        <v>2659</v>
      </c>
      <c r="CM663" s="259" t="s">
        <v>3202</v>
      </c>
      <c r="CN663" s="454" t="s">
        <v>6627</v>
      </c>
      <c r="CO663" s="828">
        <v>52</v>
      </c>
      <c r="CP663" s="828">
        <v>1</v>
      </c>
      <c r="CQ663" s="828">
        <v>3</v>
      </c>
      <c r="CR663" s="828">
        <v>1</v>
      </c>
      <c r="CS663" s="828">
        <v>1</v>
      </c>
      <c r="CT663" s="967"/>
      <c r="CU663" s="1289" t="s">
        <v>8104</v>
      </c>
      <c r="CV663" s="1295">
        <v>106</v>
      </c>
      <c r="CW663" s="1295">
        <v>97</v>
      </c>
      <c r="CX663" s="138" t="s">
        <v>3185</v>
      </c>
      <c r="CY663" s="134">
        <v>51.581000000000003</v>
      </c>
      <c r="CZ663" s="134" t="s">
        <v>24</v>
      </c>
      <c r="DA663" s="134">
        <f>53.6445-Table66[[#This Row],[Data_Outcome1_M]]</f>
        <v>2.0634999999999977</v>
      </c>
      <c r="DB663" s="138" t="s">
        <v>3186</v>
      </c>
      <c r="DC663" s="134">
        <v>32.522100000000002</v>
      </c>
      <c r="DD663" s="134" t="s">
        <v>24</v>
      </c>
      <c r="DE663" s="134">
        <f>34.4269-Table66[[#This Row],[Data_Outcome2_M]]</f>
        <v>1.9048000000000016</v>
      </c>
      <c r="DF663" s="434" t="s">
        <v>3197</v>
      </c>
      <c r="DG663" s="436" t="s">
        <v>3060</v>
      </c>
      <c r="DH663" s="1171"/>
      <c r="DI663" s="1169"/>
      <c r="DJ663" s="1169"/>
      <c r="DK663" s="1169"/>
      <c r="DL663" s="1171"/>
      <c r="DM663" s="1169"/>
      <c r="DN663" s="1169"/>
      <c r="DO663" s="1169"/>
      <c r="DP663" s="288"/>
      <c r="DQ663" s="289"/>
      <c r="DR663" s="1168"/>
      <c r="DS663" s="865"/>
      <c r="DT663" s="1171"/>
      <c r="DU663" s="1169"/>
      <c r="DV663" s="1169"/>
      <c r="DW663" s="1169"/>
      <c r="DX663" s="1171"/>
      <c r="DY663" s="1169"/>
      <c r="DZ663" s="1169"/>
      <c r="EA663" s="1169"/>
      <c r="EB663" s="304"/>
      <c r="EC663" s="312"/>
      <c r="ED663" s="1171"/>
      <c r="EE663" s="1169"/>
      <c r="EF663" s="1169"/>
      <c r="EG663" s="1169"/>
      <c r="EH663" s="1171"/>
      <c r="EI663" s="1169"/>
      <c r="EJ663" s="1169"/>
      <c r="EK663" s="1169"/>
      <c r="EL663" s="304"/>
      <c r="EM663" s="312"/>
      <c r="EN663" s="309"/>
      <c r="EO663" s="1170"/>
      <c r="EP663" s="1171"/>
      <c r="EQ663" s="1169"/>
      <c r="ER663" s="1169"/>
      <c r="ES663" s="1169"/>
      <c r="ET663" s="1171"/>
      <c r="EU663" s="1169"/>
      <c r="EV663" s="1169"/>
      <c r="EW663" s="1169"/>
      <c r="EX663" s="312"/>
      <c r="EY663" s="312"/>
      <c r="EZ663" s="1171"/>
      <c r="FA663" s="1169"/>
      <c r="FB663" s="1169"/>
      <c r="FC663" s="1169"/>
      <c r="FD663" s="1171"/>
      <c r="FE663" s="1169"/>
      <c r="FF663" s="1169"/>
      <c r="FG663" s="1169"/>
      <c r="FH663" s="312"/>
      <c r="FI663" s="312"/>
      <c r="FJ663" s="1170"/>
    </row>
    <row r="664" spans="1:166" ht="15" customHeight="1">
      <c r="A664" s="79" t="s">
        <v>1019</v>
      </c>
      <c r="B664" s="614">
        <v>29</v>
      </c>
      <c r="C664" s="614"/>
      <c r="D664" s="614"/>
      <c r="E664" s="604" t="s">
        <v>2094</v>
      </c>
      <c r="F664" s="124" t="s">
        <v>2349</v>
      </c>
      <c r="G664" s="125">
        <v>2013</v>
      </c>
      <c r="H664" s="79">
        <v>23474020</v>
      </c>
      <c r="I664" s="79">
        <v>1</v>
      </c>
      <c r="J664" s="126"/>
      <c r="K664" s="127"/>
      <c r="L664" s="79">
        <v>1</v>
      </c>
      <c r="M664" s="79"/>
      <c r="N664" s="153">
        <v>1</v>
      </c>
      <c r="O664" s="128">
        <v>2</v>
      </c>
      <c r="P664" s="79" t="s">
        <v>1419</v>
      </c>
      <c r="Q664" s="79" t="s">
        <v>1216</v>
      </c>
      <c r="R664" s="79" t="s">
        <v>1127</v>
      </c>
      <c r="S664" s="79"/>
      <c r="T664" s="79" t="s">
        <v>1487</v>
      </c>
      <c r="U664" s="79"/>
      <c r="V664" s="79"/>
      <c r="W664" s="79" t="s">
        <v>1418</v>
      </c>
      <c r="X664" s="79"/>
      <c r="Y664" s="79"/>
      <c r="Z664" s="79"/>
      <c r="AA664" s="79" t="s">
        <v>1666</v>
      </c>
      <c r="AB664" s="79" t="s">
        <v>1665</v>
      </c>
      <c r="AC664" s="506"/>
      <c r="AD664" s="573">
        <v>1</v>
      </c>
      <c r="AE664" s="573">
        <v>2</v>
      </c>
      <c r="AF664" s="154">
        <v>1</v>
      </c>
      <c r="AG664" s="155" t="s">
        <v>3178</v>
      </c>
      <c r="AH664" s="704" t="s">
        <v>7546</v>
      </c>
      <c r="AI664" s="121">
        <v>4</v>
      </c>
      <c r="AJ664" s="484"/>
      <c r="AK664" s="202" t="s">
        <v>3176</v>
      </c>
      <c r="AL664" s="192">
        <v>1</v>
      </c>
      <c r="AM664" s="203" t="s">
        <v>7547</v>
      </c>
      <c r="AN664" s="121">
        <f>Table66[[#This Row],[Data_Subjects_n_ptsd]]+Table66[[#This Row],[Data_Subjects_n_control]]</f>
        <v>18</v>
      </c>
      <c r="AO664" s="121">
        <f>(10 + 8)/2</f>
        <v>9</v>
      </c>
      <c r="AP664" s="121">
        <f>(10 + 8)/2</f>
        <v>9</v>
      </c>
      <c r="AQ664" s="121" t="s">
        <v>1878</v>
      </c>
      <c r="AR664" s="134" t="s">
        <v>1878</v>
      </c>
      <c r="AS664" s="134" t="s">
        <v>7487</v>
      </c>
      <c r="AT664" s="134" t="s">
        <v>24</v>
      </c>
      <c r="AU664" s="134" t="s">
        <v>7487</v>
      </c>
      <c r="AV664" s="134" t="s">
        <v>24</v>
      </c>
      <c r="AW664" s="134" t="s">
        <v>2963</v>
      </c>
      <c r="AX664" s="121"/>
      <c r="AY664" s="121"/>
      <c r="AZ664" s="754" t="s">
        <v>1487</v>
      </c>
      <c r="BA664" s="121">
        <v>1</v>
      </c>
      <c r="BB664" s="121">
        <v>1</v>
      </c>
      <c r="BC664" s="121" t="s">
        <v>7548</v>
      </c>
      <c r="BD664" s="754" t="s">
        <v>7523</v>
      </c>
      <c r="BE664" s="754"/>
      <c r="BF664" s="121" t="s">
        <v>2912</v>
      </c>
      <c r="BG664" s="121" t="s">
        <v>2798</v>
      </c>
      <c r="BH664" s="594"/>
      <c r="BI664" s="594"/>
      <c r="BJ664" s="156">
        <v>1</v>
      </c>
      <c r="BK664" s="156"/>
      <c r="BL664" s="156"/>
      <c r="BM664" s="156"/>
      <c r="BN664" s="156"/>
      <c r="BO664" s="156"/>
      <c r="BP664" s="156"/>
      <c r="BQ664" s="156"/>
      <c r="BR664" s="156"/>
      <c r="BS664" s="156"/>
      <c r="BT664" s="156"/>
      <c r="BU664" s="156"/>
      <c r="BV664" s="156"/>
      <c r="BW664" s="595" t="s">
        <v>3194</v>
      </c>
      <c r="BX664" s="157" t="s">
        <v>6598</v>
      </c>
      <c r="BY664" s="797" t="s">
        <v>7615</v>
      </c>
      <c r="BZ664" s="789" t="s">
        <v>803</v>
      </c>
      <c r="CA664" s="765">
        <v>4</v>
      </c>
      <c r="CB664" s="765" t="s">
        <v>7556</v>
      </c>
      <c r="CC664" s="765" t="s">
        <v>7384</v>
      </c>
      <c r="CD664" s="134" t="s">
        <v>1876</v>
      </c>
      <c r="CE664" s="134" t="s">
        <v>3177</v>
      </c>
      <c r="CF664" s="400" t="s">
        <v>7956</v>
      </c>
      <c r="CG664" s="134" t="s">
        <v>7564</v>
      </c>
      <c r="CH664" s="753" t="s">
        <v>1488</v>
      </c>
      <c r="CI664" s="134" t="s">
        <v>3175</v>
      </c>
      <c r="CJ664" s="134"/>
      <c r="CK664" s="134" t="s">
        <v>2659</v>
      </c>
      <c r="CL664" s="134" t="s">
        <v>2659</v>
      </c>
      <c r="CM664" s="259" t="s">
        <v>3202</v>
      </c>
      <c r="CN664" s="454" t="s">
        <v>6627</v>
      </c>
      <c r="CO664" s="828">
        <v>52</v>
      </c>
      <c r="CP664" s="828">
        <v>1</v>
      </c>
      <c r="CQ664" s="828">
        <v>4</v>
      </c>
      <c r="CR664" s="828">
        <v>1</v>
      </c>
      <c r="CS664" s="828">
        <v>-1</v>
      </c>
      <c r="CT664" s="967"/>
      <c r="CU664" s="1289" t="s">
        <v>8104</v>
      </c>
      <c r="CV664" s="1295">
        <v>106</v>
      </c>
      <c r="CW664" s="1295">
        <v>97</v>
      </c>
      <c r="CX664" s="138" t="s">
        <v>3187</v>
      </c>
      <c r="CY664" s="134">
        <v>59.341299999999997</v>
      </c>
      <c r="CZ664" s="134" t="s">
        <v>24</v>
      </c>
      <c r="DA664" s="134">
        <f>61.4511-Table66[[#This Row],[Data_Outcome1_M]]</f>
        <v>2.1097999999999999</v>
      </c>
      <c r="DB664" s="138" t="s">
        <v>3188</v>
      </c>
      <c r="DC664" s="134">
        <v>57.733400000000003</v>
      </c>
      <c r="DD664" s="134" t="s">
        <v>24</v>
      </c>
      <c r="DE664" s="134">
        <f>59.8429-Table66[[#This Row],[Data_Outcome2_M]]</f>
        <v>2.109499999999997</v>
      </c>
      <c r="DF664" s="434" t="s">
        <v>3198</v>
      </c>
      <c r="DG664" s="436" t="s">
        <v>2480</v>
      </c>
      <c r="DH664" s="1171"/>
      <c r="DI664" s="1169"/>
      <c r="DJ664" s="1169"/>
      <c r="DK664" s="1169"/>
      <c r="DL664" s="1171"/>
      <c r="DM664" s="1169"/>
      <c r="DN664" s="1169"/>
      <c r="DO664" s="1169"/>
      <c r="DP664" s="288"/>
      <c r="DQ664" s="289"/>
      <c r="DR664" s="1168"/>
      <c r="DS664" s="865"/>
      <c r="DT664" s="1171"/>
      <c r="DU664" s="1169"/>
      <c r="DV664" s="1169"/>
      <c r="DW664" s="1169"/>
      <c r="DX664" s="1171"/>
      <c r="DY664" s="1169"/>
      <c r="DZ664" s="1169"/>
      <c r="EA664" s="1169"/>
      <c r="EB664" s="304"/>
      <c r="EC664" s="312"/>
      <c r="ED664" s="1171"/>
      <c r="EE664" s="1169"/>
      <c r="EF664" s="1169"/>
      <c r="EG664" s="1169"/>
      <c r="EH664" s="1171"/>
      <c r="EI664" s="1169"/>
      <c r="EJ664" s="1169"/>
      <c r="EK664" s="1169"/>
      <c r="EL664" s="304"/>
      <c r="EM664" s="312"/>
      <c r="EN664" s="309"/>
      <c r="EO664" s="1170"/>
      <c r="EP664" s="1171"/>
      <c r="EQ664" s="1169"/>
      <c r="ER664" s="1169"/>
      <c r="ES664" s="1169"/>
      <c r="ET664" s="1171"/>
      <c r="EU664" s="1169"/>
      <c r="EV664" s="1169"/>
      <c r="EW664" s="1169"/>
      <c r="EX664" s="312"/>
      <c r="EY664" s="312"/>
      <c r="EZ664" s="1171"/>
      <c r="FA664" s="1169"/>
      <c r="FB664" s="1169"/>
      <c r="FC664" s="1169"/>
      <c r="FD664" s="1171"/>
      <c r="FE664" s="1169"/>
      <c r="FF664" s="1169"/>
      <c r="FG664" s="1169"/>
      <c r="FH664" s="312"/>
      <c r="FI664" s="312"/>
      <c r="FJ664" s="1170"/>
    </row>
    <row r="665" spans="1:166" ht="15" hidden="1" customHeight="1">
      <c r="A665" s="118" t="s">
        <v>967</v>
      </c>
      <c r="B665" s="616">
        <v>231</v>
      </c>
      <c r="C665" s="616"/>
      <c r="D665" s="616">
        <v>94</v>
      </c>
      <c r="E665" s="605" t="s">
        <v>2119</v>
      </c>
      <c r="F665" s="140" t="s">
        <v>2380</v>
      </c>
      <c r="G665" s="141">
        <v>2014</v>
      </c>
      <c r="H665" s="118">
        <v>25451096</v>
      </c>
      <c r="I665" s="118">
        <v>1</v>
      </c>
      <c r="J665" s="118" t="s">
        <v>1787</v>
      </c>
      <c r="K665" s="118" t="s">
        <v>1771</v>
      </c>
      <c r="L665" s="387">
        <v>0</v>
      </c>
      <c r="M665" s="118"/>
      <c r="N665" s="387">
        <v>1</v>
      </c>
      <c r="O665" s="142">
        <v>2</v>
      </c>
      <c r="P665" s="118" t="s">
        <v>1593</v>
      </c>
      <c r="Q665" s="118" t="s">
        <v>1377</v>
      </c>
      <c r="R665" s="118" t="s">
        <v>1127</v>
      </c>
      <c r="S665" s="118"/>
      <c r="T665" s="118" t="s">
        <v>1594</v>
      </c>
      <c r="U665" s="118" t="s">
        <v>803</v>
      </c>
      <c r="V665" s="118"/>
      <c r="W665" s="118" t="s">
        <v>1592</v>
      </c>
      <c r="X665" s="118" t="s">
        <v>1591</v>
      </c>
      <c r="Y665" s="118"/>
      <c r="Z665" s="118"/>
      <c r="AA665" s="118" t="s">
        <v>1581</v>
      </c>
      <c r="AB665" s="118"/>
      <c r="AC665" s="145" t="s">
        <v>6299</v>
      </c>
      <c r="AD665" s="653">
        <v>1</v>
      </c>
      <c r="AE665" s="653">
        <v>1</v>
      </c>
      <c r="AF665" s="159">
        <v>1</v>
      </c>
      <c r="AG665" s="160" t="s">
        <v>7066</v>
      </c>
      <c r="AH665" s="704"/>
      <c r="AI665" s="122">
        <v>4</v>
      </c>
      <c r="AJ665" s="485"/>
      <c r="AK665" s="204" t="s">
        <v>7069</v>
      </c>
      <c r="AL665" s="192" t="s">
        <v>7052</v>
      </c>
      <c r="AM665" s="227">
        <v>0</v>
      </c>
      <c r="AN665" s="150">
        <f>Table66[[#This Row],[Data_Subjects_n_ptsd]]+Table66[[#This Row],[Data_Subjects_n_control]]</f>
        <v>32</v>
      </c>
      <c r="AO665" s="150">
        <v>16</v>
      </c>
      <c r="AP665" s="150">
        <v>16</v>
      </c>
      <c r="AQ665" s="150" t="s">
        <v>803</v>
      </c>
      <c r="AR665" s="150" t="s">
        <v>803</v>
      </c>
      <c r="AS665" s="150" t="s">
        <v>2654</v>
      </c>
      <c r="AT665" s="150" t="s">
        <v>24</v>
      </c>
      <c r="AU665" s="150" t="s">
        <v>2654</v>
      </c>
      <c r="AV665" s="150" t="s">
        <v>24</v>
      </c>
      <c r="AW665" s="150" t="s">
        <v>7064</v>
      </c>
      <c r="AX665" s="150">
        <v>60</v>
      </c>
      <c r="AY665" s="150">
        <v>0.8</v>
      </c>
      <c r="AZ665" s="753" t="s">
        <v>1814</v>
      </c>
      <c r="BA665" s="150">
        <v>1</v>
      </c>
      <c r="BB665" s="150">
        <v>1</v>
      </c>
      <c r="BC665" s="150" t="s">
        <v>7109</v>
      </c>
      <c r="BD665" s="753" t="s">
        <v>7523</v>
      </c>
      <c r="BE665" s="753"/>
      <c r="BF665" s="150" t="s">
        <v>2912</v>
      </c>
      <c r="BG665" s="150" t="s">
        <v>6653</v>
      </c>
      <c r="BH665" s="588"/>
      <c r="BI665" s="588"/>
      <c r="BJ665" s="161">
        <v>1</v>
      </c>
      <c r="BK665" s="161">
        <v>1</v>
      </c>
      <c r="BL665" s="161"/>
      <c r="BM665" s="161"/>
      <c r="BN665" s="161"/>
      <c r="BO665" s="161"/>
      <c r="BP665" s="161">
        <v>1</v>
      </c>
      <c r="BQ665" s="161"/>
      <c r="BR665" s="161"/>
      <c r="BS665" s="161"/>
      <c r="BT665" s="161"/>
      <c r="BU665" s="161"/>
      <c r="BV665" s="161"/>
      <c r="BW665" s="596" t="s">
        <v>7449</v>
      </c>
      <c r="BX665" s="162" t="s">
        <v>6596</v>
      </c>
      <c r="BY665" s="797" t="s">
        <v>7615</v>
      </c>
      <c r="BZ665" s="790" t="s">
        <v>7610</v>
      </c>
      <c r="CA665" s="766">
        <v>2</v>
      </c>
      <c r="CB665" s="766" t="s">
        <v>7556</v>
      </c>
      <c r="CC665" s="766" t="s">
        <v>8243</v>
      </c>
      <c r="CD665" s="150" t="s">
        <v>1876</v>
      </c>
      <c r="CE665" s="150" t="s">
        <v>7065</v>
      </c>
      <c r="CF665" s="400" t="s">
        <v>7581</v>
      </c>
      <c r="CG665" s="150" t="s">
        <v>7067</v>
      </c>
      <c r="CH665" s="753" t="s">
        <v>7309</v>
      </c>
      <c r="CI665" s="150" t="s">
        <v>7084</v>
      </c>
      <c r="CJ665" s="150"/>
      <c r="CK665" s="150" t="s">
        <v>7068</v>
      </c>
      <c r="CL665" s="400" t="s">
        <v>8241</v>
      </c>
      <c r="CM665" s="258" t="s">
        <v>7080</v>
      </c>
      <c r="CN665" s="257" t="s">
        <v>6627</v>
      </c>
      <c r="CO665" s="829">
        <v>74</v>
      </c>
      <c r="CP665" s="829">
        <v>1</v>
      </c>
      <c r="CQ665" s="829">
        <v>1</v>
      </c>
      <c r="CR665" s="829">
        <v>1</v>
      </c>
      <c r="CS665" s="829">
        <v>1</v>
      </c>
      <c r="CT665" s="968"/>
      <c r="CU665" s="1289" t="s">
        <v>8104</v>
      </c>
      <c r="CV665" s="1295">
        <v>125</v>
      </c>
      <c r="CW665" s="1295">
        <v>114</v>
      </c>
      <c r="CX665" s="151" t="s">
        <v>7030</v>
      </c>
      <c r="CY665" s="150">
        <v>21.3</v>
      </c>
      <c r="CZ665" s="150" t="s">
        <v>24</v>
      </c>
      <c r="DA665" s="150">
        <v>3.6</v>
      </c>
      <c r="DB665" s="151" t="s">
        <v>7073</v>
      </c>
      <c r="DC665" s="150">
        <v>12.1</v>
      </c>
      <c r="DD665" s="150" t="s">
        <v>24</v>
      </c>
      <c r="DE665" s="150">
        <v>2.8</v>
      </c>
      <c r="DF665" s="294" t="s">
        <v>7078</v>
      </c>
      <c r="DG665" s="295" t="s">
        <v>2555</v>
      </c>
      <c r="DH665" s="1169"/>
      <c r="DI665" s="1169"/>
      <c r="DJ665" s="1169"/>
      <c r="DK665" s="1169"/>
      <c r="DL665" s="1169"/>
      <c r="DM665" s="1169"/>
      <c r="DN665" s="1169"/>
      <c r="DO665" s="1169"/>
      <c r="DP665" s="288"/>
      <c r="DQ665" s="289"/>
      <c r="DR665" s="1168"/>
      <c r="DS665" s="865"/>
      <c r="DT665" s="1166"/>
      <c r="DU665" s="1164"/>
      <c r="DV665" s="1164"/>
      <c r="DW665" s="1164"/>
      <c r="DX665" s="1164"/>
      <c r="DY665" s="1164"/>
      <c r="DZ665" s="1164"/>
      <c r="EA665" s="1164"/>
      <c r="EB665" s="311"/>
      <c r="EC665" s="313"/>
      <c r="ED665" s="1164"/>
      <c r="EE665" s="1164"/>
      <c r="EF665" s="1164"/>
      <c r="EG665" s="1164"/>
      <c r="EH665" s="1164"/>
      <c r="EI665" s="1164"/>
      <c r="EJ665" s="1164"/>
      <c r="EK665" s="1164"/>
      <c r="EL665" s="311"/>
      <c r="EM665" s="313"/>
      <c r="EN665" s="1167"/>
      <c r="EO665" s="1165"/>
      <c r="EP665" s="1164"/>
      <c r="EQ665" s="1164"/>
      <c r="ER665" s="1164"/>
      <c r="ES665" s="1164"/>
      <c r="ET665" s="1166"/>
      <c r="EU665" s="1164"/>
      <c r="EV665" s="1164"/>
      <c r="EW665" s="1164"/>
      <c r="EX665" s="313"/>
      <c r="EY665" s="313"/>
      <c r="EZ665" s="1166"/>
      <c r="FA665" s="1164"/>
      <c r="FB665" s="1164"/>
      <c r="FC665" s="1164"/>
      <c r="FD665" s="1166"/>
      <c r="FE665" s="1164"/>
      <c r="FF665" s="1164"/>
      <c r="FG665" s="1164"/>
      <c r="FH665" s="313"/>
      <c r="FI665" s="313"/>
      <c r="FJ665" s="1165"/>
    </row>
    <row r="666" spans="1:166" ht="15" hidden="1" customHeight="1">
      <c r="A666" s="118" t="s">
        <v>967</v>
      </c>
      <c r="B666" s="616">
        <v>231</v>
      </c>
      <c r="C666" s="616"/>
      <c r="D666" s="616">
        <v>94</v>
      </c>
      <c r="E666" s="605" t="s">
        <v>2119</v>
      </c>
      <c r="F666" s="140" t="s">
        <v>2380</v>
      </c>
      <c r="G666" s="141">
        <v>2014</v>
      </c>
      <c r="H666" s="118">
        <v>25451096</v>
      </c>
      <c r="I666" s="118">
        <v>1</v>
      </c>
      <c r="J666" s="118" t="s">
        <v>1787</v>
      </c>
      <c r="K666" s="118" t="s">
        <v>1771</v>
      </c>
      <c r="L666" s="387">
        <v>0</v>
      </c>
      <c r="M666" s="118"/>
      <c r="N666" s="387">
        <v>1</v>
      </c>
      <c r="O666" s="142">
        <v>2</v>
      </c>
      <c r="P666" s="118" t="s">
        <v>1593</v>
      </c>
      <c r="Q666" s="118" t="s">
        <v>1377</v>
      </c>
      <c r="R666" s="118" t="s">
        <v>1127</v>
      </c>
      <c r="S666" s="118"/>
      <c r="T666" s="118" t="s">
        <v>1594</v>
      </c>
      <c r="U666" s="118" t="s">
        <v>803</v>
      </c>
      <c r="V666" s="118"/>
      <c r="W666" s="118" t="s">
        <v>1592</v>
      </c>
      <c r="X666" s="118" t="s">
        <v>1591</v>
      </c>
      <c r="Y666" s="118"/>
      <c r="Z666" s="118"/>
      <c r="AA666" s="118" t="s">
        <v>1581</v>
      </c>
      <c r="AB666" s="118"/>
      <c r="AC666" s="145" t="s">
        <v>6299</v>
      </c>
      <c r="AD666" s="653">
        <v>1</v>
      </c>
      <c r="AE666" s="653">
        <v>1</v>
      </c>
      <c r="AF666" s="159">
        <v>1</v>
      </c>
      <c r="AG666" s="160" t="s">
        <v>7066</v>
      </c>
      <c r="AH666" s="704"/>
      <c r="AI666" s="122">
        <v>4</v>
      </c>
      <c r="AJ666" s="485"/>
      <c r="AK666" s="204" t="s">
        <v>7069</v>
      </c>
      <c r="AL666" s="192" t="s">
        <v>7052</v>
      </c>
      <c r="AM666" s="227">
        <v>0</v>
      </c>
      <c r="AN666" s="150">
        <f>Table66[[#This Row],[Data_Subjects_n_ptsd]]+Table66[[#This Row],[Data_Subjects_n_control]]</f>
        <v>32</v>
      </c>
      <c r="AO666" s="150">
        <v>16</v>
      </c>
      <c r="AP666" s="150">
        <v>16</v>
      </c>
      <c r="AQ666" s="150" t="s">
        <v>803</v>
      </c>
      <c r="AR666" s="150" t="s">
        <v>803</v>
      </c>
      <c r="AS666" s="150" t="s">
        <v>2654</v>
      </c>
      <c r="AT666" s="150" t="s">
        <v>24</v>
      </c>
      <c r="AU666" s="150" t="s">
        <v>2654</v>
      </c>
      <c r="AV666" s="150" t="s">
        <v>24</v>
      </c>
      <c r="AW666" s="150" t="s">
        <v>7064</v>
      </c>
      <c r="AX666" s="150">
        <v>60</v>
      </c>
      <c r="AY666" s="150">
        <v>0.8</v>
      </c>
      <c r="AZ666" s="753" t="s">
        <v>1814</v>
      </c>
      <c r="BA666" s="150">
        <v>1</v>
      </c>
      <c r="BB666" s="150">
        <v>1</v>
      </c>
      <c r="BC666" s="150" t="s">
        <v>7109</v>
      </c>
      <c r="BD666" s="753" t="s">
        <v>7523</v>
      </c>
      <c r="BE666" s="753"/>
      <c r="BF666" s="150" t="s">
        <v>2912</v>
      </c>
      <c r="BG666" s="150" t="s">
        <v>6653</v>
      </c>
      <c r="BH666" s="588"/>
      <c r="BI666" s="588"/>
      <c r="BJ666" s="161">
        <v>1</v>
      </c>
      <c r="BK666" s="161">
        <v>1</v>
      </c>
      <c r="BL666" s="161"/>
      <c r="BM666" s="161"/>
      <c r="BN666" s="161"/>
      <c r="BO666" s="161"/>
      <c r="BP666" s="161">
        <v>1</v>
      </c>
      <c r="BQ666" s="161"/>
      <c r="BR666" s="161"/>
      <c r="BS666" s="161"/>
      <c r="BT666" s="161"/>
      <c r="BU666" s="161"/>
      <c r="BV666" s="161"/>
      <c r="BW666" s="596" t="s">
        <v>7449</v>
      </c>
      <c r="BX666" s="162" t="s">
        <v>6596</v>
      </c>
      <c r="BY666" s="797" t="s">
        <v>7615</v>
      </c>
      <c r="BZ666" s="790" t="s">
        <v>7610</v>
      </c>
      <c r="CA666" s="766">
        <v>2</v>
      </c>
      <c r="CB666" s="766" t="s">
        <v>7556</v>
      </c>
      <c r="CC666" s="766" t="s">
        <v>8243</v>
      </c>
      <c r="CD666" s="150" t="s">
        <v>1876</v>
      </c>
      <c r="CE666" s="150" t="s">
        <v>7065</v>
      </c>
      <c r="CF666" s="400" t="s">
        <v>7581</v>
      </c>
      <c r="CG666" s="150" t="s">
        <v>7067</v>
      </c>
      <c r="CH666" s="753" t="s">
        <v>7309</v>
      </c>
      <c r="CI666" s="150" t="s">
        <v>7084</v>
      </c>
      <c r="CJ666" s="150"/>
      <c r="CK666" s="150" t="s">
        <v>7068</v>
      </c>
      <c r="CL666" s="1385" t="s">
        <v>8242</v>
      </c>
      <c r="CM666" s="258" t="s">
        <v>7080</v>
      </c>
      <c r="CN666" s="257" t="s">
        <v>6627</v>
      </c>
      <c r="CO666" s="829">
        <v>74</v>
      </c>
      <c r="CP666" s="829">
        <v>1</v>
      </c>
      <c r="CQ666" s="829">
        <v>2</v>
      </c>
      <c r="CR666" s="829">
        <v>1</v>
      </c>
      <c r="CS666" s="829">
        <v>-1</v>
      </c>
      <c r="CT666" s="968"/>
      <c r="CU666" s="1289" t="s">
        <v>8104</v>
      </c>
      <c r="CV666" s="1295">
        <v>125</v>
      </c>
      <c r="CW666" s="1295">
        <v>114</v>
      </c>
      <c r="CX666" s="151" t="s">
        <v>7074</v>
      </c>
      <c r="CY666" s="150">
        <v>27.3</v>
      </c>
      <c r="CZ666" s="150" t="s">
        <v>24</v>
      </c>
      <c r="DA666" s="150">
        <v>4.9000000000000004</v>
      </c>
      <c r="DB666" s="151" t="s">
        <v>7075</v>
      </c>
      <c r="DC666" s="150">
        <v>11.8</v>
      </c>
      <c r="DD666" s="150" t="s">
        <v>24</v>
      </c>
      <c r="DE666" s="150">
        <v>1.8</v>
      </c>
      <c r="DF666" s="290" t="s">
        <v>7079</v>
      </c>
      <c r="DG666" s="291" t="s">
        <v>2555</v>
      </c>
      <c r="DH666" s="1178"/>
      <c r="DI666" s="500"/>
      <c r="DJ666" s="1164"/>
      <c r="DK666" s="500"/>
      <c r="DL666" s="1166"/>
      <c r="DM666" s="500"/>
      <c r="DN666" s="1164"/>
      <c r="DO666" s="1150"/>
      <c r="DP666" s="290"/>
      <c r="DQ666" s="388"/>
      <c r="DR666" s="280"/>
      <c r="DS666" s="865"/>
      <c r="DT666" s="1166"/>
      <c r="DU666" s="1164"/>
      <c r="DV666" s="1164"/>
      <c r="DW666" s="1164"/>
      <c r="DX666" s="1164"/>
      <c r="DY666" s="1164"/>
      <c r="DZ666" s="1164"/>
      <c r="EA666" s="1164"/>
      <c r="EB666" s="311"/>
      <c r="EC666" s="313"/>
      <c r="ED666" s="1164"/>
      <c r="EE666" s="1164"/>
      <c r="EF666" s="1164"/>
      <c r="EG666" s="1164"/>
      <c r="EH666" s="1164"/>
      <c r="EI666" s="1164"/>
      <c r="EJ666" s="1164"/>
      <c r="EK666" s="1164"/>
      <c r="EL666" s="311"/>
      <c r="EM666" s="313"/>
      <c r="EN666" s="1167"/>
      <c r="EO666" s="1165"/>
      <c r="EP666" s="1164"/>
      <c r="EQ666" s="1164"/>
      <c r="ER666" s="1164"/>
      <c r="ES666" s="1164"/>
      <c r="ET666" s="1166"/>
      <c r="EU666" s="1164"/>
      <c r="EV666" s="1164"/>
      <c r="EW666" s="1164"/>
      <c r="EX666" s="313"/>
      <c r="EY666" s="313"/>
      <c r="EZ666" s="1166"/>
      <c r="FA666" s="1164"/>
      <c r="FB666" s="1164"/>
      <c r="FC666" s="1164"/>
      <c r="FD666" s="1166"/>
      <c r="FE666" s="1164"/>
      <c r="FF666" s="1164"/>
      <c r="FG666" s="1164"/>
      <c r="FH666" s="313"/>
      <c r="FI666" s="313"/>
      <c r="FJ666" s="1165"/>
    </row>
    <row r="667" spans="1:166" ht="15" hidden="1" customHeight="1">
      <c r="A667" s="79" t="s">
        <v>1057</v>
      </c>
      <c r="B667" s="617">
        <v>123</v>
      </c>
      <c r="C667" s="617"/>
      <c r="D667" s="617">
        <v>39</v>
      </c>
      <c r="E667" s="608" t="s">
        <v>2074</v>
      </c>
      <c r="F667" s="181" t="s">
        <v>2326</v>
      </c>
      <c r="G667" s="182">
        <v>2012</v>
      </c>
      <c r="H667" s="79">
        <v>22659471</v>
      </c>
      <c r="I667" s="79">
        <v>1</v>
      </c>
      <c r="J667" s="79"/>
      <c r="K667" s="79"/>
      <c r="L667" s="79">
        <v>1</v>
      </c>
      <c r="M667" s="79"/>
      <c r="N667" s="79">
        <v>1</v>
      </c>
      <c r="O667" s="128">
        <v>2</v>
      </c>
      <c r="P667" s="79" t="s">
        <v>1336</v>
      </c>
      <c r="Q667" s="79" t="s">
        <v>1224</v>
      </c>
      <c r="R667" s="79" t="s">
        <v>1127</v>
      </c>
      <c r="S667" s="79"/>
      <c r="T667" s="79" t="s">
        <v>1498</v>
      </c>
      <c r="U667" s="79" t="s">
        <v>803</v>
      </c>
      <c r="V667" s="79"/>
      <c r="W667" s="79" t="s">
        <v>1337</v>
      </c>
      <c r="X667" s="79" t="s">
        <v>1338</v>
      </c>
      <c r="Y667" s="79"/>
      <c r="Z667" s="79"/>
      <c r="AA667" s="79"/>
      <c r="AB667" s="79"/>
      <c r="AC667" s="506" t="s">
        <v>1227</v>
      </c>
      <c r="AD667" s="573">
        <v>1</v>
      </c>
      <c r="AE667" s="573">
        <v>1</v>
      </c>
      <c r="AF667" s="352">
        <v>1</v>
      </c>
      <c r="AG667" s="353" t="s">
        <v>7872</v>
      </c>
      <c r="AH667" s="704"/>
      <c r="AI667" s="346">
        <v>4</v>
      </c>
      <c r="AJ667" s="487"/>
      <c r="AK667" s="459" t="s">
        <v>6829</v>
      </c>
      <c r="AL667" s="348">
        <v>2</v>
      </c>
      <c r="AM667" s="349">
        <v>0</v>
      </c>
      <c r="AN667" s="346">
        <f>Table66[[#This Row],[Data_Subjects_n_ptsd]]+Table66[[#This Row],[Data_Subjects_n_control]]</f>
        <v>24</v>
      </c>
      <c r="AO667" s="346">
        <v>12</v>
      </c>
      <c r="AP667" s="346">
        <v>12</v>
      </c>
      <c r="AQ667" s="346" t="s">
        <v>803</v>
      </c>
      <c r="AR667" s="346" t="s">
        <v>803</v>
      </c>
      <c r="AS667" s="1602" t="s">
        <v>4544</v>
      </c>
      <c r="AT667" s="186" t="s">
        <v>24</v>
      </c>
      <c r="AU667" s="1602" t="s">
        <v>4544</v>
      </c>
      <c r="AV667" s="186" t="s">
        <v>24</v>
      </c>
      <c r="AW667" s="186" t="s">
        <v>6830</v>
      </c>
      <c r="AX667" s="346">
        <v>10</v>
      </c>
      <c r="AY667" s="346">
        <v>1</v>
      </c>
      <c r="AZ667" s="754" t="s">
        <v>1814</v>
      </c>
      <c r="BA667" s="346">
        <v>1</v>
      </c>
      <c r="BB667" s="346">
        <v>1</v>
      </c>
      <c r="BC667" s="346" t="s">
        <v>5662</v>
      </c>
      <c r="BD667" s="754" t="s">
        <v>7522</v>
      </c>
      <c r="BE667" s="754"/>
      <c r="BF667" s="346" t="s">
        <v>1130</v>
      </c>
      <c r="BG667" s="346" t="s">
        <v>6653</v>
      </c>
      <c r="BH667" s="598"/>
      <c r="BI667" s="598"/>
      <c r="BJ667" s="184">
        <v>1</v>
      </c>
      <c r="BK667" s="184"/>
      <c r="BL667" s="184"/>
      <c r="BM667" s="184"/>
      <c r="BN667" s="184"/>
      <c r="BO667" s="184"/>
      <c r="BP667" s="184">
        <v>1</v>
      </c>
      <c r="BQ667" s="184"/>
      <c r="BR667" s="184"/>
      <c r="BS667" s="184"/>
      <c r="BT667" s="184"/>
      <c r="BU667" s="184"/>
      <c r="BV667" s="184"/>
      <c r="BW667" s="600" t="s">
        <v>6866</v>
      </c>
      <c r="BX667" s="185" t="s">
        <v>7560</v>
      </c>
      <c r="BY667" s="797" t="s">
        <v>7613</v>
      </c>
      <c r="BZ667" s="791" t="s">
        <v>803</v>
      </c>
      <c r="CA667" s="765">
        <v>1</v>
      </c>
      <c r="CB667" s="765" t="s">
        <v>7556</v>
      </c>
      <c r="CC667" s="765" t="s">
        <v>7384</v>
      </c>
      <c r="CD667" s="186" t="s">
        <v>1876</v>
      </c>
      <c r="CE667" s="186" t="s">
        <v>6833</v>
      </c>
      <c r="CF667" s="400" t="s">
        <v>7580</v>
      </c>
      <c r="CG667" s="186" t="s">
        <v>6836</v>
      </c>
      <c r="CH667" s="762" t="s">
        <v>7310</v>
      </c>
      <c r="CI667" s="186" t="s">
        <v>6839</v>
      </c>
      <c r="CJ667" s="186"/>
      <c r="CK667" s="467" t="s">
        <v>6840</v>
      </c>
      <c r="CL667" s="134" t="s">
        <v>8283</v>
      </c>
      <c r="CM667" s="261" t="s">
        <v>6874</v>
      </c>
      <c r="CN667" s="620" t="s">
        <v>6868</v>
      </c>
      <c r="CO667" s="830">
        <v>28</v>
      </c>
      <c r="CP667" s="830">
        <v>2</v>
      </c>
      <c r="CQ667" s="830">
        <v>2</v>
      </c>
      <c r="CR667" s="830">
        <v>1</v>
      </c>
      <c r="CS667" s="830">
        <v>1</v>
      </c>
      <c r="CT667" s="969"/>
      <c r="CU667" s="1289" t="s">
        <v>8104</v>
      </c>
      <c r="CV667" s="1296">
        <v>84</v>
      </c>
      <c r="CW667" s="1296">
        <v>76</v>
      </c>
      <c r="CX667" s="267" t="s">
        <v>6844</v>
      </c>
      <c r="CY667" s="186">
        <v>135.63</v>
      </c>
      <c r="CZ667" s="186" t="s">
        <v>24</v>
      </c>
      <c r="DA667" s="186">
        <f>177.11-Table66[[#This Row],[Data_Outcome1_M]]</f>
        <v>41.480000000000018</v>
      </c>
      <c r="DB667" s="267" t="s">
        <v>6845</v>
      </c>
      <c r="DC667" s="186">
        <v>3.7789600000000001</v>
      </c>
      <c r="DD667" s="186" t="s">
        <v>24</v>
      </c>
      <c r="DE667" s="186">
        <f>6.74192-Table66[[#This Row],[Data_Outcome2_M]]</f>
        <v>2.9629600000000003</v>
      </c>
      <c r="DF667" s="294" t="s">
        <v>6867</v>
      </c>
      <c r="DG667" s="667" t="s">
        <v>6869</v>
      </c>
      <c r="DH667" s="1278"/>
      <c r="DI667" s="346"/>
      <c r="DJ667" s="1189"/>
      <c r="DK667" s="346"/>
      <c r="DL667" s="1192"/>
      <c r="DM667" s="346"/>
      <c r="DN667" s="1189"/>
      <c r="DO667" s="346"/>
      <c r="DP667" s="294"/>
      <c r="DQ667" s="667"/>
      <c r="DR667" s="1168"/>
      <c r="DS667" s="865" t="s">
        <v>24</v>
      </c>
      <c r="DT667" s="1230"/>
      <c r="DU667" s="136"/>
      <c r="DV667" s="16"/>
      <c r="DW667" s="136"/>
      <c r="DX667" s="1230"/>
      <c r="DY667" s="346"/>
      <c r="DZ667" s="1189"/>
      <c r="EA667" s="346"/>
      <c r="EB667" s="1216"/>
      <c r="EC667" s="1215"/>
      <c r="ED667" s="1230"/>
      <c r="EE667" s="136"/>
      <c r="EF667" s="16"/>
      <c r="EG667" s="136"/>
      <c r="EH667" s="1230"/>
      <c r="EI667" s="346"/>
      <c r="EJ667" s="1189"/>
      <c r="EK667" s="346"/>
      <c r="EL667" s="1231"/>
      <c r="EM667" s="1190"/>
      <c r="EN667" s="1168"/>
      <c r="EO667" s="1191"/>
      <c r="EP667" s="700"/>
      <c r="EQ667" s="136"/>
      <c r="ER667" s="136"/>
      <c r="ES667" s="136"/>
      <c r="ET667" s="700"/>
      <c r="EU667" s="346"/>
      <c r="EV667" s="346"/>
      <c r="EW667" s="346"/>
      <c r="EX667" s="671"/>
      <c r="EY667" s="315"/>
      <c r="EZ667" s="700"/>
      <c r="FA667" s="136"/>
      <c r="FB667" s="136"/>
      <c r="FC667" s="136"/>
      <c r="FD667" s="700"/>
      <c r="FE667" s="346"/>
      <c r="FF667" s="346"/>
      <c r="FG667" s="346"/>
      <c r="FH667" s="671"/>
      <c r="FI667" s="315"/>
      <c r="FJ667" s="281"/>
    </row>
    <row r="668" spans="1:166" ht="15" hidden="1" customHeight="1">
      <c r="A668" s="79" t="s">
        <v>325</v>
      </c>
      <c r="B668" s="362">
        <v>232</v>
      </c>
      <c r="C668" s="362"/>
      <c r="D668" s="362">
        <v>95</v>
      </c>
      <c r="E668" s="604" t="s">
        <v>2032</v>
      </c>
      <c r="F668" s="124" t="s">
        <v>2268</v>
      </c>
      <c r="G668" s="125">
        <v>2014</v>
      </c>
      <c r="H668" s="79">
        <v>24936431</v>
      </c>
      <c r="I668" s="79">
        <v>1</v>
      </c>
      <c r="J668" s="126"/>
      <c r="K668" s="127"/>
      <c r="L668" s="79">
        <v>1</v>
      </c>
      <c r="M668" s="79"/>
      <c r="N668" s="79">
        <v>1</v>
      </c>
      <c r="O668" s="128">
        <v>1</v>
      </c>
      <c r="P668" s="79" t="s">
        <v>609</v>
      </c>
      <c r="Q668" s="79" t="s">
        <v>1158</v>
      </c>
      <c r="R668" s="79" t="s">
        <v>591</v>
      </c>
      <c r="S668" s="79">
        <v>1</v>
      </c>
      <c r="T668" s="79"/>
      <c r="U668" s="79"/>
      <c r="V668" s="79"/>
      <c r="W668" s="79" t="s">
        <v>845</v>
      </c>
      <c r="X668" s="79" t="s">
        <v>846</v>
      </c>
      <c r="Y668" s="79"/>
      <c r="Z668" s="79"/>
      <c r="AA668" s="79"/>
      <c r="AB668" s="79"/>
      <c r="AC668" s="506" t="s">
        <v>6300</v>
      </c>
      <c r="AD668" s="573">
        <v>1</v>
      </c>
      <c r="AE668" s="573">
        <v>0</v>
      </c>
      <c r="AF668" s="924">
        <v>2</v>
      </c>
      <c r="AG668" s="925"/>
      <c r="AH668" s="911"/>
      <c r="AI668" s="923">
        <v>2</v>
      </c>
      <c r="AJ668" s="923"/>
      <c r="AK668" s="926"/>
      <c r="AL668" s="588"/>
      <c r="AM668" s="927"/>
      <c r="AN668" s="923"/>
      <c r="AO668" s="923"/>
      <c r="AP668" s="923"/>
      <c r="AQ668" s="923"/>
      <c r="AR668" s="923"/>
      <c r="AS668" s="923"/>
      <c r="AT668" s="923"/>
      <c r="AU668" s="923"/>
      <c r="AV668" s="923"/>
      <c r="AW668" s="923"/>
      <c r="AX668" s="923"/>
      <c r="AY668" s="923"/>
      <c r="AZ668" s="915"/>
      <c r="BA668" s="923"/>
      <c r="BB668" s="923"/>
      <c r="BC668" s="923"/>
      <c r="BD668" s="915"/>
      <c r="BE668" s="915"/>
      <c r="BF668" s="923"/>
      <c r="BG668" s="923"/>
      <c r="BH668" s="594"/>
      <c r="BI668" s="594"/>
      <c r="BJ668" s="156"/>
      <c r="BK668" s="156"/>
      <c r="BL668" s="156"/>
      <c r="BM668" s="156"/>
      <c r="BN668" s="156"/>
      <c r="BO668" s="156"/>
      <c r="BP668" s="156"/>
      <c r="BQ668" s="156"/>
      <c r="BR668" s="156" t="s">
        <v>5207</v>
      </c>
      <c r="BS668" s="156"/>
      <c r="BT668" s="156"/>
      <c r="BU668" s="156"/>
      <c r="BV668" s="156"/>
      <c r="BW668" s="928"/>
      <c r="BX668" s="929"/>
      <c r="BY668" s="929"/>
      <c r="BZ668" s="929"/>
      <c r="CA668" s="184"/>
      <c r="CB668" s="184"/>
      <c r="CC668" s="184"/>
      <c r="CD668" s="923"/>
      <c r="CE668" s="923"/>
      <c r="CF668" s="923"/>
      <c r="CG668" s="923"/>
      <c r="CH668" s="915"/>
      <c r="CI668" s="923"/>
      <c r="CJ668" s="923"/>
      <c r="CK668" s="923"/>
      <c r="CL668" s="923"/>
      <c r="CM668" s="930"/>
      <c r="CN668" s="931"/>
      <c r="CO668" s="931"/>
      <c r="CP668" s="931"/>
      <c r="CQ668" s="931"/>
      <c r="CR668" s="931"/>
      <c r="CS668" s="931"/>
      <c r="CT668" s="967"/>
      <c r="CU668" s="967"/>
      <c r="CV668" s="967"/>
      <c r="CW668" s="967"/>
      <c r="CX668" s="932"/>
      <c r="CY668" s="923"/>
      <c r="CZ668" s="923"/>
      <c r="DA668" s="923"/>
      <c r="DB668" s="932"/>
      <c r="DC668" s="923"/>
      <c r="DD668" s="923"/>
      <c r="DE668" s="923"/>
      <c r="DF668" s="920"/>
      <c r="DG668" s="598"/>
      <c r="DH668" s="932"/>
      <c r="DI668" s="923"/>
      <c r="DJ668" s="951"/>
      <c r="DK668" s="923"/>
      <c r="DL668" s="950"/>
      <c r="DM668" s="923"/>
      <c r="DN668" s="951"/>
      <c r="DO668" s="923"/>
      <c r="DP668" s="930"/>
      <c r="DQ668" s="594"/>
      <c r="DR668" s="1187"/>
      <c r="DS668" s="1186"/>
      <c r="DT668" s="950"/>
      <c r="DU668" s="923"/>
      <c r="DV668" s="951"/>
      <c r="DW668" s="923"/>
      <c r="DX668" s="951"/>
      <c r="DY668" s="923"/>
      <c r="DZ668" s="951"/>
      <c r="EA668" s="923"/>
      <c r="EB668" s="1185"/>
      <c r="EC668" s="951"/>
      <c r="ED668" s="951"/>
      <c r="EE668" s="951"/>
      <c r="EF668" s="951"/>
      <c r="EG668" s="951"/>
      <c r="EH668" s="951"/>
      <c r="EI668" s="951"/>
      <c r="EJ668" s="951"/>
      <c r="EK668" s="951"/>
      <c r="EL668" s="1185"/>
      <c r="EM668" s="951"/>
      <c r="EN668" s="1185"/>
      <c r="EO668" s="951"/>
      <c r="EP668" s="951"/>
      <c r="EQ668" s="951"/>
      <c r="ER668" s="951"/>
      <c r="ES668" s="951"/>
      <c r="ET668" s="950"/>
      <c r="EU668" s="951"/>
      <c r="EV668" s="951"/>
      <c r="EW668" s="951"/>
      <c r="EX668" s="951"/>
      <c r="EY668" s="951"/>
      <c r="EZ668" s="950"/>
      <c r="FA668" s="951"/>
      <c r="FB668" s="951"/>
      <c r="FC668" s="951"/>
      <c r="FD668" s="950"/>
      <c r="FE668" s="951"/>
      <c r="FF668" s="951"/>
      <c r="FG668" s="951"/>
      <c r="FH668" s="951"/>
      <c r="FI668" s="951"/>
      <c r="FJ668" s="951"/>
    </row>
    <row r="669" spans="1:166" ht="15" hidden="1" customHeight="1">
      <c r="A669" s="153" t="s">
        <v>326</v>
      </c>
      <c r="B669" s="618">
        <v>233</v>
      </c>
      <c r="C669" s="618">
        <v>84</v>
      </c>
      <c r="D669" s="618"/>
      <c r="E669" s="610" t="s">
        <v>2033</v>
      </c>
      <c r="F669" s="368" t="s">
        <v>2269</v>
      </c>
      <c r="G669" s="369">
        <v>2006</v>
      </c>
      <c r="H669" s="153">
        <v>16891587</v>
      </c>
      <c r="I669" s="153">
        <v>1</v>
      </c>
      <c r="J669" s="370"/>
      <c r="K669" s="371"/>
      <c r="L669" s="153">
        <v>1</v>
      </c>
      <c r="M669" s="153"/>
      <c r="N669" s="153">
        <v>1</v>
      </c>
      <c r="O669" s="153">
        <v>1</v>
      </c>
      <c r="P669" s="153" t="s">
        <v>457</v>
      </c>
      <c r="Q669" s="153" t="s">
        <v>1147</v>
      </c>
      <c r="R669" s="153" t="s">
        <v>847</v>
      </c>
      <c r="S669" s="153">
        <v>1</v>
      </c>
      <c r="T669" s="153"/>
      <c r="U669" s="153"/>
      <c r="V669" s="153"/>
      <c r="W669" s="153" t="s">
        <v>848</v>
      </c>
      <c r="X669" s="153" t="s">
        <v>56</v>
      </c>
      <c r="Y669" s="153" t="s">
        <v>24</v>
      </c>
      <c r="Z669" s="153"/>
      <c r="AA669" s="153"/>
      <c r="AB669" s="153"/>
      <c r="AC669" s="536"/>
      <c r="AD669" s="536">
        <v>1</v>
      </c>
      <c r="AE669" s="536">
        <v>2</v>
      </c>
      <c r="AF669" s="165">
        <v>0</v>
      </c>
      <c r="AG669" s="166" t="s">
        <v>5714</v>
      </c>
      <c r="AH669" s="509" t="s">
        <v>7515</v>
      </c>
      <c r="AI669" s="120">
        <v>2</v>
      </c>
      <c r="AJ669" s="120" t="s">
        <v>5713</v>
      </c>
      <c r="AK669" s="206" t="s">
        <v>5710</v>
      </c>
      <c r="AL669" s="372">
        <v>0</v>
      </c>
      <c r="AM669" s="207">
        <v>0</v>
      </c>
      <c r="AN669" s="120">
        <v>33</v>
      </c>
      <c r="AO669" s="120">
        <v>16</v>
      </c>
      <c r="AP669" s="120">
        <v>17</v>
      </c>
      <c r="AQ669" s="120" t="s">
        <v>803</v>
      </c>
      <c r="AR669" s="120" t="s">
        <v>803</v>
      </c>
      <c r="AS669" s="120"/>
      <c r="AT669" s="120"/>
      <c r="AU669" s="120"/>
      <c r="AV669" s="120"/>
      <c r="AW669" s="120" t="s">
        <v>1874</v>
      </c>
      <c r="AX669" s="120"/>
      <c r="AY669" s="120"/>
      <c r="AZ669" s="755" t="s">
        <v>1874</v>
      </c>
      <c r="BA669" s="120" t="s">
        <v>24</v>
      </c>
      <c r="BB669" s="120" t="s">
        <v>24</v>
      </c>
      <c r="BC669" s="120" t="s">
        <v>5711</v>
      </c>
      <c r="BD669" s="755" t="s">
        <v>7521</v>
      </c>
      <c r="BE669" s="755"/>
      <c r="BF669" s="120" t="s">
        <v>3835</v>
      </c>
      <c r="BG669" s="120" t="s">
        <v>5709</v>
      </c>
      <c r="BH669" s="377"/>
      <c r="BI669" s="377"/>
      <c r="BJ669" s="373"/>
      <c r="BK669" s="373"/>
      <c r="BL669" s="373" t="s">
        <v>4727</v>
      </c>
      <c r="BM669" s="373"/>
      <c r="BN669" s="373"/>
      <c r="BO669" s="373"/>
      <c r="BP669" s="373">
        <v>1</v>
      </c>
      <c r="BQ669" s="373"/>
      <c r="BR669" s="373"/>
      <c r="BS669" s="373"/>
      <c r="BT669" s="373" t="s">
        <v>4727</v>
      </c>
      <c r="BU669" s="373"/>
      <c r="BV669" s="373"/>
      <c r="BW669" s="599" t="s">
        <v>4208</v>
      </c>
      <c r="BX669" s="374" t="s">
        <v>6611</v>
      </c>
      <c r="BY669" s="799" t="s">
        <v>7616</v>
      </c>
      <c r="BZ669" s="374" t="s">
        <v>7611</v>
      </c>
      <c r="CA669" s="775">
        <v>2</v>
      </c>
      <c r="CB669" s="511" t="s">
        <v>7556</v>
      </c>
      <c r="CC669" s="775" t="s">
        <v>24</v>
      </c>
      <c r="CD669" s="120" t="s">
        <v>1876</v>
      </c>
      <c r="CE669" s="120">
        <v>2</v>
      </c>
      <c r="CF669" s="786"/>
      <c r="CG669" s="120" t="s">
        <v>935</v>
      </c>
      <c r="CH669" s="755" t="s">
        <v>7632</v>
      </c>
      <c r="CI669" s="120" t="s">
        <v>24</v>
      </c>
      <c r="CJ669" s="120"/>
      <c r="CK669" s="120" t="s">
        <v>5712</v>
      </c>
      <c r="CL669" s="120"/>
      <c r="CM669" s="375"/>
      <c r="CN669" s="380" t="s">
        <v>23</v>
      </c>
      <c r="CO669" s="380"/>
      <c r="CP669" s="380"/>
      <c r="CQ669" s="380"/>
      <c r="CR669" s="380"/>
      <c r="CS669" s="380"/>
      <c r="CT669" s="380"/>
      <c r="CU669" s="380"/>
      <c r="CV669" s="515"/>
      <c r="CW669" s="515"/>
      <c r="CX669" s="376"/>
      <c r="CY669" s="120"/>
      <c r="CZ669" s="120"/>
      <c r="DA669" s="120"/>
      <c r="DB669" s="376"/>
      <c r="DC669" s="120"/>
      <c r="DD669" s="120"/>
      <c r="DE669" s="120"/>
      <c r="DF669" s="515"/>
      <c r="DG669" s="513"/>
      <c r="DH669" s="376"/>
      <c r="DI669" s="384"/>
      <c r="DJ669" s="384"/>
      <c r="DK669" s="384"/>
      <c r="DL669" s="376"/>
      <c r="DM669" s="384"/>
      <c r="DN669" s="384"/>
      <c r="DO669" s="384"/>
      <c r="DP669" s="375"/>
      <c r="DQ669" s="377"/>
      <c r="DR669" s="1182"/>
      <c r="DS669" s="956"/>
      <c r="DT669" s="376"/>
      <c r="DU669" s="384"/>
      <c r="DV669" s="384"/>
      <c r="DW669" s="384"/>
      <c r="DX669" s="120"/>
      <c r="DY669" s="384"/>
      <c r="DZ669" s="384"/>
      <c r="EA669" s="384"/>
      <c r="EB669" s="380"/>
      <c r="EC669" s="120"/>
      <c r="ED669" s="120"/>
      <c r="EE669" s="384"/>
      <c r="EF669" s="384"/>
      <c r="EG669" s="384"/>
      <c r="EH669" s="120"/>
      <c r="EI669" s="384"/>
      <c r="EJ669" s="384"/>
      <c r="EK669" s="384"/>
      <c r="EL669" s="380"/>
      <c r="EM669" s="120"/>
      <c r="EN669" s="1012"/>
      <c r="EO669" s="384"/>
      <c r="EP669" s="384"/>
      <c r="EQ669" s="384"/>
      <c r="ER669" s="384"/>
      <c r="ES669" s="384"/>
      <c r="ET669" s="727"/>
      <c r="EU669" s="384"/>
      <c r="EV669" s="384"/>
      <c r="EW669" s="384"/>
      <c r="EX669" s="384"/>
      <c r="EY669" s="384"/>
      <c r="EZ669" s="727"/>
      <c r="FA669" s="384"/>
      <c r="FB669" s="384"/>
      <c r="FC669" s="384"/>
      <c r="FD669" s="727"/>
      <c r="FE669" s="384"/>
      <c r="FF669" s="384"/>
      <c r="FG669" s="384"/>
      <c r="FH669" s="384"/>
      <c r="FI669" s="384"/>
      <c r="FJ669" s="384"/>
    </row>
    <row r="670" spans="1:166" s="1780" customFormat="1" ht="15" hidden="1" customHeight="1">
      <c r="A670" s="79" t="s">
        <v>1092</v>
      </c>
      <c r="B670" s="362">
        <v>86</v>
      </c>
      <c r="C670" s="362"/>
      <c r="D670" s="362">
        <v>20</v>
      </c>
      <c r="E670" s="604" t="s">
        <v>1938</v>
      </c>
      <c r="F670" s="124" t="s">
        <v>2306</v>
      </c>
      <c r="G670" s="125">
        <v>2010</v>
      </c>
      <c r="H670" s="79">
        <v>20403087</v>
      </c>
      <c r="I670" s="79">
        <v>1</v>
      </c>
      <c r="J670" s="126" t="s">
        <v>1827</v>
      </c>
      <c r="K670" s="127"/>
      <c r="L670" s="79">
        <v>0</v>
      </c>
      <c r="M670" s="79"/>
      <c r="N670" s="79">
        <v>0</v>
      </c>
      <c r="O670" s="128">
        <v>2</v>
      </c>
      <c r="P670" s="79" t="s">
        <v>1247</v>
      </c>
      <c r="Q670" s="79" t="s">
        <v>1171</v>
      </c>
      <c r="R670" s="79" t="s">
        <v>1127</v>
      </c>
      <c r="S670" s="79"/>
      <c r="T670" s="79" t="s">
        <v>1495</v>
      </c>
      <c r="U670" s="79" t="s">
        <v>803</v>
      </c>
      <c r="V670" s="79" t="s">
        <v>23</v>
      </c>
      <c r="W670" s="79" t="s">
        <v>1826</v>
      </c>
      <c r="X670" s="79" t="s">
        <v>1245</v>
      </c>
      <c r="Y670" s="79" t="s">
        <v>1246</v>
      </c>
      <c r="Z670" s="79"/>
      <c r="AA670" s="79"/>
      <c r="AB670" s="79" t="s">
        <v>424</v>
      </c>
      <c r="AC670" s="506" t="s">
        <v>6187</v>
      </c>
      <c r="AD670" s="573">
        <v>1</v>
      </c>
      <c r="AE670" s="573">
        <v>1</v>
      </c>
      <c r="AF670" s="352">
        <v>1</v>
      </c>
      <c r="AG670" s="155" t="s">
        <v>6667</v>
      </c>
      <c r="AH670" s="704"/>
      <c r="AI670" s="121">
        <v>4</v>
      </c>
      <c r="AJ670" s="484"/>
      <c r="AK670" s="202" t="s">
        <v>6686</v>
      </c>
      <c r="AL670" s="192">
        <v>2</v>
      </c>
      <c r="AM670" s="215" t="s">
        <v>6668</v>
      </c>
      <c r="AN670" s="134">
        <f>Table66[[#This Row],[Data_Subjects_n_ptsd]]+Table66[[#This Row],[Data_Subjects_n_control]]</f>
        <v>17</v>
      </c>
      <c r="AO670" s="134">
        <v>11</v>
      </c>
      <c r="AP670" s="134">
        <v>6</v>
      </c>
      <c r="AQ670" s="134" t="s">
        <v>803</v>
      </c>
      <c r="AR670" s="134" t="s">
        <v>803</v>
      </c>
      <c r="AS670" s="150" t="s">
        <v>2687</v>
      </c>
      <c r="AT670" s="150" t="s">
        <v>24</v>
      </c>
      <c r="AU670" s="150" t="s">
        <v>2687</v>
      </c>
      <c r="AV670" s="134" t="s">
        <v>24</v>
      </c>
      <c r="AW670" s="134" t="s">
        <v>6671</v>
      </c>
      <c r="AX670" s="134"/>
      <c r="AY670" s="134"/>
      <c r="AZ670" s="753" t="s">
        <v>7317</v>
      </c>
      <c r="BA670" s="134">
        <v>1</v>
      </c>
      <c r="BB670" s="134">
        <v>1</v>
      </c>
      <c r="BC670" s="134" t="s">
        <v>6672</v>
      </c>
      <c r="BD670" s="753" t="s">
        <v>7523</v>
      </c>
      <c r="BE670" s="753"/>
      <c r="BF670" s="134" t="s">
        <v>1130</v>
      </c>
      <c r="BG670" s="134" t="s">
        <v>6653</v>
      </c>
      <c r="BH670" s="594"/>
      <c r="BI670" s="594"/>
      <c r="BJ670" s="156" t="s">
        <v>1917</v>
      </c>
      <c r="BK670" s="156"/>
      <c r="BL670" s="156"/>
      <c r="BM670" s="156"/>
      <c r="BN670" s="156"/>
      <c r="BO670" s="156"/>
      <c r="BP670" s="156">
        <v>1</v>
      </c>
      <c r="BQ670" s="156"/>
      <c r="BR670" s="156"/>
      <c r="BS670" s="156"/>
      <c r="BT670" s="156"/>
      <c r="BU670" s="156"/>
      <c r="BV670" s="156"/>
      <c r="BW670" s="595" t="s">
        <v>6688</v>
      </c>
      <c r="BX670" s="157" t="s">
        <v>6657</v>
      </c>
      <c r="BY670" s="797" t="s">
        <v>7613</v>
      </c>
      <c r="BZ670" s="789" t="s">
        <v>803</v>
      </c>
      <c r="CA670" s="765">
        <v>1</v>
      </c>
      <c r="CB670" s="765" t="s">
        <v>7556</v>
      </c>
      <c r="CC670" s="766" t="s">
        <v>7384</v>
      </c>
      <c r="CD670" s="134" t="s">
        <v>1876</v>
      </c>
      <c r="CE670" s="134" t="s">
        <v>6669</v>
      </c>
      <c r="CF670" s="400" t="s">
        <v>7586</v>
      </c>
      <c r="CG670" s="134" t="s">
        <v>6674</v>
      </c>
      <c r="CH670" s="753" t="s">
        <v>7310</v>
      </c>
      <c r="CI670" s="134" t="s">
        <v>1121</v>
      </c>
      <c r="CJ670" s="134"/>
      <c r="CK670" s="134" t="s">
        <v>6677</v>
      </c>
      <c r="CL670" s="150" t="s">
        <v>8296</v>
      </c>
      <c r="CM670" s="259" t="s">
        <v>6695</v>
      </c>
      <c r="CN670" s="454" t="s">
        <v>6627</v>
      </c>
      <c r="CO670" s="828">
        <v>9</v>
      </c>
      <c r="CP670" s="828">
        <v>2</v>
      </c>
      <c r="CQ670" s="828">
        <v>1</v>
      </c>
      <c r="CR670" s="828">
        <v>0</v>
      </c>
      <c r="CS670" s="828">
        <v>1</v>
      </c>
      <c r="CT670" s="967"/>
      <c r="CU670" s="1289" t="s">
        <v>8104</v>
      </c>
      <c r="CV670" s="1295">
        <v>62</v>
      </c>
      <c r="CW670" s="1295">
        <v>56</v>
      </c>
      <c r="CX670" s="138" t="s">
        <v>6678</v>
      </c>
      <c r="CY670" s="134">
        <v>64</v>
      </c>
      <c r="CZ670" s="134" t="s">
        <v>24</v>
      </c>
      <c r="DA670" s="134">
        <v>3.4</v>
      </c>
      <c r="DB670" s="138" t="s">
        <v>6679</v>
      </c>
      <c r="DC670" s="134">
        <v>11.7</v>
      </c>
      <c r="DD670" s="134" t="s">
        <v>24</v>
      </c>
      <c r="DE670" s="134">
        <v>2.1</v>
      </c>
      <c r="DF670" s="294" t="s">
        <v>6682</v>
      </c>
      <c r="DG670" s="295" t="s">
        <v>6684</v>
      </c>
      <c r="DH670" s="1276" t="s">
        <v>24</v>
      </c>
      <c r="DI670" s="121"/>
      <c r="DJ670" s="1169"/>
      <c r="DK670" s="121"/>
      <c r="DL670" s="1276"/>
      <c r="DM670" s="1169"/>
      <c r="DN670" s="1169"/>
      <c r="DO670" s="1169"/>
      <c r="DP670" s="288"/>
      <c r="DQ670" s="289"/>
      <c r="DR670" s="1168"/>
      <c r="DS670" s="865"/>
      <c r="DT670" s="1276"/>
      <c r="DU670" s="1169"/>
      <c r="DV670" s="1169"/>
      <c r="DW670" s="1169"/>
      <c r="DX670" s="121"/>
      <c r="DY670" s="1169"/>
      <c r="DZ670" s="1169"/>
      <c r="EA670" s="1169"/>
      <c r="EB670" s="300"/>
      <c r="EC670" s="301"/>
      <c r="ED670" s="121"/>
      <c r="EE670" s="1169"/>
      <c r="EF670" s="1169"/>
      <c r="EG670" s="1169"/>
      <c r="EH670" s="121"/>
      <c r="EI670" s="1169"/>
      <c r="EJ670" s="1169"/>
      <c r="EK670" s="1169"/>
      <c r="EL670" s="300"/>
      <c r="EM670" s="301"/>
      <c r="EN670" s="309"/>
      <c r="EO670" s="1170"/>
      <c r="EP670" s="1169"/>
      <c r="EQ670" s="1169"/>
      <c r="ER670" s="1169"/>
      <c r="ES670" s="1169"/>
      <c r="ET670" s="1171"/>
      <c r="EU670" s="1169"/>
      <c r="EV670" s="1169"/>
      <c r="EW670" s="1169"/>
      <c r="EX670" s="312"/>
      <c r="EY670" s="312"/>
      <c r="EZ670" s="1171"/>
      <c r="FA670" s="1169"/>
      <c r="FB670" s="1169"/>
      <c r="FC670" s="1169"/>
      <c r="FD670" s="1171"/>
      <c r="FE670" s="1169"/>
      <c r="FF670" s="1169"/>
      <c r="FG670" s="1169"/>
      <c r="FH670" s="312"/>
      <c r="FI670" s="312"/>
      <c r="FJ670" s="1170"/>
    </row>
    <row r="671" spans="1:166" s="1780" customFormat="1" ht="15" hidden="1" customHeight="1">
      <c r="A671" s="79" t="s">
        <v>1084</v>
      </c>
      <c r="B671" s="362">
        <v>90</v>
      </c>
      <c r="C671" s="362"/>
      <c r="D671" s="362">
        <v>22</v>
      </c>
      <c r="E671" s="604" t="s">
        <v>1938</v>
      </c>
      <c r="F671" s="124" t="s">
        <v>2311</v>
      </c>
      <c r="G671" s="125">
        <v>2012</v>
      </c>
      <c r="H671" s="79">
        <v>22713910</v>
      </c>
      <c r="I671" s="79">
        <v>1</v>
      </c>
      <c r="J671" s="126" t="s">
        <v>1827</v>
      </c>
      <c r="K671" s="127"/>
      <c r="L671" s="79">
        <v>0</v>
      </c>
      <c r="M671" s="79"/>
      <c r="N671" s="79">
        <v>0</v>
      </c>
      <c r="O671" s="128">
        <v>2</v>
      </c>
      <c r="P671" s="79" t="s">
        <v>23</v>
      </c>
      <c r="Q671" s="79"/>
      <c r="R671" s="79" t="s">
        <v>1127</v>
      </c>
      <c r="S671" s="79"/>
      <c r="T671" s="79" t="s">
        <v>1505</v>
      </c>
      <c r="U671" s="79" t="s">
        <v>803</v>
      </c>
      <c r="V671" s="79" t="s">
        <v>23</v>
      </c>
      <c r="W671" s="79" t="s">
        <v>1825</v>
      </c>
      <c r="X671" s="79" t="s">
        <v>1272</v>
      </c>
      <c r="Y671" s="79" t="s">
        <v>1270</v>
      </c>
      <c r="Z671" s="79"/>
      <c r="AA671" s="79" t="s">
        <v>1271</v>
      </c>
      <c r="AB671" s="79"/>
      <c r="AC671" s="506" t="s">
        <v>6189</v>
      </c>
      <c r="AD671" s="573">
        <v>1</v>
      </c>
      <c r="AE671" s="573">
        <v>1</v>
      </c>
      <c r="AF671" s="154">
        <v>1</v>
      </c>
      <c r="AG671" s="160" t="s">
        <v>6667</v>
      </c>
      <c r="AH671" s="704"/>
      <c r="AI671" s="121">
        <v>4</v>
      </c>
      <c r="AJ671" s="484"/>
      <c r="AK671" s="202" t="s">
        <v>6687</v>
      </c>
      <c r="AL671" s="192">
        <v>0</v>
      </c>
      <c r="AM671" s="215">
        <v>0</v>
      </c>
      <c r="AN671" s="134">
        <f>Table66[[#This Row],[Data_Subjects_n_ptsd]]+Table66[[#This Row],[Data_Subjects_n_control]]</f>
        <v>33</v>
      </c>
      <c r="AO671" s="134">
        <v>18</v>
      </c>
      <c r="AP671" s="134">
        <v>15</v>
      </c>
      <c r="AQ671" s="150" t="s">
        <v>803</v>
      </c>
      <c r="AR671" s="150" t="s">
        <v>803</v>
      </c>
      <c r="AS671" s="150" t="s">
        <v>2687</v>
      </c>
      <c r="AT671" s="150" t="s">
        <v>24</v>
      </c>
      <c r="AU671" s="150" t="s">
        <v>2687</v>
      </c>
      <c r="AV671" s="150" t="s">
        <v>24</v>
      </c>
      <c r="AW671" s="134" t="s">
        <v>6691</v>
      </c>
      <c r="AX671" s="134"/>
      <c r="AY671" s="134"/>
      <c r="AZ671" s="753" t="s">
        <v>7317</v>
      </c>
      <c r="BA671" s="134">
        <v>1</v>
      </c>
      <c r="BB671" s="134">
        <v>1</v>
      </c>
      <c r="BC671" s="134" t="s">
        <v>6690</v>
      </c>
      <c r="BD671" s="753" t="s">
        <v>7523</v>
      </c>
      <c r="BE671" s="753"/>
      <c r="BF671" s="134" t="s">
        <v>1130</v>
      </c>
      <c r="BG671" s="134" t="s">
        <v>6653</v>
      </c>
      <c r="BH671" s="594"/>
      <c r="BI671" s="594"/>
      <c r="BJ671" s="156" t="s">
        <v>1917</v>
      </c>
      <c r="BK671" s="156"/>
      <c r="BL671" s="156"/>
      <c r="BM671" s="156"/>
      <c r="BN671" s="156"/>
      <c r="BO671" s="156"/>
      <c r="BP671" s="156">
        <v>1</v>
      </c>
      <c r="BQ671" s="156"/>
      <c r="BR671" s="156"/>
      <c r="BS671" s="156"/>
      <c r="BT671" s="156"/>
      <c r="BU671" s="156"/>
      <c r="BV671" s="156"/>
      <c r="BW671" s="596" t="s">
        <v>6701</v>
      </c>
      <c r="BX671" s="162" t="s">
        <v>6657</v>
      </c>
      <c r="BY671" s="797" t="s">
        <v>7613</v>
      </c>
      <c r="BZ671" s="790" t="s">
        <v>803</v>
      </c>
      <c r="CA671" s="660">
        <v>1</v>
      </c>
      <c r="CB671" s="660" t="s">
        <v>7556</v>
      </c>
      <c r="CC671" s="659" t="s">
        <v>7384</v>
      </c>
      <c r="CD671" s="134" t="s">
        <v>1876</v>
      </c>
      <c r="CE671" s="134" t="s">
        <v>6692</v>
      </c>
      <c r="CF671" s="400" t="s">
        <v>7586</v>
      </c>
      <c r="CG671" s="134" t="s">
        <v>6693</v>
      </c>
      <c r="CH671" s="753" t="s">
        <v>7310</v>
      </c>
      <c r="CI671" s="134" t="s">
        <v>1121</v>
      </c>
      <c r="CJ671" s="134"/>
      <c r="CK671" s="134" t="s">
        <v>6677</v>
      </c>
      <c r="CL671" s="150" t="s">
        <v>8296</v>
      </c>
      <c r="CM671" s="259" t="s">
        <v>6695</v>
      </c>
      <c r="CN671" s="454" t="s">
        <v>6627</v>
      </c>
      <c r="CO671" s="828">
        <v>13</v>
      </c>
      <c r="CP671" s="828">
        <v>1</v>
      </c>
      <c r="CQ671" s="828">
        <v>1</v>
      </c>
      <c r="CR671" s="828">
        <v>0</v>
      </c>
      <c r="CS671" s="828">
        <v>1</v>
      </c>
      <c r="CT671" s="967"/>
      <c r="CU671" s="1289" t="s">
        <v>8104</v>
      </c>
      <c r="CV671" s="1295">
        <v>69</v>
      </c>
      <c r="CW671" s="1295">
        <v>61</v>
      </c>
      <c r="CX671" s="138" t="s">
        <v>6678</v>
      </c>
      <c r="CY671" s="134">
        <v>75.84</v>
      </c>
      <c r="CZ671" s="134" t="s">
        <v>24</v>
      </c>
      <c r="DA671" s="134">
        <v>4</v>
      </c>
      <c r="DB671" s="138" t="s">
        <v>6679</v>
      </c>
      <c r="DC671" s="134">
        <v>13.3</v>
      </c>
      <c r="DD671" s="134" t="s">
        <v>24</v>
      </c>
      <c r="DE671" s="134">
        <v>2.1</v>
      </c>
      <c r="DF671" s="294" t="s">
        <v>6694</v>
      </c>
      <c r="DG671" s="295" t="s">
        <v>2483</v>
      </c>
      <c r="DH671" s="1175" t="s">
        <v>24</v>
      </c>
      <c r="DI671" s="417"/>
      <c r="DJ671" s="1169"/>
      <c r="DK671" s="417"/>
      <c r="DL671" s="1171"/>
      <c r="DM671" s="417"/>
      <c r="DN671" s="1169"/>
      <c r="DO671" s="1151"/>
      <c r="DP671" s="288"/>
      <c r="DQ671" s="289"/>
      <c r="DR671" s="1168"/>
      <c r="DS671" s="865"/>
      <c r="DT671" s="1171"/>
      <c r="DU671" s="417"/>
      <c r="DV671" s="1169"/>
      <c r="DW671" s="417"/>
      <c r="DX671" s="1169"/>
      <c r="DY671" s="417"/>
      <c r="DZ671" s="1169"/>
      <c r="EA671" s="417"/>
      <c r="EB671" s="304"/>
      <c r="EC671" s="312"/>
      <c r="ED671" s="1169"/>
      <c r="EE671" s="417"/>
      <c r="EF671" s="1169"/>
      <c r="EG671" s="417"/>
      <c r="EH671" s="1169"/>
      <c r="EI671" s="417"/>
      <c r="EJ671" s="1169"/>
      <c r="EK671" s="417"/>
      <c r="EL671" s="304"/>
      <c r="EM671" s="312"/>
      <c r="EN671" s="309"/>
      <c r="EO671" s="1170"/>
      <c r="EP671" s="417"/>
      <c r="EQ671" s="417"/>
      <c r="ER671" s="417"/>
      <c r="ES671" s="417"/>
      <c r="ET671" s="1155"/>
      <c r="EU671" s="417"/>
      <c r="EV671" s="417"/>
      <c r="EW671" s="417"/>
      <c r="EX671" s="312"/>
      <c r="EY671" s="312"/>
      <c r="EZ671" s="1155"/>
      <c r="FA671" s="417"/>
      <c r="FB671" s="417"/>
      <c r="FC671" s="417"/>
      <c r="FD671" s="1155"/>
      <c r="FE671" s="417"/>
      <c r="FF671" s="417"/>
      <c r="FG671" s="417"/>
      <c r="FH671" s="469"/>
      <c r="FI671" s="469"/>
      <c r="FJ671" s="1170"/>
    </row>
    <row r="672" spans="1:166" ht="15" hidden="1" customHeight="1">
      <c r="A672" s="79" t="s">
        <v>1037</v>
      </c>
      <c r="B672" s="362">
        <v>145</v>
      </c>
      <c r="C672" s="362"/>
      <c r="D672" s="362">
        <v>49</v>
      </c>
      <c r="E672" s="604" t="s">
        <v>2082</v>
      </c>
      <c r="F672" s="124" t="s">
        <v>2336</v>
      </c>
      <c r="G672" s="125">
        <v>2009</v>
      </c>
      <c r="H672" s="79">
        <v>19095221</v>
      </c>
      <c r="I672" s="79">
        <v>1</v>
      </c>
      <c r="J672" s="126" t="s">
        <v>1853</v>
      </c>
      <c r="K672" s="127"/>
      <c r="L672" s="79">
        <v>0</v>
      </c>
      <c r="M672" s="79"/>
      <c r="N672" s="79">
        <v>0</v>
      </c>
      <c r="O672" s="128">
        <v>2</v>
      </c>
      <c r="P672" s="79" t="s">
        <v>24</v>
      </c>
      <c r="Q672" s="79" t="s">
        <v>24</v>
      </c>
      <c r="R672" s="79" t="s">
        <v>1127</v>
      </c>
      <c r="S672" s="79"/>
      <c r="T672" s="79" t="s">
        <v>1495</v>
      </c>
      <c r="U672" s="79"/>
      <c r="V672" s="79"/>
      <c r="W672" s="79" t="s">
        <v>1382</v>
      </c>
      <c r="X672" s="79" t="s">
        <v>1380</v>
      </c>
      <c r="Y672" s="79" t="s">
        <v>1381</v>
      </c>
      <c r="Z672" s="79"/>
      <c r="AA672" s="79"/>
      <c r="AB672" s="79" t="s">
        <v>424</v>
      </c>
      <c r="AC672" s="506" t="s">
        <v>6224</v>
      </c>
      <c r="AD672" s="573">
        <v>1</v>
      </c>
      <c r="AE672" s="573">
        <v>1</v>
      </c>
      <c r="AF672" s="154">
        <v>1</v>
      </c>
      <c r="AG672" s="155" t="s">
        <v>6832</v>
      </c>
      <c r="AH672" s="704"/>
      <c r="AI672" s="121">
        <v>4</v>
      </c>
      <c r="AJ672" s="484"/>
      <c r="AK672" s="202"/>
      <c r="AL672" s="192">
        <v>0</v>
      </c>
      <c r="AM672" s="215">
        <v>1</v>
      </c>
      <c r="AN672" s="134">
        <f>Table66[[#This Row],[Data_Subjects_n_ptsd]]+Table66[[#This Row],[Data_Subjects_n_control]]</f>
        <v>21</v>
      </c>
      <c r="AO672" s="134">
        <v>11</v>
      </c>
      <c r="AP672" s="134">
        <v>10</v>
      </c>
      <c r="AQ672" s="134" t="s">
        <v>803</v>
      </c>
      <c r="AR672" s="134" t="s">
        <v>803</v>
      </c>
      <c r="AS672" s="134" t="s">
        <v>7503</v>
      </c>
      <c r="AT672" s="134" t="s">
        <v>24</v>
      </c>
      <c r="AU672" s="134" t="s">
        <v>7503</v>
      </c>
      <c r="AV672" s="134" t="s">
        <v>24</v>
      </c>
      <c r="AW672" s="134" t="s">
        <v>6916</v>
      </c>
      <c r="AX672" s="134"/>
      <c r="AY672" s="134"/>
      <c r="AZ672" s="753" t="s">
        <v>7317</v>
      </c>
      <c r="BA672" s="134">
        <v>1</v>
      </c>
      <c r="BB672" s="134">
        <v>1</v>
      </c>
      <c r="BC672" s="134" t="s">
        <v>4992</v>
      </c>
      <c r="BD672" s="753" t="s">
        <v>7523</v>
      </c>
      <c r="BE672" s="753"/>
      <c r="BF672" s="134" t="s">
        <v>1130</v>
      </c>
      <c r="BG672" s="134" t="s">
        <v>6653</v>
      </c>
      <c r="BH672" s="594"/>
      <c r="BI672" s="594"/>
      <c r="BJ672" s="156">
        <v>1</v>
      </c>
      <c r="BK672" s="156"/>
      <c r="BL672" s="156"/>
      <c r="BM672" s="156"/>
      <c r="BN672" s="156"/>
      <c r="BO672" s="156"/>
      <c r="BP672" s="156">
        <v>1</v>
      </c>
      <c r="BQ672" s="156"/>
      <c r="BR672" s="156"/>
      <c r="BS672" s="156"/>
      <c r="BT672" s="156"/>
      <c r="BU672" s="156"/>
      <c r="BV672" s="156"/>
      <c r="BW672" s="595" t="s">
        <v>6701</v>
      </c>
      <c r="BX672" s="157" t="s">
        <v>6657</v>
      </c>
      <c r="BY672" s="797" t="s">
        <v>7613</v>
      </c>
      <c r="BZ672" s="789" t="s">
        <v>803</v>
      </c>
      <c r="CA672" s="660">
        <v>1</v>
      </c>
      <c r="CB672" s="660" t="s">
        <v>7556</v>
      </c>
      <c r="CC672" s="660" t="s">
        <v>7384</v>
      </c>
      <c r="CD672" s="134" t="s">
        <v>1876</v>
      </c>
      <c r="CE672" s="134" t="s">
        <v>3856</v>
      </c>
      <c r="CF672" s="400" t="s">
        <v>7586</v>
      </c>
      <c r="CG672" s="134" t="s">
        <v>6917</v>
      </c>
      <c r="CH672" s="753" t="s">
        <v>7310</v>
      </c>
      <c r="CI672" s="134" t="s">
        <v>1121</v>
      </c>
      <c r="CJ672" s="134">
        <v>0</v>
      </c>
      <c r="CK672" s="134" t="s">
        <v>6905</v>
      </c>
      <c r="CL672" s="150" t="s">
        <v>8296</v>
      </c>
      <c r="CM672" s="259" t="s">
        <v>6912</v>
      </c>
      <c r="CN672" s="454" t="s">
        <v>6627</v>
      </c>
      <c r="CO672" s="828">
        <v>37</v>
      </c>
      <c r="CP672" s="828">
        <v>1</v>
      </c>
      <c r="CQ672" s="828">
        <v>1</v>
      </c>
      <c r="CR672" s="828">
        <v>0</v>
      </c>
      <c r="CS672" s="828">
        <v>1</v>
      </c>
      <c r="CT672" s="967"/>
      <c r="CU672" s="1289" t="s">
        <v>8104</v>
      </c>
      <c r="CV672" s="1295">
        <v>91</v>
      </c>
      <c r="CW672" s="1295">
        <v>83</v>
      </c>
      <c r="CX672" s="138" t="s">
        <v>6918</v>
      </c>
      <c r="CY672" s="134">
        <v>64.171300000000002</v>
      </c>
      <c r="CZ672" s="134" t="s">
        <v>24</v>
      </c>
      <c r="DA672" s="134">
        <f>67.6692-Table66[[#This Row],[Data_Outcome1_M]]</f>
        <v>3.4979000000000013</v>
      </c>
      <c r="DB672" s="138" t="s">
        <v>6919</v>
      </c>
      <c r="DC672" s="134">
        <v>11.598800000000001</v>
      </c>
      <c r="DD672" s="134" t="s">
        <v>24</v>
      </c>
      <c r="DE672" s="134">
        <f>13.6573-Table66[[#This Row],[Data_Outcome2_M]]</f>
        <v>2.0584999999999987</v>
      </c>
      <c r="DF672" s="294" t="s">
        <v>6920</v>
      </c>
      <c r="DG672" s="295" t="s">
        <v>6921</v>
      </c>
      <c r="DH672" s="1276" t="s">
        <v>24</v>
      </c>
      <c r="DI672" s="121"/>
      <c r="DJ672" s="1169"/>
      <c r="DK672" s="121"/>
      <c r="DL672" s="1171"/>
      <c r="DM672" s="121"/>
      <c r="DN672" s="1169"/>
      <c r="DO672" s="121"/>
      <c r="DP672" s="288"/>
      <c r="DQ672" s="289"/>
      <c r="DR672" s="1168"/>
      <c r="DS672" s="865"/>
      <c r="DT672" s="1171"/>
      <c r="DU672" s="1169"/>
      <c r="DV672" s="1169"/>
      <c r="DW672" s="1169"/>
      <c r="DX672" s="1169"/>
      <c r="DY672" s="1169"/>
      <c r="DZ672" s="1169"/>
      <c r="EA672" s="1169"/>
      <c r="EB672" s="304"/>
      <c r="EC672" s="312"/>
      <c r="ED672" s="1169"/>
      <c r="EE672" s="1169"/>
      <c r="EF672" s="1169"/>
      <c r="EG672" s="1169"/>
      <c r="EH672" s="1169"/>
      <c r="EI672" s="1169"/>
      <c r="EJ672" s="1169"/>
      <c r="EK672" s="1169"/>
      <c r="EL672" s="304"/>
      <c r="EM672" s="312"/>
      <c r="EN672" s="309"/>
      <c r="EO672" s="1170"/>
      <c r="EP672" s="1169"/>
      <c r="EQ672" s="1169"/>
      <c r="ER672" s="1169"/>
      <c r="ES672" s="1169"/>
      <c r="ET672" s="1171"/>
      <c r="EU672" s="1169"/>
      <c r="EV672" s="1169"/>
      <c r="EW672" s="1169"/>
      <c r="EX672" s="312"/>
      <c r="EY672" s="312"/>
      <c r="EZ672" s="1171"/>
      <c r="FA672" s="1169"/>
      <c r="FB672" s="1169"/>
      <c r="FC672" s="1169"/>
      <c r="FD672" s="1171"/>
      <c r="FE672" s="1169"/>
      <c r="FF672" s="1169"/>
      <c r="FG672" s="1169"/>
      <c r="FH672" s="312"/>
      <c r="FI672" s="312"/>
      <c r="FJ672" s="1170"/>
    </row>
    <row r="673" spans="1:166" ht="15" hidden="1" customHeight="1">
      <c r="A673" s="118" t="s">
        <v>1052</v>
      </c>
      <c r="B673" s="614">
        <v>19</v>
      </c>
      <c r="C673" s="614"/>
      <c r="D673" s="614"/>
      <c r="E673" s="605" t="s">
        <v>2075</v>
      </c>
      <c r="F673" s="140" t="s">
        <v>2329</v>
      </c>
      <c r="G673" s="141">
        <v>2014</v>
      </c>
      <c r="H673" s="118">
        <v>24335837</v>
      </c>
      <c r="I673" s="118">
        <v>1</v>
      </c>
      <c r="J673" s="118">
        <v>1</v>
      </c>
      <c r="K673" s="118"/>
      <c r="L673" s="118">
        <v>1</v>
      </c>
      <c r="M673" s="118"/>
      <c r="N673" s="118">
        <v>1</v>
      </c>
      <c r="O673" s="142">
        <v>2</v>
      </c>
      <c r="P673" s="118" t="s">
        <v>1347</v>
      </c>
      <c r="Q673" s="118" t="s">
        <v>1224</v>
      </c>
      <c r="R673" s="118" t="s">
        <v>1138</v>
      </c>
      <c r="S673" s="118"/>
      <c r="T673" s="118" t="s">
        <v>1499</v>
      </c>
      <c r="U673" s="118" t="s">
        <v>803</v>
      </c>
      <c r="V673" s="118" t="s">
        <v>23</v>
      </c>
      <c r="W673" s="118" t="s">
        <v>1692</v>
      </c>
      <c r="X673" s="118" t="s">
        <v>1348</v>
      </c>
      <c r="Y673" s="118" t="s">
        <v>1349</v>
      </c>
      <c r="Z673" s="118"/>
      <c r="AA673" s="118" t="s">
        <v>1350</v>
      </c>
      <c r="AB673" s="118"/>
      <c r="AC673" s="145"/>
      <c r="AD673" s="573">
        <v>1</v>
      </c>
      <c r="AE673" s="573">
        <v>2</v>
      </c>
      <c r="AF673" s="159">
        <v>1</v>
      </c>
      <c r="AG673" s="155" t="s">
        <v>7626</v>
      </c>
      <c r="AH673" s="704">
        <v>0</v>
      </c>
      <c r="AI673" s="122">
        <v>5</v>
      </c>
      <c r="AJ673" s="485"/>
      <c r="AK673" s="204" t="s">
        <v>2933</v>
      </c>
      <c r="AL673" s="192">
        <v>1</v>
      </c>
      <c r="AM673" s="205" t="s">
        <v>2934</v>
      </c>
      <c r="AN673" s="122">
        <v>24</v>
      </c>
      <c r="AO673" s="122">
        <v>12</v>
      </c>
      <c r="AP673" s="122">
        <v>12</v>
      </c>
      <c r="AQ673" s="122" t="s">
        <v>803</v>
      </c>
      <c r="AR673" s="122" t="s">
        <v>803</v>
      </c>
      <c r="AS673" s="121" t="s">
        <v>7499</v>
      </c>
      <c r="AT673" s="122" t="s">
        <v>24</v>
      </c>
      <c r="AU673" s="121" t="s">
        <v>7499</v>
      </c>
      <c r="AV673" s="122" t="s">
        <v>24</v>
      </c>
      <c r="AW673" s="122" t="s">
        <v>2944</v>
      </c>
      <c r="AX673" s="121" t="s">
        <v>7644</v>
      </c>
      <c r="AY673" s="121" t="s">
        <v>7645</v>
      </c>
      <c r="AZ673" s="754" t="s">
        <v>7629</v>
      </c>
      <c r="BA673" s="122">
        <v>1</v>
      </c>
      <c r="BB673" s="122">
        <v>1</v>
      </c>
      <c r="BC673" s="121" t="s">
        <v>7535</v>
      </c>
      <c r="BD673" s="754" t="s">
        <v>7523</v>
      </c>
      <c r="BE673" s="754"/>
      <c r="BF673" s="122" t="s">
        <v>2932</v>
      </c>
      <c r="BG673" s="122" t="s">
        <v>2554</v>
      </c>
      <c r="BH673" s="588"/>
      <c r="BI673" s="588"/>
      <c r="BJ673" s="161"/>
      <c r="BK673" s="161"/>
      <c r="BL673" s="161"/>
      <c r="BM673" s="161"/>
      <c r="BN673" s="161"/>
      <c r="BO673" s="161"/>
      <c r="BP673" s="161">
        <v>1</v>
      </c>
      <c r="BQ673" s="161"/>
      <c r="BR673" s="161"/>
      <c r="BS673" s="161"/>
      <c r="BT673" s="161"/>
      <c r="BU673" s="161"/>
      <c r="BV673" s="161"/>
      <c r="BW673" s="596" t="s">
        <v>4417</v>
      </c>
      <c r="BX673" s="162" t="s">
        <v>6612</v>
      </c>
      <c r="BY673" s="797" t="s">
        <v>7617</v>
      </c>
      <c r="BZ673" s="790" t="s">
        <v>803</v>
      </c>
      <c r="CA673" s="660">
        <v>2</v>
      </c>
      <c r="CB673" s="660" t="s">
        <v>7556</v>
      </c>
      <c r="CC673" s="660" t="s">
        <v>7380</v>
      </c>
      <c r="CD673" s="150" t="s">
        <v>1876</v>
      </c>
      <c r="CE673" s="150" t="s">
        <v>2942</v>
      </c>
      <c r="CF673" s="400"/>
      <c r="CG673" s="150" t="s">
        <v>2951</v>
      </c>
      <c r="CH673" s="753" t="s">
        <v>1511</v>
      </c>
      <c r="CI673" s="150" t="s">
        <v>2471</v>
      </c>
      <c r="CJ673" s="150"/>
      <c r="CK673" s="150" t="s">
        <v>2950</v>
      </c>
      <c r="CL673" s="528" t="s">
        <v>8217</v>
      </c>
      <c r="CM673" s="258" t="s">
        <v>2959</v>
      </c>
      <c r="CN673" s="257" t="s">
        <v>24</v>
      </c>
      <c r="CO673" s="829">
        <v>30</v>
      </c>
      <c r="CP673" s="829">
        <v>1</v>
      </c>
      <c r="CQ673" s="829">
        <v>3</v>
      </c>
      <c r="CR673" s="829">
        <v>1</v>
      </c>
      <c r="CS673" s="829">
        <v>1</v>
      </c>
      <c r="CT673" s="968"/>
      <c r="CU673" s="1289" t="s">
        <v>8104</v>
      </c>
      <c r="CV673" s="1295">
        <v>141</v>
      </c>
      <c r="CW673" s="1295">
        <v>132</v>
      </c>
      <c r="CX673" s="151" t="s">
        <v>2956</v>
      </c>
      <c r="CY673" s="150">
        <v>48.307699999999997</v>
      </c>
      <c r="CZ673" s="150">
        <f>58.4615-Table66[[#This Row],[Data_Outcome1_M]]</f>
        <v>10.153800000000004</v>
      </c>
      <c r="DA673" s="150" t="s">
        <v>24</v>
      </c>
      <c r="DB673" s="151" t="s">
        <v>2957</v>
      </c>
      <c r="DC673" s="150">
        <v>71.692300000000003</v>
      </c>
      <c r="DD673" s="150">
        <f>82.7692-Table66[[#This Row],[Data_Outcome2_M]]</f>
        <v>11.076899999999995</v>
      </c>
      <c r="DE673" s="150" t="s">
        <v>24</v>
      </c>
      <c r="DF673" s="549" t="s">
        <v>2958</v>
      </c>
      <c r="DG673" s="551" t="s">
        <v>2555</v>
      </c>
      <c r="DH673" s="134"/>
      <c r="DI673" s="134"/>
      <c r="DJ673" s="168"/>
      <c r="DK673" s="134"/>
      <c r="DL673" s="1166"/>
      <c r="DM673" s="122"/>
      <c r="DN673" s="1164"/>
      <c r="DO673" s="122"/>
      <c r="DP673" s="290"/>
      <c r="DQ673" s="291"/>
      <c r="DR673" s="1168"/>
      <c r="DS673" s="865"/>
      <c r="DT673" s="1166"/>
      <c r="DU673" s="1164"/>
      <c r="DV673" s="1164"/>
      <c r="DW673" s="1164"/>
      <c r="DX673" s="1164"/>
      <c r="DY673" s="1164"/>
      <c r="DZ673" s="1164"/>
      <c r="EA673" s="1164"/>
      <c r="EB673" s="311"/>
      <c r="EC673" s="313"/>
      <c r="ED673" s="1164"/>
      <c r="EE673" s="1164"/>
      <c r="EF673" s="1164"/>
      <c r="EG673" s="1164"/>
      <c r="EH673" s="1164"/>
      <c r="EI673" s="1164"/>
      <c r="EJ673" s="1164"/>
      <c r="EK673" s="1164"/>
      <c r="EL673" s="311"/>
      <c r="EM673" s="313"/>
      <c r="EN673" s="1167"/>
      <c r="EO673" s="1165"/>
      <c r="EP673" s="1164"/>
      <c r="EQ673" s="1164"/>
      <c r="ER673" s="1164"/>
      <c r="ES673" s="1164"/>
      <c r="ET673" s="1166"/>
      <c r="EU673" s="1164"/>
      <c r="EV673" s="1164"/>
      <c r="EW673" s="1164"/>
      <c r="EX673" s="313"/>
      <c r="EY673" s="313"/>
      <c r="EZ673" s="1166"/>
      <c r="FA673" s="1164"/>
      <c r="FB673" s="1164"/>
      <c r="FC673" s="1164"/>
      <c r="FD673" s="1166"/>
      <c r="FE673" s="1164"/>
      <c r="FF673" s="1164"/>
      <c r="FG673" s="1164"/>
      <c r="FH673" s="313"/>
      <c r="FI673" s="313"/>
      <c r="FJ673" s="1165"/>
    </row>
    <row r="674" spans="1:166" ht="15" hidden="1" customHeight="1">
      <c r="A674" s="158" t="s">
        <v>965</v>
      </c>
      <c r="B674" s="1094">
        <v>234</v>
      </c>
      <c r="C674" s="1094">
        <v>85</v>
      </c>
      <c r="D674" s="1094"/>
      <c r="E674" s="1095" t="s">
        <v>2120</v>
      </c>
      <c r="F674" s="711" t="s">
        <v>2381</v>
      </c>
      <c r="G674" s="1096">
        <v>2014</v>
      </c>
      <c r="H674" s="158">
        <v>24975424</v>
      </c>
      <c r="I674" s="158">
        <v>1</v>
      </c>
      <c r="J674" s="158" t="s">
        <v>1788</v>
      </c>
      <c r="K674" s="158" t="s">
        <v>23</v>
      </c>
      <c r="L674" s="158">
        <v>1</v>
      </c>
      <c r="M674" s="158"/>
      <c r="N674" s="158">
        <v>1</v>
      </c>
      <c r="O674" s="158">
        <v>2</v>
      </c>
      <c r="P674" s="158" t="s">
        <v>1398</v>
      </c>
      <c r="Q674" s="158" t="s">
        <v>1216</v>
      </c>
      <c r="R674" s="158" t="s">
        <v>1127</v>
      </c>
      <c r="S674" s="158"/>
      <c r="T674" s="158" t="s">
        <v>1487</v>
      </c>
      <c r="U674" s="158" t="s">
        <v>803</v>
      </c>
      <c r="V674" s="158"/>
      <c r="W674" s="158" t="s">
        <v>1599</v>
      </c>
      <c r="X674" s="158"/>
      <c r="Y674" s="158" t="s">
        <v>1132</v>
      </c>
      <c r="Z674" s="158"/>
      <c r="AA674" s="158" t="s">
        <v>1598</v>
      </c>
      <c r="AB674" s="158"/>
      <c r="AC674" s="800"/>
      <c r="AD674" s="536">
        <v>1</v>
      </c>
      <c r="AE674" s="536">
        <v>2</v>
      </c>
      <c r="AF674" s="743">
        <v>0</v>
      </c>
      <c r="AG674" s="744" t="s">
        <v>8065</v>
      </c>
      <c r="AH674" s="509"/>
      <c r="AI674" s="734">
        <v>4</v>
      </c>
      <c r="AJ674" s="734" t="s">
        <v>5875</v>
      </c>
      <c r="AK674" s="739"/>
      <c r="AL674" s="372" t="s">
        <v>5860</v>
      </c>
      <c r="AM674" s="724"/>
      <c r="AN674" s="734">
        <f>Table66[[#This Row],[Data_Subjects_n_ptsd]]+Table66[[#This Row],[Data_Subjects_n_control]]</f>
        <v>13</v>
      </c>
      <c r="AO674" s="734">
        <f>6/2</f>
        <v>3</v>
      </c>
      <c r="AP674" s="734">
        <v>10</v>
      </c>
      <c r="AQ674" s="734" t="s">
        <v>803</v>
      </c>
      <c r="AR674" s="734" t="s">
        <v>803</v>
      </c>
      <c r="AS674" s="734" t="s">
        <v>7506</v>
      </c>
      <c r="AT674" s="734" t="s">
        <v>24</v>
      </c>
      <c r="AU674" s="734" t="s">
        <v>7506</v>
      </c>
      <c r="AV674" s="734" t="s">
        <v>24</v>
      </c>
      <c r="AW674" s="734" t="s">
        <v>5854</v>
      </c>
      <c r="AX674" s="734"/>
      <c r="AY674" s="734"/>
      <c r="AZ674" s="755" t="s">
        <v>1487</v>
      </c>
      <c r="BA674" s="734">
        <v>1</v>
      </c>
      <c r="BB674" s="734">
        <v>1</v>
      </c>
      <c r="BC674" s="734" t="s">
        <v>8064</v>
      </c>
      <c r="BD674" s="755" t="s">
        <v>7521</v>
      </c>
      <c r="BE674" s="755"/>
      <c r="BF674" s="734" t="s">
        <v>1130</v>
      </c>
      <c r="BG674" s="736" t="s">
        <v>5880</v>
      </c>
      <c r="BH674" s="735"/>
      <c r="BI674" s="735"/>
      <c r="BJ674" s="735"/>
      <c r="BK674" s="735"/>
      <c r="BL674" s="735"/>
      <c r="BM674" s="735"/>
      <c r="BN674" s="735"/>
      <c r="BO674" s="735"/>
      <c r="BP674" s="735">
        <v>1</v>
      </c>
      <c r="BQ674" s="735"/>
      <c r="BR674" s="735"/>
      <c r="BS674" s="735"/>
      <c r="BT674" s="735"/>
      <c r="BU674" s="735"/>
      <c r="BV674" s="735"/>
      <c r="BW674" s="735" t="s">
        <v>5832</v>
      </c>
      <c r="BX674" s="736" t="s">
        <v>6657</v>
      </c>
      <c r="BY674" s="799" t="s">
        <v>7613</v>
      </c>
      <c r="BZ674" s="736"/>
      <c r="CA674" s="510">
        <v>1</v>
      </c>
      <c r="CB674" s="510" t="s">
        <v>7556</v>
      </c>
      <c r="CC674" s="510" t="s">
        <v>7380</v>
      </c>
      <c r="CD674" s="734" t="s">
        <v>1876</v>
      </c>
      <c r="CE674" s="734" t="s">
        <v>5855</v>
      </c>
      <c r="CF674" s="786" t="s">
        <v>7589</v>
      </c>
      <c r="CG674" s="734" t="s">
        <v>5833</v>
      </c>
      <c r="CH674" s="755" t="s">
        <v>7354</v>
      </c>
      <c r="CI674" s="734" t="s">
        <v>5829</v>
      </c>
      <c r="CJ674" s="734"/>
      <c r="CK674" s="734" t="s">
        <v>5834</v>
      </c>
      <c r="CL674" s="734"/>
      <c r="CM674" s="737" t="s">
        <v>5887</v>
      </c>
      <c r="CN674" s="738" t="s">
        <v>6627</v>
      </c>
      <c r="CO674" s="738"/>
      <c r="CP674" s="738"/>
      <c r="CQ674" s="738"/>
      <c r="CR674" s="738"/>
      <c r="CS674" s="738"/>
      <c r="CT674" s="738"/>
      <c r="CU674" s="738"/>
      <c r="CV674" s="738"/>
      <c r="CW674" s="738"/>
      <c r="CX674" s="734" t="s">
        <v>5868</v>
      </c>
      <c r="CY674" s="734">
        <v>5.0602400000000003</v>
      </c>
      <c r="CZ674" s="734" t="s">
        <v>24</v>
      </c>
      <c r="DA674" s="734">
        <f>7.46386-Table66[[#This Row],[Data_Outcome1_M]]</f>
        <v>2.4036200000000001</v>
      </c>
      <c r="DB674" s="734" t="s">
        <v>8061</v>
      </c>
      <c r="DC674" s="734">
        <v>0.88554200000000005</v>
      </c>
      <c r="DD674" s="734" t="s">
        <v>24</v>
      </c>
      <c r="DE674" s="734">
        <f>1.32831-Table66[[#This Row],[Data_Outcome2_M]]</f>
        <v>0.44276800000000005</v>
      </c>
      <c r="DF674" s="737" t="s">
        <v>5873</v>
      </c>
      <c r="DG674" s="372" t="s">
        <v>2480</v>
      </c>
      <c r="DH674" s="1180"/>
      <c r="DI674" s="778"/>
      <c r="DJ674" s="778"/>
      <c r="DK674" s="778"/>
      <c r="DL674" s="1180"/>
      <c r="DM674" s="778"/>
      <c r="DN674" s="778"/>
      <c r="DO674" s="778"/>
      <c r="DP674" s="737"/>
      <c r="DQ674" s="372"/>
      <c r="DR674" s="1182"/>
      <c r="DS674" s="956"/>
      <c r="DT674" s="1180"/>
      <c r="DU674" s="778"/>
      <c r="DV674" s="778"/>
      <c r="DW674" s="778"/>
      <c r="DX674" s="1180"/>
      <c r="DY674" s="778"/>
      <c r="DZ674" s="778"/>
      <c r="EA674" s="778"/>
      <c r="EB674" s="1181"/>
      <c r="EC674" s="778"/>
      <c r="ED674" s="778"/>
      <c r="EE674" s="778"/>
      <c r="EF674" s="778"/>
      <c r="EG674" s="778"/>
      <c r="EH674" s="778"/>
      <c r="EI674" s="778"/>
      <c r="EJ674" s="778"/>
      <c r="EK674" s="778"/>
      <c r="EL674" s="1181"/>
      <c r="EM674" s="778"/>
      <c r="EN674" s="1181"/>
      <c r="EO674" s="778"/>
      <c r="EP674" s="778"/>
      <c r="EQ674" s="778"/>
      <c r="ER674" s="778"/>
      <c r="ES674" s="778"/>
      <c r="ET674" s="778"/>
      <c r="EU674" s="778"/>
      <c r="EV674" s="778"/>
      <c r="EW674" s="778"/>
      <c r="EX674" s="778"/>
      <c r="EY674" s="778"/>
      <c r="EZ674" s="778"/>
      <c r="FA674" s="778"/>
      <c r="FB674" s="778"/>
      <c r="FC674" s="778"/>
      <c r="FD674" s="778"/>
      <c r="FE674" s="778"/>
      <c r="FF674" s="778"/>
      <c r="FG674" s="778"/>
      <c r="FH674" s="778"/>
      <c r="FI674" s="778"/>
      <c r="FJ674" s="778"/>
    </row>
    <row r="675" spans="1:166" ht="15" hidden="1" customHeight="1">
      <c r="A675" s="158" t="s">
        <v>965</v>
      </c>
      <c r="B675" s="1094">
        <v>234</v>
      </c>
      <c r="C675" s="1094">
        <v>85</v>
      </c>
      <c r="D675" s="1094"/>
      <c r="E675" s="1095" t="s">
        <v>2120</v>
      </c>
      <c r="F675" s="711" t="s">
        <v>2381</v>
      </c>
      <c r="G675" s="1096">
        <v>2014</v>
      </c>
      <c r="H675" s="158">
        <v>24975424</v>
      </c>
      <c r="I675" s="158">
        <v>1</v>
      </c>
      <c r="J675" s="158" t="s">
        <v>1788</v>
      </c>
      <c r="K675" s="158" t="s">
        <v>23</v>
      </c>
      <c r="L675" s="158">
        <v>1</v>
      </c>
      <c r="M675" s="158"/>
      <c r="N675" s="158">
        <v>1</v>
      </c>
      <c r="O675" s="158">
        <v>2</v>
      </c>
      <c r="P675" s="158" t="s">
        <v>1398</v>
      </c>
      <c r="Q675" s="158" t="s">
        <v>1216</v>
      </c>
      <c r="R675" s="158" t="s">
        <v>1127</v>
      </c>
      <c r="S675" s="158"/>
      <c r="T675" s="158" t="s">
        <v>1487</v>
      </c>
      <c r="U675" s="158" t="s">
        <v>803</v>
      </c>
      <c r="V675" s="158"/>
      <c r="W675" s="158" t="s">
        <v>1599</v>
      </c>
      <c r="X675" s="158"/>
      <c r="Y675" s="158" t="s">
        <v>1132</v>
      </c>
      <c r="Z675" s="158"/>
      <c r="AA675" s="158" t="s">
        <v>1598</v>
      </c>
      <c r="AB675" s="158"/>
      <c r="AC675" s="800"/>
      <c r="AD675" s="536">
        <v>1</v>
      </c>
      <c r="AE675" s="536">
        <v>2</v>
      </c>
      <c r="AF675" s="743">
        <v>0</v>
      </c>
      <c r="AG675" s="744" t="s">
        <v>8065</v>
      </c>
      <c r="AH675" s="509"/>
      <c r="AI675" s="734">
        <v>4</v>
      </c>
      <c r="AJ675" s="734" t="s">
        <v>5875</v>
      </c>
      <c r="AK675" s="739"/>
      <c r="AL675" s="372" t="s">
        <v>5860</v>
      </c>
      <c r="AM675" s="724"/>
      <c r="AN675" s="734">
        <f>Table66[[#This Row],[Data_Subjects_n_ptsd]]+Table66[[#This Row],[Data_Subjects_n_control]]</f>
        <v>19</v>
      </c>
      <c r="AO675" s="734">
        <f>6/2</f>
        <v>3</v>
      </c>
      <c r="AP675" s="734">
        <v>16</v>
      </c>
      <c r="AQ675" s="734" t="s">
        <v>803</v>
      </c>
      <c r="AR675" s="734" t="s">
        <v>803</v>
      </c>
      <c r="AS675" s="734" t="s">
        <v>7506</v>
      </c>
      <c r="AT675" s="734" t="s">
        <v>24</v>
      </c>
      <c r="AU675" s="734" t="s">
        <v>7506</v>
      </c>
      <c r="AV675" s="734" t="s">
        <v>24</v>
      </c>
      <c r="AW675" s="734" t="s">
        <v>5854</v>
      </c>
      <c r="AX675" s="734"/>
      <c r="AY675" s="734"/>
      <c r="AZ675" s="755" t="s">
        <v>1487</v>
      </c>
      <c r="BA675" s="734">
        <v>1</v>
      </c>
      <c r="BB675" s="734">
        <v>1</v>
      </c>
      <c r="BC675" s="734" t="s">
        <v>5831</v>
      </c>
      <c r="BD675" s="755" t="s">
        <v>7526</v>
      </c>
      <c r="BE675" s="755"/>
      <c r="BF675" s="734" t="s">
        <v>1130</v>
      </c>
      <c r="BG675" s="736" t="s">
        <v>5880</v>
      </c>
      <c r="BH675" s="735"/>
      <c r="BI675" s="735"/>
      <c r="BJ675" s="735"/>
      <c r="BK675" s="735"/>
      <c r="BL675" s="735"/>
      <c r="BM675" s="735"/>
      <c r="BN675" s="735"/>
      <c r="BO675" s="735"/>
      <c r="BP675" s="735">
        <v>1</v>
      </c>
      <c r="BQ675" s="735"/>
      <c r="BR675" s="735"/>
      <c r="BS675" s="735"/>
      <c r="BT675" s="735"/>
      <c r="BU675" s="735"/>
      <c r="BV675" s="735"/>
      <c r="BW675" s="735" t="s">
        <v>5832</v>
      </c>
      <c r="BX675" s="736" t="s">
        <v>6657</v>
      </c>
      <c r="BY675" s="799" t="s">
        <v>7613</v>
      </c>
      <c r="BZ675" s="736"/>
      <c r="CA675" s="510">
        <v>1</v>
      </c>
      <c r="CB675" s="510" t="s">
        <v>7556</v>
      </c>
      <c r="CC675" s="510" t="s">
        <v>7380</v>
      </c>
      <c r="CD675" s="734" t="s">
        <v>1876</v>
      </c>
      <c r="CE675" s="734" t="s">
        <v>5855</v>
      </c>
      <c r="CF675" s="786" t="s">
        <v>7589</v>
      </c>
      <c r="CG675" s="734" t="s">
        <v>5833</v>
      </c>
      <c r="CH675" s="755" t="s">
        <v>7354</v>
      </c>
      <c r="CI675" s="734" t="s">
        <v>5829</v>
      </c>
      <c r="CJ675" s="734"/>
      <c r="CK675" s="734" t="s">
        <v>5834</v>
      </c>
      <c r="CL675" s="734"/>
      <c r="CM675" s="737" t="s">
        <v>5887</v>
      </c>
      <c r="CN675" s="738" t="s">
        <v>6627</v>
      </c>
      <c r="CO675" s="738"/>
      <c r="CP675" s="738"/>
      <c r="CQ675" s="738"/>
      <c r="CR675" s="738"/>
      <c r="CS675" s="738"/>
      <c r="CT675" s="738"/>
      <c r="CU675" s="738"/>
      <c r="CV675" s="738"/>
      <c r="CW675" s="738"/>
      <c r="CX675" s="734" t="s">
        <v>5868</v>
      </c>
      <c r="CY675" s="734">
        <v>5.0602400000000003</v>
      </c>
      <c r="CZ675" s="734" t="s">
        <v>24</v>
      </c>
      <c r="DA675" s="734">
        <f>7.46386-Table66[[#This Row],[Data_Outcome1_M]]</f>
        <v>2.4036200000000001</v>
      </c>
      <c r="DB675" s="734" t="s">
        <v>5843</v>
      </c>
      <c r="DC675" s="734">
        <v>2.84639</v>
      </c>
      <c r="DD675" s="734" t="s">
        <v>24</v>
      </c>
      <c r="DE675" s="734">
        <f>3.92169-Table66[[#This Row],[Data_Outcome2_M]]</f>
        <v>1.0752999999999999</v>
      </c>
      <c r="DF675" s="621"/>
      <c r="DG675" s="1131"/>
      <c r="DH675" s="1180"/>
      <c r="DI675" s="778"/>
      <c r="DJ675" s="778"/>
      <c r="DK675" s="778"/>
      <c r="DL675" s="1180"/>
      <c r="DM675" s="778"/>
      <c r="DN675" s="778"/>
      <c r="DO675" s="778"/>
      <c r="DP675" s="737"/>
      <c r="DQ675" s="372"/>
      <c r="DR675" s="1182"/>
      <c r="DS675" s="956"/>
      <c r="DT675" s="1180"/>
      <c r="DU675" s="778"/>
      <c r="DV675" s="778"/>
      <c r="DW675" s="778"/>
      <c r="DX675" s="1180"/>
      <c r="DY675" s="778"/>
      <c r="DZ675" s="778"/>
      <c r="EA675" s="778"/>
      <c r="EB675" s="1181"/>
      <c r="EC675" s="778"/>
      <c r="ED675" s="778"/>
      <c r="EE675" s="778"/>
      <c r="EF675" s="778"/>
      <c r="EG675" s="778"/>
      <c r="EH675" s="778"/>
      <c r="EI675" s="778"/>
      <c r="EJ675" s="778"/>
      <c r="EK675" s="778"/>
      <c r="EL675" s="1181"/>
      <c r="EM675" s="778"/>
      <c r="EN675" s="1181"/>
      <c r="EO675" s="778"/>
      <c r="EP675" s="778"/>
      <c r="EQ675" s="778"/>
      <c r="ER675" s="778"/>
      <c r="ES675" s="778"/>
      <c r="ET675" s="778"/>
      <c r="EU675" s="778"/>
      <c r="EV675" s="778"/>
      <c r="EW675" s="778"/>
      <c r="EX675" s="778"/>
      <c r="EY675" s="778"/>
      <c r="EZ675" s="778"/>
      <c r="FA675" s="778"/>
      <c r="FB675" s="778"/>
      <c r="FC675" s="778"/>
      <c r="FD675" s="778"/>
      <c r="FE675" s="778"/>
      <c r="FF675" s="778"/>
      <c r="FG675" s="778"/>
      <c r="FH675" s="778"/>
      <c r="FI675" s="778"/>
      <c r="FJ675" s="778"/>
    </row>
    <row r="676" spans="1:166" s="1780" customFormat="1" ht="15" hidden="1" customHeight="1">
      <c r="A676" s="321" t="s">
        <v>1001</v>
      </c>
      <c r="B676" s="362">
        <v>37</v>
      </c>
      <c r="C676" s="362"/>
      <c r="D676" s="362"/>
      <c r="E676" s="609" t="s">
        <v>2103</v>
      </c>
      <c r="F676" s="323" t="s">
        <v>2360</v>
      </c>
      <c r="G676" s="324">
        <v>2011</v>
      </c>
      <c r="H676" s="321">
        <v>21377492</v>
      </c>
      <c r="I676" s="321">
        <v>1</v>
      </c>
      <c r="J676" s="321">
        <v>1</v>
      </c>
      <c r="K676" s="321"/>
      <c r="L676" s="321">
        <v>1</v>
      </c>
      <c r="M676" s="321"/>
      <c r="N676" s="321">
        <v>1</v>
      </c>
      <c r="O676" s="325">
        <v>2</v>
      </c>
      <c r="P676" s="321" t="s">
        <v>1303</v>
      </c>
      <c r="Q676" s="321" t="s">
        <v>1212</v>
      </c>
      <c r="R676" s="321" t="s">
        <v>1468</v>
      </c>
      <c r="S676" s="321"/>
      <c r="T676" s="321" t="s">
        <v>1498</v>
      </c>
      <c r="U676" s="321" t="s">
        <v>803</v>
      </c>
      <c r="V676" s="321"/>
      <c r="W676" s="321" t="s">
        <v>1469</v>
      </c>
      <c r="X676" s="321" t="s">
        <v>436</v>
      </c>
      <c r="Y676" s="321"/>
      <c r="Z676" s="321"/>
      <c r="AA676" s="321"/>
      <c r="AB676" s="321"/>
      <c r="AC676" s="574"/>
      <c r="AD676" s="573">
        <v>1</v>
      </c>
      <c r="AE676" s="573">
        <v>2</v>
      </c>
      <c r="AF676" s="154">
        <v>1</v>
      </c>
      <c r="AG676" s="155" t="s">
        <v>3365</v>
      </c>
      <c r="AH676" s="704" t="s">
        <v>8141</v>
      </c>
      <c r="AI676" s="326">
        <v>5</v>
      </c>
      <c r="AJ676" s="490"/>
      <c r="AK676" s="213" t="s">
        <v>3366</v>
      </c>
      <c r="AL676" s="327">
        <v>2</v>
      </c>
      <c r="AM676" s="215">
        <v>0</v>
      </c>
      <c r="AN676" s="134">
        <f>Table66[[#This Row],[Data_Subjects_n_ptsd]]+Table66[[#This Row],[Data_Subjects_n_control]]</f>
        <v>14</v>
      </c>
      <c r="AO676" s="326">
        <v>7</v>
      </c>
      <c r="AP676" s="326">
        <v>7</v>
      </c>
      <c r="AQ676" s="326" t="s">
        <v>803</v>
      </c>
      <c r="AR676" s="326" t="s">
        <v>803</v>
      </c>
      <c r="AS676" s="326" t="s">
        <v>7495</v>
      </c>
      <c r="AT676" s="326" t="s">
        <v>24</v>
      </c>
      <c r="AU676" s="326" t="s">
        <v>7495</v>
      </c>
      <c r="AV676" s="326" t="s">
        <v>24</v>
      </c>
      <c r="AW676" s="326" t="s">
        <v>3349</v>
      </c>
      <c r="AX676" s="134">
        <v>1</v>
      </c>
      <c r="AY676" s="134">
        <v>1.5</v>
      </c>
      <c r="AZ676" s="753" t="s">
        <v>1814</v>
      </c>
      <c r="BA676" s="326">
        <v>1</v>
      </c>
      <c r="BB676" s="326" t="s">
        <v>3347</v>
      </c>
      <c r="BC676" s="326" t="s">
        <v>2975</v>
      </c>
      <c r="BD676" s="753" t="s">
        <v>7523</v>
      </c>
      <c r="BE676" s="753"/>
      <c r="BF676" s="326" t="s">
        <v>1468</v>
      </c>
      <c r="BG676" s="326" t="s">
        <v>3279</v>
      </c>
      <c r="BH676" s="601"/>
      <c r="BI676" s="601"/>
      <c r="BJ676" s="328">
        <v>1</v>
      </c>
      <c r="BK676" s="156">
        <v>1</v>
      </c>
      <c r="BL676" s="328"/>
      <c r="BM676" s="328"/>
      <c r="BN676" s="328"/>
      <c r="BO676" s="328"/>
      <c r="BP676" s="156">
        <v>1</v>
      </c>
      <c r="BQ676" s="328"/>
      <c r="BR676" s="328"/>
      <c r="BS676" s="328"/>
      <c r="BT676" s="328"/>
      <c r="BU676" s="328"/>
      <c r="BV676" s="328"/>
      <c r="BW676" s="602" t="s">
        <v>7190</v>
      </c>
      <c r="BX676" s="157" t="s">
        <v>6657</v>
      </c>
      <c r="BY676" s="797" t="s">
        <v>7613</v>
      </c>
      <c r="BZ676" s="789" t="s">
        <v>803</v>
      </c>
      <c r="CA676" s="660">
        <v>1</v>
      </c>
      <c r="CB676" s="660" t="s">
        <v>7556</v>
      </c>
      <c r="CC676" s="660" t="s">
        <v>7380</v>
      </c>
      <c r="CD676" s="326" t="s">
        <v>1876</v>
      </c>
      <c r="CE676" s="326">
        <v>2</v>
      </c>
      <c r="CF676" s="400" t="s">
        <v>7581</v>
      </c>
      <c r="CG676" s="134" t="s">
        <v>8304</v>
      </c>
      <c r="CH676" s="753" t="s">
        <v>7310</v>
      </c>
      <c r="CI676" s="326" t="s">
        <v>2606</v>
      </c>
      <c r="CJ676" s="326"/>
      <c r="CK676" s="326" t="s">
        <v>3350</v>
      </c>
      <c r="CL676" s="134" t="s">
        <v>8308</v>
      </c>
      <c r="CM676" s="259" t="s">
        <v>3394</v>
      </c>
      <c r="CN676" s="454" t="s">
        <v>6627</v>
      </c>
      <c r="CO676" s="828">
        <v>59</v>
      </c>
      <c r="CP676" s="828">
        <v>1</v>
      </c>
      <c r="CQ676" s="828">
        <v>1</v>
      </c>
      <c r="CR676" s="828">
        <v>0</v>
      </c>
      <c r="CS676" s="828">
        <v>-1</v>
      </c>
      <c r="CT676" s="967"/>
      <c r="CU676" s="1289" t="s">
        <v>8104</v>
      </c>
      <c r="CV676" s="1295">
        <v>144</v>
      </c>
      <c r="CW676" s="1295">
        <v>135</v>
      </c>
      <c r="CX676" s="138" t="s">
        <v>3373</v>
      </c>
      <c r="CY676" s="326">
        <v>1.9032899999999999</v>
      </c>
      <c r="CZ676" s="326" t="s">
        <v>24</v>
      </c>
      <c r="DA676" s="326">
        <f>2.73446-Table66[[#This Row],[Data_Outcome1_M]]</f>
        <v>0.83116999999999996</v>
      </c>
      <c r="DB676" s="138" t="s">
        <v>3382</v>
      </c>
      <c r="DC676" s="326">
        <v>45.3172</v>
      </c>
      <c r="DD676" s="326" t="s">
        <v>24</v>
      </c>
      <c r="DE676" s="326">
        <f>58.2003-Table66[[#This Row],[Data_Outcome2_M]]</f>
        <v>12.883099999999999</v>
      </c>
      <c r="DF676" s="874" t="s">
        <v>3386</v>
      </c>
      <c r="DG676" s="295" t="s">
        <v>3060</v>
      </c>
      <c r="DH676" s="1282"/>
      <c r="DI676" s="1283"/>
      <c r="DJ676" s="1283"/>
      <c r="DK676" s="1283"/>
      <c r="DL676" s="1282"/>
      <c r="DM676" s="1283"/>
      <c r="DN676" s="1283"/>
      <c r="DO676" s="1283"/>
      <c r="DP676" s="331"/>
      <c r="DQ676" s="332"/>
      <c r="DR676" s="1168"/>
      <c r="DS676" s="865"/>
      <c r="DT676" s="1282"/>
      <c r="DU676" s="1260"/>
      <c r="DV676" s="1260"/>
      <c r="DW676" s="1260"/>
      <c r="DX676" s="1283"/>
      <c r="DY676" s="1260"/>
      <c r="DZ676" s="1260"/>
      <c r="EA676" s="1260"/>
      <c r="EB676" s="335"/>
      <c r="EC676" s="336"/>
      <c r="ED676" s="1283"/>
      <c r="EE676" s="1260"/>
      <c r="EF676" s="1260"/>
      <c r="EG676" s="1260"/>
      <c r="EH676" s="1283"/>
      <c r="EI676" s="1260"/>
      <c r="EJ676" s="1260"/>
      <c r="EK676" s="1260"/>
      <c r="EL676" s="335"/>
      <c r="EM676" s="336"/>
      <c r="EN676" s="1264"/>
      <c r="EO676" s="1262"/>
      <c r="EP676" s="1260"/>
      <c r="EQ676" s="1260"/>
      <c r="ER676" s="1260"/>
      <c r="ES676" s="1260"/>
      <c r="ET676" s="1263"/>
      <c r="EU676" s="1260"/>
      <c r="EV676" s="1260"/>
      <c r="EW676" s="1260"/>
      <c r="EX676" s="1261"/>
      <c r="EY676" s="1261"/>
      <c r="EZ676" s="1263"/>
      <c r="FA676" s="1260"/>
      <c r="FB676" s="1260"/>
      <c r="FC676" s="1260"/>
      <c r="FD676" s="1263"/>
      <c r="FE676" s="1260"/>
      <c r="FF676" s="1260"/>
      <c r="FG676" s="1260"/>
      <c r="FH676" s="1261"/>
      <c r="FI676" s="1261"/>
      <c r="FJ676" s="1262"/>
    </row>
    <row r="677" spans="1:166" s="1780" customFormat="1" ht="15" hidden="1" customHeight="1">
      <c r="A677" s="1363" t="s">
        <v>1001</v>
      </c>
      <c r="B677" s="1364">
        <v>37</v>
      </c>
      <c r="C677" s="1364"/>
      <c r="D677" s="1364"/>
      <c r="E677" s="1365" t="s">
        <v>2103</v>
      </c>
      <c r="F677" s="1366" t="s">
        <v>2360</v>
      </c>
      <c r="G677" s="1367">
        <v>2011</v>
      </c>
      <c r="H677" s="1363">
        <v>21377492</v>
      </c>
      <c r="I677" s="1363">
        <v>1</v>
      </c>
      <c r="J677" s="1363">
        <v>1</v>
      </c>
      <c r="K677" s="1363"/>
      <c r="L677" s="1363">
        <v>1</v>
      </c>
      <c r="M677" s="1363"/>
      <c r="N677" s="1363">
        <v>1</v>
      </c>
      <c r="O677" s="1369">
        <v>2</v>
      </c>
      <c r="P677" s="1363" t="s">
        <v>1303</v>
      </c>
      <c r="Q677" s="1363" t="s">
        <v>1212</v>
      </c>
      <c r="R677" s="1363" t="s">
        <v>1468</v>
      </c>
      <c r="S677" s="1363"/>
      <c r="T677" s="1363" t="s">
        <v>1498</v>
      </c>
      <c r="U677" s="1363" t="s">
        <v>803</v>
      </c>
      <c r="V677" s="1363"/>
      <c r="W677" s="1363" t="s">
        <v>1469</v>
      </c>
      <c r="X677" s="1363" t="s">
        <v>436</v>
      </c>
      <c r="Y677" s="1363"/>
      <c r="Z677" s="1363"/>
      <c r="AA677" s="1363"/>
      <c r="AB677" s="1363"/>
      <c r="AC677" s="1370"/>
      <c r="AD677" s="1371">
        <v>1</v>
      </c>
      <c r="AE677" s="1371">
        <v>2</v>
      </c>
      <c r="AF677" s="1372">
        <v>1</v>
      </c>
      <c r="AG677" s="1373" t="s">
        <v>3365</v>
      </c>
      <c r="AH677" s="704" t="s">
        <v>8141</v>
      </c>
      <c r="AI677" s="1385">
        <v>5</v>
      </c>
      <c r="AJ677" s="1375"/>
      <c r="AK677" s="1439" t="s">
        <v>3366</v>
      </c>
      <c r="AL677" s="1440">
        <v>2</v>
      </c>
      <c r="AM677" s="1441">
        <v>0</v>
      </c>
      <c r="AN677" s="1385">
        <f>Table66[[#This Row],[Data_Subjects_n_ptsd]]+Table66[[#This Row],[Data_Subjects_n_control]]</f>
        <v>13</v>
      </c>
      <c r="AO677" s="1385">
        <v>6</v>
      </c>
      <c r="AP677" s="1385">
        <v>7</v>
      </c>
      <c r="AQ677" s="1385" t="s">
        <v>803</v>
      </c>
      <c r="AR677" s="1385" t="s">
        <v>803</v>
      </c>
      <c r="AS677" s="1385" t="s">
        <v>7495</v>
      </c>
      <c r="AT677" s="1385" t="s">
        <v>24</v>
      </c>
      <c r="AU677" s="1385" t="s">
        <v>7495</v>
      </c>
      <c r="AV677" s="1385" t="s">
        <v>24</v>
      </c>
      <c r="AW677" s="1385" t="s">
        <v>3349</v>
      </c>
      <c r="AX677" s="134">
        <v>1</v>
      </c>
      <c r="AY677" s="134">
        <v>1.5</v>
      </c>
      <c r="AZ677" s="753" t="s">
        <v>1814</v>
      </c>
      <c r="BA677" s="326">
        <v>1</v>
      </c>
      <c r="BB677" s="326" t="s">
        <v>3347</v>
      </c>
      <c r="BC677" s="1385" t="s">
        <v>2975</v>
      </c>
      <c r="BD677" s="1385" t="s">
        <v>7523</v>
      </c>
      <c r="BE677" s="1385"/>
      <c r="BF677" s="1385" t="s">
        <v>1468</v>
      </c>
      <c r="BG677" s="1385" t="s">
        <v>3279</v>
      </c>
      <c r="BH677" s="601"/>
      <c r="BI677" s="601"/>
      <c r="BJ677" s="328">
        <v>1</v>
      </c>
      <c r="BK677" s="156">
        <v>1</v>
      </c>
      <c r="BL677" s="328"/>
      <c r="BM677" s="328"/>
      <c r="BN677" s="328"/>
      <c r="BO677" s="328"/>
      <c r="BP677" s="156">
        <v>1</v>
      </c>
      <c r="BQ677" s="328"/>
      <c r="BR677" s="328"/>
      <c r="BS677" s="328"/>
      <c r="BT677" s="328"/>
      <c r="BU677" s="328"/>
      <c r="BV677" s="328"/>
      <c r="BW677" s="602" t="s">
        <v>7191</v>
      </c>
      <c r="BX677" s="157" t="s">
        <v>6657</v>
      </c>
      <c r="BY677" s="797" t="s">
        <v>7613</v>
      </c>
      <c r="BZ677" s="789" t="s">
        <v>803</v>
      </c>
      <c r="CA677" s="660">
        <v>1</v>
      </c>
      <c r="CB677" s="660" t="s">
        <v>7556</v>
      </c>
      <c r="CC677" s="660" t="s">
        <v>7380</v>
      </c>
      <c r="CD677" s="326" t="s">
        <v>1876</v>
      </c>
      <c r="CE677" s="326">
        <v>2</v>
      </c>
      <c r="CF677" s="400" t="s">
        <v>7582</v>
      </c>
      <c r="CG677" s="1370" t="s">
        <v>8305</v>
      </c>
      <c r="CH677" s="753" t="s">
        <v>7310</v>
      </c>
      <c r="CI677" s="326" t="s">
        <v>2606</v>
      </c>
      <c r="CJ677" s="326"/>
      <c r="CK677" s="1385" t="s">
        <v>3350</v>
      </c>
      <c r="CL677" s="134" t="s">
        <v>8308</v>
      </c>
      <c r="CM677" s="1426" t="s">
        <v>3394</v>
      </c>
      <c r="CN677" s="1427" t="s">
        <v>6627</v>
      </c>
      <c r="CO677" s="1428">
        <v>59</v>
      </c>
      <c r="CP677" s="1428">
        <v>3</v>
      </c>
      <c r="CQ677" s="1428">
        <v>1</v>
      </c>
      <c r="CR677" s="1428">
        <v>0</v>
      </c>
      <c r="CS677" s="1428">
        <v>-1</v>
      </c>
      <c r="CT677" s="967"/>
      <c r="CU677" s="1390" t="s">
        <v>8104</v>
      </c>
      <c r="CV677" s="1391">
        <v>146</v>
      </c>
      <c r="CW677" s="1391">
        <v>137</v>
      </c>
      <c r="CX677" s="1392" t="s">
        <v>3371</v>
      </c>
      <c r="CY677" s="1385">
        <v>0.761154</v>
      </c>
      <c r="CZ677" s="1385" t="s">
        <v>24</v>
      </c>
      <c r="DA677" s="1385">
        <f>1.38429-Table66[[#This Row],[Data_Outcome1_M]]</f>
        <v>0.62313600000000002</v>
      </c>
      <c r="DB677" s="1392" t="s">
        <v>3384</v>
      </c>
      <c r="DC677" s="1385">
        <v>85.264700000000005</v>
      </c>
      <c r="DD677" s="1385" t="s">
        <v>24</v>
      </c>
      <c r="DE677" s="1385">
        <f>105.629-Table66[[#This Row],[Data_Outcome2_M]]</f>
        <v>20.3643</v>
      </c>
      <c r="DF677" s="1858" t="s">
        <v>3386</v>
      </c>
      <c r="DG677" s="1853" t="s">
        <v>3060</v>
      </c>
      <c r="DH677" s="1437"/>
      <c r="DI677" s="1370"/>
      <c r="DJ677" s="1370"/>
      <c r="DK677" s="1370"/>
      <c r="DL677" s="1437"/>
      <c r="DM677" s="1370"/>
      <c r="DN677" s="1370"/>
      <c r="DO677" s="1370"/>
      <c r="DP677" s="1394"/>
      <c r="DQ677" s="1395"/>
      <c r="DR677" s="1398"/>
      <c r="DS677" s="1399"/>
      <c r="DT677" s="1396"/>
      <c r="DU677" s="1370"/>
      <c r="DV677" s="1397"/>
      <c r="DW677" s="1370"/>
      <c r="DX677" s="1397"/>
      <c r="DY677" s="1370"/>
      <c r="DZ677" s="1397"/>
      <c r="EA677" s="1370"/>
      <c r="EB677" s="1400"/>
      <c r="EC677" s="1401"/>
      <c r="ED677" s="1397"/>
      <c r="EE677" s="1397"/>
      <c r="EF677" s="1397"/>
      <c r="EG677" s="1397"/>
      <c r="EH677" s="1397"/>
      <c r="EI677" s="1397"/>
      <c r="EJ677" s="1397"/>
      <c r="EK677" s="1397"/>
      <c r="EL677" s="1400"/>
      <c r="EM677" s="1401"/>
      <c r="EN677" s="1398"/>
      <c r="EO677" s="1402"/>
      <c r="EP677" s="1397"/>
      <c r="EQ677" s="1397"/>
      <c r="ER677" s="1397"/>
      <c r="ES677" s="1397"/>
      <c r="ET677" s="1396"/>
      <c r="EU677" s="1397"/>
      <c r="EV677" s="1397"/>
      <c r="EW677" s="1397"/>
      <c r="EX677" s="1401"/>
      <c r="EY677" s="1401"/>
      <c r="EZ677" s="1396"/>
      <c r="FA677" s="1397"/>
      <c r="FB677" s="1397"/>
      <c r="FC677" s="1397"/>
      <c r="FD677" s="1396"/>
      <c r="FE677" s="1397"/>
      <c r="FF677" s="1397"/>
      <c r="FG677" s="1397"/>
      <c r="FH677" s="1401"/>
      <c r="FI677" s="1401"/>
      <c r="FJ677" s="1402"/>
    </row>
    <row r="678" spans="1:166" ht="15" hidden="1" customHeight="1">
      <c r="A678" s="1363" t="s">
        <v>1020</v>
      </c>
      <c r="B678" s="1364">
        <v>165</v>
      </c>
      <c r="C678" s="1364">
        <v>55</v>
      </c>
      <c r="D678" s="1364"/>
      <c r="E678" s="1365" t="s">
        <v>2093</v>
      </c>
      <c r="F678" s="1366" t="s">
        <v>2348</v>
      </c>
      <c r="G678" s="1367">
        <v>2008</v>
      </c>
      <c r="H678" s="1363">
        <v>18339410</v>
      </c>
      <c r="I678" s="1363">
        <v>1</v>
      </c>
      <c r="J678" s="1363">
        <v>1</v>
      </c>
      <c r="K678" s="1363"/>
      <c r="L678" s="1363">
        <v>1</v>
      </c>
      <c r="M678" s="1363"/>
      <c r="N678" s="1368">
        <v>1</v>
      </c>
      <c r="O678" s="1369">
        <v>2</v>
      </c>
      <c r="P678" s="1363" t="s">
        <v>1697</v>
      </c>
      <c r="Q678" s="1363" t="s">
        <v>1417</v>
      </c>
      <c r="R678" s="1363" t="s">
        <v>1127</v>
      </c>
      <c r="S678" s="1363"/>
      <c r="T678" s="1363" t="s">
        <v>1541</v>
      </c>
      <c r="U678" s="1363"/>
      <c r="V678" s="1363"/>
      <c r="W678" s="1363" t="s">
        <v>1416</v>
      </c>
      <c r="X678" s="1363"/>
      <c r="Y678" s="1363"/>
      <c r="Z678" s="1363"/>
      <c r="AA678" s="1363"/>
      <c r="AB678" s="1363"/>
      <c r="AC678" s="1370"/>
      <c r="AD678" s="1371">
        <v>1</v>
      </c>
      <c r="AE678" s="1371">
        <v>2</v>
      </c>
      <c r="AF678" s="1372">
        <v>1</v>
      </c>
      <c r="AG678" s="1373" t="s">
        <v>8165</v>
      </c>
      <c r="AH678" s="1374"/>
      <c r="AI678" s="1370">
        <v>4</v>
      </c>
      <c r="AJ678" s="1375"/>
      <c r="AK678" s="1376" t="s">
        <v>8127</v>
      </c>
      <c r="AL678" s="1377" t="s">
        <v>7948</v>
      </c>
      <c r="AM678" s="1378" t="s">
        <v>5061</v>
      </c>
      <c r="AN678" s="1370">
        <f>Table66[[#This Row],[Data_Subjects_n_ptsd]]+Table66[[#This Row],[Data_Subjects_n_control]]</f>
        <v>16</v>
      </c>
      <c r="AO678" s="1370">
        <v>8</v>
      </c>
      <c r="AP678" s="1370">
        <f>8</f>
        <v>8</v>
      </c>
      <c r="AQ678" s="1370" t="s">
        <v>803</v>
      </c>
      <c r="AR678" s="1385" t="s">
        <v>803</v>
      </c>
      <c r="AS678" s="1385" t="s">
        <v>2468</v>
      </c>
      <c r="AT678" s="1385" t="s">
        <v>24</v>
      </c>
      <c r="AU678" s="1385" t="s">
        <v>2468</v>
      </c>
      <c r="AV678" s="1385" t="s">
        <v>24</v>
      </c>
      <c r="AW678" s="1385" t="s">
        <v>7942</v>
      </c>
      <c r="AX678" s="1370">
        <v>10</v>
      </c>
      <c r="AY678" s="1370">
        <v>0.8</v>
      </c>
      <c r="AZ678" s="1370" t="s">
        <v>1814</v>
      </c>
      <c r="BA678" s="1370">
        <v>1</v>
      </c>
      <c r="BB678" s="1370" t="s">
        <v>5083</v>
      </c>
      <c r="BC678" s="1370" t="s">
        <v>5068</v>
      </c>
      <c r="BD678" s="1370" t="s">
        <v>7523</v>
      </c>
      <c r="BE678" s="1370"/>
      <c r="BF678" s="1370" t="s">
        <v>2912</v>
      </c>
      <c r="BG678" s="1370" t="s">
        <v>5062</v>
      </c>
      <c r="BH678" s="1379"/>
      <c r="BI678" s="1379"/>
      <c r="BJ678" s="1380"/>
      <c r="BK678" s="1380" t="s">
        <v>5086</v>
      </c>
      <c r="BL678" s="1380"/>
      <c r="BM678" s="1380"/>
      <c r="BN678" s="1380"/>
      <c r="BO678" s="1380"/>
      <c r="BP678" s="1380">
        <v>1</v>
      </c>
      <c r="BQ678" s="1380"/>
      <c r="BR678" s="1380"/>
      <c r="BS678" s="1380"/>
      <c r="BT678" s="1380"/>
      <c r="BU678" s="1380"/>
      <c r="BV678" s="1380"/>
      <c r="BW678" s="1381" t="s">
        <v>7356</v>
      </c>
      <c r="BX678" s="1382" t="s">
        <v>6657</v>
      </c>
      <c r="BY678" s="1383" t="s">
        <v>7613</v>
      </c>
      <c r="BZ678" s="1384" t="s">
        <v>803</v>
      </c>
      <c r="CA678" s="1404">
        <v>1</v>
      </c>
      <c r="CB678" s="1404" t="s">
        <v>7556</v>
      </c>
      <c r="CC678" s="1404" t="s">
        <v>7380</v>
      </c>
      <c r="CD678" s="1385" t="s">
        <v>1876</v>
      </c>
      <c r="CE678" s="1385" t="s">
        <v>5087</v>
      </c>
      <c r="CF678" s="1385" t="s">
        <v>7579</v>
      </c>
      <c r="CG678" s="1385" t="s">
        <v>5063</v>
      </c>
      <c r="CH678" s="753" t="s">
        <v>7310</v>
      </c>
      <c r="CI678" s="1385" t="s">
        <v>5066</v>
      </c>
      <c r="CJ678" s="1385">
        <v>1</v>
      </c>
      <c r="CK678" s="1385" t="s">
        <v>7944</v>
      </c>
      <c r="CL678" s="150" t="s">
        <v>8302</v>
      </c>
      <c r="CM678" s="1386" t="s">
        <v>5098</v>
      </c>
      <c r="CN678" s="1387" t="s">
        <v>24</v>
      </c>
      <c r="CO678" s="1388">
        <v>50</v>
      </c>
      <c r="CP678" s="1388">
        <v>1</v>
      </c>
      <c r="CQ678" s="1388">
        <v>1</v>
      </c>
      <c r="CR678" s="1388">
        <v>1</v>
      </c>
      <c r="CS678" s="1388">
        <v>-1</v>
      </c>
      <c r="CT678" s="1389"/>
      <c r="CU678" s="1390" t="s">
        <v>8104</v>
      </c>
      <c r="CV678" s="1391">
        <v>103</v>
      </c>
      <c r="CW678" s="1391">
        <v>95</v>
      </c>
      <c r="CX678" s="1392" t="s">
        <v>5089</v>
      </c>
      <c r="CY678" s="1385">
        <v>35.900799999999997</v>
      </c>
      <c r="CZ678" s="1385" t="s">
        <v>24</v>
      </c>
      <c r="DA678" s="1385">
        <f>42.9744-Table66[[#This Row],[Data_Outcome1_M]]</f>
        <v>7.0736000000000061</v>
      </c>
      <c r="DB678" s="1392" t="s">
        <v>5093</v>
      </c>
      <c r="DC678" s="1385">
        <v>78.872200000000007</v>
      </c>
      <c r="DD678" s="1385" t="s">
        <v>24</v>
      </c>
      <c r="DE678" s="1385">
        <f>80.7248-Table66[[#This Row],[Data_Outcome2_M]]</f>
        <v>1.8525999999999954</v>
      </c>
      <c r="DF678" s="1394" t="s">
        <v>5095</v>
      </c>
      <c r="DG678" s="1395" t="s">
        <v>5096</v>
      </c>
      <c r="DH678" s="1397"/>
      <c r="DI678" s="1370"/>
      <c r="DJ678" s="1397"/>
      <c r="DK678" s="1370"/>
      <c r="DL678" s="1397"/>
      <c r="DM678" s="1397"/>
      <c r="DN678" s="1397"/>
      <c r="DO678" s="1397"/>
      <c r="DP678" s="1394"/>
      <c r="DQ678" s="1395"/>
      <c r="DR678" s="1398"/>
      <c r="DS678" s="1399"/>
      <c r="DT678" s="1396"/>
      <c r="DU678" s="1397"/>
      <c r="DV678" s="1397"/>
      <c r="DW678" s="1397"/>
      <c r="DX678" s="1397"/>
      <c r="DY678" s="1397"/>
      <c r="DZ678" s="1397"/>
      <c r="EA678" s="1397"/>
      <c r="EB678" s="1400"/>
      <c r="EC678" s="1401"/>
      <c r="ED678" s="1397"/>
      <c r="EE678" s="1397"/>
      <c r="EF678" s="1397"/>
      <c r="EG678" s="1397"/>
      <c r="EH678" s="1397"/>
      <c r="EI678" s="1397"/>
      <c r="EJ678" s="1397"/>
      <c r="EK678" s="1397"/>
      <c r="EL678" s="1400"/>
      <c r="EM678" s="1401"/>
      <c r="EN678" s="1398"/>
      <c r="EO678" s="1402"/>
      <c r="EP678" s="1397"/>
      <c r="EQ678" s="1397"/>
      <c r="ER678" s="1397"/>
      <c r="ES678" s="1397"/>
      <c r="ET678" s="1396"/>
      <c r="EU678" s="1397"/>
      <c r="EV678" s="1397"/>
      <c r="EW678" s="1397"/>
      <c r="EX678" s="1401"/>
      <c r="EY678" s="1401"/>
      <c r="EZ678" s="1396"/>
      <c r="FA678" s="1397"/>
      <c r="FB678" s="1397"/>
      <c r="FC678" s="1397"/>
      <c r="FD678" s="1396"/>
      <c r="FE678" s="1397"/>
      <c r="FF678" s="1397"/>
      <c r="FG678" s="1397"/>
      <c r="FH678" s="1401"/>
      <c r="FI678" s="1401"/>
      <c r="FJ678" s="1402"/>
    </row>
    <row r="679" spans="1:166" ht="15" hidden="1" customHeight="1">
      <c r="A679" s="79" t="s">
        <v>1020</v>
      </c>
      <c r="B679" s="362">
        <v>165</v>
      </c>
      <c r="C679" s="362">
        <v>55</v>
      </c>
      <c r="D679" s="362"/>
      <c r="E679" s="604" t="s">
        <v>2093</v>
      </c>
      <c r="F679" s="124" t="s">
        <v>2348</v>
      </c>
      <c r="G679" s="125">
        <v>2008</v>
      </c>
      <c r="H679" s="79">
        <v>18339410</v>
      </c>
      <c r="I679" s="79">
        <v>1</v>
      </c>
      <c r="J679" s="126">
        <v>1</v>
      </c>
      <c r="K679" s="127"/>
      <c r="L679" s="79">
        <v>1</v>
      </c>
      <c r="M679" s="79"/>
      <c r="N679" s="153">
        <v>1</v>
      </c>
      <c r="O679" s="128">
        <v>2</v>
      </c>
      <c r="P679" s="79" t="s">
        <v>1697</v>
      </c>
      <c r="Q679" s="79" t="s">
        <v>1417</v>
      </c>
      <c r="R679" s="79" t="s">
        <v>1127</v>
      </c>
      <c r="S679" s="79"/>
      <c r="T679" s="79" t="s">
        <v>1541</v>
      </c>
      <c r="U679" s="79"/>
      <c r="V679" s="79"/>
      <c r="W679" s="79" t="s">
        <v>1416</v>
      </c>
      <c r="X679" s="79"/>
      <c r="Y679" s="79"/>
      <c r="Z679" s="79"/>
      <c r="AA679" s="79"/>
      <c r="AB679" s="79"/>
      <c r="AC679" s="506"/>
      <c r="AD679" s="573">
        <v>1</v>
      </c>
      <c r="AE679" s="573">
        <v>2</v>
      </c>
      <c r="AF679" s="154">
        <v>1</v>
      </c>
      <c r="AG679" s="1373" t="s">
        <v>8165</v>
      </c>
      <c r="AH679" s="704"/>
      <c r="AI679" s="121">
        <v>4</v>
      </c>
      <c r="AJ679" s="484"/>
      <c r="AK679" s="202" t="s">
        <v>5064</v>
      </c>
      <c r="AL679" s="192" t="s">
        <v>7948</v>
      </c>
      <c r="AM679" s="203" t="s">
        <v>5061</v>
      </c>
      <c r="AN679" s="121">
        <f>Table66[[#This Row],[Data_Subjects_n_ptsd]]+Table66[[#This Row],[Data_Subjects_n_control]]</f>
        <v>16</v>
      </c>
      <c r="AO679" s="121">
        <v>8</v>
      </c>
      <c r="AP679" s="121">
        <f>8</f>
        <v>8</v>
      </c>
      <c r="AQ679" s="121" t="s">
        <v>803</v>
      </c>
      <c r="AR679" s="134" t="s">
        <v>803</v>
      </c>
      <c r="AS679" s="134" t="s">
        <v>2468</v>
      </c>
      <c r="AT679" s="134" t="s">
        <v>24</v>
      </c>
      <c r="AU679" s="134" t="s">
        <v>2468</v>
      </c>
      <c r="AV679" s="134" t="s">
        <v>24</v>
      </c>
      <c r="AW679" s="134" t="s">
        <v>7943</v>
      </c>
      <c r="AX679" s="121">
        <v>10</v>
      </c>
      <c r="AY679" s="121">
        <v>3</v>
      </c>
      <c r="AZ679" s="754" t="s">
        <v>1814</v>
      </c>
      <c r="BA679" s="121">
        <v>1</v>
      </c>
      <c r="BB679" s="121" t="s">
        <v>5083</v>
      </c>
      <c r="BC679" s="121" t="s">
        <v>5068</v>
      </c>
      <c r="BD679" s="754" t="s">
        <v>7523</v>
      </c>
      <c r="BE679" s="754"/>
      <c r="BF679" s="121" t="s">
        <v>2912</v>
      </c>
      <c r="BG679" s="121" t="s">
        <v>5062</v>
      </c>
      <c r="BH679" s="594"/>
      <c r="BI679" s="594"/>
      <c r="BJ679" s="156"/>
      <c r="BK679" s="156" t="s">
        <v>5086</v>
      </c>
      <c r="BL679" s="156"/>
      <c r="BM679" s="156"/>
      <c r="BN679" s="156"/>
      <c r="BO679" s="156"/>
      <c r="BP679" s="156">
        <v>1</v>
      </c>
      <c r="BQ679" s="156"/>
      <c r="BR679" s="156"/>
      <c r="BS679" s="156"/>
      <c r="BT679" s="156"/>
      <c r="BU679" s="156"/>
      <c r="BV679" s="156"/>
      <c r="BW679" s="595" t="s">
        <v>7356</v>
      </c>
      <c r="BX679" s="157" t="s">
        <v>6657</v>
      </c>
      <c r="BY679" s="797" t="s">
        <v>7613</v>
      </c>
      <c r="BZ679" s="789" t="s">
        <v>803</v>
      </c>
      <c r="CA679" s="660">
        <v>1</v>
      </c>
      <c r="CB679" s="660" t="s">
        <v>7556</v>
      </c>
      <c r="CC679" s="660" t="s">
        <v>7380</v>
      </c>
      <c r="CD679" s="134" t="s">
        <v>1876</v>
      </c>
      <c r="CE679" s="134" t="s">
        <v>5087</v>
      </c>
      <c r="CF679" s="400" t="s">
        <v>7579</v>
      </c>
      <c r="CG679" s="134" t="s">
        <v>5063</v>
      </c>
      <c r="CH679" s="753" t="s">
        <v>7310</v>
      </c>
      <c r="CI679" s="134" t="s">
        <v>5066</v>
      </c>
      <c r="CJ679" s="134">
        <v>1</v>
      </c>
      <c r="CK679" s="134" t="s">
        <v>7945</v>
      </c>
      <c r="CL679" s="150" t="s">
        <v>8302</v>
      </c>
      <c r="CM679" s="471" t="s">
        <v>5098</v>
      </c>
      <c r="CN679" s="624" t="s">
        <v>24</v>
      </c>
      <c r="CO679" s="832">
        <v>50</v>
      </c>
      <c r="CP679" s="832">
        <v>1</v>
      </c>
      <c r="CQ679" s="832">
        <v>2</v>
      </c>
      <c r="CR679" s="832">
        <v>1</v>
      </c>
      <c r="CS679" s="832">
        <v>-1</v>
      </c>
      <c r="CT679" s="973"/>
      <c r="CU679" s="1289" t="s">
        <v>8104</v>
      </c>
      <c r="CV679" s="1295">
        <v>104</v>
      </c>
      <c r="CW679" s="1391">
        <v>95</v>
      </c>
      <c r="CX679" s="138" t="s">
        <v>5090</v>
      </c>
      <c r="CY679" s="134">
        <v>13.1402</v>
      </c>
      <c r="CZ679" s="168" t="s">
        <v>24</v>
      </c>
      <c r="DA679" s="134">
        <f>17.5191-Table66[[#This Row],[Data_Outcome1_M]]</f>
        <v>4.3789000000000016</v>
      </c>
      <c r="DB679" s="138" t="s">
        <v>5093</v>
      </c>
      <c r="DC679" s="134">
        <v>78.872200000000007</v>
      </c>
      <c r="DD679" s="134" t="s">
        <v>24</v>
      </c>
      <c r="DE679" s="134">
        <f>80.7248-Table66[[#This Row],[Data_Outcome2_M]]</f>
        <v>1.8525999999999954</v>
      </c>
      <c r="DF679" s="549"/>
      <c r="DG679" s="551"/>
      <c r="DH679" s="1276"/>
      <c r="DI679" s="121"/>
      <c r="DJ679" s="1169"/>
      <c r="DK679" s="121"/>
      <c r="DL679" s="1171"/>
      <c r="DM679" s="121"/>
      <c r="DN679" s="1169"/>
      <c r="DO679" s="121"/>
      <c r="DP679" s="288"/>
      <c r="DQ679" s="289"/>
      <c r="DR679" s="1168"/>
      <c r="DS679" s="865"/>
      <c r="DT679" s="1171"/>
      <c r="DU679" s="121"/>
      <c r="DV679" s="1169"/>
      <c r="DW679" s="121"/>
      <c r="DX679" s="1171"/>
      <c r="DY679" s="121"/>
      <c r="DZ679" s="1169"/>
      <c r="EA679" s="121"/>
      <c r="EB679" s="304"/>
      <c r="EC679" s="312"/>
      <c r="ED679" s="1169"/>
      <c r="EE679" s="1169"/>
      <c r="EF679" s="1169"/>
      <c r="EG679" s="1169"/>
      <c r="EH679" s="1169"/>
      <c r="EI679" s="1169"/>
      <c r="EJ679" s="1169"/>
      <c r="EK679" s="1169"/>
      <c r="EL679" s="304"/>
      <c r="EM679" s="312"/>
      <c r="EN679" s="309"/>
      <c r="EO679" s="1170"/>
      <c r="EP679" s="1169"/>
      <c r="EQ679" s="1169"/>
      <c r="ER679" s="1169"/>
      <c r="ES679" s="1169"/>
      <c r="ET679" s="1171"/>
      <c r="EU679" s="1169"/>
      <c r="EV679" s="1169"/>
      <c r="EW679" s="1169"/>
      <c r="EX679" s="312"/>
      <c r="EY679" s="312"/>
      <c r="EZ679" s="1171"/>
      <c r="FA679" s="1169"/>
      <c r="FB679" s="1169"/>
      <c r="FC679" s="1169"/>
      <c r="FD679" s="1171"/>
      <c r="FE679" s="1169"/>
      <c r="FF679" s="1169"/>
      <c r="FG679" s="1169"/>
      <c r="FH679" s="312"/>
      <c r="FI679" s="312"/>
      <c r="FJ679" s="1170"/>
    </row>
    <row r="680" spans="1:166" s="1780" customFormat="1" ht="15" hidden="1" customHeight="1">
      <c r="A680" s="1363" t="s">
        <v>1020</v>
      </c>
      <c r="B680" s="1364">
        <v>165</v>
      </c>
      <c r="C680" s="1364">
        <v>55</v>
      </c>
      <c r="D680" s="1364"/>
      <c r="E680" s="1365" t="s">
        <v>2093</v>
      </c>
      <c r="F680" s="1366" t="s">
        <v>2348</v>
      </c>
      <c r="G680" s="1367">
        <v>2008</v>
      </c>
      <c r="H680" s="1363">
        <v>18339410</v>
      </c>
      <c r="I680" s="1363">
        <v>1</v>
      </c>
      <c r="J680" s="1363">
        <v>1</v>
      </c>
      <c r="K680" s="1363"/>
      <c r="L680" s="1363">
        <v>1</v>
      </c>
      <c r="M680" s="1363"/>
      <c r="N680" s="1368">
        <v>1</v>
      </c>
      <c r="O680" s="1369">
        <v>2</v>
      </c>
      <c r="P680" s="1363" t="s">
        <v>1697</v>
      </c>
      <c r="Q680" s="1363" t="s">
        <v>1417</v>
      </c>
      <c r="R680" s="1363" t="s">
        <v>1127</v>
      </c>
      <c r="S680" s="1363"/>
      <c r="T680" s="1363" t="s">
        <v>1541</v>
      </c>
      <c r="U680" s="1363"/>
      <c r="V680" s="1363"/>
      <c r="W680" s="1363" t="s">
        <v>1416</v>
      </c>
      <c r="X680" s="1363"/>
      <c r="Y680" s="1363"/>
      <c r="Z680" s="1363"/>
      <c r="AA680" s="1363"/>
      <c r="AB680" s="1363"/>
      <c r="AC680" s="1370"/>
      <c r="AD680" s="1371">
        <v>1</v>
      </c>
      <c r="AE680" s="1371">
        <v>2</v>
      </c>
      <c r="AF680" s="1372">
        <v>1</v>
      </c>
      <c r="AG680" s="1373" t="s">
        <v>8165</v>
      </c>
      <c r="AH680" s="1374"/>
      <c r="AI680" s="1370">
        <v>4</v>
      </c>
      <c r="AJ680" s="1375"/>
      <c r="AK680" s="1376" t="s">
        <v>8127</v>
      </c>
      <c r="AL680" s="1377" t="s">
        <v>7948</v>
      </c>
      <c r="AM680" s="1378" t="s">
        <v>5061</v>
      </c>
      <c r="AN680" s="1370">
        <f>Table66[[#This Row],[Data_Subjects_n_ptsd]]+Table66[[#This Row],[Data_Subjects_n_control]]</f>
        <v>16</v>
      </c>
      <c r="AO680" s="1370">
        <v>8</v>
      </c>
      <c r="AP680" s="1370">
        <f>8</f>
        <v>8</v>
      </c>
      <c r="AQ680" s="1370" t="s">
        <v>803</v>
      </c>
      <c r="AR680" s="1385" t="s">
        <v>803</v>
      </c>
      <c r="AS680" s="1385" t="s">
        <v>2468</v>
      </c>
      <c r="AT680" s="1385" t="s">
        <v>24</v>
      </c>
      <c r="AU680" s="1385" t="s">
        <v>2468</v>
      </c>
      <c r="AV680" s="1385" t="s">
        <v>24</v>
      </c>
      <c r="AW680" s="1385" t="s">
        <v>7942</v>
      </c>
      <c r="AX680" s="1370">
        <v>10</v>
      </c>
      <c r="AY680" s="1370">
        <v>0.8</v>
      </c>
      <c r="AZ680" s="1370" t="s">
        <v>1814</v>
      </c>
      <c r="BA680" s="1370">
        <v>1</v>
      </c>
      <c r="BB680" s="1370" t="s">
        <v>5083</v>
      </c>
      <c r="BC680" s="1370" t="s">
        <v>5068</v>
      </c>
      <c r="BD680" s="1370" t="s">
        <v>7523</v>
      </c>
      <c r="BE680" s="1370"/>
      <c r="BF680" s="1370" t="s">
        <v>2912</v>
      </c>
      <c r="BG680" s="1370" t="s">
        <v>5062</v>
      </c>
      <c r="BH680" s="1379"/>
      <c r="BI680" s="1379"/>
      <c r="BJ680" s="1380"/>
      <c r="BK680" s="1380" t="s">
        <v>5086</v>
      </c>
      <c r="BL680" s="1380"/>
      <c r="BM680" s="1380"/>
      <c r="BN680" s="1380"/>
      <c r="BO680" s="1380"/>
      <c r="BP680" s="1380">
        <v>1</v>
      </c>
      <c r="BQ680" s="1380"/>
      <c r="BR680" s="1380"/>
      <c r="BS680" s="1380"/>
      <c r="BT680" s="1380"/>
      <c r="BU680" s="1380"/>
      <c r="BV680" s="1380"/>
      <c r="BW680" s="1381" t="s">
        <v>7356</v>
      </c>
      <c r="BX680" s="1382" t="s">
        <v>6657</v>
      </c>
      <c r="BY680" s="1383" t="s">
        <v>7613</v>
      </c>
      <c r="BZ680" s="1384" t="s">
        <v>803</v>
      </c>
      <c r="CA680" s="1404">
        <v>1</v>
      </c>
      <c r="CB680" s="1404" t="s">
        <v>7556</v>
      </c>
      <c r="CC680" s="1404" t="s">
        <v>7380</v>
      </c>
      <c r="CD680" s="1385" t="s">
        <v>1876</v>
      </c>
      <c r="CE680" s="1385" t="s">
        <v>5087</v>
      </c>
      <c r="CF680" s="1385" t="s">
        <v>7579</v>
      </c>
      <c r="CG680" s="1385" t="s">
        <v>5063</v>
      </c>
      <c r="CH680" s="753" t="s">
        <v>7310</v>
      </c>
      <c r="CI680" s="1385" t="s">
        <v>5066</v>
      </c>
      <c r="CJ680" s="1385">
        <v>1</v>
      </c>
      <c r="CK680" s="1385" t="s">
        <v>7946</v>
      </c>
      <c r="CL680" s="150" t="s">
        <v>8303</v>
      </c>
      <c r="CM680" s="1386" t="s">
        <v>5098</v>
      </c>
      <c r="CN680" s="1387" t="s">
        <v>6627</v>
      </c>
      <c r="CO680" s="1388">
        <v>50</v>
      </c>
      <c r="CP680" s="1388">
        <v>1</v>
      </c>
      <c r="CQ680" s="1388">
        <v>3</v>
      </c>
      <c r="CR680" s="1388">
        <v>1</v>
      </c>
      <c r="CS680" s="1388">
        <v>1</v>
      </c>
      <c r="CT680" s="1389"/>
      <c r="CU680" s="1390" t="s">
        <v>8104</v>
      </c>
      <c r="CV680" s="1391">
        <v>103</v>
      </c>
      <c r="CW680" s="1391">
        <v>95</v>
      </c>
      <c r="CX680" s="1392" t="s">
        <v>5091</v>
      </c>
      <c r="CY680" s="1385">
        <v>25.6876</v>
      </c>
      <c r="CZ680" s="1393" t="s">
        <v>24</v>
      </c>
      <c r="DA680" s="1385">
        <f>34.6131-Table66[[#This Row],[Data_Outcome1_M]]</f>
        <v>8.9255000000000031</v>
      </c>
      <c r="DB680" s="1392" t="s">
        <v>5094</v>
      </c>
      <c r="DC680" s="1385">
        <v>0</v>
      </c>
      <c r="DD680" s="1385" t="s">
        <v>24</v>
      </c>
      <c r="DE680" s="1385">
        <v>0</v>
      </c>
      <c r="DF680" s="1394" t="s">
        <v>5099</v>
      </c>
      <c r="DG680" s="1395" t="s">
        <v>5097</v>
      </c>
      <c r="DH680" s="1396"/>
      <c r="DI680" s="1397"/>
      <c r="DJ680" s="1397"/>
      <c r="DK680" s="1397"/>
      <c r="DL680" s="1396"/>
      <c r="DM680" s="1397"/>
      <c r="DN680" s="1397"/>
      <c r="DO680" s="1397"/>
      <c r="DP680" s="1394"/>
      <c r="DQ680" s="1395"/>
      <c r="DR680" s="1398"/>
      <c r="DS680" s="1399"/>
      <c r="DT680" s="1396"/>
      <c r="DU680" s="1397"/>
      <c r="DV680" s="1397"/>
      <c r="DW680" s="1397"/>
      <c r="DX680" s="1396"/>
      <c r="DY680" s="1397"/>
      <c r="DZ680" s="1397"/>
      <c r="EA680" s="1397"/>
      <c r="EB680" s="1400"/>
      <c r="EC680" s="1401"/>
      <c r="ED680" s="1397"/>
      <c r="EE680" s="1397"/>
      <c r="EF680" s="1397"/>
      <c r="EG680" s="1397"/>
      <c r="EH680" s="1397"/>
      <c r="EI680" s="1397"/>
      <c r="EJ680" s="1397"/>
      <c r="EK680" s="1397"/>
      <c r="EL680" s="1400"/>
      <c r="EM680" s="1401"/>
      <c r="EN680" s="1398"/>
      <c r="EO680" s="1402"/>
      <c r="EP680" s="1397"/>
      <c r="EQ680" s="1397"/>
      <c r="ER680" s="1397"/>
      <c r="ES680" s="1397"/>
      <c r="ET680" s="1396"/>
      <c r="EU680" s="1397"/>
      <c r="EV680" s="1397"/>
      <c r="EW680" s="1397"/>
      <c r="EX680" s="1401"/>
      <c r="EY680" s="1401"/>
      <c r="EZ680" s="1396"/>
      <c r="FA680" s="1397"/>
      <c r="FB680" s="1397"/>
      <c r="FC680" s="1397"/>
      <c r="FD680" s="1396"/>
      <c r="FE680" s="1397"/>
      <c r="FF680" s="1397"/>
      <c r="FG680" s="1397"/>
      <c r="FH680" s="1401"/>
      <c r="FI680" s="1401"/>
      <c r="FJ680" s="1402"/>
    </row>
    <row r="681" spans="1:166" ht="15" hidden="1" customHeight="1">
      <c r="A681" s="79" t="s">
        <v>1020</v>
      </c>
      <c r="B681" s="362">
        <v>165</v>
      </c>
      <c r="C681" s="362">
        <v>55</v>
      </c>
      <c r="D681" s="362"/>
      <c r="E681" s="604" t="s">
        <v>2093</v>
      </c>
      <c r="F681" s="124" t="s">
        <v>2348</v>
      </c>
      <c r="G681" s="125">
        <v>2008</v>
      </c>
      <c r="H681" s="79">
        <v>18339410</v>
      </c>
      <c r="I681" s="79">
        <v>1</v>
      </c>
      <c r="J681" s="126">
        <v>1</v>
      </c>
      <c r="K681" s="127"/>
      <c r="L681" s="79">
        <v>1</v>
      </c>
      <c r="M681" s="79"/>
      <c r="N681" s="153">
        <v>1</v>
      </c>
      <c r="O681" s="128">
        <v>2</v>
      </c>
      <c r="P681" s="79" t="s">
        <v>1697</v>
      </c>
      <c r="Q681" s="79" t="s">
        <v>1417</v>
      </c>
      <c r="R681" s="79" t="s">
        <v>1127</v>
      </c>
      <c r="S681" s="79"/>
      <c r="T681" s="79" t="s">
        <v>1541</v>
      </c>
      <c r="U681" s="79"/>
      <c r="V681" s="79"/>
      <c r="W681" s="79" t="s">
        <v>1416</v>
      </c>
      <c r="X681" s="79"/>
      <c r="Y681" s="79"/>
      <c r="Z681" s="79"/>
      <c r="AA681" s="79"/>
      <c r="AB681" s="79"/>
      <c r="AC681" s="506"/>
      <c r="AD681" s="573">
        <v>1</v>
      </c>
      <c r="AE681" s="573">
        <v>2</v>
      </c>
      <c r="AF681" s="154">
        <v>1</v>
      </c>
      <c r="AG681" s="1373" t="s">
        <v>8165</v>
      </c>
      <c r="AH681" s="704"/>
      <c r="AI681" s="121">
        <v>4</v>
      </c>
      <c r="AJ681" s="484"/>
      <c r="AK681" s="202" t="s">
        <v>5064</v>
      </c>
      <c r="AL681" s="192" t="s">
        <v>7948</v>
      </c>
      <c r="AM681" s="203" t="s">
        <v>5061</v>
      </c>
      <c r="AN681" s="121">
        <f>Table66[[#This Row],[Data_Subjects_n_ptsd]]+Table66[[#This Row],[Data_Subjects_n_control]]</f>
        <v>16</v>
      </c>
      <c r="AO681" s="121">
        <v>8</v>
      </c>
      <c r="AP681" s="121">
        <f>8</f>
        <v>8</v>
      </c>
      <c r="AQ681" s="121" t="s">
        <v>803</v>
      </c>
      <c r="AR681" s="134" t="s">
        <v>803</v>
      </c>
      <c r="AS681" s="134" t="s">
        <v>2468</v>
      </c>
      <c r="AT681" s="134" t="s">
        <v>24</v>
      </c>
      <c r="AU681" s="134" t="s">
        <v>2468</v>
      </c>
      <c r="AV681" s="134" t="s">
        <v>24</v>
      </c>
      <c r="AW681" s="134" t="s">
        <v>7943</v>
      </c>
      <c r="AX681" s="121">
        <v>10</v>
      </c>
      <c r="AY681" s="121">
        <v>3</v>
      </c>
      <c r="AZ681" s="754" t="s">
        <v>1814</v>
      </c>
      <c r="BA681" s="121">
        <v>1</v>
      </c>
      <c r="BB681" s="121" t="s">
        <v>5083</v>
      </c>
      <c r="BC681" s="121" t="s">
        <v>5068</v>
      </c>
      <c r="BD681" s="754" t="s">
        <v>7523</v>
      </c>
      <c r="BE681" s="754"/>
      <c r="BF681" s="121" t="s">
        <v>2912</v>
      </c>
      <c r="BG681" s="121" t="s">
        <v>5062</v>
      </c>
      <c r="BH681" s="594"/>
      <c r="BI681" s="594"/>
      <c r="BJ681" s="156"/>
      <c r="BK681" s="156" t="s">
        <v>5086</v>
      </c>
      <c r="BL681" s="156"/>
      <c r="BM681" s="156"/>
      <c r="BN681" s="156"/>
      <c r="BO681" s="156"/>
      <c r="BP681" s="156">
        <v>1</v>
      </c>
      <c r="BQ681" s="156"/>
      <c r="BR681" s="156"/>
      <c r="BS681" s="156"/>
      <c r="BT681" s="156"/>
      <c r="BU681" s="156"/>
      <c r="BV681" s="156"/>
      <c r="BW681" s="595" t="s">
        <v>7356</v>
      </c>
      <c r="BX681" s="157" t="s">
        <v>6657</v>
      </c>
      <c r="BY681" s="797" t="s">
        <v>7613</v>
      </c>
      <c r="BZ681" s="789" t="s">
        <v>803</v>
      </c>
      <c r="CA681" s="765">
        <v>1</v>
      </c>
      <c r="CB681" s="765" t="s">
        <v>7556</v>
      </c>
      <c r="CC681" s="772" t="s">
        <v>7380</v>
      </c>
      <c r="CD681" s="134" t="s">
        <v>1876</v>
      </c>
      <c r="CE681" s="134" t="s">
        <v>5087</v>
      </c>
      <c r="CF681" s="400" t="s">
        <v>7579</v>
      </c>
      <c r="CG681" s="134" t="s">
        <v>5063</v>
      </c>
      <c r="CH681" s="753" t="s">
        <v>7310</v>
      </c>
      <c r="CI681" s="134" t="s">
        <v>5066</v>
      </c>
      <c r="CJ681" s="134">
        <v>1</v>
      </c>
      <c r="CK681" s="134" t="s">
        <v>7946</v>
      </c>
      <c r="CL681" s="150" t="s">
        <v>8303</v>
      </c>
      <c r="CM681" s="471" t="s">
        <v>5098</v>
      </c>
      <c r="CN681" s="624" t="s">
        <v>6627</v>
      </c>
      <c r="CO681" s="832">
        <v>50</v>
      </c>
      <c r="CP681" s="832">
        <v>1</v>
      </c>
      <c r="CQ681" s="832">
        <v>4</v>
      </c>
      <c r="CR681" s="832">
        <v>1</v>
      </c>
      <c r="CS681" s="832">
        <v>1</v>
      </c>
      <c r="CT681" s="973"/>
      <c r="CU681" s="1289" t="s">
        <v>8104</v>
      </c>
      <c r="CV681" s="1295">
        <v>104</v>
      </c>
      <c r="CW681" s="1391">
        <v>95</v>
      </c>
      <c r="CX681" s="138" t="s">
        <v>5092</v>
      </c>
      <c r="CY681" s="134">
        <v>43.852200000000003</v>
      </c>
      <c r="CZ681" s="168" t="s">
        <v>24</v>
      </c>
      <c r="DA681" s="134">
        <f>48.5679-Table66[[#This Row],[Data_Outcome1_M]]</f>
        <v>4.7156999999999982</v>
      </c>
      <c r="DB681" s="138" t="s">
        <v>5094</v>
      </c>
      <c r="DC681" s="134">
        <v>0</v>
      </c>
      <c r="DD681" s="134" t="s">
        <v>24</v>
      </c>
      <c r="DE681" s="134">
        <v>0</v>
      </c>
      <c r="DF681" s="288" t="s">
        <v>7947</v>
      </c>
      <c r="DG681" s="289"/>
      <c r="DH681" s="1175"/>
      <c r="DI681" s="417"/>
      <c r="DJ681" s="1169"/>
      <c r="DK681" s="417"/>
      <c r="DL681" s="1171"/>
      <c r="DM681" s="417"/>
      <c r="DN681" s="1169"/>
      <c r="DO681" s="1151"/>
      <c r="DP681" s="288"/>
      <c r="DQ681" s="441"/>
      <c r="DR681" s="1168"/>
      <c r="DS681" s="865"/>
      <c r="DT681" s="1171"/>
      <c r="DU681" s="417"/>
      <c r="DV681" s="1169"/>
      <c r="DW681" s="417"/>
      <c r="DX681" s="1171"/>
      <c r="DY681" s="417"/>
      <c r="DZ681" s="1169"/>
      <c r="EA681" s="417"/>
      <c r="EB681" s="304"/>
      <c r="EC681" s="312"/>
      <c r="ED681" s="1169"/>
      <c r="EE681" s="417"/>
      <c r="EF681" s="1169"/>
      <c r="EG681" s="417"/>
      <c r="EH681" s="1169"/>
      <c r="EI681" s="417"/>
      <c r="EJ681" s="1169"/>
      <c r="EK681" s="417"/>
      <c r="EL681" s="304"/>
      <c r="EM681" s="312"/>
      <c r="EN681" s="309"/>
      <c r="EO681" s="1170"/>
      <c r="EP681" s="417"/>
      <c r="EQ681" s="417"/>
      <c r="ER681" s="417"/>
      <c r="ES681" s="417"/>
      <c r="ET681" s="1155"/>
      <c r="EU681" s="417"/>
      <c r="EV681" s="417"/>
      <c r="EW681" s="417"/>
      <c r="EX681" s="469"/>
      <c r="EY681" s="469"/>
      <c r="EZ681" s="1171"/>
      <c r="FA681" s="1169"/>
      <c r="FB681" s="1169"/>
      <c r="FC681" s="1169"/>
      <c r="FD681" s="1171"/>
      <c r="FE681" s="1169"/>
      <c r="FF681" s="1169"/>
      <c r="FG681" s="1169"/>
      <c r="FH681" s="312"/>
      <c r="FI681" s="312"/>
      <c r="FJ681" s="1170"/>
    </row>
    <row r="682" spans="1:166" ht="15" hidden="1" customHeight="1">
      <c r="A682" s="153" t="s">
        <v>965</v>
      </c>
      <c r="B682" s="1097">
        <v>234</v>
      </c>
      <c r="C682" s="1097">
        <v>85</v>
      </c>
      <c r="D682" s="1097"/>
      <c r="E682" s="1098" t="s">
        <v>2120</v>
      </c>
      <c r="F682" s="1021" t="s">
        <v>2381</v>
      </c>
      <c r="G682" s="1099">
        <v>2014</v>
      </c>
      <c r="H682" s="153">
        <v>24975424</v>
      </c>
      <c r="I682" s="153">
        <v>1</v>
      </c>
      <c r="J682" s="153" t="s">
        <v>1788</v>
      </c>
      <c r="K682" s="153" t="s">
        <v>23</v>
      </c>
      <c r="L682" s="153">
        <v>1</v>
      </c>
      <c r="M682" s="153"/>
      <c r="N682" s="153">
        <v>1</v>
      </c>
      <c r="O682" s="153">
        <v>2</v>
      </c>
      <c r="P682" s="153" t="s">
        <v>1398</v>
      </c>
      <c r="Q682" s="153" t="s">
        <v>1216</v>
      </c>
      <c r="R682" s="153" t="s">
        <v>1127</v>
      </c>
      <c r="S682" s="153"/>
      <c r="T682" s="153" t="s">
        <v>1487</v>
      </c>
      <c r="U682" s="153" t="s">
        <v>803</v>
      </c>
      <c r="V682" s="153"/>
      <c r="W682" s="153" t="s">
        <v>1599</v>
      </c>
      <c r="X682" s="153"/>
      <c r="Y682" s="153" t="s">
        <v>1132</v>
      </c>
      <c r="Z682" s="153"/>
      <c r="AA682" s="153" t="s">
        <v>1598</v>
      </c>
      <c r="AB682" s="153"/>
      <c r="AC682" s="536"/>
      <c r="AD682" s="536">
        <v>1</v>
      </c>
      <c r="AE682" s="536">
        <v>2</v>
      </c>
      <c r="AF682" s="576">
        <v>0</v>
      </c>
      <c r="AG682" s="577" t="s">
        <v>8067</v>
      </c>
      <c r="AH682" s="509"/>
      <c r="AI682" s="509">
        <v>4</v>
      </c>
      <c r="AJ682" s="509" t="s">
        <v>5875</v>
      </c>
      <c r="AK682" s="512"/>
      <c r="AL682" s="513" t="s">
        <v>5860</v>
      </c>
      <c r="AM682" s="514"/>
      <c r="AN682" s="509">
        <f>Table66[[#This Row],[Data_Subjects_n_ptsd]]+Table66[[#This Row],[Data_Subjects_n_control]]</f>
        <v>32</v>
      </c>
      <c r="AO682" s="509">
        <v>16</v>
      </c>
      <c r="AP682" s="509">
        <v>16</v>
      </c>
      <c r="AQ682" s="509" t="s">
        <v>803</v>
      </c>
      <c r="AR682" s="509" t="s">
        <v>803</v>
      </c>
      <c r="AS682" s="734" t="s">
        <v>7506</v>
      </c>
      <c r="AT682" s="509" t="s">
        <v>24</v>
      </c>
      <c r="AU682" s="734" t="s">
        <v>7506</v>
      </c>
      <c r="AV682" s="509" t="s">
        <v>24</v>
      </c>
      <c r="AW682" s="509" t="s">
        <v>5830</v>
      </c>
      <c r="AX682" s="509"/>
      <c r="AY682" s="509"/>
      <c r="AZ682" s="755" t="s">
        <v>1487</v>
      </c>
      <c r="BA682" s="509">
        <v>1</v>
      </c>
      <c r="BB682" s="509">
        <v>1</v>
      </c>
      <c r="BC682" s="509" t="s">
        <v>5831</v>
      </c>
      <c r="BD682" s="755" t="s">
        <v>7526</v>
      </c>
      <c r="BE682" s="755"/>
      <c r="BF682" s="509" t="s">
        <v>1130</v>
      </c>
      <c r="BG682" s="509" t="s">
        <v>4508</v>
      </c>
      <c r="BH682" s="513"/>
      <c r="BI682" s="513"/>
      <c r="BJ682" s="511"/>
      <c r="BK682" s="511"/>
      <c r="BL682" s="511"/>
      <c r="BM682" s="511"/>
      <c r="BN682" s="511"/>
      <c r="BO682" s="511"/>
      <c r="BP682" s="511">
        <v>1</v>
      </c>
      <c r="BQ682" s="511"/>
      <c r="BR682" s="511"/>
      <c r="BS682" s="511"/>
      <c r="BT682" s="511"/>
      <c r="BU682" s="511"/>
      <c r="BV682" s="511"/>
      <c r="BW682" s="511" t="s">
        <v>5832</v>
      </c>
      <c r="BX682" s="510" t="s">
        <v>6657</v>
      </c>
      <c r="BY682" s="799" t="s">
        <v>7613</v>
      </c>
      <c r="BZ682" s="510" t="s">
        <v>803</v>
      </c>
      <c r="CA682" s="511">
        <v>1</v>
      </c>
      <c r="CB682" s="511" t="s">
        <v>7556</v>
      </c>
      <c r="CC682" s="781" t="s">
        <v>7380</v>
      </c>
      <c r="CD682" s="509" t="s">
        <v>1876</v>
      </c>
      <c r="CE682" s="509" t="s">
        <v>5856</v>
      </c>
      <c r="CF682" s="786" t="s">
        <v>7589</v>
      </c>
      <c r="CG682" s="509" t="s">
        <v>5833</v>
      </c>
      <c r="CH682" s="755" t="s">
        <v>7354</v>
      </c>
      <c r="CI682" s="509" t="s">
        <v>5829</v>
      </c>
      <c r="CJ682" s="509"/>
      <c r="CK682" s="509" t="s">
        <v>5834</v>
      </c>
      <c r="CL682" s="509"/>
      <c r="CM682" s="515" t="s">
        <v>5852</v>
      </c>
      <c r="CN682" s="621" t="s">
        <v>6627</v>
      </c>
      <c r="CO682" s="621"/>
      <c r="CP682" s="621"/>
      <c r="CQ682" s="621"/>
      <c r="CR682" s="621"/>
      <c r="CS682" s="621"/>
      <c r="CT682" s="621"/>
      <c r="CU682" s="621"/>
      <c r="CV682" s="621"/>
      <c r="CW682" s="621"/>
      <c r="CX682" s="510" t="s">
        <v>5842</v>
      </c>
      <c r="CY682" s="509">
        <v>3.7082600000000001</v>
      </c>
      <c r="CZ682" s="509" t="s">
        <v>24</v>
      </c>
      <c r="DA682" s="509">
        <f>5.41246-Table66[[#This Row],[Data_Outcome1_M]]</f>
        <v>1.7042000000000002</v>
      </c>
      <c r="DB682" s="510" t="s">
        <v>5843</v>
      </c>
      <c r="DC682" s="509">
        <v>2.8119700000000001</v>
      </c>
      <c r="DD682" s="509" t="s">
        <v>24</v>
      </c>
      <c r="DE682" s="509">
        <f>3.81436-Table66[[#This Row],[Data_Outcome2_M]]</f>
        <v>1.0023900000000001</v>
      </c>
      <c r="DF682" s="515" t="s">
        <v>8066</v>
      </c>
      <c r="DG682" s="513" t="s">
        <v>2480</v>
      </c>
      <c r="DH682" s="956"/>
      <c r="DI682" s="1194"/>
      <c r="DJ682" s="1194"/>
      <c r="DK682" s="1194"/>
      <c r="DL682" s="956"/>
      <c r="DM682" s="1194"/>
      <c r="DN682" s="1194"/>
      <c r="DO682" s="1194"/>
      <c r="DP682" s="515"/>
      <c r="DQ682" s="513"/>
      <c r="DR682" s="1182"/>
      <c r="DS682" s="956"/>
      <c r="DT682" s="956"/>
      <c r="DU682" s="1194"/>
      <c r="DV682" s="1194"/>
      <c r="DW682" s="1194"/>
      <c r="DX682" s="956"/>
      <c r="DY682" s="1194"/>
      <c r="DZ682" s="1194"/>
      <c r="EA682" s="1194"/>
      <c r="EB682" s="1182"/>
      <c r="EC682" s="1194"/>
      <c r="ED682" s="956"/>
      <c r="EE682" s="1194"/>
      <c r="EF682" s="1194"/>
      <c r="EG682" s="1194"/>
      <c r="EH682" s="956"/>
      <c r="EI682" s="1194"/>
      <c r="EJ682" s="1194"/>
      <c r="EK682" s="1194"/>
      <c r="EL682" s="1182"/>
      <c r="EM682" s="1194"/>
      <c r="EN682" s="1182"/>
      <c r="EO682" s="1194"/>
      <c r="EP682" s="956"/>
      <c r="EQ682" s="1194"/>
      <c r="ER682" s="1194"/>
      <c r="ES682" s="1194"/>
      <c r="ET682" s="956"/>
      <c r="EU682" s="1194"/>
      <c r="EV682" s="1194"/>
      <c r="EW682" s="1194"/>
      <c r="EX682" s="1194"/>
      <c r="EY682" s="1194"/>
      <c r="EZ682" s="956"/>
      <c r="FA682" s="1194"/>
      <c r="FB682" s="1194"/>
      <c r="FC682" s="1194"/>
      <c r="FD682" s="956"/>
      <c r="FE682" s="1194"/>
      <c r="FF682" s="1194"/>
      <c r="FG682" s="1194"/>
      <c r="FH682" s="1194"/>
      <c r="FI682" s="1194"/>
      <c r="FJ682" s="1194"/>
    </row>
    <row r="683" spans="1:166" s="1780" customFormat="1" ht="15" hidden="1" customHeight="1">
      <c r="A683" s="1025" t="s">
        <v>999</v>
      </c>
      <c r="B683" s="1026">
        <v>186</v>
      </c>
      <c r="C683" s="1026">
        <v>65</v>
      </c>
      <c r="D683" s="1026"/>
      <c r="E683" s="1027" t="s">
        <v>2103</v>
      </c>
      <c r="F683" s="1028" t="s">
        <v>2359</v>
      </c>
      <c r="G683" s="1029">
        <v>2015</v>
      </c>
      <c r="H683" s="1025">
        <v>26066724</v>
      </c>
      <c r="I683" s="1025">
        <v>1</v>
      </c>
      <c r="J683" s="1025"/>
      <c r="K683" s="1025"/>
      <c r="L683" s="1025">
        <v>1</v>
      </c>
      <c r="M683" s="1025"/>
      <c r="N683" s="1025">
        <v>1</v>
      </c>
      <c r="O683" s="1030">
        <v>2</v>
      </c>
      <c r="P683" s="1025" t="s">
        <v>73</v>
      </c>
      <c r="Q683" s="1025" t="s">
        <v>1216</v>
      </c>
      <c r="R683" s="1025" t="s">
        <v>1138</v>
      </c>
      <c r="S683" s="1025"/>
      <c r="T683" s="1025" t="s">
        <v>1495</v>
      </c>
      <c r="U683" s="1025" t="s">
        <v>803</v>
      </c>
      <c r="V683" s="1025"/>
      <c r="W683" s="1025" t="s">
        <v>1511</v>
      </c>
      <c r="X683" s="1025"/>
      <c r="Y683" s="1025"/>
      <c r="Z683" s="1025"/>
      <c r="AA683" s="1025"/>
      <c r="AB683" s="1025"/>
      <c r="AC683" s="1031"/>
      <c r="AD683" s="1032">
        <v>1</v>
      </c>
      <c r="AE683" s="1032">
        <v>2</v>
      </c>
      <c r="AF683" s="1787">
        <v>1</v>
      </c>
      <c r="AG683" s="1034" t="s">
        <v>8100</v>
      </c>
      <c r="AH683" s="1035"/>
      <c r="AI683" s="1031">
        <v>5</v>
      </c>
      <c r="AJ683" s="1036"/>
      <c r="AK683" s="1037" t="s">
        <v>5297</v>
      </c>
      <c r="AL683" s="192" t="s">
        <v>3099</v>
      </c>
      <c r="AM683" s="1038">
        <v>0</v>
      </c>
      <c r="AN683" s="121">
        <f>Table66[[#This Row],[Data_Subjects_n_ptsd]]+Table66[[#This Row],[Data_Subjects_n_control]]</f>
        <v>15</v>
      </c>
      <c r="AO683" s="121">
        <f>(7+8)/2</f>
        <v>7.5</v>
      </c>
      <c r="AP683" s="121">
        <f>(7+8)/2</f>
        <v>7.5</v>
      </c>
      <c r="AQ683" s="1031" t="s">
        <v>803</v>
      </c>
      <c r="AR683" s="1031" t="s">
        <v>803</v>
      </c>
      <c r="AS683" s="1031" t="s">
        <v>5257</v>
      </c>
      <c r="AT683" s="1031" t="s">
        <v>24</v>
      </c>
      <c r="AU683" s="1031" t="s">
        <v>5257</v>
      </c>
      <c r="AV683" s="1031" t="s">
        <v>24</v>
      </c>
      <c r="AW683" s="1039" t="s">
        <v>5265</v>
      </c>
      <c r="AX683" s="1039"/>
      <c r="AY683" s="1039"/>
      <c r="AZ683" s="1039" t="s">
        <v>7650</v>
      </c>
      <c r="BA683" s="1031" t="s">
        <v>5259</v>
      </c>
      <c r="BB683" s="1031" t="s">
        <v>5259</v>
      </c>
      <c r="BC683" s="1031" t="s">
        <v>5266</v>
      </c>
      <c r="BD683" s="1031" t="s">
        <v>7525</v>
      </c>
      <c r="BE683" s="1031"/>
      <c r="BF683" s="1031" t="s">
        <v>5258</v>
      </c>
      <c r="BG683" s="1031" t="s">
        <v>5267</v>
      </c>
      <c r="BH683" s="1040"/>
      <c r="BI683" s="1040"/>
      <c r="BJ683" s="1041"/>
      <c r="BK683" s="1041"/>
      <c r="BL683" s="1041"/>
      <c r="BM683" s="1041"/>
      <c r="BN683" s="1041"/>
      <c r="BO683" s="1041"/>
      <c r="BP683" s="1041">
        <v>1</v>
      </c>
      <c r="BQ683" s="1041"/>
      <c r="BR683" s="1041"/>
      <c r="BS683" s="1041"/>
      <c r="BT683" s="1041"/>
      <c r="BU683" s="1041"/>
      <c r="BV683" s="1041"/>
      <c r="BW683" s="1042" t="s">
        <v>5271</v>
      </c>
      <c r="BX683" s="1043" t="s">
        <v>6612</v>
      </c>
      <c r="BY683" s="1044" t="s">
        <v>7617</v>
      </c>
      <c r="BZ683" s="1045" t="s">
        <v>803</v>
      </c>
      <c r="CA683" s="1046">
        <v>2</v>
      </c>
      <c r="CB683" s="1046" t="s">
        <v>7556</v>
      </c>
      <c r="CC683" s="1852" t="s">
        <v>7380</v>
      </c>
      <c r="CD683" s="1047" t="s">
        <v>1876</v>
      </c>
      <c r="CE683" s="1047" t="s">
        <v>5264</v>
      </c>
      <c r="CF683" s="1047" t="s">
        <v>7597</v>
      </c>
      <c r="CG683" s="1047" t="s">
        <v>5261</v>
      </c>
      <c r="CH683" s="1047" t="s">
        <v>1511</v>
      </c>
      <c r="CI683" s="1047" t="s">
        <v>5260</v>
      </c>
      <c r="CJ683" s="1047"/>
      <c r="CK683" s="1047" t="s">
        <v>7980</v>
      </c>
      <c r="CL683" s="1047" t="s">
        <v>8217</v>
      </c>
      <c r="CM683" s="1048" t="s">
        <v>5296</v>
      </c>
      <c r="CN683" s="1049" t="s">
        <v>24</v>
      </c>
      <c r="CO683" s="1050">
        <v>58</v>
      </c>
      <c r="CP683" s="1050">
        <v>1</v>
      </c>
      <c r="CQ683" s="1050">
        <v>3</v>
      </c>
      <c r="CR683" s="1050">
        <v>1</v>
      </c>
      <c r="CS683" s="1050">
        <v>1</v>
      </c>
      <c r="CT683" s="1051" t="s">
        <v>7979</v>
      </c>
      <c r="CU683" s="1289" t="s">
        <v>8104</v>
      </c>
      <c r="CV683" s="1295">
        <v>142</v>
      </c>
      <c r="CW683" s="1295">
        <v>133</v>
      </c>
      <c r="CX683" s="1047" t="s">
        <v>5272</v>
      </c>
      <c r="CY683" s="1047">
        <v>0.65073999999999999</v>
      </c>
      <c r="CZ683" s="1047" t="s">
        <v>24</v>
      </c>
      <c r="DA683" s="1047">
        <f>0.689821-Table66[[#This Row],[Data_Outcome1_M]]</f>
        <v>3.9081000000000032E-2</v>
      </c>
      <c r="DB683" s="1052" t="s">
        <v>5274</v>
      </c>
      <c r="DC683" s="1047">
        <v>0.65127400000000002</v>
      </c>
      <c r="DD683" s="1047" t="s">
        <v>24</v>
      </c>
      <c r="DE683" s="1047">
        <f>0.680008-Table66[[#This Row],[Data_Outcome2_M]]</f>
        <v>2.8733999999999926E-2</v>
      </c>
      <c r="DF683" s="1053" t="s">
        <v>5288</v>
      </c>
      <c r="DG683" s="1054" t="s">
        <v>5294</v>
      </c>
      <c r="DH683" s="1280"/>
      <c r="DI683" s="1031"/>
      <c r="DJ683" s="1206"/>
      <c r="DK683" s="1031"/>
      <c r="DL683" s="1209"/>
      <c r="DM683" s="1031"/>
      <c r="DN683" s="1206"/>
      <c r="DO683" s="1031"/>
      <c r="DP683" s="1055"/>
      <c r="DQ683" s="1056"/>
      <c r="DR683" s="1211"/>
      <c r="DS683" s="1212"/>
      <c r="DT683" s="1209"/>
      <c r="DU683" s="1206"/>
      <c r="DV683" s="1206"/>
      <c r="DW683" s="1206"/>
      <c r="DX683" s="1209"/>
      <c r="DY683" s="1206"/>
      <c r="DZ683" s="1206"/>
      <c r="EA683" s="1206"/>
      <c r="EB683" s="1210"/>
      <c r="EC683" s="1207"/>
      <c r="ED683" s="1209"/>
      <c r="EE683" s="1206"/>
      <c r="EF683" s="1206"/>
      <c r="EG683" s="1206"/>
      <c r="EH683" s="1209"/>
      <c r="EI683" s="1206"/>
      <c r="EJ683" s="1206"/>
      <c r="EK683" s="1206"/>
      <c r="EL683" s="1210"/>
      <c r="EM683" s="1207"/>
      <c r="EN683" s="1211"/>
      <c r="EO683" s="1208"/>
      <c r="EP683" s="1206"/>
      <c r="EQ683" s="1206"/>
      <c r="ER683" s="1206"/>
      <c r="ES683" s="1206"/>
      <c r="ET683" s="1206"/>
      <c r="EU683" s="1206"/>
      <c r="EV683" s="1206"/>
      <c r="EW683" s="1206"/>
      <c r="EX683" s="1210"/>
      <c r="EY683" s="1207"/>
      <c r="EZ683" s="1209"/>
      <c r="FA683" s="1206"/>
      <c r="FB683" s="1206"/>
      <c r="FC683" s="1206"/>
      <c r="FD683" s="1209"/>
      <c r="FE683" s="1206"/>
      <c r="FF683" s="1206"/>
      <c r="FG683" s="1206"/>
      <c r="FH683" s="1207"/>
      <c r="FI683" s="1207"/>
      <c r="FJ683" s="1208"/>
    </row>
    <row r="684" spans="1:166" ht="15" hidden="1" customHeight="1">
      <c r="A684" s="1025" t="s">
        <v>999</v>
      </c>
      <c r="B684" s="1026">
        <v>186</v>
      </c>
      <c r="C684" s="1026">
        <v>65</v>
      </c>
      <c r="D684" s="1026"/>
      <c r="E684" s="1027" t="s">
        <v>2103</v>
      </c>
      <c r="F684" s="1028" t="s">
        <v>2359</v>
      </c>
      <c r="G684" s="1029">
        <v>2015</v>
      </c>
      <c r="H684" s="1025">
        <v>26066724</v>
      </c>
      <c r="I684" s="1025">
        <v>1</v>
      </c>
      <c r="J684" s="1025"/>
      <c r="K684" s="1025"/>
      <c r="L684" s="1025">
        <v>1</v>
      </c>
      <c r="M684" s="1025"/>
      <c r="N684" s="1025">
        <v>1</v>
      </c>
      <c r="O684" s="1030">
        <v>2</v>
      </c>
      <c r="P684" s="1025" t="s">
        <v>73</v>
      </c>
      <c r="Q684" s="1025" t="s">
        <v>1216</v>
      </c>
      <c r="R684" s="1025" t="s">
        <v>1138</v>
      </c>
      <c r="S684" s="1025"/>
      <c r="T684" s="1025" t="s">
        <v>1495</v>
      </c>
      <c r="U684" s="1025" t="s">
        <v>803</v>
      </c>
      <c r="V684" s="1025"/>
      <c r="W684" s="1025" t="s">
        <v>1511</v>
      </c>
      <c r="X684" s="1025"/>
      <c r="Y684" s="1025"/>
      <c r="Z684" s="1025"/>
      <c r="AA684" s="1025"/>
      <c r="AB684" s="1025"/>
      <c r="AC684" s="1031"/>
      <c r="AD684" s="1032">
        <v>1</v>
      </c>
      <c r="AE684" s="1032">
        <v>2</v>
      </c>
      <c r="AF684" s="1033">
        <v>1</v>
      </c>
      <c r="AG684" s="1034" t="s">
        <v>8100</v>
      </c>
      <c r="AH684" s="1035"/>
      <c r="AI684" s="1031">
        <v>5</v>
      </c>
      <c r="AJ684" s="1036"/>
      <c r="AK684" s="1037" t="s">
        <v>5297</v>
      </c>
      <c r="AL684" s="192" t="s">
        <v>3099</v>
      </c>
      <c r="AM684" s="1038">
        <v>0</v>
      </c>
      <c r="AN684" s="121">
        <f>Table66[[#This Row],[Data_Subjects_n_ptsd]]+Table66[[#This Row],[Data_Subjects_n_control]]</f>
        <v>15</v>
      </c>
      <c r="AO684" s="121">
        <f>(7+8)/2</f>
        <v>7.5</v>
      </c>
      <c r="AP684" s="121">
        <f>(7+8)/2</f>
        <v>7.5</v>
      </c>
      <c r="AQ684" s="1031" t="s">
        <v>803</v>
      </c>
      <c r="AR684" s="1031" t="s">
        <v>803</v>
      </c>
      <c r="AS684" s="1031" t="s">
        <v>5257</v>
      </c>
      <c r="AT684" s="1031" t="s">
        <v>24</v>
      </c>
      <c r="AU684" s="1031" t="s">
        <v>5257</v>
      </c>
      <c r="AV684" s="1031" t="s">
        <v>24</v>
      </c>
      <c r="AW684" s="1039" t="s">
        <v>5265</v>
      </c>
      <c r="AX684" s="1039"/>
      <c r="AY684" s="1039"/>
      <c r="AZ684" s="1039" t="s">
        <v>7650</v>
      </c>
      <c r="BA684" s="1031" t="s">
        <v>5259</v>
      </c>
      <c r="BB684" s="1031" t="s">
        <v>5259</v>
      </c>
      <c r="BC684" s="1031" t="s">
        <v>5266</v>
      </c>
      <c r="BD684" s="1031" t="s">
        <v>7525</v>
      </c>
      <c r="BE684" s="1031"/>
      <c r="BF684" s="1031" t="s">
        <v>5258</v>
      </c>
      <c r="BG684" s="1031" t="s">
        <v>5267</v>
      </c>
      <c r="BH684" s="1040"/>
      <c r="BI684" s="1040"/>
      <c r="BJ684" s="1041"/>
      <c r="BK684" s="1041"/>
      <c r="BL684" s="1041"/>
      <c r="BM684" s="1041"/>
      <c r="BN684" s="1041"/>
      <c r="BO684" s="1041"/>
      <c r="BP684" s="1041">
        <v>1</v>
      </c>
      <c r="BQ684" s="1041"/>
      <c r="BR684" s="1041"/>
      <c r="BS684" s="1041"/>
      <c r="BT684" s="1041"/>
      <c r="BU684" s="1041"/>
      <c r="BV684" s="1041"/>
      <c r="BW684" s="1042" t="s">
        <v>5271</v>
      </c>
      <c r="BX684" s="1043" t="s">
        <v>6612</v>
      </c>
      <c r="BY684" s="1044" t="s">
        <v>7617</v>
      </c>
      <c r="BZ684" s="1045" t="s">
        <v>803</v>
      </c>
      <c r="CA684" s="1046">
        <v>2</v>
      </c>
      <c r="CB684" s="1046" t="s">
        <v>7556</v>
      </c>
      <c r="CC684" s="1852" t="s">
        <v>7380</v>
      </c>
      <c r="CD684" s="1047" t="s">
        <v>1876</v>
      </c>
      <c r="CE684" s="1047" t="s">
        <v>5264</v>
      </c>
      <c r="CF684" s="1047" t="s">
        <v>7597</v>
      </c>
      <c r="CG684" s="134" t="s">
        <v>7981</v>
      </c>
      <c r="CH684" s="1047" t="s">
        <v>1511</v>
      </c>
      <c r="CI684" s="1047" t="s">
        <v>5260</v>
      </c>
      <c r="CJ684" s="1047"/>
      <c r="CK684" s="1047" t="s">
        <v>7980</v>
      </c>
      <c r="CL684" s="1047" t="s">
        <v>8217</v>
      </c>
      <c r="CM684" s="1048" t="s">
        <v>5296</v>
      </c>
      <c r="CN684" s="1049" t="s">
        <v>24</v>
      </c>
      <c r="CO684" s="1050">
        <v>58</v>
      </c>
      <c r="CP684" s="1050">
        <v>2</v>
      </c>
      <c r="CQ684" s="1050">
        <v>3</v>
      </c>
      <c r="CR684" s="1050">
        <v>1</v>
      </c>
      <c r="CS684" s="1050">
        <v>1</v>
      </c>
      <c r="CT684" s="1051" t="s">
        <v>7979</v>
      </c>
      <c r="CU684" s="1289" t="s">
        <v>8104</v>
      </c>
      <c r="CV684" s="1295">
        <v>143</v>
      </c>
      <c r="CW684" s="1295">
        <v>134</v>
      </c>
      <c r="CX684" s="1047" t="s">
        <v>5273</v>
      </c>
      <c r="CY684" s="1047">
        <v>0.51077499999999998</v>
      </c>
      <c r="CZ684" s="1047" t="s">
        <v>24</v>
      </c>
      <c r="DA684" s="1047">
        <f>0.559051-Table66[[#This Row],[Data_Outcome1_M]]</f>
        <v>4.8275999999999986E-2</v>
      </c>
      <c r="DB684" s="1052" t="s">
        <v>5275</v>
      </c>
      <c r="DC684" s="1047">
        <v>0.65038899999999999</v>
      </c>
      <c r="DD684" s="1047" t="s">
        <v>24</v>
      </c>
      <c r="DE684" s="1047">
        <f>0.700965-Table66[[#This Row],[Data_Outcome2_M]]</f>
        <v>5.0575999999999954E-2</v>
      </c>
      <c r="DF684" s="1054" t="s">
        <v>5289</v>
      </c>
      <c r="DG684" s="1054" t="s">
        <v>5293</v>
      </c>
      <c r="DH684" s="1209"/>
      <c r="DI684" s="1206"/>
      <c r="DJ684" s="1206"/>
      <c r="DK684" s="1206"/>
      <c r="DL684" s="1209"/>
      <c r="DM684" s="1206"/>
      <c r="DN684" s="1206"/>
      <c r="DO684" s="1206"/>
      <c r="DP684" s="1055"/>
      <c r="DQ684" s="1056"/>
      <c r="DR684" s="1211"/>
      <c r="DS684" s="1212"/>
      <c r="DT684" s="1209"/>
      <c r="DU684" s="1206"/>
      <c r="DV684" s="1206"/>
      <c r="DW684" s="1206"/>
      <c r="DX684" s="1209"/>
      <c r="DY684" s="1206"/>
      <c r="DZ684" s="1206"/>
      <c r="EA684" s="1206"/>
      <c r="EB684" s="1210"/>
      <c r="EC684" s="1207"/>
      <c r="ED684" s="1209"/>
      <c r="EE684" s="1206"/>
      <c r="EF684" s="1206"/>
      <c r="EG684" s="1206"/>
      <c r="EH684" s="1209"/>
      <c r="EI684" s="1206"/>
      <c r="EJ684" s="1206"/>
      <c r="EK684" s="1206"/>
      <c r="EL684" s="1210"/>
      <c r="EM684" s="1207"/>
      <c r="EN684" s="1211"/>
      <c r="EO684" s="1208"/>
      <c r="EP684" s="1206"/>
      <c r="EQ684" s="1206"/>
      <c r="ER684" s="1206"/>
      <c r="ES684" s="1206"/>
      <c r="ET684" s="1206"/>
      <c r="EU684" s="1206"/>
      <c r="EV684" s="1206"/>
      <c r="EW684" s="1206"/>
      <c r="EX684" s="1210"/>
      <c r="EY684" s="1207"/>
      <c r="EZ684" s="1209"/>
      <c r="FA684" s="1206"/>
      <c r="FB684" s="1206"/>
      <c r="FC684" s="1206"/>
      <c r="FD684" s="1209"/>
      <c r="FE684" s="1206"/>
      <c r="FF684" s="1206"/>
      <c r="FG684" s="1206"/>
      <c r="FH684" s="1207"/>
      <c r="FI684" s="1207"/>
      <c r="FJ684" s="1208"/>
    </row>
    <row r="685" spans="1:166" ht="15" hidden="1" customHeight="1">
      <c r="A685" s="153" t="s">
        <v>964</v>
      </c>
      <c r="B685" s="618">
        <v>235</v>
      </c>
      <c r="C685" s="618"/>
      <c r="D685" s="618">
        <v>96</v>
      </c>
      <c r="E685" s="610" t="s">
        <v>2121</v>
      </c>
      <c r="F685" s="368" t="s">
        <v>2382</v>
      </c>
      <c r="G685" s="369">
        <v>2016</v>
      </c>
      <c r="H685" s="153">
        <v>26538448</v>
      </c>
      <c r="I685" s="153">
        <v>1</v>
      </c>
      <c r="J685" s="370" t="s">
        <v>1788</v>
      </c>
      <c r="K685" s="371" t="s">
        <v>23</v>
      </c>
      <c r="L685" s="153">
        <v>1</v>
      </c>
      <c r="M685" s="153"/>
      <c r="N685" s="153">
        <v>1</v>
      </c>
      <c r="O685" s="153">
        <v>2</v>
      </c>
      <c r="P685" s="153" t="s">
        <v>1601</v>
      </c>
      <c r="Q685" s="153"/>
      <c r="R685" s="153" t="s">
        <v>1600</v>
      </c>
      <c r="S685" s="153"/>
      <c r="T685" s="153" t="s">
        <v>1495</v>
      </c>
      <c r="U685" s="153" t="s">
        <v>1539</v>
      </c>
      <c r="V685" s="153"/>
      <c r="W685" s="153" t="s">
        <v>1720</v>
      </c>
      <c r="X685" s="153"/>
      <c r="Y685" s="153"/>
      <c r="Z685" s="153"/>
      <c r="AA685" s="153"/>
      <c r="AB685" s="153"/>
      <c r="AC685" s="536" t="s">
        <v>6301</v>
      </c>
      <c r="AD685" s="536">
        <v>1</v>
      </c>
      <c r="AE685" s="536">
        <v>1</v>
      </c>
      <c r="AF685" s="165">
        <v>0</v>
      </c>
      <c r="AG685" s="166" t="s">
        <v>7511</v>
      </c>
      <c r="AH685" s="509" t="s">
        <v>7510</v>
      </c>
      <c r="AI685" s="120">
        <v>5</v>
      </c>
      <c r="AJ685" s="120"/>
      <c r="AK685" s="206"/>
      <c r="AL685" s="372"/>
      <c r="AM685" s="207"/>
      <c r="AN685" s="120"/>
      <c r="AO685" s="120"/>
      <c r="AP685" s="120"/>
      <c r="AQ685" s="120"/>
      <c r="AR685" s="120"/>
      <c r="AS685" s="120"/>
      <c r="AT685" s="120"/>
      <c r="AU685" s="120"/>
      <c r="AV685" s="120"/>
      <c r="AW685" s="120"/>
      <c r="AX685" s="120"/>
      <c r="AY685" s="120"/>
      <c r="AZ685" s="755"/>
      <c r="BA685" s="120"/>
      <c r="BB685" s="120"/>
      <c r="BC685" s="120"/>
      <c r="BD685" s="755"/>
      <c r="BE685" s="755"/>
      <c r="BF685" s="120"/>
      <c r="BG685" s="120"/>
      <c r="BH685" s="377">
        <v>1</v>
      </c>
      <c r="BI685" s="377"/>
      <c r="BJ685" s="373" t="s">
        <v>6302</v>
      </c>
      <c r="BK685" s="373" t="s">
        <v>6205</v>
      </c>
      <c r="BL685" s="373"/>
      <c r="BM685" s="373"/>
      <c r="BN685" s="373"/>
      <c r="BO685" s="373"/>
      <c r="BP685" s="373"/>
      <c r="BQ685" s="373"/>
      <c r="BR685" s="373"/>
      <c r="BS685" s="373"/>
      <c r="BT685" s="373"/>
      <c r="BU685" s="373"/>
      <c r="BV685" s="373"/>
      <c r="BW685" s="599"/>
      <c r="BX685" s="374"/>
      <c r="BY685" s="374"/>
      <c r="BZ685" s="374"/>
      <c r="CA685" s="511"/>
      <c r="CB685" s="511"/>
      <c r="CC685" s="781"/>
      <c r="CD685" s="120"/>
      <c r="CE685" s="120"/>
      <c r="CF685" s="120"/>
      <c r="CG685" s="721"/>
      <c r="CH685" s="779"/>
      <c r="CI685" s="120"/>
      <c r="CJ685" s="120"/>
      <c r="CK685" s="120"/>
      <c r="CL685" s="120"/>
      <c r="CM685" s="375"/>
      <c r="CN685" s="380"/>
      <c r="CO685" s="380"/>
      <c r="CP685" s="380"/>
      <c r="CQ685" s="380"/>
      <c r="CR685" s="380"/>
      <c r="CS685" s="380"/>
      <c r="CT685" s="380"/>
      <c r="CU685" s="380"/>
      <c r="CV685" s="380"/>
      <c r="CW685" s="380"/>
      <c r="CX685" s="376"/>
      <c r="CY685" s="120"/>
      <c r="CZ685" s="120"/>
      <c r="DA685" s="120"/>
      <c r="DB685" s="376"/>
      <c r="DC685" s="120"/>
      <c r="DD685" s="120"/>
      <c r="DE685" s="120"/>
      <c r="DF685" s="621"/>
      <c r="DG685" s="509"/>
      <c r="DH685" s="727"/>
      <c r="DI685" s="384"/>
      <c r="DJ685" s="384"/>
      <c r="DK685" s="384"/>
      <c r="DL685" s="727"/>
      <c r="DM685" s="384"/>
      <c r="DN685" s="384"/>
      <c r="DO685" s="384"/>
      <c r="DP685" s="375"/>
      <c r="DQ685" s="377"/>
      <c r="DR685" s="1182"/>
      <c r="DS685" s="956"/>
      <c r="DT685" s="727"/>
      <c r="DU685" s="384"/>
      <c r="DV685" s="384"/>
      <c r="DW685" s="384"/>
      <c r="DX685" s="384"/>
      <c r="DY685" s="384"/>
      <c r="DZ685" s="384"/>
      <c r="EA685" s="384"/>
      <c r="EB685" s="380"/>
      <c r="EC685" s="120"/>
      <c r="ED685" s="384"/>
      <c r="EE685" s="384"/>
      <c r="EF685" s="384"/>
      <c r="EG685" s="384"/>
      <c r="EH685" s="384"/>
      <c r="EI685" s="384"/>
      <c r="EJ685" s="384"/>
      <c r="EK685" s="384"/>
      <c r="EL685" s="380"/>
      <c r="EM685" s="120"/>
      <c r="EN685" s="1012"/>
      <c r="EO685" s="384"/>
      <c r="EP685" s="120"/>
      <c r="EQ685" s="120"/>
      <c r="ER685" s="120"/>
      <c r="ES685" s="120"/>
      <c r="ET685" s="376"/>
      <c r="EU685" s="384"/>
      <c r="EV685" s="384"/>
      <c r="EW685" s="384"/>
      <c r="EX685" s="120"/>
      <c r="EY685" s="120"/>
      <c r="EZ685" s="727"/>
      <c r="FA685" s="384"/>
      <c r="FB685" s="384"/>
      <c r="FC685" s="384"/>
      <c r="FD685" s="727"/>
      <c r="FE685" s="384"/>
      <c r="FF685" s="384"/>
      <c r="FG685" s="384"/>
      <c r="FH685" s="384"/>
      <c r="FI685" s="384"/>
      <c r="FJ685" s="384"/>
    </row>
    <row r="686" spans="1:166" ht="15" hidden="1" customHeight="1">
      <c r="A686" s="153" t="s">
        <v>330</v>
      </c>
      <c r="B686" s="618">
        <v>236</v>
      </c>
      <c r="C686" s="618">
        <v>86</v>
      </c>
      <c r="D686" s="618"/>
      <c r="E686" s="610" t="s">
        <v>2034</v>
      </c>
      <c r="F686" s="368" t="s">
        <v>2270</v>
      </c>
      <c r="G686" s="369">
        <v>2015</v>
      </c>
      <c r="H686" s="153">
        <v>25735018</v>
      </c>
      <c r="I686" s="153">
        <v>1</v>
      </c>
      <c r="J686" s="370"/>
      <c r="K686" s="371"/>
      <c r="L686" s="153">
        <v>1</v>
      </c>
      <c r="M686" s="153"/>
      <c r="N686" s="153">
        <v>1</v>
      </c>
      <c r="O686" s="153">
        <v>1</v>
      </c>
      <c r="P686" s="153" t="s">
        <v>860</v>
      </c>
      <c r="Q686" s="153" t="s">
        <v>1154</v>
      </c>
      <c r="R686" s="153" t="s">
        <v>835</v>
      </c>
      <c r="S686" s="153">
        <v>1</v>
      </c>
      <c r="T686" s="153"/>
      <c r="U686" s="153"/>
      <c r="V686" s="153"/>
      <c r="W686" s="153" t="s">
        <v>858</v>
      </c>
      <c r="X686" s="153" t="s">
        <v>24</v>
      </c>
      <c r="Y686" s="153" t="s">
        <v>24</v>
      </c>
      <c r="Z686" s="153" t="s">
        <v>859</v>
      </c>
      <c r="AA686" s="153"/>
      <c r="AB686" s="153"/>
      <c r="AC686" s="536"/>
      <c r="AD686" s="536">
        <v>1</v>
      </c>
      <c r="AE686" s="536">
        <v>2</v>
      </c>
      <c r="AF686" s="165">
        <v>0</v>
      </c>
      <c r="AG686" s="166" t="s">
        <v>7241</v>
      </c>
      <c r="AH686" s="509" t="s">
        <v>7273</v>
      </c>
      <c r="AI686" s="120">
        <v>2</v>
      </c>
      <c r="AJ686" s="120"/>
      <c r="AK686" s="206"/>
      <c r="AL686" s="372"/>
      <c r="AM686" s="207"/>
      <c r="AN686" s="120"/>
      <c r="AO686" s="120"/>
      <c r="AP686" s="120"/>
      <c r="AQ686" s="120"/>
      <c r="AR686" s="120"/>
      <c r="AS686" s="120"/>
      <c r="AT686" s="120"/>
      <c r="AU686" s="120"/>
      <c r="AV686" s="120"/>
      <c r="AW686" s="120"/>
      <c r="AX686" s="120"/>
      <c r="AY686" s="120"/>
      <c r="AZ686" s="755"/>
      <c r="BA686" s="120" t="s">
        <v>24</v>
      </c>
      <c r="BB686" s="120" t="s">
        <v>24</v>
      </c>
      <c r="BC686" s="120"/>
      <c r="BD686" s="755"/>
      <c r="BE686" s="755"/>
      <c r="BF686" s="120"/>
      <c r="BG686" s="120"/>
      <c r="BH686" s="377"/>
      <c r="BI686" s="377"/>
      <c r="BJ686" s="373"/>
      <c r="BK686" s="373"/>
      <c r="BL686" s="373" t="s">
        <v>4727</v>
      </c>
      <c r="BM686" s="373" t="s">
        <v>5716</v>
      </c>
      <c r="BN686" s="373"/>
      <c r="BO686" s="373" t="s">
        <v>5717</v>
      </c>
      <c r="BP686" s="373">
        <v>1</v>
      </c>
      <c r="BQ686" s="373"/>
      <c r="BR686" s="373"/>
      <c r="BS686" s="373"/>
      <c r="BT686" s="373" t="s">
        <v>4727</v>
      </c>
      <c r="BU686" s="373" t="s">
        <v>5715</v>
      </c>
      <c r="BV686" s="373"/>
      <c r="BW686" s="599"/>
      <c r="BX686" s="374"/>
      <c r="BY686" s="374"/>
      <c r="BZ686" s="374"/>
      <c r="CA686" s="511"/>
      <c r="CB686" s="511"/>
      <c r="CC686" s="511"/>
      <c r="CD686" s="120"/>
      <c r="CE686" s="120"/>
      <c r="CF686" s="120"/>
      <c r="CG686" s="120"/>
      <c r="CH686" s="755"/>
      <c r="CI686" s="120"/>
      <c r="CJ686" s="120"/>
      <c r="CK686" s="120"/>
      <c r="CL686" s="120"/>
      <c r="CM686" s="375"/>
      <c r="CN686" s="380"/>
      <c r="CO686" s="380"/>
      <c r="CP686" s="380"/>
      <c r="CQ686" s="380"/>
      <c r="CR686" s="380"/>
      <c r="CS686" s="380"/>
      <c r="CT686" s="380"/>
      <c r="CU686" s="380"/>
      <c r="CV686" s="380"/>
      <c r="CW686" s="380"/>
      <c r="CX686" s="376"/>
      <c r="CY686" s="120"/>
      <c r="CZ686" s="120"/>
      <c r="DA686" s="120"/>
      <c r="DB686" s="376"/>
      <c r="DC686" s="120"/>
      <c r="DD686" s="120"/>
      <c r="DE686" s="120"/>
      <c r="DF686" s="515"/>
      <c r="DG686" s="513"/>
      <c r="DH686" s="727"/>
      <c r="DI686" s="384"/>
      <c r="DJ686" s="384"/>
      <c r="DK686" s="384"/>
      <c r="DL686" s="727"/>
      <c r="DM686" s="384"/>
      <c r="DN686" s="384"/>
      <c r="DO686" s="384"/>
      <c r="DP686" s="375"/>
      <c r="DQ686" s="377"/>
      <c r="DR686" s="1182"/>
      <c r="DS686" s="956"/>
      <c r="DT686" s="727"/>
      <c r="DU686" s="120"/>
      <c r="DV686" s="384"/>
      <c r="DW686" s="120"/>
      <c r="DX686" s="384"/>
      <c r="DY686" s="384"/>
      <c r="DZ686" s="384"/>
      <c r="EA686" s="384"/>
      <c r="EB686" s="380"/>
      <c r="EC686" s="120"/>
      <c r="ED686" s="384"/>
      <c r="EE686" s="384"/>
      <c r="EF686" s="384"/>
      <c r="EG686" s="384"/>
      <c r="EH686" s="384"/>
      <c r="EI686" s="384"/>
      <c r="EJ686" s="384"/>
      <c r="EK686" s="384"/>
      <c r="EL686" s="380"/>
      <c r="EM686" s="384"/>
      <c r="EN686" s="1012"/>
      <c r="EO686" s="384"/>
      <c r="EP686" s="384"/>
      <c r="EQ686" s="384"/>
      <c r="ER686" s="384"/>
      <c r="ES686" s="384"/>
      <c r="ET686" s="727"/>
      <c r="EU686" s="384"/>
      <c r="EV686" s="384"/>
      <c r="EW686" s="384"/>
      <c r="EX686" s="384"/>
      <c r="EY686" s="384"/>
      <c r="EZ686" s="727"/>
      <c r="FA686" s="120"/>
      <c r="FB686" s="120"/>
      <c r="FC686" s="120"/>
      <c r="FD686" s="376"/>
      <c r="FE686" s="384"/>
      <c r="FF686" s="384"/>
      <c r="FG686" s="384"/>
      <c r="FH686" s="384"/>
      <c r="FI686" s="384"/>
      <c r="FJ686" s="384"/>
    </row>
    <row r="687" spans="1:166" ht="15" hidden="1" customHeight="1">
      <c r="A687" s="153" t="s">
        <v>963</v>
      </c>
      <c r="B687" s="618">
        <v>48</v>
      </c>
      <c r="C687" s="618"/>
      <c r="D687" s="618"/>
      <c r="E687" s="610" t="s">
        <v>2122</v>
      </c>
      <c r="F687" s="368" t="s">
        <v>2383</v>
      </c>
      <c r="G687" s="369">
        <v>2012</v>
      </c>
      <c r="H687" s="153">
        <v>22516520</v>
      </c>
      <c r="I687" s="153">
        <v>1</v>
      </c>
      <c r="J687" s="370" t="s">
        <v>1788</v>
      </c>
      <c r="K687" s="371" t="s">
        <v>23</v>
      </c>
      <c r="L687" s="153">
        <v>1</v>
      </c>
      <c r="M687" s="153"/>
      <c r="N687" s="153">
        <v>1</v>
      </c>
      <c r="O687" s="153">
        <v>2</v>
      </c>
      <c r="P687" s="153" t="s">
        <v>1220</v>
      </c>
      <c r="Q687" s="153" t="s">
        <v>1162</v>
      </c>
      <c r="R687" s="153" t="s">
        <v>1229</v>
      </c>
      <c r="S687" s="153"/>
      <c r="T687" s="153" t="s">
        <v>1488</v>
      </c>
      <c r="U687" s="153" t="s">
        <v>803</v>
      </c>
      <c r="V687" s="153"/>
      <c r="W687" s="153" t="s">
        <v>1501</v>
      </c>
      <c r="X687" s="153" t="s">
        <v>1602</v>
      </c>
      <c r="Y687" s="153" t="s">
        <v>1132</v>
      </c>
      <c r="Z687" s="153"/>
      <c r="AA687" s="153"/>
      <c r="AB687" s="153"/>
      <c r="AC687" s="536"/>
      <c r="AD687" s="536">
        <v>1</v>
      </c>
      <c r="AE687" s="536">
        <v>2</v>
      </c>
      <c r="AF687" s="165">
        <v>0</v>
      </c>
      <c r="AG687" s="166" t="s">
        <v>3631</v>
      </c>
      <c r="AH687" s="509" t="s">
        <v>7456</v>
      </c>
      <c r="AI687" s="120">
        <v>4</v>
      </c>
      <c r="AJ687" s="120"/>
      <c r="AK687" s="206" t="s">
        <v>3622</v>
      </c>
      <c r="AL687" s="372">
        <v>2</v>
      </c>
      <c r="AM687" s="207">
        <v>0</v>
      </c>
      <c r="AN687" s="120" t="s">
        <v>3630</v>
      </c>
      <c r="AO687" s="120">
        <v>9</v>
      </c>
      <c r="AP687" s="120">
        <v>9</v>
      </c>
      <c r="AQ687" s="120" t="s">
        <v>803</v>
      </c>
      <c r="AR687" s="120" t="s">
        <v>803</v>
      </c>
      <c r="AS687" s="734" t="s">
        <v>7496</v>
      </c>
      <c r="AT687" s="120" t="s">
        <v>24</v>
      </c>
      <c r="AU687" s="734" t="s">
        <v>7496</v>
      </c>
      <c r="AV687" s="120" t="s">
        <v>24</v>
      </c>
      <c r="AW687" s="120" t="s">
        <v>3623</v>
      </c>
      <c r="AX687" s="120">
        <v>10</v>
      </c>
      <c r="AY687" s="120">
        <v>3</v>
      </c>
      <c r="AZ687" s="755" t="s">
        <v>1814</v>
      </c>
      <c r="BA687" s="120">
        <v>1</v>
      </c>
      <c r="BB687" s="120" t="s">
        <v>3629</v>
      </c>
      <c r="BC687" s="120" t="s">
        <v>7537</v>
      </c>
      <c r="BD687" s="755" t="s">
        <v>7523</v>
      </c>
      <c r="BE687" s="755"/>
      <c r="BF687" s="120" t="s">
        <v>2912</v>
      </c>
      <c r="BG687" s="120" t="s">
        <v>3279</v>
      </c>
      <c r="BH687" s="377"/>
      <c r="BI687" s="377"/>
      <c r="BJ687" s="373">
        <v>1</v>
      </c>
      <c r="BK687" s="373"/>
      <c r="BL687" s="373"/>
      <c r="BM687" s="373"/>
      <c r="BN687" s="373"/>
      <c r="BO687" s="373"/>
      <c r="BP687" s="373"/>
      <c r="BQ687" s="373"/>
      <c r="BR687" s="373"/>
      <c r="BS687" s="373"/>
      <c r="BT687" s="373"/>
      <c r="BU687" s="373"/>
      <c r="BV687" s="373"/>
      <c r="BW687" s="735" t="s">
        <v>6701</v>
      </c>
      <c r="BX687" s="374" t="s">
        <v>6657</v>
      </c>
      <c r="BY687" s="799" t="s">
        <v>7613</v>
      </c>
      <c r="BZ687" s="510" t="s">
        <v>803</v>
      </c>
      <c r="CA687" s="511">
        <v>1</v>
      </c>
      <c r="CB687" s="511" t="s">
        <v>7556</v>
      </c>
      <c r="CC687" s="511" t="s">
        <v>7384</v>
      </c>
      <c r="CD687" s="120" t="s">
        <v>1876</v>
      </c>
      <c r="CE687" s="120">
        <v>2</v>
      </c>
      <c r="CF687" s="786" t="s">
        <v>7584</v>
      </c>
      <c r="CG687" s="120" t="s">
        <v>3625</v>
      </c>
      <c r="CH687" s="755" t="s">
        <v>1488</v>
      </c>
      <c r="CI687" s="120" t="s">
        <v>3613</v>
      </c>
      <c r="CJ687" s="120"/>
      <c r="CK687" s="120" t="s">
        <v>3224</v>
      </c>
      <c r="CL687" s="120" t="s">
        <v>6640</v>
      </c>
      <c r="CM687" s="375" t="s">
        <v>3627</v>
      </c>
      <c r="CN687" s="380" t="s">
        <v>6627</v>
      </c>
      <c r="CO687" s="380"/>
      <c r="CP687" s="380"/>
      <c r="CQ687" s="380"/>
      <c r="CR687" s="380"/>
      <c r="CS687" s="380"/>
      <c r="CT687" s="380"/>
      <c r="CU687" s="380"/>
      <c r="CV687" s="380"/>
      <c r="CW687" s="380"/>
      <c r="CX687" s="376" t="s">
        <v>3614</v>
      </c>
      <c r="CY687" s="120">
        <v>73.751800000000003</v>
      </c>
      <c r="CZ687" s="120"/>
      <c r="DA687" s="120">
        <f>78.6429-Table66[[#This Row],[Data_Outcome1_M]]</f>
        <v>4.8910999999999945</v>
      </c>
      <c r="DB687" s="376" t="s">
        <v>3617</v>
      </c>
      <c r="DC687" s="120">
        <v>2.91533</v>
      </c>
      <c r="DD687" s="120" t="s">
        <v>24</v>
      </c>
      <c r="DE687" s="120">
        <f>5.08914-Table66[[#This Row],[Data_Outcome2_M]]</f>
        <v>2.1738100000000005</v>
      </c>
      <c r="DF687" s="515" t="s">
        <v>3618</v>
      </c>
      <c r="DG687" s="513" t="s">
        <v>3621</v>
      </c>
      <c r="DH687" s="727"/>
      <c r="DI687" s="384"/>
      <c r="DJ687" s="384"/>
      <c r="DK687" s="384"/>
      <c r="DL687" s="727"/>
      <c r="DM687" s="384"/>
      <c r="DN687" s="384"/>
      <c r="DO687" s="384"/>
      <c r="DP687" s="375"/>
      <c r="DQ687" s="377"/>
      <c r="DR687" s="1182"/>
      <c r="DS687" s="956"/>
      <c r="DT687" s="727"/>
      <c r="DU687" s="384"/>
      <c r="DV687" s="384"/>
      <c r="DW687" s="384"/>
      <c r="DX687" s="384"/>
      <c r="DY687" s="384"/>
      <c r="DZ687" s="384"/>
      <c r="EA687" s="384"/>
      <c r="EB687" s="1012"/>
      <c r="EC687" s="384"/>
      <c r="ED687" s="384"/>
      <c r="EE687" s="384"/>
      <c r="EF687" s="384"/>
      <c r="EG687" s="384"/>
      <c r="EH687" s="384"/>
      <c r="EI687" s="384"/>
      <c r="EJ687" s="384"/>
      <c r="EK687" s="384"/>
      <c r="EL687" s="1012"/>
      <c r="EM687" s="384"/>
      <c r="EN687" s="1012"/>
      <c r="EO687" s="384"/>
      <c r="EP687" s="384"/>
      <c r="EQ687" s="384"/>
      <c r="ER687" s="384"/>
      <c r="ES687" s="384"/>
      <c r="ET687" s="727"/>
      <c r="EU687" s="384"/>
      <c r="EV687" s="384"/>
      <c r="EW687" s="384"/>
      <c r="EX687" s="384"/>
      <c r="EY687" s="384"/>
      <c r="EZ687" s="727"/>
      <c r="FA687" s="384"/>
      <c r="FB687" s="384"/>
      <c r="FC687" s="384"/>
      <c r="FD687" s="727"/>
      <c r="FE687" s="384"/>
      <c r="FF687" s="384"/>
      <c r="FG687" s="384"/>
      <c r="FH687" s="384"/>
      <c r="FI687" s="384"/>
      <c r="FJ687" s="384"/>
    </row>
    <row r="688" spans="1:166" ht="15" hidden="1" customHeight="1">
      <c r="A688" s="118" t="s">
        <v>1020</v>
      </c>
      <c r="B688" s="616">
        <v>165</v>
      </c>
      <c r="C688" s="616">
        <v>55</v>
      </c>
      <c r="D688" s="616"/>
      <c r="E688" s="605" t="s">
        <v>2093</v>
      </c>
      <c r="F688" s="140" t="s">
        <v>2348</v>
      </c>
      <c r="G688" s="141">
        <v>2008</v>
      </c>
      <c r="H688" s="118">
        <v>18339410</v>
      </c>
      <c r="I688" s="118">
        <v>1</v>
      </c>
      <c r="J688" s="118">
        <v>1</v>
      </c>
      <c r="K688" s="118"/>
      <c r="L688" s="118">
        <v>1</v>
      </c>
      <c r="M688" s="118"/>
      <c r="N688" s="158">
        <v>1</v>
      </c>
      <c r="O688" s="142">
        <v>2</v>
      </c>
      <c r="P688" s="118" t="s">
        <v>1697</v>
      </c>
      <c r="Q688" s="118" t="s">
        <v>1417</v>
      </c>
      <c r="R688" s="118" t="s">
        <v>1127</v>
      </c>
      <c r="S688" s="118"/>
      <c r="T688" s="118" t="s">
        <v>1541</v>
      </c>
      <c r="U688" s="118"/>
      <c r="V688" s="118"/>
      <c r="W688" s="118" t="s">
        <v>1416</v>
      </c>
      <c r="X688" s="118"/>
      <c r="Y688" s="118"/>
      <c r="Z688" s="118"/>
      <c r="AA688" s="118"/>
      <c r="AB688" s="118"/>
      <c r="AC688" s="145"/>
      <c r="AD688" s="573">
        <v>1</v>
      </c>
      <c r="AE688" s="573">
        <v>2</v>
      </c>
      <c r="AF688" s="352">
        <v>1</v>
      </c>
      <c r="AG688" s="155"/>
      <c r="AH688" s="704"/>
      <c r="AI688" s="122">
        <v>4</v>
      </c>
      <c r="AJ688" s="485" t="s">
        <v>5108</v>
      </c>
      <c r="AK688" s="204" t="s">
        <v>5144</v>
      </c>
      <c r="AL688" s="192" t="s">
        <v>7948</v>
      </c>
      <c r="AM688" s="205" t="s">
        <v>5061</v>
      </c>
      <c r="AN688" s="122">
        <f>Table66[[#This Row],[Data_Subjects_n_ptsd]]+Table66[[#This Row],[Data_Subjects_n_control]]</f>
        <v>20</v>
      </c>
      <c r="AO688" s="122">
        <v>10</v>
      </c>
      <c r="AP688" s="122">
        <v>10</v>
      </c>
      <c r="AQ688" s="122" t="s">
        <v>803</v>
      </c>
      <c r="AR688" s="150" t="s">
        <v>803</v>
      </c>
      <c r="AS688" s="150" t="s">
        <v>2468</v>
      </c>
      <c r="AT688" s="150" t="s">
        <v>24</v>
      </c>
      <c r="AU688" s="150" t="s">
        <v>2468</v>
      </c>
      <c r="AV688" s="150" t="s">
        <v>24</v>
      </c>
      <c r="AW688" s="150" t="s">
        <v>7642</v>
      </c>
      <c r="AX688" s="122">
        <v>10</v>
      </c>
      <c r="AY688" s="122">
        <v>3</v>
      </c>
      <c r="AZ688" s="754" t="s">
        <v>1814</v>
      </c>
      <c r="BA688" s="122">
        <v>1</v>
      </c>
      <c r="BB688" s="122" t="s">
        <v>5083</v>
      </c>
      <c r="BC688" s="122" t="s">
        <v>5068</v>
      </c>
      <c r="BD688" s="754" t="s">
        <v>7523</v>
      </c>
      <c r="BE688" s="754"/>
      <c r="BF688" s="122" t="s">
        <v>2912</v>
      </c>
      <c r="BG688" s="122" t="s">
        <v>5062</v>
      </c>
      <c r="BH688" s="588"/>
      <c r="BI688" s="588"/>
      <c r="BJ688" s="161"/>
      <c r="BK688" s="161"/>
      <c r="BL688" s="161"/>
      <c r="BM688" s="161"/>
      <c r="BN688" s="161"/>
      <c r="BO688" s="161"/>
      <c r="BP688" s="161">
        <v>1</v>
      </c>
      <c r="BQ688" s="161"/>
      <c r="BR688" s="161"/>
      <c r="BS688" s="161"/>
      <c r="BT688" s="161"/>
      <c r="BU688" s="161"/>
      <c r="BV688" s="161"/>
      <c r="BW688" s="596" t="s">
        <v>7357</v>
      </c>
      <c r="BX688" s="162" t="s">
        <v>6657</v>
      </c>
      <c r="BY688" s="797" t="s">
        <v>7613</v>
      </c>
      <c r="BZ688" s="790" t="s">
        <v>803</v>
      </c>
      <c r="CA688" s="765">
        <v>1</v>
      </c>
      <c r="CB688" s="765" t="s">
        <v>7556</v>
      </c>
      <c r="CC688" s="765" t="s">
        <v>7380</v>
      </c>
      <c r="CD688" s="150" t="s">
        <v>1876</v>
      </c>
      <c r="CE688" s="150" t="s">
        <v>5088</v>
      </c>
      <c r="CF688" s="400" t="s">
        <v>7579</v>
      </c>
      <c r="CG688" s="150" t="s">
        <v>5084</v>
      </c>
      <c r="CH688" s="753" t="s">
        <v>7310</v>
      </c>
      <c r="CI688" s="150" t="s">
        <v>5066</v>
      </c>
      <c r="CJ688" s="150"/>
      <c r="CK688" s="150" t="s">
        <v>5085</v>
      </c>
      <c r="CL688" s="150" t="s">
        <v>8302</v>
      </c>
      <c r="CM688" s="258" t="s">
        <v>5111</v>
      </c>
      <c r="CN688" s="257" t="s">
        <v>23</v>
      </c>
      <c r="CO688" s="829">
        <v>50</v>
      </c>
      <c r="CP688" s="829">
        <v>2</v>
      </c>
      <c r="CQ688" s="829">
        <v>1</v>
      </c>
      <c r="CR688" s="829">
        <v>1</v>
      </c>
      <c r="CS688" s="829">
        <v>-1</v>
      </c>
      <c r="CT688" s="968" t="s">
        <v>1917</v>
      </c>
      <c r="CU688" s="1289" t="s">
        <v>8104</v>
      </c>
      <c r="CV688" s="1295">
        <v>105</v>
      </c>
      <c r="CW688" s="1295">
        <v>96</v>
      </c>
      <c r="CX688" s="151" t="s">
        <v>5100</v>
      </c>
      <c r="CY688" s="150">
        <v>27.82</v>
      </c>
      <c r="CZ688" s="150" t="s">
        <v>24</v>
      </c>
      <c r="DA688" s="150">
        <f>40.364-Table66[[#This Row],[Data_Outcome1_M]]</f>
        <v>12.543999999999997</v>
      </c>
      <c r="DB688" s="151" t="s">
        <v>5102</v>
      </c>
      <c r="DC688" s="150">
        <v>77.073099999999997</v>
      </c>
      <c r="DD688" s="150" t="s">
        <v>24</v>
      </c>
      <c r="DE688" s="150">
        <f>79.6101-Table66[[#This Row],[Data_Outcome2_M]]</f>
        <v>2.5370000000000061</v>
      </c>
      <c r="DF688" s="294"/>
      <c r="DG688" s="295"/>
      <c r="DH688" s="1169"/>
      <c r="DI688" s="1169"/>
      <c r="DJ688" s="1169"/>
      <c r="DK688" s="1169"/>
      <c r="DL688" s="1169"/>
      <c r="DM688" s="1169"/>
      <c r="DN688" s="1169"/>
      <c r="DO688" s="1169"/>
      <c r="DP688" s="290"/>
      <c r="DQ688" s="291"/>
      <c r="DR688" s="1168"/>
      <c r="DS688" s="865"/>
      <c r="DT688" s="1171"/>
      <c r="DU688" s="1169"/>
      <c r="DV688" s="1169"/>
      <c r="DW688" s="1169"/>
      <c r="DX688" s="1169"/>
      <c r="DY688" s="1169"/>
      <c r="DZ688" s="1169"/>
      <c r="EA688" s="1169"/>
      <c r="EB688" s="311"/>
      <c r="EC688" s="313"/>
      <c r="ED688" s="1169"/>
      <c r="EE688" s="1169"/>
      <c r="EF688" s="1169"/>
      <c r="EG688" s="1169"/>
      <c r="EH688" s="1169"/>
      <c r="EI688" s="1169"/>
      <c r="EJ688" s="1169"/>
      <c r="EK688" s="1169"/>
      <c r="EL688" s="311"/>
      <c r="EM688" s="313"/>
      <c r="EN688" s="1167"/>
      <c r="EO688" s="1165"/>
      <c r="EP688" s="1164"/>
      <c r="EQ688" s="1164"/>
      <c r="ER688" s="1164"/>
      <c r="ES688" s="1164"/>
      <c r="ET688" s="1166"/>
      <c r="EU688" s="1164"/>
      <c r="EV688" s="1164"/>
      <c r="EW688" s="1164"/>
      <c r="EX688" s="313"/>
      <c r="EY688" s="313"/>
      <c r="EZ688" s="1166"/>
      <c r="FA688" s="1164"/>
      <c r="FB688" s="1164"/>
      <c r="FC688" s="1164"/>
      <c r="FD688" s="1166"/>
      <c r="FE688" s="1164"/>
      <c r="FF688" s="1164"/>
      <c r="FG688" s="1164"/>
      <c r="FH688" s="313"/>
      <c r="FI688" s="313"/>
      <c r="FJ688" s="1165"/>
    </row>
    <row r="689" spans="1:166" ht="15" hidden="1" customHeight="1">
      <c r="A689" s="153" t="s">
        <v>332</v>
      </c>
      <c r="B689" s="618">
        <v>237</v>
      </c>
      <c r="C689" s="618"/>
      <c r="D689" s="618">
        <v>97</v>
      </c>
      <c r="E689" s="610" t="s">
        <v>2035</v>
      </c>
      <c r="F689" s="368" t="s">
        <v>2271</v>
      </c>
      <c r="G689" s="369">
        <v>1984</v>
      </c>
      <c r="H689" s="153">
        <v>6691477</v>
      </c>
      <c r="I689" s="153">
        <v>1</v>
      </c>
      <c r="J689" s="370" t="s">
        <v>1785</v>
      </c>
      <c r="K689" s="371"/>
      <c r="L689" s="153">
        <v>0</v>
      </c>
      <c r="M689" s="153"/>
      <c r="N689" s="153">
        <v>1</v>
      </c>
      <c r="O689" s="153">
        <v>1</v>
      </c>
      <c r="P689" s="153" t="s">
        <v>863</v>
      </c>
      <c r="Q689" s="153"/>
      <c r="R689" s="153" t="s">
        <v>819</v>
      </c>
      <c r="S689" s="153">
        <v>1</v>
      </c>
      <c r="T689" s="153"/>
      <c r="U689" s="153"/>
      <c r="V689" s="153"/>
      <c r="W689" s="153" t="s">
        <v>455</v>
      </c>
      <c r="X689" s="153"/>
      <c r="Y689" s="153"/>
      <c r="Z689" s="153"/>
      <c r="AA689" s="153"/>
      <c r="AB689" s="153" t="s">
        <v>864</v>
      </c>
      <c r="AC689" s="536" t="s">
        <v>6303</v>
      </c>
      <c r="AD689" s="536">
        <v>1</v>
      </c>
      <c r="AE689" s="536">
        <v>0</v>
      </c>
      <c r="AF689" s="165">
        <v>0</v>
      </c>
      <c r="AG689" s="166" t="s">
        <v>7223</v>
      </c>
      <c r="AH689" s="509">
        <v>0</v>
      </c>
      <c r="AI689" s="120">
        <v>2</v>
      </c>
      <c r="AJ689" s="120"/>
      <c r="AK689" s="206"/>
      <c r="AL689" s="372"/>
      <c r="AM689" s="207"/>
      <c r="AN689" s="120"/>
      <c r="AO689" s="120"/>
      <c r="AP689" s="120"/>
      <c r="AQ689" s="120"/>
      <c r="AR689" s="120"/>
      <c r="AS689" s="120"/>
      <c r="AT689" s="120"/>
      <c r="AU689" s="120"/>
      <c r="AV689" s="120"/>
      <c r="AW689" s="120"/>
      <c r="AX689" s="120"/>
      <c r="AY689" s="120"/>
      <c r="AZ689" s="755"/>
      <c r="BA689" s="120"/>
      <c r="BB689" s="120"/>
      <c r="BC689" s="120"/>
      <c r="BD689" s="755"/>
      <c r="BE689" s="755"/>
      <c r="BF689" s="120"/>
      <c r="BG689" s="120"/>
      <c r="BH689" s="377"/>
      <c r="BI689" s="377"/>
      <c r="BJ689" s="373"/>
      <c r="BK689" s="373"/>
      <c r="BL689" s="373"/>
      <c r="BM689" s="373"/>
      <c r="BN689" s="373"/>
      <c r="BO689" s="373"/>
      <c r="BP689" s="373"/>
      <c r="BQ689" s="373"/>
      <c r="BR689" s="373"/>
      <c r="BS689" s="373"/>
      <c r="BT689" s="373"/>
      <c r="BU689" s="373"/>
      <c r="BV689" s="373"/>
      <c r="BW689" s="599"/>
      <c r="BX689" s="374"/>
      <c r="BY689" s="374"/>
      <c r="BZ689" s="374"/>
      <c r="CA689" s="510"/>
      <c r="CB689" s="510"/>
      <c r="CC689" s="510"/>
      <c r="CD689" s="120"/>
      <c r="CE689" s="120"/>
      <c r="CF689" s="120"/>
      <c r="CG689" s="120"/>
      <c r="CH689" s="755"/>
      <c r="CI689" s="120"/>
      <c r="CJ689" s="120"/>
      <c r="CK689" s="120"/>
      <c r="CL689" s="120"/>
      <c r="CM689" s="375"/>
      <c r="CN689" s="380"/>
      <c r="CO689" s="380"/>
      <c r="CP689" s="380"/>
      <c r="CQ689" s="380"/>
      <c r="CR689" s="380"/>
      <c r="CS689" s="380"/>
      <c r="CT689" s="380"/>
      <c r="CU689" s="380"/>
      <c r="CV689" s="380"/>
      <c r="CW689" s="380"/>
      <c r="CX689" s="376"/>
      <c r="CY689" s="120"/>
      <c r="CZ689" s="120"/>
      <c r="DA689" s="120"/>
      <c r="DB689" s="376"/>
      <c r="DC689" s="120"/>
      <c r="DD689" s="120"/>
      <c r="DE689" s="120"/>
      <c r="DF689" s="515"/>
      <c r="DG689" s="513"/>
      <c r="DH689" s="727"/>
      <c r="DI689" s="384"/>
      <c r="DJ689" s="384"/>
      <c r="DK689" s="384"/>
      <c r="DL689" s="727"/>
      <c r="DM689" s="384"/>
      <c r="DN689" s="384"/>
      <c r="DO689" s="384"/>
      <c r="DP689" s="375"/>
      <c r="DQ689" s="377"/>
      <c r="DR689" s="1182"/>
      <c r="DS689" s="956"/>
      <c r="DT689" s="727"/>
      <c r="DU689" s="384"/>
      <c r="DV689" s="384"/>
      <c r="DW689" s="384"/>
      <c r="DX689" s="384"/>
      <c r="DY689" s="384"/>
      <c r="DZ689" s="384"/>
      <c r="EA689" s="384"/>
      <c r="EB689" s="1012"/>
      <c r="EC689" s="384"/>
      <c r="ED689" s="384"/>
      <c r="EE689" s="384"/>
      <c r="EF689" s="384"/>
      <c r="EG689" s="384"/>
      <c r="EH689" s="384"/>
      <c r="EI689" s="384"/>
      <c r="EJ689" s="384"/>
      <c r="EK689" s="384"/>
      <c r="EL689" s="1012"/>
      <c r="EM689" s="384"/>
      <c r="EN689" s="1012"/>
      <c r="EO689" s="384"/>
      <c r="EP689" s="384"/>
      <c r="EQ689" s="384"/>
      <c r="ER689" s="384"/>
      <c r="ES689" s="384"/>
      <c r="ET689" s="727"/>
      <c r="EU689" s="384"/>
      <c r="EV689" s="384"/>
      <c r="EW689" s="384"/>
      <c r="EX689" s="384"/>
      <c r="EY689" s="384"/>
      <c r="EZ689" s="727"/>
      <c r="FA689" s="384"/>
      <c r="FB689" s="384"/>
      <c r="FC689" s="384"/>
      <c r="FD689" s="727"/>
      <c r="FE689" s="384"/>
      <c r="FF689" s="384"/>
      <c r="FG689" s="384"/>
      <c r="FH689" s="384"/>
      <c r="FI689" s="384"/>
      <c r="FJ689" s="384"/>
    </row>
    <row r="690" spans="1:166" ht="15" hidden="1" customHeight="1">
      <c r="A690" s="79" t="s">
        <v>333</v>
      </c>
      <c r="B690" s="362">
        <v>238</v>
      </c>
      <c r="C690" s="362">
        <v>87</v>
      </c>
      <c r="D690" s="362"/>
      <c r="E690" s="604" t="s">
        <v>8097</v>
      </c>
      <c r="F690" s="124" t="s">
        <v>333</v>
      </c>
      <c r="G690" s="125">
        <v>2011</v>
      </c>
      <c r="H690" s="79">
        <v>21489700</v>
      </c>
      <c r="I690" s="79">
        <v>1</v>
      </c>
      <c r="J690" s="126"/>
      <c r="K690" s="127"/>
      <c r="L690" s="79">
        <v>1</v>
      </c>
      <c r="M690" s="79"/>
      <c r="N690" s="79">
        <v>1</v>
      </c>
      <c r="O690" s="128">
        <v>1</v>
      </c>
      <c r="P690" s="79" t="s">
        <v>867</v>
      </c>
      <c r="Q690" s="79" t="s">
        <v>1147</v>
      </c>
      <c r="R690" s="79" t="s">
        <v>25</v>
      </c>
      <c r="S690" s="79">
        <v>1</v>
      </c>
      <c r="T690" s="79"/>
      <c r="U690" s="79"/>
      <c r="V690" s="79"/>
      <c r="W690" s="79" t="s">
        <v>868</v>
      </c>
      <c r="X690" s="79" t="s">
        <v>436</v>
      </c>
      <c r="Y690" s="79" t="s">
        <v>866</v>
      </c>
      <c r="Z690" s="79"/>
      <c r="AA690" s="79"/>
      <c r="AB690" s="79"/>
      <c r="AC690" s="506"/>
      <c r="AD690" s="573">
        <v>1</v>
      </c>
      <c r="AE690" s="573">
        <v>2</v>
      </c>
      <c r="AF690" s="154">
        <v>1</v>
      </c>
      <c r="AG690" s="155" t="s">
        <v>8088</v>
      </c>
      <c r="AH690" s="704"/>
      <c r="AI690" s="121">
        <v>2</v>
      </c>
      <c r="AJ690" s="484" t="s">
        <v>5740</v>
      </c>
      <c r="AK690" s="202" t="s">
        <v>5723</v>
      </c>
      <c r="AL690" s="192">
        <v>0</v>
      </c>
      <c r="AM690" s="203" t="s">
        <v>5724</v>
      </c>
      <c r="AN690" s="121">
        <f>Table66[[#This Row],[Data_Subjects_n_ptsd]]+Table66[[#This Row],[Data_Subjects_n_control]]</f>
        <v>28</v>
      </c>
      <c r="AO690" s="121">
        <v>13</v>
      </c>
      <c r="AP690" s="121">
        <v>15</v>
      </c>
      <c r="AQ690" s="121" t="s">
        <v>803</v>
      </c>
      <c r="AR690" s="121" t="s">
        <v>803</v>
      </c>
      <c r="AS690" s="121">
        <v>38</v>
      </c>
      <c r="AT690" s="121">
        <v>6.4</v>
      </c>
      <c r="AU690" s="121">
        <v>37.200000000000003</v>
      </c>
      <c r="AV690" s="121">
        <v>6.1</v>
      </c>
      <c r="AW690" s="121" t="s">
        <v>5721</v>
      </c>
      <c r="AX690" s="121"/>
      <c r="AY690" s="121"/>
      <c r="AZ690" s="754" t="s">
        <v>1874</v>
      </c>
      <c r="BA690" s="121" t="s">
        <v>24</v>
      </c>
      <c r="BB690" s="121" t="s">
        <v>24</v>
      </c>
      <c r="BC690" s="121" t="s">
        <v>8110</v>
      </c>
      <c r="BD690" s="754" t="s">
        <v>7521</v>
      </c>
      <c r="BE690" s="187">
        <v>1</v>
      </c>
      <c r="BF690" s="121" t="s">
        <v>5719</v>
      </c>
      <c r="BG690" s="121" t="s">
        <v>5722</v>
      </c>
      <c r="BH690" s="594"/>
      <c r="BI690" s="594"/>
      <c r="BJ690" s="156"/>
      <c r="BK690" s="156"/>
      <c r="BL690" s="156"/>
      <c r="BM690" s="156"/>
      <c r="BN690" s="156"/>
      <c r="BO690" s="156"/>
      <c r="BP690" s="156">
        <v>1</v>
      </c>
      <c r="BQ690" s="156"/>
      <c r="BR690" s="156"/>
      <c r="BS690" s="156"/>
      <c r="BT690" s="156"/>
      <c r="BU690" s="156"/>
      <c r="BV690" s="156"/>
      <c r="BW690" s="595" t="s">
        <v>4208</v>
      </c>
      <c r="BX690" s="157" t="s">
        <v>6611</v>
      </c>
      <c r="BY690" s="797" t="s">
        <v>7616</v>
      </c>
      <c r="BZ690" s="789" t="s">
        <v>7610</v>
      </c>
      <c r="CA690" s="765">
        <v>2</v>
      </c>
      <c r="CB690" s="765" t="s">
        <v>7556</v>
      </c>
      <c r="CC690" s="765" t="s">
        <v>24</v>
      </c>
      <c r="CD690" s="134" t="s">
        <v>1876</v>
      </c>
      <c r="CE690" s="134" t="s">
        <v>5726</v>
      </c>
      <c r="CF690" s="400"/>
      <c r="CG690" s="134" t="s">
        <v>5725</v>
      </c>
      <c r="CH690" s="753" t="s">
        <v>7364</v>
      </c>
      <c r="CI690" s="134" t="s">
        <v>24</v>
      </c>
      <c r="CJ690" s="134"/>
      <c r="CK690" s="134" t="s">
        <v>5730</v>
      </c>
      <c r="CL690" s="134"/>
      <c r="CM690" s="259" t="s">
        <v>5743</v>
      </c>
      <c r="CN690" s="454" t="s">
        <v>6633</v>
      </c>
      <c r="CO690" s="828">
        <v>77</v>
      </c>
      <c r="CP690" s="828">
        <v>1</v>
      </c>
      <c r="CQ690" s="828">
        <v>1</v>
      </c>
      <c r="CR690" s="828">
        <v>1</v>
      </c>
      <c r="CS690" s="828">
        <v>1</v>
      </c>
      <c r="CT690" s="967"/>
      <c r="CU690" s="1288" t="s">
        <v>8103</v>
      </c>
      <c r="CV690" s="1294">
        <v>38</v>
      </c>
      <c r="CW690" s="1294">
        <v>31</v>
      </c>
      <c r="CX690" s="138" t="s">
        <v>5731</v>
      </c>
      <c r="CY690" s="134">
        <v>10.8</v>
      </c>
      <c r="CZ690" s="168">
        <v>2</v>
      </c>
      <c r="DA690" s="134" t="s">
        <v>24</v>
      </c>
      <c r="DB690" s="138" t="s">
        <v>5733</v>
      </c>
      <c r="DC690" s="134">
        <v>11.9</v>
      </c>
      <c r="DD690" s="134">
        <v>1.7</v>
      </c>
      <c r="DE690" s="134" t="s">
        <v>24</v>
      </c>
      <c r="DF690" s="294" t="s">
        <v>24</v>
      </c>
      <c r="DG690" s="295" t="s">
        <v>24</v>
      </c>
      <c r="DH690" s="1169"/>
      <c r="DI690" s="1169"/>
      <c r="DJ690" s="1169"/>
      <c r="DK690" s="1169"/>
      <c r="DL690" s="1169"/>
      <c r="DM690" s="1169"/>
      <c r="DN690" s="1169"/>
      <c r="DO690" s="1169"/>
      <c r="DP690" s="288"/>
      <c r="DQ690" s="289"/>
      <c r="DR690" s="1168"/>
      <c r="DS690" s="865"/>
      <c r="DT690" s="1171"/>
      <c r="DU690" s="1169"/>
      <c r="DV690" s="1169"/>
      <c r="DW690" s="1169"/>
      <c r="DX690" s="1169"/>
      <c r="DY690" s="1169"/>
      <c r="DZ690" s="1169"/>
      <c r="EA690" s="1169"/>
      <c r="EB690" s="304"/>
      <c r="EC690" s="312"/>
      <c r="ED690" s="1169"/>
      <c r="EE690" s="1169"/>
      <c r="EF690" s="1169"/>
      <c r="EG690" s="1169"/>
      <c r="EH690" s="1169"/>
      <c r="EI690" s="1169"/>
      <c r="EJ690" s="1169"/>
      <c r="EK690" s="1169"/>
      <c r="EL690" s="304"/>
      <c r="EM690" s="312"/>
      <c r="EN690" s="309"/>
      <c r="EO690" s="1170"/>
      <c r="EP690" s="1169"/>
      <c r="EQ690" s="1169"/>
      <c r="ER690" s="1169"/>
      <c r="ES690" s="1169"/>
      <c r="ET690" s="1171"/>
      <c r="EU690" s="1169"/>
      <c r="EV690" s="1169"/>
      <c r="EW690" s="1169"/>
      <c r="EX690" s="312"/>
      <c r="EY690" s="312"/>
      <c r="EZ690" s="1171"/>
      <c r="FA690" s="1169"/>
      <c r="FB690" s="1169"/>
      <c r="FC690" s="1169"/>
      <c r="FD690" s="1171"/>
      <c r="FE690" s="1169"/>
      <c r="FF690" s="1169"/>
      <c r="FG690" s="1169"/>
      <c r="FH690" s="312"/>
      <c r="FI690" s="312"/>
      <c r="FJ690" s="1170"/>
    </row>
    <row r="691" spans="1:166" ht="15" hidden="1" customHeight="1">
      <c r="A691" s="79" t="s">
        <v>333</v>
      </c>
      <c r="B691" s="362">
        <v>238</v>
      </c>
      <c r="C691" s="362">
        <v>87</v>
      </c>
      <c r="D691" s="362"/>
      <c r="E691" s="604" t="s">
        <v>8097</v>
      </c>
      <c r="F691" s="124" t="s">
        <v>333</v>
      </c>
      <c r="G691" s="125">
        <v>2011</v>
      </c>
      <c r="H691" s="79">
        <v>21489700</v>
      </c>
      <c r="I691" s="79">
        <v>1</v>
      </c>
      <c r="J691" s="126"/>
      <c r="K691" s="127"/>
      <c r="L691" s="79">
        <v>1</v>
      </c>
      <c r="M691" s="79"/>
      <c r="N691" s="79">
        <v>1</v>
      </c>
      <c r="O691" s="128">
        <v>1</v>
      </c>
      <c r="P691" s="79" t="s">
        <v>867</v>
      </c>
      <c r="Q691" s="79" t="s">
        <v>1147</v>
      </c>
      <c r="R691" s="79" t="s">
        <v>25</v>
      </c>
      <c r="S691" s="79">
        <v>1</v>
      </c>
      <c r="T691" s="79"/>
      <c r="U691" s="79"/>
      <c r="V691" s="79"/>
      <c r="W691" s="79" t="s">
        <v>868</v>
      </c>
      <c r="X691" s="79" t="s">
        <v>436</v>
      </c>
      <c r="Y691" s="79" t="s">
        <v>866</v>
      </c>
      <c r="Z691" s="79"/>
      <c r="AA691" s="79"/>
      <c r="AB691" s="79"/>
      <c r="AC691" s="506"/>
      <c r="AD691" s="573">
        <v>1</v>
      </c>
      <c r="AE691" s="573">
        <v>2</v>
      </c>
      <c r="AF691" s="154">
        <v>1</v>
      </c>
      <c r="AG691" s="155" t="s">
        <v>8088</v>
      </c>
      <c r="AH691" s="704"/>
      <c r="AI691" s="121">
        <v>2</v>
      </c>
      <c r="AJ691" s="484" t="s">
        <v>5740</v>
      </c>
      <c r="AK691" s="202" t="s">
        <v>5723</v>
      </c>
      <c r="AL691" s="192">
        <v>0</v>
      </c>
      <c r="AM691" s="203" t="s">
        <v>5724</v>
      </c>
      <c r="AN691" s="121">
        <f>Table66[[#This Row],[Data_Subjects_n_ptsd]]+Table66[[#This Row],[Data_Subjects_n_control]]</f>
        <v>28</v>
      </c>
      <c r="AO691" s="121">
        <v>13</v>
      </c>
      <c r="AP691" s="121">
        <v>15</v>
      </c>
      <c r="AQ691" s="121" t="s">
        <v>803</v>
      </c>
      <c r="AR691" s="121" t="s">
        <v>803</v>
      </c>
      <c r="AS691" s="121">
        <v>38</v>
      </c>
      <c r="AT691" s="121">
        <v>6.4</v>
      </c>
      <c r="AU691" s="121">
        <v>34.5</v>
      </c>
      <c r="AV691" s="121">
        <v>8.1999999999999993</v>
      </c>
      <c r="AW691" s="121" t="s">
        <v>5721</v>
      </c>
      <c r="AX691" s="121"/>
      <c r="AY691" s="121"/>
      <c r="AZ691" s="754" t="s">
        <v>1874</v>
      </c>
      <c r="BA691" s="121" t="s">
        <v>24</v>
      </c>
      <c r="BB691" s="121" t="s">
        <v>24</v>
      </c>
      <c r="BC691" s="121" t="s">
        <v>8111</v>
      </c>
      <c r="BD691" s="754" t="s">
        <v>7522</v>
      </c>
      <c r="BE691" s="187">
        <v>1</v>
      </c>
      <c r="BF691" s="121" t="s">
        <v>5719</v>
      </c>
      <c r="BG691" s="121" t="s">
        <v>5722</v>
      </c>
      <c r="BH691" s="594"/>
      <c r="BI691" s="594"/>
      <c r="BJ691" s="156"/>
      <c r="BK691" s="156"/>
      <c r="BL691" s="156"/>
      <c r="BM691" s="156"/>
      <c r="BN691" s="156"/>
      <c r="BO691" s="156"/>
      <c r="BP691" s="156">
        <v>1</v>
      </c>
      <c r="BQ691" s="156"/>
      <c r="BR691" s="156"/>
      <c r="BS691" s="156"/>
      <c r="BT691" s="156"/>
      <c r="BU691" s="156"/>
      <c r="BV691" s="156"/>
      <c r="BW691" s="595" t="s">
        <v>4208</v>
      </c>
      <c r="BX691" s="157" t="s">
        <v>6611</v>
      </c>
      <c r="BY691" s="797" t="s">
        <v>7616</v>
      </c>
      <c r="BZ691" s="789" t="s">
        <v>7610</v>
      </c>
      <c r="CA691" s="765">
        <v>2</v>
      </c>
      <c r="CB691" s="765" t="s">
        <v>7556</v>
      </c>
      <c r="CC691" s="765" t="s">
        <v>24</v>
      </c>
      <c r="CD691" s="134" t="s">
        <v>1876</v>
      </c>
      <c r="CE691" s="134" t="s">
        <v>5726</v>
      </c>
      <c r="CF691" s="400"/>
      <c r="CG691" s="134" t="s">
        <v>5725</v>
      </c>
      <c r="CH691" s="753" t="s">
        <v>7364</v>
      </c>
      <c r="CI691" s="134" t="s">
        <v>24</v>
      </c>
      <c r="CJ691" s="134"/>
      <c r="CK691" s="134" t="s">
        <v>5730</v>
      </c>
      <c r="CL691" s="134"/>
      <c r="CM691" s="259" t="s">
        <v>5743</v>
      </c>
      <c r="CN691" s="454" t="s">
        <v>6633</v>
      </c>
      <c r="CO691" s="828">
        <v>77</v>
      </c>
      <c r="CP691" s="828">
        <v>1</v>
      </c>
      <c r="CQ691" s="828">
        <v>2</v>
      </c>
      <c r="CR691" s="828">
        <v>1</v>
      </c>
      <c r="CS691" s="828">
        <v>1</v>
      </c>
      <c r="CT691" s="967"/>
      <c r="CU691" s="1288" t="s">
        <v>8102</v>
      </c>
      <c r="CV691" s="1294">
        <v>38</v>
      </c>
      <c r="CW691" s="1294">
        <v>32</v>
      </c>
      <c r="CX691" s="138" t="s">
        <v>5731</v>
      </c>
      <c r="CY691" s="134">
        <v>10.8</v>
      </c>
      <c r="CZ691" s="168">
        <v>2</v>
      </c>
      <c r="DA691" s="134" t="s">
        <v>24</v>
      </c>
      <c r="DB691" s="138" t="s">
        <v>5735</v>
      </c>
      <c r="DC691" s="134">
        <v>12.1</v>
      </c>
      <c r="DD691" s="134">
        <v>1.1000000000000001</v>
      </c>
      <c r="DE691" s="134" t="s">
        <v>24</v>
      </c>
      <c r="DF691" s="1113" t="s">
        <v>5738</v>
      </c>
      <c r="DG691" s="1123" t="s">
        <v>5739</v>
      </c>
      <c r="DH691" s="1175"/>
      <c r="DI691" s="417"/>
      <c r="DJ691" s="1169"/>
      <c r="DK691" s="417"/>
      <c r="DL691" s="1174"/>
      <c r="DM691" s="417"/>
      <c r="DN691" s="1169"/>
      <c r="DO691" s="1151"/>
      <c r="DP691" s="288"/>
      <c r="DQ691" s="289"/>
      <c r="DR691" s="864"/>
      <c r="DS691" s="865"/>
      <c r="DT691" s="1174"/>
      <c r="DU691" s="417"/>
      <c r="DV691" s="1169"/>
      <c r="DW691" s="641"/>
      <c r="DX691" s="1174"/>
      <c r="DY691" s="417"/>
      <c r="DZ691" s="1169"/>
      <c r="EA691" s="417"/>
      <c r="EB691" s="304"/>
      <c r="EC691" s="312"/>
      <c r="ED691" s="1169"/>
      <c r="EE691" s="1169"/>
      <c r="EF691" s="1169"/>
      <c r="EG691" s="1169"/>
      <c r="EH691" s="1169"/>
      <c r="EI691" s="1169"/>
      <c r="EJ691" s="1169"/>
      <c r="EK691" s="1169"/>
      <c r="EL691" s="304"/>
      <c r="EM691" s="312"/>
      <c r="EN691" s="309"/>
      <c r="EO691" s="1170"/>
      <c r="EP691" s="1169"/>
      <c r="EQ691" s="1169"/>
      <c r="ER691" s="1169"/>
      <c r="ES691" s="1169"/>
      <c r="ET691" s="1171"/>
      <c r="EU691" s="1169"/>
      <c r="EV691" s="1169"/>
      <c r="EW691" s="1169"/>
      <c r="EX691" s="312"/>
      <c r="EY691" s="312"/>
      <c r="EZ691" s="1171"/>
      <c r="FA691" s="1169"/>
      <c r="FB691" s="1169"/>
      <c r="FC691" s="1169"/>
      <c r="FD691" s="1171"/>
      <c r="FE691" s="1169"/>
      <c r="FF691" s="1169"/>
      <c r="FG691" s="1169"/>
      <c r="FH691" s="312"/>
      <c r="FI691" s="312"/>
      <c r="FJ691" s="1170"/>
    </row>
    <row r="692" spans="1:166" s="1475" customFormat="1" ht="15" hidden="1" customHeight="1">
      <c r="A692" s="1445" t="s">
        <v>333</v>
      </c>
      <c r="B692" s="1446">
        <v>238</v>
      </c>
      <c r="C692" s="1446">
        <v>87</v>
      </c>
      <c r="D692" s="1446"/>
      <c r="E692" s="1447" t="s">
        <v>8097</v>
      </c>
      <c r="F692" s="1448" t="s">
        <v>333</v>
      </c>
      <c r="G692" s="1449">
        <v>2011</v>
      </c>
      <c r="H692" s="1445">
        <v>21489700</v>
      </c>
      <c r="I692" s="1445">
        <v>1</v>
      </c>
      <c r="J692" s="1445"/>
      <c r="K692" s="1445"/>
      <c r="L692" s="1445">
        <v>1</v>
      </c>
      <c r="M692" s="1445"/>
      <c r="N692" s="1445">
        <v>1</v>
      </c>
      <c r="O692" s="1450">
        <v>1</v>
      </c>
      <c r="P692" s="1445" t="s">
        <v>867</v>
      </c>
      <c r="Q692" s="1445" t="s">
        <v>1147</v>
      </c>
      <c r="R692" s="1445" t="s">
        <v>25</v>
      </c>
      <c r="S692" s="1445">
        <v>1</v>
      </c>
      <c r="T692" s="1445"/>
      <c r="U692" s="1445"/>
      <c r="V692" s="1445"/>
      <c r="W692" s="1445" t="s">
        <v>868</v>
      </c>
      <c r="X692" s="1445" t="s">
        <v>436</v>
      </c>
      <c r="Y692" s="1445" t="s">
        <v>866</v>
      </c>
      <c r="Z692" s="1445"/>
      <c r="AA692" s="1445"/>
      <c r="AB692" s="1445"/>
      <c r="AC692" s="1451"/>
      <c r="AD692" s="1452">
        <v>1</v>
      </c>
      <c r="AE692" s="1452">
        <v>2</v>
      </c>
      <c r="AF692" s="1609">
        <v>1</v>
      </c>
      <c r="AG692" s="1067" t="s">
        <v>8161</v>
      </c>
      <c r="AH692" s="1611"/>
      <c r="AI692" s="1451"/>
      <c r="AJ692" s="1454"/>
      <c r="AK692" s="1455"/>
      <c r="AL692" s="1456"/>
      <c r="AM692" s="1622"/>
      <c r="AN692" s="1451">
        <f>Table66[[#This Row],[Data_Subjects_n_ptsd]]+Table66[[#This Row],[Data_Subjects_n_control]]</f>
        <v>30</v>
      </c>
      <c r="AO692" s="1645">
        <v>15</v>
      </c>
      <c r="AP692" s="1645">
        <v>15</v>
      </c>
      <c r="AQ692" s="1645" t="s">
        <v>803</v>
      </c>
      <c r="AR692" s="1645" t="s">
        <v>803</v>
      </c>
      <c r="AS692" s="1645">
        <v>37.200000000000003</v>
      </c>
      <c r="AT692" s="1645">
        <v>6.1</v>
      </c>
      <c r="AU692" s="1645">
        <v>34.5</v>
      </c>
      <c r="AV692" s="1645">
        <v>8.1999999999999993</v>
      </c>
      <c r="AW692" s="1451" t="s">
        <v>5721</v>
      </c>
      <c r="AX692" s="1451"/>
      <c r="AY692" s="1451"/>
      <c r="AZ692" s="1451" t="s">
        <v>1874</v>
      </c>
      <c r="BA692" s="1451" t="s">
        <v>24</v>
      </c>
      <c r="BB692" s="1451" t="s">
        <v>24</v>
      </c>
      <c r="BC692" s="1645" t="s">
        <v>8111</v>
      </c>
      <c r="BD692" s="1645" t="s">
        <v>7522</v>
      </c>
      <c r="BE692" s="1678">
        <v>1</v>
      </c>
      <c r="BF692" s="1451" t="s">
        <v>5719</v>
      </c>
      <c r="BG692" s="1645" t="s">
        <v>4508</v>
      </c>
      <c r="BH692" s="1612"/>
      <c r="BI692" s="1612"/>
      <c r="BJ692" s="1613"/>
      <c r="BK692" s="1613"/>
      <c r="BL692" s="1613"/>
      <c r="BM692" s="1613"/>
      <c r="BN692" s="1613"/>
      <c r="BO692" s="1613"/>
      <c r="BP692" s="1613">
        <v>1</v>
      </c>
      <c r="BQ692" s="1613"/>
      <c r="BR692" s="1613"/>
      <c r="BS692" s="1613"/>
      <c r="BT692" s="1613"/>
      <c r="BU692" s="1613"/>
      <c r="BV692" s="1613"/>
      <c r="BW692" s="1614" t="s">
        <v>4208</v>
      </c>
      <c r="BX692" s="1615" t="s">
        <v>6611</v>
      </c>
      <c r="BY692" s="1616" t="s">
        <v>7616</v>
      </c>
      <c r="BZ692" s="1617" t="s">
        <v>7610</v>
      </c>
      <c r="CA692" s="1618">
        <v>2</v>
      </c>
      <c r="CB692" s="1618" t="s">
        <v>7556</v>
      </c>
      <c r="CC692" s="1618" t="s">
        <v>24</v>
      </c>
      <c r="CD692" s="1457" t="s">
        <v>1876</v>
      </c>
      <c r="CE692" s="1457" t="s">
        <v>5726</v>
      </c>
      <c r="CF692" s="1457"/>
      <c r="CG692" s="1457" t="s">
        <v>5725</v>
      </c>
      <c r="CH692" s="1457" t="s">
        <v>7364</v>
      </c>
      <c r="CI692" s="1457" t="s">
        <v>24</v>
      </c>
      <c r="CJ692" s="1457"/>
      <c r="CK692" s="1457" t="s">
        <v>5730</v>
      </c>
      <c r="CL692" s="1457"/>
      <c r="CM692" s="1458"/>
      <c r="CN692" s="1459"/>
      <c r="CO692" s="1460"/>
      <c r="CP692" s="1460"/>
      <c r="CQ692" s="1460"/>
      <c r="CR692" s="1460"/>
      <c r="CS692" s="1460"/>
      <c r="CT692" s="1461"/>
      <c r="CU692" s="1462" t="s">
        <v>8155</v>
      </c>
      <c r="CV692" s="1463" t="s">
        <v>8160</v>
      </c>
      <c r="CW692" s="1463">
        <v>32</v>
      </c>
      <c r="CX692" s="1106" t="s">
        <v>5733</v>
      </c>
      <c r="CY692" s="1107">
        <v>11.9</v>
      </c>
      <c r="CZ692" s="1107">
        <v>1.7</v>
      </c>
      <c r="DA692" s="1107" t="s">
        <v>24</v>
      </c>
      <c r="DB692" s="1106" t="s">
        <v>5735</v>
      </c>
      <c r="DC692" s="1107">
        <v>12.1</v>
      </c>
      <c r="DD692" s="1107">
        <v>1.1000000000000001</v>
      </c>
      <c r="DE692" s="1107" t="s">
        <v>24</v>
      </c>
      <c r="DF692" s="1681"/>
      <c r="DG692" s="1682"/>
      <c r="DH692" s="1620"/>
      <c r="DI692" s="1445"/>
      <c r="DJ692" s="1467"/>
      <c r="DK692" s="1445"/>
      <c r="DL692" s="1468"/>
      <c r="DM692" s="1445"/>
      <c r="DN692" s="1467"/>
      <c r="DO692" s="1683"/>
      <c r="DP692" s="1469"/>
      <c r="DQ692" s="1465"/>
      <c r="DR692" s="1684"/>
      <c r="DS692" s="1621"/>
      <c r="DT692" s="1468"/>
      <c r="DU692" s="1445"/>
      <c r="DV692" s="1467"/>
      <c r="DW692" s="1445"/>
      <c r="DX692" s="1468"/>
      <c r="DY692" s="1445"/>
      <c r="DZ692" s="1467"/>
      <c r="EA692" s="1445"/>
      <c r="EB692" s="1471"/>
      <c r="EC692" s="1472"/>
      <c r="ED692" s="1467"/>
      <c r="EE692" s="1467"/>
      <c r="EF692" s="1467"/>
      <c r="EG692" s="1467"/>
      <c r="EH692" s="1467"/>
      <c r="EI692" s="1467"/>
      <c r="EJ692" s="1467"/>
      <c r="EK692" s="1467"/>
      <c r="EL692" s="1471"/>
      <c r="EM692" s="1472"/>
      <c r="EN692" s="1470"/>
      <c r="EO692" s="1473"/>
      <c r="EP692" s="1467"/>
      <c r="EQ692" s="1467"/>
      <c r="ER692" s="1467"/>
      <c r="ES692" s="1467"/>
      <c r="ET692" s="1468"/>
      <c r="EU692" s="1467"/>
      <c r="EV692" s="1467"/>
      <c r="EW692" s="1467"/>
      <c r="EX692" s="1472"/>
      <c r="EY692" s="1472"/>
      <c r="EZ692" s="1468"/>
      <c r="FA692" s="1467"/>
      <c r="FB692" s="1467"/>
      <c r="FC692" s="1467"/>
      <c r="FD692" s="1468"/>
      <c r="FE692" s="1467"/>
      <c r="FF692" s="1467"/>
      <c r="FG692" s="1467"/>
      <c r="FH692" s="1472"/>
      <c r="FI692" s="1472"/>
      <c r="FJ692" s="1473"/>
    </row>
    <row r="693" spans="1:166" ht="15" hidden="1" customHeight="1">
      <c r="A693" s="79" t="s">
        <v>333</v>
      </c>
      <c r="B693" s="362">
        <v>238</v>
      </c>
      <c r="C693" s="362">
        <v>87</v>
      </c>
      <c r="D693" s="362"/>
      <c r="E693" s="604" t="s">
        <v>8097</v>
      </c>
      <c r="F693" s="124" t="s">
        <v>333</v>
      </c>
      <c r="G693" s="125">
        <v>2011</v>
      </c>
      <c r="H693" s="79">
        <v>21489700</v>
      </c>
      <c r="I693" s="79">
        <v>1</v>
      </c>
      <c r="J693" s="126"/>
      <c r="K693" s="127"/>
      <c r="L693" s="79">
        <v>1</v>
      </c>
      <c r="M693" s="79"/>
      <c r="N693" s="79">
        <v>1</v>
      </c>
      <c r="O693" s="128">
        <v>1</v>
      </c>
      <c r="P693" s="79" t="s">
        <v>867</v>
      </c>
      <c r="Q693" s="79" t="s">
        <v>1147</v>
      </c>
      <c r="R693" s="79" t="s">
        <v>25</v>
      </c>
      <c r="S693" s="79">
        <v>1</v>
      </c>
      <c r="T693" s="79"/>
      <c r="U693" s="79"/>
      <c r="V693" s="79"/>
      <c r="W693" s="79" t="s">
        <v>868</v>
      </c>
      <c r="X693" s="79" t="s">
        <v>436</v>
      </c>
      <c r="Y693" s="79" t="s">
        <v>866</v>
      </c>
      <c r="Z693" s="79"/>
      <c r="AA693" s="79"/>
      <c r="AB693" s="79"/>
      <c r="AC693" s="506"/>
      <c r="AD693" s="573">
        <v>1</v>
      </c>
      <c r="AE693" s="573">
        <v>2</v>
      </c>
      <c r="AF693" s="154">
        <v>1</v>
      </c>
      <c r="AG693" s="155" t="s">
        <v>8088</v>
      </c>
      <c r="AH693" s="704"/>
      <c r="AI693" s="121">
        <v>2</v>
      </c>
      <c r="AJ693" s="484" t="s">
        <v>5740</v>
      </c>
      <c r="AK693" s="202" t="s">
        <v>5723</v>
      </c>
      <c r="AL693" s="192">
        <v>0</v>
      </c>
      <c r="AM693" s="203" t="s">
        <v>5724</v>
      </c>
      <c r="AN693" s="121">
        <f>Table66[[#This Row],[Data_Subjects_n_ptsd]]+Table66[[#This Row],[Data_Subjects_n_control]]</f>
        <v>28</v>
      </c>
      <c r="AO693" s="121">
        <v>13</v>
      </c>
      <c r="AP693" s="121">
        <v>15</v>
      </c>
      <c r="AQ693" s="121" t="s">
        <v>803</v>
      </c>
      <c r="AR693" s="121" t="s">
        <v>803</v>
      </c>
      <c r="AS693" s="121">
        <v>38</v>
      </c>
      <c r="AT693" s="121">
        <v>6.4</v>
      </c>
      <c r="AU693" s="121">
        <v>37.200000000000003</v>
      </c>
      <c r="AV693" s="121">
        <v>6.1</v>
      </c>
      <c r="AW693" s="121" t="s">
        <v>5721</v>
      </c>
      <c r="AX693" s="121"/>
      <c r="AY693" s="121"/>
      <c r="AZ693" s="754" t="s">
        <v>1874</v>
      </c>
      <c r="BA693" s="121" t="s">
        <v>24</v>
      </c>
      <c r="BB693" s="121" t="s">
        <v>24</v>
      </c>
      <c r="BC693" s="121" t="s">
        <v>8110</v>
      </c>
      <c r="BD693" s="754" t="s">
        <v>7521</v>
      </c>
      <c r="BE693" s="187">
        <v>1</v>
      </c>
      <c r="BF693" s="121" t="s">
        <v>5719</v>
      </c>
      <c r="BG693" s="121" t="s">
        <v>5722</v>
      </c>
      <c r="BH693" s="594"/>
      <c r="BI693" s="594"/>
      <c r="BJ693" s="156"/>
      <c r="BK693" s="156"/>
      <c r="BL693" s="156"/>
      <c r="BM693" s="156"/>
      <c r="BN693" s="156"/>
      <c r="BO693" s="156"/>
      <c r="BP693" s="156">
        <v>1</v>
      </c>
      <c r="BQ693" s="156"/>
      <c r="BR693" s="156"/>
      <c r="BS693" s="156"/>
      <c r="BT693" s="156"/>
      <c r="BU693" s="156"/>
      <c r="BV693" s="156"/>
      <c r="BW693" s="595" t="s">
        <v>4208</v>
      </c>
      <c r="BX693" s="157" t="s">
        <v>6611</v>
      </c>
      <c r="BY693" s="797" t="s">
        <v>7616</v>
      </c>
      <c r="BZ693" s="789" t="s">
        <v>803</v>
      </c>
      <c r="CA693" s="765">
        <v>2</v>
      </c>
      <c r="CB693" s="765" t="s">
        <v>7556</v>
      </c>
      <c r="CC693" s="765" t="s">
        <v>24</v>
      </c>
      <c r="CD693" s="134" t="s">
        <v>1876</v>
      </c>
      <c r="CE693" s="134" t="s">
        <v>5726</v>
      </c>
      <c r="CF693" s="400"/>
      <c r="CG693" s="134" t="s">
        <v>5725</v>
      </c>
      <c r="CH693" s="753" t="s">
        <v>7364</v>
      </c>
      <c r="CI693" s="134" t="s">
        <v>24</v>
      </c>
      <c r="CJ693" s="134"/>
      <c r="CK693" s="134" t="s">
        <v>5730</v>
      </c>
      <c r="CL693" s="134" t="s">
        <v>8210</v>
      </c>
      <c r="CM693" s="259" t="s">
        <v>5743</v>
      </c>
      <c r="CN693" s="454" t="s">
        <v>6633</v>
      </c>
      <c r="CO693" s="828">
        <v>77</v>
      </c>
      <c r="CP693" s="828">
        <v>1</v>
      </c>
      <c r="CQ693" s="828">
        <v>3</v>
      </c>
      <c r="CR693" s="828">
        <v>1</v>
      </c>
      <c r="CS693" s="828">
        <v>1</v>
      </c>
      <c r="CT693" s="967"/>
      <c r="CU693" s="1288" t="s">
        <v>8103</v>
      </c>
      <c r="CV693" s="1294">
        <v>38</v>
      </c>
      <c r="CW693" s="1294">
        <v>31</v>
      </c>
      <c r="CX693" s="427" t="s">
        <v>5732</v>
      </c>
      <c r="CY693" s="134">
        <v>7.5</v>
      </c>
      <c r="CZ693" s="134">
        <v>2.9</v>
      </c>
      <c r="DA693" s="134" t="s">
        <v>24</v>
      </c>
      <c r="DB693" s="427" t="s">
        <v>5734</v>
      </c>
      <c r="DC693" s="134">
        <v>9.5</v>
      </c>
      <c r="DD693" s="168">
        <v>2.5</v>
      </c>
      <c r="DE693" s="424" t="s">
        <v>24</v>
      </c>
      <c r="DF693" s="300" t="s">
        <v>5742</v>
      </c>
      <c r="DG693" s="301" t="s">
        <v>5741</v>
      </c>
      <c r="DH693" s="1171"/>
      <c r="DI693" s="1169"/>
      <c r="DJ693" s="1169"/>
      <c r="DK693" s="1169"/>
      <c r="DL693" s="1174"/>
      <c r="DM693" s="1169"/>
      <c r="DN693" s="1169"/>
      <c r="DO693" s="1169"/>
      <c r="DP693" s="288"/>
      <c r="DQ693" s="289"/>
      <c r="DR693" s="1168"/>
      <c r="DS693" s="865"/>
      <c r="DT693" s="1174"/>
      <c r="DU693" s="1169"/>
      <c r="DV693" s="1169"/>
      <c r="DW693" s="1177"/>
      <c r="DX693" s="1174"/>
      <c r="DY693" s="1169"/>
      <c r="DZ693" s="1169"/>
      <c r="EA693" s="1169"/>
      <c r="EB693" s="304"/>
      <c r="EC693" s="312"/>
      <c r="ED693" s="1169"/>
      <c r="EE693" s="1169"/>
      <c r="EF693" s="1169"/>
      <c r="EG693" s="1169"/>
      <c r="EH693" s="1169"/>
      <c r="EI693" s="1169"/>
      <c r="EJ693" s="1169"/>
      <c r="EK693" s="1169"/>
      <c r="EL693" s="304"/>
      <c r="EM693" s="312"/>
      <c r="EN693" s="309"/>
      <c r="EO693" s="1170"/>
      <c r="EP693" s="1169"/>
      <c r="EQ693" s="1169"/>
      <c r="ER693" s="1169"/>
      <c r="ES693" s="1169"/>
      <c r="ET693" s="1171"/>
      <c r="EU693" s="1169"/>
      <c r="EV693" s="1169"/>
      <c r="EW693" s="1169"/>
      <c r="EX693" s="312"/>
      <c r="EY693" s="312"/>
      <c r="EZ693" s="1171"/>
      <c r="FA693" s="1169"/>
      <c r="FB693" s="1169"/>
      <c r="FC693" s="1169"/>
      <c r="FD693" s="1171"/>
      <c r="FE693" s="1169"/>
      <c r="FF693" s="1169"/>
      <c r="FG693" s="1169"/>
      <c r="FH693" s="312"/>
      <c r="FI693" s="312"/>
      <c r="FJ693" s="1170"/>
    </row>
    <row r="694" spans="1:166" ht="15" hidden="1" customHeight="1">
      <c r="A694" s="79" t="s">
        <v>333</v>
      </c>
      <c r="B694" s="362">
        <v>238</v>
      </c>
      <c r="C694" s="362">
        <v>87</v>
      </c>
      <c r="D694" s="362"/>
      <c r="E694" s="604" t="s">
        <v>8097</v>
      </c>
      <c r="F694" s="124" t="s">
        <v>333</v>
      </c>
      <c r="G694" s="125">
        <v>2011</v>
      </c>
      <c r="H694" s="79">
        <v>21489700</v>
      </c>
      <c r="I694" s="79">
        <v>1</v>
      </c>
      <c r="J694" s="126"/>
      <c r="K694" s="127"/>
      <c r="L694" s="79">
        <v>1</v>
      </c>
      <c r="M694" s="79"/>
      <c r="N694" s="79">
        <v>1</v>
      </c>
      <c r="O694" s="128">
        <v>1</v>
      </c>
      <c r="P694" s="79" t="s">
        <v>867</v>
      </c>
      <c r="Q694" s="79" t="s">
        <v>1147</v>
      </c>
      <c r="R694" s="79" t="s">
        <v>25</v>
      </c>
      <c r="S694" s="79">
        <v>1</v>
      </c>
      <c r="T694" s="79"/>
      <c r="U694" s="79"/>
      <c r="V694" s="79"/>
      <c r="W694" s="79" t="s">
        <v>868</v>
      </c>
      <c r="X694" s="79" t="s">
        <v>436</v>
      </c>
      <c r="Y694" s="79" t="s">
        <v>866</v>
      </c>
      <c r="Z694" s="79"/>
      <c r="AA694" s="79"/>
      <c r="AB694" s="79"/>
      <c r="AC694" s="506"/>
      <c r="AD694" s="573">
        <v>1</v>
      </c>
      <c r="AE694" s="573">
        <v>2</v>
      </c>
      <c r="AF694" s="154">
        <v>1</v>
      </c>
      <c r="AG694" s="155" t="s">
        <v>8088</v>
      </c>
      <c r="AH694" s="704"/>
      <c r="AI694" s="121">
        <v>2</v>
      </c>
      <c r="AJ694" s="484" t="s">
        <v>5740</v>
      </c>
      <c r="AK694" s="202" t="s">
        <v>5723</v>
      </c>
      <c r="AL694" s="192">
        <v>0</v>
      </c>
      <c r="AM694" s="203" t="s">
        <v>5724</v>
      </c>
      <c r="AN694" s="121">
        <f>Table66[[#This Row],[Data_Subjects_n_ptsd]]+Table66[[#This Row],[Data_Subjects_n_control]]</f>
        <v>28</v>
      </c>
      <c r="AO694" s="121">
        <v>13</v>
      </c>
      <c r="AP694" s="121">
        <v>15</v>
      </c>
      <c r="AQ694" s="121" t="s">
        <v>803</v>
      </c>
      <c r="AR694" s="121" t="s">
        <v>803</v>
      </c>
      <c r="AS694" s="121">
        <v>38</v>
      </c>
      <c r="AT694" s="121">
        <v>6.4</v>
      </c>
      <c r="AU694" s="121">
        <v>34.5</v>
      </c>
      <c r="AV694" s="121">
        <v>8.1999999999999993</v>
      </c>
      <c r="AW694" s="121" t="s">
        <v>5721</v>
      </c>
      <c r="AX694" s="121"/>
      <c r="AY694" s="121"/>
      <c r="AZ694" s="754" t="s">
        <v>1874</v>
      </c>
      <c r="BA694" s="121" t="s">
        <v>24</v>
      </c>
      <c r="BB694" s="121" t="s">
        <v>24</v>
      </c>
      <c r="BC694" s="121" t="s">
        <v>8111</v>
      </c>
      <c r="BD694" s="754" t="s">
        <v>7522</v>
      </c>
      <c r="BE694" s="187">
        <v>1</v>
      </c>
      <c r="BF694" s="121" t="s">
        <v>5719</v>
      </c>
      <c r="BG694" s="121" t="s">
        <v>5722</v>
      </c>
      <c r="BH694" s="594"/>
      <c r="BI694" s="594"/>
      <c r="BJ694" s="156"/>
      <c r="BK694" s="156"/>
      <c r="BL694" s="156"/>
      <c r="BM694" s="156"/>
      <c r="BN694" s="156"/>
      <c r="BO694" s="156"/>
      <c r="BP694" s="156">
        <v>1</v>
      </c>
      <c r="BQ694" s="156"/>
      <c r="BR694" s="156"/>
      <c r="BS694" s="156"/>
      <c r="BT694" s="156"/>
      <c r="BU694" s="156"/>
      <c r="BV694" s="156"/>
      <c r="BW694" s="595" t="s">
        <v>4208</v>
      </c>
      <c r="BX694" s="157" t="s">
        <v>6611</v>
      </c>
      <c r="BY694" s="797" t="s">
        <v>7616</v>
      </c>
      <c r="BZ694" s="789" t="s">
        <v>803</v>
      </c>
      <c r="CA694" s="765">
        <v>2</v>
      </c>
      <c r="CB694" s="765" t="s">
        <v>7556</v>
      </c>
      <c r="CC694" s="765" t="s">
        <v>24</v>
      </c>
      <c r="CD694" s="134" t="s">
        <v>1876</v>
      </c>
      <c r="CE694" s="134" t="s">
        <v>5726</v>
      </c>
      <c r="CF694" s="400"/>
      <c r="CG694" s="134" t="s">
        <v>5725</v>
      </c>
      <c r="CH694" s="753" t="s">
        <v>7364</v>
      </c>
      <c r="CI694" s="134" t="s">
        <v>24</v>
      </c>
      <c r="CJ694" s="134"/>
      <c r="CK694" s="134" t="s">
        <v>5730</v>
      </c>
      <c r="CL694" s="134" t="s">
        <v>8210</v>
      </c>
      <c r="CM694" s="259" t="s">
        <v>5743</v>
      </c>
      <c r="CN694" s="454" t="s">
        <v>6633</v>
      </c>
      <c r="CO694" s="828">
        <v>77</v>
      </c>
      <c r="CP694" s="828">
        <v>1</v>
      </c>
      <c r="CQ694" s="828">
        <v>4</v>
      </c>
      <c r="CR694" s="828">
        <v>1</v>
      </c>
      <c r="CS694" s="828">
        <v>1</v>
      </c>
      <c r="CT694" s="967"/>
      <c r="CU694" s="1288" t="s">
        <v>8102</v>
      </c>
      <c r="CV694" s="1294">
        <v>38</v>
      </c>
      <c r="CW694" s="1294">
        <v>32</v>
      </c>
      <c r="CX694" s="427" t="s">
        <v>5732</v>
      </c>
      <c r="CY694" s="134">
        <v>7.5</v>
      </c>
      <c r="CZ694" s="134">
        <v>2.9</v>
      </c>
      <c r="DA694" s="134" t="s">
        <v>24</v>
      </c>
      <c r="DB694" s="427" t="s">
        <v>5736</v>
      </c>
      <c r="DC694" s="134">
        <v>10.199999999999999</v>
      </c>
      <c r="DD694" s="134">
        <v>2.7</v>
      </c>
      <c r="DE694" s="134" t="s">
        <v>24</v>
      </c>
      <c r="DF694" s="549"/>
      <c r="DG694" s="551"/>
      <c r="DH694" s="1171"/>
      <c r="DI694" s="1169"/>
      <c r="DJ694" s="1169"/>
      <c r="DK694" s="1169"/>
      <c r="DL694" s="1174"/>
      <c r="DM694" s="1169"/>
      <c r="DN694" s="1169"/>
      <c r="DO694" s="1169"/>
      <c r="DP694" s="288"/>
      <c r="DQ694" s="289"/>
      <c r="DR694" s="1168"/>
      <c r="DS694" s="865"/>
      <c r="DT694" s="1174"/>
      <c r="DU694" s="1169"/>
      <c r="DV694" s="1169"/>
      <c r="DW694" s="1177"/>
      <c r="DX694" s="1174"/>
      <c r="DY694" s="1169"/>
      <c r="DZ694" s="1169"/>
      <c r="EA694" s="1169"/>
      <c r="EB694" s="304"/>
      <c r="EC694" s="312"/>
      <c r="ED694" s="1169"/>
      <c r="EE694" s="1169"/>
      <c r="EF694" s="1169"/>
      <c r="EG694" s="1169"/>
      <c r="EH694" s="1169"/>
      <c r="EI694" s="1169"/>
      <c r="EJ694" s="1169"/>
      <c r="EK694" s="1169"/>
      <c r="EL694" s="304"/>
      <c r="EM694" s="312"/>
      <c r="EN694" s="309"/>
      <c r="EO694" s="1170"/>
      <c r="EP694" s="1169"/>
      <c r="EQ694" s="1169"/>
      <c r="ER694" s="1169"/>
      <c r="ES694" s="1169"/>
      <c r="ET694" s="1171"/>
      <c r="EU694" s="1169"/>
      <c r="EV694" s="1169"/>
      <c r="EW694" s="1169"/>
      <c r="EX694" s="312"/>
      <c r="EY694" s="312"/>
      <c r="EZ694" s="1171"/>
      <c r="FA694" s="1169"/>
      <c r="FB694" s="1169"/>
      <c r="FC694" s="1169"/>
      <c r="FD694" s="1171"/>
      <c r="FE694" s="1169"/>
      <c r="FF694" s="1169"/>
      <c r="FG694" s="1169"/>
      <c r="FH694" s="312"/>
      <c r="FI694" s="312"/>
      <c r="FJ694" s="1170"/>
    </row>
    <row r="695" spans="1:166" s="1475" customFormat="1" ht="15" hidden="1" customHeight="1">
      <c r="A695" s="1445" t="s">
        <v>333</v>
      </c>
      <c r="B695" s="1446">
        <v>238</v>
      </c>
      <c r="C695" s="1446">
        <v>87</v>
      </c>
      <c r="D695" s="1446"/>
      <c r="E695" s="1447" t="s">
        <v>8097</v>
      </c>
      <c r="F695" s="1448" t="s">
        <v>333</v>
      </c>
      <c r="G695" s="1449">
        <v>2011</v>
      </c>
      <c r="H695" s="1445">
        <v>21489700</v>
      </c>
      <c r="I695" s="1445">
        <v>1</v>
      </c>
      <c r="J695" s="1445"/>
      <c r="K695" s="1445"/>
      <c r="L695" s="1445">
        <v>1</v>
      </c>
      <c r="M695" s="1445"/>
      <c r="N695" s="1445">
        <v>1</v>
      </c>
      <c r="O695" s="1450">
        <v>1</v>
      </c>
      <c r="P695" s="1445" t="s">
        <v>867</v>
      </c>
      <c r="Q695" s="1445" t="s">
        <v>1147</v>
      </c>
      <c r="R695" s="1445" t="s">
        <v>25</v>
      </c>
      <c r="S695" s="1445">
        <v>1</v>
      </c>
      <c r="T695" s="1445"/>
      <c r="U695" s="1445"/>
      <c r="V695" s="1445"/>
      <c r="W695" s="1445" t="s">
        <v>868</v>
      </c>
      <c r="X695" s="1445" t="s">
        <v>436</v>
      </c>
      <c r="Y695" s="1445" t="s">
        <v>866</v>
      </c>
      <c r="Z695" s="1445"/>
      <c r="AA695" s="1445"/>
      <c r="AB695" s="1445"/>
      <c r="AC695" s="1451"/>
      <c r="AD695" s="1452">
        <v>1</v>
      </c>
      <c r="AE695" s="1452">
        <v>2</v>
      </c>
      <c r="AF695" s="1609">
        <v>1</v>
      </c>
      <c r="AG695" s="1067" t="s">
        <v>8161</v>
      </c>
      <c r="AH695" s="1611"/>
      <c r="AI695" s="1451"/>
      <c r="AJ695" s="1454"/>
      <c r="AK695" s="1455"/>
      <c r="AL695" s="1456"/>
      <c r="AM695" s="1622"/>
      <c r="AN695" s="1451">
        <f>Table66[[#This Row],[Data_Subjects_n_ptsd]]+Table66[[#This Row],[Data_Subjects_n_control]]</f>
        <v>30</v>
      </c>
      <c r="AO695" s="1645">
        <v>15</v>
      </c>
      <c r="AP695" s="1645">
        <v>15</v>
      </c>
      <c r="AQ695" s="1645" t="s">
        <v>803</v>
      </c>
      <c r="AR695" s="1645" t="s">
        <v>803</v>
      </c>
      <c r="AS695" s="1645">
        <v>37.200000000000003</v>
      </c>
      <c r="AT695" s="1645">
        <v>6.1</v>
      </c>
      <c r="AU695" s="1645">
        <v>34.5</v>
      </c>
      <c r="AV695" s="1645">
        <v>8.1999999999999993</v>
      </c>
      <c r="AW695" s="1451" t="s">
        <v>5721</v>
      </c>
      <c r="AX695" s="1451"/>
      <c r="AY695" s="1451"/>
      <c r="AZ695" s="1451" t="s">
        <v>1874</v>
      </c>
      <c r="BA695" s="1451" t="s">
        <v>24</v>
      </c>
      <c r="BB695" s="1451" t="s">
        <v>24</v>
      </c>
      <c r="BC695" s="1645" t="s">
        <v>8111</v>
      </c>
      <c r="BD695" s="1645" t="s">
        <v>7522</v>
      </c>
      <c r="BE695" s="1678">
        <v>1</v>
      </c>
      <c r="BF695" s="1451" t="s">
        <v>5719</v>
      </c>
      <c r="BG695" s="1645" t="s">
        <v>4508</v>
      </c>
      <c r="BH695" s="1612"/>
      <c r="BI695" s="1612"/>
      <c r="BJ695" s="1613"/>
      <c r="BK695" s="1613"/>
      <c r="BL695" s="1613"/>
      <c r="BM695" s="1613"/>
      <c r="BN695" s="1613"/>
      <c r="BO695" s="1613"/>
      <c r="BP695" s="1613">
        <v>1</v>
      </c>
      <c r="BQ695" s="1613"/>
      <c r="BR695" s="1613"/>
      <c r="BS695" s="1613"/>
      <c r="BT695" s="1613"/>
      <c r="BU695" s="1613"/>
      <c r="BV695" s="1613"/>
      <c r="BW695" s="1614" t="s">
        <v>4208</v>
      </c>
      <c r="BX695" s="1615" t="s">
        <v>6611</v>
      </c>
      <c r="BY695" s="1616" t="s">
        <v>7616</v>
      </c>
      <c r="BZ695" s="1617" t="s">
        <v>803</v>
      </c>
      <c r="CA695" s="1618">
        <v>2</v>
      </c>
      <c r="CB695" s="1618" t="s">
        <v>7556</v>
      </c>
      <c r="CC695" s="1618" t="s">
        <v>24</v>
      </c>
      <c r="CD695" s="1457" t="s">
        <v>1876</v>
      </c>
      <c r="CE695" s="1457" t="s">
        <v>5726</v>
      </c>
      <c r="CF695" s="1457"/>
      <c r="CG695" s="1457" t="s">
        <v>5725</v>
      </c>
      <c r="CH695" s="1457" t="s">
        <v>7364</v>
      </c>
      <c r="CI695" s="1457" t="s">
        <v>24</v>
      </c>
      <c r="CJ695" s="1457"/>
      <c r="CK695" s="1457" t="s">
        <v>5730</v>
      </c>
      <c r="CL695" s="1457" t="s">
        <v>8210</v>
      </c>
      <c r="CM695" s="1458"/>
      <c r="CN695" s="1459"/>
      <c r="CO695" s="1460"/>
      <c r="CP695" s="1460"/>
      <c r="CQ695" s="1460"/>
      <c r="CR695" s="1460"/>
      <c r="CS695" s="1460"/>
      <c r="CT695" s="1461"/>
      <c r="CU695" s="1462" t="s">
        <v>8155</v>
      </c>
      <c r="CV695" s="1463" t="s">
        <v>8160</v>
      </c>
      <c r="CW695" s="1463">
        <v>32</v>
      </c>
      <c r="CX695" s="1280" t="s">
        <v>5734</v>
      </c>
      <c r="CY695" s="1107">
        <v>9.5</v>
      </c>
      <c r="CZ695" s="1685">
        <v>2.5</v>
      </c>
      <c r="DA695" s="1031" t="s">
        <v>24</v>
      </c>
      <c r="DB695" s="1280" t="s">
        <v>5736</v>
      </c>
      <c r="DC695" s="1107">
        <v>10.199999999999999</v>
      </c>
      <c r="DD695" s="1107">
        <v>2.7</v>
      </c>
      <c r="DE695" s="1107" t="s">
        <v>24</v>
      </c>
      <c r="DF695" s="1679"/>
      <c r="DG695" s="1680"/>
      <c r="DH695" s="1468"/>
      <c r="DI695" s="1467"/>
      <c r="DJ695" s="1467"/>
      <c r="DK695" s="1467"/>
      <c r="DL695" s="1468"/>
      <c r="DM695" s="1467"/>
      <c r="DN695" s="1467"/>
      <c r="DO695" s="1467"/>
      <c r="DP695" s="1469"/>
      <c r="DQ695" s="1465"/>
      <c r="DR695" s="1470"/>
      <c r="DS695" s="1621"/>
      <c r="DT695" s="1468"/>
      <c r="DU695" s="1467"/>
      <c r="DV695" s="1467"/>
      <c r="DW695" s="1467"/>
      <c r="DX695" s="1468"/>
      <c r="DY695" s="1467"/>
      <c r="DZ695" s="1467"/>
      <c r="EA695" s="1467"/>
      <c r="EB695" s="1471"/>
      <c r="EC695" s="1472"/>
      <c r="ED695" s="1467"/>
      <c r="EE695" s="1467"/>
      <c r="EF695" s="1467"/>
      <c r="EG695" s="1467"/>
      <c r="EH695" s="1467"/>
      <c r="EI695" s="1467"/>
      <c r="EJ695" s="1467"/>
      <c r="EK695" s="1467"/>
      <c r="EL695" s="1471"/>
      <c r="EM695" s="1472"/>
      <c r="EN695" s="1470"/>
      <c r="EO695" s="1473"/>
      <c r="EP695" s="1467"/>
      <c r="EQ695" s="1467"/>
      <c r="ER695" s="1467"/>
      <c r="ES695" s="1467"/>
      <c r="ET695" s="1468"/>
      <c r="EU695" s="1467"/>
      <c r="EV695" s="1467"/>
      <c r="EW695" s="1467"/>
      <c r="EX695" s="1472"/>
      <c r="EY695" s="1472"/>
      <c r="EZ695" s="1468"/>
      <c r="FA695" s="1467"/>
      <c r="FB695" s="1467"/>
      <c r="FC695" s="1467"/>
      <c r="FD695" s="1468"/>
      <c r="FE695" s="1467"/>
      <c r="FF695" s="1467"/>
      <c r="FG695" s="1467"/>
      <c r="FH695" s="1472"/>
      <c r="FI695" s="1472"/>
      <c r="FJ695" s="1473"/>
    </row>
    <row r="696" spans="1:166" ht="15" hidden="1" customHeight="1">
      <c r="A696" s="79" t="s">
        <v>334</v>
      </c>
      <c r="B696" s="362">
        <v>239</v>
      </c>
      <c r="C696" s="362"/>
      <c r="D696" s="362">
        <v>98</v>
      </c>
      <c r="E696" s="604" t="s">
        <v>8098</v>
      </c>
      <c r="F696" s="124" t="s">
        <v>2272</v>
      </c>
      <c r="G696" s="125">
        <v>2015</v>
      </c>
      <c r="H696" s="79">
        <v>25154707</v>
      </c>
      <c r="I696" s="79">
        <v>1</v>
      </c>
      <c r="J696" s="126"/>
      <c r="K696" s="127"/>
      <c r="L696" s="79">
        <v>1</v>
      </c>
      <c r="M696" s="79"/>
      <c r="N696" s="79">
        <v>1</v>
      </c>
      <c r="O696" s="128">
        <v>1</v>
      </c>
      <c r="P696" s="79" t="s">
        <v>870</v>
      </c>
      <c r="Q696" s="79" t="s">
        <v>1192</v>
      </c>
      <c r="R696" s="79" t="s">
        <v>25</v>
      </c>
      <c r="S696" s="79">
        <v>1</v>
      </c>
      <c r="T696" s="79"/>
      <c r="U696" s="79"/>
      <c r="V696" s="79"/>
      <c r="W696" s="79" t="s">
        <v>869</v>
      </c>
      <c r="X696" s="79" t="s">
        <v>56</v>
      </c>
      <c r="Y696" s="79"/>
      <c r="Z696" s="79"/>
      <c r="AA696" s="79"/>
      <c r="AB696" s="79" t="s">
        <v>871</v>
      </c>
      <c r="AC696" s="506" t="s">
        <v>6305</v>
      </c>
      <c r="AD696" s="573">
        <v>1</v>
      </c>
      <c r="AE696" s="573">
        <v>0</v>
      </c>
      <c r="AF696" s="924">
        <v>2</v>
      </c>
      <c r="AG696" s="925"/>
      <c r="AH696" s="911"/>
      <c r="AI696" s="923">
        <v>2</v>
      </c>
      <c r="AJ696" s="923"/>
      <c r="AK696" s="926"/>
      <c r="AL696" s="588"/>
      <c r="AM696" s="927"/>
      <c r="AN696" s="923"/>
      <c r="AO696" s="923"/>
      <c r="AP696" s="923"/>
      <c r="AQ696" s="923"/>
      <c r="AR696" s="923"/>
      <c r="AS696" s="923"/>
      <c r="AT696" s="923"/>
      <c r="AU696" s="923"/>
      <c r="AV696" s="923"/>
      <c r="AW696" s="923"/>
      <c r="AX696" s="923"/>
      <c r="AY696" s="923"/>
      <c r="AZ696" s="915"/>
      <c r="BA696" s="923"/>
      <c r="BB696" s="923"/>
      <c r="BC696" s="923"/>
      <c r="BD696" s="915"/>
      <c r="BE696" s="915"/>
      <c r="BF696" s="923"/>
      <c r="BG696" s="923"/>
      <c r="BH696" s="594"/>
      <c r="BI696" s="594"/>
      <c r="BJ696" s="156"/>
      <c r="BK696" s="156"/>
      <c r="BL696" s="156"/>
      <c r="BM696" s="156" t="s">
        <v>6175</v>
      </c>
      <c r="BN696" s="156"/>
      <c r="BO696" s="156" t="s">
        <v>5207</v>
      </c>
      <c r="BP696" s="156"/>
      <c r="BQ696" s="156"/>
      <c r="BR696" s="156"/>
      <c r="BS696" s="156"/>
      <c r="BT696" s="156"/>
      <c r="BU696" s="156"/>
      <c r="BV696" s="156" t="s">
        <v>6306</v>
      </c>
      <c r="BW696" s="928"/>
      <c r="BX696" s="929"/>
      <c r="BY696" s="929"/>
      <c r="BZ696" s="929"/>
      <c r="CA696" s="184"/>
      <c r="CB696" s="184"/>
      <c r="CC696" s="184"/>
      <c r="CD696" s="923"/>
      <c r="CE696" s="923"/>
      <c r="CF696" s="923"/>
      <c r="CG696" s="923"/>
      <c r="CH696" s="915"/>
      <c r="CI696" s="923"/>
      <c r="CJ696" s="923"/>
      <c r="CK696" s="923"/>
      <c r="CL696" s="923"/>
      <c r="CM696" s="930"/>
      <c r="CN696" s="931"/>
      <c r="CO696" s="931"/>
      <c r="CP696" s="931"/>
      <c r="CQ696" s="931"/>
      <c r="CR696" s="931"/>
      <c r="CS696" s="931"/>
      <c r="CT696" s="967"/>
      <c r="CU696" s="967"/>
      <c r="CV696" s="967"/>
      <c r="CW696" s="967"/>
      <c r="CX696" s="932"/>
      <c r="CY696" s="923"/>
      <c r="CZ696" s="923"/>
      <c r="DA696" s="923"/>
      <c r="DB696" s="923"/>
      <c r="DC696" s="923"/>
      <c r="DD696" s="923"/>
      <c r="DE696" s="923"/>
      <c r="DF696" s="920"/>
      <c r="DG696" s="598"/>
      <c r="DH696" s="950"/>
      <c r="DI696" s="951"/>
      <c r="DJ696" s="951"/>
      <c r="DK696" s="951"/>
      <c r="DL696" s="950"/>
      <c r="DM696" s="951"/>
      <c r="DN696" s="951"/>
      <c r="DO696" s="951"/>
      <c r="DP696" s="930"/>
      <c r="DQ696" s="594"/>
      <c r="DR696" s="1187"/>
      <c r="DS696" s="1186"/>
      <c r="DT696" s="950"/>
      <c r="DU696" s="951"/>
      <c r="DV696" s="951"/>
      <c r="DW696" s="951"/>
      <c r="DX696" s="951"/>
      <c r="DY696" s="951"/>
      <c r="DZ696" s="951"/>
      <c r="EA696" s="951"/>
      <c r="EB696" s="1185"/>
      <c r="EC696" s="951"/>
      <c r="ED696" s="951"/>
      <c r="EE696" s="951"/>
      <c r="EF696" s="951"/>
      <c r="EG696" s="951"/>
      <c r="EH696" s="951"/>
      <c r="EI696" s="951"/>
      <c r="EJ696" s="951"/>
      <c r="EK696" s="951"/>
      <c r="EL696" s="1185"/>
      <c r="EM696" s="951"/>
      <c r="EN696" s="1185"/>
      <c r="EO696" s="951"/>
      <c r="EP696" s="951"/>
      <c r="EQ696" s="951"/>
      <c r="ER696" s="951"/>
      <c r="ES696" s="951"/>
      <c r="ET696" s="950"/>
      <c r="EU696" s="951"/>
      <c r="EV696" s="951"/>
      <c r="EW696" s="951"/>
      <c r="EX696" s="951"/>
      <c r="EY696" s="951"/>
      <c r="EZ696" s="950"/>
      <c r="FA696" s="951"/>
      <c r="FB696" s="951"/>
      <c r="FC696" s="951"/>
      <c r="FD696" s="950"/>
      <c r="FE696" s="951"/>
      <c r="FF696" s="951"/>
      <c r="FG696" s="951"/>
      <c r="FH696" s="951"/>
      <c r="FI696" s="951"/>
      <c r="FJ696" s="951"/>
    </row>
    <row r="697" spans="1:166" ht="15" hidden="1" customHeight="1">
      <c r="A697" s="79" t="s">
        <v>335</v>
      </c>
      <c r="B697" s="362">
        <v>240</v>
      </c>
      <c r="C697" s="362"/>
      <c r="D697" s="362">
        <v>99</v>
      </c>
      <c r="E697" s="604" t="s">
        <v>8098</v>
      </c>
      <c r="F697" s="124" t="s">
        <v>2273</v>
      </c>
      <c r="G697" s="125">
        <v>2014</v>
      </c>
      <c r="H697" s="79">
        <v>24886789</v>
      </c>
      <c r="I697" s="79">
        <v>1</v>
      </c>
      <c r="J697" s="126"/>
      <c r="K697" s="127"/>
      <c r="L697" s="79">
        <v>1</v>
      </c>
      <c r="M697" s="79"/>
      <c r="N697" s="79">
        <v>1</v>
      </c>
      <c r="O697" s="128">
        <v>1</v>
      </c>
      <c r="P697" s="79" t="s">
        <v>870</v>
      </c>
      <c r="Q697" s="79" t="s">
        <v>1192</v>
      </c>
      <c r="R697" s="79" t="s">
        <v>25</v>
      </c>
      <c r="S697" s="79">
        <v>1</v>
      </c>
      <c r="T697" s="79"/>
      <c r="U697" s="79"/>
      <c r="V697" s="79"/>
      <c r="W697" s="79" t="s">
        <v>872</v>
      </c>
      <c r="X697" s="79" t="s">
        <v>56</v>
      </c>
      <c r="Y697" s="79"/>
      <c r="Z697" s="79"/>
      <c r="AA697" s="79"/>
      <c r="AB697" s="79"/>
      <c r="AC697" s="506" t="s">
        <v>6307</v>
      </c>
      <c r="AD697" s="573">
        <v>1</v>
      </c>
      <c r="AE697" s="573">
        <v>0</v>
      </c>
      <c r="AF697" s="924">
        <v>2</v>
      </c>
      <c r="AG697" s="925"/>
      <c r="AH697" s="911"/>
      <c r="AI697" s="923">
        <v>2</v>
      </c>
      <c r="AJ697" s="923"/>
      <c r="AK697" s="926"/>
      <c r="AL697" s="588"/>
      <c r="AM697" s="927"/>
      <c r="AN697" s="923"/>
      <c r="AO697" s="923"/>
      <c r="AP697" s="923"/>
      <c r="AQ697" s="923"/>
      <c r="AR697" s="923"/>
      <c r="AS697" s="923"/>
      <c r="AT697" s="923"/>
      <c r="AU697" s="923"/>
      <c r="AV697" s="923"/>
      <c r="AW697" s="923"/>
      <c r="AX697" s="923"/>
      <c r="AY697" s="923"/>
      <c r="AZ697" s="915"/>
      <c r="BA697" s="923"/>
      <c r="BB697" s="923"/>
      <c r="BC697" s="923"/>
      <c r="BD697" s="915"/>
      <c r="BE697" s="915"/>
      <c r="BF697" s="923"/>
      <c r="BG697" s="923"/>
      <c r="BH697" s="594"/>
      <c r="BI697" s="594"/>
      <c r="BJ697" s="156"/>
      <c r="BK697" s="156"/>
      <c r="BL697" s="156"/>
      <c r="BM697" s="156" t="s">
        <v>6175</v>
      </c>
      <c r="BN697" s="156"/>
      <c r="BO697" s="156" t="s">
        <v>5207</v>
      </c>
      <c r="BP697" s="156"/>
      <c r="BQ697" s="156"/>
      <c r="BR697" s="156"/>
      <c r="BS697" s="156"/>
      <c r="BT697" s="156"/>
      <c r="BU697" s="156"/>
      <c r="BV697" s="156" t="s">
        <v>6306</v>
      </c>
      <c r="BW697" s="928"/>
      <c r="BX697" s="929"/>
      <c r="BY697" s="929"/>
      <c r="BZ697" s="929"/>
      <c r="CA697" s="917"/>
      <c r="CB697" s="917"/>
      <c r="CC697" s="917"/>
      <c r="CD697" s="923"/>
      <c r="CE697" s="923"/>
      <c r="CF697" s="923"/>
      <c r="CG697" s="923"/>
      <c r="CH697" s="915"/>
      <c r="CI697" s="923"/>
      <c r="CJ697" s="923"/>
      <c r="CK697" s="923"/>
      <c r="CL697" s="923"/>
      <c r="CM697" s="930"/>
      <c r="CN697" s="931"/>
      <c r="CO697" s="931"/>
      <c r="CP697" s="931"/>
      <c r="CQ697" s="931"/>
      <c r="CR697" s="931"/>
      <c r="CS697" s="931"/>
      <c r="CT697" s="967"/>
      <c r="CU697" s="967"/>
      <c r="CV697" s="967"/>
      <c r="CW697" s="967"/>
      <c r="CX697" s="932"/>
      <c r="CY697" s="923"/>
      <c r="CZ697" s="923"/>
      <c r="DA697" s="923"/>
      <c r="DB697" s="932"/>
      <c r="DC697" s="923"/>
      <c r="DD697" s="923"/>
      <c r="DE697" s="923"/>
      <c r="DF697" s="920"/>
      <c r="DG697" s="598"/>
      <c r="DH697" s="950"/>
      <c r="DI697" s="951"/>
      <c r="DJ697" s="951"/>
      <c r="DK697" s="951"/>
      <c r="DL697" s="950"/>
      <c r="DM697" s="951"/>
      <c r="DN697" s="951"/>
      <c r="DO697" s="951"/>
      <c r="DP697" s="930"/>
      <c r="DQ697" s="594"/>
      <c r="DR697" s="1187"/>
      <c r="DS697" s="1186"/>
      <c r="DT697" s="950"/>
      <c r="DU697" s="951"/>
      <c r="DV697" s="951"/>
      <c r="DW697" s="951"/>
      <c r="DX697" s="951"/>
      <c r="DY697" s="951"/>
      <c r="DZ697" s="951"/>
      <c r="EA697" s="951"/>
      <c r="EB697" s="1185"/>
      <c r="EC697" s="951"/>
      <c r="ED697" s="951"/>
      <c r="EE697" s="951"/>
      <c r="EF697" s="951"/>
      <c r="EG697" s="951"/>
      <c r="EH697" s="951"/>
      <c r="EI697" s="951"/>
      <c r="EJ697" s="951"/>
      <c r="EK697" s="951"/>
      <c r="EL697" s="1185"/>
      <c r="EM697" s="951"/>
      <c r="EN697" s="1185"/>
      <c r="EO697" s="951"/>
      <c r="EP697" s="951"/>
      <c r="EQ697" s="951"/>
      <c r="ER697" s="951"/>
      <c r="ES697" s="951"/>
      <c r="ET697" s="950"/>
      <c r="EU697" s="951"/>
      <c r="EV697" s="951"/>
      <c r="EW697" s="951"/>
      <c r="EX697" s="951"/>
      <c r="EY697" s="951"/>
      <c r="EZ697" s="950"/>
      <c r="FA697" s="951"/>
      <c r="FB697" s="951"/>
      <c r="FC697" s="951"/>
      <c r="FD697" s="950"/>
      <c r="FE697" s="951"/>
      <c r="FF697" s="951"/>
      <c r="FG697" s="951"/>
      <c r="FH697" s="951"/>
      <c r="FI697" s="951"/>
      <c r="FJ697" s="951"/>
    </row>
    <row r="698" spans="1:166" ht="15" customHeight="1">
      <c r="A698" s="79" t="s">
        <v>1019</v>
      </c>
      <c r="B698" s="614">
        <v>29</v>
      </c>
      <c r="C698" s="614"/>
      <c r="D698" s="614"/>
      <c r="E698" s="604" t="s">
        <v>2094</v>
      </c>
      <c r="F698" s="124" t="s">
        <v>2349</v>
      </c>
      <c r="G698" s="125">
        <v>2013</v>
      </c>
      <c r="H698" s="79">
        <v>23474020</v>
      </c>
      <c r="I698" s="79">
        <v>1</v>
      </c>
      <c r="J698" s="126"/>
      <c r="K698" s="127"/>
      <c r="L698" s="79">
        <v>1</v>
      </c>
      <c r="M698" s="79"/>
      <c r="N698" s="153">
        <v>1</v>
      </c>
      <c r="O698" s="128">
        <v>2</v>
      </c>
      <c r="P698" s="79" t="s">
        <v>1419</v>
      </c>
      <c r="Q698" s="79" t="s">
        <v>1216</v>
      </c>
      <c r="R698" s="79" t="s">
        <v>1127</v>
      </c>
      <c r="S698" s="79"/>
      <c r="T698" s="79" t="s">
        <v>1487</v>
      </c>
      <c r="U698" s="79"/>
      <c r="V698" s="79"/>
      <c r="W698" s="79" t="s">
        <v>1418</v>
      </c>
      <c r="X698" s="79"/>
      <c r="Y698" s="79"/>
      <c r="Z698" s="79"/>
      <c r="AA698" s="79" t="s">
        <v>1666</v>
      </c>
      <c r="AB698" s="79" t="s">
        <v>1665</v>
      </c>
      <c r="AC698" s="506"/>
      <c r="AD698" s="573">
        <v>1</v>
      </c>
      <c r="AE698" s="573">
        <v>2</v>
      </c>
      <c r="AF698" s="154">
        <v>1</v>
      </c>
      <c r="AG698" s="155" t="s">
        <v>3178</v>
      </c>
      <c r="AH698" s="704" t="s">
        <v>7546</v>
      </c>
      <c r="AI698" s="121">
        <v>4</v>
      </c>
      <c r="AJ698" s="484"/>
      <c r="AK698" s="202" t="s">
        <v>3176</v>
      </c>
      <c r="AL698" s="192">
        <v>1</v>
      </c>
      <c r="AM698" s="203" t="s">
        <v>7547</v>
      </c>
      <c r="AN698" s="121">
        <f>Table66[[#This Row],[Data_Subjects_n_ptsd]]+Table66[[#This Row],[Data_Subjects_n_control]]</f>
        <v>18</v>
      </c>
      <c r="AO698" s="121">
        <f>(10 + 8)/2</f>
        <v>9</v>
      </c>
      <c r="AP698" s="121">
        <f>(10 + 8)/2</f>
        <v>9</v>
      </c>
      <c r="AQ698" s="121" t="s">
        <v>1878</v>
      </c>
      <c r="AR698" s="134" t="s">
        <v>1878</v>
      </c>
      <c r="AS698" s="134" t="s">
        <v>7487</v>
      </c>
      <c r="AT698" s="134" t="s">
        <v>24</v>
      </c>
      <c r="AU698" s="134" t="s">
        <v>7487</v>
      </c>
      <c r="AV698" s="134" t="s">
        <v>24</v>
      </c>
      <c r="AW698" s="134" t="s">
        <v>2963</v>
      </c>
      <c r="AX698" s="121"/>
      <c r="AY698" s="121"/>
      <c r="AZ698" s="754" t="s">
        <v>1487</v>
      </c>
      <c r="BA698" s="121">
        <v>1</v>
      </c>
      <c r="BB698" s="121">
        <v>1</v>
      </c>
      <c r="BC698" s="121" t="s">
        <v>7548</v>
      </c>
      <c r="BD698" s="754" t="s">
        <v>7523</v>
      </c>
      <c r="BE698" s="754"/>
      <c r="BF698" s="121" t="s">
        <v>2912</v>
      </c>
      <c r="BG698" s="121" t="s">
        <v>2798</v>
      </c>
      <c r="BH698" s="594"/>
      <c r="BI698" s="594"/>
      <c r="BJ698" s="156">
        <v>1</v>
      </c>
      <c r="BK698" s="156"/>
      <c r="BL698" s="156"/>
      <c r="BM698" s="156"/>
      <c r="BN698" s="156"/>
      <c r="BO698" s="156"/>
      <c r="BP698" s="156"/>
      <c r="BQ698" s="156"/>
      <c r="BR698" s="156"/>
      <c r="BS698" s="156"/>
      <c r="BT698" s="156"/>
      <c r="BU698" s="156"/>
      <c r="BV698" s="156"/>
      <c r="BW698" s="595" t="s">
        <v>3194</v>
      </c>
      <c r="BX698" s="157" t="s">
        <v>6598</v>
      </c>
      <c r="BY698" s="797" t="s">
        <v>7615</v>
      </c>
      <c r="BZ698" s="789" t="s">
        <v>803</v>
      </c>
      <c r="CA698" s="765">
        <v>4</v>
      </c>
      <c r="CB698" s="765" t="s">
        <v>7556</v>
      </c>
      <c r="CC698" s="765" t="s">
        <v>7384</v>
      </c>
      <c r="CD698" s="134" t="s">
        <v>1876</v>
      </c>
      <c r="CE698" s="134" t="s">
        <v>3177</v>
      </c>
      <c r="CF698" s="400" t="s">
        <v>7957</v>
      </c>
      <c r="CG698" s="134" t="s">
        <v>7564</v>
      </c>
      <c r="CH698" s="753" t="s">
        <v>1488</v>
      </c>
      <c r="CI698" s="134" t="s">
        <v>3175</v>
      </c>
      <c r="CJ698" s="134"/>
      <c r="CK698" s="134" t="s">
        <v>2659</v>
      </c>
      <c r="CL698" s="134" t="s">
        <v>2659</v>
      </c>
      <c r="CM698" s="259" t="s">
        <v>3202</v>
      </c>
      <c r="CN698" s="454" t="s">
        <v>6627</v>
      </c>
      <c r="CO698" s="828">
        <v>52</v>
      </c>
      <c r="CP698" s="828">
        <v>1</v>
      </c>
      <c r="CQ698" s="828">
        <v>5</v>
      </c>
      <c r="CR698" s="828">
        <v>1</v>
      </c>
      <c r="CS698" s="828">
        <v>-1</v>
      </c>
      <c r="CT698" s="967"/>
      <c r="CU698" s="1289" t="s">
        <v>8104</v>
      </c>
      <c r="CV698" s="1295">
        <v>106</v>
      </c>
      <c r="CW698" s="1295">
        <v>97</v>
      </c>
      <c r="CX698" s="138" t="s">
        <v>3189</v>
      </c>
      <c r="CY698" s="134">
        <v>65.444299999999998</v>
      </c>
      <c r="CZ698" s="134" t="s">
        <v>24</v>
      </c>
      <c r="DA698" s="134">
        <f>67.2025-Table66[[#This Row],[Data_Outcome1_M]]</f>
        <v>1.7582000000000022</v>
      </c>
      <c r="DB698" s="138" t="s">
        <v>3190</v>
      </c>
      <c r="DC698" s="134">
        <v>43.616700000000002</v>
      </c>
      <c r="DD698" s="134" t="s">
        <v>24</v>
      </c>
      <c r="DE698" s="134">
        <f>45.5508-Table66[[#This Row],[Data_Outcome2_M]]</f>
        <v>1.9341000000000008</v>
      </c>
      <c r="DF698" s="436" t="s">
        <v>3199</v>
      </c>
      <c r="DG698" s="436" t="s">
        <v>2410</v>
      </c>
      <c r="DH698" s="1276"/>
      <c r="DI698" s="121"/>
      <c r="DJ698" s="1169"/>
      <c r="DK698" s="121"/>
      <c r="DL698" s="1171"/>
      <c r="DM698" s="121"/>
      <c r="DN698" s="1169"/>
      <c r="DO698" s="121"/>
      <c r="DP698" s="288"/>
      <c r="DQ698" s="289"/>
      <c r="DR698" s="280"/>
      <c r="DS698" s="865"/>
      <c r="DT698" s="1171"/>
      <c r="DU698" s="121"/>
      <c r="DV698" s="1169"/>
      <c r="DW698" s="121"/>
      <c r="DX698" s="1171"/>
      <c r="DY698" s="121"/>
      <c r="DZ698" s="1169"/>
      <c r="EA698" s="121"/>
      <c r="EB698" s="304"/>
      <c r="EC698" s="312"/>
      <c r="ED698" s="1171"/>
      <c r="EE698" s="121"/>
      <c r="EF698" s="1169"/>
      <c r="EG698" s="121"/>
      <c r="EH698" s="1171"/>
      <c r="EI698" s="121"/>
      <c r="EJ698" s="1169"/>
      <c r="EK698" s="121"/>
      <c r="EL698" s="304"/>
      <c r="EM698" s="312"/>
      <c r="EN698" s="309"/>
      <c r="EO698" s="1170"/>
      <c r="EP698" s="1276"/>
      <c r="EQ698" s="121"/>
      <c r="ER698" s="121"/>
      <c r="ES698" s="121"/>
      <c r="ET698" s="1276"/>
      <c r="EU698" s="121"/>
      <c r="EV698" s="121"/>
      <c r="EW698" s="121"/>
      <c r="EX698" s="301"/>
      <c r="EY698" s="301"/>
      <c r="EZ698" s="1276"/>
      <c r="FA698" s="121"/>
      <c r="FB698" s="121"/>
      <c r="FC698" s="121"/>
      <c r="FD698" s="1276"/>
      <c r="FE698" s="121"/>
      <c r="FF698" s="121"/>
      <c r="FG698" s="121"/>
      <c r="FH698" s="301"/>
      <c r="FI698" s="301"/>
      <c r="FJ698" s="1170"/>
    </row>
    <row r="699" spans="1:166" ht="15" customHeight="1">
      <c r="A699" s="876" t="s">
        <v>1019</v>
      </c>
      <c r="B699" s="877">
        <v>29</v>
      </c>
      <c r="C699" s="877"/>
      <c r="D699" s="877"/>
      <c r="E699" s="878" t="s">
        <v>2094</v>
      </c>
      <c r="F699" s="879" t="s">
        <v>2349</v>
      </c>
      <c r="G699" s="880">
        <v>2013</v>
      </c>
      <c r="H699" s="876">
        <v>23474020</v>
      </c>
      <c r="I699" s="876">
        <v>1</v>
      </c>
      <c r="J699" s="876"/>
      <c r="K699" s="876"/>
      <c r="L699" s="876">
        <v>1</v>
      </c>
      <c r="M699" s="876"/>
      <c r="N699" s="1020">
        <v>1</v>
      </c>
      <c r="O699" s="882">
        <v>2</v>
      </c>
      <c r="P699" s="876" t="s">
        <v>1419</v>
      </c>
      <c r="Q699" s="876" t="s">
        <v>1216</v>
      </c>
      <c r="R699" s="876" t="s">
        <v>1127</v>
      </c>
      <c r="S699" s="876"/>
      <c r="T699" s="876" t="s">
        <v>1487</v>
      </c>
      <c r="U699" s="876"/>
      <c r="V699" s="876"/>
      <c r="W699" s="876" t="s">
        <v>1418</v>
      </c>
      <c r="X699" s="876"/>
      <c r="Y699" s="876"/>
      <c r="Z699" s="876"/>
      <c r="AA699" s="876" t="s">
        <v>1666</v>
      </c>
      <c r="AB699" s="876" t="s">
        <v>1665</v>
      </c>
      <c r="AC699" s="883"/>
      <c r="AD699" s="884">
        <v>1</v>
      </c>
      <c r="AE699" s="884">
        <v>2</v>
      </c>
      <c r="AF699" s="885">
        <v>1</v>
      </c>
      <c r="AG699" s="886" t="s">
        <v>3178</v>
      </c>
      <c r="AH699" s="887" t="s">
        <v>7546</v>
      </c>
      <c r="AI699" s="883">
        <v>4</v>
      </c>
      <c r="AJ699" s="888"/>
      <c r="AK699" s="889" t="s">
        <v>3176</v>
      </c>
      <c r="AL699" s="890">
        <v>1</v>
      </c>
      <c r="AM699" s="891" t="s">
        <v>7547</v>
      </c>
      <c r="AN699" s="121">
        <f>Table66[[#This Row],[Data_Subjects_n_ptsd]]+Table66[[#This Row],[Data_Subjects_n_control]]</f>
        <v>18</v>
      </c>
      <c r="AO699" s="121">
        <f>(10 + 8)/2</f>
        <v>9</v>
      </c>
      <c r="AP699" s="121">
        <f>(10 + 8)/2</f>
        <v>9</v>
      </c>
      <c r="AQ699" s="883" t="s">
        <v>1878</v>
      </c>
      <c r="AR699" s="899" t="s">
        <v>1878</v>
      </c>
      <c r="AS699" s="899" t="s">
        <v>7487</v>
      </c>
      <c r="AT699" s="899" t="s">
        <v>24</v>
      </c>
      <c r="AU699" s="899" t="s">
        <v>7487</v>
      </c>
      <c r="AV699" s="899" t="s">
        <v>24</v>
      </c>
      <c r="AW699" s="899" t="s">
        <v>2963</v>
      </c>
      <c r="AX699" s="883"/>
      <c r="AY699" s="883"/>
      <c r="AZ699" s="883" t="s">
        <v>1487</v>
      </c>
      <c r="BA699" s="883">
        <v>1</v>
      </c>
      <c r="BB699" s="883">
        <v>1</v>
      </c>
      <c r="BC699" s="883" t="s">
        <v>7548</v>
      </c>
      <c r="BD699" s="883" t="s">
        <v>7523</v>
      </c>
      <c r="BE699" s="883"/>
      <c r="BF699" s="883" t="s">
        <v>2912</v>
      </c>
      <c r="BG699" s="883" t="s">
        <v>2798</v>
      </c>
      <c r="BH699" s="892"/>
      <c r="BI699" s="892"/>
      <c r="BJ699" s="893">
        <v>1</v>
      </c>
      <c r="BK699" s="893"/>
      <c r="BL699" s="893"/>
      <c r="BM699" s="893"/>
      <c r="BN699" s="893"/>
      <c r="BO699" s="893"/>
      <c r="BP699" s="893"/>
      <c r="BQ699" s="893"/>
      <c r="BR699" s="893"/>
      <c r="BS699" s="893"/>
      <c r="BT699" s="893"/>
      <c r="BU699" s="893"/>
      <c r="BV699" s="893"/>
      <c r="BW699" s="894" t="s">
        <v>3194</v>
      </c>
      <c r="BX699" s="895" t="s">
        <v>6598</v>
      </c>
      <c r="BY699" s="896" t="s">
        <v>7615</v>
      </c>
      <c r="BZ699" s="789" t="s">
        <v>803</v>
      </c>
      <c r="CA699" s="1001">
        <v>4</v>
      </c>
      <c r="CB699" s="1001" t="s">
        <v>7556</v>
      </c>
      <c r="CC699" s="1001" t="s">
        <v>7384</v>
      </c>
      <c r="CD699" s="899" t="s">
        <v>1876</v>
      </c>
      <c r="CE699" s="899" t="s">
        <v>3177</v>
      </c>
      <c r="CF699" s="899" t="s">
        <v>7958</v>
      </c>
      <c r="CG699" s="899" t="s">
        <v>7564</v>
      </c>
      <c r="CH699" s="899" t="s">
        <v>1488</v>
      </c>
      <c r="CI699" s="899" t="s">
        <v>3175</v>
      </c>
      <c r="CJ699" s="899"/>
      <c r="CK699" s="899" t="s">
        <v>2659</v>
      </c>
      <c r="CL699" s="899" t="s">
        <v>2659</v>
      </c>
      <c r="CM699" s="900" t="s">
        <v>3202</v>
      </c>
      <c r="CN699" s="901" t="s">
        <v>6627</v>
      </c>
      <c r="CO699" s="902">
        <v>52</v>
      </c>
      <c r="CP699" s="902">
        <v>1</v>
      </c>
      <c r="CQ699" s="902">
        <v>6</v>
      </c>
      <c r="CR699" s="902">
        <v>1</v>
      </c>
      <c r="CS699" s="902">
        <v>-1</v>
      </c>
      <c r="CT699" s="971"/>
      <c r="CU699" s="1289" t="s">
        <v>8104</v>
      </c>
      <c r="CV699" s="1295">
        <v>106</v>
      </c>
      <c r="CW699" s="1295">
        <v>97</v>
      </c>
      <c r="CX699" s="138" t="s">
        <v>3191</v>
      </c>
      <c r="CY699" s="134">
        <v>66.096400000000003</v>
      </c>
      <c r="CZ699" s="134" t="s">
        <v>24</v>
      </c>
      <c r="DA699" s="134">
        <f>66.6243-Table66[[#This Row],[Data_Outcome1_M]]</f>
        <v>0.52790000000000248</v>
      </c>
      <c r="DB699" s="138" t="s">
        <v>3192</v>
      </c>
      <c r="DC699" s="134">
        <v>41.632199999999997</v>
      </c>
      <c r="DD699" s="134" t="s">
        <v>24</v>
      </c>
      <c r="DE699" s="134">
        <f>44.0938-Table66[[#This Row],[Data_Outcome2_M]]</f>
        <v>2.4616000000000042</v>
      </c>
      <c r="DF699" s="436" t="s">
        <v>3200</v>
      </c>
      <c r="DG699" s="436" t="s">
        <v>2410</v>
      </c>
      <c r="DH699" s="1004"/>
      <c r="DI699" s="883"/>
      <c r="DJ699" s="1218"/>
      <c r="DK699" s="883"/>
      <c r="DL699" s="1220"/>
      <c r="DM699" s="883"/>
      <c r="DN699" s="1218"/>
      <c r="DO699" s="883"/>
      <c r="DP699" s="904"/>
      <c r="DQ699" s="905"/>
      <c r="DR699" s="906"/>
      <c r="DS699" s="1224"/>
      <c r="DT699" s="1220"/>
      <c r="DU699" s="1218"/>
      <c r="DV699" s="1218"/>
      <c r="DW699" s="1218"/>
      <c r="DX699" s="1220"/>
      <c r="DY699" s="1218"/>
      <c r="DZ699" s="1218"/>
      <c r="EA699" s="1218"/>
      <c r="EB699" s="1010"/>
      <c r="EC699" s="1011"/>
      <c r="ED699" s="1220"/>
      <c r="EE699" s="1218"/>
      <c r="EF699" s="1218"/>
      <c r="EG699" s="1218"/>
      <c r="EH699" s="1220"/>
      <c r="EI699" s="1218"/>
      <c r="EJ699" s="1218"/>
      <c r="EK699" s="1218"/>
      <c r="EL699" s="1010"/>
      <c r="EM699" s="1011"/>
      <c r="EN699" s="1223"/>
      <c r="EO699" s="1219"/>
      <c r="EP699" s="1220"/>
      <c r="EQ699" s="1218"/>
      <c r="ER699" s="1218"/>
      <c r="ES699" s="1218"/>
      <c r="ET699" s="1220"/>
      <c r="EU699" s="1218"/>
      <c r="EV699" s="1218"/>
      <c r="EW699" s="1218"/>
      <c r="EX699" s="1011"/>
      <c r="EY699" s="1011"/>
      <c r="EZ699" s="1220"/>
      <c r="FA699" s="1218"/>
      <c r="FB699" s="1218"/>
      <c r="FC699" s="1218"/>
      <c r="FD699" s="1220"/>
      <c r="FE699" s="1218"/>
      <c r="FF699" s="1218"/>
      <c r="FG699" s="1218"/>
      <c r="FH699" s="1011"/>
      <c r="FI699" s="1011"/>
      <c r="FJ699" s="1219"/>
    </row>
    <row r="700" spans="1:166" ht="15" customHeight="1">
      <c r="A700" s="79" t="s">
        <v>992</v>
      </c>
      <c r="B700" s="362">
        <v>42</v>
      </c>
      <c r="C700" s="362"/>
      <c r="D700" s="362"/>
      <c r="E700" s="604" t="s">
        <v>2109</v>
      </c>
      <c r="F700" s="124" t="s">
        <v>2367</v>
      </c>
      <c r="G700" s="125">
        <v>2015</v>
      </c>
      <c r="H700" s="79">
        <v>26160034</v>
      </c>
      <c r="I700" s="79">
        <v>1</v>
      </c>
      <c r="J700" s="126">
        <v>1</v>
      </c>
      <c r="K700" s="127"/>
      <c r="L700" s="79">
        <v>1</v>
      </c>
      <c r="M700" s="79"/>
      <c r="N700" s="79">
        <v>1</v>
      </c>
      <c r="O700" s="128">
        <v>2</v>
      </c>
      <c r="P700" s="79" t="s">
        <v>1220</v>
      </c>
      <c r="Q700" s="79"/>
      <c r="R700" s="79" t="s">
        <v>1127</v>
      </c>
      <c r="S700" s="79"/>
      <c r="T700" s="79" t="s">
        <v>1487</v>
      </c>
      <c r="U700" s="79"/>
      <c r="V700" s="79"/>
      <c r="W700" s="79" t="s">
        <v>1508</v>
      </c>
      <c r="X700" s="79" t="s">
        <v>1519</v>
      </c>
      <c r="Y700" s="79"/>
      <c r="Z700" s="79"/>
      <c r="AA700" s="79"/>
      <c r="AB700" s="79"/>
      <c r="AC700" s="506"/>
      <c r="AD700" s="573">
        <v>1</v>
      </c>
      <c r="AE700" s="573">
        <v>1</v>
      </c>
      <c r="AF700" s="154">
        <v>1</v>
      </c>
      <c r="AG700" s="155" t="s">
        <v>7210</v>
      </c>
      <c r="AH700" s="704" t="s">
        <v>7508</v>
      </c>
      <c r="AI700" s="121">
        <v>4</v>
      </c>
      <c r="AJ700" s="705"/>
      <c r="AK700" s="202" t="s">
        <v>7199</v>
      </c>
      <c r="AL700" s="192">
        <v>0</v>
      </c>
      <c r="AM700" s="215" t="s">
        <v>7200</v>
      </c>
      <c r="AN700" s="134">
        <f>Table66[[#This Row],[Data_Subjects_n_ptsd]]+Table66[[#This Row],[Data_Subjects_n_control]]</f>
        <v>20</v>
      </c>
      <c r="AO700" s="134">
        <v>10</v>
      </c>
      <c r="AP700" s="134">
        <v>10</v>
      </c>
      <c r="AQ700" s="134" t="s">
        <v>803</v>
      </c>
      <c r="AR700" s="134" t="s">
        <v>803</v>
      </c>
      <c r="AS700" s="121" t="s">
        <v>7486</v>
      </c>
      <c r="AT700" s="121" t="s">
        <v>24</v>
      </c>
      <c r="AU700" s="121" t="s">
        <v>7486</v>
      </c>
      <c r="AV700" s="121" t="s">
        <v>24</v>
      </c>
      <c r="AW700" s="134" t="s">
        <v>7201</v>
      </c>
      <c r="AX700" s="134"/>
      <c r="AY700" s="134"/>
      <c r="AZ700" s="753" t="s">
        <v>1487</v>
      </c>
      <c r="BA700" s="168">
        <v>1</v>
      </c>
      <c r="BB700" s="168">
        <v>1</v>
      </c>
      <c r="BC700" s="168" t="s">
        <v>7202</v>
      </c>
      <c r="BD700" s="762" t="s">
        <v>7526</v>
      </c>
      <c r="BE700" s="762"/>
      <c r="BF700" s="168" t="s">
        <v>1130</v>
      </c>
      <c r="BG700" s="134" t="s">
        <v>3279</v>
      </c>
      <c r="BH700" s="594"/>
      <c r="BI700" s="594"/>
      <c r="BJ700" s="478">
        <v>1</v>
      </c>
      <c r="BK700" s="156"/>
      <c r="BL700" s="463"/>
      <c r="BM700" s="156"/>
      <c r="BN700" s="156"/>
      <c r="BO700" s="156"/>
      <c r="BP700" s="463"/>
      <c r="BQ700" s="156"/>
      <c r="BR700" s="156"/>
      <c r="BS700" s="156"/>
      <c r="BT700" s="156"/>
      <c r="BU700" s="156"/>
      <c r="BV700" s="463"/>
      <c r="BW700" s="595" t="s">
        <v>7203</v>
      </c>
      <c r="BX700" s="706" t="s">
        <v>6595</v>
      </c>
      <c r="BY700" s="797" t="s">
        <v>7615</v>
      </c>
      <c r="BZ700" s="794" t="s">
        <v>803</v>
      </c>
      <c r="CA700" s="660">
        <v>4</v>
      </c>
      <c r="CB700" s="660" t="s">
        <v>7556</v>
      </c>
      <c r="CC700" s="660" t="s">
        <v>7384</v>
      </c>
      <c r="CD700" s="134" t="s">
        <v>1876</v>
      </c>
      <c r="CE700" s="168" t="s">
        <v>3369</v>
      </c>
      <c r="CF700" s="415" t="s">
        <v>7598</v>
      </c>
      <c r="CG700" s="134" t="s">
        <v>7205</v>
      </c>
      <c r="CH700" s="762" t="s">
        <v>1488</v>
      </c>
      <c r="CI700" s="168" t="s">
        <v>7198</v>
      </c>
      <c r="CJ700" s="168">
        <v>0</v>
      </c>
      <c r="CK700" s="168" t="s">
        <v>7204</v>
      </c>
      <c r="CL700" s="168" t="s">
        <v>2659</v>
      </c>
      <c r="CM700" s="471" t="s">
        <v>7209</v>
      </c>
      <c r="CN700" s="707" t="s">
        <v>6627</v>
      </c>
      <c r="CO700" s="833">
        <v>60</v>
      </c>
      <c r="CP700" s="833">
        <v>1</v>
      </c>
      <c r="CQ700" s="833">
        <v>1</v>
      </c>
      <c r="CR700" s="833">
        <v>0</v>
      </c>
      <c r="CS700" s="833">
        <v>1</v>
      </c>
      <c r="CT700" s="974"/>
      <c r="CU700" s="1289" t="s">
        <v>8104</v>
      </c>
      <c r="CV700" s="1295">
        <v>112</v>
      </c>
      <c r="CW700" s="1295">
        <v>103</v>
      </c>
      <c r="CX700" s="138" t="s">
        <v>7206</v>
      </c>
      <c r="CY700" s="134">
        <v>48.510800000000003</v>
      </c>
      <c r="CZ700" s="134" t="s">
        <v>24</v>
      </c>
      <c r="DA700" s="134">
        <f>53.5452-Table66[[#This Row],[Data_Outcome1_M]]</f>
        <v>5.034399999999998</v>
      </c>
      <c r="DB700" s="138" t="s">
        <v>7207</v>
      </c>
      <c r="DC700" s="134">
        <v>20.5379</v>
      </c>
      <c r="DD700" s="168" t="s">
        <v>24</v>
      </c>
      <c r="DE700" s="134">
        <f>23.1785-Table66[[#This Row],[Data_Outcome2_M]]</f>
        <v>2.6405999999999992</v>
      </c>
      <c r="DF700" s="294" t="s">
        <v>7208</v>
      </c>
      <c r="DG700" s="295"/>
      <c r="DH700" s="1169" t="s">
        <v>24</v>
      </c>
      <c r="DI700" s="1169"/>
      <c r="DJ700" s="1169"/>
      <c r="DK700" s="1169"/>
      <c r="DL700" s="1169"/>
      <c r="DM700" s="1169"/>
      <c r="DN700" s="1169"/>
      <c r="DO700" s="1169"/>
      <c r="DP700" s="288"/>
      <c r="DQ700" s="289"/>
      <c r="DR700" s="1168"/>
      <c r="DS700" s="865"/>
      <c r="DT700" s="1171"/>
      <c r="DU700" s="121"/>
      <c r="DV700" s="1169"/>
      <c r="DW700" s="121"/>
      <c r="DX700" s="1169"/>
      <c r="DY700" s="1169"/>
      <c r="DZ700" s="1169"/>
      <c r="EA700" s="1169"/>
      <c r="EB700" s="304"/>
      <c r="EC700" s="312"/>
      <c r="ED700" s="1169"/>
      <c r="EE700" s="121"/>
      <c r="EF700" s="1169"/>
      <c r="EG700" s="121"/>
      <c r="EH700" s="1169"/>
      <c r="EI700" s="1169"/>
      <c r="EJ700" s="1169"/>
      <c r="EK700" s="1169"/>
      <c r="EL700" s="304"/>
      <c r="EM700" s="312"/>
      <c r="EN700" s="309"/>
      <c r="EO700" s="1170"/>
      <c r="EP700" s="1169"/>
      <c r="EQ700" s="121"/>
      <c r="ER700" s="1169"/>
      <c r="ES700" s="121"/>
      <c r="ET700" s="1169"/>
      <c r="EU700" s="1169"/>
      <c r="EV700" s="1169"/>
      <c r="EW700" s="1169"/>
      <c r="EX700" s="312"/>
      <c r="EY700" s="312"/>
      <c r="EZ700" s="121"/>
      <c r="FA700" s="121"/>
      <c r="FB700" s="121"/>
      <c r="FC700" s="121"/>
      <c r="FD700" s="121"/>
      <c r="FE700" s="1169"/>
      <c r="FF700" s="1169"/>
      <c r="FG700" s="1169"/>
      <c r="FH700" s="312"/>
      <c r="FI700" s="312"/>
      <c r="FJ700" s="1170"/>
    </row>
    <row r="701" spans="1:166" ht="16" hidden="1" customHeight="1">
      <c r="A701" s="79" t="s">
        <v>336</v>
      </c>
      <c r="B701" s="362">
        <v>241</v>
      </c>
      <c r="C701" s="362"/>
      <c r="D701" s="362"/>
      <c r="E701" s="604" t="s">
        <v>2036</v>
      </c>
      <c r="F701" s="124" t="s">
        <v>2274</v>
      </c>
      <c r="G701" s="125">
        <v>1998</v>
      </c>
      <c r="H701" s="79">
        <v>9460740</v>
      </c>
      <c r="I701" s="79">
        <v>1</v>
      </c>
      <c r="J701" s="126"/>
      <c r="K701" s="127"/>
      <c r="L701" s="79">
        <v>1</v>
      </c>
      <c r="M701" s="79"/>
      <c r="N701" s="79">
        <v>1</v>
      </c>
      <c r="O701" s="128">
        <v>1</v>
      </c>
      <c r="P701" s="79" t="s">
        <v>31</v>
      </c>
      <c r="Q701" s="79" t="s">
        <v>1157</v>
      </c>
      <c r="R701" s="79" t="s">
        <v>819</v>
      </c>
      <c r="S701" s="79">
        <v>1</v>
      </c>
      <c r="T701" s="79"/>
      <c r="U701" s="79"/>
      <c r="V701" s="79"/>
      <c r="W701" s="79" t="s">
        <v>873</v>
      </c>
      <c r="X701" s="79" t="s">
        <v>24</v>
      </c>
      <c r="Y701" s="79" t="s">
        <v>24</v>
      </c>
      <c r="Z701" s="79"/>
      <c r="AA701" s="79"/>
      <c r="AB701" s="79"/>
      <c r="AC701" s="506"/>
      <c r="AD701" s="573">
        <v>1</v>
      </c>
      <c r="AE701" s="573">
        <v>2</v>
      </c>
      <c r="AF701" s="154">
        <v>1</v>
      </c>
      <c r="AG701" s="155"/>
      <c r="AH701" s="704"/>
      <c r="AI701" s="121">
        <v>2</v>
      </c>
      <c r="AJ701" s="484"/>
      <c r="AK701" s="202" t="s">
        <v>5804</v>
      </c>
      <c r="AL701" s="192">
        <v>1</v>
      </c>
      <c r="AM701" s="203">
        <v>0</v>
      </c>
      <c r="AN701" s="121">
        <f>Table66[[#This Row],[Data_Subjects_n_ptsd]]+Table66[[#This Row],[Data_Subjects_n_control]]</f>
        <v>43</v>
      </c>
      <c r="AO701" s="121">
        <v>24</v>
      </c>
      <c r="AP701" s="121">
        <v>19</v>
      </c>
      <c r="AQ701" s="134" t="s">
        <v>5744</v>
      </c>
      <c r="AR701" s="121" t="s">
        <v>5745</v>
      </c>
      <c r="AS701" s="121">
        <v>36.299999999999997</v>
      </c>
      <c r="AT701" s="121">
        <v>9.8000000000000007</v>
      </c>
      <c r="AU701" s="121">
        <v>35.299999999999997</v>
      </c>
      <c r="AV701" s="121">
        <v>8.6999999999999993</v>
      </c>
      <c r="AW701" s="121" t="s">
        <v>5746</v>
      </c>
      <c r="AX701" s="121"/>
      <c r="AY701" s="121"/>
      <c r="AZ701" s="754" t="s">
        <v>1874</v>
      </c>
      <c r="BA701" s="121" t="s">
        <v>24</v>
      </c>
      <c r="BB701" s="121" t="s">
        <v>24</v>
      </c>
      <c r="BC701" s="121" t="s">
        <v>5749</v>
      </c>
      <c r="BD701" s="754" t="s">
        <v>7521</v>
      </c>
      <c r="BE701" s="187">
        <v>0</v>
      </c>
      <c r="BF701" s="121" t="s">
        <v>5747</v>
      </c>
      <c r="BG701" s="121" t="s">
        <v>5748</v>
      </c>
      <c r="BH701" s="594"/>
      <c r="BI701" s="594"/>
      <c r="BJ701" s="156"/>
      <c r="BK701" s="156"/>
      <c r="BL701" s="156" t="s">
        <v>4727</v>
      </c>
      <c r="BM701" s="156"/>
      <c r="BN701" s="156"/>
      <c r="BO701" s="156"/>
      <c r="BP701" s="156">
        <v>1</v>
      </c>
      <c r="BQ701" s="156"/>
      <c r="BR701" s="156"/>
      <c r="BS701" s="156"/>
      <c r="BT701" s="156" t="s">
        <v>4727</v>
      </c>
      <c r="BU701" s="156"/>
      <c r="BV701" s="156"/>
      <c r="BW701" s="595" t="s">
        <v>3843</v>
      </c>
      <c r="BX701" s="157" t="s">
        <v>6610</v>
      </c>
      <c r="BY701" s="797" t="s">
        <v>7616</v>
      </c>
      <c r="BZ701" s="789" t="s">
        <v>7610</v>
      </c>
      <c r="CA701" s="765">
        <v>2</v>
      </c>
      <c r="CB701" s="765" t="s">
        <v>7556</v>
      </c>
      <c r="CC701" s="660" t="s">
        <v>7380</v>
      </c>
      <c r="CD701" s="134" t="s">
        <v>1876</v>
      </c>
      <c r="CE701" s="134">
        <v>2</v>
      </c>
      <c r="CF701" s="400"/>
      <c r="CG701" s="134" t="s">
        <v>5750</v>
      </c>
      <c r="CH701" s="753" t="s">
        <v>7307</v>
      </c>
      <c r="CI701" s="134" t="s">
        <v>24</v>
      </c>
      <c r="CJ701" s="134"/>
      <c r="CK701" s="134" t="s">
        <v>5751</v>
      </c>
      <c r="CL701" s="134" t="s">
        <v>8230</v>
      </c>
      <c r="CM701" s="259" t="s">
        <v>5802</v>
      </c>
      <c r="CN701" s="454" t="s">
        <v>24</v>
      </c>
      <c r="CO701" s="828">
        <v>79</v>
      </c>
      <c r="CP701" s="828">
        <v>1</v>
      </c>
      <c r="CQ701" s="828">
        <v>8</v>
      </c>
      <c r="CR701" s="828">
        <v>1</v>
      </c>
      <c r="CS701" s="722">
        <v>-1</v>
      </c>
      <c r="CT701" s="968"/>
      <c r="CU701" s="1288" t="s">
        <v>8103</v>
      </c>
      <c r="CV701" s="1294">
        <v>39</v>
      </c>
      <c r="CW701" s="1294">
        <v>33</v>
      </c>
      <c r="CX701" s="134" t="s">
        <v>5758</v>
      </c>
      <c r="CY701" s="134">
        <v>0.9</v>
      </c>
      <c r="CZ701" s="134">
        <v>0.5</v>
      </c>
      <c r="DA701" s="134" t="s">
        <v>24</v>
      </c>
      <c r="DB701" s="134" t="s">
        <v>5768</v>
      </c>
      <c r="DC701" s="134">
        <v>0.9</v>
      </c>
      <c r="DD701" s="134">
        <v>0.4</v>
      </c>
      <c r="DE701" s="134" t="s">
        <v>24</v>
      </c>
      <c r="DF701" s="436" t="s">
        <v>5379</v>
      </c>
      <c r="DG701" s="436" t="s">
        <v>5780</v>
      </c>
      <c r="DH701" s="1276"/>
      <c r="DI701" s="121"/>
      <c r="DJ701" s="1169"/>
      <c r="DK701" s="121"/>
      <c r="DL701" s="1171"/>
      <c r="DM701" s="121"/>
      <c r="DN701" s="1169"/>
      <c r="DO701" s="121"/>
      <c r="DP701" s="288"/>
      <c r="DQ701" s="289"/>
      <c r="DR701" s="1168"/>
      <c r="DS701" s="865"/>
      <c r="DT701" s="1169"/>
      <c r="DU701" s="163"/>
      <c r="DV701" s="1188"/>
      <c r="DW701" s="163"/>
      <c r="DX701" s="1169"/>
      <c r="DY701" s="121"/>
      <c r="DZ701" s="1169"/>
      <c r="EA701" s="121"/>
      <c r="EB701" s="304"/>
      <c r="EC701" s="312"/>
      <c r="ED701" s="1169"/>
      <c r="EE701" s="1169"/>
      <c r="EF701" s="1169"/>
      <c r="EG701" s="1169"/>
      <c r="EH701" s="1169"/>
      <c r="EI701" s="1169"/>
      <c r="EJ701" s="1169"/>
      <c r="EK701" s="1169"/>
      <c r="EL701" s="304"/>
      <c r="EM701" s="312"/>
      <c r="EN701" s="309"/>
      <c r="EO701" s="1170"/>
      <c r="EP701" s="1169"/>
      <c r="EQ701" s="1169"/>
      <c r="ER701" s="1169"/>
      <c r="ES701" s="1169"/>
      <c r="ET701" s="1169"/>
      <c r="EU701" s="1169"/>
      <c r="EV701" s="1169"/>
      <c r="EW701" s="1169"/>
      <c r="EX701" s="312"/>
      <c r="EY701" s="312"/>
      <c r="EZ701" s="1171"/>
      <c r="FA701" s="1169"/>
      <c r="FB701" s="1169"/>
      <c r="FC701" s="1169"/>
      <c r="FD701" s="1171"/>
      <c r="FE701" s="1169"/>
      <c r="FF701" s="1169"/>
      <c r="FG701" s="1169"/>
      <c r="FH701" s="312"/>
      <c r="FI701" s="312"/>
      <c r="FJ701" s="1170"/>
    </row>
    <row r="702" spans="1:166" ht="15" hidden="1" customHeight="1">
      <c r="A702" s="79" t="s">
        <v>208</v>
      </c>
      <c r="B702" s="362">
        <v>154</v>
      </c>
      <c r="C702" s="362">
        <v>49</v>
      </c>
      <c r="D702" s="362"/>
      <c r="E702" s="604" t="s">
        <v>1979</v>
      </c>
      <c r="F702" s="124" t="s">
        <v>2203</v>
      </c>
      <c r="G702" s="125">
        <v>2013</v>
      </c>
      <c r="H702" s="79">
        <v>23445934</v>
      </c>
      <c r="I702" s="79">
        <v>1</v>
      </c>
      <c r="J702" s="126"/>
      <c r="K702" s="127"/>
      <c r="L702" s="79">
        <v>1</v>
      </c>
      <c r="M702" s="79"/>
      <c r="N702" s="79">
        <v>1</v>
      </c>
      <c r="O702" s="128">
        <v>1</v>
      </c>
      <c r="P702" s="79" t="s">
        <v>596</v>
      </c>
      <c r="Q702" s="79" t="s">
        <v>1168</v>
      </c>
      <c r="R702" s="79" t="s">
        <v>594</v>
      </c>
      <c r="S702" s="79">
        <v>0</v>
      </c>
      <c r="T702" s="79"/>
      <c r="U702" s="79"/>
      <c r="V702" s="79"/>
      <c r="W702" s="79" t="s">
        <v>597</v>
      </c>
      <c r="X702" s="79" t="s">
        <v>595</v>
      </c>
      <c r="Y702" s="79"/>
      <c r="Z702" s="79"/>
      <c r="AA702" s="79"/>
      <c r="AB702" s="79"/>
      <c r="AC702" s="506"/>
      <c r="AD702" s="573">
        <v>1</v>
      </c>
      <c r="AE702" s="573">
        <v>2</v>
      </c>
      <c r="AF702" s="154">
        <v>1</v>
      </c>
      <c r="AG702" s="155" t="s">
        <v>8164</v>
      </c>
      <c r="AH702" s="704"/>
      <c r="AI702" s="121">
        <v>0</v>
      </c>
      <c r="AJ702" s="484" t="s">
        <v>4927</v>
      </c>
      <c r="AK702" s="498" t="s">
        <v>4926</v>
      </c>
      <c r="AL702" s="192">
        <v>1</v>
      </c>
      <c r="AM702" s="215">
        <v>0</v>
      </c>
      <c r="AN702" s="134">
        <f>Table66[[#This Row],[Data_Subjects_n_ptsd]]+Table66[[#This Row],[Data_Subjects_n_control]]</f>
        <v>56</v>
      </c>
      <c r="AO702" s="134">
        <v>34</v>
      </c>
      <c r="AP702" s="134">
        <f>22</f>
        <v>22</v>
      </c>
      <c r="AQ702" s="134" t="s">
        <v>4925</v>
      </c>
      <c r="AR702" s="134" t="s">
        <v>4925</v>
      </c>
      <c r="AS702" s="134">
        <v>58.3</v>
      </c>
      <c r="AT702" s="134">
        <v>6.3</v>
      </c>
      <c r="AU702" s="134">
        <v>49.3</v>
      </c>
      <c r="AV702" s="134">
        <v>6</v>
      </c>
      <c r="AW702" s="134" t="s">
        <v>7900</v>
      </c>
      <c r="AX702" s="134"/>
      <c r="AY702" s="134"/>
      <c r="AZ702" s="753" t="s">
        <v>7905</v>
      </c>
      <c r="BA702" s="134" t="s">
        <v>24</v>
      </c>
      <c r="BB702" s="134" t="s">
        <v>24</v>
      </c>
      <c r="BC702" s="134" t="s">
        <v>4924</v>
      </c>
      <c r="BD702" s="753" t="s">
        <v>7522</v>
      </c>
      <c r="BE702" s="1624">
        <v>0</v>
      </c>
      <c r="BF702" s="134" t="s">
        <v>7903</v>
      </c>
      <c r="BG702" s="134" t="s">
        <v>4928</v>
      </c>
      <c r="BH702" s="594"/>
      <c r="BI702" s="594"/>
      <c r="BJ702" s="156"/>
      <c r="BK702" s="156"/>
      <c r="BL702" s="156"/>
      <c r="BM702" s="156"/>
      <c r="BN702" s="156"/>
      <c r="BO702" s="156"/>
      <c r="BP702" s="156">
        <v>1</v>
      </c>
      <c r="BQ702" s="156"/>
      <c r="BR702" s="156"/>
      <c r="BS702" s="156"/>
      <c r="BT702" s="156"/>
      <c r="BU702" s="156"/>
      <c r="BV702" s="156"/>
      <c r="BW702" s="595" t="s">
        <v>4984</v>
      </c>
      <c r="BX702" s="157" t="s">
        <v>6609</v>
      </c>
      <c r="BY702" s="797" t="s">
        <v>7616</v>
      </c>
      <c r="BZ702" s="789" t="s">
        <v>803</v>
      </c>
      <c r="CA702" s="769">
        <v>2</v>
      </c>
      <c r="CB702" s="765" t="s">
        <v>7556</v>
      </c>
      <c r="CC702" s="660" t="s">
        <v>7380</v>
      </c>
      <c r="CD702" s="134" t="s">
        <v>1876</v>
      </c>
      <c r="CE702" s="134" t="s">
        <v>4931</v>
      </c>
      <c r="CF702" s="400"/>
      <c r="CG702" s="134" t="s">
        <v>7914</v>
      </c>
      <c r="CH702" s="753" t="s">
        <v>7307</v>
      </c>
      <c r="CI702" s="134" t="s">
        <v>24</v>
      </c>
      <c r="CJ702" s="134"/>
      <c r="CK702" s="134" t="s">
        <v>7909</v>
      </c>
      <c r="CL702" s="1738" t="s">
        <v>8209</v>
      </c>
      <c r="CM702" s="259" t="s">
        <v>4983</v>
      </c>
      <c r="CN702" s="454" t="s">
        <v>24</v>
      </c>
      <c r="CO702" s="828">
        <v>43</v>
      </c>
      <c r="CP702" s="828">
        <v>1</v>
      </c>
      <c r="CQ702" s="828">
        <v>13</v>
      </c>
      <c r="CR702" s="828">
        <v>1</v>
      </c>
      <c r="CS702" s="828">
        <v>-1</v>
      </c>
      <c r="CT702" s="967"/>
      <c r="CU702" s="1291" t="s">
        <v>8102</v>
      </c>
      <c r="CV702" s="1295">
        <v>1</v>
      </c>
      <c r="CW702" s="1295">
        <v>1</v>
      </c>
      <c r="CX702" s="138" t="s">
        <v>4962</v>
      </c>
      <c r="CY702" s="134">
        <v>1.4</v>
      </c>
      <c r="CZ702" s="134">
        <v>1.6</v>
      </c>
      <c r="DA702" s="134" t="s">
        <v>24</v>
      </c>
      <c r="DB702" s="138" t="s">
        <v>4966</v>
      </c>
      <c r="DC702" s="134">
        <v>2.4</v>
      </c>
      <c r="DD702" s="134">
        <v>1.4</v>
      </c>
      <c r="DE702" s="134" t="s">
        <v>24</v>
      </c>
      <c r="DF702" s="691" t="s">
        <v>4979</v>
      </c>
      <c r="DG702" s="691" t="s">
        <v>2480</v>
      </c>
      <c r="DH702" s="822"/>
      <c r="DI702" s="417"/>
      <c r="DJ702" s="1169"/>
      <c r="DK702" s="417"/>
      <c r="DL702" s="1174"/>
      <c r="DM702" s="417"/>
      <c r="DN702" s="1169"/>
      <c r="DO702" s="1151"/>
      <c r="DP702" s="288"/>
      <c r="DQ702" s="441"/>
      <c r="DR702" s="280"/>
      <c r="DS702" s="865"/>
      <c r="DT702" s="1171"/>
      <c r="DU702" s="417"/>
      <c r="DV702" s="1169"/>
      <c r="DW702" s="417"/>
      <c r="DX702" s="1171"/>
      <c r="DY702" s="417"/>
      <c r="DZ702" s="1169"/>
      <c r="EA702" s="417"/>
      <c r="EB702" s="304"/>
      <c r="EC702" s="312"/>
      <c r="ED702" s="1171"/>
      <c r="EE702" s="121"/>
      <c r="EF702" s="1169"/>
      <c r="EG702" s="121"/>
      <c r="EH702" s="1174"/>
      <c r="EI702" s="121"/>
      <c r="EJ702" s="1169"/>
      <c r="EK702" s="121"/>
      <c r="EL702" s="304"/>
      <c r="EM702" s="312"/>
      <c r="EN702" s="309"/>
      <c r="EO702" s="1170"/>
      <c r="EP702" s="427"/>
      <c r="EQ702" s="121"/>
      <c r="ER702" s="121"/>
      <c r="ES702" s="121"/>
      <c r="ET702" s="1276"/>
      <c r="EU702" s="121"/>
      <c r="EV702" s="121"/>
      <c r="EW702" s="121"/>
      <c r="EX702" s="301"/>
      <c r="EY702" s="301"/>
      <c r="EZ702" s="1276"/>
      <c r="FA702" s="121"/>
      <c r="FB702" s="121"/>
      <c r="FC702" s="121"/>
      <c r="FD702" s="1276"/>
      <c r="FE702" s="121"/>
      <c r="FF702" s="121"/>
      <c r="FG702" s="121"/>
      <c r="FH702" s="301"/>
      <c r="FI702" s="301"/>
      <c r="FJ702" s="277"/>
    </row>
    <row r="703" spans="1:166" ht="15" hidden="1" customHeight="1">
      <c r="A703" s="79" t="s">
        <v>208</v>
      </c>
      <c r="B703" s="362">
        <v>154</v>
      </c>
      <c r="C703" s="362">
        <v>49</v>
      </c>
      <c r="D703" s="362"/>
      <c r="E703" s="604" t="s">
        <v>1979</v>
      </c>
      <c r="F703" s="124" t="s">
        <v>2203</v>
      </c>
      <c r="G703" s="125">
        <v>2013</v>
      </c>
      <c r="H703" s="79">
        <v>23445934</v>
      </c>
      <c r="I703" s="79">
        <v>1</v>
      </c>
      <c r="J703" s="126"/>
      <c r="K703" s="127"/>
      <c r="L703" s="79">
        <v>1</v>
      </c>
      <c r="M703" s="79"/>
      <c r="N703" s="79">
        <v>1</v>
      </c>
      <c r="O703" s="128">
        <v>1</v>
      </c>
      <c r="P703" s="79" t="s">
        <v>596</v>
      </c>
      <c r="Q703" s="79" t="s">
        <v>1168</v>
      </c>
      <c r="R703" s="79" t="s">
        <v>594</v>
      </c>
      <c r="S703" s="79">
        <v>0</v>
      </c>
      <c r="T703" s="79"/>
      <c r="U703" s="79"/>
      <c r="V703" s="79"/>
      <c r="W703" s="79" t="s">
        <v>597</v>
      </c>
      <c r="X703" s="79" t="s">
        <v>595</v>
      </c>
      <c r="Y703" s="79"/>
      <c r="Z703" s="79"/>
      <c r="AA703" s="79"/>
      <c r="AB703" s="79"/>
      <c r="AC703" s="506"/>
      <c r="AD703" s="573">
        <v>1</v>
      </c>
      <c r="AE703" s="573">
        <v>2</v>
      </c>
      <c r="AF703" s="154">
        <v>1</v>
      </c>
      <c r="AG703" s="155" t="s">
        <v>8164</v>
      </c>
      <c r="AH703" s="704"/>
      <c r="AI703" s="121">
        <v>0</v>
      </c>
      <c r="AJ703" s="484" t="s">
        <v>4927</v>
      </c>
      <c r="AK703" s="498" t="s">
        <v>4926</v>
      </c>
      <c r="AL703" s="192">
        <v>1</v>
      </c>
      <c r="AM703" s="215">
        <v>0</v>
      </c>
      <c r="AN703" s="134">
        <f>Table66[[#This Row],[Data_Subjects_n_ptsd]]+Table66[[#This Row],[Data_Subjects_n_control]]</f>
        <v>103</v>
      </c>
      <c r="AO703" s="134">
        <v>81</v>
      </c>
      <c r="AP703" s="134">
        <f>22</f>
        <v>22</v>
      </c>
      <c r="AQ703" s="134" t="s">
        <v>4925</v>
      </c>
      <c r="AR703" s="134" t="s">
        <v>4925</v>
      </c>
      <c r="AS703" s="134">
        <v>55.5</v>
      </c>
      <c r="AT703" s="134">
        <v>6.5</v>
      </c>
      <c r="AU703" s="134">
        <v>49.3</v>
      </c>
      <c r="AV703" s="134">
        <v>6</v>
      </c>
      <c r="AW703" s="134" t="s">
        <v>7901</v>
      </c>
      <c r="AX703" s="134"/>
      <c r="AY703" s="134"/>
      <c r="AZ703" s="753" t="s">
        <v>7905</v>
      </c>
      <c r="BA703" s="134" t="s">
        <v>24</v>
      </c>
      <c r="BB703" s="134" t="s">
        <v>24</v>
      </c>
      <c r="BC703" s="134" t="s">
        <v>4924</v>
      </c>
      <c r="BD703" s="753" t="s">
        <v>7522</v>
      </c>
      <c r="BE703" s="1624">
        <v>0</v>
      </c>
      <c r="BF703" s="134" t="s">
        <v>7903</v>
      </c>
      <c r="BG703" s="134" t="s">
        <v>4928</v>
      </c>
      <c r="BH703" s="594"/>
      <c r="BI703" s="594"/>
      <c r="BJ703" s="156"/>
      <c r="BK703" s="156"/>
      <c r="BL703" s="156"/>
      <c r="BM703" s="156"/>
      <c r="BN703" s="156"/>
      <c r="BO703" s="156"/>
      <c r="BP703" s="156">
        <v>1</v>
      </c>
      <c r="BQ703" s="156"/>
      <c r="BR703" s="156"/>
      <c r="BS703" s="156"/>
      <c r="BT703" s="156"/>
      <c r="BU703" s="156"/>
      <c r="BV703" s="156"/>
      <c r="BW703" s="595" t="s">
        <v>4984</v>
      </c>
      <c r="BX703" s="157" t="s">
        <v>6609</v>
      </c>
      <c r="BY703" s="797" t="s">
        <v>7616</v>
      </c>
      <c r="BZ703" s="789" t="s">
        <v>803</v>
      </c>
      <c r="CA703" s="769">
        <v>2</v>
      </c>
      <c r="CB703" s="765" t="s">
        <v>7556</v>
      </c>
      <c r="CC703" s="660" t="s">
        <v>7380</v>
      </c>
      <c r="CD703" s="134" t="s">
        <v>1876</v>
      </c>
      <c r="CE703" s="134" t="s">
        <v>4931</v>
      </c>
      <c r="CF703" s="400"/>
      <c r="CG703" s="134" t="s">
        <v>7914</v>
      </c>
      <c r="CH703" s="753" t="s">
        <v>7307</v>
      </c>
      <c r="CI703" s="134" t="s">
        <v>24</v>
      </c>
      <c r="CJ703" s="134"/>
      <c r="CK703" s="134" t="s">
        <v>7909</v>
      </c>
      <c r="CL703" s="1738" t="s">
        <v>8209</v>
      </c>
      <c r="CM703" s="259" t="s">
        <v>4983</v>
      </c>
      <c r="CN703" s="454" t="s">
        <v>24</v>
      </c>
      <c r="CO703" s="828">
        <v>43</v>
      </c>
      <c r="CP703" s="828">
        <v>1</v>
      </c>
      <c r="CQ703" s="828">
        <v>14</v>
      </c>
      <c r="CR703" s="828">
        <v>1</v>
      </c>
      <c r="CS703" s="828">
        <v>-1</v>
      </c>
      <c r="CT703" s="967"/>
      <c r="CU703" s="1291" t="s">
        <v>8102</v>
      </c>
      <c r="CV703" s="1295">
        <v>2</v>
      </c>
      <c r="CW703" s="1295">
        <v>1</v>
      </c>
      <c r="CX703" s="138" t="s">
        <v>4963</v>
      </c>
      <c r="CY703" s="134">
        <v>2</v>
      </c>
      <c r="CZ703" s="134">
        <v>1.2</v>
      </c>
      <c r="DA703" s="134" t="s">
        <v>24</v>
      </c>
      <c r="DB703" s="138" t="s">
        <v>4966</v>
      </c>
      <c r="DC703" s="134">
        <v>2.4</v>
      </c>
      <c r="DD703" s="134">
        <v>1.4</v>
      </c>
      <c r="DE703" s="134" t="s">
        <v>24</v>
      </c>
      <c r="DF703" s="691" t="s">
        <v>4980</v>
      </c>
      <c r="DG703" s="691" t="s">
        <v>2480</v>
      </c>
      <c r="DH703" s="427"/>
      <c r="DI703" s="121"/>
      <c r="DJ703" s="1169"/>
      <c r="DK703" s="121"/>
      <c r="DL703" s="1174"/>
      <c r="DM703" s="121"/>
      <c r="DN703" s="1169"/>
      <c r="DO703" s="121"/>
      <c r="DP703" s="288"/>
      <c r="DQ703" s="289"/>
      <c r="DR703" s="280"/>
      <c r="DS703" s="865"/>
      <c r="DT703" s="1171"/>
      <c r="DU703" s="121"/>
      <c r="DV703" s="1169"/>
      <c r="DW703" s="121"/>
      <c r="DX703" s="1171"/>
      <c r="DY703" s="121"/>
      <c r="DZ703" s="1169"/>
      <c r="EA703" s="121"/>
      <c r="EB703" s="304"/>
      <c r="EC703" s="312"/>
      <c r="ED703" s="1171"/>
      <c r="EE703" s="1169"/>
      <c r="EF703" s="1169"/>
      <c r="EG703" s="1169"/>
      <c r="EH703" s="1174"/>
      <c r="EI703" s="1169"/>
      <c r="EJ703" s="1169"/>
      <c r="EK703" s="1169"/>
      <c r="EL703" s="304"/>
      <c r="EM703" s="312"/>
      <c r="EN703" s="309"/>
      <c r="EO703" s="1170"/>
      <c r="EP703" s="1174"/>
      <c r="EQ703" s="1169"/>
      <c r="ER703" s="1169"/>
      <c r="ES703" s="1169"/>
      <c r="ET703" s="1171"/>
      <c r="EU703" s="1169"/>
      <c r="EV703" s="1169"/>
      <c r="EW703" s="1169"/>
      <c r="EX703" s="312"/>
      <c r="EY703" s="312"/>
      <c r="EZ703" s="1171"/>
      <c r="FA703" s="1169"/>
      <c r="FB703" s="1169"/>
      <c r="FC703" s="1169"/>
      <c r="FD703" s="1171"/>
      <c r="FE703" s="1169"/>
      <c r="FF703" s="1169"/>
      <c r="FG703" s="1169"/>
      <c r="FH703" s="312"/>
      <c r="FI703" s="312"/>
      <c r="FJ703" s="1170"/>
    </row>
    <row r="704" spans="1:166" ht="15" hidden="1" customHeight="1">
      <c r="A704" s="79" t="s">
        <v>208</v>
      </c>
      <c r="B704" s="362">
        <v>154</v>
      </c>
      <c r="C704" s="362">
        <v>49</v>
      </c>
      <c r="D704" s="362"/>
      <c r="E704" s="604" t="s">
        <v>1979</v>
      </c>
      <c r="F704" s="124" t="s">
        <v>2203</v>
      </c>
      <c r="G704" s="125">
        <v>2013</v>
      </c>
      <c r="H704" s="79">
        <v>23445934</v>
      </c>
      <c r="I704" s="79">
        <v>1</v>
      </c>
      <c r="J704" s="126"/>
      <c r="K704" s="127"/>
      <c r="L704" s="79">
        <v>1</v>
      </c>
      <c r="M704" s="79"/>
      <c r="N704" s="79">
        <v>1</v>
      </c>
      <c r="O704" s="128">
        <v>1</v>
      </c>
      <c r="P704" s="79" t="s">
        <v>596</v>
      </c>
      <c r="Q704" s="79" t="s">
        <v>1168</v>
      </c>
      <c r="R704" s="79" t="s">
        <v>594</v>
      </c>
      <c r="S704" s="79">
        <v>0</v>
      </c>
      <c r="T704" s="79"/>
      <c r="U704" s="79"/>
      <c r="V704" s="79"/>
      <c r="W704" s="79" t="s">
        <v>597</v>
      </c>
      <c r="X704" s="79" t="s">
        <v>595</v>
      </c>
      <c r="Y704" s="79"/>
      <c r="Z704" s="79"/>
      <c r="AA704" s="79"/>
      <c r="AB704" s="79"/>
      <c r="AC704" s="506"/>
      <c r="AD704" s="573">
        <v>1</v>
      </c>
      <c r="AE704" s="573">
        <v>2</v>
      </c>
      <c r="AF704" s="154">
        <v>1</v>
      </c>
      <c r="AG704" s="155" t="s">
        <v>8164</v>
      </c>
      <c r="AH704" s="704"/>
      <c r="AI704" s="121">
        <v>0</v>
      </c>
      <c r="AJ704" s="484" t="s">
        <v>4927</v>
      </c>
      <c r="AK704" s="498" t="s">
        <v>4926</v>
      </c>
      <c r="AL704" s="192">
        <v>1</v>
      </c>
      <c r="AM704" s="215">
        <v>0</v>
      </c>
      <c r="AN704" s="134">
        <f>Table66[[#This Row],[Data_Subjects_n_ptsd]]+Table66[[#This Row],[Data_Subjects_n_control]]</f>
        <v>98</v>
      </c>
      <c r="AO704" s="134">
        <v>76</v>
      </c>
      <c r="AP704" s="134">
        <f>22</f>
        <v>22</v>
      </c>
      <c r="AQ704" s="134" t="s">
        <v>4925</v>
      </c>
      <c r="AR704" s="134" t="s">
        <v>4925</v>
      </c>
      <c r="AS704" s="134">
        <v>50.7</v>
      </c>
      <c r="AT704" s="134">
        <v>8</v>
      </c>
      <c r="AU704" s="134">
        <v>49.3</v>
      </c>
      <c r="AV704" s="134">
        <v>6</v>
      </c>
      <c r="AW704" s="134" t="s">
        <v>7902</v>
      </c>
      <c r="AX704" s="134"/>
      <c r="AY704" s="134"/>
      <c r="AZ704" s="753" t="s">
        <v>7905</v>
      </c>
      <c r="BA704" s="134" t="s">
        <v>24</v>
      </c>
      <c r="BB704" s="134" t="s">
        <v>24</v>
      </c>
      <c r="BC704" s="134" t="s">
        <v>4924</v>
      </c>
      <c r="BD704" s="753" t="s">
        <v>7522</v>
      </c>
      <c r="BE704" s="1624">
        <v>0</v>
      </c>
      <c r="BF704" s="134" t="s">
        <v>7904</v>
      </c>
      <c r="BG704" s="134" t="s">
        <v>4928</v>
      </c>
      <c r="BH704" s="594"/>
      <c r="BI704" s="594"/>
      <c r="BJ704" s="156"/>
      <c r="BK704" s="156"/>
      <c r="BL704" s="156"/>
      <c r="BM704" s="156"/>
      <c r="BN704" s="156"/>
      <c r="BO704" s="156"/>
      <c r="BP704" s="156">
        <v>1</v>
      </c>
      <c r="BQ704" s="156"/>
      <c r="BR704" s="156"/>
      <c r="BS704" s="156"/>
      <c r="BT704" s="156"/>
      <c r="BU704" s="156"/>
      <c r="BV704" s="156"/>
      <c r="BW704" s="595" t="s">
        <v>4984</v>
      </c>
      <c r="BX704" s="157" t="s">
        <v>6609</v>
      </c>
      <c r="BY704" s="797" t="s">
        <v>7616</v>
      </c>
      <c r="BZ704" s="789" t="s">
        <v>803</v>
      </c>
      <c r="CA704" s="769">
        <v>2</v>
      </c>
      <c r="CB704" s="765" t="s">
        <v>7556</v>
      </c>
      <c r="CC704" s="660" t="s">
        <v>7380</v>
      </c>
      <c r="CD704" s="134" t="s">
        <v>1876</v>
      </c>
      <c r="CE704" s="134" t="s">
        <v>4931</v>
      </c>
      <c r="CF704" s="400"/>
      <c r="CG704" s="134" t="s">
        <v>7914</v>
      </c>
      <c r="CH704" s="753" t="s">
        <v>7307</v>
      </c>
      <c r="CI704" s="134" t="s">
        <v>24</v>
      </c>
      <c r="CJ704" s="134"/>
      <c r="CK704" s="134" t="s">
        <v>7909</v>
      </c>
      <c r="CL704" s="1738" t="s">
        <v>8209</v>
      </c>
      <c r="CM704" s="259" t="s">
        <v>4983</v>
      </c>
      <c r="CN704" s="454" t="s">
        <v>24</v>
      </c>
      <c r="CO704" s="828">
        <v>43</v>
      </c>
      <c r="CP704" s="828">
        <v>1</v>
      </c>
      <c r="CQ704" s="828">
        <v>15</v>
      </c>
      <c r="CR704" s="828">
        <v>1</v>
      </c>
      <c r="CS704" s="828">
        <v>-1</v>
      </c>
      <c r="CT704" s="967"/>
      <c r="CU704" s="1291" t="s">
        <v>8102</v>
      </c>
      <c r="CV704" s="1295">
        <v>3</v>
      </c>
      <c r="CW704" s="1295">
        <v>1</v>
      </c>
      <c r="CX704" s="427" t="s">
        <v>4964</v>
      </c>
      <c r="CY704" s="134">
        <v>1.9</v>
      </c>
      <c r="CZ704" s="134">
        <v>1.7</v>
      </c>
      <c r="DA704" s="134" t="s">
        <v>24</v>
      </c>
      <c r="DB704" s="138" t="s">
        <v>4966</v>
      </c>
      <c r="DC704" s="134">
        <v>2.4</v>
      </c>
      <c r="DD704" s="134">
        <v>1.4</v>
      </c>
      <c r="DE704" s="134" t="s">
        <v>24</v>
      </c>
      <c r="DF704" s="549"/>
      <c r="DG704" s="551"/>
      <c r="DH704" s="1174"/>
      <c r="DI704" s="1169"/>
      <c r="DJ704" s="1169"/>
      <c r="DK704" s="1169"/>
      <c r="DL704" s="1174"/>
      <c r="DM704" s="1169"/>
      <c r="DN704" s="1169"/>
      <c r="DO704" s="1169"/>
      <c r="DP704" s="288"/>
      <c r="DQ704" s="289"/>
      <c r="DR704" s="1168"/>
      <c r="DS704" s="865"/>
      <c r="DT704" s="1171"/>
      <c r="DU704" s="1169"/>
      <c r="DV704" s="1169"/>
      <c r="DW704" s="1169"/>
      <c r="DX704" s="1171"/>
      <c r="DY704" s="1169"/>
      <c r="DZ704" s="1169"/>
      <c r="EA704" s="1169"/>
      <c r="EB704" s="304"/>
      <c r="EC704" s="312"/>
      <c r="ED704" s="1171"/>
      <c r="EE704" s="1169"/>
      <c r="EF704" s="1169"/>
      <c r="EG704" s="1169"/>
      <c r="EH704" s="1174"/>
      <c r="EI704" s="1169"/>
      <c r="EJ704" s="1169"/>
      <c r="EK704" s="1169"/>
      <c r="EL704" s="304"/>
      <c r="EM704" s="312"/>
      <c r="EN704" s="309"/>
      <c r="EO704" s="1170"/>
      <c r="EP704" s="1174"/>
      <c r="EQ704" s="1169"/>
      <c r="ER704" s="1169"/>
      <c r="ES704" s="1169"/>
      <c r="ET704" s="1171"/>
      <c r="EU704" s="1169"/>
      <c r="EV704" s="1169"/>
      <c r="EW704" s="1169"/>
      <c r="EX704" s="312"/>
      <c r="EY704" s="312"/>
      <c r="EZ704" s="1171"/>
      <c r="FA704" s="1169"/>
      <c r="FB704" s="1169"/>
      <c r="FC704" s="1169"/>
      <c r="FD704" s="1171"/>
      <c r="FE704" s="1169"/>
      <c r="FF704" s="1169"/>
      <c r="FG704" s="1169"/>
      <c r="FH704" s="312"/>
      <c r="FI704" s="312"/>
      <c r="FJ704" s="1170"/>
    </row>
    <row r="705" spans="1:166" ht="15" hidden="1" customHeight="1">
      <c r="A705" s="79" t="s">
        <v>208</v>
      </c>
      <c r="B705" s="362">
        <v>154</v>
      </c>
      <c r="C705" s="362">
        <v>49</v>
      </c>
      <c r="D705" s="362"/>
      <c r="E705" s="604" t="s">
        <v>1979</v>
      </c>
      <c r="F705" s="124" t="s">
        <v>2203</v>
      </c>
      <c r="G705" s="125">
        <v>2013</v>
      </c>
      <c r="H705" s="79">
        <v>23445934</v>
      </c>
      <c r="I705" s="79">
        <v>1</v>
      </c>
      <c r="J705" s="126"/>
      <c r="K705" s="127"/>
      <c r="L705" s="79">
        <v>1</v>
      </c>
      <c r="M705" s="79"/>
      <c r="N705" s="79">
        <v>1</v>
      </c>
      <c r="O705" s="128">
        <v>1</v>
      </c>
      <c r="P705" s="79" t="s">
        <v>596</v>
      </c>
      <c r="Q705" s="79" t="s">
        <v>1168</v>
      </c>
      <c r="R705" s="79" t="s">
        <v>594</v>
      </c>
      <c r="S705" s="79">
        <v>0</v>
      </c>
      <c r="T705" s="79"/>
      <c r="U705" s="79"/>
      <c r="V705" s="79"/>
      <c r="W705" s="79" t="s">
        <v>597</v>
      </c>
      <c r="X705" s="79" t="s">
        <v>595</v>
      </c>
      <c r="Y705" s="79"/>
      <c r="Z705" s="79"/>
      <c r="AA705" s="79"/>
      <c r="AB705" s="79"/>
      <c r="AC705" s="506"/>
      <c r="AD705" s="573">
        <v>1</v>
      </c>
      <c r="AE705" s="573">
        <v>2</v>
      </c>
      <c r="AF705" s="154">
        <v>1</v>
      </c>
      <c r="AG705" s="155" t="s">
        <v>8164</v>
      </c>
      <c r="AH705" s="704"/>
      <c r="AI705" s="121">
        <v>0</v>
      </c>
      <c r="AJ705" s="484" t="s">
        <v>4927</v>
      </c>
      <c r="AK705" s="498" t="s">
        <v>4926</v>
      </c>
      <c r="AL705" s="192">
        <v>1</v>
      </c>
      <c r="AM705" s="215">
        <v>0</v>
      </c>
      <c r="AN705" s="134">
        <f>Table66[[#This Row],[Data_Subjects_n_ptsd]]+Table66[[#This Row],[Data_Subjects_n_control]]</f>
        <v>50</v>
      </c>
      <c r="AO705" s="134">
        <v>28</v>
      </c>
      <c r="AP705" s="134">
        <f>22</f>
        <v>22</v>
      </c>
      <c r="AQ705" s="134" t="s">
        <v>4925</v>
      </c>
      <c r="AR705" s="134" t="s">
        <v>4925</v>
      </c>
      <c r="AS705" s="134">
        <v>50.7</v>
      </c>
      <c r="AT705" s="134">
        <v>6.3</v>
      </c>
      <c r="AU705" s="134">
        <v>49.3</v>
      </c>
      <c r="AV705" s="134">
        <v>6</v>
      </c>
      <c r="AW705" s="134" t="s">
        <v>7906</v>
      </c>
      <c r="AX705" s="134"/>
      <c r="AY705" s="134"/>
      <c r="AZ705" s="753" t="s">
        <v>1874</v>
      </c>
      <c r="BA705" s="134" t="s">
        <v>24</v>
      </c>
      <c r="BB705" s="134" t="s">
        <v>24</v>
      </c>
      <c r="BC705" s="134" t="s">
        <v>4924</v>
      </c>
      <c r="BD705" s="753" t="s">
        <v>7522</v>
      </c>
      <c r="BE705" s="1624">
        <v>0</v>
      </c>
      <c r="BF705" s="134" t="s">
        <v>376</v>
      </c>
      <c r="BG705" s="134" t="s">
        <v>4928</v>
      </c>
      <c r="BH705" s="594"/>
      <c r="BI705" s="594"/>
      <c r="BJ705" s="156"/>
      <c r="BK705" s="156"/>
      <c r="BL705" s="156"/>
      <c r="BM705" s="156"/>
      <c r="BN705" s="156"/>
      <c r="BO705" s="156"/>
      <c r="BP705" s="156">
        <v>1</v>
      </c>
      <c r="BQ705" s="156"/>
      <c r="BR705" s="156"/>
      <c r="BS705" s="156"/>
      <c r="BT705" s="156"/>
      <c r="BU705" s="156"/>
      <c r="BV705" s="156"/>
      <c r="BW705" s="595" t="s">
        <v>4984</v>
      </c>
      <c r="BX705" s="157" t="s">
        <v>6609</v>
      </c>
      <c r="BY705" s="797" t="s">
        <v>7616</v>
      </c>
      <c r="BZ705" s="789" t="s">
        <v>803</v>
      </c>
      <c r="CA705" s="769">
        <v>2</v>
      </c>
      <c r="CB705" s="765" t="s">
        <v>7556</v>
      </c>
      <c r="CC705" s="660" t="s">
        <v>7380</v>
      </c>
      <c r="CD705" s="134" t="s">
        <v>1876</v>
      </c>
      <c r="CE705" s="134" t="s">
        <v>4931</v>
      </c>
      <c r="CF705" s="400"/>
      <c r="CG705" s="134" t="s">
        <v>7914</v>
      </c>
      <c r="CH705" s="753" t="s">
        <v>7307</v>
      </c>
      <c r="CI705" s="134" t="s">
        <v>24</v>
      </c>
      <c r="CJ705" s="134"/>
      <c r="CK705" s="134" t="s">
        <v>7909</v>
      </c>
      <c r="CL705" s="1738" t="s">
        <v>8209</v>
      </c>
      <c r="CM705" s="259" t="s">
        <v>4983</v>
      </c>
      <c r="CN705" s="454" t="s">
        <v>24</v>
      </c>
      <c r="CO705" s="828">
        <v>43</v>
      </c>
      <c r="CP705" s="828">
        <v>1</v>
      </c>
      <c r="CQ705" s="828">
        <v>16</v>
      </c>
      <c r="CR705" s="828">
        <v>1</v>
      </c>
      <c r="CS705" s="828">
        <v>-1</v>
      </c>
      <c r="CT705" s="967"/>
      <c r="CU705" s="1291" t="s">
        <v>8102</v>
      </c>
      <c r="CV705" s="1295">
        <v>4</v>
      </c>
      <c r="CW705" s="1295">
        <v>1</v>
      </c>
      <c r="CX705" s="427" t="s">
        <v>4965</v>
      </c>
      <c r="CY705" s="134">
        <v>2.7</v>
      </c>
      <c r="CZ705" s="134">
        <v>0.6</v>
      </c>
      <c r="DA705" s="134" t="s">
        <v>24</v>
      </c>
      <c r="DB705" s="138" t="s">
        <v>4966</v>
      </c>
      <c r="DC705" s="134">
        <v>2.4</v>
      </c>
      <c r="DD705" s="134">
        <v>1.4</v>
      </c>
      <c r="DE705" s="134" t="s">
        <v>24</v>
      </c>
      <c r="DF705" s="691" t="s">
        <v>4981</v>
      </c>
      <c r="DG705" s="691" t="s">
        <v>4982</v>
      </c>
      <c r="DH705" s="822"/>
      <c r="DI705" s="417"/>
      <c r="DJ705" s="1169"/>
      <c r="DK705" s="417"/>
      <c r="DL705" s="1174"/>
      <c r="DM705" s="417"/>
      <c r="DN705" s="1169"/>
      <c r="DO705" s="1151"/>
      <c r="DP705" s="288"/>
      <c r="DQ705" s="441"/>
      <c r="DR705" s="1168"/>
      <c r="DS705" s="865"/>
      <c r="DT705" s="1171"/>
      <c r="DU705" s="417"/>
      <c r="DV705" s="1169"/>
      <c r="DW705" s="417"/>
      <c r="DX705" s="1171"/>
      <c r="DY705" s="417"/>
      <c r="DZ705" s="1169"/>
      <c r="EA705" s="417"/>
      <c r="EB705" s="304"/>
      <c r="EC705" s="312"/>
      <c r="ED705" s="1171"/>
      <c r="EE705" s="417"/>
      <c r="EF705" s="1169"/>
      <c r="EG705" s="417"/>
      <c r="EH705" s="1174"/>
      <c r="EI705" s="417"/>
      <c r="EJ705" s="1169"/>
      <c r="EK705" s="417"/>
      <c r="EL705" s="304"/>
      <c r="EM705" s="312"/>
      <c r="EN705" s="309"/>
      <c r="EO705" s="1170"/>
      <c r="EP705" s="644"/>
      <c r="EQ705" s="417"/>
      <c r="ER705" s="417"/>
      <c r="ES705" s="417"/>
      <c r="ET705" s="1155"/>
      <c r="EU705" s="417"/>
      <c r="EV705" s="417"/>
      <c r="EW705" s="417"/>
      <c r="EX705" s="469"/>
      <c r="EY705" s="469"/>
      <c r="EZ705" s="1155"/>
      <c r="FA705" s="417"/>
      <c r="FB705" s="417"/>
      <c r="FC705" s="417"/>
      <c r="FD705" s="1155"/>
      <c r="FE705" s="417"/>
      <c r="FF705" s="417"/>
      <c r="FG705" s="417"/>
      <c r="FH705" s="469"/>
      <c r="FI705" s="469"/>
      <c r="FJ705" s="1170"/>
    </row>
    <row r="706" spans="1:166" ht="15" hidden="1" customHeight="1">
      <c r="A706" s="79" t="s">
        <v>143</v>
      </c>
      <c r="B706" s="617">
        <v>109</v>
      </c>
      <c r="C706" s="617">
        <v>22</v>
      </c>
      <c r="D706" s="617"/>
      <c r="E706" s="608" t="s">
        <v>1951</v>
      </c>
      <c r="F706" s="181" t="s">
        <v>2170</v>
      </c>
      <c r="G706" s="182">
        <v>2009</v>
      </c>
      <c r="H706" s="79">
        <v>18800372</v>
      </c>
      <c r="I706" s="79">
        <v>1</v>
      </c>
      <c r="J706" s="79"/>
      <c r="K706" s="79"/>
      <c r="L706" s="79">
        <v>1</v>
      </c>
      <c r="M706" s="79"/>
      <c r="N706" s="79">
        <v>1</v>
      </c>
      <c r="O706" s="128">
        <v>1</v>
      </c>
      <c r="P706" s="79" t="s">
        <v>450</v>
      </c>
      <c r="Q706" s="79" t="s">
        <v>1147</v>
      </c>
      <c r="R706" s="79" t="s">
        <v>25</v>
      </c>
      <c r="S706" s="79">
        <v>1</v>
      </c>
      <c r="T706" s="79"/>
      <c r="U706" s="79"/>
      <c r="V706" s="79"/>
      <c r="W706" s="79" t="s">
        <v>449</v>
      </c>
      <c r="X706" s="79"/>
      <c r="Y706" s="79"/>
      <c r="Z706" s="79"/>
      <c r="AA706" s="79"/>
      <c r="AB706" s="79"/>
      <c r="AC706" s="506"/>
      <c r="AD706" s="573">
        <v>1</v>
      </c>
      <c r="AE706" s="573">
        <v>2</v>
      </c>
      <c r="AF706" s="352">
        <v>1</v>
      </c>
      <c r="AG706" s="353"/>
      <c r="AH706" s="704"/>
      <c r="AI706" s="346">
        <v>2</v>
      </c>
      <c r="AJ706" s="487"/>
      <c r="AK706" s="459" t="s">
        <v>4207</v>
      </c>
      <c r="AL706" s="348">
        <v>1</v>
      </c>
      <c r="AM706" s="349">
        <v>0</v>
      </c>
      <c r="AN706" s="346">
        <f>Table66[[#This Row],[Data_Subjects_n_ptsd]]+Table66[[#This Row],[Data_Subjects_n_control]]</f>
        <v>50</v>
      </c>
      <c r="AO706" s="346">
        <v>25</v>
      </c>
      <c r="AP706" s="346">
        <v>25</v>
      </c>
      <c r="AQ706" s="346" t="s">
        <v>803</v>
      </c>
      <c r="AR706" s="346" t="s">
        <v>803</v>
      </c>
      <c r="AS706" s="186">
        <v>33.32</v>
      </c>
      <c r="AT706" s="186">
        <v>4.76</v>
      </c>
      <c r="AU706" s="186">
        <v>34.799999999999997</v>
      </c>
      <c r="AV706" s="186">
        <v>4.5999999999999996</v>
      </c>
      <c r="AW706" s="186" t="s">
        <v>4160</v>
      </c>
      <c r="AX706" s="346"/>
      <c r="AY706" s="346"/>
      <c r="AZ706" s="754" t="s">
        <v>1874</v>
      </c>
      <c r="BA706" s="346" t="s">
        <v>24</v>
      </c>
      <c r="BB706" s="346" t="s">
        <v>24</v>
      </c>
      <c r="BC706" s="346" t="s">
        <v>4161</v>
      </c>
      <c r="BD706" s="754" t="s">
        <v>7521</v>
      </c>
      <c r="BE706" s="187">
        <v>0</v>
      </c>
      <c r="BF706" s="346" t="s">
        <v>3835</v>
      </c>
      <c r="BG706" s="346" t="s">
        <v>4162</v>
      </c>
      <c r="BH706" s="598"/>
      <c r="BI706" s="598"/>
      <c r="BJ706" s="184"/>
      <c r="BK706" s="184"/>
      <c r="BL706" s="184"/>
      <c r="BM706" s="184"/>
      <c r="BN706" s="184"/>
      <c r="BO706" s="184"/>
      <c r="BP706" s="184">
        <v>1</v>
      </c>
      <c r="BQ706" s="184"/>
      <c r="BR706" s="184"/>
      <c r="BS706" s="184"/>
      <c r="BT706" s="184"/>
      <c r="BU706" s="184"/>
      <c r="BV706" s="184"/>
      <c r="BW706" s="600" t="s">
        <v>4208</v>
      </c>
      <c r="BX706" s="185" t="s">
        <v>6609</v>
      </c>
      <c r="BY706" s="797" t="s">
        <v>7616</v>
      </c>
      <c r="BZ706" s="791" t="s">
        <v>803</v>
      </c>
      <c r="CA706" s="765">
        <v>2</v>
      </c>
      <c r="CB706" s="765" t="s">
        <v>7556</v>
      </c>
      <c r="CC706" s="660" t="s">
        <v>7380</v>
      </c>
      <c r="CD706" s="186" t="s">
        <v>1876</v>
      </c>
      <c r="CE706" s="186">
        <v>2</v>
      </c>
      <c r="CF706" s="400"/>
      <c r="CG706" s="186" t="s">
        <v>4178</v>
      </c>
      <c r="CH706" s="753" t="s">
        <v>7307</v>
      </c>
      <c r="CI706" s="186" t="s">
        <v>24</v>
      </c>
      <c r="CJ706" s="150">
        <v>1</v>
      </c>
      <c r="CK706" s="466" t="s">
        <v>4193</v>
      </c>
      <c r="CL706" s="134" t="s">
        <v>8227</v>
      </c>
      <c r="CM706" s="261" t="s">
        <v>4230</v>
      </c>
      <c r="CN706" s="620">
        <v>0</v>
      </c>
      <c r="CO706" s="830">
        <v>21</v>
      </c>
      <c r="CP706" s="830">
        <v>1</v>
      </c>
      <c r="CQ706" s="830">
        <v>10</v>
      </c>
      <c r="CR706" s="830">
        <v>1</v>
      </c>
      <c r="CS706" s="830">
        <v>-1</v>
      </c>
      <c r="CT706" s="969"/>
      <c r="CU706" s="1288" t="s">
        <v>8103</v>
      </c>
      <c r="CV706" s="1294">
        <v>11</v>
      </c>
      <c r="CW706" s="1294">
        <v>10</v>
      </c>
      <c r="CX706" s="186" t="s">
        <v>4176</v>
      </c>
      <c r="CY706" s="186">
        <v>1.04</v>
      </c>
      <c r="CZ706" s="186">
        <v>1.97</v>
      </c>
      <c r="DA706" s="186" t="s">
        <v>24</v>
      </c>
      <c r="DB706" s="186" t="s">
        <v>4177</v>
      </c>
      <c r="DC706" s="186">
        <v>0.24</v>
      </c>
      <c r="DD706" s="186">
        <v>0.83</v>
      </c>
      <c r="DE706" s="186" t="s">
        <v>24</v>
      </c>
      <c r="DF706" s="642" t="s">
        <v>3229</v>
      </c>
      <c r="DG706" s="821" t="s">
        <v>4225</v>
      </c>
      <c r="DH706" s="1278"/>
      <c r="DI706" s="346"/>
      <c r="DJ706" s="1189"/>
      <c r="DK706" s="346"/>
      <c r="DL706" s="1192"/>
      <c r="DM706" s="346"/>
      <c r="DN706" s="1189"/>
      <c r="DO706" s="346"/>
      <c r="DP706" s="294"/>
      <c r="DQ706" s="295"/>
      <c r="DR706" s="1168"/>
      <c r="DS706" s="865"/>
      <c r="DT706" s="1278"/>
      <c r="DU706" s="346"/>
      <c r="DV706" s="346"/>
      <c r="DW706" s="346"/>
      <c r="DX706" s="1278"/>
      <c r="DY706" s="346"/>
      <c r="DZ706" s="1189"/>
      <c r="EA706" s="346"/>
      <c r="EB706" s="305"/>
      <c r="EC706" s="315"/>
      <c r="ED706" s="346"/>
      <c r="EE706" s="346"/>
      <c r="EF706" s="346"/>
      <c r="EG706" s="346"/>
      <c r="EH706" s="346"/>
      <c r="EI706" s="346"/>
      <c r="EJ706" s="1189"/>
      <c r="EK706" s="346"/>
      <c r="EL706" s="1193"/>
      <c r="EM706" s="1190"/>
      <c r="EN706" s="1168"/>
      <c r="EO706" s="1191"/>
      <c r="EP706" s="346"/>
      <c r="EQ706" s="346"/>
      <c r="ER706" s="346"/>
      <c r="ES706" s="346"/>
      <c r="ET706" s="1278"/>
      <c r="EU706" s="346"/>
      <c r="EV706" s="346"/>
      <c r="EW706" s="346"/>
      <c r="EX706" s="315"/>
      <c r="EY706" s="315"/>
      <c r="EZ706" s="1278"/>
      <c r="FA706" s="346"/>
      <c r="FB706" s="346"/>
      <c r="FC706" s="346"/>
      <c r="FD706" s="1278"/>
      <c r="FE706" s="346"/>
      <c r="FF706" s="346"/>
      <c r="FG706" s="346"/>
      <c r="FH706" s="315"/>
      <c r="FI706" s="315"/>
      <c r="FJ706" s="1191"/>
    </row>
    <row r="707" spans="1:166" ht="15" hidden="1" customHeight="1">
      <c r="A707" s="79" t="s">
        <v>143</v>
      </c>
      <c r="B707" s="617">
        <v>109</v>
      </c>
      <c r="C707" s="617">
        <v>22</v>
      </c>
      <c r="D707" s="617"/>
      <c r="E707" s="608" t="s">
        <v>1951</v>
      </c>
      <c r="F707" s="181" t="s">
        <v>2170</v>
      </c>
      <c r="G707" s="182">
        <v>2009</v>
      </c>
      <c r="H707" s="79">
        <v>18800372</v>
      </c>
      <c r="I707" s="79">
        <v>1</v>
      </c>
      <c r="J707" s="79"/>
      <c r="K707" s="79"/>
      <c r="L707" s="79">
        <v>1</v>
      </c>
      <c r="M707" s="79"/>
      <c r="N707" s="79">
        <v>1</v>
      </c>
      <c r="O707" s="128">
        <v>1</v>
      </c>
      <c r="P707" s="79" t="s">
        <v>450</v>
      </c>
      <c r="Q707" s="79" t="s">
        <v>1147</v>
      </c>
      <c r="R707" s="79" t="s">
        <v>25</v>
      </c>
      <c r="S707" s="79">
        <v>1</v>
      </c>
      <c r="T707" s="79"/>
      <c r="U707" s="79"/>
      <c r="V707" s="79"/>
      <c r="W707" s="79" t="s">
        <v>449</v>
      </c>
      <c r="X707" s="79"/>
      <c r="Y707" s="79"/>
      <c r="Z707" s="79"/>
      <c r="AA707" s="79"/>
      <c r="AB707" s="79"/>
      <c r="AC707" s="506"/>
      <c r="AD707" s="573">
        <v>1</v>
      </c>
      <c r="AE707" s="573">
        <v>2</v>
      </c>
      <c r="AF707" s="352">
        <v>1</v>
      </c>
      <c r="AG707" s="353"/>
      <c r="AH707" s="704"/>
      <c r="AI707" s="346">
        <v>2</v>
      </c>
      <c r="AJ707" s="487"/>
      <c r="AK707" s="459" t="s">
        <v>4207</v>
      </c>
      <c r="AL707" s="348">
        <v>1</v>
      </c>
      <c r="AM707" s="349">
        <v>0</v>
      </c>
      <c r="AN707" s="346">
        <f>Table66[[#This Row],[Data_Subjects_n_ptsd]]+Table66[[#This Row],[Data_Subjects_n_control]]</f>
        <v>50</v>
      </c>
      <c r="AO707" s="346">
        <v>25</v>
      </c>
      <c r="AP707" s="346">
        <v>25</v>
      </c>
      <c r="AQ707" s="346" t="s">
        <v>803</v>
      </c>
      <c r="AR707" s="346" t="s">
        <v>803</v>
      </c>
      <c r="AS707" s="186">
        <v>33.32</v>
      </c>
      <c r="AT707" s="186">
        <v>4.76</v>
      </c>
      <c r="AU707" s="186">
        <v>34.799999999999997</v>
      </c>
      <c r="AV707" s="186">
        <v>4.5999999999999996</v>
      </c>
      <c r="AW707" s="186" t="s">
        <v>4160</v>
      </c>
      <c r="AX707" s="346"/>
      <c r="AY707" s="346"/>
      <c r="AZ707" s="754" t="s">
        <v>1874</v>
      </c>
      <c r="BA707" s="346" t="s">
        <v>24</v>
      </c>
      <c r="BB707" s="346" t="s">
        <v>24</v>
      </c>
      <c r="BC707" s="346" t="s">
        <v>4161</v>
      </c>
      <c r="BD707" s="754" t="s">
        <v>7521</v>
      </c>
      <c r="BE707" s="187">
        <v>0</v>
      </c>
      <c r="BF707" s="346" t="s">
        <v>3835</v>
      </c>
      <c r="BG707" s="346" t="s">
        <v>4162</v>
      </c>
      <c r="BH707" s="598"/>
      <c r="BI707" s="598"/>
      <c r="BJ707" s="184"/>
      <c r="BK707" s="184"/>
      <c r="BL707" s="184"/>
      <c r="BM707" s="184"/>
      <c r="BN707" s="184"/>
      <c r="BO707" s="184"/>
      <c r="BP707" s="184">
        <v>1</v>
      </c>
      <c r="BQ707" s="184"/>
      <c r="BR707" s="184"/>
      <c r="BS707" s="184"/>
      <c r="BT707" s="184"/>
      <c r="BU707" s="184"/>
      <c r="BV707" s="184"/>
      <c r="BW707" s="600" t="s">
        <v>4208</v>
      </c>
      <c r="BX707" s="185" t="s">
        <v>6609</v>
      </c>
      <c r="BY707" s="797" t="s">
        <v>7616</v>
      </c>
      <c r="BZ707" s="791" t="s">
        <v>803</v>
      </c>
      <c r="CA707" s="765">
        <v>2</v>
      </c>
      <c r="CB707" s="765" t="s">
        <v>7556</v>
      </c>
      <c r="CC707" s="660" t="s">
        <v>7380</v>
      </c>
      <c r="CD707" s="186" t="s">
        <v>1876</v>
      </c>
      <c r="CE707" s="186">
        <v>2</v>
      </c>
      <c r="CF707" s="400"/>
      <c r="CG707" s="186" t="s">
        <v>4178</v>
      </c>
      <c r="CH707" s="753" t="s">
        <v>7307</v>
      </c>
      <c r="CI707" s="186" t="s">
        <v>24</v>
      </c>
      <c r="CJ707" s="150">
        <v>1</v>
      </c>
      <c r="CK707" s="466" t="s">
        <v>4193</v>
      </c>
      <c r="CL707" s="134" t="s">
        <v>8220</v>
      </c>
      <c r="CM707" s="261" t="s">
        <v>4230</v>
      </c>
      <c r="CN707" s="620" t="s">
        <v>24</v>
      </c>
      <c r="CO707" s="830">
        <v>21</v>
      </c>
      <c r="CP707" s="830">
        <v>1</v>
      </c>
      <c r="CQ707" s="830">
        <v>8</v>
      </c>
      <c r="CR707" s="830">
        <v>1</v>
      </c>
      <c r="CS707" s="830">
        <v>1</v>
      </c>
      <c r="CT707" s="969"/>
      <c r="CU707" s="1288" t="s">
        <v>8103</v>
      </c>
      <c r="CV707" s="1294">
        <v>11</v>
      </c>
      <c r="CW707" s="1294">
        <v>10</v>
      </c>
      <c r="CX707" s="267" t="s">
        <v>4172</v>
      </c>
      <c r="CY707" s="186">
        <v>8.68</v>
      </c>
      <c r="CZ707" s="186">
        <v>3.11</v>
      </c>
      <c r="DA707" s="186" t="s">
        <v>24</v>
      </c>
      <c r="DB707" s="267" t="s">
        <v>4173</v>
      </c>
      <c r="DC707" s="186">
        <v>10.88</v>
      </c>
      <c r="DD707" s="186">
        <v>2.62</v>
      </c>
      <c r="DE707" s="186" t="s">
        <v>24</v>
      </c>
      <c r="DF707" s="549" t="s">
        <v>4215</v>
      </c>
      <c r="DG707" s="551" t="s">
        <v>4216</v>
      </c>
      <c r="DH707" s="1192"/>
      <c r="DI707" s="1189"/>
      <c r="DJ707" s="1189"/>
      <c r="DK707" s="1189"/>
      <c r="DL707" s="1192"/>
      <c r="DM707" s="1189"/>
      <c r="DN707" s="1189"/>
      <c r="DO707" s="1189"/>
      <c r="DP707" s="294"/>
      <c r="DQ707" s="295"/>
      <c r="DR707" s="1168"/>
      <c r="DS707" s="865"/>
      <c r="DT707" s="1278"/>
      <c r="DU707" s="346"/>
      <c r="DV707" s="346"/>
      <c r="DW707" s="346"/>
      <c r="DX707" s="1278"/>
      <c r="DY707" s="1189"/>
      <c r="DZ707" s="1189"/>
      <c r="EA707" s="1189"/>
      <c r="EB707" s="305"/>
      <c r="EC707" s="315"/>
      <c r="ED707" s="346"/>
      <c r="EE707" s="346"/>
      <c r="EF707" s="346"/>
      <c r="EG707" s="346"/>
      <c r="EH707" s="346"/>
      <c r="EI707" s="1189"/>
      <c r="EJ707" s="1189"/>
      <c r="EK707" s="1189"/>
      <c r="EL707" s="1193"/>
      <c r="EM707" s="1190"/>
      <c r="EN707" s="1168"/>
      <c r="EO707" s="1191"/>
      <c r="EP707" s="346"/>
      <c r="EQ707" s="346"/>
      <c r="ER707" s="346"/>
      <c r="ES707" s="346"/>
      <c r="ET707" s="1278"/>
      <c r="EU707" s="1189"/>
      <c r="EV707" s="1189"/>
      <c r="EW707" s="1189"/>
      <c r="EX707" s="1190"/>
      <c r="EY707" s="1190"/>
      <c r="EZ707" s="1278"/>
      <c r="FA707" s="346"/>
      <c r="FB707" s="346"/>
      <c r="FC707" s="346"/>
      <c r="FD707" s="1278"/>
      <c r="FE707" s="1189"/>
      <c r="FF707" s="1189"/>
      <c r="FG707" s="1189"/>
      <c r="FH707" s="1190"/>
      <c r="FI707" s="1190"/>
      <c r="FJ707" s="1191"/>
    </row>
    <row r="708" spans="1:166" ht="15" hidden="1" customHeight="1">
      <c r="A708" s="79" t="s">
        <v>143</v>
      </c>
      <c r="B708" s="617">
        <v>109</v>
      </c>
      <c r="C708" s="617">
        <v>22</v>
      </c>
      <c r="D708" s="617"/>
      <c r="E708" s="608" t="s">
        <v>1951</v>
      </c>
      <c r="F708" s="181" t="s">
        <v>2170</v>
      </c>
      <c r="G708" s="182">
        <v>2009</v>
      </c>
      <c r="H708" s="79">
        <v>18800372</v>
      </c>
      <c r="I708" s="79">
        <v>1</v>
      </c>
      <c r="J708" s="79"/>
      <c r="K708" s="79"/>
      <c r="L708" s="79">
        <v>1</v>
      </c>
      <c r="M708" s="79"/>
      <c r="N708" s="79">
        <v>1</v>
      </c>
      <c r="O708" s="128">
        <v>1</v>
      </c>
      <c r="P708" s="79" t="s">
        <v>450</v>
      </c>
      <c r="Q708" s="79" t="s">
        <v>1147</v>
      </c>
      <c r="R708" s="79" t="s">
        <v>25</v>
      </c>
      <c r="S708" s="79">
        <v>1</v>
      </c>
      <c r="T708" s="79"/>
      <c r="U708" s="79"/>
      <c r="V708" s="79"/>
      <c r="W708" s="79" t="s">
        <v>449</v>
      </c>
      <c r="X708" s="79"/>
      <c r="Y708" s="79"/>
      <c r="Z708" s="79"/>
      <c r="AA708" s="79"/>
      <c r="AB708" s="79"/>
      <c r="AC708" s="506"/>
      <c r="AD708" s="573">
        <v>1</v>
      </c>
      <c r="AE708" s="573">
        <v>2</v>
      </c>
      <c r="AF708" s="352">
        <v>1</v>
      </c>
      <c r="AG708" s="353"/>
      <c r="AH708" s="704"/>
      <c r="AI708" s="346">
        <v>2</v>
      </c>
      <c r="AJ708" s="487"/>
      <c r="AK708" s="459" t="s">
        <v>4207</v>
      </c>
      <c r="AL708" s="348">
        <v>1</v>
      </c>
      <c r="AM708" s="349">
        <v>0</v>
      </c>
      <c r="AN708" s="346">
        <f>Table66[[#This Row],[Data_Subjects_n_ptsd]]+Table66[[#This Row],[Data_Subjects_n_control]]</f>
        <v>50</v>
      </c>
      <c r="AO708" s="346">
        <v>25</v>
      </c>
      <c r="AP708" s="346">
        <v>25</v>
      </c>
      <c r="AQ708" s="346" t="s">
        <v>803</v>
      </c>
      <c r="AR708" s="346" t="s">
        <v>803</v>
      </c>
      <c r="AS708" s="186">
        <v>33.32</v>
      </c>
      <c r="AT708" s="186">
        <v>4.76</v>
      </c>
      <c r="AU708" s="186">
        <v>34.799999999999997</v>
      </c>
      <c r="AV708" s="186">
        <v>4.5999999999999996</v>
      </c>
      <c r="AW708" s="186" t="s">
        <v>4160</v>
      </c>
      <c r="AX708" s="346"/>
      <c r="AY708" s="346"/>
      <c r="AZ708" s="754" t="s">
        <v>1874</v>
      </c>
      <c r="BA708" s="346" t="s">
        <v>24</v>
      </c>
      <c r="BB708" s="346" t="s">
        <v>24</v>
      </c>
      <c r="BC708" s="346" t="s">
        <v>4161</v>
      </c>
      <c r="BD708" s="754" t="s">
        <v>7521</v>
      </c>
      <c r="BE708" s="187">
        <v>0</v>
      </c>
      <c r="BF708" s="346" t="s">
        <v>3835</v>
      </c>
      <c r="BG708" s="346" t="s">
        <v>4162</v>
      </c>
      <c r="BH708" s="598"/>
      <c r="BI708" s="598"/>
      <c r="BJ708" s="184"/>
      <c r="BK708" s="184"/>
      <c r="BL708" s="184"/>
      <c r="BM708" s="184"/>
      <c r="BN708" s="184"/>
      <c r="BO708" s="184"/>
      <c r="BP708" s="184">
        <v>1</v>
      </c>
      <c r="BQ708" s="184"/>
      <c r="BR708" s="184"/>
      <c r="BS708" s="184"/>
      <c r="BT708" s="184"/>
      <c r="BU708" s="184"/>
      <c r="BV708" s="184"/>
      <c r="BW708" s="600" t="s">
        <v>4208</v>
      </c>
      <c r="BX708" s="185" t="s">
        <v>6609</v>
      </c>
      <c r="BY708" s="797" t="s">
        <v>7616</v>
      </c>
      <c r="BZ708" s="791" t="s">
        <v>803</v>
      </c>
      <c r="CA708" s="765">
        <v>2</v>
      </c>
      <c r="CB708" s="765" t="s">
        <v>7556</v>
      </c>
      <c r="CC708" s="660" t="s">
        <v>7380</v>
      </c>
      <c r="CD708" s="186" t="s">
        <v>1876</v>
      </c>
      <c r="CE708" s="186">
        <v>2</v>
      </c>
      <c r="CF708" s="400"/>
      <c r="CG708" s="186" t="s">
        <v>4178</v>
      </c>
      <c r="CH708" s="753" t="s">
        <v>7307</v>
      </c>
      <c r="CI708" s="186" t="s">
        <v>24</v>
      </c>
      <c r="CJ708" s="150">
        <v>1</v>
      </c>
      <c r="CK708" s="466" t="s">
        <v>4193</v>
      </c>
      <c r="CL708" s="134" t="s">
        <v>8228</v>
      </c>
      <c r="CM708" s="261" t="s">
        <v>4230</v>
      </c>
      <c r="CN708" s="620" t="s">
        <v>24</v>
      </c>
      <c r="CO708" s="830">
        <v>21</v>
      </c>
      <c r="CP708" s="830">
        <v>1</v>
      </c>
      <c r="CQ708" s="830">
        <v>9</v>
      </c>
      <c r="CR708" s="830">
        <v>1</v>
      </c>
      <c r="CS708" s="830">
        <v>1</v>
      </c>
      <c r="CT708" s="969"/>
      <c r="CU708" s="1288" t="s">
        <v>8103</v>
      </c>
      <c r="CV708" s="1294">
        <v>11</v>
      </c>
      <c r="CW708" s="1294">
        <v>10</v>
      </c>
      <c r="CX708" s="267" t="s">
        <v>4174</v>
      </c>
      <c r="CY708" s="186">
        <v>13.76</v>
      </c>
      <c r="CZ708" s="186">
        <v>1.96</v>
      </c>
      <c r="DA708" s="186" t="s">
        <v>24</v>
      </c>
      <c r="DB708" s="267" t="s">
        <v>4175</v>
      </c>
      <c r="DC708" s="186">
        <v>14.68</v>
      </c>
      <c r="DD708" s="186">
        <v>0.63</v>
      </c>
      <c r="DE708" s="186" t="s">
        <v>24</v>
      </c>
      <c r="DF708" s="305" t="s">
        <v>4222</v>
      </c>
      <c r="DG708" s="315" t="s">
        <v>4221</v>
      </c>
      <c r="DH708" s="1278"/>
      <c r="DI708" s="346"/>
      <c r="DJ708" s="1189"/>
      <c r="DK708" s="346"/>
      <c r="DL708" s="1192"/>
      <c r="DM708" s="346"/>
      <c r="DN708" s="1189"/>
      <c r="DO708" s="346"/>
      <c r="DP708" s="294"/>
      <c r="DQ708" s="295"/>
      <c r="DR708" s="1168"/>
      <c r="DS708" s="865"/>
      <c r="DT708" s="1278"/>
      <c r="DU708" s="346"/>
      <c r="DV708" s="346"/>
      <c r="DW708" s="346"/>
      <c r="DX708" s="1278"/>
      <c r="DY708" s="346"/>
      <c r="DZ708" s="1189"/>
      <c r="EA708" s="346"/>
      <c r="EB708" s="305"/>
      <c r="EC708" s="315"/>
      <c r="ED708" s="346"/>
      <c r="EE708" s="346"/>
      <c r="EF708" s="346"/>
      <c r="EG708" s="346"/>
      <c r="EH708" s="346"/>
      <c r="EI708" s="346"/>
      <c r="EJ708" s="1189"/>
      <c r="EK708" s="346"/>
      <c r="EL708" s="1193"/>
      <c r="EM708" s="1190"/>
      <c r="EN708" s="1168"/>
      <c r="EO708" s="1191"/>
      <c r="EP708" s="346"/>
      <c r="EQ708" s="346"/>
      <c r="ER708" s="346"/>
      <c r="ES708" s="346"/>
      <c r="ET708" s="1278"/>
      <c r="EU708" s="346"/>
      <c r="EV708" s="346"/>
      <c r="EW708" s="346"/>
      <c r="EX708" s="315"/>
      <c r="EY708" s="315"/>
      <c r="EZ708" s="1278"/>
      <c r="FA708" s="346"/>
      <c r="FB708" s="346"/>
      <c r="FC708" s="346"/>
      <c r="FD708" s="1278"/>
      <c r="FE708" s="346"/>
      <c r="FF708" s="346"/>
      <c r="FG708" s="346"/>
      <c r="FH708" s="315"/>
      <c r="FI708" s="315"/>
      <c r="FJ708" s="1191"/>
    </row>
    <row r="709" spans="1:166" ht="15" hidden="1" customHeight="1">
      <c r="A709" s="118" t="s">
        <v>336</v>
      </c>
      <c r="B709" s="616">
        <v>241</v>
      </c>
      <c r="C709" s="616"/>
      <c r="D709" s="616"/>
      <c r="E709" s="605" t="s">
        <v>2036</v>
      </c>
      <c r="F709" s="140" t="s">
        <v>2274</v>
      </c>
      <c r="G709" s="141">
        <v>1998</v>
      </c>
      <c r="H709" s="118">
        <v>9460740</v>
      </c>
      <c r="I709" s="118">
        <v>1</v>
      </c>
      <c r="J709" s="118"/>
      <c r="K709" s="118"/>
      <c r="L709" s="118">
        <v>1</v>
      </c>
      <c r="M709" s="118"/>
      <c r="N709" s="118">
        <v>1</v>
      </c>
      <c r="O709" s="142">
        <v>1</v>
      </c>
      <c r="P709" s="118" t="s">
        <v>31</v>
      </c>
      <c r="Q709" s="118" t="s">
        <v>1157</v>
      </c>
      <c r="R709" s="118" t="s">
        <v>819</v>
      </c>
      <c r="S709" s="118">
        <v>1</v>
      </c>
      <c r="T709" s="118"/>
      <c r="U709" s="118"/>
      <c r="V709" s="118"/>
      <c r="W709" s="118" t="s">
        <v>873</v>
      </c>
      <c r="X709" s="118" t="s">
        <v>24</v>
      </c>
      <c r="Y709" s="118" t="s">
        <v>24</v>
      </c>
      <c r="Z709" s="118"/>
      <c r="AA709" s="118"/>
      <c r="AB709" s="118"/>
      <c r="AC709" s="145"/>
      <c r="AD709" s="573">
        <v>1</v>
      </c>
      <c r="AE709" s="573">
        <v>2</v>
      </c>
      <c r="AF709" s="159">
        <v>1</v>
      </c>
      <c r="AG709" s="160"/>
      <c r="AH709" s="704"/>
      <c r="AI709" s="122">
        <v>2</v>
      </c>
      <c r="AJ709" s="485"/>
      <c r="AK709" s="204" t="s">
        <v>5804</v>
      </c>
      <c r="AL709" s="192">
        <v>1</v>
      </c>
      <c r="AM709" s="205">
        <v>0</v>
      </c>
      <c r="AN709" s="122">
        <f>Table66[[#This Row],[Data_Subjects_n_ptsd]]+Table66[[#This Row],[Data_Subjects_n_control]]</f>
        <v>43</v>
      </c>
      <c r="AO709" s="122">
        <v>24</v>
      </c>
      <c r="AP709" s="122">
        <v>19</v>
      </c>
      <c r="AQ709" s="150" t="s">
        <v>5744</v>
      </c>
      <c r="AR709" s="122" t="s">
        <v>5745</v>
      </c>
      <c r="AS709" s="122">
        <v>36.299999999999997</v>
      </c>
      <c r="AT709" s="122">
        <v>9.8000000000000007</v>
      </c>
      <c r="AU709" s="122">
        <v>35.299999999999997</v>
      </c>
      <c r="AV709" s="122">
        <v>8.6999999999999993</v>
      </c>
      <c r="AW709" s="122" t="s">
        <v>5746</v>
      </c>
      <c r="AX709" s="122"/>
      <c r="AY709" s="122"/>
      <c r="AZ709" s="754" t="s">
        <v>1874</v>
      </c>
      <c r="BA709" s="122" t="s">
        <v>24</v>
      </c>
      <c r="BB709" s="122" t="s">
        <v>24</v>
      </c>
      <c r="BC709" s="122" t="s">
        <v>5749</v>
      </c>
      <c r="BD709" s="754" t="s">
        <v>7521</v>
      </c>
      <c r="BE709" s="187">
        <v>0</v>
      </c>
      <c r="BF709" s="122" t="s">
        <v>5747</v>
      </c>
      <c r="BG709" s="122" t="s">
        <v>5748</v>
      </c>
      <c r="BH709" s="588"/>
      <c r="BI709" s="588"/>
      <c r="BJ709" s="161"/>
      <c r="BK709" s="161"/>
      <c r="BL709" s="161" t="s">
        <v>4727</v>
      </c>
      <c r="BM709" s="161"/>
      <c r="BN709" s="161"/>
      <c r="BO709" s="161"/>
      <c r="BP709" s="161">
        <v>1</v>
      </c>
      <c r="BQ709" s="161"/>
      <c r="BR709" s="161"/>
      <c r="BS709" s="161"/>
      <c r="BT709" s="161" t="s">
        <v>4727</v>
      </c>
      <c r="BU709" s="161"/>
      <c r="BV709" s="161"/>
      <c r="BW709" s="596" t="s">
        <v>4001</v>
      </c>
      <c r="BX709" s="162" t="s">
        <v>6612</v>
      </c>
      <c r="BY709" s="797" t="s">
        <v>7617</v>
      </c>
      <c r="BZ709" s="790" t="s">
        <v>7610</v>
      </c>
      <c r="CA709" s="765">
        <v>2</v>
      </c>
      <c r="CB709" s="765" t="s">
        <v>7556</v>
      </c>
      <c r="CC709" s="765" t="s">
        <v>24</v>
      </c>
      <c r="CD709" s="150" t="s">
        <v>1876</v>
      </c>
      <c r="CE709" s="150">
        <v>2</v>
      </c>
      <c r="CF709" s="400"/>
      <c r="CG709" s="150" t="s">
        <v>5752</v>
      </c>
      <c r="CH709" s="753" t="s">
        <v>7343</v>
      </c>
      <c r="CI709" s="150" t="s">
        <v>24</v>
      </c>
      <c r="CJ709" s="150"/>
      <c r="CK709" s="150" t="s">
        <v>5753</v>
      </c>
      <c r="CL709" s="134" t="s">
        <v>8221</v>
      </c>
      <c r="CM709" s="258" t="s">
        <v>5803</v>
      </c>
      <c r="CN709" s="257" t="s">
        <v>24</v>
      </c>
      <c r="CO709" s="829">
        <v>79</v>
      </c>
      <c r="CP709" s="829">
        <v>1</v>
      </c>
      <c r="CQ709" s="829">
        <v>1</v>
      </c>
      <c r="CR709" s="829">
        <v>1</v>
      </c>
      <c r="CS709" s="829">
        <v>1</v>
      </c>
      <c r="CT709" s="968" t="s">
        <v>8068</v>
      </c>
      <c r="CU709" s="1288" t="s">
        <v>8103</v>
      </c>
      <c r="CV709" s="1294">
        <v>39</v>
      </c>
      <c r="CW709" s="1294">
        <v>33</v>
      </c>
      <c r="CX709" s="151" t="s">
        <v>5789</v>
      </c>
      <c r="CY709" s="150">
        <v>71.099999999999994</v>
      </c>
      <c r="CZ709" s="150">
        <v>6.1</v>
      </c>
      <c r="DA709" s="150" t="s">
        <v>24</v>
      </c>
      <c r="DB709" s="151" t="s">
        <v>5790</v>
      </c>
      <c r="DC709" s="150">
        <v>77.2</v>
      </c>
      <c r="DD709" s="150">
        <v>6.9</v>
      </c>
      <c r="DE709" s="150" t="s">
        <v>24</v>
      </c>
      <c r="DF709" s="549" t="s">
        <v>5799</v>
      </c>
      <c r="DG709" s="551" t="s">
        <v>5795</v>
      </c>
      <c r="DH709" s="1169"/>
      <c r="DI709" s="1169"/>
      <c r="DJ709" s="1169"/>
      <c r="DK709" s="1169"/>
      <c r="DL709" s="1169"/>
      <c r="DM709" s="1169"/>
      <c r="DN709" s="1169"/>
      <c r="DO709" s="1169"/>
      <c r="DP709" s="288"/>
      <c r="DQ709" s="289"/>
      <c r="DR709" s="1168"/>
      <c r="DS709" s="865"/>
      <c r="DT709" s="1171"/>
      <c r="DU709" s="1169"/>
      <c r="DV709" s="1169"/>
      <c r="DW709" s="1169"/>
      <c r="DX709" s="1169"/>
      <c r="DY709" s="1169"/>
      <c r="DZ709" s="1169"/>
      <c r="EA709" s="1169"/>
      <c r="EB709" s="304"/>
      <c r="EC709" s="312"/>
      <c r="ED709" s="1164"/>
      <c r="EE709" s="1164"/>
      <c r="EF709" s="1164"/>
      <c r="EG709" s="1164"/>
      <c r="EH709" s="1164"/>
      <c r="EI709" s="1164"/>
      <c r="EJ709" s="1164"/>
      <c r="EK709" s="1164"/>
      <c r="EL709" s="311"/>
      <c r="EM709" s="313"/>
      <c r="EN709" s="1167"/>
      <c r="EO709" s="1165"/>
      <c r="EP709" s="1164"/>
      <c r="EQ709" s="1164"/>
      <c r="ER709" s="1164"/>
      <c r="ES709" s="1164"/>
      <c r="ET709" s="1164"/>
      <c r="EU709" s="1164"/>
      <c r="EV709" s="1164"/>
      <c r="EW709" s="1164"/>
      <c r="EX709" s="313"/>
      <c r="EY709" s="313"/>
      <c r="EZ709" s="1164"/>
      <c r="FA709" s="1164"/>
      <c r="FB709" s="1164"/>
      <c r="FC709" s="1164"/>
      <c r="FD709" s="1164"/>
      <c r="FE709" s="1164"/>
      <c r="FF709" s="1164"/>
      <c r="FG709" s="1164"/>
      <c r="FH709" s="313"/>
      <c r="FI709" s="313"/>
      <c r="FJ709" s="1165"/>
    </row>
    <row r="710" spans="1:166" ht="15" hidden="1" customHeight="1">
      <c r="A710" s="118" t="s">
        <v>336</v>
      </c>
      <c r="B710" s="616">
        <v>241</v>
      </c>
      <c r="C710" s="616"/>
      <c r="D710" s="616"/>
      <c r="E710" s="605" t="s">
        <v>2036</v>
      </c>
      <c r="F710" s="140" t="s">
        <v>2274</v>
      </c>
      <c r="G710" s="141">
        <v>1998</v>
      </c>
      <c r="H710" s="118">
        <v>9460740</v>
      </c>
      <c r="I710" s="118">
        <v>1</v>
      </c>
      <c r="J710" s="118"/>
      <c r="K710" s="118"/>
      <c r="L710" s="118">
        <v>1</v>
      </c>
      <c r="M710" s="118"/>
      <c r="N710" s="118">
        <v>1</v>
      </c>
      <c r="O710" s="142">
        <v>1</v>
      </c>
      <c r="P710" s="118" t="s">
        <v>31</v>
      </c>
      <c r="Q710" s="118" t="s">
        <v>1157</v>
      </c>
      <c r="R710" s="118" t="s">
        <v>819</v>
      </c>
      <c r="S710" s="118">
        <v>1</v>
      </c>
      <c r="T710" s="118"/>
      <c r="U710" s="118"/>
      <c r="V710" s="118"/>
      <c r="W710" s="118" t="s">
        <v>873</v>
      </c>
      <c r="X710" s="118" t="s">
        <v>24</v>
      </c>
      <c r="Y710" s="118" t="s">
        <v>24</v>
      </c>
      <c r="Z710" s="118"/>
      <c r="AA710" s="118"/>
      <c r="AB710" s="118"/>
      <c r="AC710" s="145"/>
      <c r="AD710" s="573">
        <v>1</v>
      </c>
      <c r="AE710" s="573">
        <v>2</v>
      </c>
      <c r="AF710" s="159">
        <v>1</v>
      </c>
      <c r="AG710" s="160"/>
      <c r="AH710" s="704"/>
      <c r="AI710" s="122">
        <v>2</v>
      </c>
      <c r="AJ710" s="485"/>
      <c r="AK710" s="204" t="s">
        <v>5804</v>
      </c>
      <c r="AL710" s="192">
        <v>1</v>
      </c>
      <c r="AM710" s="205">
        <v>0</v>
      </c>
      <c r="AN710" s="122">
        <f>Table66[[#This Row],[Data_Subjects_n_ptsd]]+Table66[[#This Row],[Data_Subjects_n_control]]</f>
        <v>43</v>
      </c>
      <c r="AO710" s="122">
        <v>24</v>
      </c>
      <c r="AP710" s="122">
        <v>19</v>
      </c>
      <c r="AQ710" s="150" t="s">
        <v>5744</v>
      </c>
      <c r="AR710" s="122" t="s">
        <v>5745</v>
      </c>
      <c r="AS710" s="122">
        <v>36.299999999999997</v>
      </c>
      <c r="AT710" s="122">
        <v>9.8000000000000007</v>
      </c>
      <c r="AU710" s="122">
        <v>35.299999999999997</v>
      </c>
      <c r="AV710" s="122">
        <v>8.6999999999999993</v>
      </c>
      <c r="AW710" s="122" t="s">
        <v>5746</v>
      </c>
      <c r="AX710" s="122"/>
      <c r="AY710" s="122"/>
      <c r="AZ710" s="754" t="s">
        <v>1874</v>
      </c>
      <c r="BA710" s="122" t="s">
        <v>24</v>
      </c>
      <c r="BB710" s="122" t="s">
        <v>24</v>
      </c>
      <c r="BC710" s="122" t="s">
        <v>5749</v>
      </c>
      <c r="BD710" s="754" t="s">
        <v>7521</v>
      </c>
      <c r="BE710" s="187">
        <v>0</v>
      </c>
      <c r="BF710" s="122" t="s">
        <v>5747</v>
      </c>
      <c r="BG710" s="122" t="s">
        <v>5748</v>
      </c>
      <c r="BH710" s="588"/>
      <c r="BI710" s="588"/>
      <c r="BJ710" s="161"/>
      <c r="BK710" s="161"/>
      <c r="BL710" s="161" t="s">
        <v>4727</v>
      </c>
      <c r="BM710" s="161"/>
      <c r="BN710" s="161"/>
      <c r="BO710" s="161"/>
      <c r="BP710" s="161">
        <v>1</v>
      </c>
      <c r="BQ710" s="161"/>
      <c r="BR710" s="161"/>
      <c r="BS710" s="161"/>
      <c r="BT710" s="161" t="s">
        <v>4727</v>
      </c>
      <c r="BU710" s="161"/>
      <c r="BV710" s="161"/>
      <c r="BW710" s="596" t="s">
        <v>4001</v>
      </c>
      <c r="BX710" s="162" t="s">
        <v>6612</v>
      </c>
      <c r="BY710" s="797" t="s">
        <v>7617</v>
      </c>
      <c r="BZ710" s="790" t="s">
        <v>803</v>
      </c>
      <c r="CA710" s="765">
        <v>2</v>
      </c>
      <c r="CB710" s="765" t="s">
        <v>7556</v>
      </c>
      <c r="CC710" s="765" t="s">
        <v>24</v>
      </c>
      <c r="CD710" s="150" t="s">
        <v>1876</v>
      </c>
      <c r="CE710" s="150">
        <v>2</v>
      </c>
      <c r="CF710" s="400"/>
      <c r="CG710" s="150" t="s">
        <v>5752</v>
      </c>
      <c r="CH710" s="753" t="s">
        <v>7343</v>
      </c>
      <c r="CI710" s="150" t="s">
        <v>24</v>
      </c>
      <c r="CJ710" s="150"/>
      <c r="CK710" s="150" t="s">
        <v>5753</v>
      </c>
      <c r="CL710" s="134" t="s">
        <v>8222</v>
      </c>
      <c r="CM710" s="258" t="s">
        <v>5803</v>
      </c>
      <c r="CN710" s="257" t="s">
        <v>24</v>
      </c>
      <c r="CO710" s="829">
        <v>79</v>
      </c>
      <c r="CP710" s="829">
        <v>1</v>
      </c>
      <c r="CQ710" s="829">
        <v>2</v>
      </c>
      <c r="CR710" s="829">
        <v>1</v>
      </c>
      <c r="CS710" s="829">
        <v>1</v>
      </c>
      <c r="CT710" s="968" t="s">
        <v>8068</v>
      </c>
      <c r="CU710" s="1288" t="s">
        <v>8103</v>
      </c>
      <c r="CV710" s="1294">
        <v>39</v>
      </c>
      <c r="CW710" s="1294">
        <v>33</v>
      </c>
      <c r="CX710" s="151" t="s">
        <v>5791</v>
      </c>
      <c r="CY710" s="150">
        <v>3.2</v>
      </c>
      <c r="CZ710" s="150">
        <v>1.3</v>
      </c>
      <c r="DA710" s="150" t="s">
        <v>24</v>
      </c>
      <c r="DB710" s="151" t="s">
        <v>5792</v>
      </c>
      <c r="DC710" s="150">
        <v>4.3</v>
      </c>
      <c r="DD710" s="150">
        <v>1.8</v>
      </c>
      <c r="DE710" s="150" t="s">
        <v>24</v>
      </c>
      <c r="DF710" s="440" t="s">
        <v>5800</v>
      </c>
      <c r="DG710" s="442" t="s">
        <v>5796</v>
      </c>
      <c r="DH710" s="1166"/>
      <c r="DI710" s="1164"/>
      <c r="DJ710" s="1164"/>
      <c r="DK710" s="1164"/>
      <c r="DL710" s="1166"/>
      <c r="DM710" s="1164"/>
      <c r="DN710" s="1164"/>
      <c r="DO710" s="1164"/>
      <c r="DP710" s="290"/>
      <c r="DQ710" s="291"/>
      <c r="DR710" s="1168"/>
      <c r="DS710" s="865"/>
      <c r="DT710" s="1166"/>
      <c r="DU710" s="1164"/>
      <c r="DV710" s="1164"/>
      <c r="DW710" s="1164"/>
      <c r="DX710" s="1166"/>
      <c r="DY710" s="1164"/>
      <c r="DZ710" s="1164"/>
      <c r="EA710" s="1164"/>
      <c r="EB710" s="311"/>
      <c r="EC710" s="313"/>
      <c r="ED710" s="1164"/>
      <c r="EE710" s="1164"/>
      <c r="EF710" s="1164"/>
      <c r="EG710" s="1164"/>
      <c r="EH710" s="1164"/>
      <c r="EI710" s="1164"/>
      <c r="EJ710" s="1164"/>
      <c r="EK710" s="1164"/>
      <c r="EL710" s="311"/>
      <c r="EM710" s="313"/>
      <c r="EN710" s="1167"/>
      <c r="EO710" s="1165"/>
      <c r="EP710" s="1164"/>
      <c r="EQ710" s="1164"/>
      <c r="ER710" s="1164"/>
      <c r="ES710" s="1164"/>
      <c r="ET710" s="1164"/>
      <c r="EU710" s="1164"/>
      <c r="EV710" s="1164"/>
      <c r="EW710" s="1164"/>
      <c r="EX710" s="313"/>
      <c r="EY710" s="313"/>
      <c r="EZ710" s="1164"/>
      <c r="FA710" s="1164"/>
      <c r="FB710" s="1164"/>
      <c r="FC710" s="1164"/>
      <c r="FD710" s="1164"/>
      <c r="FE710" s="1164"/>
      <c r="FF710" s="1164"/>
      <c r="FG710" s="1164"/>
      <c r="FH710" s="313"/>
      <c r="FI710" s="313"/>
      <c r="FJ710" s="1165"/>
    </row>
    <row r="711" spans="1:166" ht="15" hidden="1" customHeight="1">
      <c r="A711" s="118" t="s">
        <v>336</v>
      </c>
      <c r="B711" s="616">
        <v>241</v>
      </c>
      <c r="C711" s="616"/>
      <c r="D711" s="616"/>
      <c r="E711" s="605" t="s">
        <v>2036</v>
      </c>
      <c r="F711" s="140" t="s">
        <v>2274</v>
      </c>
      <c r="G711" s="141">
        <v>1998</v>
      </c>
      <c r="H711" s="118">
        <v>9460740</v>
      </c>
      <c r="I711" s="118">
        <v>1</v>
      </c>
      <c r="J711" s="118"/>
      <c r="K711" s="118"/>
      <c r="L711" s="118">
        <v>1</v>
      </c>
      <c r="M711" s="118"/>
      <c r="N711" s="118">
        <v>1</v>
      </c>
      <c r="O711" s="142">
        <v>1</v>
      </c>
      <c r="P711" s="118" t="s">
        <v>31</v>
      </c>
      <c r="Q711" s="118" t="s">
        <v>1157</v>
      </c>
      <c r="R711" s="118" t="s">
        <v>819</v>
      </c>
      <c r="S711" s="118">
        <v>1</v>
      </c>
      <c r="T711" s="118"/>
      <c r="U711" s="118"/>
      <c r="V711" s="118"/>
      <c r="W711" s="118" t="s">
        <v>873</v>
      </c>
      <c r="X711" s="118" t="s">
        <v>24</v>
      </c>
      <c r="Y711" s="118" t="s">
        <v>24</v>
      </c>
      <c r="Z711" s="118"/>
      <c r="AA711" s="118"/>
      <c r="AB711" s="118"/>
      <c r="AC711" s="145"/>
      <c r="AD711" s="573">
        <v>1</v>
      </c>
      <c r="AE711" s="573">
        <v>2</v>
      </c>
      <c r="AF711" s="159">
        <v>1</v>
      </c>
      <c r="AG711" s="160"/>
      <c r="AH711" s="704"/>
      <c r="AI711" s="122">
        <v>2</v>
      </c>
      <c r="AJ711" s="485"/>
      <c r="AK711" s="204" t="s">
        <v>5804</v>
      </c>
      <c r="AL711" s="192">
        <v>1</v>
      </c>
      <c r="AM711" s="205">
        <v>0</v>
      </c>
      <c r="AN711" s="122">
        <f>Table66[[#This Row],[Data_Subjects_n_ptsd]]+Table66[[#This Row],[Data_Subjects_n_control]]</f>
        <v>43</v>
      </c>
      <c r="AO711" s="122">
        <v>24</v>
      </c>
      <c r="AP711" s="122">
        <v>19</v>
      </c>
      <c r="AQ711" s="150" t="s">
        <v>5744</v>
      </c>
      <c r="AR711" s="122" t="s">
        <v>5745</v>
      </c>
      <c r="AS711" s="122">
        <v>36.299999999999997</v>
      </c>
      <c r="AT711" s="122">
        <v>9.8000000000000007</v>
      </c>
      <c r="AU711" s="122">
        <v>35.299999999999997</v>
      </c>
      <c r="AV711" s="122">
        <v>8.6999999999999993</v>
      </c>
      <c r="AW711" s="122" t="s">
        <v>5746</v>
      </c>
      <c r="AX711" s="122"/>
      <c r="AY711" s="122"/>
      <c r="AZ711" s="754" t="s">
        <v>1874</v>
      </c>
      <c r="BA711" s="122" t="s">
        <v>24</v>
      </c>
      <c r="BB711" s="122" t="s">
        <v>24</v>
      </c>
      <c r="BC711" s="122" t="s">
        <v>5749</v>
      </c>
      <c r="BD711" s="754" t="s">
        <v>7521</v>
      </c>
      <c r="BE711" s="187">
        <v>0</v>
      </c>
      <c r="BF711" s="122" t="s">
        <v>5747</v>
      </c>
      <c r="BG711" s="122" t="s">
        <v>5748</v>
      </c>
      <c r="BH711" s="588"/>
      <c r="BI711" s="588"/>
      <c r="BJ711" s="161"/>
      <c r="BK711" s="161"/>
      <c r="BL711" s="161" t="s">
        <v>4727</v>
      </c>
      <c r="BM711" s="161"/>
      <c r="BN711" s="161"/>
      <c r="BO711" s="161"/>
      <c r="BP711" s="161">
        <v>1</v>
      </c>
      <c r="BQ711" s="161"/>
      <c r="BR711" s="161"/>
      <c r="BS711" s="161"/>
      <c r="BT711" s="161" t="s">
        <v>4727</v>
      </c>
      <c r="BU711" s="161"/>
      <c r="BV711" s="161"/>
      <c r="BW711" s="596" t="s">
        <v>4001</v>
      </c>
      <c r="BX711" s="162" t="s">
        <v>6612</v>
      </c>
      <c r="BY711" s="797" t="s">
        <v>7617</v>
      </c>
      <c r="BZ711" s="790" t="s">
        <v>7610</v>
      </c>
      <c r="CA711" s="765">
        <v>2</v>
      </c>
      <c r="CB711" s="765" t="s">
        <v>7556</v>
      </c>
      <c r="CC711" s="765" t="s">
        <v>24</v>
      </c>
      <c r="CD711" s="150" t="s">
        <v>1876</v>
      </c>
      <c r="CE711" s="150">
        <v>2</v>
      </c>
      <c r="CF711" s="400"/>
      <c r="CG711" s="150" t="s">
        <v>5752</v>
      </c>
      <c r="CH711" s="753" t="s">
        <v>7343</v>
      </c>
      <c r="CI711" s="150" t="s">
        <v>24</v>
      </c>
      <c r="CJ711" s="150"/>
      <c r="CK711" s="150" t="s">
        <v>5753</v>
      </c>
      <c r="CL711" s="150" t="s">
        <v>8218</v>
      </c>
      <c r="CM711" s="258" t="s">
        <v>5803</v>
      </c>
      <c r="CN711" s="257" t="s">
        <v>24</v>
      </c>
      <c r="CO711" s="829">
        <v>79</v>
      </c>
      <c r="CP711" s="829">
        <v>1</v>
      </c>
      <c r="CQ711" s="829">
        <v>3</v>
      </c>
      <c r="CR711" s="829">
        <v>1</v>
      </c>
      <c r="CS711" s="829">
        <v>-1</v>
      </c>
      <c r="CT711" s="968" t="s">
        <v>8068</v>
      </c>
      <c r="CU711" s="1288" t="s">
        <v>8103</v>
      </c>
      <c r="CV711" s="1294">
        <v>39</v>
      </c>
      <c r="CW711" s="1294">
        <v>33</v>
      </c>
      <c r="CX711" s="151" t="s">
        <v>5793</v>
      </c>
      <c r="CY711" s="150">
        <v>18.3</v>
      </c>
      <c r="CZ711" s="150">
        <v>6.4</v>
      </c>
      <c r="DA711" s="150" t="s">
        <v>24</v>
      </c>
      <c r="DB711" s="151" t="s">
        <v>5794</v>
      </c>
      <c r="DC711" s="150">
        <v>14.1</v>
      </c>
      <c r="DD711" s="150">
        <v>5.7</v>
      </c>
      <c r="DE711" s="150" t="s">
        <v>24</v>
      </c>
      <c r="DF711" s="302" t="s">
        <v>5797</v>
      </c>
      <c r="DG711" s="303" t="s">
        <v>5798</v>
      </c>
      <c r="DH711" s="1166"/>
      <c r="DI711" s="1164"/>
      <c r="DJ711" s="1164"/>
      <c r="DK711" s="1164"/>
      <c r="DL711" s="1166"/>
      <c r="DM711" s="1164"/>
      <c r="DN711" s="1164"/>
      <c r="DO711" s="1164"/>
      <c r="DP711" s="290"/>
      <c r="DQ711" s="291"/>
      <c r="DR711" s="1168"/>
      <c r="DS711" s="865"/>
      <c r="DT711" s="1166"/>
      <c r="DU711" s="1164"/>
      <c r="DV711" s="1164"/>
      <c r="DW711" s="1164"/>
      <c r="DX711" s="1166"/>
      <c r="DY711" s="1164"/>
      <c r="DZ711" s="1164"/>
      <c r="EA711" s="1164"/>
      <c r="EB711" s="311"/>
      <c r="EC711" s="313"/>
      <c r="ED711" s="1164"/>
      <c r="EE711" s="1164"/>
      <c r="EF711" s="1164"/>
      <c r="EG711" s="1164"/>
      <c r="EH711" s="1164"/>
      <c r="EI711" s="1164"/>
      <c r="EJ711" s="1164"/>
      <c r="EK711" s="1164"/>
      <c r="EL711" s="311"/>
      <c r="EM711" s="313"/>
      <c r="EN711" s="1167"/>
      <c r="EO711" s="1165"/>
      <c r="EP711" s="1164"/>
      <c r="EQ711" s="1164"/>
      <c r="ER711" s="1164"/>
      <c r="ES711" s="1164"/>
      <c r="ET711" s="1164"/>
      <c r="EU711" s="1164"/>
      <c r="EV711" s="1164"/>
      <c r="EW711" s="1164"/>
      <c r="EX711" s="313"/>
      <c r="EY711" s="313"/>
      <c r="EZ711" s="1164"/>
      <c r="FA711" s="1164"/>
      <c r="FB711" s="1164"/>
      <c r="FC711" s="1164"/>
      <c r="FD711" s="1164"/>
      <c r="FE711" s="1164"/>
      <c r="FF711" s="1164"/>
      <c r="FG711" s="1164"/>
      <c r="FH711" s="313"/>
      <c r="FI711" s="313"/>
      <c r="FJ711" s="1165"/>
    </row>
    <row r="712" spans="1:166" ht="15" hidden="1" customHeight="1">
      <c r="A712" s="79" t="s">
        <v>208</v>
      </c>
      <c r="B712" s="362">
        <v>154</v>
      </c>
      <c r="C712" s="362">
        <v>49</v>
      </c>
      <c r="D712" s="362"/>
      <c r="E712" s="604" t="s">
        <v>1979</v>
      </c>
      <c r="F712" s="124" t="s">
        <v>2203</v>
      </c>
      <c r="G712" s="125">
        <v>2013</v>
      </c>
      <c r="H712" s="79">
        <v>23445934</v>
      </c>
      <c r="I712" s="79">
        <v>1</v>
      </c>
      <c r="J712" s="126"/>
      <c r="K712" s="127"/>
      <c r="L712" s="79">
        <v>1</v>
      </c>
      <c r="M712" s="79"/>
      <c r="N712" s="79">
        <v>1</v>
      </c>
      <c r="O712" s="128">
        <v>1</v>
      </c>
      <c r="P712" s="79" t="s">
        <v>596</v>
      </c>
      <c r="Q712" s="79" t="s">
        <v>1168</v>
      </c>
      <c r="R712" s="79" t="s">
        <v>594</v>
      </c>
      <c r="S712" s="79">
        <v>0</v>
      </c>
      <c r="T712" s="79"/>
      <c r="U712" s="79"/>
      <c r="V712" s="79"/>
      <c r="W712" s="79" t="s">
        <v>597</v>
      </c>
      <c r="X712" s="79" t="s">
        <v>595</v>
      </c>
      <c r="Y712" s="79"/>
      <c r="Z712" s="79"/>
      <c r="AA712" s="79"/>
      <c r="AB712" s="79"/>
      <c r="AC712" s="506"/>
      <c r="AD712" s="573">
        <v>1</v>
      </c>
      <c r="AE712" s="573">
        <v>2</v>
      </c>
      <c r="AF712" s="154">
        <v>1</v>
      </c>
      <c r="AG712" s="155" t="s">
        <v>8164</v>
      </c>
      <c r="AH712" s="704"/>
      <c r="AI712" s="121">
        <v>0</v>
      </c>
      <c r="AJ712" s="484" t="s">
        <v>4927</v>
      </c>
      <c r="AK712" s="498" t="s">
        <v>4926</v>
      </c>
      <c r="AL712" s="192">
        <v>1</v>
      </c>
      <c r="AM712" s="203">
        <v>0</v>
      </c>
      <c r="AN712" s="121">
        <f>Table66[[#This Row],[Data_Subjects_n_ptsd]]+Table66[[#This Row],[Data_Subjects_n_control]]</f>
        <v>56</v>
      </c>
      <c r="AO712" s="121">
        <v>34</v>
      </c>
      <c r="AP712" s="121">
        <f>22</f>
        <v>22</v>
      </c>
      <c r="AQ712" s="121" t="s">
        <v>4925</v>
      </c>
      <c r="AR712" s="121" t="s">
        <v>4925</v>
      </c>
      <c r="AS712" s="121">
        <v>58.3</v>
      </c>
      <c r="AT712" s="121">
        <v>6.3</v>
      </c>
      <c r="AU712" s="121">
        <v>49.3</v>
      </c>
      <c r="AV712" s="121">
        <v>6</v>
      </c>
      <c r="AW712" s="121" t="s">
        <v>7900</v>
      </c>
      <c r="AX712" s="121"/>
      <c r="AY712" s="121"/>
      <c r="AZ712" s="754" t="s">
        <v>7905</v>
      </c>
      <c r="BA712" s="121" t="s">
        <v>24</v>
      </c>
      <c r="BB712" s="121" t="s">
        <v>24</v>
      </c>
      <c r="BC712" s="121" t="s">
        <v>4924</v>
      </c>
      <c r="BD712" s="754" t="s">
        <v>7522</v>
      </c>
      <c r="BE712" s="1624">
        <v>0</v>
      </c>
      <c r="BF712" s="121" t="s">
        <v>7903</v>
      </c>
      <c r="BG712" s="121" t="s">
        <v>4928</v>
      </c>
      <c r="BH712" s="594"/>
      <c r="BI712" s="594"/>
      <c r="BJ712" s="156"/>
      <c r="BK712" s="156"/>
      <c r="BL712" s="156"/>
      <c r="BM712" s="156"/>
      <c r="BN712" s="156"/>
      <c r="BO712" s="156"/>
      <c r="BP712" s="156">
        <v>1</v>
      </c>
      <c r="BQ712" s="156"/>
      <c r="BR712" s="156"/>
      <c r="BS712" s="156"/>
      <c r="BT712" s="156"/>
      <c r="BU712" s="156"/>
      <c r="BV712" s="156"/>
      <c r="BW712" s="595" t="s">
        <v>4984</v>
      </c>
      <c r="BX712" s="157" t="s">
        <v>6609</v>
      </c>
      <c r="BY712" s="797" t="s">
        <v>7616</v>
      </c>
      <c r="BZ712" s="789" t="s">
        <v>803</v>
      </c>
      <c r="CA712" s="769">
        <v>2</v>
      </c>
      <c r="CB712" s="765" t="s">
        <v>7556</v>
      </c>
      <c r="CC712" s="660" t="s">
        <v>7380</v>
      </c>
      <c r="CD712" s="134" t="s">
        <v>1876</v>
      </c>
      <c r="CE712" s="134" t="s">
        <v>4931</v>
      </c>
      <c r="CF712" s="400"/>
      <c r="CG712" s="134" t="s">
        <v>7913</v>
      </c>
      <c r="CH712" s="753" t="s">
        <v>7307</v>
      </c>
      <c r="CI712" s="134" t="s">
        <v>24</v>
      </c>
      <c r="CJ712" s="134"/>
      <c r="CK712" s="134" t="s">
        <v>7910</v>
      </c>
      <c r="CL712" s="134" t="s">
        <v>8201</v>
      </c>
      <c r="CM712" s="259" t="s">
        <v>4983</v>
      </c>
      <c r="CN712" s="454" t="s">
        <v>24</v>
      </c>
      <c r="CO712" s="828">
        <v>43</v>
      </c>
      <c r="CP712" s="828">
        <v>1</v>
      </c>
      <c r="CQ712" s="828">
        <v>9</v>
      </c>
      <c r="CR712" s="828">
        <v>1</v>
      </c>
      <c r="CS712" s="828">
        <v>1</v>
      </c>
      <c r="CT712" s="967"/>
      <c r="CU712" s="1291" t="s">
        <v>8102</v>
      </c>
      <c r="CV712" s="1295">
        <v>1</v>
      </c>
      <c r="CW712" s="1295">
        <v>1</v>
      </c>
      <c r="CX712" s="138" t="s">
        <v>4957</v>
      </c>
      <c r="CY712" s="134">
        <v>6.5</v>
      </c>
      <c r="CZ712" s="134">
        <v>2.1</v>
      </c>
      <c r="DA712" s="134" t="s">
        <v>24</v>
      </c>
      <c r="DB712" s="138" t="s">
        <v>4961</v>
      </c>
      <c r="DC712" s="134">
        <v>8.1999999999999993</v>
      </c>
      <c r="DD712" s="134">
        <v>1.8</v>
      </c>
      <c r="DE712" s="134" t="s">
        <v>24</v>
      </c>
      <c r="DF712" s="301" t="s">
        <v>4976</v>
      </c>
      <c r="DG712" s="301" t="s">
        <v>3526</v>
      </c>
      <c r="DH712" s="1174"/>
      <c r="DI712" s="1169"/>
      <c r="DJ712" s="1169"/>
      <c r="DK712" s="1169"/>
      <c r="DL712" s="1174"/>
      <c r="DM712" s="1169"/>
      <c r="DN712" s="1169"/>
      <c r="DO712" s="1169"/>
      <c r="DP712" s="288"/>
      <c r="DQ712" s="289"/>
      <c r="DR712" s="1168"/>
      <c r="DS712" s="865"/>
      <c r="DT712" s="1171"/>
      <c r="DU712" s="1169"/>
      <c r="DV712" s="1169"/>
      <c r="DW712" s="1169"/>
      <c r="DX712" s="1171"/>
      <c r="DY712" s="1169"/>
      <c r="DZ712" s="1169"/>
      <c r="EA712" s="1169"/>
      <c r="EB712" s="304"/>
      <c r="EC712" s="312"/>
      <c r="ED712" s="1171"/>
      <c r="EE712" s="1169"/>
      <c r="EF712" s="1169"/>
      <c r="EG712" s="1169"/>
      <c r="EH712" s="1174"/>
      <c r="EI712" s="1169"/>
      <c r="EJ712" s="1169"/>
      <c r="EK712" s="1169"/>
      <c r="EL712" s="304"/>
      <c r="EM712" s="312"/>
      <c r="EN712" s="309"/>
      <c r="EO712" s="1170"/>
      <c r="EP712" s="1174"/>
      <c r="EQ712" s="1169"/>
      <c r="ER712" s="1169"/>
      <c r="ES712" s="1169"/>
      <c r="ET712" s="1171"/>
      <c r="EU712" s="1169"/>
      <c r="EV712" s="1169"/>
      <c r="EW712" s="1169"/>
      <c r="EX712" s="312"/>
      <c r="EY712" s="312"/>
      <c r="EZ712" s="1171"/>
      <c r="FA712" s="1169"/>
      <c r="FB712" s="1169"/>
      <c r="FC712" s="1169"/>
      <c r="FD712" s="1171"/>
      <c r="FE712" s="1169"/>
      <c r="FF712" s="1169"/>
      <c r="FG712" s="1169"/>
      <c r="FH712" s="312"/>
      <c r="FI712" s="312"/>
      <c r="FJ712" s="1170"/>
    </row>
    <row r="713" spans="1:166" ht="15" hidden="1" customHeight="1">
      <c r="A713" s="79" t="s">
        <v>208</v>
      </c>
      <c r="B713" s="362">
        <v>154</v>
      </c>
      <c r="C713" s="362">
        <v>49</v>
      </c>
      <c r="D713" s="362"/>
      <c r="E713" s="604" t="s">
        <v>1979</v>
      </c>
      <c r="F713" s="124" t="s">
        <v>2203</v>
      </c>
      <c r="G713" s="125">
        <v>2013</v>
      </c>
      <c r="H713" s="79">
        <v>23445934</v>
      </c>
      <c r="I713" s="79">
        <v>1</v>
      </c>
      <c r="J713" s="126"/>
      <c r="K713" s="127"/>
      <c r="L713" s="79">
        <v>1</v>
      </c>
      <c r="M713" s="79"/>
      <c r="N713" s="79">
        <v>1</v>
      </c>
      <c r="O713" s="128">
        <v>1</v>
      </c>
      <c r="P713" s="79" t="s">
        <v>596</v>
      </c>
      <c r="Q713" s="79" t="s">
        <v>1168</v>
      </c>
      <c r="R713" s="79" t="s">
        <v>594</v>
      </c>
      <c r="S713" s="79">
        <v>0</v>
      </c>
      <c r="T713" s="79"/>
      <c r="U713" s="79"/>
      <c r="V713" s="79"/>
      <c r="W713" s="79" t="s">
        <v>597</v>
      </c>
      <c r="X713" s="79" t="s">
        <v>595</v>
      </c>
      <c r="Y713" s="79"/>
      <c r="Z713" s="79"/>
      <c r="AA713" s="79"/>
      <c r="AB713" s="79"/>
      <c r="AC713" s="506"/>
      <c r="AD713" s="573">
        <v>1</v>
      </c>
      <c r="AE713" s="573">
        <v>2</v>
      </c>
      <c r="AF713" s="154">
        <v>1</v>
      </c>
      <c r="AG713" s="155" t="s">
        <v>8164</v>
      </c>
      <c r="AH713" s="704"/>
      <c r="AI713" s="121">
        <v>0</v>
      </c>
      <c r="AJ713" s="484" t="s">
        <v>4927</v>
      </c>
      <c r="AK713" s="498" t="s">
        <v>4926</v>
      </c>
      <c r="AL713" s="192">
        <v>1</v>
      </c>
      <c r="AM713" s="203">
        <v>0</v>
      </c>
      <c r="AN713" s="121">
        <f>Table66[[#This Row],[Data_Subjects_n_ptsd]]+Table66[[#This Row],[Data_Subjects_n_control]]</f>
        <v>103</v>
      </c>
      <c r="AO713" s="121">
        <v>81</v>
      </c>
      <c r="AP713" s="121">
        <f>22</f>
        <v>22</v>
      </c>
      <c r="AQ713" s="121" t="s">
        <v>4925</v>
      </c>
      <c r="AR713" s="121" t="s">
        <v>4925</v>
      </c>
      <c r="AS713" s="121">
        <v>55.5</v>
      </c>
      <c r="AT713" s="121">
        <v>6.5</v>
      </c>
      <c r="AU713" s="121">
        <v>49.3</v>
      </c>
      <c r="AV713" s="121">
        <v>6</v>
      </c>
      <c r="AW713" s="121" t="s">
        <v>7901</v>
      </c>
      <c r="AX713" s="121"/>
      <c r="AY713" s="121"/>
      <c r="AZ713" s="754" t="s">
        <v>7905</v>
      </c>
      <c r="BA713" s="121" t="s">
        <v>24</v>
      </c>
      <c r="BB713" s="121" t="s">
        <v>24</v>
      </c>
      <c r="BC713" s="121" t="s">
        <v>4924</v>
      </c>
      <c r="BD713" s="754" t="s">
        <v>7522</v>
      </c>
      <c r="BE713" s="1624">
        <v>0</v>
      </c>
      <c r="BF713" s="121" t="s">
        <v>7903</v>
      </c>
      <c r="BG713" s="121" t="s">
        <v>4928</v>
      </c>
      <c r="BH713" s="594"/>
      <c r="BI713" s="594"/>
      <c r="BJ713" s="156"/>
      <c r="BK713" s="156"/>
      <c r="BL713" s="156"/>
      <c r="BM713" s="156"/>
      <c r="BN713" s="156"/>
      <c r="BO713" s="156"/>
      <c r="BP713" s="156">
        <v>1</v>
      </c>
      <c r="BQ713" s="156"/>
      <c r="BR713" s="156"/>
      <c r="BS713" s="156"/>
      <c r="BT713" s="156"/>
      <c r="BU713" s="156"/>
      <c r="BV713" s="156"/>
      <c r="BW713" s="595" t="s">
        <v>4984</v>
      </c>
      <c r="BX713" s="157" t="s">
        <v>6609</v>
      </c>
      <c r="BY713" s="797" t="s">
        <v>7616</v>
      </c>
      <c r="BZ713" s="789" t="s">
        <v>803</v>
      </c>
      <c r="CA713" s="769">
        <v>2</v>
      </c>
      <c r="CB713" s="765" t="s">
        <v>7556</v>
      </c>
      <c r="CC713" s="660" t="s">
        <v>7380</v>
      </c>
      <c r="CD713" s="134" t="s">
        <v>1876</v>
      </c>
      <c r="CE713" s="134" t="s">
        <v>4931</v>
      </c>
      <c r="CF713" s="400"/>
      <c r="CG713" s="134" t="s">
        <v>7913</v>
      </c>
      <c r="CH713" s="753" t="s">
        <v>7307</v>
      </c>
      <c r="CI713" s="134" t="s">
        <v>24</v>
      </c>
      <c r="CJ713" s="134"/>
      <c r="CK713" s="134" t="s">
        <v>7910</v>
      </c>
      <c r="CL713" s="134" t="s">
        <v>8201</v>
      </c>
      <c r="CM713" s="259" t="s">
        <v>4983</v>
      </c>
      <c r="CN713" s="454" t="s">
        <v>24</v>
      </c>
      <c r="CO713" s="828">
        <v>43</v>
      </c>
      <c r="CP713" s="828">
        <v>1</v>
      </c>
      <c r="CQ713" s="828">
        <v>10</v>
      </c>
      <c r="CR713" s="828">
        <v>1</v>
      </c>
      <c r="CS713" s="828">
        <v>1</v>
      </c>
      <c r="CT713" s="967"/>
      <c r="CU713" s="1291" t="s">
        <v>8102</v>
      </c>
      <c r="CV713" s="1295">
        <v>2</v>
      </c>
      <c r="CW713" s="1295">
        <v>1</v>
      </c>
      <c r="CX713" s="138" t="s">
        <v>4958</v>
      </c>
      <c r="CY713" s="134">
        <v>5.0999999999999996</v>
      </c>
      <c r="CZ713" s="134">
        <v>1.8</v>
      </c>
      <c r="DA713" s="134" t="s">
        <v>24</v>
      </c>
      <c r="DB713" s="138" t="s">
        <v>4961</v>
      </c>
      <c r="DC713" s="134">
        <v>8.1999999999999993</v>
      </c>
      <c r="DD713" s="134">
        <v>1.8</v>
      </c>
      <c r="DE713" s="134" t="s">
        <v>24</v>
      </c>
      <c r="DF713" s="549"/>
      <c r="DG713" s="551"/>
      <c r="DH713" s="1174"/>
      <c r="DI713" s="1169"/>
      <c r="DJ713" s="1169"/>
      <c r="DK713" s="1169"/>
      <c r="DL713" s="1174"/>
      <c r="DM713" s="1169"/>
      <c r="DN713" s="1169"/>
      <c r="DO713" s="1169"/>
      <c r="DP713" s="288"/>
      <c r="DQ713" s="289"/>
      <c r="DR713" s="1168"/>
      <c r="DS713" s="865"/>
      <c r="DT713" s="1171"/>
      <c r="DU713" s="1169"/>
      <c r="DV713" s="1169"/>
      <c r="DW713" s="1169"/>
      <c r="DX713" s="1171"/>
      <c r="DY713" s="1169"/>
      <c r="DZ713" s="1169"/>
      <c r="EA713" s="1169"/>
      <c r="EB713" s="304"/>
      <c r="EC713" s="312"/>
      <c r="ED713" s="1171"/>
      <c r="EE713" s="1169"/>
      <c r="EF713" s="1169"/>
      <c r="EG713" s="1169"/>
      <c r="EH713" s="1174"/>
      <c r="EI713" s="1169"/>
      <c r="EJ713" s="1169"/>
      <c r="EK713" s="1169"/>
      <c r="EL713" s="304"/>
      <c r="EM713" s="312"/>
      <c r="EN713" s="309"/>
      <c r="EO713" s="1170"/>
      <c r="EP713" s="1174"/>
      <c r="EQ713" s="1169"/>
      <c r="ER713" s="1169"/>
      <c r="ES713" s="1169"/>
      <c r="ET713" s="1171"/>
      <c r="EU713" s="1169"/>
      <c r="EV713" s="1169"/>
      <c r="EW713" s="1169"/>
      <c r="EX713" s="312"/>
      <c r="EY713" s="312"/>
      <c r="EZ713" s="1171"/>
      <c r="FA713" s="1169"/>
      <c r="FB713" s="1169"/>
      <c r="FC713" s="1169"/>
      <c r="FD713" s="1171"/>
      <c r="FE713" s="1169"/>
      <c r="FF713" s="1169"/>
      <c r="FG713" s="1169"/>
      <c r="FH713" s="312"/>
      <c r="FI713" s="312"/>
      <c r="FJ713" s="1170"/>
    </row>
    <row r="714" spans="1:166" ht="15" hidden="1" customHeight="1">
      <c r="A714" s="118" t="s">
        <v>337</v>
      </c>
      <c r="B714" s="616">
        <v>242</v>
      </c>
      <c r="C714" s="616">
        <v>88</v>
      </c>
      <c r="D714" s="616"/>
      <c r="E714" s="605" t="s">
        <v>2036</v>
      </c>
      <c r="F714" s="140" t="s">
        <v>2275</v>
      </c>
      <c r="G714" s="141">
        <v>2002</v>
      </c>
      <c r="H714" s="118">
        <v>11853357</v>
      </c>
      <c r="I714" s="118">
        <v>1</v>
      </c>
      <c r="J714" s="118"/>
      <c r="K714" s="118"/>
      <c r="L714" s="118">
        <v>1</v>
      </c>
      <c r="M714" s="118"/>
      <c r="N714" s="118">
        <v>1</v>
      </c>
      <c r="O714" s="142">
        <v>1</v>
      </c>
      <c r="P714" s="118" t="s">
        <v>874</v>
      </c>
      <c r="Q714" s="118" t="s">
        <v>1172</v>
      </c>
      <c r="R714" s="118" t="s">
        <v>25</v>
      </c>
      <c r="S714" s="118">
        <v>1</v>
      </c>
      <c r="T714" s="118"/>
      <c r="U714" s="118"/>
      <c r="V714" s="118"/>
      <c r="W714" s="118" t="s">
        <v>875</v>
      </c>
      <c r="X714" s="118" t="s">
        <v>24</v>
      </c>
      <c r="Y714" s="118" t="s">
        <v>24</v>
      </c>
      <c r="Z714" s="118"/>
      <c r="AA714" s="118"/>
      <c r="AB714" s="118"/>
      <c r="AC714" s="145"/>
      <c r="AD714" s="573">
        <v>1</v>
      </c>
      <c r="AE714" s="573">
        <v>2</v>
      </c>
      <c r="AF714" s="159">
        <v>1</v>
      </c>
      <c r="AG714" s="160"/>
      <c r="AH714" s="704"/>
      <c r="AI714" s="122">
        <v>2</v>
      </c>
      <c r="AJ714" s="525" t="s">
        <v>5806</v>
      </c>
      <c r="AK714" s="204"/>
      <c r="AL714" s="192">
        <v>1</v>
      </c>
      <c r="AM714" s="205">
        <v>0</v>
      </c>
      <c r="AN714" s="122">
        <f>Table66[[#This Row],[Data_Subjects_n_ptsd]]+Table66[[#This Row],[Data_Subjects_n_control]]</f>
        <v>47</v>
      </c>
      <c r="AO714" s="122">
        <v>26</v>
      </c>
      <c r="AP714" s="122">
        <v>21</v>
      </c>
      <c r="AQ714" s="122" t="s">
        <v>803</v>
      </c>
      <c r="AR714" s="122" t="s">
        <v>803</v>
      </c>
      <c r="AS714" s="122">
        <v>50.19</v>
      </c>
      <c r="AT714" s="122">
        <v>3.28</v>
      </c>
      <c r="AU714" s="122">
        <v>51.57</v>
      </c>
      <c r="AV714" s="122">
        <v>4.91</v>
      </c>
      <c r="AW714" s="122" t="s">
        <v>3206</v>
      </c>
      <c r="AX714" s="122"/>
      <c r="AY714" s="122"/>
      <c r="AZ714" s="754" t="s">
        <v>1874</v>
      </c>
      <c r="BA714" s="122" t="s">
        <v>24</v>
      </c>
      <c r="BB714" s="122" t="s">
        <v>24</v>
      </c>
      <c r="BC714" s="122" t="s">
        <v>5021</v>
      </c>
      <c r="BD714" s="754" t="s">
        <v>7521</v>
      </c>
      <c r="BE714" s="187">
        <v>0</v>
      </c>
      <c r="BF714" s="122" t="s">
        <v>3835</v>
      </c>
      <c r="BG714" s="122" t="s">
        <v>5805</v>
      </c>
      <c r="BH714" s="588"/>
      <c r="BI714" s="588"/>
      <c r="BJ714" s="161"/>
      <c r="BK714" s="161"/>
      <c r="BL714" s="161" t="s">
        <v>4727</v>
      </c>
      <c r="BM714" s="161"/>
      <c r="BN714" s="161"/>
      <c r="BO714" s="161"/>
      <c r="BP714" s="161">
        <v>1</v>
      </c>
      <c r="BQ714" s="161"/>
      <c r="BR714" s="161"/>
      <c r="BS714" s="161"/>
      <c r="BT714" s="161" t="s">
        <v>4727</v>
      </c>
      <c r="BU714" s="161"/>
      <c r="BV714" s="161"/>
      <c r="BW714" s="596" t="s">
        <v>5809</v>
      </c>
      <c r="BX714" s="162" t="s">
        <v>6626</v>
      </c>
      <c r="BY714" s="797" t="s">
        <v>7619</v>
      </c>
      <c r="BZ714" s="790" t="s">
        <v>7610</v>
      </c>
      <c r="CA714" s="765">
        <v>2</v>
      </c>
      <c r="CB714" s="765" t="s">
        <v>7556</v>
      </c>
      <c r="CC714" s="765" t="s">
        <v>24</v>
      </c>
      <c r="CD714" s="150" t="s">
        <v>1876</v>
      </c>
      <c r="CE714" s="150">
        <v>2</v>
      </c>
      <c r="CF714" s="400"/>
      <c r="CG714" s="150" t="s">
        <v>5807</v>
      </c>
      <c r="CH714" s="753" t="s">
        <v>7343</v>
      </c>
      <c r="CI714" s="150" t="s">
        <v>24</v>
      </c>
      <c r="CJ714" s="150"/>
      <c r="CK714" s="134" t="s">
        <v>5811</v>
      </c>
      <c r="CL714" s="134" t="s">
        <v>8221</v>
      </c>
      <c r="CM714" s="258" t="s">
        <v>5828</v>
      </c>
      <c r="CN714" s="257">
        <v>0</v>
      </c>
      <c r="CO714" s="829">
        <v>80</v>
      </c>
      <c r="CP714" s="829">
        <v>1</v>
      </c>
      <c r="CQ714" s="829">
        <v>1</v>
      </c>
      <c r="CR714" s="829">
        <v>1</v>
      </c>
      <c r="CS714" s="829">
        <v>1</v>
      </c>
      <c r="CT714" s="968"/>
      <c r="CU714" s="1288" t="s">
        <v>8103</v>
      </c>
      <c r="CV714" s="1294">
        <v>40</v>
      </c>
      <c r="CW714" s="1294">
        <v>34</v>
      </c>
      <c r="CX714" s="151" t="s">
        <v>5789</v>
      </c>
      <c r="CY714" s="151">
        <v>71.69</v>
      </c>
      <c r="CZ714" s="151">
        <v>8.39</v>
      </c>
      <c r="DA714" s="150" t="s">
        <v>24</v>
      </c>
      <c r="DB714" s="151" t="s">
        <v>5790</v>
      </c>
      <c r="DC714" s="150">
        <v>72.05</v>
      </c>
      <c r="DD714" s="150">
        <v>5.8</v>
      </c>
      <c r="DE714" s="150" t="s">
        <v>24</v>
      </c>
      <c r="DF714" s="549" t="s">
        <v>3229</v>
      </c>
      <c r="DG714" s="551" t="s">
        <v>5826</v>
      </c>
      <c r="DH714" s="1169"/>
      <c r="DI714" s="1169"/>
      <c r="DJ714" s="1169"/>
      <c r="DK714" s="1169"/>
      <c r="DL714" s="1169"/>
      <c r="DM714" s="1169"/>
      <c r="DN714" s="1169"/>
      <c r="DO714" s="1169"/>
      <c r="DP714" s="288"/>
      <c r="DQ714" s="289"/>
      <c r="DR714" s="1168"/>
      <c r="DS714" s="865"/>
      <c r="DT714" s="1166"/>
      <c r="DU714" s="1164"/>
      <c r="DV714" s="1164"/>
      <c r="DW714" s="1164"/>
      <c r="DX714" s="1164"/>
      <c r="DY714" s="1164"/>
      <c r="DZ714" s="1164"/>
      <c r="EA714" s="1164"/>
      <c r="EB714" s="311"/>
      <c r="EC714" s="313"/>
      <c r="ED714" s="1164"/>
      <c r="EE714" s="1164"/>
      <c r="EF714" s="1164"/>
      <c r="EG714" s="1164"/>
      <c r="EH714" s="1164"/>
      <c r="EI714" s="1164"/>
      <c r="EJ714" s="1164"/>
      <c r="EK714" s="1164"/>
      <c r="EL714" s="311"/>
      <c r="EM714" s="313"/>
      <c r="EN714" s="1167"/>
      <c r="EO714" s="1165"/>
      <c r="EP714" s="1164"/>
      <c r="EQ714" s="1164"/>
      <c r="ER714" s="1164"/>
      <c r="ES714" s="1164"/>
      <c r="ET714" s="1166"/>
      <c r="EU714" s="1164"/>
      <c r="EV714" s="1164"/>
      <c r="EW714" s="1164"/>
      <c r="EX714" s="313"/>
      <c r="EY714" s="313"/>
      <c r="EZ714" s="1166"/>
      <c r="FA714" s="1164"/>
      <c r="FB714" s="1164"/>
      <c r="FC714" s="1164"/>
      <c r="FD714" s="1166"/>
      <c r="FE714" s="1164"/>
      <c r="FF714" s="1164"/>
      <c r="FG714" s="1164"/>
      <c r="FH714" s="313"/>
      <c r="FI714" s="313"/>
      <c r="FJ714" s="1165"/>
    </row>
    <row r="715" spans="1:166" ht="15" hidden="1" customHeight="1">
      <c r="A715" s="118" t="s">
        <v>337</v>
      </c>
      <c r="B715" s="616">
        <v>242</v>
      </c>
      <c r="C715" s="616">
        <v>88</v>
      </c>
      <c r="D715" s="616"/>
      <c r="E715" s="605" t="s">
        <v>2036</v>
      </c>
      <c r="F715" s="140" t="s">
        <v>2275</v>
      </c>
      <c r="G715" s="141">
        <v>2002</v>
      </c>
      <c r="H715" s="118">
        <v>11853357</v>
      </c>
      <c r="I715" s="118">
        <v>1</v>
      </c>
      <c r="J715" s="118"/>
      <c r="K715" s="118"/>
      <c r="L715" s="118">
        <v>1</v>
      </c>
      <c r="M715" s="118"/>
      <c r="N715" s="118">
        <v>1</v>
      </c>
      <c r="O715" s="142">
        <v>1</v>
      </c>
      <c r="P715" s="118" t="s">
        <v>874</v>
      </c>
      <c r="Q715" s="118" t="s">
        <v>1172</v>
      </c>
      <c r="R715" s="118" t="s">
        <v>25</v>
      </c>
      <c r="S715" s="118">
        <v>1</v>
      </c>
      <c r="T715" s="118"/>
      <c r="U715" s="118"/>
      <c r="V715" s="118"/>
      <c r="W715" s="118" t="s">
        <v>875</v>
      </c>
      <c r="X715" s="118" t="s">
        <v>24</v>
      </c>
      <c r="Y715" s="118" t="s">
        <v>24</v>
      </c>
      <c r="Z715" s="118"/>
      <c r="AA715" s="118"/>
      <c r="AB715" s="118"/>
      <c r="AC715" s="145"/>
      <c r="AD715" s="573">
        <v>1</v>
      </c>
      <c r="AE715" s="573">
        <v>2</v>
      </c>
      <c r="AF715" s="159">
        <v>1</v>
      </c>
      <c r="AG715" s="160"/>
      <c r="AH715" s="704"/>
      <c r="AI715" s="122">
        <v>2</v>
      </c>
      <c r="AJ715" s="525" t="s">
        <v>5806</v>
      </c>
      <c r="AK715" s="204"/>
      <c r="AL715" s="192">
        <v>1</v>
      </c>
      <c r="AM715" s="205">
        <v>0</v>
      </c>
      <c r="AN715" s="122">
        <f>Table66[[#This Row],[Data_Subjects_n_ptsd]]+Table66[[#This Row],[Data_Subjects_n_control]]</f>
        <v>47</v>
      </c>
      <c r="AO715" s="122">
        <v>26</v>
      </c>
      <c r="AP715" s="122">
        <v>21</v>
      </c>
      <c r="AQ715" s="122" t="s">
        <v>803</v>
      </c>
      <c r="AR715" s="122" t="s">
        <v>803</v>
      </c>
      <c r="AS715" s="122">
        <v>50.19</v>
      </c>
      <c r="AT715" s="122">
        <v>3.28</v>
      </c>
      <c r="AU715" s="122">
        <v>51.57</v>
      </c>
      <c r="AV715" s="122">
        <v>4.91</v>
      </c>
      <c r="AW715" s="122" t="s">
        <v>3206</v>
      </c>
      <c r="AX715" s="122"/>
      <c r="AY715" s="122"/>
      <c r="AZ715" s="754" t="s">
        <v>1874</v>
      </c>
      <c r="BA715" s="122" t="s">
        <v>24</v>
      </c>
      <c r="BB715" s="122" t="s">
        <v>24</v>
      </c>
      <c r="BC715" s="122" t="s">
        <v>5021</v>
      </c>
      <c r="BD715" s="754" t="s">
        <v>7521</v>
      </c>
      <c r="BE715" s="187">
        <v>0</v>
      </c>
      <c r="BF715" s="122" t="s">
        <v>3835</v>
      </c>
      <c r="BG715" s="122" t="s">
        <v>5805</v>
      </c>
      <c r="BH715" s="588"/>
      <c r="BI715" s="588"/>
      <c r="BJ715" s="161"/>
      <c r="BK715" s="161"/>
      <c r="BL715" s="161" t="s">
        <v>4727</v>
      </c>
      <c r="BM715" s="161"/>
      <c r="BN715" s="161"/>
      <c r="BO715" s="161"/>
      <c r="BP715" s="161">
        <v>1</v>
      </c>
      <c r="BQ715" s="161"/>
      <c r="BR715" s="161"/>
      <c r="BS715" s="161"/>
      <c r="BT715" s="161" t="s">
        <v>4727</v>
      </c>
      <c r="BU715" s="161"/>
      <c r="BV715" s="161"/>
      <c r="BW715" s="596" t="s">
        <v>5809</v>
      </c>
      <c r="BX715" s="162" t="s">
        <v>6626</v>
      </c>
      <c r="BY715" s="797" t="s">
        <v>7619</v>
      </c>
      <c r="BZ715" s="790" t="s">
        <v>803</v>
      </c>
      <c r="CA715" s="765">
        <v>2</v>
      </c>
      <c r="CB715" s="765" t="s">
        <v>7556</v>
      </c>
      <c r="CC715" s="765" t="s">
        <v>24</v>
      </c>
      <c r="CD715" s="150" t="s">
        <v>1876</v>
      </c>
      <c r="CE715" s="150">
        <v>2</v>
      </c>
      <c r="CF715" s="400"/>
      <c r="CG715" s="150" t="s">
        <v>5807</v>
      </c>
      <c r="CH715" s="753" t="s">
        <v>7343</v>
      </c>
      <c r="CI715" s="150" t="s">
        <v>24</v>
      </c>
      <c r="CJ715" s="150"/>
      <c r="CK715" s="134" t="s">
        <v>5811</v>
      </c>
      <c r="CL715" s="134" t="s">
        <v>8222</v>
      </c>
      <c r="CM715" s="258" t="s">
        <v>5828</v>
      </c>
      <c r="CN715" s="257">
        <v>0</v>
      </c>
      <c r="CO715" s="829">
        <v>80</v>
      </c>
      <c r="CP715" s="829">
        <v>1</v>
      </c>
      <c r="CQ715" s="829">
        <v>2</v>
      </c>
      <c r="CR715" s="829">
        <v>1</v>
      </c>
      <c r="CS715" s="829">
        <v>1</v>
      </c>
      <c r="CT715" s="968"/>
      <c r="CU715" s="1288" t="s">
        <v>8103</v>
      </c>
      <c r="CV715" s="1294">
        <v>40</v>
      </c>
      <c r="CW715" s="1294">
        <v>34</v>
      </c>
      <c r="CX715" s="151" t="s">
        <v>5813</v>
      </c>
      <c r="CY715" s="150">
        <v>3.54</v>
      </c>
      <c r="CZ715" s="150">
        <v>1.42</v>
      </c>
      <c r="DA715" s="150" t="s">
        <v>24</v>
      </c>
      <c r="DB715" s="151" t="s">
        <v>5814</v>
      </c>
      <c r="DC715" s="150">
        <v>3.59</v>
      </c>
      <c r="DD715" s="150">
        <v>1.28</v>
      </c>
      <c r="DE715" s="150" t="s">
        <v>24</v>
      </c>
      <c r="DF715" s="290" t="s">
        <v>3229</v>
      </c>
      <c r="DG715" s="291" t="s">
        <v>5825</v>
      </c>
      <c r="DH715" s="1279"/>
      <c r="DI715" s="500"/>
      <c r="DJ715" s="1164"/>
      <c r="DK715" s="500"/>
      <c r="DL715" s="1166"/>
      <c r="DM715" s="500"/>
      <c r="DN715" s="1164"/>
      <c r="DO715" s="1150"/>
      <c r="DP715" s="290"/>
      <c r="DQ715" s="388"/>
      <c r="DR715" s="864"/>
      <c r="DS715" s="865"/>
      <c r="DT715" s="1166"/>
      <c r="DU715" s="1164"/>
      <c r="DV715" s="1164"/>
      <c r="DW715" s="1164"/>
      <c r="DX715" s="1164"/>
      <c r="DY715" s="1164"/>
      <c r="DZ715" s="1164"/>
      <c r="EA715" s="1164"/>
      <c r="EB715" s="311"/>
      <c r="EC715" s="313"/>
      <c r="ED715" s="1164"/>
      <c r="EE715" s="1164"/>
      <c r="EF715" s="1164"/>
      <c r="EG715" s="1164"/>
      <c r="EH715" s="1164"/>
      <c r="EI715" s="1164"/>
      <c r="EJ715" s="1164"/>
      <c r="EK715" s="1164"/>
      <c r="EL715" s="311"/>
      <c r="EM715" s="313"/>
      <c r="EN715" s="1167"/>
      <c r="EO715" s="1165"/>
      <c r="EP715" s="1164"/>
      <c r="EQ715" s="1164"/>
      <c r="ER715" s="1164"/>
      <c r="ES715" s="1164"/>
      <c r="ET715" s="1166"/>
      <c r="EU715" s="1164"/>
      <c r="EV715" s="1164"/>
      <c r="EW715" s="1164"/>
      <c r="EX715" s="313"/>
      <c r="EY715" s="313"/>
      <c r="EZ715" s="1166"/>
      <c r="FA715" s="1164"/>
      <c r="FB715" s="1164"/>
      <c r="FC715" s="1164"/>
      <c r="FD715" s="1166"/>
      <c r="FE715" s="1164"/>
      <c r="FF715" s="1164"/>
      <c r="FG715" s="1164"/>
      <c r="FH715" s="313"/>
      <c r="FI715" s="313"/>
      <c r="FJ715" s="1165"/>
    </row>
    <row r="716" spans="1:166" ht="15" hidden="1" customHeight="1">
      <c r="A716" s="79" t="s">
        <v>208</v>
      </c>
      <c r="B716" s="362">
        <v>154</v>
      </c>
      <c r="C716" s="362">
        <v>49</v>
      </c>
      <c r="D716" s="362"/>
      <c r="E716" s="604" t="s">
        <v>1979</v>
      </c>
      <c r="F716" s="124" t="s">
        <v>2203</v>
      </c>
      <c r="G716" s="125">
        <v>2013</v>
      </c>
      <c r="H716" s="79">
        <v>23445934</v>
      </c>
      <c r="I716" s="79">
        <v>1</v>
      </c>
      <c r="J716" s="126"/>
      <c r="K716" s="127"/>
      <c r="L716" s="79">
        <v>1</v>
      </c>
      <c r="M716" s="79"/>
      <c r="N716" s="79">
        <v>1</v>
      </c>
      <c r="O716" s="128">
        <v>1</v>
      </c>
      <c r="P716" s="79" t="s">
        <v>596</v>
      </c>
      <c r="Q716" s="79" t="s">
        <v>1168</v>
      </c>
      <c r="R716" s="79" t="s">
        <v>594</v>
      </c>
      <c r="S716" s="79">
        <v>0</v>
      </c>
      <c r="T716" s="79"/>
      <c r="U716" s="79"/>
      <c r="V716" s="79"/>
      <c r="W716" s="79" t="s">
        <v>597</v>
      </c>
      <c r="X716" s="79" t="s">
        <v>595</v>
      </c>
      <c r="Y716" s="79"/>
      <c r="Z716" s="79"/>
      <c r="AA716" s="79"/>
      <c r="AB716" s="79"/>
      <c r="AC716" s="506"/>
      <c r="AD716" s="573">
        <v>1</v>
      </c>
      <c r="AE716" s="573">
        <v>2</v>
      </c>
      <c r="AF716" s="154">
        <v>1</v>
      </c>
      <c r="AG716" s="155" t="s">
        <v>8164</v>
      </c>
      <c r="AH716" s="704"/>
      <c r="AI716" s="121">
        <v>0</v>
      </c>
      <c r="AJ716" s="484" t="s">
        <v>4927</v>
      </c>
      <c r="AK716" s="498" t="s">
        <v>4926</v>
      </c>
      <c r="AL716" s="192">
        <v>1</v>
      </c>
      <c r="AM716" s="203">
        <v>0</v>
      </c>
      <c r="AN716" s="121">
        <f>Table66[[#This Row],[Data_Subjects_n_ptsd]]+Table66[[#This Row],[Data_Subjects_n_control]]</f>
        <v>98</v>
      </c>
      <c r="AO716" s="121">
        <v>76</v>
      </c>
      <c r="AP716" s="121">
        <f>22</f>
        <v>22</v>
      </c>
      <c r="AQ716" s="121" t="s">
        <v>4925</v>
      </c>
      <c r="AR716" s="121" t="s">
        <v>4925</v>
      </c>
      <c r="AS716" s="121">
        <v>50.7</v>
      </c>
      <c r="AT716" s="121">
        <v>8</v>
      </c>
      <c r="AU716" s="121">
        <v>49.3</v>
      </c>
      <c r="AV716" s="121">
        <v>6</v>
      </c>
      <c r="AW716" s="121" t="s">
        <v>7902</v>
      </c>
      <c r="AX716" s="121"/>
      <c r="AY716" s="121"/>
      <c r="AZ716" s="754" t="s">
        <v>7905</v>
      </c>
      <c r="BA716" s="121" t="s">
        <v>24</v>
      </c>
      <c r="BB716" s="121" t="s">
        <v>24</v>
      </c>
      <c r="BC716" s="121" t="s">
        <v>4924</v>
      </c>
      <c r="BD716" s="754" t="s">
        <v>7522</v>
      </c>
      <c r="BE716" s="1624">
        <v>0</v>
      </c>
      <c r="BF716" s="121" t="s">
        <v>7904</v>
      </c>
      <c r="BG716" s="121" t="s">
        <v>4928</v>
      </c>
      <c r="BH716" s="594"/>
      <c r="BI716" s="594"/>
      <c r="BJ716" s="156"/>
      <c r="BK716" s="156"/>
      <c r="BL716" s="156"/>
      <c r="BM716" s="156"/>
      <c r="BN716" s="156"/>
      <c r="BO716" s="156"/>
      <c r="BP716" s="156">
        <v>1</v>
      </c>
      <c r="BQ716" s="156"/>
      <c r="BR716" s="156"/>
      <c r="BS716" s="156"/>
      <c r="BT716" s="156"/>
      <c r="BU716" s="156"/>
      <c r="BV716" s="156"/>
      <c r="BW716" s="595" t="s">
        <v>4984</v>
      </c>
      <c r="BX716" s="157" t="s">
        <v>6609</v>
      </c>
      <c r="BY716" s="797" t="s">
        <v>7616</v>
      </c>
      <c r="BZ716" s="789" t="s">
        <v>803</v>
      </c>
      <c r="CA716" s="769">
        <v>2</v>
      </c>
      <c r="CB716" s="765" t="s">
        <v>7556</v>
      </c>
      <c r="CC716" s="660" t="s">
        <v>7380</v>
      </c>
      <c r="CD716" s="134" t="s">
        <v>1876</v>
      </c>
      <c r="CE716" s="134" t="s">
        <v>4931</v>
      </c>
      <c r="CF716" s="400"/>
      <c r="CG716" s="134" t="s">
        <v>7913</v>
      </c>
      <c r="CH716" s="753" t="s">
        <v>7307</v>
      </c>
      <c r="CI716" s="134" t="s">
        <v>24</v>
      </c>
      <c r="CJ716" s="134"/>
      <c r="CK716" s="134" t="s">
        <v>7910</v>
      </c>
      <c r="CL716" s="134" t="s">
        <v>8201</v>
      </c>
      <c r="CM716" s="259" t="s">
        <v>4983</v>
      </c>
      <c r="CN716" s="454" t="s">
        <v>24</v>
      </c>
      <c r="CO716" s="828">
        <v>43</v>
      </c>
      <c r="CP716" s="828">
        <v>1</v>
      </c>
      <c r="CQ716" s="828">
        <v>11</v>
      </c>
      <c r="CR716" s="828">
        <v>1</v>
      </c>
      <c r="CS716" s="828">
        <v>1</v>
      </c>
      <c r="CT716" s="967"/>
      <c r="CU716" s="1291" t="s">
        <v>8102</v>
      </c>
      <c r="CV716" s="1295">
        <v>3</v>
      </c>
      <c r="CW716" s="1295">
        <v>1</v>
      </c>
      <c r="CX716" s="427" t="s">
        <v>4959</v>
      </c>
      <c r="CY716" s="134">
        <v>7</v>
      </c>
      <c r="CZ716" s="134">
        <v>2.4</v>
      </c>
      <c r="DA716" s="134" t="s">
        <v>24</v>
      </c>
      <c r="DB716" s="138" t="s">
        <v>4961</v>
      </c>
      <c r="DC716" s="134">
        <v>8.1999999999999993</v>
      </c>
      <c r="DD716" s="134">
        <v>1.8</v>
      </c>
      <c r="DE716" s="134" t="s">
        <v>24</v>
      </c>
      <c r="DF716" s="436" t="s">
        <v>4977</v>
      </c>
      <c r="DG716" s="436" t="s">
        <v>4978</v>
      </c>
      <c r="DH716" s="427"/>
      <c r="DI716" s="121"/>
      <c r="DJ716" s="1169"/>
      <c r="DK716" s="121"/>
      <c r="DL716" s="1174"/>
      <c r="DM716" s="121"/>
      <c r="DN716" s="1169"/>
      <c r="DO716" s="121"/>
      <c r="DP716" s="288"/>
      <c r="DQ716" s="289"/>
      <c r="DR716" s="1168"/>
      <c r="DS716" s="865"/>
      <c r="DT716" s="1171"/>
      <c r="DU716" s="121"/>
      <c r="DV716" s="1169"/>
      <c r="DW716" s="121"/>
      <c r="DX716" s="1171"/>
      <c r="DY716" s="121"/>
      <c r="DZ716" s="1169"/>
      <c r="EA716" s="121"/>
      <c r="EB716" s="304"/>
      <c r="EC716" s="312"/>
      <c r="ED716" s="1171"/>
      <c r="EE716" s="121"/>
      <c r="EF716" s="1169"/>
      <c r="EG716" s="121"/>
      <c r="EH716" s="1174"/>
      <c r="EI716" s="121"/>
      <c r="EJ716" s="1169"/>
      <c r="EK716" s="121"/>
      <c r="EL716" s="304"/>
      <c r="EM716" s="312"/>
      <c r="EN716" s="309"/>
      <c r="EO716" s="1170"/>
      <c r="EP716" s="427"/>
      <c r="EQ716" s="121"/>
      <c r="ER716" s="121"/>
      <c r="ES716" s="121"/>
      <c r="ET716" s="1276"/>
      <c r="EU716" s="121"/>
      <c r="EV716" s="121"/>
      <c r="EW716" s="121"/>
      <c r="EX716" s="301"/>
      <c r="EY716" s="301"/>
      <c r="EZ716" s="1276"/>
      <c r="FA716" s="121"/>
      <c r="FB716" s="121"/>
      <c r="FC716" s="121"/>
      <c r="FD716" s="1276"/>
      <c r="FE716" s="121"/>
      <c r="FF716" s="121"/>
      <c r="FG716" s="121"/>
      <c r="FH716" s="301"/>
      <c r="FI716" s="301"/>
      <c r="FJ716" s="1170"/>
    </row>
    <row r="717" spans="1:166" ht="15" hidden="1" customHeight="1">
      <c r="A717" s="79" t="s">
        <v>208</v>
      </c>
      <c r="B717" s="362">
        <v>154</v>
      </c>
      <c r="C717" s="362">
        <v>49</v>
      </c>
      <c r="D717" s="362"/>
      <c r="E717" s="604" t="s">
        <v>1979</v>
      </c>
      <c r="F717" s="124" t="s">
        <v>2203</v>
      </c>
      <c r="G717" s="125">
        <v>2013</v>
      </c>
      <c r="H717" s="79">
        <v>23445934</v>
      </c>
      <c r="I717" s="79">
        <v>1</v>
      </c>
      <c r="J717" s="126"/>
      <c r="K717" s="127"/>
      <c r="L717" s="79">
        <v>1</v>
      </c>
      <c r="M717" s="79"/>
      <c r="N717" s="79">
        <v>1</v>
      </c>
      <c r="O717" s="128">
        <v>1</v>
      </c>
      <c r="P717" s="79" t="s">
        <v>596</v>
      </c>
      <c r="Q717" s="79" t="s">
        <v>1168</v>
      </c>
      <c r="R717" s="79" t="s">
        <v>594</v>
      </c>
      <c r="S717" s="79">
        <v>0</v>
      </c>
      <c r="T717" s="79"/>
      <c r="U717" s="79"/>
      <c r="V717" s="79"/>
      <c r="W717" s="79" t="s">
        <v>597</v>
      </c>
      <c r="X717" s="79" t="s">
        <v>595</v>
      </c>
      <c r="Y717" s="79"/>
      <c r="Z717" s="79"/>
      <c r="AA717" s="79"/>
      <c r="AB717" s="79"/>
      <c r="AC717" s="506"/>
      <c r="AD717" s="573">
        <v>1</v>
      </c>
      <c r="AE717" s="573">
        <v>2</v>
      </c>
      <c r="AF717" s="154">
        <v>1</v>
      </c>
      <c r="AG717" s="155" t="s">
        <v>8164</v>
      </c>
      <c r="AH717" s="704"/>
      <c r="AI717" s="121">
        <v>0</v>
      </c>
      <c r="AJ717" s="484" t="s">
        <v>4927</v>
      </c>
      <c r="AK717" s="498" t="s">
        <v>4926</v>
      </c>
      <c r="AL717" s="192">
        <v>1</v>
      </c>
      <c r="AM717" s="203">
        <v>0</v>
      </c>
      <c r="AN717" s="121">
        <f>Table66[[#This Row],[Data_Subjects_n_ptsd]]+Table66[[#This Row],[Data_Subjects_n_control]]</f>
        <v>50</v>
      </c>
      <c r="AO717" s="121">
        <v>28</v>
      </c>
      <c r="AP717" s="121">
        <f>22</f>
        <v>22</v>
      </c>
      <c r="AQ717" s="121" t="s">
        <v>4925</v>
      </c>
      <c r="AR717" s="121" t="s">
        <v>4925</v>
      </c>
      <c r="AS717" s="121">
        <v>50.7</v>
      </c>
      <c r="AT717" s="121">
        <v>6.3</v>
      </c>
      <c r="AU717" s="121">
        <v>49.3</v>
      </c>
      <c r="AV717" s="121">
        <v>6</v>
      </c>
      <c r="AW717" s="121" t="s">
        <v>7906</v>
      </c>
      <c r="AX717" s="121"/>
      <c r="AY717" s="121"/>
      <c r="AZ717" s="754" t="s">
        <v>1874</v>
      </c>
      <c r="BA717" s="121" t="s">
        <v>24</v>
      </c>
      <c r="BB717" s="121" t="s">
        <v>24</v>
      </c>
      <c r="BC717" s="121" t="s">
        <v>4924</v>
      </c>
      <c r="BD717" s="754" t="s">
        <v>7522</v>
      </c>
      <c r="BE717" s="1624">
        <v>0</v>
      </c>
      <c r="BF717" s="121" t="s">
        <v>376</v>
      </c>
      <c r="BG717" s="121" t="s">
        <v>4928</v>
      </c>
      <c r="BH717" s="594"/>
      <c r="BI717" s="594"/>
      <c r="BJ717" s="156"/>
      <c r="BK717" s="156"/>
      <c r="BL717" s="156"/>
      <c r="BM717" s="156"/>
      <c r="BN717" s="156"/>
      <c r="BO717" s="156"/>
      <c r="BP717" s="156">
        <v>1</v>
      </c>
      <c r="BQ717" s="156"/>
      <c r="BR717" s="156"/>
      <c r="BS717" s="156"/>
      <c r="BT717" s="156"/>
      <c r="BU717" s="156"/>
      <c r="BV717" s="156"/>
      <c r="BW717" s="595" t="s">
        <v>4984</v>
      </c>
      <c r="BX717" s="157" t="s">
        <v>6609</v>
      </c>
      <c r="BY717" s="797" t="s">
        <v>7616</v>
      </c>
      <c r="BZ717" s="789" t="s">
        <v>803</v>
      </c>
      <c r="CA717" s="769">
        <v>2</v>
      </c>
      <c r="CB717" s="765" t="s">
        <v>7556</v>
      </c>
      <c r="CC717" s="660" t="s">
        <v>7380</v>
      </c>
      <c r="CD717" s="134" t="s">
        <v>1876</v>
      </c>
      <c r="CE717" s="134" t="s">
        <v>4931</v>
      </c>
      <c r="CF717" s="400"/>
      <c r="CG717" s="134" t="s">
        <v>7913</v>
      </c>
      <c r="CH717" s="753" t="s">
        <v>7307</v>
      </c>
      <c r="CI717" s="134" t="s">
        <v>24</v>
      </c>
      <c r="CJ717" s="134"/>
      <c r="CK717" s="134" t="s">
        <v>7910</v>
      </c>
      <c r="CL717" s="134" t="s">
        <v>8201</v>
      </c>
      <c r="CM717" s="259" t="s">
        <v>4983</v>
      </c>
      <c r="CN717" s="454" t="s">
        <v>24</v>
      </c>
      <c r="CO717" s="828">
        <v>43</v>
      </c>
      <c r="CP717" s="828">
        <v>1</v>
      </c>
      <c r="CQ717" s="828">
        <v>12</v>
      </c>
      <c r="CR717" s="828">
        <v>1</v>
      </c>
      <c r="CS717" s="828">
        <v>1</v>
      </c>
      <c r="CT717" s="967"/>
      <c r="CU717" s="1291" t="s">
        <v>8102</v>
      </c>
      <c r="CV717" s="1295">
        <v>4</v>
      </c>
      <c r="CW717" s="1295">
        <v>1</v>
      </c>
      <c r="CX717" s="427" t="s">
        <v>4960</v>
      </c>
      <c r="CY717" s="134">
        <v>6.5</v>
      </c>
      <c r="CZ717" s="134">
        <v>1.3</v>
      </c>
      <c r="DA717" s="134" t="s">
        <v>24</v>
      </c>
      <c r="DB717" s="138" t="s">
        <v>4961</v>
      </c>
      <c r="DC717" s="134">
        <v>8.1999999999999993</v>
      </c>
      <c r="DD717" s="134">
        <v>1.8</v>
      </c>
      <c r="DE717" s="134" t="s">
        <v>24</v>
      </c>
      <c r="DF717" s="294"/>
      <c r="DG717" s="295"/>
      <c r="DH717" s="822"/>
      <c r="DI717" s="417"/>
      <c r="DJ717" s="1169"/>
      <c r="DK717" s="417"/>
      <c r="DL717" s="1174"/>
      <c r="DM717" s="417"/>
      <c r="DN717" s="1169"/>
      <c r="DO717" s="1151"/>
      <c r="DP717" s="288"/>
      <c r="DQ717" s="441"/>
      <c r="DR717" s="1168"/>
      <c r="DS717" s="865"/>
      <c r="DT717" s="1171"/>
      <c r="DU717" s="417"/>
      <c r="DV717" s="1169"/>
      <c r="DW717" s="417"/>
      <c r="DX717" s="1171"/>
      <c r="DY717" s="417"/>
      <c r="DZ717" s="1169"/>
      <c r="EA717" s="417"/>
      <c r="EB717" s="304"/>
      <c r="EC717" s="312"/>
      <c r="ED717" s="1171"/>
      <c r="EE717" s="1169"/>
      <c r="EF717" s="1169"/>
      <c r="EG717" s="1169"/>
      <c r="EH717" s="1174"/>
      <c r="EI717" s="1169"/>
      <c r="EJ717" s="1169"/>
      <c r="EK717" s="1169"/>
      <c r="EL717" s="304"/>
      <c r="EM717" s="312"/>
      <c r="EN717" s="309"/>
      <c r="EO717" s="1170"/>
      <c r="EP717" s="1174"/>
      <c r="EQ717" s="1169"/>
      <c r="ER717" s="1169"/>
      <c r="ES717" s="1169"/>
      <c r="ET717" s="1171"/>
      <c r="EU717" s="1169"/>
      <c r="EV717" s="1169"/>
      <c r="EW717" s="1169"/>
      <c r="EX717" s="312"/>
      <c r="EY717" s="312"/>
      <c r="EZ717" s="1171"/>
      <c r="FA717" s="1169"/>
      <c r="FB717" s="1169"/>
      <c r="FC717" s="1169"/>
      <c r="FD717" s="1171"/>
      <c r="FE717" s="1169"/>
      <c r="FF717" s="1169"/>
      <c r="FG717" s="1169"/>
      <c r="FH717" s="312"/>
      <c r="FI717" s="312"/>
      <c r="FJ717" s="1170"/>
    </row>
    <row r="718" spans="1:166" ht="15" hidden="1" customHeight="1">
      <c r="A718" s="79" t="s">
        <v>336</v>
      </c>
      <c r="B718" s="362">
        <v>241</v>
      </c>
      <c r="C718" s="362"/>
      <c r="D718" s="362"/>
      <c r="E718" s="604" t="s">
        <v>2036</v>
      </c>
      <c r="F718" s="124" t="s">
        <v>2274</v>
      </c>
      <c r="G718" s="125">
        <v>1998</v>
      </c>
      <c r="H718" s="79">
        <v>9460740</v>
      </c>
      <c r="I718" s="79">
        <v>1</v>
      </c>
      <c r="J718" s="126"/>
      <c r="K718" s="127"/>
      <c r="L718" s="79">
        <v>1</v>
      </c>
      <c r="M718" s="79"/>
      <c r="N718" s="79">
        <v>1</v>
      </c>
      <c r="O718" s="128">
        <v>1</v>
      </c>
      <c r="P718" s="79" t="s">
        <v>31</v>
      </c>
      <c r="Q718" s="79" t="s">
        <v>1157</v>
      </c>
      <c r="R718" s="79" t="s">
        <v>819</v>
      </c>
      <c r="S718" s="79">
        <v>1</v>
      </c>
      <c r="T718" s="79"/>
      <c r="U718" s="79"/>
      <c r="V718" s="79"/>
      <c r="W718" s="79" t="s">
        <v>873</v>
      </c>
      <c r="X718" s="79" t="s">
        <v>24</v>
      </c>
      <c r="Y718" s="79" t="s">
        <v>24</v>
      </c>
      <c r="Z718" s="79"/>
      <c r="AA718" s="79"/>
      <c r="AB718" s="79"/>
      <c r="AC718" s="506"/>
      <c r="AD718" s="573">
        <v>1</v>
      </c>
      <c r="AE718" s="573">
        <v>2</v>
      </c>
      <c r="AF718" s="154">
        <v>1</v>
      </c>
      <c r="AG718" s="155"/>
      <c r="AH718" s="704"/>
      <c r="AI718" s="121">
        <v>2</v>
      </c>
      <c r="AJ718" s="484"/>
      <c r="AK718" s="202" t="s">
        <v>5804</v>
      </c>
      <c r="AL718" s="192">
        <v>1</v>
      </c>
      <c r="AM718" s="203">
        <v>0</v>
      </c>
      <c r="AN718" s="121">
        <f>Table66[[#This Row],[Data_Subjects_n_ptsd]]+Table66[[#This Row],[Data_Subjects_n_control]]</f>
        <v>43</v>
      </c>
      <c r="AO718" s="121">
        <v>24</v>
      </c>
      <c r="AP718" s="121">
        <v>19</v>
      </c>
      <c r="AQ718" s="134" t="s">
        <v>5744</v>
      </c>
      <c r="AR718" s="121" t="s">
        <v>5745</v>
      </c>
      <c r="AS718" s="121">
        <v>36.299999999999997</v>
      </c>
      <c r="AT718" s="121">
        <v>9.8000000000000007</v>
      </c>
      <c r="AU718" s="121">
        <v>35.299999999999997</v>
      </c>
      <c r="AV718" s="121">
        <v>8.6999999999999993</v>
      </c>
      <c r="AW718" s="121" t="s">
        <v>5746</v>
      </c>
      <c r="AX718" s="121"/>
      <c r="AY718" s="121"/>
      <c r="AZ718" s="754" t="s">
        <v>1874</v>
      </c>
      <c r="BA718" s="121" t="s">
        <v>24</v>
      </c>
      <c r="BB718" s="121" t="s">
        <v>24</v>
      </c>
      <c r="BC718" s="121" t="s">
        <v>5749</v>
      </c>
      <c r="BD718" s="754" t="s">
        <v>7521</v>
      </c>
      <c r="BE718" s="187">
        <v>0</v>
      </c>
      <c r="BF718" s="121" t="s">
        <v>5747</v>
      </c>
      <c r="BG718" s="121" t="s">
        <v>5748</v>
      </c>
      <c r="BH718" s="594"/>
      <c r="BI718" s="594"/>
      <c r="BJ718" s="156"/>
      <c r="BK718" s="156"/>
      <c r="BL718" s="156" t="s">
        <v>4727</v>
      </c>
      <c r="BM718" s="156"/>
      <c r="BN718" s="156"/>
      <c r="BO718" s="156"/>
      <c r="BP718" s="156">
        <v>1</v>
      </c>
      <c r="BQ718" s="156"/>
      <c r="BR718" s="156"/>
      <c r="BS718" s="156"/>
      <c r="BT718" s="156" t="s">
        <v>4727</v>
      </c>
      <c r="BU718" s="156"/>
      <c r="BV718" s="156"/>
      <c r="BW718" s="595" t="s">
        <v>3843</v>
      </c>
      <c r="BX718" s="157" t="s">
        <v>6610</v>
      </c>
      <c r="BY718" s="797" t="s">
        <v>7616</v>
      </c>
      <c r="BZ718" s="789" t="s">
        <v>803</v>
      </c>
      <c r="CA718" s="765">
        <v>2</v>
      </c>
      <c r="CB718" s="765" t="s">
        <v>7556</v>
      </c>
      <c r="CC718" s="660" t="s">
        <v>7380</v>
      </c>
      <c r="CD718" s="134" t="s">
        <v>1876</v>
      </c>
      <c r="CE718" s="134">
        <v>2</v>
      </c>
      <c r="CF718" s="400"/>
      <c r="CG718" s="134" t="s">
        <v>5750</v>
      </c>
      <c r="CH718" s="753" t="s">
        <v>7307</v>
      </c>
      <c r="CI718" s="134" t="s">
        <v>24</v>
      </c>
      <c r="CJ718" s="134"/>
      <c r="CK718" s="134" t="s">
        <v>5751</v>
      </c>
      <c r="CL718" s="134" t="s">
        <v>8219</v>
      </c>
      <c r="CM718" s="259" t="s">
        <v>5802</v>
      </c>
      <c r="CN718" s="454" t="s">
        <v>24</v>
      </c>
      <c r="CO718" s="828">
        <v>79</v>
      </c>
      <c r="CP718" s="828">
        <v>1</v>
      </c>
      <c r="CQ718" s="828">
        <v>9</v>
      </c>
      <c r="CR718" s="828">
        <v>1</v>
      </c>
      <c r="CS718" s="722">
        <v>-1</v>
      </c>
      <c r="CT718" s="968"/>
      <c r="CU718" s="1288" t="s">
        <v>8103</v>
      </c>
      <c r="CV718" s="1294">
        <v>39</v>
      </c>
      <c r="CW718" s="1294">
        <v>33</v>
      </c>
      <c r="CX718" s="138" t="s">
        <v>5759</v>
      </c>
      <c r="CY718" s="134">
        <v>0.8</v>
      </c>
      <c r="CZ718" s="134">
        <v>0.2</v>
      </c>
      <c r="DA718" s="134" t="s">
        <v>24</v>
      </c>
      <c r="DB718" s="138" t="s">
        <v>5769</v>
      </c>
      <c r="DC718" s="134">
        <v>0.9</v>
      </c>
      <c r="DD718" s="134">
        <v>0.2</v>
      </c>
      <c r="DE718" s="134" t="s">
        <v>24</v>
      </c>
      <c r="DF718" s="436" t="s">
        <v>4742</v>
      </c>
      <c r="DG718" s="436" t="s">
        <v>5781</v>
      </c>
      <c r="DH718" s="1276"/>
      <c r="DI718" s="121"/>
      <c r="DJ718" s="1169"/>
      <c r="DK718" s="121"/>
      <c r="DL718" s="1171"/>
      <c r="DM718" s="121"/>
      <c r="DN718" s="1169"/>
      <c r="DO718" s="121"/>
      <c r="DP718" s="288"/>
      <c r="DQ718" s="289"/>
      <c r="DR718" s="1168"/>
      <c r="DS718" s="865"/>
      <c r="DT718" s="1169"/>
      <c r="DU718" s="163"/>
      <c r="DV718" s="1188"/>
      <c r="DW718" s="163"/>
      <c r="DX718" s="1169"/>
      <c r="DY718" s="121"/>
      <c r="DZ718" s="1169"/>
      <c r="EA718" s="121"/>
      <c r="EB718" s="304"/>
      <c r="EC718" s="312"/>
      <c r="ED718" s="1169"/>
      <c r="EE718" s="1169"/>
      <c r="EF718" s="1169"/>
      <c r="EG718" s="1169"/>
      <c r="EH718" s="1169"/>
      <c r="EI718" s="1169"/>
      <c r="EJ718" s="1169"/>
      <c r="EK718" s="1169"/>
      <c r="EL718" s="304"/>
      <c r="EM718" s="312"/>
      <c r="EN718" s="309"/>
      <c r="EO718" s="1170"/>
      <c r="EP718" s="1169"/>
      <c r="EQ718" s="1169"/>
      <c r="ER718" s="1169"/>
      <c r="ES718" s="1169"/>
      <c r="ET718" s="1169"/>
      <c r="EU718" s="1169"/>
      <c r="EV718" s="1169"/>
      <c r="EW718" s="1169"/>
      <c r="EX718" s="312"/>
      <c r="EY718" s="312"/>
      <c r="EZ718" s="1171"/>
      <c r="FA718" s="1169"/>
      <c r="FB718" s="1169"/>
      <c r="FC718" s="1169"/>
      <c r="FD718" s="1171"/>
      <c r="FE718" s="1169"/>
      <c r="FF718" s="1169"/>
      <c r="FG718" s="1169"/>
      <c r="FH718" s="312"/>
      <c r="FI718" s="312"/>
      <c r="FJ718" s="1170"/>
    </row>
    <row r="719" spans="1:166" ht="15" hidden="1" customHeight="1">
      <c r="A719" s="153" t="s">
        <v>338</v>
      </c>
      <c r="B719" s="618">
        <v>243</v>
      </c>
      <c r="C719" s="618">
        <v>89</v>
      </c>
      <c r="D719" s="618"/>
      <c r="E719" s="610" t="s">
        <v>2037</v>
      </c>
      <c r="F719" s="368" t="s">
        <v>2276</v>
      </c>
      <c r="G719" s="369">
        <v>2014</v>
      </c>
      <c r="H719" s="153">
        <v>24245929</v>
      </c>
      <c r="I719" s="153">
        <v>1</v>
      </c>
      <c r="J719" s="370"/>
      <c r="K719" s="371"/>
      <c r="L719" s="153">
        <v>1</v>
      </c>
      <c r="M719" s="153"/>
      <c r="N719" s="153">
        <v>1</v>
      </c>
      <c r="O719" s="153">
        <v>1</v>
      </c>
      <c r="P719" s="153" t="s">
        <v>876</v>
      </c>
      <c r="Q719" s="153" t="s">
        <v>1191</v>
      </c>
      <c r="R719" s="153" t="s">
        <v>878</v>
      </c>
      <c r="S719" s="153">
        <v>1</v>
      </c>
      <c r="T719" s="153"/>
      <c r="U719" s="153"/>
      <c r="V719" s="153"/>
      <c r="W719" s="153" t="s">
        <v>1190</v>
      </c>
      <c r="X719" s="153" t="s">
        <v>24</v>
      </c>
      <c r="Y719" s="153" t="s">
        <v>24</v>
      </c>
      <c r="Z719" s="153" t="s">
        <v>877</v>
      </c>
      <c r="AA719" s="153"/>
      <c r="AB719" s="153"/>
      <c r="AC719" s="536"/>
      <c r="AD719" s="536">
        <v>1</v>
      </c>
      <c r="AE719" s="536">
        <v>2</v>
      </c>
      <c r="AF719" s="165">
        <v>0</v>
      </c>
      <c r="AG719" s="166" t="s">
        <v>7242</v>
      </c>
      <c r="AH719" s="509" t="s">
        <v>7273</v>
      </c>
      <c r="AI719" s="120">
        <v>2</v>
      </c>
      <c r="AJ719" s="120"/>
      <c r="AK719" s="206"/>
      <c r="AL719" s="372"/>
      <c r="AM719" s="207"/>
      <c r="AN719" s="120"/>
      <c r="AO719" s="120"/>
      <c r="AP719" s="120"/>
      <c r="AQ719" s="120"/>
      <c r="AR719" s="120"/>
      <c r="AS719" s="120"/>
      <c r="AT719" s="120"/>
      <c r="AU719" s="120"/>
      <c r="AV719" s="120"/>
      <c r="AW719" s="120"/>
      <c r="AX719" s="120"/>
      <c r="AY719" s="120"/>
      <c r="AZ719" s="755"/>
      <c r="BA719" s="120"/>
      <c r="BB719" s="120"/>
      <c r="BC719" s="120"/>
      <c r="BD719" s="755"/>
      <c r="BE719" s="755"/>
      <c r="BF719" s="120"/>
      <c r="BG719" s="120"/>
      <c r="BH719" s="377"/>
      <c r="BI719" s="377"/>
      <c r="BJ719" s="373"/>
      <c r="BK719" s="373"/>
      <c r="BL719" s="373"/>
      <c r="BM719" s="373"/>
      <c r="BN719" s="373"/>
      <c r="BO719" s="373"/>
      <c r="BP719" s="373">
        <v>1</v>
      </c>
      <c r="BQ719" s="373"/>
      <c r="BR719" s="373"/>
      <c r="BS719" s="373"/>
      <c r="BT719" s="373"/>
      <c r="BU719" s="373"/>
      <c r="BV719" s="373"/>
      <c r="BW719" s="599"/>
      <c r="BX719" s="374"/>
      <c r="BY719" s="374"/>
      <c r="BZ719" s="374"/>
      <c r="CA719" s="511"/>
      <c r="CB719" s="511"/>
      <c r="CC719" s="511"/>
      <c r="CD719" s="120"/>
      <c r="CE719" s="120"/>
      <c r="CF719" s="120"/>
      <c r="CG719" s="120"/>
      <c r="CH719" s="755"/>
      <c r="CI719" s="120"/>
      <c r="CJ719" s="120"/>
      <c r="CK719" s="120"/>
      <c r="CL719" s="120"/>
      <c r="CM719" s="375"/>
      <c r="CN719" s="380"/>
      <c r="CO719" s="380"/>
      <c r="CP719" s="380"/>
      <c r="CQ719" s="380"/>
      <c r="CR719" s="380"/>
      <c r="CS719" s="380"/>
      <c r="CT719" s="380"/>
      <c r="CU719" s="380"/>
      <c r="CV719" s="380"/>
      <c r="CW719" s="380"/>
      <c r="CX719" s="376"/>
      <c r="CY719" s="120"/>
      <c r="CZ719" s="120"/>
      <c r="DA719" s="120"/>
      <c r="DB719" s="376"/>
      <c r="DC719" s="120"/>
      <c r="DD719" s="120"/>
      <c r="DE719" s="120"/>
      <c r="DF719" s="621"/>
      <c r="DG719" s="509"/>
      <c r="DH719" s="727"/>
      <c r="DI719" s="384"/>
      <c r="DJ719" s="384"/>
      <c r="DK719" s="384"/>
      <c r="DL719" s="727"/>
      <c r="DM719" s="384"/>
      <c r="DN719" s="384"/>
      <c r="DO719" s="384"/>
      <c r="DP719" s="375"/>
      <c r="DQ719" s="377"/>
      <c r="DR719" s="1182"/>
      <c r="DS719" s="956"/>
      <c r="DT719" s="727"/>
      <c r="DU719" s="120"/>
      <c r="DV719" s="384"/>
      <c r="DW719" s="120"/>
      <c r="DX719" s="384"/>
      <c r="DY719" s="384"/>
      <c r="DZ719" s="384"/>
      <c r="EA719" s="384"/>
      <c r="EB719" s="380"/>
      <c r="EC719" s="120"/>
      <c r="ED719" s="384"/>
      <c r="EE719" s="384"/>
      <c r="EF719" s="384"/>
      <c r="EG719" s="384"/>
      <c r="EH719" s="384"/>
      <c r="EI719" s="384"/>
      <c r="EJ719" s="384"/>
      <c r="EK719" s="384"/>
      <c r="EL719" s="380"/>
      <c r="EM719" s="384"/>
      <c r="EN719" s="1012"/>
      <c r="EO719" s="384"/>
      <c r="EP719" s="384"/>
      <c r="EQ719" s="384"/>
      <c r="ER719" s="384"/>
      <c r="ES719" s="384"/>
      <c r="ET719" s="727"/>
      <c r="EU719" s="384"/>
      <c r="EV719" s="384"/>
      <c r="EW719" s="384"/>
      <c r="EX719" s="384"/>
      <c r="EY719" s="384"/>
      <c r="EZ719" s="727"/>
      <c r="FA719" s="120"/>
      <c r="FB719" s="120"/>
      <c r="FC719" s="120"/>
      <c r="FD719" s="376"/>
      <c r="FE719" s="384"/>
      <c r="FF719" s="384"/>
      <c r="FG719" s="384"/>
      <c r="FH719" s="384"/>
      <c r="FI719" s="384"/>
      <c r="FJ719" s="384"/>
    </row>
    <row r="720" spans="1:166" ht="18" hidden="1" customHeight="1">
      <c r="A720" s="118" t="s">
        <v>1020</v>
      </c>
      <c r="B720" s="616">
        <v>165</v>
      </c>
      <c r="C720" s="616">
        <v>55</v>
      </c>
      <c r="D720" s="616"/>
      <c r="E720" s="605" t="s">
        <v>2093</v>
      </c>
      <c r="F720" s="140" t="s">
        <v>2348</v>
      </c>
      <c r="G720" s="141">
        <v>2008</v>
      </c>
      <c r="H720" s="118">
        <v>18339410</v>
      </c>
      <c r="I720" s="118">
        <v>1</v>
      </c>
      <c r="J720" s="118">
        <v>1</v>
      </c>
      <c r="K720" s="118"/>
      <c r="L720" s="118">
        <v>1</v>
      </c>
      <c r="M720" s="118"/>
      <c r="N720" s="158">
        <v>1</v>
      </c>
      <c r="O720" s="142">
        <v>2</v>
      </c>
      <c r="P720" s="118" t="s">
        <v>1697</v>
      </c>
      <c r="Q720" s="118" t="s">
        <v>1417</v>
      </c>
      <c r="R720" s="118" t="s">
        <v>1127</v>
      </c>
      <c r="S720" s="118"/>
      <c r="T720" s="118" t="s">
        <v>1541</v>
      </c>
      <c r="U720" s="118"/>
      <c r="V720" s="118"/>
      <c r="W720" s="118" t="s">
        <v>1416</v>
      </c>
      <c r="X720" s="118"/>
      <c r="Y720" s="118"/>
      <c r="Z720" s="118"/>
      <c r="AA720" s="118"/>
      <c r="AB720" s="118"/>
      <c r="AC720" s="145"/>
      <c r="AD720" s="573">
        <v>1</v>
      </c>
      <c r="AE720" s="573">
        <v>2</v>
      </c>
      <c r="AF720" s="352">
        <v>1</v>
      </c>
      <c r="AG720" s="155"/>
      <c r="AH720" s="704"/>
      <c r="AI720" s="122">
        <v>4</v>
      </c>
      <c r="AJ720" s="485" t="s">
        <v>5108</v>
      </c>
      <c r="AK720" s="204" t="s">
        <v>5144</v>
      </c>
      <c r="AL720" s="192" t="s">
        <v>7948</v>
      </c>
      <c r="AM720" s="205" t="s">
        <v>5061</v>
      </c>
      <c r="AN720" s="122">
        <f>Table66[[#This Row],[Data_Subjects_n_ptsd]]+Table66[[#This Row],[Data_Subjects_n_control]]</f>
        <v>20</v>
      </c>
      <c r="AO720" s="122">
        <v>10</v>
      </c>
      <c r="AP720" s="122">
        <v>10</v>
      </c>
      <c r="AQ720" s="122" t="s">
        <v>803</v>
      </c>
      <c r="AR720" s="150" t="s">
        <v>803</v>
      </c>
      <c r="AS720" s="150" t="s">
        <v>2468</v>
      </c>
      <c r="AT720" s="150" t="s">
        <v>24</v>
      </c>
      <c r="AU720" s="150" t="s">
        <v>2468</v>
      </c>
      <c r="AV720" s="150" t="s">
        <v>24</v>
      </c>
      <c r="AW720" s="150" t="s">
        <v>7642</v>
      </c>
      <c r="AX720" s="122">
        <v>10</v>
      </c>
      <c r="AY720" s="122">
        <v>3</v>
      </c>
      <c r="AZ720" s="754" t="s">
        <v>1814</v>
      </c>
      <c r="BA720" s="122">
        <v>1</v>
      </c>
      <c r="BB720" s="122" t="s">
        <v>5083</v>
      </c>
      <c r="BC720" s="122" t="s">
        <v>5068</v>
      </c>
      <c r="BD720" s="754" t="s">
        <v>7523</v>
      </c>
      <c r="BE720" s="754"/>
      <c r="BF720" s="122" t="s">
        <v>2912</v>
      </c>
      <c r="BG720" s="122" t="s">
        <v>5062</v>
      </c>
      <c r="BH720" s="588"/>
      <c r="BI720" s="588"/>
      <c r="BJ720" s="161"/>
      <c r="BK720" s="161"/>
      <c r="BL720" s="161"/>
      <c r="BM720" s="161"/>
      <c r="BN720" s="161"/>
      <c r="BO720" s="161"/>
      <c r="BP720" s="161">
        <v>1</v>
      </c>
      <c r="BQ720" s="161"/>
      <c r="BR720" s="161"/>
      <c r="BS720" s="161"/>
      <c r="BT720" s="161"/>
      <c r="BU720" s="161"/>
      <c r="BV720" s="161"/>
      <c r="BW720" s="596" t="s">
        <v>7357</v>
      </c>
      <c r="BX720" s="162" t="s">
        <v>6657</v>
      </c>
      <c r="BY720" s="797" t="s">
        <v>7613</v>
      </c>
      <c r="BZ720" s="790" t="s">
        <v>803</v>
      </c>
      <c r="CA720" s="765">
        <v>1</v>
      </c>
      <c r="CB720" s="765" t="s">
        <v>7556</v>
      </c>
      <c r="CC720" s="765" t="s">
        <v>7380</v>
      </c>
      <c r="CD720" s="150" t="s">
        <v>1876</v>
      </c>
      <c r="CE720" s="150" t="s">
        <v>5088</v>
      </c>
      <c r="CF720" s="400" t="s">
        <v>7579</v>
      </c>
      <c r="CG720" s="150" t="s">
        <v>5084</v>
      </c>
      <c r="CH720" s="753" t="s">
        <v>7310</v>
      </c>
      <c r="CI720" s="150" t="s">
        <v>5066</v>
      </c>
      <c r="CJ720" s="150"/>
      <c r="CK720" s="150" t="s">
        <v>5085</v>
      </c>
      <c r="CL720" s="150" t="s">
        <v>8303</v>
      </c>
      <c r="CM720" s="258" t="s">
        <v>5111</v>
      </c>
      <c r="CN720" s="257" t="s">
        <v>23</v>
      </c>
      <c r="CO720" s="829">
        <v>50</v>
      </c>
      <c r="CP720" s="829">
        <v>2</v>
      </c>
      <c r="CQ720" s="829">
        <v>3</v>
      </c>
      <c r="CR720" s="829">
        <v>1</v>
      </c>
      <c r="CS720" s="829">
        <v>1</v>
      </c>
      <c r="CT720" s="968" t="s">
        <v>1917</v>
      </c>
      <c r="CU720" s="1289" t="s">
        <v>8104</v>
      </c>
      <c r="CV720" s="1295">
        <v>105</v>
      </c>
      <c r="CW720" s="1295">
        <v>96</v>
      </c>
      <c r="CX720" s="151" t="s">
        <v>5104</v>
      </c>
      <c r="CY720" s="150">
        <v>34.231900000000003</v>
      </c>
      <c r="CZ720" s="150" t="s">
        <v>24</v>
      </c>
      <c r="DA720" s="150">
        <f>43.5329-Table66[[#This Row],[Data_Outcome1_M]]</f>
        <v>9.3009999999999948</v>
      </c>
      <c r="DB720" s="151" t="s">
        <v>5106</v>
      </c>
      <c r="DC720" s="150">
        <v>0</v>
      </c>
      <c r="DD720" s="150" t="s">
        <v>24</v>
      </c>
      <c r="DE720" s="150">
        <v>0</v>
      </c>
      <c r="DF720" s="288" t="s">
        <v>7947</v>
      </c>
      <c r="DG720" s="295"/>
      <c r="DH720" s="526"/>
      <c r="DI720" s="122"/>
      <c r="DJ720" s="1164"/>
      <c r="DK720" s="122"/>
      <c r="DL720" s="1166"/>
      <c r="DM720" s="122"/>
      <c r="DN720" s="1164"/>
      <c r="DO720" s="122"/>
      <c r="DP720" s="290"/>
      <c r="DQ720" s="291"/>
      <c r="DR720" s="1168"/>
      <c r="DS720" s="865"/>
      <c r="DT720" s="1166"/>
      <c r="DU720" s="122"/>
      <c r="DV720" s="1164"/>
      <c r="DW720" s="122"/>
      <c r="DX720" s="1166"/>
      <c r="DY720" s="122"/>
      <c r="DZ720" s="1164"/>
      <c r="EA720" s="122"/>
      <c r="EB720" s="311"/>
      <c r="EC720" s="313"/>
      <c r="ED720" s="1166"/>
      <c r="EE720" s="122"/>
      <c r="EF720" s="1164"/>
      <c r="EG720" s="122"/>
      <c r="EH720" s="1166"/>
      <c r="EI720" s="122"/>
      <c r="EJ720" s="1164"/>
      <c r="EK720" s="122"/>
      <c r="EL720" s="311"/>
      <c r="EM720" s="313"/>
      <c r="EN720" s="1167"/>
      <c r="EO720" s="1165"/>
      <c r="EP720" s="122"/>
      <c r="EQ720" s="122"/>
      <c r="ER720" s="122"/>
      <c r="ES720" s="122"/>
      <c r="ET720" s="526"/>
      <c r="EU720" s="122"/>
      <c r="EV720" s="122"/>
      <c r="EW720" s="122"/>
      <c r="EX720" s="303"/>
      <c r="EY720" s="303"/>
      <c r="EZ720" s="1166"/>
      <c r="FA720" s="1164"/>
      <c r="FB720" s="1164"/>
      <c r="FC720" s="1164"/>
      <c r="FD720" s="1166"/>
      <c r="FE720" s="1164"/>
      <c r="FF720" s="1164"/>
      <c r="FG720" s="1164"/>
      <c r="FH720" s="313"/>
      <c r="FI720" s="313"/>
      <c r="FJ720" s="1165"/>
    </row>
    <row r="721" spans="1:166" ht="18" hidden="1" customHeight="1">
      <c r="A721" s="321" t="s">
        <v>1001</v>
      </c>
      <c r="B721" s="362">
        <v>37</v>
      </c>
      <c r="C721" s="362"/>
      <c r="D721" s="362"/>
      <c r="E721" s="609" t="s">
        <v>2103</v>
      </c>
      <c r="F721" s="323" t="s">
        <v>2360</v>
      </c>
      <c r="G721" s="324">
        <v>2011</v>
      </c>
      <c r="H721" s="321">
        <v>21377492</v>
      </c>
      <c r="I721" s="321">
        <v>1</v>
      </c>
      <c r="J721" s="321">
        <v>1</v>
      </c>
      <c r="K721" s="321"/>
      <c r="L721" s="321">
        <v>1</v>
      </c>
      <c r="M721" s="321"/>
      <c r="N721" s="321">
        <v>1</v>
      </c>
      <c r="O721" s="325">
        <v>2</v>
      </c>
      <c r="P721" s="321" t="s">
        <v>1303</v>
      </c>
      <c r="Q721" s="321" t="s">
        <v>1212</v>
      </c>
      <c r="R721" s="321" t="s">
        <v>1468</v>
      </c>
      <c r="S721" s="321"/>
      <c r="T721" s="321" t="s">
        <v>1498</v>
      </c>
      <c r="U721" s="321" t="s">
        <v>803</v>
      </c>
      <c r="V721" s="321"/>
      <c r="W721" s="321" t="s">
        <v>1469</v>
      </c>
      <c r="X721" s="321" t="s">
        <v>436</v>
      </c>
      <c r="Y721" s="321"/>
      <c r="Z721" s="321"/>
      <c r="AA721" s="321"/>
      <c r="AB721" s="321"/>
      <c r="AC721" s="574"/>
      <c r="AD721" s="573">
        <v>1</v>
      </c>
      <c r="AE721" s="573">
        <v>2</v>
      </c>
      <c r="AF721" s="154">
        <v>1</v>
      </c>
      <c r="AG721" s="155" t="s">
        <v>3365</v>
      </c>
      <c r="AH721" s="704" t="s">
        <v>8141</v>
      </c>
      <c r="AI721" s="326">
        <v>5</v>
      </c>
      <c r="AJ721" s="490"/>
      <c r="AK721" s="213" t="s">
        <v>3366</v>
      </c>
      <c r="AL721" s="327">
        <v>2</v>
      </c>
      <c r="AM721" s="215">
        <v>0</v>
      </c>
      <c r="AN721" s="134">
        <f>Table66[[#This Row],[Data_Subjects_n_ptsd]]+Table66[[#This Row],[Data_Subjects_n_control]]</f>
        <v>18</v>
      </c>
      <c r="AO721" s="326">
        <v>9</v>
      </c>
      <c r="AP721" s="326">
        <v>9</v>
      </c>
      <c r="AQ721" s="326" t="s">
        <v>803</v>
      </c>
      <c r="AR721" s="326" t="s">
        <v>803</v>
      </c>
      <c r="AS721" s="326" t="s">
        <v>7495</v>
      </c>
      <c r="AT721" s="326" t="s">
        <v>24</v>
      </c>
      <c r="AU721" s="326" t="s">
        <v>7495</v>
      </c>
      <c r="AV721" s="326" t="s">
        <v>24</v>
      </c>
      <c r="AW721" s="326" t="s">
        <v>3349</v>
      </c>
      <c r="AX721" s="134">
        <v>1</v>
      </c>
      <c r="AY721" s="134">
        <v>1.5</v>
      </c>
      <c r="AZ721" s="753" t="s">
        <v>1814</v>
      </c>
      <c r="BA721" s="326">
        <v>1</v>
      </c>
      <c r="BB721" s="326" t="s">
        <v>3347</v>
      </c>
      <c r="BC721" s="326" t="s">
        <v>2975</v>
      </c>
      <c r="BD721" s="753" t="s">
        <v>7523</v>
      </c>
      <c r="BE721" s="753"/>
      <c r="BF721" s="326" t="s">
        <v>1468</v>
      </c>
      <c r="BG721" s="326" t="s">
        <v>3279</v>
      </c>
      <c r="BH721" s="601"/>
      <c r="BI721" s="601"/>
      <c r="BJ721" s="328">
        <v>1</v>
      </c>
      <c r="BK721" s="156">
        <v>1</v>
      </c>
      <c r="BL721" s="328"/>
      <c r="BM721" s="328"/>
      <c r="BN721" s="328"/>
      <c r="BO721" s="328"/>
      <c r="BP721" s="156">
        <v>1</v>
      </c>
      <c r="BQ721" s="328"/>
      <c r="BR721" s="328"/>
      <c r="BS721" s="328"/>
      <c r="BT721" s="328"/>
      <c r="BU721" s="328"/>
      <c r="BV721" s="328"/>
      <c r="BW721" s="602" t="s">
        <v>7192</v>
      </c>
      <c r="BX721" s="157" t="s">
        <v>6657</v>
      </c>
      <c r="BY721" s="797" t="s">
        <v>7613</v>
      </c>
      <c r="BZ721" s="789" t="s">
        <v>803</v>
      </c>
      <c r="CA721" s="765">
        <v>1</v>
      </c>
      <c r="CB721" s="765" t="s">
        <v>7556</v>
      </c>
      <c r="CC721" s="765" t="s">
        <v>7380</v>
      </c>
      <c r="CD721" s="326" t="s">
        <v>1876</v>
      </c>
      <c r="CE721" s="326">
        <v>2</v>
      </c>
      <c r="CF721" s="400" t="s">
        <v>7579</v>
      </c>
      <c r="CG721" s="424" t="s">
        <v>8306</v>
      </c>
      <c r="CH721" s="753" t="s">
        <v>7310</v>
      </c>
      <c r="CI721" s="326" t="s">
        <v>2606</v>
      </c>
      <c r="CJ721" s="326"/>
      <c r="CK721" s="326" t="s">
        <v>3350</v>
      </c>
      <c r="CL721" s="134" t="s">
        <v>8308</v>
      </c>
      <c r="CM721" s="259" t="s">
        <v>3394</v>
      </c>
      <c r="CN721" s="454" t="s">
        <v>6627</v>
      </c>
      <c r="CO721" s="828">
        <v>59</v>
      </c>
      <c r="CP721" s="828">
        <v>5</v>
      </c>
      <c r="CQ721" s="828">
        <v>1</v>
      </c>
      <c r="CR721" s="828">
        <v>0</v>
      </c>
      <c r="CS721" s="828">
        <v>-1</v>
      </c>
      <c r="CT721" s="967"/>
      <c r="CU721" s="1289" t="s">
        <v>8104</v>
      </c>
      <c r="CV721" s="1295">
        <v>148</v>
      </c>
      <c r="CW721" s="1295">
        <v>139</v>
      </c>
      <c r="CX721" s="138" t="s">
        <v>3392</v>
      </c>
      <c r="CY721" s="326">
        <v>2.9942799999999998</v>
      </c>
      <c r="CZ721" s="326" t="s">
        <v>24</v>
      </c>
      <c r="DA721" s="326">
        <f>4.55273-Table66[[#This Row],[Data_Outcome1_M]]</f>
        <v>1.5584500000000006</v>
      </c>
      <c r="DB721" s="138" t="s">
        <v>3388</v>
      </c>
      <c r="DC721" s="326">
        <v>36.018099999999997</v>
      </c>
      <c r="DD721" s="326" t="s">
        <v>24</v>
      </c>
      <c r="DE721" s="326">
        <f>45.0564-Table66[[#This Row],[Data_Outcome2_M]]</f>
        <v>9.0382999999999996</v>
      </c>
      <c r="DF721" s="874" t="s">
        <v>3386</v>
      </c>
      <c r="DG721" s="295" t="s">
        <v>3060</v>
      </c>
      <c r="DH721" s="1263"/>
      <c r="DI721" s="1260"/>
      <c r="DJ721" s="1260"/>
      <c r="DK721" s="1260"/>
      <c r="DL721" s="1263"/>
      <c r="DM721" s="1260"/>
      <c r="DN721" s="1260"/>
      <c r="DO721" s="1260"/>
      <c r="DP721" s="331"/>
      <c r="DQ721" s="332"/>
      <c r="DR721" s="1168"/>
      <c r="DS721" s="865"/>
      <c r="DT721" s="1263"/>
      <c r="DU721" s="1260"/>
      <c r="DV721" s="1260"/>
      <c r="DW721" s="1260"/>
      <c r="DX721" s="1260"/>
      <c r="DY721" s="1260"/>
      <c r="DZ721" s="1260"/>
      <c r="EA721" s="1260"/>
      <c r="EB721" s="1265"/>
      <c r="EC721" s="1261"/>
      <c r="ED721" s="1260"/>
      <c r="EE721" s="1260"/>
      <c r="EF721" s="1260"/>
      <c r="EG721" s="1260"/>
      <c r="EH721" s="1260"/>
      <c r="EI721" s="1260"/>
      <c r="EJ721" s="1260"/>
      <c r="EK721" s="1260"/>
      <c r="EL721" s="1265"/>
      <c r="EM721" s="1261"/>
      <c r="EN721" s="1264"/>
      <c r="EO721" s="1262"/>
      <c r="EP721" s="1260"/>
      <c r="EQ721" s="1260"/>
      <c r="ER721" s="1260"/>
      <c r="ES721" s="1260"/>
      <c r="ET721" s="1263"/>
      <c r="EU721" s="1260"/>
      <c r="EV721" s="1260"/>
      <c r="EW721" s="1260"/>
      <c r="EX721" s="1261"/>
      <c r="EY721" s="1261"/>
      <c r="EZ721" s="1263"/>
      <c r="FA721" s="1260"/>
      <c r="FB721" s="1260"/>
      <c r="FC721" s="1260"/>
      <c r="FD721" s="1263"/>
      <c r="FE721" s="1260"/>
      <c r="FF721" s="1260"/>
      <c r="FG721" s="1260"/>
      <c r="FH721" s="1261"/>
      <c r="FI721" s="1261"/>
      <c r="FJ721" s="1262"/>
    </row>
    <row r="722" spans="1:166" ht="18" hidden="1" customHeight="1">
      <c r="A722" s="158" t="s">
        <v>961</v>
      </c>
      <c r="B722" s="1094">
        <v>244</v>
      </c>
      <c r="C722" s="1094"/>
      <c r="D722" s="1094">
        <v>100</v>
      </c>
      <c r="E722" s="1095" t="s">
        <v>2124</v>
      </c>
      <c r="F722" s="711" t="s">
        <v>2385</v>
      </c>
      <c r="G722" s="1096">
        <v>2012</v>
      </c>
      <c r="H722" s="158">
        <v>22776621</v>
      </c>
      <c r="I722" s="158">
        <v>1</v>
      </c>
      <c r="J722" s="158">
        <v>1</v>
      </c>
      <c r="K722" s="158"/>
      <c r="L722" s="158">
        <v>1</v>
      </c>
      <c r="M722" s="158"/>
      <c r="N722" s="158">
        <v>1</v>
      </c>
      <c r="O722" s="158">
        <v>2</v>
      </c>
      <c r="P722" s="158" t="s">
        <v>1607</v>
      </c>
      <c r="Q722" s="158" t="s">
        <v>1216</v>
      </c>
      <c r="R722" s="158" t="s">
        <v>1130</v>
      </c>
      <c r="S722" s="158"/>
      <c r="T722" s="158" t="s">
        <v>1541</v>
      </c>
      <c r="U722" s="158" t="s">
        <v>1539</v>
      </c>
      <c r="V722" s="158"/>
      <c r="W722" s="158" t="s">
        <v>1689</v>
      </c>
      <c r="X722" s="158"/>
      <c r="Y722" s="158" t="s">
        <v>1606</v>
      </c>
      <c r="Z722" s="158"/>
      <c r="AA722" s="158"/>
      <c r="AB722" s="158"/>
      <c r="AC722" s="800" t="s">
        <v>6308</v>
      </c>
      <c r="AD722" s="800">
        <v>1</v>
      </c>
      <c r="AE722" s="800">
        <v>1</v>
      </c>
      <c r="AF722" s="743">
        <v>0</v>
      </c>
      <c r="AG722" s="744" t="s">
        <v>7687</v>
      </c>
      <c r="AH722" s="734" t="s">
        <v>7677</v>
      </c>
      <c r="AI722" s="734">
        <v>4</v>
      </c>
      <c r="AJ722" s="734"/>
      <c r="AK722" s="739" t="s">
        <v>7096</v>
      </c>
      <c r="AL722" s="372" t="s">
        <v>7090</v>
      </c>
      <c r="AM722" s="724">
        <v>0</v>
      </c>
      <c r="AN722" s="734">
        <v>36</v>
      </c>
      <c r="AO722" s="734">
        <f>2*Table66[[#This Row],[Data_Subjects_n_control]]</f>
        <v>24</v>
      </c>
      <c r="AP722" s="734">
        <f>Table66[[#This Row],[Data_Subjects_n]]/3</f>
        <v>12</v>
      </c>
      <c r="AQ722" s="734" t="s">
        <v>803</v>
      </c>
      <c r="AR722" s="734" t="s">
        <v>803</v>
      </c>
      <c r="AS722" s="734" t="s">
        <v>7082</v>
      </c>
      <c r="AT722" s="734" t="s">
        <v>24</v>
      </c>
      <c r="AU722" s="734" t="s">
        <v>7082</v>
      </c>
      <c r="AV722" s="734" t="s">
        <v>24</v>
      </c>
      <c r="AW722" s="734" t="s">
        <v>7086</v>
      </c>
      <c r="AX722" s="734">
        <v>1</v>
      </c>
      <c r="AY722" s="734" t="s">
        <v>7643</v>
      </c>
      <c r="AZ722" s="734" t="s">
        <v>1814</v>
      </c>
      <c r="BA722" s="734">
        <v>1</v>
      </c>
      <c r="BB722" s="734" t="s">
        <v>7085</v>
      </c>
      <c r="BC722" s="734" t="s">
        <v>7087</v>
      </c>
      <c r="BD722" s="734" t="s">
        <v>7523</v>
      </c>
      <c r="BE722" s="734"/>
      <c r="BF722" s="734" t="s">
        <v>1130</v>
      </c>
      <c r="BG722" s="734" t="s">
        <v>6653</v>
      </c>
      <c r="BH722" s="372">
        <v>1</v>
      </c>
      <c r="BI722" s="372"/>
      <c r="BJ722" s="735">
        <v>1</v>
      </c>
      <c r="BK722" s="735">
        <v>1</v>
      </c>
      <c r="BL722" s="735"/>
      <c r="BM722" s="735"/>
      <c r="BN722" s="735"/>
      <c r="BO722" s="735"/>
      <c r="BP722" s="735">
        <v>1</v>
      </c>
      <c r="BQ722" s="735"/>
      <c r="BR722" s="735"/>
      <c r="BS722" s="735"/>
      <c r="BT722" s="735"/>
      <c r="BU722" s="735"/>
      <c r="BV722" s="735"/>
      <c r="BW722" s="735" t="s">
        <v>7450</v>
      </c>
      <c r="BX722" s="736" t="s">
        <v>6657</v>
      </c>
      <c r="BY722" s="736" t="s">
        <v>7613</v>
      </c>
      <c r="BZ722" s="736" t="s">
        <v>803</v>
      </c>
      <c r="CA722" s="736">
        <v>1</v>
      </c>
      <c r="CB722" s="736" t="s">
        <v>7556</v>
      </c>
      <c r="CC722" s="736" t="s">
        <v>7380</v>
      </c>
      <c r="CD722" s="734" t="s">
        <v>1876</v>
      </c>
      <c r="CE722" s="734" t="s">
        <v>7089</v>
      </c>
      <c r="CF722" s="734" t="s">
        <v>7590</v>
      </c>
      <c r="CG722" s="734" t="s">
        <v>7101</v>
      </c>
      <c r="CH722" s="734" t="s">
        <v>7310</v>
      </c>
      <c r="CI722" s="734" t="s">
        <v>7083</v>
      </c>
      <c r="CJ722" s="734"/>
      <c r="CK722" s="734" t="s">
        <v>7093</v>
      </c>
      <c r="CL722" s="734" t="s">
        <v>6882</v>
      </c>
      <c r="CM722" s="737" t="s">
        <v>7103</v>
      </c>
      <c r="CN722" s="738" t="s">
        <v>6627</v>
      </c>
      <c r="CO722" s="738"/>
      <c r="CP722" s="738"/>
      <c r="CQ722" s="738"/>
      <c r="CR722" s="738"/>
      <c r="CS722" s="738"/>
      <c r="CT722" s="738"/>
      <c r="CU722" s="738"/>
      <c r="CV722" s="738"/>
      <c r="CW722" s="738"/>
      <c r="CX722" s="813" t="s">
        <v>7094</v>
      </c>
      <c r="CY722" s="734">
        <v>116.589</v>
      </c>
      <c r="CZ722" s="734" t="s">
        <v>24</v>
      </c>
      <c r="DA722" s="734">
        <f>156.998-Table66[[#This Row],[Data_Outcome1_M]]</f>
        <v>40.408999999999992</v>
      </c>
      <c r="DB722" s="813" t="s">
        <v>7092</v>
      </c>
      <c r="DC722" s="734">
        <v>46.035699999999999</v>
      </c>
      <c r="DD722" s="734" t="s">
        <v>24</v>
      </c>
      <c r="DE722" s="734">
        <f>77.0558-Table66[[#This Row],[Data_Outcome2_M]]</f>
        <v>31.020100000000006</v>
      </c>
      <c r="DF722" s="515" t="s">
        <v>24</v>
      </c>
      <c r="DG722" s="513" t="s">
        <v>24</v>
      </c>
      <c r="DH722" s="1271" t="s">
        <v>7095</v>
      </c>
      <c r="DI722" s="778">
        <v>251.80799999999999</v>
      </c>
      <c r="DJ722" s="778" t="s">
        <v>24</v>
      </c>
      <c r="DK722" s="778">
        <f>279.563-Table66[[#This Row],[Data_Outcome3_M]]</f>
        <v>27.754999999999995</v>
      </c>
      <c r="DL722" s="778" t="s">
        <v>24</v>
      </c>
      <c r="DM722" s="778" t="s">
        <v>24</v>
      </c>
      <c r="DN722" s="778" t="s">
        <v>24</v>
      </c>
      <c r="DO722" s="778" t="s">
        <v>24</v>
      </c>
      <c r="DP722" s="737" t="s">
        <v>24</v>
      </c>
      <c r="DQ722" s="372" t="s">
        <v>24</v>
      </c>
      <c r="DR722" s="1182" t="s">
        <v>7100</v>
      </c>
      <c r="DS722" s="956" t="s">
        <v>7098</v>
      </c>
      <c r="DT722" s="1180"/>
      <c r="DU722" s="778"/>
      <c r="DV722" s="778"/>
      <c r="DW722" s="778"/>
      <c r="DX722" s="778"/>
      <c r="DY722" s="778"/>
      <c r="DZ722" s="778"/>
      <c r="EA722" s="778"/>
      <c r="EB722" s="738"/>
      <c r="EC722" s="734"/>
      <c r="ED722" s="778"/>
      <c r="EE722" s="778"/>
      <c r="EF722" s="778"/>
      <c r="EG722" s="778"/>
      <c r="EH722" s="778"/>
      <c r="EI722" s="778"/>
      <c r="EJ722" s="778"/>
      <c r="EK722" s="778"/>
      <c r="EL722" s="738"/>
      <c r="EM722" s="734"/>
      <c r="EN722" s="1181"/>
      <c r="EO722" s="778"/>
      <c r="EP722" s="734"/>
      <c r="EQ722" s="734"/>
      <c r="ER722" s="734"/>
      <c r="ES722" s="734"/>
      <c r="ET722" s="734"/>
      <c r="EU722" s="778"/>
      <c r="EV722" s="778"/>
      <c r="EW722" s="778"/>
      <c r="EX722" s="734"/>
      <c r="EY722" s="734"/>
      <c r="EZ722" s="1180"/>
      <c r="FA722" s="778"/>
      <c r="FB722" s="778"/>
      <c r="FC722" s="778"/>
      <c r="FD722" s="1180"/>
      <c r="FE722" s="778"/>
      <c r="FF722" s="778"/>
      <c r="FG722" s="778"/>
      <c r="FH722" s="778"/>
      <c r="FI722" s="778"/>
      <c r="FJ722" s="778"/>
    </row>
    <row r="723" spans="1:166" ht="18" hidden="1" customHeight="1">
      <c r="A723" s="158" t="s">
        <v>961</v>
      </c>
      <c r="B723" s="1094">
        <v>244</v>
      </c>
      <c r="C723" s="1094"/>
      <c r="D723" s="1094">
        <v>100</v>
      </c>
      <c r="E723" s="1095" t="s">
        <v>2124</v>
      </c>
      <c r="F723" s="711" t="s">
        <v>2385</v>
      </c>
      <c r="G723" s="1096">
        <v>2012</v>
      </c>
      <c r="H723" s="158">
        <v>22776621</v>
      </c>
      <c r="I723" s="158">
        <v>1</v>
      </c>
      <c r="J723" s="158">
        <v>1</v>
      </c>
      <c r="K723" s="158"/>
      <c r="L723" s="158">
        <v>1</v>
      </c>
      <c r="M723" s="158"/>
      <c r="N723" s="158">
        <v>1</v>
      </c>
      <c r="O723" s="158">
        <v>2</v>
      </c>
      <c r="P723" s="158" t="s">
        <v>1607</v>
      </c>
      <c r="Q723" s="158" t="s">
        <v>1216</v>
      </c>
      <c r="R723" s="158" t="s">
        <v>1130</v>
      </c>
      <c r="S723" s="158"/>
      <c r="T723" s="158" t="s">
        <v>1541</v>
      </c>
      <c r="U723" s="158" t="s">
        <v>1539</v>
      </c>
      <c r="V723" s="158"/>
      <c r="W723" s="158" t="s">
        <v>1689</v>
      </c>
      <c r="X723" s="158"/>
      <c r="Y723" s="158" t="s">
        <v>1606</v>
      </c>
      <c r="Z723" s="158"/>
      <c r="AA723" s="158"/>
      <c r="AB723" s="158"/>
      <c r="AC723" s="800" t="s">
        <v>6308</v>
      </c>
      <c r="AD723" s="800">
        <v>1</v>
      </c>
      <c r="AE723" s="800">
        <v>1</v>
      </c>
      <c r="AF723" s="743">
        <v>0</v>
      </c>
      <c r="AG723" s="744" t="s">
        <v>7687</v>
      </c>
      <c r="AH723" s="734" t="s">
        <v>7677</v>
      </c>
      <c r="AI723" s="734">
        <v>4</v>
      </c>
      <c r="AJ723" s="734"/>
      <c r="AK723" s="739" t="s">
        <v>7097</v>
      </c>
      <c r="AL723" s="372" t="s">
        <v>7091</v>
      </c>
      <c r="AM723" s="724">
        <v>0</v>
      </c>
      <c r="AN723" s="734">
        <v>36</v>
      </c>
      <c r="AO723" s="734">
        <f>2*Table66[[#This Row],[Data_Subjects_n_control]]</f>
        <v>24</v>
      </c>
      <c r="AP723" s="734">
        <f>Table66[[#This Row],[Data_Subjects_n]]/3</f>
        <v>12</v>
      </c>
      <c r="AQ723" s="734" t="s">
        <v>1878</v>
      </c>
      <c r="AR723" s="734" t="s">
        <v>1878</v>
      </c>
      <c r="AS723" s="734" t="s">
        <v>7082</v>
      </c>
      <c r="AT723" s="734" t="s">
        <v>24</v>
      </c>
      <c r="AU723" s="734" t="s">
        <v>7082</v>
      </c>
      <c r="AV723" s="734" t="s">
        <v>24</v>
      </c>
      <c r="AW723" s="734" t="s">
        <v>7086</v>
      </c>
      <c r="AX723" s="734">
        <v>1</v>
      </c>
      <c r="AY723" s="734" t="s">
        <v>7643</v>
      </c>
      <c r="AZ723" s="734" t="s">
        <v>1814</v>
      </c>
      <c r="BA723" s="734">
        <v>1</v>
      </c>
      <c r="BB723" s="734" t="s">
        <v>7085</v>
      </c>
      <c r="BC723" s="734" t="s">
        <v>7087</v>
      </c>
      <c r="BD723" s="734" t="s">
        <v>7523</v>
      </c>
      <c r="BE723" s="734"/>
      <c r="BF723" s="734" t="s">
        <v>1130</v>
      </c>
      <c r="BG723" s="734" t="s">
        <v>6653</v>
      </c>
      <c r="BH723" s="372">
        <v>1</v>
      </c>
      <c r="BI723" s="372"/>
      <c r="BJ723" s="735">
        <v>1</v>
      </c>
      <c r="BK723" s="735">
        <v>1</v>
      </c>
      <c r="BL723" s="735"/>
      <c r="BM723" s="735"/>
      <c r="BN723" s="735"/>
      <c r="BO723" s="735"/>
      <c r="BP723" s="735">
        <v>1</v>
      </c>
      <c r="BQ723" s="735"/>
      <c r="BR723" s="735"/>
      <c r="BS723" s="735"/>
      <c r="BT723" s="735"/>
      <c r="BU723" s="735"/>
      <c r="BV723" s="735"/>
      <c r="BW723" s="735" t="s">
        <v>7358</v>
      </c>
      <c r="BX723" s="736" t="s">
        <v>6657</v>
      </c>
      <c r="BY723" s="736" t="s">
        <v>7613</v>
      </c>
      <c r="BZ723" s="736" t="s">
        <v>803</v>
      </c>
      <c r="CA723" s="735">
        <v>1</v>
      </c>
      <c r="CB723" s="735" t="s">
        <v>7556</v>
      </c>
      <c r="CC723" s="735" t="s">
        <v>7380</v>
      </c>
      <c r="CD723" s="734" t="s">
        <v>1876</v>
      </c>
      <c r="CE723" s="734" t="s">
        <v>7089</v>
      </c>
      <c r="CF723" s="734" t="s">
        <v>7590</v>
      </c>
      <c r="CG723" s="734" t="s">
        <v>7101</v>
      </c>
      <c r="CH723" s="734" t="s">
        <v>7310</v>
      </c>
      <c r="CI723" s="734" t="s">
        <v>7083</v>
      </c>
      <c r="CJ723" s="734"/>
      <c r="CK723" s="734" t="s">
        <v>7093</v>
      </c>
      <c r="CL723" s="734" t="s">
        <v>6882</v>
      </c>
      <c r="CM723" s="737" t="s">
        <v>7103</v>
      </c>
      <c r="CN723" s="738" t="s">
        <v>6627</v>
      </c>
      <c r="CO723" s="738"/>
      <c r="CP723" s="738"/>
      <c r="CQ723" s="738"/>
      <c r="CR723" s="738"/>
      <c r="CS723" s="738"/>
      <c r="CT723" s="738"/>
      <c r="CU723" s="738"/>
      <c r="CV723" s="738"/>
      <c r="CW723" s="738"/>
      <c r="CX723" s="813" t="s">
        <v>7094</v>
      </c>
      <c r="CY723" s="734">
        <v>11.051299999999999</v>
      </c>
      <c r="CZ723" s="734" t="s">
        <v>24</v>
      </c>
      <c r="DA723" s="734">
        <f>17.9901-Table66[[#This Row],[Data_Outcome1_M]]</f>
        <v>6.9388000000000023</v>
      </c>
      <c r="DB723" s="813" t="s">
        <v>7092</v>
      </c>
      <c r="DC723" s="734">
        <v>5.8028300000000002</v>
      </c>
      <c r="DD723" s="734" t="s">
        <v>24</v>
      </c>
      <c r="DE723" s="734">
        <f>11.1093-Table66[[#This Row],[Data_Outcome2_M]]</f>
        <v>5.3064699999999991</v>
      </c>
      <c r="DF723" s="515" t="s">
        <v>24</v>
      </c>
      <c r="DG723" s="513" t="s">
        <v>24</v>
      </c>
      <c r="DH723" s="1271" t="s">
        <v>7095</v>
      </c>
      <c r="DI723" s="778">
        <v>247.08600000000001</v>
      </c>
      <c r="DJ723" s="778" t="s">
        <v>24</v>
      </c>
      <c r="DK723" s="778">
        <f>260.555-Table66[[#This Row],[Data_Outcome3_M]]</f>
        <v>13.468999999999994</v>
      </c>
      <c r="DL723" s="778" t="s">
        <v>24</v>
      </c>
      <c r="DM723" s="778" t="s">
        <v>24</v>
      </c>
      <c r="DN723" s="778" t="s">
        <v>24</v>
      </c>
      <c r="DO723" s="778" t="s">
        <v>24</v>
      </c>
      <c r="DP723" s="737" t="s">
        <v>24</v>
      </c>
      <c r="DQ723" s="372" t="s">
        <v>24</v>
      </c>
      <c r="DR723" s="1182" t="s">
        <v>7100</v>
      </c>
      <c r="DS723" s="956" t="s">
        <v>7099</v>
      </c>
      <c r="DT723" s="1180"/>
      <c r="DU723" s="778"/>
      <c r="DV723" s="778"/>
      <c r="DW723" s="778"/>
      <c r="DX723" s="778"/>
      <c r="DY723" s="778"/>
      <c r="DZ723" s="778"/>
      <c r="EA723" s="778"/>
      <c r="EB723" s="738"/>
      <c r="EC723" s="734"/>
      <c r="ED723" s="778"/>
      <c r="EE723" s="778"/>
      <c r="EF723" s="778"/>
      <c r="EG723" s="778"/>
      <c r="EH723" s="778"/>
      <c r="EI723" s="778"/>
      <c r="EJ723" s="778"/>
      <c r="EK723" s="778"/>
      <c r="EL723" s="738"/>
      <c r="EM723" s="734"/>
      <c r="EN723" s="1181"/>
      <c r="EO723" s="778"/>
      <c r="EP723" s="734"/>
      <c r="EQ723" s="734"/>
      <c r="ER723" s="734"/>
      <c r="ES723" s="734"/>
      <c r="ET723" s="734"/>
      <c r="EU723" s="778"/>
      <c r="EV723" s="778"/>
      <c r="EW723" s="778"/>
      <c r="EX723" s="734"/>
      <c r="EY723" s="734"/>
      <c r="EZ723" s="1180"/>
      <c r="FA723" s="778"/>
      <c r="FB723" s="778"/>
      <c r="FC723" s="778"/>
      <c r="FD723" s="1180"/>
      <c r="FE723" s="778"/>
      <c r="FF723" s="778"/>
      <c r="FG723" s="778"/>
      <c r="FH723" s="778"/>
      <c r="FI723" s="778"/>
      <c r="FJ723" s="778"/>
    </row>
    <row r="724" spans="1:166" s="1403" customFormat="1" ht="18" hidden="1" customHeight="1">
      <c r="A724" s="1363" t="s">
        <v>960</v>
      </c>
      <c r="B724" s="1364">
        <v>245</v>
      </c>
      <c r="C724" s="1364"/>
      <c r="D724" s="1364">
        <v>101</v>
      </c>
      <c r="E724" s="1365" t="s">
        <v>2125</v>
      </c>
      <c r="F724" s="1366" t="s">
        <v>2386</v>
      </c>
      <c r="G724" s="1367">
        <v>2007</v>
      </c>
      <c r="H724" s="1363">
        <v>17254618</v>
      </c>
      <c r="I724" s="1363">
        <v>1</v>
      </c>
      <c r="J724" s="1363">
        <v>1</v>
      </c>
      <c r="K724" s="1363"/>
      <c r="L724" s="1363">
        <v>1</v>
      </c>
      <c r="M724" s="1363"/>
      <c r="N724" s="1363">
        <v>1</v>
      </c>
      <c r="O724" s="1369">
        <v>2</v>
      </c>
      <c r="P724" s="1363" t="s">
        <v>1609</v>
      </c>
      <c r="Q724" s="1363" t="s">
        <v>1216</v>
      </c>
      <c r="R724" s="1363" t="s">
        <v>1608</v>
      </c>
      <c r="S724" s="1363"/>
      <c r="T724" s="1363" t="s">
        <v>1498</v>
      </c>
      <c r="U724" s="1363" t="s">
        <v>803</v>
      </c>
      <c r="V724" s="1363"/>
      <c r="W724" s="1363" t="s">
        <v>1682</v>
      </c>
      <c r="X724" s="1363"/>
      <c r="Y724" s="1363"/>
      <c r="Z724" s="1363"/>
      <c r="AA724" s="1363"/>
      <c r="AB724" s="1363"/>
      <c r="AC724" s="1370" t="s">
        <v>6309</v>
      </c>
      <c r="AD724" s="1371">
        <v>1</v>
      </c>
      <c r="AE724" s="1371">
        <v>1</v>
      </c>
      <c r="AF724" s="1372">
        <v>1</v>
      </c>
      <c r="AG724" s="1373" t="s">
        <v>7292</v>
      </c>
      <c r="AH724" s="1374">
        <v>0</v>
      </c>
      <c r="AI724" s="1370">
        <v>4</v>
      </c>
      <c r="AJ724" s="1375"/>
      <c r="AK724" s="1376" t="s">
        <v>7107</v>
      </c>
      <c r="AL724" s="1377" t="s">
        <v>7111</v>
      </c>
      <c r="AM724" s="1378">
        <v>0</v>
      </c>
      <c r="AN724" s="1370">
        <f>Table66[[#This Row],[Data_Subjects_n_ptsd]]+Table66[[#This Row],[Data_Subjects_n_control]]</f>
        <v>31</v>
      </c>
      <c r="AO724" s="1370">
        <v>15</v>
      </c>
      <c r="AP724" s="1370">
        <v>16</v>
      </c>
      <c r="AQ724" s="1370" t="s">
        <v>803</v>
      </c>
      <c r="AR724" s="1370" t="s">
        <v>803</v>
      </c>
      <c r="AS724" s="1370" t="s">
        <v>7104</v>
      </c>
      <c r="AT724" s="1370" t="s">
        <v>24</v>
      </c>
      <c r="AU724" s="1370" t="s">
        <v>7104</v>
      </c>
      <c r="AV724" s="1370" t="s">
        <v>24</v>
      </c>
      <c r="AW724" s="1370" t="s">
        <v>7108</v>
      </c>
      <c r="AX724" s="122">
        <v>60</v>
      </c>
      <c r="AY724" s="122">
        <v>0.8</v>
      </c>
      <c r="AZ724" s="754" t="s">
        <v>1814</v>
      </c>
      <c r="BA724" s="122">
        <v>1</v>
      </c>
      <c r="BB724" s="122">
        <v>1</v>
      </c>
      <c r="BC724" s="1370" t="s">
        <v>7109</v>
      </c>
      <c r="BD724" s="1385" t="s">
        <v>7523</v>
      </c>
      <c r="BE724" s="1385"/>
      <c r="BF724" s="1370" t="s">
        <v>7117</v>
      </c>
      <c r="BG724" s="1370" t="s">
        <v>6653</v>
      </c>
      <c r="BH724" s="588"/>
      <c r="BI724" s="588"/>
      <c r="BJ724" s="161">
        <v>1</v>
      </c>
      <c r="BK724" s="161">
        <v>1</v>
      </c>
      <c r="BL724" s="161"/>
      <c r="BM724" s="161"/>
      <c r="BN724" s="161"/>
      <c r="BO724" s="161"/>
      <c r="BP724" s="161">
        <v>1</v>
      </c>
      <c r="BQ724" s="161"/>
      <c r="BR724" s="161"/>
      <c r="BS724" s="161"/>
      <c r="BT724" s="161"/>
      <c r="BU724" s="161"/>
      <c r="BV724" s="161"/>
      <c r="BW724" s="596" t="s">
        <v>7056</v>
      </c>
      <c r="BX724" s="162" t="s">
        <v>6596</v>
      </c>
      <c r="BY724" s="797" t="s">
        <v>7615</v>
      </c>
      <c r="BZ724" s="790" t="s">
        <v>7610</v>
      </c>
      <c r="CA724" s="766">
        <v>2</v>
      </c>
      <c r="CB724" s="766" t="s">
        <v>7556</v>
      </c>
      <c r="CC724" s="766" t="s">
        <v>8243</v>
      </c>
      <c r="CD724" s="150" t="s">
        <v>1876</v>
      </c>
      <c r="CE724" s="150" t="s">
        <v>7106</v>
      </c>
      <c r="CF724" s="400" t="s">
        <v>7581</v>
      </c>
      <c r="CG724" s="1425" t="s">
        <v>7110</v>
      </c>
      <c r="CH724" s="1425" t="s">
        <v>7309</v>
      </c>
      <c r="CI724" s="150" t="s">
        <v>7105</v>
      </c>
      <c r="CJ724" s="150"/>
      <c r="CK724" s="1425" t="s">
        <v>7120</v>
      </c>
      <c r="CL724" s="400" t="s">
        <v>8241</v>
      </c>
      <c r="CM724" s="1426" t="s">
        <v>7133</v>
      </c>
      <c r="CN724" s="1427" t="s">
        <v>6627</v>
      </c>
      <c r="CO724" s="1428">
        <v>82</v>
      </c>
      <c r="CP724" s="1428">
        <v>1</v>
      </c>
      <c r="CQ724" s="1428">
        <v>1</v>
      </c>
      <c r="CR724" s="1428">
        <v>1</v>
      </c>
      <c r="CS724" s="1428">
        <v>1</v>
      </c>
      <c r="CT724" s="1429"/>
      <c r="CU724" s="1390" t="s">
        <v>8104</v>
      </c>
      <c r="CV724" s="1391">
        <v>131</v>
      </c>
      <c r="CW724" s="1391">
        <v>120</v>
      </c>
      <c r="CX724" s="1392" t="s">
        <v>7030</v>
      </c>
      <c r="CY724" s="1385">
        <v>50.637</v>
      </c>
      <c r="CZ724" s="1385" t="s">
        <v>24</v>
      </c>
      <c r="DA724" s="1385">
        <f>52.8046-Table66[[#This Row],[Data_Outcome1_M]]</f>
        <v>2.1676000000000002</v>
      </c>
      <c r="DB724" s="1392" t="s">
        <v>7031</v>
      </c>
      <c r="DC724" s="1385">
        <v>38.956600000000002</v>
      </c>
      <c r="DD724" s="1385" t="s">
        <v>24</v>
      </c>
      <c r="DE724" s="1385">
        <f>40.5821-Table66[[#This Row],[Data_Outcome2_M]]</f>
        <v>1.6254999999999953</v>
      </c>
      <c r="DF724" s="1394" t="s">
        <v>7128</v>
      </c>
      <c r="DG724" s="1430" t="s">
        <v>7125</v>
      </c>
      <c r="DH724" s="1397"/>
      <c r="DI724" s="1397"/>
      <c r="DJ724" s="1397"/>
      <c r="DK724" s="1397"/>
      <c r="DL724" s="1397"/>
      <c r="DM724" s="1397"/>
      <c r="DN724" s="1397"/>
      <c r="DO724" s="1397"/>
      <c r="DP724" s="1394"/>
      <c r="DQ724" s="1395"/>
      <c r="DR724" s="1398"/>
      <c r="DS724" s="1399"/>
      <c r="DT724" s="1396"/>
      <c r="DU724" s="1397"/>
      <c r="DV724" s="1397"/>
      <c r="DW724" s="1397"/>
      <c r="DX724" s="1397"/>
      <c r="DY724" s="1397"/>
      <c r="DZ724" s="1397"/>
      <c r="EA724" s="1397"/>
      <c r="EB724" s="1400"/>
      <c r="EC724" s="1401"/>
      <c r="ED724" s="1397"/>
      <c r="EE724" s="1397"/>
      <c r="EF724" s="1397"/>
      <c r="EG724" s="1397"/>
      <c r="EH724" s="1397"/>
      <c r="EI724" s="1397"/>
      <c r="EJ724" s="1397"/>
      <c r="EK724" s="1397"/>
      <c r="EL724" s="1400"/>
      <c r="EM724" s="1401"/>
      <c r="EN724" s="1398"/>
      <c r="EO724" s="1402"/>
      <c r="EP724" s="1397"/>
      <c r="EQ724" s="1397"/>
      <c r="ER724" s="1397"/>
      <c r="ES724" s="1397"/>
      <c r="ET724" s="1396"/>
      <c r="EU724" s="1397"/>
      <c r="EV724" s="1397"/>
      <c r="EW724" s="1397"/>
      <c r="EX724" s="1401"/>
      <c r="EY724" s="1401"/>
      <c r="EZ724" s="1396"/>
      <c r="FA724" s="1397"/>
      <c r="FB724" s="1397"/>
      <c r="FC724" s="1397"/>
      <c r="FD724" s="1396"/>
      <c r="FE724" s="1397"/>
      <c r="FF724" s="1397"/>
      <c r="FG724" s="1397"/>
      <c r="FH724" s="1401"/>
      <c r="FI724" s="1401"/>
      <c r="FJ724" s="1402"/>
    </row>
    <row r="725" spans="1:166" ht="18" hidden="1" customHeight="1">
      <c r="A725" s="158" t="s">
        <v>960</v>
      </c>
      <c r="B725" s="1094">
        <v>245</v>
      </c>
      <c r="C725" s="1094"/>
      <c r="D725" s="1094">
        <v>101</v>
      </c>
      <c r="E725" s="1095" t="s">
        <v>2125</v>
      </c>
      <c r="F725" s="711" t="s">
        <v>2386</v>
      </c>
      <c r="G725" s="1096">
        <v>2007</v>
      </c>
      <c r="H725" s="158">
        <v>17254618</v>
      </c>
      <c r="I725" s="158">
        <v>1</v>
      </c>
      <c r="J725" s="158">
        <v>1</v>
      </c>
      <c r="K725" s="158"/>
      <c r="L725" s="158">
        <v>1</v>
      </c>
      <c r="M725" s="158"/>
      <c r="N725" s="158">
        <v>1</v>
      </c>
      <c r="O725" s="158">
        <v>2</v>
      </c>
      <c r="P725" s="158" t="s">
        <v>1609</v>
      </c>
      <c r="Q725" s="158" t="s">
        <v>1216</v>
      </c>
      <c r="R725" s="158" t="s">
        <v>1608</v>
      </c>
      <c r="S725" s="158"/>
      <c r="T725" s="158" t="s">
        <v>1498</v>
      </c>
      <c r="U725" s="158" t="s">
        <v>803</v>
      </c>
      <c r="V725" s="158"/>
      <c r="W725" s="158" t="s">
        <v>1682</v>
      </c>
      <c r="X725" s="158"/>
      <c r="Y725" s="158"/>
      <c r="Z725" s="158"/>
      <c r="AA725" s="158"/>
      <c r="AB725" s="158"/>
      <c r="AC725" s="800" t="s">
        <v>6309</v>
      </c>
      <c r="AD725" s="800">
        <v>1</v>
      </c>
      <c r="AE725" s="800">
        <v>1</v>
      </c>
      <c r="AF725" s="743">
        <v>0</v>
      </c>
      <c r="AG725" s="744" t="s">
        <v>8070</v>
      </c>
      <c r="AH725" s="734">
        <v>0</v>
      </c>
      <c r="AI725" s="734">
        <v>4</v>
      </c>
      <c r="AJ725" s="734"/>
      <c r="AK725" s="739" t="s">
        <v>7107</v>
      </c>
      <c r="AL725" s="372" t="s">
        <v>7111</v>
      </c>
      <c r="AM725" s="724">
        <v>0</v>
      </c>
      <c r="AN725" s="734">
        <f>Table66[[#This Row],[Data_Subjects_n_ptsd]]+Table66[[#This Row],[Data_Subjects_n_control]]</f>
        <v>31</v>
      </c>
      <c r="AO725" s="734">
        <v>15</v>
      </c>
      <c r="AP725" s="734">
        <v>16</v>
      </c>
      <c r="AQ725" s="734" t="s">
        <v>803</v>
      </c>
      <c r="AR725" s="734" t="s">
        <v>803</v>
      </c>
      <c r="AS725" s="734" t="s">
        <v>7104</v>
      </c>
      <c r="AT725" s="734" t="s">
        <v>24</v>
      </c>
      <c r="AU725" s="734" t="s">
        <v>7104</v>
      </c>
      <c r="AV725" s="734" t="s">
        <v>24</v>
      </c>
      <c r="AW725" s="734" t="s">
        <v>7108</v>
      </c>
      <c r="AX725" s="734">
        <v>60</v>
      </c>
      <c r="AY725" s="734">
        <v>0.8</v>
      </c>
      <c r="AZ725" s="755" t="s">
        <v>1814</v>
      </c>
      <c r="BA725" s="734">
        <v>1</v>
      </c>
      <c r="BB725" s="734">
        <v>1</v>
      </c>
      <c r="BC725" s="734" t="s">
        <v>7109</v>
      </c>
      <c r="BD725" s="755" t="s">
        <v>7523</v>
      </c>
      <c r="BE725" s="755"/>
      <c r="BF725" s="734" t="s">
        <v>7117</v>
      </c>
      <c r="BG725" s="734" t="s">
        <v>6653</v>
      </c>
      <c r="BH725" s="372"/>
      <c r="BI725" s="372"/>
      <c r="BJ725" s="735">
        <v>1</v>
      </c>
      <c r="BK725" s="735">
        <v>1</v>
      </c>
      <c r="BL725" s="735"/>
      <c r="BM725" s="735"/>
      <c r="BN725" s="735"/>
      <c r="BO725" s="735"/>
      <c r="BP725" s="735">
        <v>1</v>
      </c>
      <c r="BQ725" s="735"/>
      <c r="BR725" s="735"/>
      <c r="BS725" s="735"/>
      <c r="BT725" s="735"/>
      <c r="BU725" s="735"/>
      <c r="BV725" s="735"/>
      <c r="BW725" s="735" t="s">
        <v>7056</v>
      </c>
      <c r="BX725" s="736" t="s">
        <v>6596</v>
      </c>
      <c r="BY725" s="799" t="s">
        <v>7615</v>
      </c>
      <c r="BZ725" s="736" t="s">
        <v>7610</v>
      </c>
      <c r="CA725" s="735">
        <v>2</v>
      </c>
      <c r="CB725" s="735" t="s">
        <v>7556</v>
      </c>
      <c r="CC725" s="735" t="s">
        <v>7394</v>
      </c>
      <c r="CD725" s="734" t="s">
        <v>1876</v>
      </c>
      <c r="CE725" s="734" t="s">
        <v>7106</v>
      </c>
      <c r="CF725" s="786" t="s">
        <v>7581</v>
      </c>
      <c r="CG725" s="774" t="s">
        <v>7110</v>
      </c>
      <c r="CH725" s="1108" t="s">
        <v>7309</v>
      </c>
      <c r="CI725" s="734" t="s">
        <v>7105</v>
      </c>
      <c r="CJ725" s="734"/>
      <c r="CK725" s="774" t="s">
        <v>7120</v>
      </c>
      <c r="CL725" s="734" t="s">
        <v>7121</v>
      </c>
      <c r="CM725" s="737" t="s">
        <v>7133</v>
      </c>
      <c r="CN725" s="738" t="s">
        <v>6627</v>
      </c>
      <c r="CO725" s="738">
        <v>82</v>
      </c>
      <c r="CP725" s="738">
        <v>1</v>
      </c>
      <c r="CQ725" s="738">
        <v>1</v>
      </c>
      <c r="CR725" s="738">
        <v>1</v>
      </c>
      <c r="CS725" s="738"/>
      <c r="CT725" s="738"/>
      <c r="CU725" s="738"/>
      <c r="CV725" s="738"/>
      <c r="CW725" s="738"/>
      <c r="CX725" s="736" t="s">
        <v>7033</v>
      </c>
      <c r="CY725" s="734">
        <v>28.727900000000002</v>
      </c>
      <c r="CZ725" s="734" t="s">
        <v>24</v>
      </c>
      <c r="DA725" s="734">
        <f>31.7387-Table66[[#This Row],[Data_Outcome1_M]]</f>
        <v>3.0107999999999997</v>
      </c>
      <c r="DB725" s="734" t="s">
        <v>7032</v>
      </c>
      <c r="DC725" s="734">
        <v>40.734999999999999</v>
      </c>
      <c r="DD725" s="734" t="s">
        <v>24</v>
      </c>
      <c r="DE725" s="734">
        <f>42.6705-Table66[[#This Row],[Data_Outcome2_M]]</f>
        <v>1.9354999999999976</v>
      </c>
      <c r="DF725" s="737" t="s">
        <v>7127</v>
      </c>
      <c r="DG725" s="1109" t="s">
        <v>7125</v>
      </c>
      <c r="DH725" s="819"/>
      <c r="DI725" s="742"/>
      <c r="DJ725" s="778"/>
      <c r="DK725" s="742"/>
      <c r="DL725" s="734"/>
      <c r="DM725" s="742"/>
      <c r="DN725" s="778"/>
      <c r="DO725" s="1136"/>
      <c r="DP725" s="737"/>
      <c r="DQ725" s="1138"/>
      <c r="DR725" s="1182"/>
      <c r="DS725" s="956"/>
      <c r="DT725" s="1180"/>
      <c r="DU725" s="742"/>
      <c r="DV725" s="778"/>
      <c r="DW725" s="742"/>
      <c r="DX725" s="778"/>
      <c r="DY725" s="742"/>
      <c r="DZ725" s="778"/>
      <c r="EA725" s="742"/>
      <c r="EB725" s="1181"/>
      <c r="EC725" s="778"/>
      <c r="ED725" s="1180"/>
      <c r="EE725" s="742"/>
      <c r="EF725" s="778"/>
      <c r="EG725" s="742"/>
      <c r="EH725" s="778"/>
      <c r="EI725" s="742"/>
      <c r="EJ725" s="778"/>
      <c r="EK725" s="742"/>
      <c r="EL725" s="1181"/>
      <c r="EM725" s="778"/>
      <c r="EN725" s="1181"/>
      <c r="EO725" s="778"/>
      <c r="EP725" s="778"/>
      <c r="EQ725" s="734"/>
      <c r="ER725" s="778"/>
      <c r="ES725" s="734"/>
      <c r="ET725" s="1180"/>
      <c r="EU725" s="778"/>
      <c r="EV725" s="778"/>
      <c r="EW725" s="778"/>
      <c r="EX725" s="778"/>
      <c r="EY725" s="778"/>
      <c r="EZ725" s="1180"/>
      <c r="FA725" s="778"/>
      <c r="FB725" s="778"/>
      <c r="FC725" s="778"/>
      <c r="FD725" s="1180"/>
      <c r="FE725" s="778"/>
      <c r="FF725" s="778"/>
      <c r="FG725" s="778"/>
      <c r="FH725" s="778"/>
      <c r="FI725" s="778"/>
      <c r="FJ725" s="778"/>
    </row>
    <row r="726" spans="1:166" s="1403" customFormat="1" ht="18" hidden="1" customHeight="1">
      <c r="A726" s="1363" t="s">
        <v>960</v>
      </c>
      <c r="B726" s="1364">
        <v>245</v>
      </c>
      <c r="C726" s="1364"/>
      <c r="D726" s="1364">
        <v>101</v>
      </c>
      <c r="E726" s="1365" t="s">
        <v>2125</v>
      </c>
      <c r="F726" s="1366" t="s">
        <v>2386</v>
      </c>
      <c r="G726" s="1367">
        <v>2007</v>
      </c>
      <c r="H726" s="1363">
        <v>17254618</v>
      </c>
      <c r="I726" s="1363">
        <v>1</v>
      </c>
      <c r="J726" s="1363">
        <v>1</v>
      </c>
      <c r="K726" s="1363"/>
      <c r="L726" s="1363">
        <v>1</v>
      </c>
      <c r="M726" s="1363"/>
      <c r="N726" s="1363">
        <v>1</v>
      </c>
      <c r="O726" s="1369">
        <v>2</v>
      </c>
      <c r="P726" s="1363" t="s">
        <v>1609</v>
      </c>
      <c r="Q726" s="1363" t="s">
        <v>1216</v>
      </c>
      <c r="R726" s="1363" t="s">
        <v>1608</v>
      </c>
      <c r="S726" s="1363"/>
      <c r="T726" s="1363" t="s">
        <v>1498</v>
      </c>
      <c r="U726" s="1363" t="s">
        <v>803</v>
      </c>
      <c r="V726" s="1363"/>
      <c r="W726" s="1363" t="s">
        <v>1682</v>
      </c>
      <c r="X726" s="1363"/>
      <c r="Y726" s="1363"/>
      <c r="Z726" s="1363"/>
      <c r="AA726" s="1363"/>
      <c r="AB726" s="1363"/>
      <c r="AC726" s="1370" t="s">
        <v>6309</v>
      </c>
      <c r="AD726" s="1371">
        <v>1</v>
      </c>
      <c r="AE726" s="1371">
        <v>1</v>
      </c>
      <c r="AF726" s="1372">
        <v>1</v>
      </c>
      <c r="AG726" s="1373" t="s">
        <v>7292</v>
      </c>
      <c r="AH726" s="1374">
        <v>0</v>
      </c>
      <c r="AI726" s="1370">
        <v>4</v>
      </c>
      <c r="AJ726" s="1375"/>
      <c r="AK726" s="1376" t="s">
        <v>7107</v>
      </c>
      <c r="AL726" s="1377" t="s">
        <v>7111</v>
      </c>
      <c r="AM726" s="1378">
        <v>0</v>
      </c>
      <c r="AN726" s="1370">
        <f>Table66[[#This Row],[Data_Subjects_n_ptsd]]+Table66[[#This Row],[Data_Subjects_n_control]]</f>
        <v>31</v>
      </c>
      <c r="AO726" s="1370">
        <v>15</v>
      </c>
      <c r="AP726" s="1370">
        <v>16</v>
      </c>
      <c r="AQ726" s="1370" t="s">
        <v>803</v>
      </c>
      <c r="AR726" s="1370" t="s">
        <v>803</v>
      </c>
      <c r="AS726" s="1370" t="s">
        <v>7104</v>
      </c>
      <c r="AT726" s="1370" t="s">
        <v>24</v>
      </c>
      <c r="AU726" s="1370" t="s">
        <v>7104</v>
      </c>
      <c r="AV726" s="1370" t="s">
        <v>24</v>
      </c>
      <c r="AW726" s="1370" t="s">
        <v>7108</v>
      </c>
      <c r="AX726" s="122">
        <v>60</v>
      </c>
      <c r="AY726" s="122">
        <v>0.8</v>
      </c>
      <c r="AZ726" s="754" t="s">
        <v>1814</v>
      </c>
      <c r="BA726" s="122">
        <v>1</v>
      </c>
      <c r="BB726" s="122">
        <v>1</v>
      </c>
      <c r="BC726" s="1370" t="s">
        <v>7109</v>
      </c>
      <c r="BD726" s="1385" t="s">
        <v>7523</v>
      </c>
      <c r="BE726" s="1385"/>
      <c r="BF726" s="1370" t="s">
        <v>7117</v>
      </c>
      <c r="BG726" s="1370" t="s">
        <v>6653</v>
      </c>
      <c r="BH726" s="588"/>
      <c r="BI726" s="588"/>
      <c r="BJ726" s="161">
        <v>1</v>
      </c>
      <c r="BK726" s="161">
        <v>1</v>
      </c>
      <c r="BL726" s="161"/>
      <c r="BM726" s="161"/>
      <c r="BN726" s="161"/>
      <c r="BO726" s="161"/>
      <c r="BP726" s="161">
        <v>1</v>
      </c>
      <c r="BQ726" s="161"/>
      <c r="BR726" s="161"/>
      <c r="BS726" s="161"/>
      <c r="BT726" s="161"/>
      <c r="BU726" s="161"/>
      <c r="BV726" s="161"/>
      <c r="BW726" s="596" t="s">
        <v>7056</v>
      </c>
      <c r="BX726" s="162" t="s">
        <v>6596</v>
      </c>
      <c r="BY726" s="797" t="s">
        <v>7615</v>
      </c>
      <c r="BZ726" s="790" t="s">
        <v>7610</v>
      </c>
      <c r="CA726" s="766">
        <v>2</v>
      </c>
      <c r="CB726" s="766" t="s">
        <v>7556</v>
      </c>
      <c r="CC726" s="766" t="s">
        <v>8243</v>
      </c>
      <c r="CD726" s="150" t="s">
        <v>1876</v>
      </c>
      <c r="CE726" s="150" t="s">
        <v>7106</v>
      </c>
      <c r="CF726" s="400" t="s">
        <v>7581</v>
      </c>
      <c r="CG726" s="1425" t="s">
        <v>7110</v>
      </c>
      <c r="CH726" s="1425" t="s">
        <v>7309</v>
      </c>
      <c r="CI726" s="150" t="s">
        <v>7105</v>
      </c>
      <c r="CJ726" s="150"/>
      <c r="CK726" s="1425" t="s">
        <v>7120</v>
      </c>
      <c r="CL726" s="400" t="s">
        <v>8232</v>
      </c>
      <c r="CM726" s="1426" t="s">
        <v>7133</v>
      </c>
      <c r="CN726" s="1427" t="s">
        <v>6627</v>
      </c>
      <c r="CO726" s="1428">
        <v>82</v>
      </c>
      <c r="CP726" s="1428">
        <v>1</v>
      </c>
      <c r="CQ726" s="1428">
        <v>2</v>
      </c>
      <c r="CR726" s="1428">
        <v>1</v>
      </c>
      <c r="CS726" s="1428">
        <v>-1</v>
      </c>
      <c r="CT726" s="1429"/>
      <c r="CU726" s="1390" t="s">
        <v>8104</v>
      </c>
      <c r="CV726" s="1391">
        <v>131</v>
      </c>
      <c r="CW726" s="1391">
        <v>120</v>
      </c>
      <c r="CX726" s="1392" t="s">
        <v>7034</v>
      </c>
      <c r="CY726" s="1385">
        <v>0.80439700000000003</v>
      </c>
      <c r="CZ726" s="1385" t="s">
        <v>24</v>
      </c>
      <c r="DA726" s="1385">
        <f>1.36617-Table66[[#This Row],[Data_Outcome1_M]]</f>
        <v>0.56177300000000008</v>
      </c>
      <c r="DB726" s="1393" t="s">
        <v>7035</v>
      </c>
      <c r="DC726" s="1385">
        <v>0</v>
      </c>
      <c r="DD726" s="1393" t="s">
        <v>24</v>
      </c>
      <c r="DE726" s="1385">
        <v>0</v>
      </c>
      <c r="DF726" s="1431" t="s">
        <v>8096</v>
      </c>
      <c r="DG726" s="1432" t="s">
        <v>7125</v>
      </c>
      <c r="DH726" s="1396"/>
      <c r="DI726" s="1370"/>
      <c r="DJ726" s="1397"/>
      <c r="DK726" s="1370"/>
      <c r="DL726" s="1397"/>
      <c r="DM726" s="1397"/>
      <c r="DN726" s="1397"/>
      <c r="DO726" s="1397"/>
      <c r="DP726" s="1394"/>
      <c r="DQ726" s="1430"/>
      <c r="DR726" s="1398"/>
      <c r="DS726" s="1399"/>
      <c r="DT726" s="1396"/>
      <c r="DU726" s="1370"/>
      <c r="DV726" s="1397"/>
      <c r="DW726" s="1370"/>
      <c r="DX726" s="1397"/>
      <c r="DY726" s="1397"/>
      <c r="DZ726" s="1397"/>
      <c r="EA726" s="1397"/>
      <c r="EB726" s="1400"/>
      <c r="EC726" s="1401"/>
      <c r="ED726" s="1396"/>
      <c r="EE726" s="1370"/>
      <c r="EF726" s="1397"/>
      <c r="EG726" s="1370"/>
      <c r="EH726" s="1397"/>
      <c r="EI726" s="1397"/>
      <c r="EJ726" s="1397"/>
      <c r="EK726" s="1397"/>
      <c r="EL726" s="1400"/>
      <c r="EM726" s="1401"/>
      <c r="EN726" s="1398"/>
      <c r="EO726" s="1402"/>
      <c r="EP726" s="1397"/>
      <c r="EQ726" s="1370"/>
      <c r="ER726" s="1397"/>
      <c r="ES726" s="1370"/>
      <c r="ET726" s="1396"/>
      <c r="EU726" s="1397"/>
      <c r="EV726" s="1397"/>
      <c r="EW726" s="1397"/>
      <c r="EX726" s="1401"/>
      <c r="EY726" s="1401"/>
      <c r="EZ726" s="1396"/>
      <c r="FA726" s="1397"/>
      <c r="FB726" s="1397"/>
      <c r="FC726" s="1397"/>
      <c r="FD726" s="1396"/>
      <c r="FE726" s="1397"/>
      <c r="FF726" s="1397"/>
      <c r="FG726" s="1397"/>
      <c r="FH726" s="1401"/>
      <c r="FI726" s="1401"/>
      <c r="FJ726" s="1402"/>
    </row>
    <row r="727" spans="1:166" s="1403" customFormat="1" ht="18" hidden="1" customHeight="1">
      <c r="A727" s="1363" t="s">
        <v>960</v>
      </c>
      <c r="B727" s="1364">
        <v>245</v>
      </c>
      <c r="C727" s="1364"/>
      <c r="D727" s="1364">
        <v>101</v>
      </c>
      <c r="E727" s="1365" t="s">
        <v>2125</v>
      </c>
      <c r="F727" s="1366" t="s">
        <v>2386</v>
      </c>
      <c r="G727" s="1367">
        <v>2007</v>
      </c>
      <c r="H727" s="1363">
        <v>17254618</v>
      </c>
      <c r="I727" s="1363">
        <v>1</v>
      </c>
      <c r="J727" s="1363">
        <v>1</v>
      </c>
      <c r="K727" s="1363"/>
      <c r="L727" s="1363">
        <v>1</v>
      </c>
      <c r="M727" s="1363"/>
      <c r="N727" s="1363">
        <v>1</v>
      </c>
      <c r="O727" s="1369">
        <v>2</v>
      </c>
      <c r="P727" s="1363" t="s">
        <v>1609</v>
      </c>
      <c r="Q727" s="1363" t="s">
        <v>1216</v>
      </c>
      <c r="R727" s="1363" t="s">
        <v>1608</v>
      </c>
      <c r="S727" s="1363"/>
      <c r="T727" s="1363" t="s">
        <v>1498</v>
      </c>
      <c r="U727" s="1363" t="s">
        <v>803</v>
      </c>
      <c r="V727" s="1363"/>
      <c r="W727" s="1363" t="s">
        <v>1682</v>
      </c>
      <c r="X727" s="1363"/>
      <c r="Y727" s="1363"/>
      <c r="Z727" s="1363"/>
      <c r="AA727" s="1363"/>
      <c r="AB727" s="1363"/>
      <c r="AC727" s="1370" t="s">
        <v>6309</v>
      </c>
      <c r="AD727" s="1371">
        <v>1</v>
      </c>
      <c r="AE727" s="1371">
        <v>1</v>
      </c>
      <c r="AF727" s="1372">
        <v>1</v>
      </c>
      <c r="AG727" s="1373" t="s">
        <v>7292</v>
      </c>
      <c r="AH727" s="1374">
        <v>0</v>
      </c>
      <c r="AI727" s="1370">
        <v>4</v>
      </c>
      <c r="AJ727" s="1375"/>
      <c r="AK727" s="1376" t="s">
        <v>7107</v>
      </c>
      <c r="AL727" s="1377" t="s">
        <v>7111</v>
      </c>
      <c r="AM727" s="1378">
        <v>0</v>
      </c>
      <c r="AN727" s="1370">
        <f>Table66[[#This Row],[Data_Subjects_n_ptsd]]+Table66[[#This Row],[Data_Subjects_n_control]]</f>
        <v>31</v>
      </c>
      <c r="AO727" s="1370">
        <v>15</v>
      </c>
      <c r="AP727" s="1370">
        <v>16</v>
      </c>
      <c r="AQ727" s="1370" t="s">
        <v>803</v>
      </c>
      <c r="AR727" s="1370" t="s">
        <v>803</v>
      </c>
      <c r="AS727" s="1370" t="s">
        <v>7104</v>
      </c>
      <c r="AT727" s="1370" t="s">
        <v>24</v>
      </c>
      <c r="AU727" s="1370" t="s">
        <v>7104</v>
      </c>
      <c r="AV727" s="1370" t="s">
        <v>24</v>
      </c>
      <c r="AW727" s="1370" t="s">
        <v>7108</v>
      </c>
      <c r="AX727" s="122">
        <v>60</v>
      </c>
      <c r="AY727" s="122">
        <v>0.8</v>
      </c>
      <c r="AZ727" s="754" t="s">
        <v>1814</v>
      </c>
      <c r="BA727" s="122">
        <v>1</v>
      </c>
      <c r="BB727" s="122">
        <v>1</v>
      </c>
      <c r="BC727" s="1370" t="s">
        <v>7109</v>
      </c>
      <c r="BD727" s="1385" t="s">
        <v>7523</v>
      </c>
      <c r="BE727" s="1385"/>
      <c r="BF727" s="1370" t="s">
        <v>7117</v>
      </c>
      <c r="BG727" s="1370" t="s">
        <v>6653</v>
      </c>
      <c r="BH727" s="588"/>
      <c r="BI727" s="588"/>
      <c r="BJ727" s="161">
        <v>1</v>
      </c>
      <c r="BK727" s="161">
        <v>1</v>
      </c>
      <c r="BL727" s="161"/>
      <c r="BM727" s="161"/>
      <c r="BN727" s="161"/>
      <c r="BO727" s="161"/>
      <c r="BP727" s="161">
        <v>1</v>
      </c>
      <c r="BQ727" s="161"/>
      <c r="BR727" s="161"/>
      <c r="BS727" s="161"/>
      <c r="BT727" s="161"/>
      <c r="BU727" s="161"/>
      <c r="BV727" s="161"/>
      <c r="BW727" s="596" t="s">
        <v>7056</v>
      </c>
      <c r="BX727" s="162" t="s">
        <v>6596</v>
      </c>
      <c r="BY727" s="797" t="s">
        <v>7615</v>
      </c>
      <c r="BZ727" s="790" t="s">
        <v>7610</v>
      </c>
      <c r="CA727" s="766">
        <v>2</v>
      </c>
      <c r="CB727" s="766" t="s">
        <v>7556</v>
      </c>
      <c r="CC727" s="766" t="s">
        <v>8243</v>
      </c>
      <c r="CD727" s="150" t="s">
        <v>1876</v>
      </c>
      <c r="CE727" s="150" t="s">
        <v>7106</v>
      </c>
      <c r="CF727" s="400" t="s">
        <v>7581</v>
      </c>
      <c r="CG727" s="1425" t="s">
        <v>7110</v>
      </c>
      <c r="CH727" s="1425" t="s">
        <v>7309</v>
      </c>
      <c r="CI727" s="150" t="s">
        <v>7105</v>
      </c>
      <c r="CJ727" s="150"/>
      <c r="CK727" s="1425" t="s">
        <v>7120</v>
      </c>
      <c r="CL727" s="1385" t="s">
        <v>8242</v>
      </c>
      <c r="CM727" s="1426" t="s">
        <v>7133</v>
      </c>
      <c r="CN727" s="1427" t="s">
        <v>6627</v>
      </c>
      <c r="CO727" s="1428">
        <v>82</v>
      </c>
      <c r="CP727" s="1428">
        <v>1</v>
      </c>
      <c r="CQ727" s="1428">
        <v>3</v>
      </c>
      <c r="CR727" s="1428">
        <v>1</v>
      </c>
      <c r="CS727" s="1428">
        <v>-1</v>
      </c>
      <c r="CT727" s="1429"/>
      <c r="CU727" s="1390" t="s">
        <v>8104</v>
      </c>
      <c r="CV727" s="1391">
        <v>131</v>
      </c>
      <c r="CW727" s="1391">
        <v>120</v>
      </c>
      <c r="CX727" s="1392" t="s">
        <v>7036</v>
      </c>
      <c r="CY727" s="1385">
        <v>53.1235</v>
      </c>
      <c r="CZ727" s="1385" t="s">
        <v>24</v>
      </c>
      <c r="DA727" s="1385">
        <f>59.1055-Table66[[#This Row],[Data_Outcome1_M]]</f>
        <v>5.9819999999999993</v>
      </c>
      <c r="DB727" s="1393" t="s">
        <v>7045</v>
      </c>
      <c r="DC727" s="1385">
        <v>29.985299999999999</v>
      </c>
      <c r="DD727" s="1385" t="s">
        <v>24</v>
      </c>
      <c r="DE727" s="1385">
        <f>35.2641-Table66[[#This Row],[Data_Outcome2_M]]</f>
        <v>5.2788000000000004</v>
      </c>
      <c r="DF727" s="1433" t="s">
        <v>7124</v>
      </c>
      <c r="DG727" s="1434" t="s">
        <v>7125</v>
      </c>
      <c r="DH727" s="1396"/>
      <c r="DI727" s="1370"/>
      <c r="DJ727" s="1397"/>
      <c r="DK727" s="1370"/>
      <c r="DL727" s="1397"/>
      <c r="DM727" s="1397"/>
      <c r="DN727" s="1397"/>
      <c r="DO727" s="1397"/>
      <c r="DP727" s="1394"/>
      <c r="DQ727" s="1430"/>
      <c r="DR727" s="1398"/>
      <c r="DS727" s="1399"/>
      <c r="DT727" s="1396"/>
      <c r="DU727" s="1370"/>
      <c r="DV727" s="1397"/>
      <c r="DW727" s="1370"/>
      <c r="DX727" s="1397"/>
      <c r="DY727" s="1397"/>
      <c r="DZ727" s="1397"/>
      <c r="EA727" s="1397"/>
      <c r="EB727" s="1400"/>
      <c r="EC727" s="1401"/>
      <c r="ED727" s="1396"/>
      <c r="EE727" s="1370"/>
      <c r="EF727" s="1397"/>
      <c r="EG727" s="1370"/>
      <c r="EH727" s="1397"/>
      <c r="EI727" s="1397"/>
      <c r="EJ727" s="1397"/>
      <c r="EK727" s="1397"/>
      <c r="EL727" s="1400"/>
      <c r="EM727" s="1401"/>
      <c r="EN727" s="1398"/>
      <c r="EO727" s="1402"/>
      <c r="EP727" s="1397"/>
      <c r="EQ727" s="1370"/>
      <c r="ER727" s="1397"/>
      <c r="ES727" s="1370"/>
      <c r="ET727" s="1396"/>
      <c r="EU727" s="1397"/>
      <c r="EV727" s="1397"/>
      <c r="EW727" s="1397"/>
      <c r="EX727" s="1401"/>
      <c r="EY727" s="1401"/>
      <c r="EZ727" s="1396"/>
      <c r="FA727" s="1397"/>
      <c r="FB727" s="1397"/>
      <c r="FC727" s="1397"/>
      <c r="FD727" s="1396"/>
      <c r="FE727" s="1397"/>
      <c r="FF727" s="1397"/>
      <c r="FG727" s="1397"/>
      <c r="FH727" s="1401"/>
      <c r="FI727" s="1401"/>
      <c r="FJ727" s="1402"/>
    </row>
    <row r="728" spans="1:166" ht="18" hidden="1" customHeight="1">
      <c r="A728" s="118" t="s">
        <v>960</v>
      </c>
      <c r="B728" s="616">
        <v>245</v>
      </c>
      <c r="C728" s="616"/>
      <c r="D728" s="616">
        <v>101</v>
      </c>
      <c r="E728" s="605" t="s">
        <v>2125</v>
      </c>
      <c r="F728" s="140" t="s">
        <v>2386</v>
      </c>
      <c r="G728" s="141">
        <v>2007</v>
      </c>
      <c r="H728" s="118">
        <v>17254618</v>
      </c>
      <c r="I728" s="118">
        <v>1</v>
      </c>
      <c r="J728" s="118">
        <v>1</v>
      </c>
      <c r="K728" s="118"/>
      <c r="L728" s="118">
        <v>1</v>
      </c>
      <c r="M728" s="118"/>
      <c r="N728" s="118">
        <v>1</v>
      </c>
      <c r="O728" s="142">
        <v>2</v>
      </c>
      <c r="P728" s="118" t="s">
        <v>1609</v>
      </c>
      <c r="Q728" s="118" t="s">
        <v>1216</v>
      </c>
      <c r="R728" s="118" t="s">
        <v>1608</v>
      </c>
      <c r="S728" s="118"/>
      <c r="T728" s="118" t="s">
        <v>1498</v>
      </c>
      <c r="U728" s="118" t="s">
        <v>803</v>
      </c>
      <c r="V728" s="118"/>
      <c r="W728" s="118" t="s">
        <v>1682</v>
      </c>
      <c r="X728" s="118"/>
      <c r="Y728" s="118"/>
      <c r="Z728" s="118"/>
      <c r="AA728" s="118"/>
      <c r="AB728" s="118"/>
      <c r="AC728" s="145" t="s">
        <v>6309</v>
      </c>
      <c r="AD728" s="653">
        <v>1</v>
      </c>
      <c r="AE728" s="653">
        <v>1</v>
      </c>
      <c r="AF728" s="159">
        <v>1</v>
      </c>
      <c r="AG728" s="160" t="s">
        <v>7292</v>
      </c>
      <c r="AH728" s="732">
        <v>0</v>
      </c>
      <c r="AI728" s="122">
        <v>4</v>
      </c>
      <c r="AJ728" s="485"/>
      <c r="AK728" s="204" t="s">
        <v>7107</v>
      </c>
      <c r="AL728" s="192" t="s">
        <v>7111</v>
      </c>
      <c r="AM728" s="205">
        <v>0</v>
      </c>
      <c r="AN728" s="122">
        <f>Table66[[#This Row],[Data_Subjects_n_ptsd]]+Table66[[#This Row],[Data_Subjects_n_control]]</f>
        <v>32</v>
      </c>
      <c r="AO728" s="122">
        <v>16</v>
      </c>
      <c r="AP728" s="122">
        <v>16</v>
      </c>
      <c r="AQ728" s="122" t="s">
        <v>803</v>
      </c>
      <c r="AR728" s="122" t="s">
        <v>803</v>
      </c>
      <c r="AS728" s="122" t="s">
        <v>7104</v>
      </c>
      <c r="AT728" s="122" t="s">
        <v>24</v>
      </c>
      <c r="AU728" s="122" t="s">
        <v>7104</v>
      </c>
      <c r="AV728" s="122" t="s">
        <v>24</v>
      </c>
      <c r="AW728" s="122" t="s">
        <v>7108</v>
      </c>
      <c r="AX728" s="122">
        <v>60</v>
      </c>
      <c r="AY728" s="122">
        <v>0.8</v>
      </c>
      <c r="AZ728" s="754" t="s">
        <v>1814</v>
      </c>
      <c r="BA728" s="122">
        <v>1</v>
      </c>
      <c r="BB728" s="122">
        <v>1</v>
      </c>
      <c r="BC728" s="122" t="s">
        <v>7109</v>
      </c>
      <c r="BD728" s="753" t="s">
        <v>7523</v>
      </c>
      <c r="BE728" s="753"/>
      <c r="BF728" s="122" t="s">
        <v>1321</v>
      </c>
      <c r="BG728" s="122" t="s">
        <v>6653</v>
      </c>
      <c r="BH728" s="588"/>
      <c r="BI728" s="588"/>
      <c r="BJ728" s="161">
        <v>1</v>
      </c>
      <c r="BK728" s="161">
        <v>1</v>
      </c>
      <c r="BL728" s="161"/>
      <c r="BM728" s="161"/>
      <c r="BN728" s="161"/>
      <c r="BO728" s="161"/>
      <c r="BP728" s="161">
        <v>1</v>
      </c>
      <c r="BQ728" s="161"/>
      <c r="BR728" s="161"/>
      <c r="BS728" s="161"/>
      <c r="BT728" s="161"/>
      <c r="BU728" s="161"/>
      <c r="BV728" s="161"/>
      <c r="BW728" s="596" t="s">
        <v>7056</v>
      </c>
      <c r="BX728" s="162" t="s">
        <v>6596</v>
      </c>
      <c r="BY728" s="797" t="s">
        <v>7615</v>
      </c>
      <c r="BZ728" s="790" t="s">
        <v>7610</v>
      </c>
      <c r="CA728" s="766">
        <v>2</v>
      </c>
      <c r="CB728" s="766" t="s">
        <v>7556</v>
      </c>
      <c r="CC728" s="766" t="s">
        <v>8243</v>
      </c>
      <c r="CD728" s="150" t="s">
        <v>1876</v>
      </c>
      <c r="CE728" s="150" t="s">
        <v>7106</v>
      </c>
      <c r="CF728" s="400" t="s">
        <v>7581</v>
      </c>
      <c r="CG728" s="477" t="s">
        <v>7110</v>
      </c>
      <c r="CH728" s="763" t="s">
        <v>7309</v>
      </c>
      <c r="CI728" s="150" t="s">
        <v>7105</v>
      </c>
      <c r="CJ728" s="150"/>
      <c r="CK728" s="477" t="s">
        <v>7120</v>
      </c>
      <c r="CL728" s="400" t="s">
        <v>8241</v>
      </c>
      <c r="CM728" s="258" t="s">
        <v>7133</v>
      </c>
      <c r="CN728" s="257" t="s">
        <v>6627</v>
      </c>
      <c r="CO728" s="829">
        <v>82</v>
      </c>
      <c r="CP728" s="829">
        <v>2</v>
      </c>
      <c r="CQ728" s="829">
        <v>1</v>
      </c>
      <c r="CR728" s="829">
        <v>1</v>
      </c>
      <c r="CS728" s="829">
        <v>1</v>
      </c>
      <c r="CT728" s="968"/>
      <c r="CU728" s="1289" t="s">
        <v>8104</v>
      </c>
      <c r="CV728" s="1295">
        <v>132</v>
      </c>
      <c r="CW728" s="1295">
        <v>121</v>
      </c>
      <c r="CX728" s="151" t="s">
        <v>7030</v>
      </c>
      <c r="CY728" s="150">
        <v>26.518699999999999</v>
      </c>
      <c r="CZ728" s="228" t="s">
        <v>24</v>
      </c>
      <c r="DA728" s="150">
        <f>29.9875-Table66[[#This Row],[Data_Outcome1_M]]</f>
        <v>3.4688000000000017</v>
      </c>
      <c r="DB728" s="151" t="s">
        <v>7031</v>
      </c>
      <c r="DC728" s="150">
        <v>5.6234099999999998</v>
      </c>
      <c r="DD728" s="150" t="s">
        <v>24</v>
      </c>
      <c r="DE728" s="150">
        <f>6.92421-Table66[[#This Row],[Data_Outcome2_M]]</f>
        <v>1.3008000000000006</v>
      </c>
      <c r="DF728" s="549" t="s">
        <v>7128</v>
      </c>
      <c r="DG728" s="702" t="s">
        <v>7125</v>
      </c>
      <c r="DH728" s="1169"/>
      <c r="DI728" s="1169"/>
      <c r="DJ728" s="1169"/>
      <c r="DK728" s="1169"/>
      <c r="DL728" s="1169"/>
      <c r="DM728" s="1169"/>
      <c r="DN728" s="1169"/>
      <c r="DO728" s="1169"/>
      <c r="DP728" s="288"/>
      <c r="DQ728" s="289"/>
      <c r="DR728" s="1168"/>
      <c r="DS728" s="865"/>
      <c r="DT728" s="1171"/>
      <c r="DU728" s="1169"/>
      <c r="DV728" s="1169"/>
      <c r="DW728" s="1169"/>
      <c r="DX728" s="1169"/>
      <c r="DY728" s="1169"/>
      <c r="DZ728" s="1169"/>
      <c r="EA728" s="1169"/>
      <c r="EB728" s="304"/>
      <c r="EC728" s="312"/>
      <c r="ED728" s="1169"/>
      <c r="EE728" s="1169"/>
      <c r="EF728" s="1169"/>
      <c r="EG728" s="1169"/>
      <c r="EH728" s="1169"/>
      <c r="EI728" s="1169"/>
      <c r="EJ728" s="1169"/>
      <c r="EK728" s="1169"/>
      <c r="EL728" s="304"/>
      <c r="EM728" s="312"/>
      <c r="EN728" s="1167"/>
      <c r="EO728" s="1165"/>
      <c r="EP728" s="1164"/>
      <c r="EQ728" s="1164"/>
      <c r="ER728" s="1164"/>
      <c r="ES728" s="1164"/>
      <c r="ET728" s="1166"/>
      <c r="EU728" s="1164"/>
      <c r="EV728" s="1164"/>
      <c r="EW728" s="1164"/>
      <c r="EX728" s="313"/>
      <c r="EY728" s="313"/>
      <c r="EZ728" s="1166"/>
      <c r="FA728" s="1164"/>
      <c r="FB728" s="1164"/>
      <c r="FC728" s="1164"/>
      <c r="FD728" s="1166"/>
      <c r="FE728" s="1164"/>
      <c r="FF728" s="1164"/>
      <c r="FG728" s="1164"/>
      <c r="FH728" s="313"/>
      <c r="FI728" s="313"/>
      <c r="FJ728" s="1165"/>
    </row>
    <row r="729" spans="1:166" ht="18" hidden="1" customHeight="1">
      <c r="A729" s="158" t="s">
        <v>960</v>
      </c>
      <c r="B729" s="1094">
        <v>245</v>
      </c>
      <c r="C729" s="1094"/>
      <c r="D729" s="1094">
        <v>101</v>
      </c>
      <c r="E729" s="1095" t="s">
        <v>2125</v>
      </c>
      <c r="F729" s="711" t="s">
        <v>2386</v>
      </c>
      <c r="G729" s="1096">
        <v>2007</v>
      </c>
      <c r="H729" s="158">
        <v>17254618</v>
      </c>
      <c r="I729" s="158">
        <v>1</v>
      </c>
      <c r="J729" s="158">
        <v>1</v>
      </c>
      <c r="K729" s="158"/>
      <c r="L729" s="158">
        <v>1</v>
      </c>
      <c r="M729" s="158"/>
      <c r="N729" s="158">
        <v>1</v>
      </c>
      <c r="O729" s="158">
        <v>2</v>
      </c>
      <c r="P729" s="158" t="s">
        <v>1609</v>
      </c>
      <c r="Q729" s="158" t="s">
        <v>1216</v>
      </c>
      <c r="R729" s="158" t="s">
        <v>1608</v>
      </c>
      <c r="S729" s="158"/>
      <c r="T729" s="158" t="s">
        <v>1498</v>
      </c>
      <c r="U729" s="158" t="s">
        <v>803</v>
      </c>
      <c r="V729" s="158"/>
      <c r="W729" s="158" t="s">
        <v>1682</v>
      </c>
      <c r="X729" s="158"/>
      <c r="Y729" s="158"/>
      <c r="Z729" s="158"/>
      <c r="AA729" s="158"/>
      <c r="AB729" s="158"/>
      <c r="AC729" s="800" t="s">
        <v>6309</v>
      </c>
      <c r="AD729" s="800">
        <v>1</v>
      </c>
      <c r="AE729" s="800">
        <v>1</v>
      </c>
      <c r="AF729" s="743">
        <v>0</v>
      </c>
      <c r="AG729" s="744" t="s">
        <v>8070</v>
      </c>
      <c r="AH729" s="734">
        <v>0</v>
      </c>
      <c r="AI729" s="734">
        <v>4</v>
      </c>
      <c r="AJ729" s="734"/>
      <c r="AK729" s="739" t="s">
        <v>7107</v>
      </c>
      <c r="AL729" s="372" t="s">
        <v>7111</v>
      </c>
      <c r="AM729" s="724">
        <v>0</v>
      </c>
      <c r="AN729" s="734">
        <f>Table66[[#This Row],[Data_Subjects_n_ptsd]]+Table66[[#This Row],[Data_Subjects_n_control]]</f>
        <v>32</v>
      </c>
      <c r="AO729" s="734">
        <v>16</v>
      </c>
      <c r="AP729" s="734">
        <v>16</v>
      </c>
      <c r="AQ729" s="734" t="s">
        <v>803</v>
      </c>
      <c r="AR729" s="734" t="s">
        <v>803</v>
      </c>
      <c r="AS729" s="734" t="s">
        <v>7104</v>
      </c>
      <c r="AT729" s="734" t="s">
        <v>24</v>
      </c>
      <c r="AU729" s="734" t="s">
        <v>7104</v>
      </c>
      <c r="AV729" s="734" t="s">
        <v>24</v>
      </c>
      <c r="AW729" s="734" t="s">
        <v>7108</v>
      </c>
      <c r="AX729" s="734">
        <v>60</v>
      </c>
      <c r="AY729" s="734">
        <v>0.8</v>
      </c>
      <c r="AZ729" s="755" t="s">
        <v>1814</v>
      </c>
      <c r="BA729" s="734">
        <v>1</v>
      </c>
      <c r="BB729" s="734">
        <v>1</v>
      </c>
      <c r="BC729" s="734" t="s">
        <v>7109</v>
      </c>
      <c r="BD729" s="755" t="s">
        <v>7523</v>
      </c>
      <c r="BE729" s="755"/>
      <c r="BF729" s="734" t="s">
        <v>1321</v>
      </c>
      <c r="BG729" s="734" t="s">
        <v>6653</v>
      </c>
      <c r="BH729" s="372"/>
      <c r="BI729" s="372"/>
      <c r="BJ729" s="735">
        <v>1</v>
      </c>
      <c r="BK729" s="735">
        <v>1</v>
      </c>
      <c r="BL729" s="735"/>
      <c r="BM729" s="735"/>
      <c r="BN729" s="735"/>
      <c r="BO729" s="735"/>
      <c r="BP729" s="735">
        <v>1</v>
      </c>
      <c r="BQ729" s="735"/>
      <c r="BR729" s="735"/>
      <c r="BS729" s="735"/>
      <c r="BT729" s="735"/>
      <c r="BU729" s="735"/>
      <c r="BV729" s="735"/>
      <c r="BW729" s="735" t="s">
        <v>7056</v>
      </c>
      <c r="BX729" s="736" t="s">
        <v>6596</v>
      </c>
      <c r="BY729" s="799" t="s">
        <v>7615</v>
      </c>
      <c r="BZ729" s="736" t="s">
        <v>7610</v>
      </c>
      <c r="CA729" s="735">
        <v>2</v>
      </c>
      <c r="CB729" s="735" t="s">
        <v>7556</v>
      </c>
      <c r="CC729" s="735" t="s">
        <v>7394</v>
      </c>
      <c r="CD729" s="734" t="s">
        <v>1876</v>
      </c>
      <c r="CE729" s="734" t="s">
        <v>7106</v>
      </c>
      <c r="CF729" s="786" t="s">
        <v>7581</v>
      </c>
      <c r="CG729" s="774" t="s">
        <v>7110</v>
      </c>
      <c r="CH729" s="1108" t="s">
        <v>7309</v>
      </c>
      <c r="CI729" s="734" t="s">
        <v>7105</v>
      </c>
      <c r="CJ729" s="734"/>
      <c r="CK729" s="774" t="s">
        <v>7120</v>
      </c>
      <c r="CL729" s="734" t="s">
        <v>7121</v>
      </c>
      <c r="CM729" s="737" t="s">
        <v>7133</v>
      </c>
      <c r="CN729" s="738" t="s">
        <v>6627</v>
      </c>
      <c r="CO729" s="738">
        <v>82</v>
      </c>
      <c r="CP729" s="738"/>
      <c r="CQ729" s="738"/>
      <c r="CR729" s="738"/>
      <c r="CS729" s="738"/>
      <c r="CT729" s="738"/>
      <c r="CU729" s="738"/>
      <c r="CV729" s="738"/>
      <c r="CW729" s="738"/>
      <c r="CX729" s="736" t="s">
        <v>7033</v>
      </c>
      <c r="CY729" s="734">
        <v>53.1006</v>
      </c>
      <c r="CZ729" s="734" t="s">
        <v>24</v>
      </c>
      <c r="DA729" s="734">
        <f>56.5415-Table66[[#This Row],[Data_Outcome1_M]]</f>
        <v>3.4408999999999992</v>
      </c>
      <c r="DB729" s="734" t="s">
        <v>7032</v>
      </c>
      <c r="DC729" s="734">
        <v>73.924899999999994</v>
      </c>
      <c r="DD729" s="734" t="s">
        <v>24</v>
      </c>
      <c r="DE729" s="734">
        <f>75.0004-Table66[[#This Row],[Data_Outcome2_M]]</f>
        <v>1.0755000000000052</v>
      </c>
      <c r="DF729" s="737" t="s">
        <v>7127</v>
      </c>
      <c r="DG729" s="1109" t="s">
        <v>7125</v>
      </c>
      <c r="DH729" s="819"/>
      <c r="DI729" s="742"/>
      <c r="DJ729" s="778"/>
      <c r="DK729" s="742"/>
      <c r="DL729" s="778"/>
      <c r="DM729" s="742"/>
      <c r="DN729" s="778"/>
      <c r="DO729" s="1136"/>
      <c r="DP729" s="737"/>
      <c r="DQ729" s="1138"/>
      <c r="DR729" s="1182"/>
      <c r="DS729" s="956"/>
      <c r="DT729" s="1180"/>
      <c r="DU729" s="742"/>
      <c r="DV729" s="778"/>
      <c r="DW729" s="742"/>
      <c r="DX729" s="778"/>
      <c r="DY729" s="742"/>
      <c r="DZ729" s="778"/>
      <c r="EA729" s="742"/>
      <c r="EB729" s="1181"/>
      <c r="EC729" s="778"/>
      <c r="ED729" s="1180"/>
      <c r="EE729" s="742"/>
      <c r="EF729" s="778"/>
      <c r="EG729" s="742"/>
      <c r="EH729" s="778"/>
      <c r="EI729" s="742"/>
      <c r="EJ729" s="778"/>
      <c r="EK729" s="742"/>
      <c r="EL729" s="1181"/>
      <c r="EM729" s="778"/>
      <c r="EN729" s="1181"/>
      <c r="EO729" s="778"/>
      <c r="EP729" s="778"/>
      <c r="EQ729" s="778"/>
      <c r="ER729" s="778"/>
      <c r="ES729" s="778"/>
      <c r="ET729" s="1180"/>
      <c r="EU729" s="778"/>
      <c r="EV729" s="778"/>
      <c r="EW729" s="778"/>
      <c r="EX729" s="778"/>
      <c r="EY729" s="778"/>
      <c r="EZ729" s="1180"/>
      <c r="FA729" s="778"/>
      <c r="FB729" s="778"/>
      <c r="FC729" s="778"/>
      <c r="FD729" s="1180"/>
      <c r="FE729" s="778"/>
      <c r="FF729" s="778"/>
      <c r="FG729" s="778"/>
      <c r="FH729" s="778"/>
      <c r="FI729" s="778"/>
      <c r="FJ729" s="778"/>
    </row>
    <row r="730" spans="1:166" ht="18" hidden="1" customHeight="1">
      <c r="A730" s="118" t="s">
        <v>960</v>
      </c>
      <c r="B730" s="616">
        <v>245</v>
      </c>
      <c r="C730" s="616"/>
      <c r="D730" s="616">
        <v>101</v>
      </c>
      <c r="E730" s="605" t="s">
        <v>2125</v>
      </c>
      <c r="F730" s="140" t="s">
        <v>2386</v>
      </c>
      <c r="G730" s="141">
        <v>2007</v>
      </c>
      <c r="H730" s="118">
        <v>17254618</v>
      </c>
      <c r="I730" s="118">
        <v>1</v>
      </c>
      <c r="J730" s="118">
        <v>1</v>
      </c>
      <c r="K730" s="118"/>
      <c r="L730" s="118">
        <v>1</v>
      </c>
      <c r="M730" s="118"/>
      <c r="N730" s="118">
        <v>1</v>
      </c>
      <c r="O730" s="142">
        <v>2</v>
      </c>
      <c r="P730" s="118" t="s">
        <v>1609</v>
      </c>
      <c r="Q730" s="118" t="s">
        <v>1216</v>
      </c>
      <c r="R730" s="118" t="s">
        <v>1608</v>
      </c>
      <c r="S730" s="118"/>
      <c r="T730" s="118" t="s">
        <v>1498</v>
      </c>
      <c r="U730" s="118" t="s">
        <v>803</v>
      </c>
      <c r="V730" s="118"/>
      <c r="W730" s="118" t="s">
        <v>1682</v>
      </c>
      <c r="X730" s="118"/>
      <c r="Y730" s="118"/>
      <c r="Z730" s="118"/>
      <c r="AA730" s="118"/>
      <c r="AB730" s="118"/>
      <c r="AC730" s="145" t="s">
        <v>6309</v>
      </c>
      <c r="AD730" s="653">
        <v>1</v>
      </c>
      <c r="AE730" s="653">
        <v>1</v>
      </c>
      <c r="AF730" s="159">
        <v>1</v>
      </c>
      <c r="AG730" s="160" t="s">
        <v>7292</v>
      </c>
      <c r="AH730" s="732">
        <v>0</v>
      </c>
      <c r="AI730" s="122">
        <v>4</v>
      </c>
      <c r="AJ730" s="485"/>
      <c r="AK730" s="204" t="s">
        <v>7107</v>
      </c>
      <c r="AL730" s="192" t="s">
        <v>7111</v>
      </c>
      <c r="AM730" s="205">
        <v>0</v>
      </c>
      <c r="AN730" s="122">
        <f>Table66[[#This Row],[Data_Subjects_n_ptsd]]+Table66[[#This Row],[Data_Subjects_n_control]]</f>
        <v>32</v>
      </c>
      <c r="AO730" s="122">
        <v>16</v>
      </c>
      <c r="AP730" s="122">
        <v>16</v>
      </c>
      <c r="AQ730" s="122" t="s">
        <v>803</v>
      </c>
      <c r="AR730" s="122" t="s">
        <v>803</v>
      </c>
      <c r="AS730" s="122" t="s">
        <v>7104</v>
      </c>
      <c r="AT730" s="122" t="s">
        <v>24</v>
      </c>
      <c r="AU730" s="122" t="s">
        <v>7104</v>
      </c>
      <c r="AV730" s="122" t="s">
        <v>24</v>
      </c>
      <c r="AW730" s="122" t="s">
        <v>7108</v>
      </c>
      <c r="AX730" s="122">
        <v>60</v>
      </c>
      <c r="AY730" s="122">
        <v>0.8</v>
      </c>
      <c r="AZ730" s="754" t="s">
        <v>1814</v>
      </c>
      <c r="BA730" s="122">
        <v>1</v>
      </c>
      <c r="BB730" s="122">
        <v>1</v>
      </c>
      <c r="BC730" s="122" t="s">
        <v>7109</v>
      </c>
      <c r="BD730" s="753" t="s">
        <v>7523</v>
      </c>
      <c r="BE730" s="753"/>
      <c r="BF730" s="122" t="s">
        <v>1321</v>
      </c>
      <c r="BG730" s="122" t="s">
        <v>6653</v>
      </c>
      <c r="BH730" s="588"/>
      <c r="BI730" s="588"/>
      <c r="BJ730" s="161">
        <v>1</v>
      </c>
      <c r="BK730" s="161">
        <v>1</v>
      </c>
      <c r="BL730" s="161"/>
      <c r="BM730" s="161"/>
      <c r="BN730" s="161"/>
      <c r="BO730" s="161"/>
      <c r="BP730" s="161">
        <v>1</v>
      </c>
      <c r="BQ730" s="161"/>
      <c r="BR730" s="161"/>
      <c r="BS730" s="161"/>
      <c r="BT730" s="161"/>
      <c r="BU730" s="161"/>
      <c r="BV730" s="161"/>
      <c r="BW730" s="596" t="s">
        <v>7056</v>
      </c>
      <c r="BX730" s="162" t="s">
        <v>6596</v>
      </c>
      <c r="BY730" s="797" t="s">
        <v>7615</v>
      </c>
      <c r="BZ730" s="790" t="s">
        <v>7610</v>
      </c>
      <c r="CA730" s="766">
        <v>2</v>
      </c>
      <c r="CB730" s="766" t="s">
        <v>7556</v>
      </c>
      <c r="CC730" s="766" t="s">
        <v>8243</v>
      </c>
      <c r="CD730" s="150" t="s">
        <v>1876</v>
      </c>
      <c r="CE730" s="150" t="s">
        <v>7106</v>
      </c>
      <c r="CF730" s="400" t="s">
        <v>7581</v>
      </c>
      <c r="CG730" s="477" t="s">
        <v>7110</v>
      </c>
      <c r="CH730" s="763" t="s">
        <v>7309</v>
      </c>
      <c r="CI730" s="150" t="s">
        <v>7105</v>
      </c>
      <c r="CJ730" s="150"/>
      <c r="CK730" s="477" t="s">
        <v>7120</v>
      </c>
      <c r="CL730" s="400" t="s">
        <v>8232</v>
      </c>
      <c r="CM730" s="258" t="s">
        <v>7133</v>
      </c>
      <c r="CN730" s="257" t="s">
        <v>6627</v>
      </c>
      <c r="CO730" s="829">
        <v>82</v>
      </c>
      <c r="CP730" s="829">
        <v>2</v>
      </c>
      <c r="CQ730" s="829">
        <v>2</v>
      </c>
      <c r="CR730" s="829">
        <v>1</v>
      </c>
      <c r="CS730" s="829">
        <v>-1</v>
      </c>
      <c r="CT730" s="968"/>
      <c r="CU730" s="1289" t="s">
        <v>8104</v>
      </c>
      <c r="CV730" s="1295">
        <v>132</v>
      </c>
      <c r="CW730" s="1295">
        <v>121</v>
      </c>
      <c r="CX730" s="151" t="s">
        <v>7034</v>
      </c>
      <c r="CY730" s="150">
        <v>0.37934600000000002</v>
      </c>
      <c r="CZ730" s="228" t="s">
        <v>24</v>
      </c>
      <c r="DA730" s="150">
        <f>0.579988-Table66[[#This Row],[Data_Outcome1_M]]</f>
        <v>0.20064199999999993</v>
      </c>
      <c r="DB730" s="150" t="s">
        <v>7035</v>
      </c>
      <c r="DC730" s="150">
        <v>0.322131</v>
      </c>
      <c r="DD730" s="150" t="s">
        <v>24</v>
      </c>
      <c r="DE730" s="150">
        <f>0.491545-Table66[[#This Row],[Data_Outcome2_M]]</f>
        <v>0.16941400000000001</v>
      </c>
      <c r="DF730" s="543" t="s">
        <v>7126</v>
      </c>
      <c r="DG730" s="545" t="s">
        <v>7125</v>
      </c>
      <c r="DH730" s="1166"/>
      <c r="DI730" s="122"/>
      <c r="DJ730" s="1164"/>
      <c r="DK730" s="122"/>
      <c r="DL730" s="1164"/>
      <c r="DM730" s="1164"/>
      <c r="DN730" s="1164"/>
      <c r="DO730" s="1164"/>
      <c r="DP730" s="290"/>
      <c r="DQ730" s="699"/>
      <c r="DR730" s="1168"/>
      <c r="DS730" s="865"/>
      <c r="DT730" s="1166"/>
      <c r="DU730" s="122"/>
      <c r="DV730" s="1164"/>
      <c r="DW730" s="122"/>
      <c r="DX730" s="1164"/>
      <c r="DY730" s="1164"/>
      <c r="DZ730" s="1164"/>
      <c r="EA730" s="1164"/>
      <c r="EB730" s="311"/>
      <c r="EC730" s="313"/>
      <c r="ED730" s="1166"/>
      <c r="EE730" s="122"/>
      <c r="EF730" s="1164"/>
      <c r="EG730" s="122"/>
      <c r="EH730" s="1164"/>
      <c r="EI730" s="1164"/>
      <c r="EJ730" s="1164"/>
      <c r="EK730" s="1164"/>
      <c r="EL730" s="311"/>
      <c r="EM730" s="313"/>
      <c r="EN730" s="1167"/>
      <c r="EO730" s="1165"/>
      <c r="EP730" s="122"/>
      <c r="EQ730" s="122"/>
      <c r="ER730" s="122"/>
      <c r="ES730" s="122"/>
      <c r="ET730" s="1166"/>
      <c r="EU730" s="1164"/>
      <c r="EV730" s="1164"/>
      <c r="EW730" s="1164"/>
      <c r="EX730" s="313"/>
      <c r="EY730" s="313"/>
      <c r="EZ730" s="1166"/>
      <c r="FA730" s="1164"/>
      <c r="FB730" s="1164"/>
      <c r="FC730" s="1164"/>
      <c r="FD730" s="1166"/>
      <c r="FE730" s="1164"/>
      <c r="FF730" s="1164"/>
      <c r="FG730" s="1164"/>
      <c r="FH730" s="313"/>
      <c r="FI730" s="313"/>
      <c r="FJ730" s="1165"/>
    </row>
    <row r="731" spans="1:166" ht="18" hidden="1" customHeight="1">
      <c r="A731" s="118" t="s">
        <v>960</v>
      </c>
      <c r="B731" s="616">
        <v>245</v>
      </c>
      <c r="C731" s="616"/>
      <c r="D731" s="616">
        <v>101</v>
      </c>
      <c r="E731" s="605" t="s">
        <v>2125</v>
      </c>
      <c r="F731" s="140" t="s">
        <v>2386</v>
      </c>
      <c r="G731" s="141">
        <v>2007</v>
      </c>
      <c r="H731" s="118">
        <v>17254618</v>
      </c>
      <c r="I731" s="118">
        <v>1</v>
      </c>
      <c r="J731" s="118">
        <v>1</v>
      </c>
      <c r="K731" s="118"/>
      <c r="L731" s="118">
        <v>1</v>
      </c>
      <c r="M731" s="118"/>
      <c r="N731" s="118">
        <v>1</v>
      </c>
      <c r="O731" s="142">
        <v>2</v>
      </c>
      <c r="P731" s="118" t="s">
        <v>1609</v>
      </c>
      <c r="Q731" s="118" t="s">
        <v>1216</v>
      </c>
      <c r="R731" s="118" t="s">
        <v>1608</v>
      </c>
      <c r="S731" s="118"/>
      <c r="T731" s="118" t="s">
        <v>1498</v>
      </c>
      <c r="U731" s="118" t="s">
        <v>803</v>
      </c>
      <c r="V731" s="118"/>
      <c r="W731" s="118" t="s">
        <v>1682</v>
      </c>
      <c r="X731" s="118"/>
      <c r="Y731" s="118"/>
      <c r="Z731" s="118"/>
      <c r="AA731" s="118"/>
      <c r="AB731" s="118"/>
      <c r="AC731" s="145" t="s">
        <v>6309</v>
      </c>
      <c r="AD731" s="653">
        <v>1</v>
      </c>
      <c r="AE731" s="653">
        <v>1</v>
      </c>
      <c r="AF731" s="159">
        <v>1</v>
      </c>
      <c r="AG731" s="160" t="s">
        <v>7292</v>
      </c>
      <c r="AH731" s="732">
        <v>0</v>
      </c>
      <c r="AI731" s="122">
        <v>4</v>
      </c>
      <c r="AJ731" s="485"/>
      <c r="AK731" s="204" t="s">
        <v>7107</v>
      </c>
      <c r="AL731" s="192" t="s">
        <v>7111</v>
      </c>
      <c r="AM731" s="205">
        <v>0</v>
      </c>
      <c r="AN731" s="122">
        <f>Table66[[#This Row],[Data_Subjects_n_ptsd]]+Table66[[#This Row],[Data_Subjects_n_control]]</f>
        <v>32</v>
      </c>
      <c r="AO731" s="122">
        <v>16</v>
      </c>
      <c r="AP731" s="122">
        <v>16</v>
      </c>
      <c r="AQ731" s="122" t="s">
        <v>803</v>
      </c>
      <c r="AR731" s="122" t="s">
        <v>803</v>
      </c>
      <c r="AS731" s="122" t="s">
        <v>7104</v>
      </c>
      <c r="AT731" s="122" t="s">
        <v>24</v>
      </c>
      <c r="AU731" s="122" t="s">
        <v>7104</v>
      </c>
      <c r="AV731" s="122" t="s">
        <v>24</v>
      </c>
      <c r="AW731" s="122" t="s">
        <v>7108</v>
      </c>
      <c r="AX731" s="122">
        <v>60</v>
      </c>
      <c r="AY731" s="122">
        <v>0.8</v>
      </c>
      <c r="AZ731" s="754" t="s">
        <v>1814</v>
      </c>
      <c r="BA731" s="122">
        <v>1</v>
      </c>
      <c r="BB731" s="122">
        <v>1</v>
      </c>
      <c r="BC731" s="122" t="s">
        <v>7109</v>
      </c>
      <c r="BD731" s="753" t="s">
        <v>7523</v>
      </c>
      <c r="BE731" s="753"/>
      <c r="BF731" s="122" t="s">
        <v>1321</v>
      </c>
      <c r="BG731" s="122" t="s">
        <v>6653</v>
      </c>
      <c r="BH731" s="588"/>
      <c r="BI731" s="588"/>
      <c r="BJ731" s="161">
        <v>1</v>
      </c>
      <c r="BK731" s="161">
        <v>1</v>
      </c>
      <c r="BL731" s="161"/>
      <c r="BM731" s="161"/>
      <c r="BN731" s="161"/>
      <c r="BO731" s="161"/>
      <c r="BP731" s="161">
        <v>1</v>
      </c>
      <c r="BQ731" s="161"/>
      <c r="BR731" s="161"/>
      <c r="BS731" s="161"/>
      <c r="BT731" s="161"/>
      <c r="BU731" s="161"/>
      <c r="BV731" s="161"/>
      <c r="BW731" s="596" t="s">
        <v>7056</v>
      </c>
      <c r="BX731" s="162" t="s">
        <v>6596</v>
      </c>
      <c r="BY731" s="797" t="s">
        <v>7615</v>
      </c>
      <c r="BZ731" s="790" t="s">
        <v>7610</v>
      </c>
      <c r="CA731" s="766">
        <v>2</v>
      </c>
      <c r="CB731" s="766" t="s">
        <v>7556</v>
      </c>
      <c r="CC731" s="766" t="s">
        <v>8243</v>
      </c>
      <c r="CD731" s="150" t="s">
        <v>1876</v>
      </c>
      <c r="CE731" s="150" t="s">
        <v>7106</v>
      </c>
      <c r="CF731" s="400" t="s">
        <v>7581</v>
      </c>
      <c r="CG731" s="477" t="s">
        <v>7110</v>
      </c>
      <c r="CH731" s="763" t="s">
        <v>7309</v>
      </c>
      <c r="CI731" s="150" t="s">
        <v>7105</v>
      </c>
      <c r="CJ731" s="150"/>
      <c r="CK731" s="477" t="s">
        <v>7120</v>
      </c>
      <c r="CL731" s="1385" t="s">
        <v>8242</v>
      </c>
      <c r="CM731" s="258" t="s">
        <v>7133</v>
      </c>
      <c r="CN731" s="257" t="s">
        <v>6627</v>
      </c>
      <c r="CO731" s="829">
        <v>82</v>
      </c>
      <c r="CP731" s="829">
        <v>2</v>
      </c>
      <c r="CQ731" s="829">
        <v>3</v>
      </c>
      <c r="CR731" s="829">
        <v>1</v>
      </c>
      <c r="CS731" s="829">
        <v>-1</v>
      </c>
      <c r="CT731" s="968"/>
      <c r="CU731" s="1289" t="s">
        <v>8104</v>
      </c>
      <c r="CV731" s="1295">
        <v>132</v>
      </c>
      <c r="CW731" s="1295">
        <v>121</v>
      </c>
      <c r="CX731" s="151" t="s">
        <v>7036</v>
      </c>
      <c r="CY731" s="150">
        <v>45.322600000000001</v>
      </c>
      <c r="CZ731" s="150" t="s">
        <v>24</v>
      </c>
      <c r="DA731" s="150">
        <f>51.305-Table66[[#This Row],[Data_Outcome1_M]]</f>
        <v>5.9823999999999984</v>
      </c>
      <c r="DB731" s="150" t="s">
        <v>7045</v>
      </c>
      <c r="DC731" s="150">
        <v>11.275600000000001</v>
      </c>
      <c r="DD731" s="150" t="s">
        <v>24</v>
      </c>
      <c r="DE731" s="150">
        <f>12.214-Table66[[#This Row],[Data_Outcome2_M]]</f>
        <v>0.93839999999999968</v>
      </c>
      <c r="DF731" s="302" t="s">
        <v>7124</v>
      </c>
      <c r="DG731" s="303" t="s">
        <v>7125</v>
      </c>
      <c r="DH731" s="1166"/>
      <c r="DI731" s="1164"/>
      <c r="DJ731" s="1164"/>
      <c r="DK731" s="1164"/>
      <c r="DL731" s="1164"/>
      <c r="DM731" s="1164"/>
      <c r="DN731" s="1164"/>
      <c r="DO731" s="1164"/>
      <c r="DP731" s="290"/>
      <c r="DQ731" s="699"/>
      <c r="DR731" s="1168"/>
      <c r="DS731" s="865"/>
      <c r="DT731" s="1166"/>
      <c r="DU731" s="1164"/>
      <c r="DV731" s="1164"/>
      <c r="DW731" s="1164"/>
      <c r="DX731" s="1164"/>
      <c r="DY731" s="1164"/>
      <c r="DZ731" s="1164"/>
      <c r="EA731" s="1164"/>
      <c r="EB731" s="311"/>
      <c r="EC731" s="313"/>
      <c r="ED731" s="1166"/>
      <c r="EE731" s="1164"/>
      <c r="EF731" s="1164"/>
      <c r="EG731" s="1164"/>
      <c r="EH731" s="1164"/>
      <c r="EI731" s="1164"/>
      <c r="EJ731" s="1164"/>
      <c r="EK731" s="1164"/>
      <c r="EL731" s="311"/>
      <c r="EM731" s="313"/>
      <c r="EN731" s="1167"/>
      <c r="EO731" s="1165"/>
      <c r="EP731" s="122"/>
      <c r="EQ731" s="122"/>
      <c r="ER731" s="122"/>
      <c r="ES731" s="122"/>
      <c r="ET731" s="526"/>
      <c r="EU731" s="1164"/>
      <c r="EV731" s="1164"/>
      <c r="EW731" s="1164"/>
      <c r="EX731" s="313"/>
      <c r="EY731" s="313"/>
      <c r="EZ731" s="1166"/>
      <c r="FA731" s="1164"/>
      <c r="FB731" s="1164"/>
      <c r="FC731" s="1164"/>
      <c r="FD731" s="1166"/>
      <c r="FE731" s="1164"/>
      <c r="FF731" s="1164"/>
      <c r="FG731" s="1164"/>
      <c r="FH731" s="313"/>
      <c r="FI731" s="313"/>
      <c r="FJ731" s="1165"/>
    </row>
    <row r="732" spans="1:166" s="1403" customFormat="1" ht="18" hidden="1" customHeight="1">
      <c r="A732" s="1363" t="s">
        <v>960</v>
      </c>
      <c r="B732" s="1364">
        <v>245</v>
      </c>
      <c r="C732" s="1364"/>
      <c r="D732" s="1364">
        <v>101</v>
      </c>
      <c r="E732" s="1365" t="s">
        <v>2125</v>
      </c>
      <c r="F732" s="1366" t="s">
        <v>2386</v>
      </c>
      <c r="G732" s="1367">
        <v>2007</v>
      </c>
      <c r="H732" s="1363">
        <v>17254618</v>
      </c>
      <c r="I732" s="1363">
        <v>1</v>
      </c>
      <c r="J732" s="1363">
        <v>1</v>
      </c>
      <c r="K732" s="1363"/>
      <c r="L732" s="1363">
        <v>1</v>
      </c>
      <c r="M732" s="1363"/>
      <c r="N732" s="1363">
        <v>1</v>
      </c>
      <c r="O732" s="1369">
        <v>2</v>
      </c>
      <c r="P732" s="1363" t="s">
        <v>1609</v>
      </c>
      <c r="Q732" s="1363" t="s">
        <v>1216</v>
      </c>
      <c r="R732" s="1363" t="s">
        <v>1608</v>
      </c>
      <c r="S732" s="1363"/>
      <c r="T732" s="1363" t="s">
        <v>1498</v>
      </c>
      <c r="U732" s="1363" t="s">
        <v>803</v>
      </c>
      <c r="V732" s="1363"/>
      <c r="W732" s="1363" t="s">
        <v>1682</v>
      </c>
      <c r="X732" s="1363"/>
      <c r="Y732" s="1363"/>
      <c r="Z732" s="1363"/>
      <c r="AA732" s="1363"/>
      <c r="AB732" s="1363"/>
      <c r="AC732" s="1370" t="s">
        <v>6309</v>
      </c>
      <c r="AD732" s="1371">
        <v>1</v>
      </c>
      <c r="AE732" s="1371">
        <v>1</v>
      </c>
      <c r="AF732" s="1372">
        <v>1</v>
      </c>
      <c r="AG732" s="1373" t="s">
        <v>7292</v>
      </c>
      <c r="AH732" s="1374">
        <v>0</v>
      </c>
      <c r="AI732" s="1370">
        <v>4</v>
      </c>
      <c r="AJ732" s="1375"/>
      <c r="AK732" s="1376" t="s">
        <v>7107</v>
      </c>
      <c r="AL732" s="1377" t="s">
        <v>7111</v>
      </c>
      <c r="AM732" s="1378">
        <v>0</v>
      </c>
      <c r="AN732" s="1370">
        <f>Table66[[#This Row],[Data_Subjects_n_ptsd]]+Table66[[#This Row],[Data_Subjects_n_control]]</f>
        <v>41</v>
      </c>
      <c r="AO732" s="1370">
        <v>21</v>
      </c>
      <c r="AP732" s="1370">
        <v>20</v>
      </c>
      <c r="AQ732" s="1370" t="s">
        <v>803</v>
      </c>
      <c r="AR732" s="1370" t="s">
        <v>803</v>
      </c>
      <c r="AS732" s="1370" t="s">
        <v>7104</v>
      </c>
      <c r="AT732" s="1370" t="s">
        <v>24</v>
      </c>
      <c r="AU732" s="1370" t="s">
        <v>7104</v>
      </c>
      <c r="AV732" s="1370" t="s">
        <v>24</v>
      </c>
      <c r="AW732" s="1370" t="s">
        <v>7108</v>
      </c>
      <c r="AX732" s="122">
        <v>60</v>
      </c>
      <c r="AY732" s="122">
        <v>0.8</v>
      </c>
      <c r="AZ732" s="754" t="s">
        <v>1814</v>
      </c>
      <c r="BA732" s="122">
        <v>1</v>
      </c>
      <c r="BB732" s="122">
        <v>1</v>
      </c>
      <c r="BC732" s="1370" t="s">
        <v>7109</v>
      </c>
      <c r="BD732" s="1385" t="s">
        <v>7523</v>
      </c>
      <c r="BE732" s="1385"/>
      <c r="BF732" s="1370" t="s">
        <v>2912</v>
      </c>
      <c r="BG732" s="1370" t="s">
        <v>6653</v>
      </c>
      <c r="BH732" s="588"/>
      <c r="BI732" s="588"/>
      <c r="BJ732" s="161">
        <v>1</v>
      </c>
      <c r="BK732" s="161">
        <v>1</v>
      </c>
      <c r="BL732" s="161"/>
      <c r="BM732" s="161"/>
      <c r="BN732" s="161"/>
      <c r="BO732" s="161"/>
      <c r="BP732" s="161">
        <v>1</v>
      </c>
      <c r="BQ732" s="161"/>
      <c r="BR732" s="161"/>
      <c r="BS732" s="161"/>
      <c r="BT732" s="161"/>
      <c r="BU732" s="161"/>
      <c r="BV732" s="161"/>
      <c r="BW732" s="596" t="s">
        <v>7056</v>
      </c>
      <c r="BX732" s="162" t="s">
        <v>6596</v>
      </c>
      <c r="BY732" s="797" t="s">
        <v>7615</v>
      </c>
      <c r="BZ732" s="790" t="s">
        <v>7610</v>
      </c>
      <c r="CA732" s="766">
        <v>2</v>
      </c>
      <c r="CB732" s="766" t="s">
        <v>7556</v>
      </c>
      <c r="CC732" s="766" t="s">
        <v>8243</v>
      </c>
      <c r="CD732" s="150" t="s">
        <v>1876</v>
      </c>
      <c r="CE732" s="150" t="s">
        <v>7106</v>
      </c>
      <c r="CF732" s="400" t="s">
        <v>7581</v>
      </c>
      <c r="CG732" s="1425" t="s">
        <v>7110</v>
      </c>
      <c r="CH732" s="1425" t="s">
        <v>7309</v>
      </c>
      <c r="CI732" s="150" t="s">
        <v>7105</v>
      </c>
      <c r="CJ732" s="150"/>
      <c r="CK732" s="1425" t="s">
        <v>7120</v>
      </c>
      <c r="CL732" s="400" t="s">
        <v>8241</v>
      </c>
      <c r="CM732" s="1426" t="s">
        <v>7134</v>
      </c>
      <c r="CN732" s="1427" t="s">
        <v>6627</v>
      </c>
      <c r="CO732" s="1428">
        <v>82</v>
      </c>
      <c r="CP732" s="1428">
        <v>3</v>
      </c>
      <c r="CQ732" s="1428">
        <v>1</v>
      </c>
      <c r="CR732" s="1428">
        <v>1</v>
      </c>
      <c r="CS732" s="1428">
        <v>1</v>
      </c>
      <c r="CT732" s="1429"/>
      <c r="CU732" s="1390" t="s">
        <v>8104</v>
      </c>
      <c r="CV732" s="1391">
        <v>133</v>
      </c>
      <c r="CW732" s="1391">
        <v>122</v>
      </c>
      <c r="CX732" s="1392" t="s">
        <v>7030</v>
      </c>
      <c r="CY732" s="1385">
        <v>21.747800000000002</v>
      </c>
      <c r="CZ732" s="1393" t="s">
        <v>24</v>
      </c>
      <c r="DA732" s="1385">
        <f>24.4582-Table66[[#This Row],[Data_Outcome1_M]]</f>
        <v>2.7103999999999999</v>
      </c>
      <c r="DB732" s="1392" t="s">
        <v>7031</v>
      </c>
      <c r="DC732" s="1385">
        <v>6.7069599999999996</v>
      </c>
      <c r="DD732" s="1385" t="s">
        <v>24</v>
      </c>
      <c r="DE732" s="1385">
        <f>9.09131-Table66[[#This Row],[Data_Outcome2_M]]</f>
        <v>2.3843500000000004</v>
      </c>
      <c r="DF732" s="1435" t="s">
        <v>7128</v>
      </c>
      <c r="DG732" s="1436" t="s">
        <v>7125</v>
      </c>
      <c r="DH732" s="1397"/>
      <c r="DI732" s="1397"/>
      <c r="DJ732" s="1397"/>
      <c r="DK732" s="1397"/>
      <c r="DL732" s="1397"/>
      <c r="DM732" s="1397"/>
      <c r="DN732" s="1397"/>
      <c r="DO732" s="1397"/>
      <c r="DP732" s="1394"/>
      <c r="DQ732" s="1395"/>
      <c r="DR732" s="1398"/>
      <c r="DS732" s="1399"/>
      <c r="DT732" s="1396"/>
      <c r="DU732" s="1397"/>
      <c r="DV732" s="1397"/>
      <c r="DW732" s="1397"/>
      <c r="DX732" s="1397"/>
      <c r="DY732" s="1397"/>
      <c r="DZ732" s="1397"/>
      <c r="EA732" s="1397"/>
      <c r="EB732" s="1433"/>
      <c r="EC732" s="1434"/>
      <c r="ED732" s="1397"/>
      <c r="EE732" s="1397"/>
      <c r="EF732" s="1397"/>
      <c r="EG732" s="1397"/>
      <c r="EH732" s="1397"/>
      <c r="EI732" s="1397"/>
      <c r="EJ732" s="1397"/>
      <c r="EK732" s="1397"/>
      <c r="EL732" s="1400"/>
      <c r="EM732" s="1401"/>
      <c r="EN732" s="1398"/>
      <c r="EO732" s="1402"/>
      <c r="EP732" s="1397"/>
      <c r="EQ732" s="1397"/>
      <c r="ER732" s="1397"/>
      <c r="ES732" s="1397"/>
      <c r="ET732" s="1396"/>
      <c r="EU732" s="1397"/>
      <c r="EV732" s="1397"/>
      <c r="EW732" s="1397"/>
      <c r="EX732" s="1401"/>
      <c r="EY732" s="1401"/>
      <c r="EZ732" s="1396"/>
      <c r="FA732" s="1397"/>
      <c r="FB732" s="1397"/>
      <c r="FC732" s="1397"/>
      <c r="FD732" s="1396"/>
      <c r="FE732" s="1397"/>
      <c r="FF732" s="1397"/>
      <c r="FG732" s="1397"/>
      <c r="FH732" s="1401"/>
      <c r="FI732" s="1401"/>
      <c r="FJ732" s="1402"/>
    </row>
    <row r="733" spans="1:166" ht="18" hidden="1" customHeight="1">
      <c r="A733" s="158" t="s">
        <v>960</v>
      </c>
      <c r="B733" s="1094">
        <v>245</v>
      </c>
      <c r="C733" s="1094"/>
      <c r="D733" s="1094">
        <v>101</v>
      </c>
      <c r="E733" s="1095" t="s">
        <v>2125</v>
      </c>
      <c r="F733" s="711" t="s">
        <v>2386</v>
      </c>
      <c r="G733" s="1096">
        <v>2007</v>
      </c>
      <c r="H733" s="158">
        <v>17254618</v>
      </c>
      <c r="I733" s="158">
        <v>1</v>
      </c>
      <c r="J733" s="158">
        <v>1</v>
      </c>
      <c r="K733" s="158"/>
      <c r="L733" s="158">
        <v>1</v>
      </c>
      <c r="M733" s="158"/>
      <c r="N733" s="158">
        <v>1</v>
      </c>
      <c r="O733" s="158">
        <v>2</v>
      </c>
      <c r="P733" s="158" t="s">
        <v>1609</v>
      </c>
      <c r="Q733" s="158" t="s">
        <v>1216</v>
      </c>
      <c r="R733" s="158" t="s">
        <v>1608</v>
      </c>
      <c r="S733" s="158"/>
      <c r="T733" s="158" t="s">
        <v>1498</v>
      </c>
      <c r="U733" s="158" t="s">
        <v>803</v>
      </c>
      <c r="V733" s="158"/>
      <c r="W733" s="158" t="s">
        <v>1682</v>
      </c>
      <c r="X733" s="158"/>
      <c r="Y733" s="158"/>
      <c r="Z733" s="158"/>
      <c r="AA733" s="158"/>
      <c r="AB733" s="158"/>
      <c r="AC733" s="800" t="s">
        <v>6309</v>
      </c>
      <c r="AD733" s="800">
        <v>1</v>
      </c>
      <c r="AE733" s="800">
        <v>1</v>
      </c>
      <c r="AF733" s="743">
        <v>0</v>
      </c>
      <c r="AG733" s="744" t="s">
        <v>8071</v>
      </c>
      <c r="AH733" s="734">
        <v>0</v>
      </c>
      <c r="AI733" s="734">
        <v>4</v>
      </c>
      <c r="AJ733" s="734"/>
      <c r="AK733" s="739" t="s">
        <v>7107</v>
      </c>
      <c r="AL733" s="372" t="s">
        <v>7111</v>
      </c>
      <c r="AM733" s="724">
        <v>0</v>
      </c>
      <c r="AN733" s="734">
        <f>Table66[[#This Row],[Data_Subjects_n_ptsd]]+Table66[[#This Row],[Data_Subjects_n_control]]</f>
        <v>41</v>
      </c>
      <c r="AO733" s="734">
        <v>21</v>
      </c>
      <c r="AP733" s="734">
        <v>20</v>
      </c>
      <c r="AQ733" s="734" t="s">
        <v>803</v>
      </c>
      <c r="AR733" s="734" t="s">
        <v>803</v>
      </c>
      <c r="AS733" s="734" t="s">
        <v>7104</v>
      </c>
      <c r="AT733" s="734" t="s">
        <v>24</v>
      </c>
      <c r="AU733" s="734" t="s">
        <v>7104</v>
      </c>
      <c r="AV733" s="734" t="s">
        <v>24</v>
      </c>
      <c r="AW733" s="734" t="s">
        <v>7108</v>
      </c>
      <c r="AX733" s="734">
        <v>60</v>
      </c>
      <c r="AY733" s="734">
        <v>0.8</v>
      </c>
      <c r="AZ733" s="755" t="s">
        <v>1814</v>
      </c>
      <c r="BA733" s="734">
        <v>1</v>
      </c>
      <c r="BB733" s="734">
        <v>1</v>
      </c>
      <c r="BC733" s="734" t="s">
        <v>7109</v>
      </c>
      <c r="BD733" s="755" t="s">
        <v>7523</v>
      </c>
      <c r="BE733" s="755"/>
      <c r="BF733" s="734" t="s">
        <v>2912</v>
      </c>
      <c r="BG733" s="734" t="s">
        <v>6653</v>
      </c>
      <c r="BH733" s="372"/>
      <c r="BI733" s="372"/>
      <c r="BJ733" s="735">
        <v>1</v>
      </c>
      <c r="BK733" s="735">
        <v>1</v>
      </c>
      <c r="BL733" s="735"/>
      <c r="BM733" s="735"/>
      <c r="BN733" s="735"/>
      <c r="BO733" s="735"/>
      <c r="BP733" s="735">
        <v>1</v>
      </c>
      <c r="BQ733" s="735"/>
      <c r="BR733" s="735"/>
      <c r="BS733" s="735"/>
      <c r="BT733" s="735"/>
      <c r="BU733" s="735"/>
      <c r="BV733" s="735"/>
      <c r="BW733" s="735" t="s">
        <v>7056</v>
      </c>
      <c r="BX733" s="736" t="s">
        <v>6596</v>
      </c>
      <c r="BY733" s="799" t="s">
        <v>7615</v>
      </c>
      <c r="BZ733" s="736" t="s">
        <v>7610</v>
      </c>
      <c r="CA733" s="735">
        <v>2</v>
      </c>
      <c r="CB733" s="735" t="s">
        <v>7556</v>
      </c>
      <c r="CC733" s="735" t="s">
        <v>7394</v>
      </c>
      <c r="CD733" s="734" t="s">
        <v>1876</v>
      </c>
      <c r="CE733" s="734" t="s">
        <v>7106</v>
      </c>
      <c r="CF733" s="786" t="s">
        <v>7581</v>
      </c>
      <c r="CG733" s="774" t="s">
        <v>7110</v>
      </c>
      <c r="CH733" s="1108" t="s">
        <v>7309</v>
      </c>
      <c r="CI733" s="734" t="s">
        <v>7105</v>
      </c>
      <c r="CJ733" s="734"/>
      <c r="CK733" s="774" t="s">
        <v>7120</v>
      </c>
      <c r="CL733" s="734" t="s">
        <v>7121</v>
      </c>
      <c r="CM733" s="737" t="s">
        <v>7134</v>
      </c>
      <c r="CN733" s="738" t="s">
        <v>6627</v>
      </c>
      <c r="CO733" s="738">
        <v>82</v>
      </c>
      <c r="CP733" s="738"/>
      <c r="CQ733" s="738"/>
      <c r="CR733" s="738"/>
      <c r="CS733" s="738"/>
      <c r="CT733" s="738"/>
      <c r="CU733" s="738"/>
      <c r="CV733" s="738"/>
      <c r="CW733" s="738"/>
      <c r="CX733" s="736" t="s">
        <v>7033</v>
      </c>
      <c r="CY733" s="734">
        <v>57.043199999999999</v>
      </c>
      <c r="CZ733" s="734" t="s">
        <v>24</v>
      </c>
      <c r="DA733" s="734">
        <f>59.6235-Table66[[#This Row],[Data_Outcome1_M]]</f>
        <v>2.5803000000000011</v>
      </c>
      <c r="DB733" s="734" t="s">
        <v>7032</v>
      </c>
      <c r="DC733" s="734">
        <v>71.415499999999994</v>
      </c>
      <c r="DD733" s="734" t="s">
        <v>24</v>
      </c>
      <c r="DE733" s="734">
        <f>74.4263-Table66[[#This Row],[Data_Outcome2_M]]</f>
        <v>3.0108000000000033</v>
      </c>
      <c r="DF733" s="737" t="s">
        <v>7132</v>
      </c>
      <c r="DG733" s="372" t="s">
        <v>3790</v>
      </c>
      <c r="DH733" s="819"/>
      <c r="DI733" s="742"/>
      <c r="DJ733" s="778"/>
      <c r="DK733" s="742"/>
      <c r="DL733" s="778"/>
      <c r="DM733" s="742"/>
      <c r="DN733" s="778"/>
      <c r="DO733" s="1136"/>
      <c r="DP733" s="737"/>
      <c r="DQ733" s="820"/>
      <c r="DR733" s="1182"/>
      <c r="DS733" s="956"/>
      <c r="DT733" s="1180"/>
      <c r="DU733" s="742"/>
      <c r="DV733" s="778"/>
      <c r="DW733" s="742"/>
      <c r="DX733" s="778"/>
      <c r="DY733" s="742"/>
      <c r="DZ733" s="778"/>
      <c r="EA733" s="742"/>
      <c r="EB733" s="738"/>
      <c r="EC733" s="734"/>
      <c r="ED733" s="1180"/>
      <c r="EE733" s="742"/>
      <c r="EF733" s="778"/>
      <c r="EG733" s="742"/>
      <c r="EH733" s="778"/>
      <c r="EI733" s="742"/>
      <c r="EJ733" s="778"/>
      <c r="EK733" s="742"/>
      <c r="EL733" s="1181"/>
      <c r="EM733" s="778"/>
      <c r="EN733" s="1181"/>
      <c r="EO733" s="778"/>
      <c r="EP733" s="778"/>
      <c r="EQ733" s="778"/>
      <c r="ER733" s="778"/>
      <c r="ES733" s="778"/>
      <c r="ET733" s="1180"/>
      <c r="EU733" s="778"/>
      <c r="EV733" s="778"/>
      <c r="EW733" s="778"/>
      <c r="EX733" s="778"/>
      <c r="EY733" s="778"/>
      <c r="EZ733" s="1180"/>
      <c r="FA733" s="778"/>
      <c r="FB733" s="778"/>
      <c r="FC733" s="778"/>
      <c r="FD733" s="1180"/>
      <c r="FE733" s="778"/>
      <c r="FF733" s="778"/>
      <c r="FG733" s="778"/>
      <c r="FH733" s="778"/>
      <c r="FI733" s="778"/>
      <c r="FJ733" s="778"/>
    </row>
    <row r="734" spans="1:166" s="1403" customFormat="1" ht="18" hidden="1" customHeight="1">
      <c r="A734" s="1363" t="s">
        <v>960</v>
      </c>
      <c r="B734" s="1364">
        <v>245</v>
      </c>
      <c r="C734" s="1364"/>
      <c r="D734" s="1364">
        <v>101</v>
      </c>
      <c r="E734" s="1365" t="s">
        <v>2125</v>
      </c>
      <c r="F734" s="1366" t="s">
        <v>2386</v>
      </c>
      <c r="G734" s="1367">
        <v>2007</v>
      </c>
      <c r="H734" s="1363">
        <v>17254618</v>
      </c>
      <c r="I734" s="1363">
        <v>1</v>
      </c>
      <c r="J734" s="1363">
        <v>1</v>
      </c>
      <c r="K734" s="1363"/>
      <c r="L734" s="1363">
        <v>1</v>
      </c>
      <c r="M734" s="1363"/>
      <c r="N734" s="1363">
        <v>1</v>
      </c>
      <c r="O734" s="1369">
        <v>2</v>
      </c>
      <c r="P734" s="1363" t="s">
        <v>1609</v>
      </c>
      <c r="Q734" s="1363" t="s">
        <v>1216</v>
      </c>
      <c r="R734" s="1363" t="s">
        <v>1608</v>
      </c>
      <c r="S734" s="1363"/>
      <c r="T734" s="1363" t="s">
        <v>1498</v>
      </c>
      <c r="U734" s="1363" t="s">
        <v>803</v>
      </c>
      <c r="V734" s="1363"/>
      <c r="W734" s="1363" t="s">
        <v>1682</v>
      </c>
      <c r="X734" s="1363"/>
      <c r="Y734" s="1363"/>
      <c r="Z734" s="1363"/>
      <c r="AA734" s="1363"/>
      <c r="AB734" s="1363"/>
      <c r="AC734" s="1370" t="s">
        <v>6309</v>
      </c>
      <c r="AD734" s="1371">
        <v>1</v>
      </c>
      <c r="AE734" s="1371">
        <v>1</v>
      </c>
      <c r="AF734" s="1372">
        <v>1</v>
      </c>
      <c r="AG734" s="1373" t="s">
        <v>7292</v>
      </c>
      <c r="AH734" s="1374">
        <v>0</v>
      </c>
      <c r="AI734" s="1370">
        <v>4</v>
      </c>
      <c r="AJ734" s="1375"/>
      <c r="AK734" s="1376" t="s">
        <v>7107</v>
      </c>
      <c r="AL734" s="1377" t="s">
        <v>7111</v>
      </c>
      <c r="AM734" s="1378">
        <v>0</v>
      </c>
      <c r="AN734" s="1370">
        <f>Table66[[#This Row],[Data_Subjects_n_ptsd]]+Table66[[#This Row],[Data_Subjects_n_control]]</f>
        <v>41</v>
      </c>
      <c r="AO734" s="1370">
        <v>21</v>
      </c>
      <c r="AP734" s="1370">
        <v>20</v>
      </c>
      <c r="AQ734" s="1370" t="s">
        <v>803</v>
      </c>
      <c r="AR734" s="1370" t="s">
        <v>803</v>
      </c>
      <c r="AS734" s="1370" t="s">
        <v>7104</v>
      </c>
      <c r="AT734" s="1370" t="s">
        <v>24</v>
      </c>
      <c r="AU734" s="1370" t="s">
        <v>7104</v>
      </c>
      <c r="AV734" s="1370" t="s">
        <v>24</v>
      </c>
      <c r="AW734" s="1370" t="s">
        <v>7108</v>
      </c>
      <c r="AX734" s="122">
        <v>60</v>
      </c>
      <c r="AY734" s="122">
        <v>0.8</v>
      </c>
      <c r="AZ734" s="754" t="s">
        <v>1814</v>
      </c>
      <c r="BA734" s="122">
        <v>1</v>
      </c>
      <c r="BB734" s="122">
        <v>1</v>
      </c>
      <c r="BC734" s="1370" t="s">
        <v>7109</v>
      </c>
      <c r="BD734" s="1385" t="s">
        <v>7523</v>
      </c>
      <c r="BE734" s="1385"/>
      <c r="BF734" s="1370" t="s">
        <v>2912</v>
      </c>
      <c r="BG734" s="1370" t="s">
        <v>6653</v>
      </c>
      <c r="BH734" s="588"/>
      <c r="BI734" s="588"/>
      <c r="BJ734" s="161">
        <v>1</v>
      </c>
      <c r="BK734" s="161">
        <v>1</v>
      </c>
      <c r="BL734" s="161"/>
      <c r="BM734" s="161"/>
      <c r="BN734" s="161"/>
      <c r="BO734" s="161"/>
      <c r="BP734" s="161">
        <v>1</v>
      </c>
      <c r="BQ734" s="161"/>
      <c r="BR734" s="161"/>
      <c r="BS734" s="161"/>
      <c r="BT734" s="161"/>
      <c r="BU734" s="161"/>
      <c r="BV734" s="161"/>
      <c r="BW734" s="596" t="s">
        <v>7056</v>
      </c>
      <c r="BX734" s="162" t="s">
        <v>6596</v>
      </c>
      <c r="BY734" s="797" t="s">
        <v>7615</v>
      </c>
      <c r="BZ734" s="790" t="s">
        <v>7610</v>
      </c>
      <c r="CA734" s="766">
        <v>2</v>
      </c>
      <c r="CB734" s="766" t="s">
        <v>7556</v>
      </c>
      <c r="CC734" s="766" t="s">
        <v>8243</v>
      </c>
      <c r="CD734" s="150" t="s">
        <v>1876</v>
      </c>
      <c r="CE734" s="150" t="s">
        <v>7106</v>
      </c>
      <c r="CF734" s="400" t="s">
        <v>7581</v>
      </c>
      <c r="CG734" s="1425" t="s">
        <v>7110</v>
      </c>
      <c r="CH734" s="1425" t="s">
        <v>7309</v>
      </c>
      <c r="CI734" s="150" t="s">
        <v>7105</v>
      </c>
      <c r="CJ734" s="150"/>
      <c r="CK734" s="1425" t="s">
        <v>7120</v>
      </c>
      <c r="CL734" s="400" t="s">
        <v>8232</v>
      </c>
      <c r="CM734" s="1426" t="s">
        <v>7134</v>
      </c>
      <c r="CN734" s="1427" t="s">
        <v>6627</v>
      </c>
      <c r="CO734" s="1428">
        <v>82</v>
      </c>
      <c r="CP734" s="1428">
        <v>3</v>
      </c>
      <c r="CQ734" s="1428">
        <v>2</v>
      </c>
      <c r="CR734" s="1428">
        <v>1</v>
      </c>
      <c r="CS734" s="1428">
        <v>-1</v>
      </c>
      <c r="CT734" s="1429"/>
      <c r="CU734" s="1390" t="s">
        <v>8104</v>
      </c>
      <c r="CV734" s="1391">
        <v>133</v>
      </c>
      <c r="CW734" s="1391">
        <v>122</v>
      </c>
      <c r="CX734" s="1392" t="s">
        <v>7034</v>
      </c>
      <c r="CY734" s="1385">
        <v>0.67213199999999995</v>
      </c>
      <c r="CZ734" s="1393" t="s">
        <v>24</v>
      </c>
      <c r="DA734" s="1385">
        <f>0.953023-Table66[[#This Row],[Data_Outcome1_M]]</f>
        <v>0.280891</v>
      </c>
      <c r="DB734" s="1385" t="s">
        <v>7035</v>
      </c>
      <c r="DC734" s="1385">
        <v>0.10218000000000001</v>
      </c>
      <c r="DD734" s="1385" t="s">
        <v>24</v>
      </c>
      <c r="DE734" s="1385">
        <f>0.177976-Table66[[#This Row],[Data_Outcome2_M]]</f>
        <v>7.5795999999999988E-2</v>
      </c>
      <c r="DF734" s="1431" t="s">
        <v>7126</v>
      </c>
      <c r="DG734" s="1432" t="s">
        <v>7125</v>
      </c>
      <c r="DH734" s="1437"/>
      <c r="DI734" s="1370"/>
      <c r="DJ734" s="1397"/>
      <c r="DK734" s="1370"/>
      <c r="DL734" s="1397"/>
      <c r="DM734" s="1370"/>
      <c r="DN734" s="1397"/>
      <c r="DO734" s="1370"/>
      <c r="DP734" s="1394"/>
      <c r="DQ734" s="1395"/>
      <c r="DR734" s="1438"/>
      <c r="DS734" s="1399"/>
      <c r="DT734" s="1396"/>
      <c r="DU734" s="1370"/>
      <c r="DV734" s="1397"/>
      <c r="DW734" s="1370"/>
      <c r="DX734" s="1397"/>
      <c r="DY734" s="1370"/>
      <c r="DZ734" s="1397"/>
      <c r="EA734" s="1370"/>
      <c r="EB734" s="1400"/>
      <c r="EC734" s="1401"/>
      <c r="ED734" s="1396"/>
      <c r="EE734" s="1370"/>
      <c r="EF734" s="1397"/>
      <c r="EG734" s="1370"/>
      <c r="EH734" s="1397"/>
      <c r="EI734" s="1370"/>
      <c r="EJ734" s="1397"/>
      <c r="EK734" s="1370"/>
      <c r="EL734" s="1400"/>
      <c r="EM734" s="1401"/>
      <c r="EN734" s="1438"/>
      <c r="EO734" s="1402"/>
      <c r="EP734" s="1397"/>
      <c r="EQ734" s="1397"/>
      <c r="ER734" s="1397"/>
      <c r="ES734" s="1397"/>
      <c r="ET734" s="1396"/>
      <c r="EU734" s="1397"/>
      <c r="EV734" s="1397"/>
      <c r="EW734" s="1397"/>
      <c r="EX734" s="1401"/>
      <c r="EY734" s="1401"/>
      <c r="EZ734" s="1396"/>
      <c r="FA734" s="1397"/>
      <c r="FB734" s="1397"/>
      <c r="FC734" s="1397"/>
      <c r="FD734" s="1396"/>
      <c r="FE734" s="1397"/>
      <c r="FF734" s="1397"/>
      <c r="FG734" s="1397"/>
      <c r="FH734" s="1401"/>
      <c r="FI734" s="1401"/>
      <c r="FJ734" s="1402"/>
    </row>
    <row r="735" spans="1:166" s="1403" customFormat="1" ht="18" hidden="1" customHeight="1">
      <c r="A735" s="1363" t="s">
        <v>960</v>
      </c>
      <c r="B735" s="1364">
        <v>245</v>
      </c>
      <c r="C735" s="1364"/>
      <c r="D735" s="1364">
        <v>101</v>
      </c>
      <c r="E735" s="1365" t="s">
        <v>2125</v>
      </c>
      <c r="F735" s="1366" t="s">
        <v>2386</v>
      </c>
      <c r="G735" s="1367">
        <v>2007</v>
      </c>
      <c r="H735" s="1363">
        <v>17254618</v>
      </c>
      <c r="I735" s="1363">
        <v>1</v>
      </c>
      <c r="J735" s="1363">
        <v>1</v>
      </c>
      <c r="K735" s="1363"/>
      <c r="L735" s="1363">
        <v>1</v>
      </c>
      <c r="M735" s="1363"/>
      <c r="N735" s="1363">
        <v>1</v>
      </c>
      <c r="O735" s="1369">
        <v>2</v>
      </c>
      <c r="P735" s="1363" t="s">
        <v>1609</v>
      </c>
      <c r="Q735" s="1363" t="s">
        <v>1216</v>
      </c>
      <c r="R735" s="1363" t="s">
        <v>1608</v>
      </c>
      <c r="S735" s="1363"/>
      <c r="T735" s="1363" t="s">
        <v>1498</v>
      </c>
      <c r="U735" s="1363" t="s">
        <v>803</v>
      </c>
      <c r="V735" s="1363"/>
      <c r="W735" s="1363" t="s">
        <v>1682</v>
      </c>
      <c r="X735" s="1363"/>
      <c r="Y735" s="1363"/>
      <c r="Z735" s="1363"/>
      <c r="AA735" s="1363"/>
      <c r="AB735" s="1363"/>
      <c r="AC735" s="1370" t="s">
        <v>6309</v>
      </c>
      <c r="AD735" s="1371">
        <v>1</v>
      </c>
      <c r="AE735" s="1371">
        <v>1</v>
      </c>
      <c r="AF735" s="1372">
        <v>1</v>
      </c>
      <c r="AG735" s="1373" t="s">
        <v>7292</v>
      </c>
      <c r="AH735" s="1374">
        <v>0</v>
      </c>
      <c r="AI735" s="1370">
        <v>4</v>
      </c>
      <c r="AJ735" s="1375"/>
      <c r="AK735" s="1376" t="s">
        <v>7107</v>
      </c>
      <c r="AL735" s="1377" t="s">
        <v>7111</v>
      </c>
      <c r="AM735" s="1378">
        <v>0</v>
      </c>
      <c r="AN735" s="1370">
        <f>Table66[[#This Row],[Data_Subjects_n_ptsd]]+Table66[[#This Row],[Data_Subjects_n_control]]</f>
        <v>41</v>
      </c>
      <c r="AO735" s="1370">
        <v>21</v>
      </c>
      <c r="AP735" s="1370">
        <v>20</v>
      </c>
      <c r="AQ735" s="1370" t="s">
        <v>803</v>
      </c>
      <c r="AR735" s="1370" t="s">
        <v>803</v>
      </c>
      <c r="AS735" s="1370" t="s">
        <v>7104</v>
      </c>
      <c r="AT735" s="1370" t="s">
        <v>24</v>
      </c>
      <c r="AU735" s="1370" t="s">
        <v>7104</v>
      </c>
      <c r="AV735" s="1370" t="s">
        <v>24</v>
      </c>
      <c r="AW735" s="1370" t="s">
        <v>7108</v>
      </c>
      <c r="AX735" s="122">
        <v>60</v>
      </c>
      <c r="AY735" s="122">
        <v>0.8</v>
      </c>
      <c r="AZ735" s="754" t="s">
        <v>1814</v>
      </c>
      <c r="BA735" s="122">
        <v>1</v>
      </c>
      <c r="BB735" s="122">
        <v>1</v>
      </c>
      <c r="BC735" s="1370" t="s">
        <v>7109</v>
      </c>
      <c r="BD735" s="1385" t="s">
        <v>7523</v>
      </c>
      <c r="BE735" s="1385"/>
      <c r="BF735" s="1370" t="s">
        <v>2912</v>
      </c>
      <c r="BG735" s="1370" t="s">
        <v>6653</v>
      </c>
      <c r="BH735" s="588"/>
      <c r="BI735" s="588"/>
      <c r="BJ735" s="161">
        <v>1</v>
      </c>
      <c r="BK735" s="161">
        <v>1</v>
      </c>
      <c r="BL735" s="161"/>
      <c r="BM735" s="161"/>
      <c r="BN735" s="161"/>
      <c r="BO735" s="161"/>
      <c r="BP735" s="161">
        <v>1</v>
      </c>
      <c r="BQ735" s="161"/>
      <c r="BR735" s="161"/>
      <c r="BS735" s="161"/>
      <c r="BT735" s="161"/>
      <c r="BU735" s="161"/>
      <c r="BV735" s="161"/>
      <c r="BW735" s="596" t="s">
        <v>7056</v>
      </c>
      <c r="BX735" s="162" t="s">
        <v>6596</v>
      </c>
      <c r="BY735" s="797" t="s">
        <v>7615</v>
      </c>
      <c r="BZ735" s="790" t="s">
        <v>7610</v>
      </c>
      <c r="CA735" s="766">
        <v>2</v>
      </c>
      <c r="CB735" s="766" t="s">
        <v>7556</v>
      </c>
      <c r="CC735" s="766" t="s">
        <v>8243</v>
      </c>
      <c r="CD735" s="150" t="s">
        <v>1876</v>
      </c>
      <c r="CE735" s="150" t="s">
        <v>7106</v>
      </c>
      <c r="CF735" s="400" t="s">
        <v>7581</v>
      </c>
      <c r="CG735" s="1425" t="s">
        <v>7110</v>
      </c>
      <c r="CH735" s="1425" t="s">
        <v>7309</v>
      </c>
      <c r="CI735" s="150" t="s">
        <v>7105</v>
      </c>
      <c r="CJ735" s="150"/>
      <c r="CK735" s="1425" t="s">
        <v>7120</v>
      </c>
      <c r="CL735" s="1385" t="s">
        <v>8242</v>
      </c>
      <c r="CM735" s="1426" t="s">
        <v>7134</v>
      </c>
      <c r="CN735" s="1427" t="s">
        <v>6627</v>
      </c>
      <c r="CO735" s="1428">
        <v>82</v>
      </c>
      <c r="CP735" s="1428">
        <v>3</v>
      </c>
      <c r="CQ735" s="1428">
        <v>3</v>
      </c>
      <c r="CR735" s="1428">
        <v>1</v>
      </c>
      <c r="CS735" s="1428">
        <v>-1</v>
      </c>
      <c r="CT735" s="1429"/>
      <c r="CU735" s="1390" t="s">
        <v>8104</v>
      </c>
      <c r="CV735" s="1391">
        <v>133</v>
      </c>
      <c r="CW735" s="1391">
        <v>122</v>
      </c>
      <c r="CX735" s="1392" t="s">
        <v>7036</v>
      </c>
      <c r="CY735" s="1385">
        <v>22.214300000000001</v>
      </c>
      <c r="CZ735" s="1385" t="s">
        <v>24</v>
      </c>
      <c r="DA735" s="1385">
        <f>25.9677-Table66[[#This Row],[Data_Outcome1_M]]</f>
        <v>3.7533999999999992</v>
      </c>
      <c r="DB735" s="1385" t="s">
        <v>7045</v>
      </c>
      <c r="DC735" s="1385">
        <v>12.9178</v>
      </c>
      <c r="DD735" s="1385" t="s">
        <v>24</v>
      </c>
      <c r="DE735" s="1385">
        <f>14.4427-Table66[[#This Row],[Data_Outcome2_M]]</f>
        <v>1.5249000000000006</v>
      </c>
      <c r="DF735" s="1433" t="s">
        <v>7124</v>
      </c>
      <c r="DG735" s="1434" t="s">
        <v>7125</v>
      </c>
      <c r="DH735" s="1396"/>
      <c r="DI735" s="1397"/>
      <c r="DJ735" s="1397"/>
      <c r="DK735" s="1397"/>
      <c r="DL735" s="1397"/>
      <c r="DM735" s="1397"/>
      <c r="DN735" s="1397"/>
      <c r="DO735" s="1397"/>
      <c r="DP735" s="1394"/>
      <c r="DQ735" s="1395"/>
      <c r="DR735" s="1398"/>
      <c r="DS735" s="1399"/>
      <c r="DT735" s="1396"/>
      <c r="DU735" s="1370"/>
      <c r="DV735" s="1397"/>
      <c r="DW735" s="1370"/>
      <c r="DX735" s="1397"/>
      <c r="DY735" s="1370"/>
      <c r="DZ735" s="1397"/>
      <c r="EA735" s="1370"/>
      <c r="EB735" s="1400"/>
      <c r="EC735" s="1401"/>
      <c r="ED735" s="1396"/>
      <c r="EE735" s="1370"/>
      <c r="EF735" s="1397"/>
      <c r="EG735" s="1370"/>
      <c r="EH735" s="1397"/>
      <c r="EI735" s="1370"/>
      <c r="EJ735" s="1397"/>
      <c r="EK735" s="1370"/>
      <c r="EL735" s="1400"/>
      <c r="EM735" s="1401"/>
      <c r="EN735" s="1438"/>
      <c r="EO735" s="1402"/>
      <c r="EP735" s="1397"/>
      <c r="EQ735" s="1397"/>
      <c r="ER735" s="1397"/>
      <c r="ES735" s="1397"/>
      <c r="ET735" s="1396"/>
      <c r="EU735" s="1397"/>
      <c r="EV735" s="1397"/>
      <c r="EW735" s="1397"/>
      <c r="EX735" s="1401"/>
      <c r="EY735" s="1401"/>
      <c r="EZ735" s="1396"/>
      <c r="FA735" s="1397"/>
      <c r="FB735" s="1397"/>
      <c r="FC735" s="1397"/>
      <c r="FD735" s="1396"/>
      <c r="FE735" s="1397"/>
      <c r="FF735" s="1397"/>
      <c r="FG735" s="1397"/>
      <c r="FH735" s="1401"/>
      <c r="FI735" s="1401"/>
      <c r="FJ735" s="1402"/>
    </row>
    <row r="736" spans="1:166" ht="18" hidden="1" customHeight="1">
      <c r="A736" s="118" t="s">
        <v>965</v>
      </c>
      <c r="B736" s="616">
        <v>234</v>
      </c>
      <c r="C736" s="616">
        <v>85</v>
      </c>
      <c r="D736" s="616"/>
      <c r="E736" s="605" t="s">
        <v>2120</v>
      </c>
      <c r="F736" s="140" t="s">
        <v>2381</v>
      </c>
      <c r="G736" s="141">
        <v>2014</v>
      </c>
      <c r="H736" s="118">
        <v>24975424</v>
      </c>
      <c r="I736" s="118">
        <v>1</v>
      </c>
      <c r="J736" s="118" t="s">
        <v>1788</v>
      </c>
      <c r="K736" s="118" t="s">
        <v>23</v>
      </c>
      <c r="L736" s="118">
        <v>1</v>
      </c>
      <c r="M736" s="118"/>
      <c r="N736" s="118">
        <v>1</v>
      </c>
      <c r="O736" s="142">
        <v>2</v>
      </c>
      <c r="P736" s="118" t="s">
        <v>1398</v>
      </c>
      <c r="Q736" s="118" t="s">
        <v>1216</v>
      </c>
      <c r="R736" s="118" t="s">
        <v>1127</v>
      </c>
      <c r="S736" s="118"/>
      <c r="T736" s="118" t="s">
        <v>1487</v>
      </c>
      <c r="U736" s="118" t="s">
        <v>803</v>
      </c>
      <c r="V736" s="118"/>
      <c r="W736" s="118" t="s">
        <v>1599</v>
      </c>
      <c r="X736" s="118"/>
      <c r="Y736" s="118" t="s">
        <v>1132</v>
      </c>
      <c r="Z736" s="118"/>
      <c r="AA736" s="118" t="s">
        <v>1598</v>
      </c>
      <c r="AB736" s="118"/>
      <c r="AC736" s="145"/>
      <c r="AD736" s="573">
        <v>1</v>
      </c>
      <c r="AE736" s="573">
        <v>2</v>
      </c>
      <c r="AF736" s="352">
        <v>1</v>
      </c>
      <c r="AG736" s="160" t="s">
        <v>5862</v>
      </c>
      <c r="AH736" s="704"/>
      <c r="AI736" s="122">
        <v>4</v>
      </c>
      <c r="AJ736" s="485" t="s">
        <v>5875</v>
      </c>
      <c r="AK736" s="204"/>
      <c r="AL736" s="192" t="s">
        <v>5860</v>
      </c>
      <c r="AM736" s="205"/>
      <c r="AN736" s="122">
        <f>Table66[[#This Row],[Data_Subjects_n_ptsd]]+Table66[[#This Row],[Data_Subjects_n_control]]</f>
        <v>16</v>
      </c>
      <c r="AO736" s="122">
        <f>6</f>
        <v>6</v>
      </c>
      <c r="AP736" s="122">
        <v>10</v>
      </c>
      <c r="AQ736" s="122" t="s">
        <v>803</v>
      </c>
      <c r="AR736" s="122" t="s">
        <v>803</v>
      </c>
      <c r="AS736" s="122" t="s">
        <v>7506</v>
      </c>
      <c r="AT736" s="122" t="s">
        <v>24</v>
      </c>
      <c r="AU736" s="122" t="s">
        <v>7506</v>
      </c>
      <c r="AV736" s="122" t="s">
        <v>24</v>
      </c>
      <c r="AW736" s="122" t="s">
        <v>5854</v>
      </c>
      <c r="AX736" s="122"/>
      <c r="AY736" s="122"/>
      <c r="AZ736" s="754" t="s">
        <v>1487</v>
      </c>
      <c r="BA736" s="122">
        <v>1</v>
      </c>
      <c r="BB736" s="122">
        <v>1</v>
      </c>
      <c r="BC736" s="122" t="s">
        <v>8064</v>
      </c>
      <c r="BD736" s="754" t="s">
        <v>7521</v>
      </c>
      <c r="BE736" s="754"/>
      <c r="BF736" s="122" t="s">
        <v>1130</v>
      </c>
      <c r="BG736" s="526" t="s">
        <v>5880</v>
      </c>
      <c r="BH736" s="161"/>
      <c r="BI736" s="161"/>
      <c r="BJ736" s="161"/>
      <c r="BK736" s="161"/>
      <c r="BL736" s="161"/>
      <c r="BM736" s="161"/>
      <c r="BN736" s="161"/>
      <c r="BO736" s="161"/>
      <c r="BP736" s="161">
        <v>1</v>
      </c>
      <c r="BQ736" s="161"/>
      <c r="BR736" s="161"/>
      <c r="BS736" s="161"/>
      <c r="BT736" s="161"/>
      <c r="BU736" s="161"/>
      <c r="BV736" s="161"/>
      <c r="BW736" s="596" t="s">
        <v>5832</v>
      </c>
      <c r="BX736" s="162" t="s">
        <v>6657</v>
      </c>
      <c r="BY736" s="797" t="s">
        <v>7613</v>
      </c>
      <c r="BZ736" s="790" t="s">
        <v>803</v>
      </c>
      <c r="CA736" s="765">
        <v>1</v>
      </c>
      <c r="CB736" s="765" t="s">
        <v>7556</v>
      </c>
      <c r="CC736" s="765" t="s">
        <v>7380</v>
      </c>
      <c r="CD736" s="150" t="s">
        <v>1876</v>
      </c>
      <c r="CE736" s="150" t="s">
        <v>5855</v>
      </c>
      <c r="CF736" s="400" t="s">
        <v>7589</v>
      </c>
      <c r="CG736" s="150" t="s">
        <v>5833</v>
      </c>
      <c r="CH736" s="753" t="s">
        <v>7310</v>
      </c>
      <c r="CI736" s="150" t="s">
        <v>5829</v>
      </c>
      <c r="CJ736" s="150"/>
      <c r="CK736" s="150" t="s">
        <v>5834</v>
      </c>
      <c r="CL736" s="134" t="s">
        <v>8286</v>
      </c>
      <c r="CM736" s="258" t="s">
        <v>5887</v>
      </c>
      <c r="CN736" s="257" t="s">
        <v>6627</v>
      </c>
      <c r="CO736" s="829">
        <v>75</v>
      </c>
      <c r="CP736" s="829">
        <v>1</v>
      </c>
      <c r="CQ736" s="829">
        <v>8</v>
      </c>
      <c r="CR736" s="829">
        <v>1</v>
      </c>
      <c r="CS736" s="829">
        <v>1</v>
      </c>
      <c r="CT736" s="968"/>
      <c r="CU736" s="1289" t="s">
        <v>1878</v>
      </c>
      <c r="CV736" s="1295" t="s">
        <v>8130</v>
      </c>
      <c r="CW736" s="1295" t="s">
        <v>8130</v>
      </c>
      <c r="CX736" s="150" t="s">
        <v>5872</v>
      </c>
      <c r="CY736" s="150">
        <v>22.012</v>
      </c>
      <c r="CZ736" s="150" t="s">
        <v>24</v>
      </c>
      <c r="DA736" s="150">
        <f>28.7169-Table66[[#This Row],[Data_Outcome1_M]]</f>
        <v>6.7048999999999985</v>
      </c>
      <c r="DB736" s="150" t="s">
        <v>8063</v>
      </c>
      <c r="DC736" s="150">
        <v>7.1475900000000001</v>
      </c>
      <c r="DD736" s="150" t="s">
        <v>24</v>
      </c>
      <c r="DE736" s="150">
        <f>9.67771-Table66[[#This Row],[Data_Outcome2_M]]</f>
        <v>2.5301199999999993</v>
      </c>
      <c r="DF736" s="303" t="s">
        <v>5874</v>
      </c>
      <c r="DG736" s="303" t="s">
        <v>5885</v>
      </c>
      <c r="DH736" s="1166"/>
      <c r="DI736" s="1164"/>
      <c r="DJ736" s="1164"/>
      <c r="DK736" s="1164"/>
      <c r="DL736" s="1166"/>
      <c r="DM736" s="1164"/>
      <c r="DN736" s="1164"/>
      <c r="DO736" s="1164"/>
      <c r="DP736" s="290"/>
      <c r="DQ736" s="291"/>
      <c r="DR736" s="1168"/>
      <c r="DS736" s="865"/>
      <c r="DT736" s="1166"/>
      <c r="DU736" s="1164"/>
      <c r="DV736" s="1164"/>
      <c r="DW736" s="1164"/>
      <c r="DX736" s="1166"/>
      <c r="DY736" s="1164"/>
      <c r="DZ736" s="1164"/>
      <c r="EA736" s="1164"/>
      <c r="EB736" s="311"/>
      <c r="EC736" s="313"/>
      <c r="ED736" s="1164"/>
      <c r="EE736" s="1164"/>
      <c r="EF736" s="1164"/>
      <c r="EG736" s="1164"/>
      <c r="EH736" s="1164"/>
      <c r="EI736" s="1164"/>
      <c r="EJ736" s="1164"/>
      <c r="EK736" s="1164"/>
      <c r="EL736" s="311"/>
      <c r="EM736" s="313"/>
      <c r="EN736" s="1167"/>
      <c r="EO736" s="1165"/>
      <c r="EP736" s="1164"/>
      <c r="EQ736" s="1164"/>
      <c r="ER736" s="1164"/>
      <c r="ES736" s="1164"/>
      <c r="ET736" s="1164"/>
      <c r="EU736" s="1164"/>
      <c r="EV736" s="1164"/>
      <c r="EW736" s="1164"/>
      <c r="EX736" s="313"/>
      <c r="EY736" s="313"/>
      <c r="EZ736" s="1164"/>
      <c r="FA736" s="1164"/>
      <c r="FB736" s="1164"/>
      <c r="FC736" s="1164"/>
      <c r="FD736" s="1164"/>
      <c r="FE736" s="1164"/>
      <c r="FF736" s="1164"/>
      <c r="FG736" s="1164"/>
      <c r="FH736" s="313"/>
      <c r="FI736" s="313"/>
      <c r="FJ736" s="1165"/>
    </row>
    <row r="737" spans="1:166" ht="18" hidden="1" customHeight="1">
      <c r="A737" s="118" t="s">
        <v>965</v>
      </c>
      <c r="B737" s="616">
        <v>234</v>
      </c>
      <c r="C737" s="616">
        <v>85</v>
      </c>
      <c r="D737" s="616"/>
      <c r="E737" s="605" t="s">
        <v>2120</v>
      </c>
      <c r="F737" s="140" t="s">
        <v>2381</v>
      </c>
      <c r="G737" s="141">
        <v>2014</v>
      </c>
      <c r="H737" s="118">
        <v>24975424</v>
      </c>
      <c r="I737" s="118">
        <v>1</v>
      </c>
      <c r="J737" s="118" t="s">
        <v>1788</v>
      </c>
      <c r="K737" s="118" t="s">
        <v>23</v>
      </c>
      <c r="L737" s="118">
        <v>1</v>
      </c>
      <c r="M737" s="118"/>
      <c r="N737" s="118">
        <v>1</v>
      </c>
      <c r="O737" s="142">
        <v>2</v>
      </c>
      <c r="P737" s="118" t="s">
        <v>1398</v>
      </c>
      <c r="Q737" s="118" t="s">
        <v>1216</v>
      </c>
      <c r="R737" s="118" t="s">
        <v>1127</v>
      </c>
      <c r="S737" s="118"/>
      <c r="T737" s="118" t="s">
        <v>1487</v>
      </c>
      <c r="U737" s="118" t="s">
        <v>803</v>
      </c>
      <c r="V737" s="118"/>
      <c r="W737" s="118" t="s">
        <v>1599</v>
      </c>
      <c r="X737" s="118"/>
      <c r="Y737" s="118" t="s">
        <v>1132</v>
      </c>
      <c r="Z737" s="118"/>
      <c r="AA737" s="118" t="s">
        <v>1598</v>
      </c>
      <c r="AB737" s="118"/>
      <c r="AC737" s="145"/>
      <c r="AD737" s="573">
        <v>1</v>
      </c>
      <c r="AE737" s="573">
        <v>2</v>
      </c>
      <c r="AF737" s="159">
        <v>1</v>
      </c>
      <c r="AG737" s="160" t="s">
        <v>5862</v>
      </c>
      <c r="AH737" s="704"/>
      <c r="AI737" s="122">
        <v>4</v>
      </c>
      <c r="AJ737" s="485" t="s">
        <v>5875</v>
      </c>
      <c r="AK737" s="204"/>
      <c r="AL737" s="192" t="s">
        <v>5860</v>
      </c>
      <c r="AM737" s="205"/>
      <c r="AN737" s="122">
        <f>Table66[[#This Row],[Data_Subjects_n_ptsd]]+Table66[[#This Row],[Data_Subjects_n_control]]</f>
        <v>22</v>
      </c>
      <c r="AO737" s="122">
        <f>6</f>
        <v>6</v>
      </c>
      <c r="AP737" s="122">
        <v>16</v>
      </c>
      <c r="AQ737" s="122" t="s">
        <v>803</v>
      </c>
      <c r="AR737" s="122" t="s">
        <v>803</v>
      </c>
      <c r="AS737" s="122" t="s">
        <v>7506</v>
      </c>
      <c r="AT737" s="122" t="s">
        <v>24</v>
      </c>
      <c r="AU737" s="122" t="s">
        <v>7506</v>
      </c>
      <c r="AV737" s="122" t="s">
        <v>24</v>
      </c>
      <c r="AW737" s="122" t="s">
        <v>5854</v>
      </c>
      <c r="AX737" s="122"/>
      <c r="AY737" s="122"/>
      <c r="AZ737" s="754" t="s">
        <v>1487</v>
      </c>
      <c r="BA737" s="122">
        <v>1</v>
      </c>
      <c r="BB737" s="122">
        <v>1</v>
      </c>
      <c r="BC737" s="122" t="s">
        <v>5831</v>
      </c>
      <c r="BD737" s="754" t="s">
        <v>7526</v>
      </c>
      <c r="BE737" s="754"/>
      <c r="BF737" s="122" t="s">
        <v>1130</v>
      </c>
      <c r="BG737" s="526" t="s">
        <v>5880</v>
      </c>
      <c r="BH737" s="161"/>
      <c r="BI737" s="161"/>
      <c r="BJ737" s="161"/>
      <c r="BK737" s="161"/>
      <c r="BL737" s="161"/>
      <c r="BM737" s="161"/>
      <c r="BN737" s="161"/>
      <c r="BO737" s="161"/>
      <c r="BP737" s="161">
        <v>1</v>
      </c>
      <c r="BQ737" s="161"/>
      <c r="BR737" s="161"/>
      <c r="BS737" s="161"/>
      <c r="BT737" s="161"/>
      <c r="BU737" s="161"/>
      <c r="BV737" s="161"/>
      <c r="BW737" s="596" t="s">
        <v>5832</v>
      </c>
      <c r="BX737" s="162" t="s">
        <v>6657</v>
      </c>
      <c r="BY737" s="797" t="s">
        <v>7613</v>
      </c>
      <c r="BZ737" s="790" t="s">
        <v>803</v>
      </c>
      <c r="CA737" s="765">
        <v>1</v>
      </c>
      <c r="CB737" s="765" t="s">
        <v>7556</v>
      </c>
      <c r="CC737" s="765" t="s">
        <v>7380</v>
      </c>
      <c r="CD737" s="150" t="s">
        <v>1876</v>
      </c>
      <c r="CE737" s="150" t="s">
        <v>5855</v>
      </c>
      <c r="CF737" s="400" t="s">
        <v>7589</v>
      </c>
      <c r="CG737" s="150" t="s">
        <v>5833</v>
      </c>
      <c r="CH737" s="753" t="s">
        <v>7310</v>
      </c>
      <c r="CI737" s="150" t="s">
        <v>5829</v>
      </c>
      <c r="CJ737" s="150"/>
      <c r="CK737" s="150" t="s">
        <v>5834</v>
      </c>
      <c r="CL737" s="134" t="s">
        <v>8286</v>
      </c>
      <c r="CM737" s="258" t="s">
        <v>5887</v>
      </c>
      <c r="CN737" s="257" t="s">
        <v>6627</v>
      </c>
      <c r="CO737" s="829">
        <v>75</v>
      </c>
      <c r="CP737" s="829">
        <v>1</v>
      </c>
      <c r="CQ737" s="829">
        <v>9</v>
      </c>
      <c r="CR737" s="829">
        <v>1</v>
      </c>
      <c r="CS737" s="829">
        <v>1</v>
      </c>
      <c r="CT737" s="968"/>
      <c r="CU737" s="1289" t="s">
        <v>7609</v>
      </c>
      <c r="CV737" s="1295" t="s">
        <v>8130</v>
      </c>
      <c r="CW737" s="1295">
        <v>115</v>
      </c>
      <c r="CX737" s="150" t="s">
        <v>5872</v>
      </c>
      <c r="CY737" s="150">
        <v>22.012</v>
      </c>
      <c r="CZ737" s="150" t="s">
        <v>24</v>
      </c>
      <c r="DA737" s="150">
        <f>28.7169-Table66[[#This Row],[Data_Outcome1_M]]</f>
        <v>6.7048999999999985</v>
      </c>
      <c r="DB737" s="150" t="s">
        <v>5847</v>
      </c>
      <c r="DC737" s="150">
        <v>4.5542199999999999</v>
      </c>
      <c r="DD737" s="150" t="s">
        <v>24</v>
      </c>
      <c r="DE737" s="150">
        <f>5.94578-Table66[[#This Row],[Data_Outcome2_M]]</f>
        <v>1.3915600000000001</v>
      </c>
      <c r="DF737" s="294"/>
      <c r="DG737" s="667"/>
      <c r="DH737" s="1166"/>
      <c r="DI737" s="1164"/>
      <c r="DJ737" s="1164"/>
      <c r="DK737" s="1164"/>
      <c r="DL737" s="1166"/>
      <c r="DM737" s="1164"/>
      <c r="DN737" s="1164"/>
      <c r="DO737" s="1164"/>
      <c r="DP737" s="290"/>
      <c r="DQ737" s="291"/>
      <c r="DR737" s="1168"/>
      <c r="DS737" s="865"/>
      <c r="DT737" s="1166"/>
      <c r="DU737" s="1164"/>
      <c r="DV737" s="1164"/>
      <c r="DW737" s="1164"/>
      <c r="DX737" s="1166"/>
      <c r="DY737" s="1164"/>
      <c r="DZ737" s="1164"/>
      <c r="EA737" s="1164"/>
      <c r="EB737" s="311"/>
      <c r="EC737" s="313"/>
      <c r="ED737" s="1164"/>
      <c r="EE737" s="1164"/>
      <c r="EF737" s="1164"/>
      <c r="EG737" s="1164"/>
      <c r="EH737" s="1164"/>
      <c r="EI737" s="1164"/>
      <c r="EJ737" s="1164"/>
      <c r="EK737" s="1164"/>
      <c r="EL737" s="311"/>
      <c r="EM737" s="313"/>
      <c r="EN737" s="1167"/>
      <c r="EO737" s="1165"/>
      <c r="EP737" s="1164"/>
      <c r="EQ737" s="1164"/>
      <c r="ER737" s="1164"/>
      <c r="ES737" s="1164"/>
      <c r="ET737" s="1164"/>
      <c r="EU737" s="1164"/>
      <c r="EV737" s="1164"/>
      <c r="EW737" s="1164"/>
      <c r="EX737" s="313"/>
      <c r="EY737" s="313"/>
      <c r="EZ737" s="1164"/>
      <c r="FA737" s="1164"/>
      <c r="FB737" s="1164"/>
      <c r="FC737" s="1164"/>
      <c r="FD737" s="1164"/>
      <c r="FE737" s="1164"/>
      <c r="FF737" s="1164"/>
      <c r="FG737" s="1164"/>
      <c r="FH737" s="313"/>
      <c r="FI737" s="313"/>
      <c r="FJ737" s="1165"/>
    </row>
    <row r="738" spans="1:166" ht="18" hidden="1" customHeight="1">
      <c r="A738" s="1746" t="s">
        <v>1111</v>
      </c>
      <c r="B738" s="1741">
        <v>4</v>
      </c>
      <c r="C738" s="1741"/>
      <c r="D738" s="1741"/>
      <c r="E738" s="1830" t="s">
        <v>2052</v>
      </c>
      <c r="F738" s="1831" t="s">
        <v>2295</v>
      </c>
      <c r="G738" s="1832">
        <v>2015</v>
      </c>
      <c r="H738" s="1746">
        <v>25585683</v>
      </c>
      <c r="I738" s="1746">
        <v>1</v>
      </c>
      <c r="J738" s="1746">
        <v>1</v>
      </c>
      <c r="K738" s="1746"/>
      <c r="L738" s="1746">
        <v>1</v>
      </c>
      <c r="M738" s="1746"/>
      <c r="N738" s="1746">
        <v>1</v>
      </c>
      <c r="O738" s="1746">
        <v>2</v>
      </c>
      <c r="P738" s="1746" t="s">
        <v>1220</v>
      </c>
      <c r="Q738" s="1746" t="s">
        <v>1232</v>
      </c>
      <c r="R738" s="1746" t="s">
        <v>1138</v>
      </c>
      <c r="S738" s="1746"/>
      <c r="T738" s="1746" t="s">
        <v>1541</v>
      </c>
      <c r="U738" s="1746" t="s">
        <v>23</v>
      </c>
      <c r="V738" s="1746" t="s">
        <v>23</v>
      </c>
      <c r="W738" s="1746" t="s">
        <v>1139</v>
      </c>
      <c r="X738" s="1746" t="s">
        <v>24</v>
      </c>
      <c r="Y738" s="1746" t="s">
        <v>1132</v>
      </c>
      <c r="Z738" s="1746"/>
      <c r="AA738" s="1746"/>
      <c r="AB738" s="1746"/>
      <c r="AC738" s="1756"/>
      <c r="AD738" s="1748">
        <v>1</v>
      </c>
      <c r="AE738" s="1748">
        <v>2</v>
      </c>
      <c r="AF738" s="1786">
        <v>0</v>
      </c>
      <c r="AG738" s="1750" t="s">
        <v>8281</v>
      </c>
      <c r="AH738" s="1751"/>
      <c r="AI738" s="1756">
        <v>5</v>
      </c>
      <c r="AJ738" s="1752"/>
      <c r="AK738" s="1833" t="s">
        <v>2484</v>
      </c>
      <c r="AL738" s="1754">
        <v>1</v>
      </c>
      <c r="AM738" s="1834"/>
      <c r="AN738" s="1756">
        <v>14</v>
      </c>
      <c r="AO738" s="1756">
        <v>7</v>
      </c>
      <c r="AP738" s="1756">
        <v>7</v>
      </c>
      <c r="AQ738" s="1756" t="s">
        <v>803</v>
      </c>
      <c r="AR738" s="1756" t="s">
        <v>803</v>
      </c>
      <c r="AS738" s="1756" t="s">
        <v>2468</v>
      </c>
      <c r="AT738" s="1756" t="s">
        <v>24</v>
      </c>
      <c r="AU738" s="1756" t="s">
        <v>2468</v>
      </c>
      <c r="AV738" s="1756" t="s">
        <v>24</v>
      </c>
      <c r="AW738" s="1756" t="s">
        <v>2474</v>
      </c>
      <c r="AX738" s="1756">
        <v>1</v>
      </c>
      <c r="AY738" s="1756">
        <v>1.5</v>
      </c>
      <c r="AZ738" s="1756" t="s">
        <v>1814</v>
      </c>
      <c r="BA738" s="1756">
        <v>1</v>
      </c>
      <c r="BB738" s="1756" t="s">
        <v>3317</v>
      </c>
      <c r="BC738" s="1756" t="s">
        <v>2473</v>
      </c>
      <c r="BD738" s="1756" t="s">
        <v>7523</v>
      </c>
      <c r="BE738" s="1756"/>
      <c r="BF738" s="1756" t="s">
        <v>2603</v>
      </c>
      <c r="BG738" s="1756" t="s">
        <v>2554</v>
      </c>
      <c r="BH738" s="1757"/>
      <c r="BI738" s="1757"/>
      <c r="BJ738" s="1758"/>
      <c r="BK738" s="1758">
        <v>1</v>
      </c>
      <c r="BL738" s="1758"/>
      <c r="BM738" s="1758"/>
      <c r="BN738" s="1758"/>
      <c r="BO738" s="1758"/>
      <c r="BP738" s="1758"/>
      <c r="BQ738" s="1758"/>
      <c r="BR738" s="1758"/>
      <c r="BS738" s="1758"/>
      <c r="BT738" s="1758"/>
      <c r="BU738" s="1758"/>
      <c r="BV738" s="1758"/>
      <c r="BW738" s="1759" t="s">
        <v>7634</v>
      </c>
      <c r="BX738" s="1760" t="s">
        <v>6657</v>
      </c>
      <c r="BY738" s="1760" t="s">
        <v>7613</v>
      </c>
      <c r="BZ738" s="1760" t="s">
        <v>803</v>
      </c>
      <c r="CA738" s="1763">
        <v>1</v>
      </c>
      <c r="CB738" s="1763" t="s">
        <v>7556</v>
      </c>
      <c r="CC738" s="1763" t="s">
        <v>7384</v>
      </c>
      <c r="CD738" s="1756" t="s">
        <v>1876</v>
      </c>
      <c r="CE738" s="1756">
        <v>2</v>
      </c>
      <c r="CF738" s="1756" t="s">
        <v>8280</v>
      </c>
      <c r="CG738" s="1756" t="s">
        <v>7708</v>
      </c>
      <c r="CH738" s="1756" t="s">
        <v>7310</v>
      </c>
      <c r="CI738" s="1756" t="s">
        <v>2471</v>
      </c>
      <c r="CJ738" s="1756" t="s">
        <v>7377</v>
      </c>
      <c r="CK738" s="1756" t="s">
        <v>2660</v>
      </c>
      <c r="CL738" s="1756" t="s">
        <v>8283</v>
      </c>
      <c r="CM738" s="1764" t="s">
        <v>7409</v>
      </c>
      <c r="CN738" s="1765" t="s">
        <v>6627</v>
      </c>
      <c r="CO738" s="1766">
        <v>2</v>
      </c>
      <c r="CP738" s="1766">
        <v>1</v>
      </c>
      <c r="CQ738" s="1766">
        <v>3</v>
      </c>
      <c r="CR738" s="1766">
        <v>1</v>
      </c>
      <c r="CS738" s="1766">
        <v>1</v>
      </c>
      <c r="CT738" s="1767"/>
      <c r="CU738" s="1768" t="s">
        <v>8104</v>
      </c>
      <c r="CV738" s="1769">
        <v>140</v>
      </c>
      <c r="CW738" s="1769">
        <v>131</v>
      </c>
      <c r="CX738" s="1770" t="s">
        <v>2475</v>
      </c>
      <c r="CY738" s="1835">
        <v>325.84589999999997</v>
      </c>
      <c r="CZ738" s="1835" t="s">
        <v>24</v>
      </c>
      <c r="DA738" s="1756">
        <v>94.405100000000004</v>
      </c>
      <c r="DB738" s="1770" t="s">
        <v>2476</v>
      </c>
      <c r="DC738" s="1756">
        <v>97.234099999999998</v>
      </c>
      <c r="DD738" s="1756" t="s">
        <v>24</v>
      </c>
      <c r="DE738" s="1756">
        <v>26.803899999999999</v>
      </c>
      <c r="DF738" s="1771" t="s">
        <v>2479</v>
      </c>
      <c r="DG738" s="1772" t="s">
        <v>2480</v>
      </c>
      <c r="DH738" s="1773"/>
      <c r="DI738" s="1774"/>
      <c r="DJ738" s="1774"/>
      <c r="DK738" s="1774"/>
      <c r="DL738" s="1773"/>
      <c r="DM738" s="1774"/>
      <c r="DN738" s="1774"/>
      <c r="DO738" s="1774"/>
      <c r="DP738" s="1771"/>
      <c r="DQ738" s="1772"/>
      <c r="DR738" s="1775"/>
      <c r="DS738" s="1776"/>
      <c r="DT738" s="1773"/>
      <c r="DU738" s="1774"/>
      <c r="DV738" s="1774"/>
      <c r="DW738" s="1774"/>
      <c r="DX738" s="1774"/>
      <c r="DY738" s="1774"/>
      <c r="DZ738" s="1774"/>
      <c r="EA738" s="1774"/>
      <c r="EB738" s="1777"/>
      <c r="EC738" s="1778"/>
      <c r="ED738" s="1774"/>
      <c r="EE738" s="1774"/>
      <c r="EF738" s="1774"/>
      <c r="EG738" s="1774"/>
      <c r="EH738" s="1774"/>
      <c r="EI738" s="1774"/>
      <c r="EJ738" s="1774"/>
      <c r="EK738" s="1774"/>
      <c r="EL738" s="1777"/>
      <c r="EM738" s="1778"/>
      <c r="EN738" s="1775"/>
      <c r="EO738" s="1779"/>
      <c r="EP738" s="1774"/>
      <c r="EQ738" s="1774"/>
      <c r="ER738" s="1774"/>
      <c r="ES738" s="1774"/>
      <c r="ET738" s="1773"/>
      <c r="EU738" s="1774"/>
      <c r="EV738" s="1774"/>
      <c r="EW738" s="1774"/>
      <c r="EX738" s="1778"/>
      <c r="EY738" s="1778"/>
      <c r="EZ738" s="1773"/>
      <c r="FA738" s="1774"/>
      <c r="FB738" s="1774"/>
      <c r="FC738" s="1774"/>
      <c r="FD738" s="1773"/>
      <c r="FE738" s="1774"/>
      <c r="FF738" s="1774"/>
      <c r="FG738" s="1774"/>
      <c r="FH738" s="1778"/>
      <c r="FI738" s="1778"/>
      <c r="FJ738" s="1779"/>
    </row>
    <row r="739" spans="1:166" ht="18" hidden="1" customHeight="1">
      <c r="A739" s="153" t="s">
        <v>958</v>
      </c>
      <c r="B739" s="618">
        <v>246</v>
      </c>
      <c r="C739" s="618"/>
      <c r="D739" s="618">
        <v>102</v>
      </c>
      <c r="E739" s="610" t="s">
        <v>2126</v>
      </c>
      <c r="F739" s="368" t="s">
        <v>2387</v>
      </c>
      <c r="G739" s="369">
        <v>2015</v>
      </c>
      <c r="H739" s="153">
        <v>25659132</v>
      </c>
      <c r="I739" s="153">
        <v>1</v>
      </c>
      <c r="J739" s="370" t="s">
        <v>1865</v>
      </c>
      <c r="K739" s="371"/>
      <c r="L739" s="153">
        <v>0</v>
      </c>
      <c r="M739" s="153"/>
      <c r="N739" s="153">
        <v>0</v>
      </c>
      <c r="O739" s="153">
        <v>2</v>
      </c>
      <c r="P739" s="153" t="s">
        <v>1615</v>
      </c>
      <c r="Q739" s="153"/>
      <c r="R739" s="153" t="s">
        <v>1130</v>
      </c>
      <c r="S739" s="153"/>
      <c r="T739" s="153" t="s">
        <v>1612</v>
      </c>
      <c r="U739" s="153" t="s">
        <v>803</v>
      </c>
      <c r="V739" s="153"/>
      <c r="W739" s="153" t="s">
        <v>1613</v>
      </c>
      <c r="X739" s="153"/>
      <c r="Y739" s="153" t="s">
        <v>1381</v>
      </c>
      <c r="Z739" s="153"/>
      <c r="AA739" s="153" t="s">
        <v>440</v>
      </c>
      <c r="AB739" s="153" t="s">
        <v>424</v>
      </c>
      <c r="AC739" s="536" t="s">
        <v>6310</v>
      </c>
      <c r="AD739" s="536">
        <v>1</v>
      </c>
      <c r="AE739" s="536">
        <v>0</v>
      </c>
      <c r="AF739" s="165">
        <v>0</v>
      </c>
      <c r="AG739" s="166" t="s">
        <v>7303</v>
      </c>
      <c r="AH739" s="509">
        <v>0</v>
      </c>
      <c r="AI739" s="120">
        <v>4</v>
      </c>
      <c r="AJ739" s="120"/>
      <c r="AK739" s="206"/>
      <c r="AL739" s="372"/>
      <c r="AM739" s="207"/>
      <c r="AN739" s="120"/>
      <c r="AO739" s="120"/>
      <c r="AP739" s="120"/>
      <c r="AQ739" s="120"/>
      <c r="AR739" s="120"/>
      <c r="AS739" s="120"/>
      <c r="AT739" s="120"/>
      <c r="AU739" s="120"/>
      <c r="AV739" s="120"/>
      <c r="AW739" s="120"/>
      <c r="AX739" s="120"/>
      <c r="AY739" s="120"/>
      <c r="AZ739" s="755"/>
      <c r="BA739" s="120"/>
      <c r="BB739" s="120"/>
      <c r="BC739" s="120"/>
      <c r="BD739" s="755"/>
      <c r="BE739" s="755"/>
      <c r="BF739" s="120"/>
      <c r="BG739" s="120"/>
      <c r="BH739" s="377" t="s">
        <v>5207</v>
      </c>
      <c r="BI739" s="373" t="s">
        <v>6312</v>
      </c>
      <c r="BJ739" s="373"/>
      <c r="BK739" s="373"/>
      <c r="BL739" s="373"/>
      <c r="BM739" s="373"/>
      <c r="BN739" s="373"/>
      <c r="BO739" s="373"/>
      <c r="BP739" s="373"/>
      <c r="BQ739" s="373"/>
      <c r="BR739" s="373"/>
      <c r="BS739" s="373"/>
      <c r="BT739" s="373"/>
      <c r="BU739" s="373"/>
      <c r="BV739" s="373" t="s">
        <v>6312</v>
      </c>
      <c r="BW739" s="599"/>
      <c r="BX739" s="374"/>
      <c r="BY739" s="374"/>
      <c r="BZ739" s="374"/>
      <c r="CA739" s="511"/>
      <c r="CB739" s="511"/>
      <c r="CC739" s="511"/>
      <c r="CD739" s="120"/>
      <c r="CE739" s="120"/>
      <c r="CF739" s="120"/>
      <c r="CG739" s="120"/>
      <c r="CH739" s="755"/>
      <c r="CI739" s="120"/>
      <c r="CJ739" s="120"/>
      <c r="CK739" s="120"/>
      <c r="CL739" s="120"/>
      <c r="CM739" s="375"/>
      <c r="CN739" s="380"/>
      <c r="CO739" s="380"/>
      <c r="CP739" s="380"/>
      <c r="CQ739" s="380"/>
      <c r="CR739" s="380"/>
      <c r="CS739" s="380"/>
      <c r="CT739" s="380"/>
      <c r="CU739" s="380"/>
      <c r="CV739" s="380"/>
      <c r="CW739" s="380"/>
      <c r="CX739" s="752"/>
      <c r="CY739" s="120"/>
      <c r="CZ739" s="120"/>
      <c r="DA739" s="120"/>
      <c r="DB739" s="376"/>
      <c r="DC739" s="120"/>
      <c r="DD739" s="120"/>
      <c r="DE739" s="120"/>
      <c r="DF739" s="515"/>
      <c r="DG739" s="513"/>
      <c r="DH739" s="376"/>
      <c r="DI739" s="120"/>
      <c r="DJ739" s="384"/>
      <c r="DK739" s="120"/>
      <c r="DL739" s="727"/>
      <c r="DM739" s="120"/>
      <c r="DN739" s="384"/>
      <c r="DO739" s="120"/>
      <c r="DP739" s="375"/>
      <c r="DQ739" s="377"/>
      <c r="DR739" s="1182"/>
      <c r="DS739" s="956"/>
      <c r="DT739" s="376"/>
      <c r="DU739" s="120"/>
      <c r="DV739" s="120"/>
      <c r="DW739" s="120"/>
      <c r="DX739" s="120"/>
      <c r="DY739" s="384"/>
      <c r="DZ739" s="384"/>
      <c r="EA739" s="384"/>
      <c r="EB739" s="1012"/>
      <c r="EC739" s="384"/>
      <c r="ED739" s="384"/>
      <c r="EE739" s="384"/>
      <c r="EF739" s="384"/>
      <c r="EG739" s="384"/>
      <c r="EH739" s="384"/>
      <c r="EI739" s="384"/>
      <c r="EJ739" s="384"/>
      <c r="EK739" s="384"/>
      <c r="EL739" s="1012"/>
      <c r="EM739" s="384"/>
      <c r="EN739" s="1012"/>
      <c r="EO739" s="384"/>
      <c r="EP739" s="120"/>
      <c r="EQ739" s="120"/>
      <c r="ER739" s="120"/>
      <c r="ES739" s="120"/>
      <c r="ET739" s="376"/>
      <c r="EU739" s="384"/>
      <c r="EV739" s="384"/>
      <c r="EW739" s="384"/>
      <c r="EX739" s="384"/>
      <c r="EY739" s="384"/>
      <c r="EZ739" s="727"/>
      <c r="FA739" s="384"/>
      <c r="FB739" s="384"/>
      <c r="FC739" s="384"/>
      <c r="FD739" s="727"/>
      <c r="FE739" s="384"/>
      <c r="FF739" s="384"/>
      <c r="FG739" s="384"/>
      <c r="FH739" s="384"/>
      <c r="FI739" s="384"/>
      <c r="FJ739" s="384"/>
    </row>
    <row r="740" spans="1:166" s="717" customFormat="1" ht="18" hidden="1" customHeight="1">
      <c r="A740" s="153" t="s">
        <v>957</v>
      </c>
      <c r="B740" s="1097">
        <v>247</v>
      </c>
      <c r="C740" s="1097">
        <v>90</v>
      </c>
      <c r="D740" s="1097"/>
      <c r="E740" s="1098" t="s">
        <v>2126</v>
      </c>
      <c r="F740" s="1021" t="s">
        <v>2388</v>
      </c>
      <c r="G740" s="1099">
        <v>2000</v>
      </c>
      <c r="H740" s="153">
        <v>11006431</v>
      </c>
      <c r="I740" s="153">
        <v>1</v>
      </c>
      <c r="J740" s="153"/>
      <c r="K740" s="153"/>
      <c r="L740" s="153">
        <v>1</v>
      </c>
      <c r="M740" s="153"/>
      <c r="N740" s="153">
        <v>1</v>
      </c>
      <c r="O740" s="153">
        <v>2</v>
      </c>
      <c r="P740" s="153" t="s">
        <v>1586</v>
      </c>
      <c r="Q740" s="153" t="s">
        <v>1147</v>
      </c>
      <c r="R740" s="153"/>
      <c r="S740" s="153"/>
      <c r="T740" s="153" t="s">
        <v>1721</v>
      </c>
      <c r="U740" s="153"/>
      <c r="V740" s="153"/>
      <c r="W740" s="153" t="s">
        <v>1617</v>
      </c>
      <c r="X740" s="153" t="s">
        <v>1616</v>
      </c>
      <c r="Y740" s="153"/>
      <c r="Z740" s="153"/>
      <c r="AA740" s="153"/>
      <c r="AB740" s="153"/>
      <c r="AC740" s="536"/>
      <c r="AD740" s="536">
        <v>1</v>
      </c>
      <c r="AE740" s="536">
        <v>2</v>
      </c>
      <c r="AF740" s="576">
        <v>0</v>
      </c>
      <c r="AG740" s="1686" t="s">
        <v>8182</v>
      </c>
      <c r="AH740" s="509"/>
      <c r="AI740" s="509">
        <v>4</v>
      </c>
      <c r="AJ740" s="509" t="s">
        <v>5907</v>
      </c>
      <c r="AK740" s="512" t="s">
        <v>5910</v>
      </c>
      <c r="AL740" s="513">
        <v>0</v>
      </c>
      <c r="AM740" s="514">
        <v>0</v>
      </c>
      <c r="AN740" s="509">
        <f>Table66[[#This Row],[Data_Subjects_n_ptsd]]+Table66[[#This Row],[Data_Subjects_n_control]]</f>
        <v>15</v>
      </c>
      <c r="AO740" s="509">
        <v>10</v>
      </c>
      <c r="AP740" s="509">
        <v>5</v>
      </c>
      <c r="AQ740" s="509" t="s">
        <v>803</v>
      </c>
      <c r="AR740" s="509" t="s">
        <v>803</v>
      </c>
      <c r="AS740" s="509" t="s">
        <v>2687</v>
      </c>
      <c r="AT740" s="509" t="s">
        <v>24</v>
      </c>
      <c r="AU740" s="509" t="s">
        <v>2687</v>
      </c>
      <c r="AV740" s="509" t="s">
        <v>24</v>
      </c>
      <c r="AW740" s="509" t="s">
        <v>5890</v>
      </c>
      <c r="AX740" s="509"/>
      <c r="AY740" s="509"/>
      <c r="AZ740" s="509" t="s">
        <v>1721</v>
      </c>
      <c r="BA740" s="509">
        <v>1</v>
      </c>
      <c r="BB740" s="509">
        <v>1</v>
      </c>
      <c r="BC740" s="509" t="s">
        <v>7543</v>
      </c>
      <c r="BD740" s="509" t="s">
        <v>7523</v>
      </c>
      <c r="BE740" s="509"/>
      <c r="BF740" s="509" t="s">
        <v>3698</v>
      </c>
      <c r="BG740" s="509" t="s">
        <v>4508</v>
      </c>
      <c r="BH740" s="513"/>
      <c r="BI740" s="513"/>
      <c r="BJ740" s="511"/>
      <c r="BK740" s="511"/>
      <c r="BL740" s="511"/>
      <c r="BM740" s="511"/>
      <c r="BN740" s="511"/>
      <c r="BO740" s="511"/>
      <c r="BP740" s="511">
        <v>1</v>
      </c>
      <c r="BQ740" s="511"/>
      <c r="BR740" s="511"/>
      <c r="BS740" s="511"/>
      <c r="BT740" s="511"/>
      <c r="BU740" s="511"/>
      <c r="BV740" s="511"/>
      <c r="BW740" s="511" t="s">
        <v>5893</v>
      </c>
      <c r="BX740" s="510" t="s">
        <v>6617</v>
      </c>
      <c r="BY740" s="510" t="s">
        <v>7614</v>
      </c>
      <c r="BZ740" s="510" t="s">
        <v>7611</v>
      </c>
      <c r="CA740" s="510">
        <v>2</v>
      </c>
      <c r="CB740" s="510" t="s">
        <v>7562</v>
      </c>
      <c r="CC740" s="510" t="s">
        <v>7384</v>
      </c>
      <c r="CD740" s="509" t="s">
        <v>1876</v>
      </c>
      <c r="CE740" s="509">
        <v>2</v>
      </c>
      <c r="CF740" s="509" t="s">
        <v>7600</v>
      </c>
      <c r="CG740" s="509" t="s">
        <v>5892</v>
      </c>
      <c r="CH740" s="509" t="s">
        <v>1512</v>
      </c>
      <c r="CI740" s="509" t="s">
        <v>5889</v>
      </c>
      <c r="CJ740" s="509"/>
      <c r="CK740" s="1194" t="s">
        <v>5901</v>
      </c>
      <c r="CL740" s="1194"/>
      <c r="CM740" s="515" t="s">
        <v>5904</v>
      </c>
      <c r="CN740" s="621" t="s">
        <v>6634</v>
      </c>
      <c r="CO740" s="621"/>
      <c r="CP740" s="621"/>
      <c r="CQ740" s="621"/>
      <c r="CR740" s="621"/>
      <c r="CS740" s="621"/>
      <c r="CT740" s="621"/>
      <c r="CU740" s="621"/>
      <c r="CV740" s="621"/>
      <c r="CW740" s="621"/>
      <c r="CX740" s="510" t="s">
        <v>5894</v>
      </c>
      <c r="CY740" s="509">
        <v>53.112200000000001</v>
      </c>
      <c r="CZ740" s="509" t="s">
        <v>5898</v>
      </c>
      <c r="DA740" s="509">
        <f>56.8311-Table66[[#This Row],[Data_Outcome1_M]]</f>
        <v>3.7188999999999979</v>
      </c>
      <c r="DB740" s="510" t="s">
        <v>5895</v>
      </c>
      <c r="DC740" s="509">
        <v>44.869799999999998</v>
      </c>
      <c r="DD740" s="509" t="s">
        <v>5898</v>
      </c>
      <c r="DE740" s="509">
        <f>47.349-Table66[[#This Row],[Data_Outcome2_M]]</f>
        <v>2.4791999999999987</v>
      </c>
      <c r="DF740" s="515" t="s">
        <v>8078</v>
      </c>
      <c r="DG740" s="513" t="s">
        <v>5899</v>
      </c>
      <c r="DH740" s="509"/>
      <c r="DI740" s="509"/>
      <c r="DJ740" s="1194"/>
      <c r="DK740" s="509"/>
      <c r="DL740" s="1194"/>
      <c r="DM740" s="509"/>
      <c r="DN740" s="1194"/>
      <c r="DO740" s="509"/>
      <c r="DP740" s="515"/>
      <c r="DQ740" s="513"/>
      <c r="DR740" s="1182"/>
      <c r="DS740" s="956"/>
      <c r="DT740" s="956"/>
      <c r="DU740" s="1194"/>
      <c r="DV740" s="1194"/>
      <c r="DW740" s="1194"/>
      <c r="DX740" s="1194"/>
      <c r="DY740" s="1194"/>
      <c r="DZ740" s="1194"/>
      <c r="EA740" s="1194"/>
      <c r="EB740" s="1182"/>
      <c r="EC740" s="1194"/>
      <c r="ED740" s="1194"/>
      <c r="EE740" s="1194"/>
      <c r="EF740" s="1194"/>
      <c r="EG740" s="1194"/>
      <c r="EH740" s="1194"/>
      <c r="EI740" s="1194"/>
      <c r="EJ740" s="1194"/>
      <c r="EK740" s="1194"/>
      <c r="EL740" s="1182"/>
      <c r="EM740" s="1194"/>
      <c r="EN740" s="1182"/>
      <c r="EO740" s="1194"/>
      <c r="EP740" s="1194"/>
      <c r="EQ740" s="1194"/>
      <c r="ER740" s="1194"/>
      <c r="ES740" s="1194"/>
      <c r="ET740" s="956"/>
      <c r="EU740" s="1194"/>
      <c r="EV740" s="1194"/>
      <c r="EW740" s="1194"/>
      <c r="EX740" s="1194"/>
      <c r="EY740" s="1194"/>
      <c r="EZ740" s="956"/>
      <c r="FA740" s="1194"/>
      <c r="FB740" s="1194"/>
      <c r="FC740" s="1194"/>
      <c r="FD740" s="956"/>
      <c r="FE740" s="1194"/>
      <c r="FF740" s="1194"/>
      <c r="FG740" s="1194"/>
      <c r="FH740" s="1194"/>
      <c r="FI740" s="1194"/>
      <c r="FJ740" s="1194"/>
    </row>
    <row r="741" spans="1:166" s="717" customFormat="1" ht="18" hidden="1" customHeight="1">
      <c r="A741" s="153" t="s">
        <v>957</v>
      </c>
      <c r="B741" s="1097">
        <v>247</v>
      </c>
      <c r="C741" s="1097">
        <v>90</v>
      </c>
      <c r="D741" s="1097"/>
      <c r="E741" s="1098" t="s">
        <v>2126</v>
      </c>
      <c r="F741" s="1021" t="s">
        <v>2388</v>
      </c>
      <c r="G741" s="1099">
        <v>2000</v>
      </c>
      <c r="H741" s="153">
        <v>11006431</v>
      </c>
      <c r="I741" s="153">
        <v>1</v>
      </c>
      <c r="J741" s="153"/>
      <c r="K741" s="153"/>
      <c r="L741" s="153">
        <v>1</v>
      </c>
      <c r="M741" s="153"/>
      <c r="N741" s="153">
        <v>1</v>
      </c>
      <c r="O741" s="153">
        <v>2</v>
      </c>
      <c r="P741" s="153" t="s">
        <v>1586</v>
      </c>
      <c r="Q741" s="153" t="s">
        <v>1147</v>
      </c>
      <c r="R741" s="153"/>
      <c r="S741" s="153"/>
      <c r="T741" s="153" t="s">
        <v>1721</v>
      </c>
      <c r="U741" s="153"/>
      <c r="V741" s="153"/>
      <c r="W741" s="153" t="s">
        <v>1617</v>
      </c>
      <c r="X741" s="153" t="s">
        <v>1616</v>
      </c>
      <c r="Y741" s="153"/>
      <c r="Z741" s="153"/>
      <c r="AA741" s="153"/>
      <c r="AB741" s="153"/>
      <c r="AC741" s="536"/>
      <c r="AD741" s="536">
        <v>1</v>
      </c>
      <c r="AE741" s="536">
        <v>2</v>
      </c>
      <c r="AF741" s="576">
        <v>0</v>
      </c>
      <c r="AG741" s="1686" t="s">
        <v>8180</v>
      </c>
      <c r="AH741" s="509"/>
      <c r="AI741" s="509">
        <v>4</v>
      </c>
      <c r="AJ741" s="509" t="s">
        <v>5907</v>
      </c>
      <c r="AK741" s="512" t="s">
        <v>5910</v>
      </c>
      <c r="AL741" s="513">
        <v>0</v>
      </c>
      <c r="AM741" s="514">
        <v>0</v>
      </c>
      <c r="AN741" s="509">
        <f>Table66[[#This Row],[Data_Subjects_n_ptsd]]+Table66[[#This Row],[Data_Subjects_n_control]]</f>
        <v>15</v>
      </c>
      <c r="AO741" s="509">
        <v>10</v>
      </c>
      <c r="AP741" s="509">
        <v>5</v>
      </c>
      <c r="AQ741" s="509" t="s">
        <v>803</v>
      </c>
      <c r="AR741" s="509" t="s">
        <v>803</v>
      </c>
      <c r="AS741" s="509" t="s">
        <v>2687</v>
      </c>
      <c r="AT741" s="509" t="s">
        <v>24</v>
      </c>
      <c r="AU741" s="509" t="s">
        <v>2687</v>
      </c>
      <c r="AV741" s="509" t="s">
        <v>24</v>
      </c>
      <c r="AW741" s="509" t="s">
        <v>5890</v>
      </c>
      <c r="AX741" s="509"/>
      <c r="AY741" s="509"/>
      <c r="AZ741" s="509" t="s">
        <v>1721</v>
      </c>
      <c r="BA741" s="509">
        <v>1</v>
      </c>
      <c r="BB741" s="509">
        <v>1</v>
      </c>
      <c r="BC741" s="509" t="s">
        <v>7543</v>
      </c>
      <c r="BD741" s="509" t="s">
        <v>7523</v>
      </c>
      <c r="BE741" s="509"/>
      <c r="BF741" s="509" t="s">
        <v>3698</v>
      </c>
      <c r="BG741" s="509" t="s">
        <v>4508</v>
      </c>
      <c r="BH741" s="513"/>
      <c r="BI741" s="513"/>
      <c r="BJ741" s="511"/>
      <c r="BK741" s="511"/>
      <c r="BL741" s="511"/>
      <c r="BM741" s="511"/>
      <c r="BN741" s="511"/>
      <c r="BO741" s="511"/>
      <c r="BP741" s="511">
        <v>1</v>
      </c>
      <c r="BQ741" s="511"/>
      <c r="BR741" s="511"/>
      <c r="BS741" s="511"/>
      <c r="BT741" s="511"/>
      <c r="BU741" s="511"/>
      <c r="BV741" s="511"/>
      <c r="BW741" s="511" t="s">
        <v>5893</v>
      </c>
      <c r="BX741" s="510" t="s">
        <v>6617</v>
      </c>
      <c r="BY741" s="510" t="s">
        <v>7614</v>
      </c>
      <c r="BZ741" s="510" t="s">
        <v>7611</v>
      </c>
      <c r="CA741" s="511">
        <v>2</v>
      </c>
      <c r="CB741" s="511" t="s">
        <v>7562</v>
      </c>
      <c r="CC741" s="511" t="s">
        <v>7384</v>
      </c>
      <c r="CD741" s="509" t="s">
        <v>1876</v>
      </c>
      <c r="CE741" s="509">
        <v>2</v>
      </c>
      <c r="CF741" s="509" t="s">
        <v>7600</v>
      </c>
      <c r="CG741" s="509" t="s">
        <v>5892</v>
      </c>
      <c r="CH741" s="509" t="s">
        <v>1512</v>
      </c>
      <c r="CI741" s="509" t="s">
        <v>5889</v>
      </c>
      <c r="CJ741" s="509"/>
      <c r="CK741" s="1194" t="s">
        <v>5901</v>
      </c>
      <c r="CL741" s="1194"/>
      <c r="CM741" s="515" t="s">
        <v>5904</v>
      </c>
      <c r="CN741" s="621" t="s">
        <v>6634</v>
      </c>
      <c r="CO741" s="621">
        <v>83</v>
      </c>
      <c r="CP741" s="621">
        <v>1</v>
      </c>
      <c r="CQ741" s="621">
        <v>1</v>
      </c>
      <c r="CR741" s="621">
        <v>1</v>
      </c>
      <c r="CS741" s="621">
        <v>1</v>
      </c>
      <c r="CT741" s="621"/>
      <c r="CU741" s="621" t="s">
        <v>8104</v>
      </c>
      <c r="CV741" s="515">
        <v>134</v>
      </c>
      <c r="CW741" s="515">
        <v>123</v>
      </c>
      <c r="CX741" s="510" t="s">
        <v>5897</v>
      </c>
      <c r="CY741" s="509">
        <v>28.795000000000002</v>
      </c>
      <c r="CZ741" s="509"/>
      <c r="DA741" s="509">
        <f>31.0687-Table66[[#This Row],[Data_Outcome1_M]]</f>
        <v>2.2736999999999981</v>
      </c>
      <c r="DB741" s="510" t="s">
        <v>5896</v>
      </c>
      <c r="DC741" s="509">
        <v>45.845399999999998</v>
      </c>
      <c r="DD741" s="509"/>
      <c r="DE741" s="509">
        <f>48.7482-Table66[[#This Row],[Data_Outcome2_M]]</f>
        <v>2.9027999999999992</v>
      </c>
      <c r="DF741" s="515" t="s">
        <v>8173</v>
      </c>
      <c r="DG741" s="513" t="s">
        <v>5899</v>
      </c>
      <c r="DH741" s="1135"/>
      <c r="DI741" s="635"/>
      <c r="DJ741" s="1194"/>
      <c r="DK741" s="635"/>
      <c r="DL741" s="956"/>
      <c r="DM741" s="635"/>
      <c r="DN741" s="1194"/>
      <c r="DO741" s="1122"/>
      <c r="DP741" s="515"/>
      <c r="DQ741" s="1141"/>
      <c r="DR741" s="1182"/>
      <c r="DS741" s="956"/>
      <c r="DT741" s="956"/>
      <c r="DU741" s="635"/>
      <c r="DV741" s="1194"/>
      <c r="DW741" s="635"/>
      <c r="DX741" s="956"/>
      <c r="DY741" s="635"/>
      <c r="DZ741" s="1194"/>
      <c r="EA741" s="635"/>
      <c r="EB741" s="1182"/>
      <c r="EC741" s="1194"/>
      <c r="ED741" s="1194"/>
      <c r="EE741" s="1194"/>
      <c r="EF741" s="1194"/>
      <c r="EG741" s="1194"/>
      <c r="EH741" s="1194"/>
      <c r="EI741" s="1194"/>
      <c r="EJ741" s="1194"/>
      <c r="EK741" s="1194"/>
      <c r="EL741" s="1182"/>
      <c r="EM741" s="1194"/>
      <c r="EN741" s="1182"/>
      <c r="EO741" s="1194"/>
      <c r="EP741" s="1194"/>
      <c r="EQ741" s="1194"/>
      <c r="ER741" s="1194"/>
      <c r="ES741" s="1194"/>
      <c r="ET741" s="956"/>
      <c r="EU741" s="1194"/>
      <c r="EV741" s="1194"/>
      <c r="EW741" s="1194"/>
      <c r="EX741" s="1194"/>
      <c r="EY741" s="1194"/>
      <c r="EZ741" s="956"/>
      <c r="FA741" s="1194"/>
      <c r="FB741" s="1194"/>
      <c r="FC741" s="1194"/>
      <c r="FD741" s="956"/>
      <c r="FE741" s="1194"/>
      <c r="FF741" s="1194"/>
      <c r="FG741" s="1194"/>
      <c r="FH741" s="1194"/>
      <c r="FI741" s="1194"/>
      <c r="FJ741" s="1194"/>
    </row>
    <row r="742" spans="1:166" s="717" customFormat="1" ht="18" hidden="1" customHeight="1">
      <c r="A742" s="153" t="s">
        <v>957</v>
      </c>
      <c r="B742" s="1097">
        <v>247</v>
      </c>
      <c r="C742" s="1097">
        <v>90</v>
      </c>
      <c r="D742" s="1097"/>
      <c r="E742" s="1098" t="s">
        <v>2126</v>
      </c>
      <c r="F742" s="1021" t="s">
        <v>2388</v>
      </c>
      <c r="G742" s="1099">
        <v>2000</v>
      </c>
      <c r="H742" s="153">
        <v>11006431</v>
      </c>
      <c r="I742" s="153">
        <v>1</v>
      </c>
      <c r="J742" s="153"/>
      <c r="K742" s="153"/>
      <c r="L742" s="153">
        <v>1</v>
      </c>
      <c r="M742" s="153"/>
      <c r="N742" s="153">
        <v>1</v>
      </c>
      <c r="O742" s="153">
        <v>2</v>
      </c>
      <c r="P742" s="153" t="s">
        <v>1586</v>
      </c>
      <c r="Q742" s="153" t="s">
        <v>1147</v>
      </c>
      <c r="R742" s="153"/>
      <c r="S742" s="153"/>
      <c r="T742" s="153" t="s">
        <v>1721</v>
      </c>
      <c r="U742" s="153"/>
      <c r="V742" s="153"/>
      <c r="W742" s="153" t="s">
        <v>1617</v>
      </c>
      <c r="X742" s="153" t="s">
        <v>1616</v>
      </c>
      <c r="Y742" s="153"/>
      <c r="Z742" s="153"/>
      <c r="AA742" s="153"/>
      <c r="AB742" s="153"/>
      <c r="AC742" s="536"/>
      <c r="AD742" s="536">
        <v>1</v>
      </c>
      <c r="AE742" s="536">
        <v>2</v>
      </c>
      <c r="AF742" s="576">
        <v>0</v>
      </c>
      <c r="AG742" s="1686" t="s">
        <v>8181</v>
      </c>
      <c r="AH742" s="509"/>
      <c r="AI742" s="509">
        <v>4</v>
      </c>
      <c r="AJ742" s="509" t="s">
        <v>5907</v>
      </c>
      <c r="AK742" s="512" t="s">
        <v>5910</v>
      </c>
      <c r="AL742" s="513">
        <v>0</v>
      </c>
      <c r="AM742" s="514">
        <v>0</v>
      </c>
      <c r="AN742" s="509">
        <f>Table66[[#This Row],[Data_Subjects_n_ptsd]]+Table66[[#This Row],[Data_Subjects_n_control]]</f>
        <v>15</v>
      </c>
      <c r="AO742" s="509">
        <v>10</v>
      </c>
      <c r="AP742" s="509">
        <v>5</v>
      </c>
      <c r="AQ742" s="509" t="s">
        <v>803</v>
      </c>
      <c r="AR742" s="509" t="s">
        <v>803</v>
      </c>
      <c r="AS742" s="509" t="s">
        <v>2687</v>
      </c>
      <c r="AT742" s="509" t="s">
        <v>24</v>
      </c>
      <c r="AU742" s="509" t="s">
        <v>2687</v>
      </c>
      <c r="AV742" s="509" t="s">
        <v>24</v>
      </c>
      <c r="AW742" s="509" t="s">
        <v>5890</v>
      </c>
      <c r="AX742" s="509"/>
      <c r="AY742" s="509"/>
      <c r="AZ742" s="509" t="s">
        <v>1721</v>
      </c>
      <c r="BA742" s="509">
        <v>1</v>
      </c>
      <c r="BB742" s="509">
        <v>1</v>
      </c>
      <c r="BC742" s="509" t="s">
        <v>7543</v>
      </c>
      <c r="BD742" s="509" t="s">
        <v>7523</v>
      </c>
      <c r="BE742" s="509"/>
      <c r="BF742" s="509" t="s">
        <v>3698</v>
      </c>
      <c r="BG742" s="509" t="s">
        <v>4508</v>
      </c>
      <c r="BH742" s="513"/>
      <c r="BI742" s="513"/>
      <c r="BJ742" s="511"/>
      <c r="BK742" s="511"/>
      <c r="BL742" s="511"/>
      <c r="BM742" s="511"/>
      <c r="BN742" s="511"/>
      <c r="BO742" s="511"/>
      <c r="BP742" s="511">
        <v>1</v>
      </c>
      <c r="BQ742" s="511"/>
      <c r="BR742" s="511"/>
      <c r="BS742" s="511"/>
      <c r="BT742" s="511"/>
      <c r="BU742" s="511"/>
      <c r="BV742" s="511"/>
      <c r="BW742" s="511" t="s">
        <v>5893</v>
      </c>
      <c r="BX742" s="510" t="s">
        <v>6617</v>
      </c>
      <c r="BY742" s="510" t="s">
        <v>7614</v>
      </c>
      <c r="BZ742" s="510" t="s">
        <v>7611</v>
      </c>
      <c r="CA742" s="511">
        <v>2</v>
      </c>
      <c r="CB742" s="511" t="s">
        <v>7562</v>
      </c>
      <c r="CC742" s="511" t="s">
        <v>7384</v>
      </c>
      <c r="CD742" s="509" t="s">
        <v>1876</v>
      </c>
      <c r="CE742" s="509">
        <v>2</v>
      </c>
      <c r="CF742" s="509" t="s">
        <v>7600</v>
      </c>
      <c r="CG742" s="509" t="s">
        <v>5892</v>
      </c>
      <c r="CH742" s="509" t="s">
        <v>1512</v>
      </c>
      <c r="CI742" s="509" t="s">
        <v>5889</v>
      </c>
      <c r="CJ742" s="509"/>
      <c r="CK742" s="1194" t="s">
        <v>5901</v>
      </c>
      <c r="CL742" s="1194"/>
      <c r="CM742" s="515" t="s">
        <v>5904</v>
      </c>
      <c r="CN742" s="621" t="s">
        <v>6634</v>
      </c>
      <c r="CO742" s="621">
        <v>83</v>
      </c>
      <c r="CP742" s="621">
        <v>1</v>
      </c>
      <c r="CQ742" s="621">
        <v>2</v>
      </c>
      <c r="CR742" s="621">
        <v>1</v>
      </c>
      <c r="CS742" s="621">
        <v>1</v>
      </c>
      <c r="CT742" s="621" t="s">
        <v>8079</v>
      </c>
      <c r="CU742" s="621" t="s">
        <v>8104</v>
      </c>
      <c r="CV742" s="515">
        <v>134</v>
      </c>
      <c r="CW742" s="515">
        <v>123</v>
      </c>
      <c r="CX742" s="510" t="s">
        <v>5906</v>
      </c>
      <c r="CY742" s="509">
        <v>24.32</v>
      </c>
      <c r="CZ742" s="509"/>
      <c r="DA742" s="509">
        <v>3.89</v>
      </c>
      <c r="DB742" s="510" t="s">
        <v>5905</v>
      </c>
      <c r="DC742" s="509">
        <v>-0.36</v>
      </c>
      <c r="DD742" s="509"/>
      <c r="DE742" s="509">
        <v>3.94</v>
      </c>
      <c r="DF742" s="515" t="s">
        <v>8090</v>
      </c>
      <c r="DG742" s="513" t="s">
        <v>5909</v>
      </c>
      <c r="DH742" s="510"/>
      <c r="DI742" s="509"/>
      <c r="DJ742" s="1194"/>
      <c r="DK742" s="509"/>
      <c r="DL742" s="956"/>
      <c r="DM742" s="509"/>
      <c r="DN742" s="1194"/>
      <c r="DO742" s="509"/>
      <c r="DP742" s="515"/>
      <c r="DQ742" s="513"/>
      <c r="DR742" s="621"/>
      <c r="DS742" s="956"/>
      <c r="DT742" s="956"/>
      <c r="DU742" s="509"/>
      <c r="DV742" s="1194"/>
      <c r="DW742" s="509"/>
      <c r="DX742" s="956"/>
      <c r="DY742" s="509"/>
      <c r="DZ742" s="1194"/>
      <c r="EA742" s="509"/>
      <c r="EB742" s="1182"/>
      <c r="EC742" s="1194"/>
      <c r="ED742" s="1194"/>
      <c r="EE742" s="509"/>
      <c r="EF742" s="1194"/>
      <c r="EG742" s="509"/>
      <c r="EH742" s="1194"/>
      <c r="EI742" s="509"/>
      <c r="EJ742" s="1194"/>
      <c r="EK742" s="509"/>
      <c r="EL742" s="1182"/>
      <c r="EM742" s="1194"/>
      <c r="EN742" s="1182"/>
      <c r="EO742" s="1194"/>
      <c r="EP742" s="1194"/>
      <c r="EQ742" s="1194"/>
      <c r="ER742" s="1194"/>
      <c r="ES742" s="1194"/>
      <c r="ET742" s="956"/>
      <c r="EU742" s="1194"/>
      <c r="EV742" s="1194"/>
      <c r="EW742" s="1194"/>
      <c r="EX742" s="1194"/>
      <c r="EY742" s="1194"/>
      <c r="EZ742" s="956"/>
      <c r="FA742" s="1194"/>
      <c r="FB742" s="1194"/>
      <c r="FC742" s="1194"/>
      <c r="FD742" s="956"/>
      <c r="FE742" s="1194"/>
      <c r="FF742" s="1194"/>
      <c r="FG742" s="1194"/>
      <c r="FH742" s="1194"/>
      <c r="FI742" s="1194"/>
      <c r="FJ742" s="1194"/>
    </row>
    <row r="743" spans="1:166" ht="18" hidden="1" customHeight="1">
      <c r="A743" s="153" t="s">
        <v>955</v>
      </c>
      <c r="B743" s="618">
        <v>50</v>
      </c>
      <c r="C743" s="618"/>
      <c r="D743" s="618"/>
      <c r="E743" s="610" t="s">
        <v>2126</v>
      </c>
      <c r="F743" s="368" t="s">
        <v>2389</v>
      </c>
      <c r="G743" s="369">
        <v>2008</v>
      </c>
      <c r="H743" s="153">
        <v>18577419</v>
      </c>
      <c r="I743" s="153">
        <v>1</v>
      </c>
      <c r="J743" s="370"/>
      <c r="K743" s="371"/>
      <c r="L743" s="153">
        <v>1</v>
      </c>
      <c r="M743" s="153"/>
      <c r="N743" s="169">
        <v>1</v>
      </c>
      <c r="O743" s="153">
        <v>2</v>
      </c>
      <c r="P743" s="153" t="s">
        <v>22</v>
      </c>
      <c r="Q743" s="153" t="s">
        <v>24</v>
      </c>
      <c r="R743" s="153" t="s">
        <v>1130</v>
      </c>
      <c r="S743" s="153"/>
      <c r="T743" s="153" t="s">
        <v>1619</v>
      </c>
      <c r="U743" s="153" t="s">
        <v>803</v>
      </c>
      <c r="V743" s="153"/>
      <c r="W743" s="153" t="s">
        <v>1722</v>
      </c>
      <c r="X743" s="153"/>
      <c r="Y743" s="153"/>
      <c r="Z743" s="153"/>
      <c r="AA743" s="153" t="s">
        <v>1620</v>
      </c>
      <c r="AB743" s="153" t="s">
        <v>424</v>
      </c>
      <c r="AC743" s="536"/>
      <c r="AD743" s="536">
        <v>1</v>
      </c>
      <c r="AE743" s="536">
        <v>2</v>
      </c>
      <c r="AF743" s="165">
        <v>0</v>
      </c>
      <c r="AG743" s="166" t="s">
        <v>8072</v>
      </c>
      <c r="AH743" s="509" t="s">
        <v>7371</v>
      </c>
      <c r="AI743" s="120">
        <v>4</v>
      </c>
      <c r="AJ743" s="120"/>
      <c r="AK743" s="206" t="s">
        <v>3660</v>
      </c>
      <c r="AL743" s="372">
        <v>2</v>
      </c>
      <c r="AM743" s="207">
        <v>1</v>
      </c>
      <c r="AN743" s="120">
        <f>12+9+12</f>
        <v>33</v>
      </c>
      <c r="AO743" s="120">
        <v>12</v>
      </c>
      <c r="AP743" s="120" t="s">
        <v>3675</v>
      </c>
      <c r="AQ743" s="120" t="s">
        <v>803</v>
      </c>
      <c r="AR743" s="120" t="s">
        <v>803</v>
      </c>
      <c r="AS743" s="120" t="s">
        <v>2667</v>
      </c>
      <c r="AT743" s="120" t="s">
        <v>24</v>
      </c>
      <c r="AU743" s="120" t="s">
        <v>2667</v>
      </c>
      <c r="AV743" s="120" t="s">
        <v>24</v>
      </c>
      <c r="AW743" s="734" t="s">
        <v>7630</v>
      </c>
      <c r="AX743" s="734"/>
      <c r="AY743" s="734"/>
      <c r="AZ743" s="755" t="s">
        <v>7631</v>
      </c>
      <c r="BA743" s="120">
        <v>1</v>
      </c>
      <c r="BB743" s="120">
        <v>1</v>
      </c>
      <c r="BC743" s="734" t="s">
        <v>7531</v>
      </c>
      <c r="BD743" s="755" t="s">
        <v>7532</v>
      </c>
      <c r="BE743" s="755"/>
      <c r="BF743" s="120" t="s">
        <v>1130</v>
      </c>
      <c r="BG743" s="120" t="s">
        <v>2798</v>
      </c>
      <c r="BH743" s="377"/>
      <c r="BI743" s="377"/>
      <c r="BJ743" s="373">
        <v>1</v>
      </c>
      <c r="BK743" s="373"/>
      <c r="BL743" s="373"/>
      <c r="BM743" s="373"/>
      <c r="BN743" s="373"/>
      <c r="BO743" s="373"/>
      <c r="BP743" s="373"/>
      <c r="BQ743" s="373"/>
      <c r="BR743" s="373"/>
      <c r="BS743" s="373"/>
      <c r="BT743" s="373"/>
      <c r="BU743" s="373"/>
      <c r="BV743" s="373"/>
      <c r="BW743" s="599" t="s">
        <v>3681</v>
      </c>
      <c r="BX743" s="374" t="s">
        <v>6595</v>
      </c>
      <c r="BY743" s="799" t="s">
        <v>7615</v>
      </c>
      <c r="BZ743" s="374" t="s">
        <v>803</v>
      </c>
      <c r="CA743" s="511">
        <v>4</v>
      </c>
      <c r="CB743" s="511" t="s">
        <v>7556</v>
      </c>
      <c r="CC743" s="511" t="s">
        <v>7384</v>
      </c>
      <c r="CD743" s="120" t="s">
        <v>1876</v>
      </c>
      <c r="CE743" s="120" t="s">
        <v>3659</v>
      </c>
      <c r="CF743" s="786" t="s">
        <v>7705</v>
      </c>
      <c r="CG743" s="120" t="s">
        <v>3663</v>
      </c>
      <c r="CH743" s="755" t="s">
        <v>1488</v>
      </c>
      <c r="CI743" s="120" t="s">
        <v>3658</v>
      </c>
      <c r="CJ743" s="120"/>
      <c r="CK743" s="120" t="s">
        <v>3237</v>
      </c>
      <c r="CL743" s="120" t="s">
        <v>6640</v>
      </c>
      <c r="CM743" s="375" t="s">
        <v>3679</v>
      </c>
      <c r="CN743" s="380" t="s">
        <v>6627</v>
      </c>
      <c r="CO743" s="380"/>
      <c r="CP743" s="380"/>
      <c r="CQ743" s="380"/>
      <c r="CR743" s="380"/>
      <c r="CS743" s="380"/>
      <c r="CT743" s="380"/>
      <c r="CU743" s="380"/>
      <c r="CV743" s="380"/>
      <c r="CW743" s="380"/>
      <c r="CX743" s="376" t="s">
        <v>3666</v>
      </c>
      <c r="CY743" s="120">
        <v>100.126</v>
      </c>
      <c r="CZ743" s="120" t="s">
        <v>24</v>
      </c>
      <c r="DA743" s="120">
        <f>115.891-Table66[[#This Row],[Data_Outcome1_M]]</f>
        <v>15.765000000000001</v>
      </c>
      <c r="DB743" s="376" t="s">
        <v>3667</v>
      </c>
      <c r="DC743" s="120">
        <v>65.911900000000003</v>
      </c>
      <c r="DD743" s="120" t="s">
        <v>24</v>
      </c>
      <c r="DE743" s="120">
        <f>71.6143-Table66[[#This Row],[Data_Outcome2_M]]</f>
        <v>5.7023999999999972</v>
      </c>
      <c r="DF743" s="621" t="s">
        <v>24</v>
      </c>
      <c r="DG743" s="509" t="s">
        <v>24</v>
      </c>
      <c r="DH743" s="376" t="s">
        <v>3668</v>
      </c>
      <c r="DI743" s="120">
        <v>31.6981</v>
      </c>
      <c r="DJ743" s="384" t="s">
        <v>24</v>
      </c>
      <c r="DK743" s="120">
        <f>35.3878-Table66[[#This Row],[Data_Outcome3_M]]</f>
        <v>3.6896999999999984</v>
      </c>
      <c r="DL743" s="727" t="s">
        <v>24</v>
      </c>
      <c r="DM743" s="384"/>
      <c r="DN743" s="384"/>
      <c r="DO743" s="384"/>
      <c r="DP743" s="375" t="s">
        <v>24</v>
      </c>
      <c r="DQ743" s="377" t="s">
        <v>24</v>
      </c>
      <c r="DR743" s="1182" t="s">
        <v>3677</v>
      </c>
      <c r="DS743" s="956" t="s">
        <v>3678</v>
      </c>
      <c r="DT743" s="727"/>
      <c r="DU743" s="384"/>
      <c r="DV743" s="384"/>
      <c r="DW743" s="384"/>
      <c r="DX743" s="384"/>
      <c r="DY743" s="384"/>
      <c r="DZ743" s="384"/>
      <c r="EA743" s="384"/>
      <c r="EB743" s="1012"/>
      <c r="EC743" s="384"/>
      <c r="ED743" s="384"/>
      <c r="EE743" s="384"/>
      <c r="EF743" s="384"/>
      <c r="EG743" s="384"/>
      <c r="EH743" s="384"/>
      <c r="EI743" s="384"/>
      <c r="EJ743" s="384"/>
      <c r="EK743" s="384"/>
      <c r="EL743" s="1012"/>
      <c r="EM743" s="384"/>
      <c r="EN743" s="1012"/>
      <c r="EO743" s="384"/>
      <c r="EP743" s="384"/>
      <c r="EQ743" s="384"/>
      <c r="ER743" s="384"/>
      <c r="ES743" s="384"/>
      <c r="ET743" s="727"/>
      <c r="EU743" s="384"/>
      <c r="EV743" s="384"/>
      <c r="EW743" s="384"/>
      <c r="EX743" s="384"/>
      <c r="EY743" s="384"/>
      <c r="EZ743" s="727"/>
      <c r="FA743" s="384"/>
      <c r="FB743" s="384"/>
      <c r="FC743" s="384"/>
      <c r="FD743" s="727"/>
      <c r="FE743" s="384"/>
      <c r="FF743" s="384"/>
      <c r="FG743" s="384"/>
      <c r="FH743" s="384"/>
      <c r="FI743" s="384"/>
      <c r="FJ743" s="384"/>
    </row>
    <row r="744" spans="1:166" ht="18" customHeight="1">
      <c r="A744" s="118" t="s">
        <v>970</v>
      </c>
      <c r="B744" s="616">
        <v>224</v>
      </c>
      <c r="C744" s="616">
        <v>81</v>
      </c>
      <c r="D744" s="616"/>
      <c r="E744" s="605" t="s">
        <v>2118</v>
      </c>
      <c r="F744" s="140" t="s">
        <v>2377</v>
      </c>
      <c r="G744" s="141">
        <v>2016</v>
      </c>
      <c r="H744" s="118">
        <v>27297027</v>
      </c>
      <c r="I744" s="118">
        <v>1</v>
      </c>
      <c r="J744" s="118">
        <v>1</v>
      </c>
      <c r="K744" s="118"/>
      <c r="L744" s="118">
        <v>1</v>
      </c>
      <c r="M744" s="118"/>
      <c r="N744" s="118">
        <v>1</v>
      </c>
      <c r="O744" s="142">
        <v>2</v>
      </c>
      <c r="P744" s="118" t="s">
        <v>1588</v>
      </c>
      <c r="Q744" s="118" t="s">
        <v>1216</v>
      </c>
      <c r="R744" s="118" t="s">
        <v>1127</v>
      </c>
      <c r="S744" s="118"/>
      <c r="T744" s="118" t="s">
        <v>1498</v>
      </c>
      <c r="U744" s="118"/>
      <c r="V744" s="118"/>
      <c r="W744" s="118" t="s">
        <v>1583</v>
      </c>
      <c r="X744" s="118" t="s">
        <v>1582</v>
      </c>
      <c r="Y744" s="118"/>
      <c r="Z744" s="118"/>
      <c r="AA744" s="118" t="s">
        <v>1581</v>
      </c>
      <c r="AB744" s="118"/>
      <c r="AC744" s="145"/>
      <c r="AD744" s="573">
        <v>1</v>
      </c>
      <c r="AE744" s="573">
        <v>2</v>
      </c>
      <c r="AF744" s="159">
        <v>1</v>
      </c>
      <c r="AG744" s="160" t="s">
        <v>5671</v>
      </c>
      <c r="AH744" s="704"/>
      <c r="AI744" s="122">
        <v>4</v>
      </c>
      <c r="AJ744" s="485"/>
      <c r="AK744" s="204" t="s">
        <v>5705</v>
      </c>
      <c r="AL744" s="192" t="s">
        <v>8056</v>
      </c>
      <c r="AM744" s="227">
        <v>0</v>
      </c>
      <c r="AN744" s="150">
        <f>Table66[[#This Row],[Data_Subjects_n_ptsd]]+Table66[[#This Row],[Data_Subjects_n_control]]</f>
        <v>24</v>
      </c>
      <c r="AO744" s="150">
        <v>12</v>
      </c>
      <c r="AP744" s="150">
        <v>12</v>
      </c>
      <c r="AQ744" s="150" t="s">
        <v>803</v>
      </c>
      <c r="AR744" s="150" t="s">
        <v>803</v>
      </c>
      <c r="AS744" s="150" t="s">
        <v>2687</v>
      </c>
      <c r="AT744" s="150" t="s">
        <v>24</v>
      </c>
      <c r="AU744" s="150" t="s">
        <v>2687</v>
      </c>
      <c r="AV744" s="150" t="s">
        <v>24</v>
      </c>
      <c r="AW744" s="150" t="s">
        <v>5665</v>
      </c>
      <c r="AX744" s="150">
        <v>10</v>
      </c>
      <c r="AY744" s="150">
        <v>1</v>
      </c>
      <c r="AZ744" s="753" t="s">
        <v>1814</v>
      </c>
      <c r="BA744" s="150">
        <v>1</v>
      </c>
      <c r="BB744" s="150" t="s">
        <v>5664</v>
      </c>
      <c r="BC744" s="150" t="s">
        <v>5662</v>
      </c>
      <c r="BD744" s="753" t="s">
        <v>7522</v>
      </c>
      <c r="BE744" s="753"/>
      <c r="BF744" s="150" t="s">
        <v>3698</v>
      </c>
      <c r="BG744" s="150" t="s">
        <v>4508</v>
      </c>
      <c r="BH744" s="588"/>
      <c r="BI744" s="588"/>
      <c r="BJ744" s="161">
        <v>1</v>
      </c>
      <c r="BK744" s="161"/>
      <c r="BL744" s="161"/>
      <c r="BM744" s="161"/>
      <c r="BN744" s="161"/>
      <c r="BO744" s="161"/>
      <c r="BP744" s="161"/>
      <c r="BQ744" s="161"/>
      <c r="BR744" s="161"/>
      <c r="BS744" s="161"/>
      <c r="BT744" s="161"/>
      <c r="BU744" s="161"/>
      <c r="BV744" s="161"/>
      <c r="BW744" s="596" t="s">
        <v>5672</v>
      </c>
      <c r="BX744" s="185" t="s">
        <v>6595</v>
      </c>
      <c r="BY744" s="797" t="s">
        <v>7615</v>
      </c>
      <c r="BZ744" s="791" t="s">
        <v>803</v>
      </c>
      <c r="CA744" s="765">
        <v>4</v>
      </c>
      <c r="CB744" s="765" t="s">
        <v>7556</v>
      </c>
      <c r="CC744" s="765" t="s">
        <v>7384</v>
      </c>
      <c r="CD744" s="150" t="s">
        <v>1876</v>
      </c>
      <c r="CE744" s="150" t="s">
        <v>5663</v>
      </c>
      <c r="CF744" s="400" t="s">
        <v>7605</v>
      </c>
      <c r="CG744" s="150" t="s">
        <v>5668</v>
      </c>
      <c r="CH744" s="753" t="s">
        <v>1488</v>
      </c>
      <c r="CI744" s="150" t="s">
        <v>5667</v>
      </c>
      <c r="CJ744" s="150"/>
      <c r="CK744" s="150" t="s">
        <v>5673</v>
      </c>
      <c r="CL744" s="186" t="s">
        <v>2659</v>
      </c>
      <c r="CM744" s="258" t="s">
        <v>5694</v>
      </c>
      <c r="CN744" s="257" t="s">
        <v>6627</v>
      </c>
      <c r="CO744" s="829">
        <v>72</v>
      </c>
      <c r="CP744" s="829">
        <v>2</v>
      </c>
      <c r="CQ744" s="828">
        <v>1</v>
      </c>
      <c r="CR744" s="828">
        <v>1</v>
      </c>
      <c r="CS744" s="829">
        <v>1</v>
      </c>
      <c r="CT744" s="968"/>
      <c r="CU744" s="1289" t="s">
        <v>8104</v>
      </c>
      <c r="CV744" s="1295">
        <v>121</v>
      </c>
      <c r="CW744" s="1295">
        <v>110</v>
      </c>
      <c r="CX744" s="151" t="s">
        <v>8057</v>
      </c>
      <c r="CY744" s="150">
        <v>62.805999999999997</v>
      </c>
      <c r="CZ744" s="228" t="s">
        <v>24</v>
      </c>
      <c r="DA744" s="150">
        <f>65.9104-Table66[[#This Row],[Data_Outcome1_M]]</f>
        <v>3.1043999999999983</v>
      </c>
      <c r="DB744" s="151" t="s">
        <v>5677</v>
      </c>
      <c r="DC744" s="150">
        <v>42.746299999999998</v>
      </c>
      <c r="DD744" s="150" t="s">
        <v>24</v>
      </c>
      <c r="DE744" s="150">
        <f>45.6119-Table66[[#This Row],[Data_Outcome2_M]]</f>
        <v>2.8656000000000006</v>
      </c>
      <c r="DF744" s="294" t="s">
        <v>5690</v>
      </c>
      <c r="DG744" s="295" t="s">
        <v>5692</v>
      </c>
      <c r="DH744" s="1169"/>
      <c r="DI744" s="1169"/>
      <c r="DJ744" s="1169"/>
      <c r="DK744" s="1169"/>
      <c r="DL744" s="1169"/>
      <c r="DM744" s="1169"/>
      <c r="DN744" s="1169"/>
      <c r="DO744" s="1169"/>
      <c r="DP744" s="288"/>
      <c r="DQ744" s="289"/>
      <c r="DR744" s="1168"/>
      <c r="DS744" s="865"/>
      <c r="DT744" s="1166"/>
      <c r="DU744" s="1164"/>
      <c r="DV744" s="1164"/>
      <c r="DW744" s="1164"/>
      <c r="DX744" s="1164"/>
      <c r="DY744" s="1164"/>
      <c r="DZ744" s="1164"/>
      <c r="EA744" s="1164"/>
      <c r="EB744" s="311"/>
      <c r="EC744" s="313"/>
      <c r="ED744" s="1164"/>
      <c r="EE744" s="1164"/>
      <c r="EF744" s="1164"/>
      <c r="EG744" s="1164"/>
      <c r="EH744" s="1164"/>
      <c r="EI744" s="1164"/>
      <c r="EJ744" s="1164"/>
      <c r="EK744" s="1164"/>
      <c r="EL744" s="311"/>
      <c r="EM744" s="313"/>
      <c r="EN744" s="1167"/>
      <c r="EO744" s="1165"/>
      <c r="EP744" s="1164"/>
      <c r="EQ744" s="1164"/>
      <c r="ER744" s="1164"/>
      <c r="ES744" s="1164"/>
      <c r="ET744" s="1166"/>
      <c r="EU744" s="1164"/>
      <c r="EV744" s="1164"/>
      <c r="EW744" s="1164"/>
      <c r="EX744" s="313"/>
      <c r="EY744" s="313"/>
      <c r="EZ744" s="1166"/>
      <c r="FA744" s="1164"/>
      <c r="FB744" s="1164"/>
      <c r="FC744" s="1164"/>
      <c r="FD744" s="1166"/>
      <c r="FE744" s="1164"/>
      <c r="FF744" s="1164"/>
      <c r="FG744" s="1164"/>
      <c r="FH744" s="313"/>
      <c r="FI744" s="313"/>
      <c r="FJ744" s="1165"/>
    </row>
    <row r="745" spans="1:166" ht="18" customHeight="1">
      <c r="A745" s="118" t="s">
        <v>970</v>
      </c>
      <c r="B745" s="616">
        <v>224</v>
      </c>
      <c r="C745" s="616">
        <v>81</v>
      </c>
      <c r="D745" s="616"/>
      <c r="E745" s="605" t="s">
        <v>2118</v>
      </c>
      <c r="F745" s="140" t="s">
        <v>2377</v>
      </c>
      <c r="G745" s="141">
        <v>2016</v>
      </c>
      <c r="H745" s="118">
        <v>27297027</v>
      </c>
      <c r="I745" s="118">
        <v>1</v>
      </c>
      <c r="J745" s="118">
        <v>1</v>
      </c>
      <c r="K745" s="118"/>
      <c r="L745" s="118">
        <v>1</v>
      </c>
      <c r="M745" s="118"/>
      <c r="N745" s="118">
        <v>1</v>
      </c>
      <c r="O745" s="142">
        <v>2</v>
      </c>
      <c r="P745" s="118" t="s">
        <v>1588</v>
      </c>
      <c r="Q745" s="118" t="s">
        <v>1216</v>
      </c>
      <c r="R745" s="118" t="s">
        <v>1127</v>
      </c>
      <c r="S745" s="118"/>
      <c r="T745" s="118" t="s">
        <v>1498</v>
      </c>
      <c r="U745" s="118"/>
      <c r="V745" s="118"/>
      <c r="W745" s="118" t="s">
        <v>1583</v>
      </c>
      <c r="X745" s="118" t="s">
        <v>1582</v>
      </c>
      <c r="Y745" s="118"/>
      <c r="Z745" s="118"/>
      <c r="AA745" s="118" t="s">
        <v>1581</v>
      </c>
      <c r="AB745" s="118"/>
      <c r="AC745" s="145"/>
      <c r="AD745" s="573">
        <v>1</v>
      </c>
      <c r="AE745" s="573">
        <v>2</v>
      </c>
      <c r="AF745" s="159">
        <v>1</v>
      </c>
      <c r="AG745" s="160" t="s">
        <v>5671</v>
      </c>
      <c r="AH745" s="704"/>
      <c r="AI745" s="122">
        <v>4</v>
      </c>
      <c r="AJ745" s="485"/>
      <c r="AK745" s="204" t="s">
        <v>5705</v>
      </c>
      <c r="AL745" s="192" t="s">
        <v>8056</v>
      </c>
      <c r="AM745" s="227">
        <v>0</v>
      </c>
      <c r="AN745" s="150">
        <f>Table66[[#This Row],[Data_Subjects_n_ptsd]]+Table66[[#This Row],[Data_Subjects_n_control]]</f>
        <v>24</v>
      </c>
      <c r="AO745" s="150">
        <v>12</v>
      </c>
      <c r="AP745" s="150">
        <v>12</v>
      </c>
      <c r="AQ745" s="150" t="s">
        <v>803</v>
      </c>
      <c r="AR745" s="150" t="s">
        <v>803</v>
      </c>
      <c r="AS745" s="150" t="s">
        <v>2687</v>
      </c>
      <c r="AT745" s="150" t="s">
        <v>24</v>
      </c>
      <c r="AU745" s="150" t="s">
        <v>2687</v>
      </c>
      <c r="AV745" s="150" t="s">
        <v>24</v>
      </c>
      <c r="AW745" s="150" t="s">
        <v>5665</v>
      </c>
      <c r="AX745" s="150">
        <v>10</v>
      </c>
      <c r="AY745" s="150">
        <v>1</v>
      </c>
      <c r="AZ745" s="753" t="s">
        <v>1814</v>
      </c>
      <c r="BA745" s="150">
        <v>1</v>
      </c>
      <c r="BB745" s="150" t="s">
        <v>5664</v>
      </c>
      <c r="BC745" s="150" t="s">
        <v>5662</v>
      </c>
      <c r="BD745" s="753" t="s">
        <v>7522</v>
      </c>
      <c r="BE745" s="753"/>
      <c r="BF745" s="150" t="s">
        <v>3698</v>
      </c>
      <c r="BG745" s="150" t="s">
        <v>4508</v>
      </c>
      <c r="BH745" s="588"/>
      <c r="BI745" s="588"/>
      <c r="BJ745" s="161">
        <v>1</v>
      </c>
      <c r="BK745" s="161"/>
      <c r="BL745" s="161"/>
      <c r="BM745" s="161"/>
      <c r="BN745" s="161"/>
      <c r="BO745" s="161"/>
      <c r="BP745" s="161"/>
      <c r="BQ745" s="161"/>
      <c r="BR745" s="161"/>
      <c r="BS745" s="161"/>
      <c r="BT745" s="161"/>
      <c r="BU745" s="161"/>
      <c r="BV745" s="161"/>
      <c r="BW745" s="596" t="s">
        <v>5672</v>
      </c>
      <c r="BX745" s="185" t="s">
        <v>6595</v>
      </c>
      <c r="BY745" s="797" t="s">
        <v>7615</v>
      </c>
      <c r="BZ745" s="791" t="s">
        <v>803</v>
      </c>
      <c r="CA745" s="765">
        <v>4</v>
      </c>
      <c r="CB745" s="765" t="s">
        <v>7556</v>
      </c>
      <c r="CC745" s="765" t="s">
        <v>7380</v>
      </c>
      <c r="CD745" s="150" t="s">
        <v>1876</v>
      </c>
      <c r="CE745" s="150" t="s">
        <v>5663</v>
      </c>
      <c r="CF745" s="400" t="s">
        <v>7605</v>
      </c>
      <c r="CG745" s="150" t="s">
        <v>5668</v>
      </c>
      <c r="CH745" s="753" t="s">
        <v>1488</v>
      </c>
      <c r="CI745" s="150" t="s">
        <v>5667</v>
      </c>
      <c r="CJ745" s="150"/>
      <c r="CK745" s="150" t="s">
        <v>5673</v>
      </c>
      <c r="CL745" s="186" t="s">
        <v>2659</v>
      </c>
      <c r="CM745" s="258" t="s">
        <v>5694</v>
      </c>
      <c r="CN745" s="257" t="s">
        <v>6627</v>
      </c>
      <c r="CO745" s="829">
        <v>72</v>
      </c>
      <c r="CP745" s="829">
        <v>2</v>
      </c>
      <c r="CQ745" s="828">
        <v>2</v>
      </c>
      <c r="CR745" s="828">
        <v>1</v>
      </c>
      <c r="CS745" s="829">
        <v>1</v>
      </c>
      <c r="CT745" s="968"/>
      <c r="CU745" s="1289" t="s">
        <v>8104</v>
      </c>
      <c r="CV745" s="1295">
        <v>121</v>
      </c>
      <c r="CW745" s="1295">
        <v>110</v>
      </c>
      <c r="CX745" s="151" t="s">
        <v>5674</v>
      </c>
      <c r="CY745" s="150">
        <v>78.171099999999996</v>
      </c>
      <c r="CZ745" s="150" t="s">
        <v>24</v>
      </c>
      <c r="DA745" s="150">
        <f>82.8909-Table66[[#This Row],[Data_Outcome1_M]]</f>
        <v>4.7198000000000064</v>
      </c>
      <c r="DB745" s="151" t="s">
        <v>5675</v>
      </c>
      <c r="DC745" s="150">
        <v>64.306799999999996</v>
      </c>
      <c r="DD745" s="150" t="s">
        <v>24</v>
      </c>
      <c r="DE745" s="150">
        <f>69.6165-Table66[[#This Row],[Data_Outcome2_M]]</f>
        <v>5.3097000000000065</v>
      </c>
      <c r="DF745" s="440" t="s">
        <v>5691</v>
      </c>
      <c r="DG745" s="442" t="s">
        <v>5693</v>
      </c>
      <c r="DH745" s="1178"/>
      <c r="DI745" s="500"/>
      <c r="DJ745" s="1164"/>
      <c r="DK745" s="500"/>
      <c r="DL745" s="1166"/>
      <c r="DM745" s="122"/>
      <c r="DN745" s="1164"/>
      <c r="DO745" s="122"/>
      <c r="DP745" s="290"/>
      <c r="DQ745" s="291"/>
      <c r="DR745" s="864"/>
      <c r="DS745" s="865"/>
      <c r="DT745" s="1166"/>
      <c r="DU745" s="122"/>
      <c r="DV745" s="1164"/>
      <c r="DW745" s="122"/>
      <c r="DX745" s="1164"/>
      <c r="DY745" s="122"/>
      <c r="DZ745" s="1164"/>
      <c r="EA745" s="122"/>
      <c r="EB745" s="311"/>
      <c r="EC745" s="313"/>
      <c r="ED745" s="1164"/>
      <c r="EE745" s="122"/>
      <c r="EF745" s="1164"/>
      <c r="EG745" s="122"/>
      <c r="EH745" s="1164"/>
      <c r="EI745" s="122"/>
      <c r="EJ745" s="1164"/>
      <c r="EK745" s="122"/>
      <c r="EL745" s="311"/>
      <c r="EM745" s="313"/>
      <c r="EN745" s="1167"/>
      <c r="EO745" s="1165"/>
      <c r="EP745" s="122"/>
      <c r="EQ745" s="122"/>
      <c r="ER745" s="122"/>
      <c r="ES745" s="122"/>
      <c r="ET745" s="526"/>
      <c r="EU745" s="122"/>
      <c r="EV745" s="122"/>
      <c r="EW745" s="122"/>
      <c r="EX745" s="303"/>
      <c r="EY745" s="303"/>
      <c r="EZ745" s="526"/>
      <c r="FA745" s="122"/>
      <c r="FB745" s="122"/>
      <c r="FC745" s="122"/>
      <c r="FD745" s="526"/>
      <c r="FE745" s="122"/>
      <c r="FF745" s="122"/>
      <c r="FG745" s="122"/>
      <c r="FH745" s="303"/>
      <c r="FI745" s="303"/>
      <c r="FJ745" s="1165"/>
    </row>
    <row r="746" spans="1:166" ht="18" customHeight="1">
      <c r="A746" s="79" t="s">
        <v>968</v>
      </c>
      <c r="B746" s="362">
        <v>47</v>
      </c>
      <c r="C746" s="362"/>
      <c r="D746" s="362"/>
      <c r="E746" s="604" t="s">
        <v>2119</v>
      </c>
      <c r="F746" s="124" t="s">
        <v>2379</v>
      </c>
      <c r="G746" s="125">
        <v>2006</v>
      </c>
      <c r="H746" s="79">
        <v>17031709</v>
      </c>
      <c r="I746" s="79">
        <v>1</v>
      </c>
      <c r="J746" s="126">
        <v>1</v>
      </c>
      <c r="K746" s="127"/>
      <c r="L746" s="79">
        <v>1</v>
      </c>
      <c r="M746" s="79"/>
      <c r="N746" s="153">
        <v>1</v>
      </c>
      <c r="O746" s="128">
        <v>2</v>
      </c>
      <c r="P746" s="79" t="s">
        <v>1227</v>
      </c>
      <c r="Q746" s="79" t="s">
        <v>1216</v>
      </c>
      <c r="R746" s="79" t="s">
        <v>1127</v>
      </c>
      <c r="S746" s="79"/>
      <c r="T746" s="79" t="s">
        <v>1487</v>
      </c>
      <c r="U746" s="79" t="s">
        <v>803</v>
      </c>
      <c r="V746" s="79"/>
      <c r="W746" s="79" t="s">
        <v>1501</v>
      </c>
      <c r="X746" s="79"/>
      <c r="Y746" s="79" t="s">
        <v>1132</v>
      </c>
      <c r="Z746" s="79"/>
      <c r="AA746" s="79" t="s">
        <v>1590</v>
      </c>
      <c r="AB746" s="79"/>
      <c r="AC746" s="506"/>
      <c r="AD746" s="573">
        <v>1</v>
      </c>
      <c r="AE746" s="573">
        <v>2</v>
      </c>
      <c r="AF746" s="154">
        <v>1</v>
      </c>
      <c r="AG746" s="155"/>
      <c r="AH746" s="704"/>
      <c r="AI746" s="121">
        <v>4</v>
      </c>
      <c r="AJ746" s="484"/>
      <c r="AK746" s="202" t="s">
        <v>3600</v>
      </c>
      <c r="AL746" s="192">
        <v>2</v>
      </c>
      <c r="AM746" s="215">
        <v>1</v>
      </c>
      <c r="AN746" s="134">
        <f>Table66[[#This Row],[Data_Subjects_n_ptsd]]+Table66[[#This Row],[Data_Subjects_n_control]]</f>
        <v>18</v>
      </c>
      <c r="AO746" s="134">
        <v>9</v>
      </c>
      <c r="AP746" s="134">
        <v>9</v>
      </c>
      <c r="AQ746" s="134" t="s">
        <v>803</v>
      </c>
      <c r="AR746" s="134" t="s">
        <v>803</v>
      </c>
      <c r="AS746" s="134" t="s">
        <v>3595</v>
      </c>
      <c r="AT746" s="134" t="s">
        <v>24</v>
      </c>
      <c r="AU746" s="134" t="s">
        <v>3595</v>
      </c>
      <c r="AV746" s="134" t="s">
        <v>24</v>
      </c>
      <c r="AW746" s="134" t="s">
        <v>3596</v>
      </c>
      <c r="AX746" s="134"/>
      <c r="AY746" s="134"/>
      <c r="AZ746" s="753" t="s">
        <v>1487</v>
      </c>
      <c r="BA746" s="134">
        <v>1</v>
      </c>
      <c r="BB746" s="134">
        <v>1</v>
      </c>
      <c r="BC746" s="134" t="s">
        <v>3597</v>
      </c>
      <c r="BD746" s="753" t="s">
        <v>7523</v>
      </c>
      <c r="BE746" s="753"/>
      <c r="BF746" s="134" t="s">
        <v>1130</v>
      </c>
      <c r="BG746" s="134" t="s">
        <v>2798</v>
      </c>
      <c r="BH746" s="594"/>
      <c r="BI746" s="594"/>
      <c r="BJ746" s="156">
        <v>1</v>
      </c>
      <c r="BK746" s="156"/>
      <c r="BL746" s="156"/>
      <c r="BM746" s="156"/>
      <c r="BN746" s="156"/>
      <c r="BO746" s="156"/>
      <c r="BP746" s="156"/>
      <c r="BQ746" s="156"/>
      <c r="BR746" s="156"/>
      <c r="BS746" s="156"/>
      <c r="BT746" s="156"/>
      <c r="BU746" s="156"/>
      <c r="BV746" s="156"/>
      <c r="BW746" s="595" t="s">
        <v>3611</v>
      </c>
      <c r="BX746" s="157" t="s">
        <v>6595</v>
      </c>
      <c r="BY746" s="797" t="s">
        <v>7615</v>
      </c>
      <c r="BZ746" s="789" t="s">
        <v>803</v>
      </c>
      <c r="CA746" s="765">
        <v>4</v>
      </c>
      <c r="CB746" s="765" t="s">
        <v>7556</v>
      </c>
      <c r="CC746" s="765" t="s">
        <v>7384</v>
      </c>
      <c r="CD746" s="134" t="s">
        <v>1876</v>
      </c>
      <c r="CE746" s="134">
        <v>2</v>
      </c>
      <c r="CF746" s="400" t="s">
        <v>7597</v>
      </c>
      <c r="CG746" s="150" t="s">
        <v>3605</v>
      </c>
      <c r="CH746" s="753" t="s">
        <v>1488</v>
      </c>
      <c r="CI746" s="134" t="s">
        <v>3514</v>
      </c>
      <c r="CJ746" s="134"/>
      <c r="CK746" s="134" t="s">
        <v>3237</v>
      </c>
      <c r="CL746" s="134" t="s">
        <v>6640</v>
      </c>
      <c r="CM746" s="259" t="s">
        <v>3604</v>
      </c>
      <c r="CN746" s="454" t="s">
        <v>6627</v>
      </c>
      <c r="CO746" s="828">
        <v>73</v>
      </c>
      <c r="CP746" s="828">
        <v>1</v>
      </c>
      <c r="CQ746" s="828">
        <v>1</v>
      </c>
      <c r="CR746" s="828">
        <v>0</v>
      </c>
      <c r="CS746" s="828">
        <v>1</v>
      </c>
      <c r="CT746" s="967"/>
      <c r="CU746" s="1289" t="s">
        <v>8104</v>
      </c>
      <c r="CV746" s="1295">
        <v>122</v>
      </c>
      <c r="CW746" s="1295">
        <v>111</v>
      </c>
      <c r="CX746" s="138" t="s">
        <v>3598</v>
      </c>
      <c r="CY746" s="134">
        <v>115.836</v>
      </c>
      <c r="CZ746" s="168" t="s">
        <v>24</v>
      </c>
      <c r="DA746" s="134">
        <f>125.091-Table66[[#This Row],[Data_Outcome1_M]]</f>
        <v>9.2549999999999955</v>
      </c>
      <c r="DB746" s="138" t="s">
        <v>3599</v>
      </c>
      <c r="DC746" s="134">
        <v>65.167400000000001</v>
      </c>
      <c r="DD746" s="134" t="s">
        <v>24</v>
      </c>
      <c r="DE746" s="134">
        <f>73.4964-Table66[[#This Row],[Data_Outcome2_M]]</f>
        <v>8.3289999999999935</v>
      </c>
      <c r="DF746" s="549" t="s">
        <v>3603</v>
      </c>
      <c r="DG746" s="551" t="s">
        <v>2555</v>
      </c>
      <c r="DH746" s="1171"/>
      <c r="DI746" s="1169"/>
      <c r="DJ746" s="1169"/>
      <c r="DK746" s="1169"/>
      <c r="DL746" s="1171"/>
      <c r="DM746" s="1169"/>
      <c r="DN746" s="1169"/>
      <c r="DO746" s="1169"/>
      <c r="DP746" s="288"/>
      <c r="DQ746" s="289"/>
      <c r="DR746" s="864"/>
      <c r="DS746" s="865"/>
      <c r="DT746" s="1171"/>
      <c r="DU746" s="1169"/>
      <c r="DV746" s="1169"/>
      <c r="DW746" s="1169"/>
      <c r="DX746" s="1169"/>
      <c r="DY746" s="1169"/>
      <c r="DZ746" s="1169"/>
      <c r="EA746" s="1169"/>
      <c r="EB746" s="304"/>
      <c r="EC746" s="312"/>
      <c r="ED746" s="1169"/>
      <c r="EE746" s="1169"/>
      <c r="EF746" s="1169"/>
      <c r="EG746" s="1169"/>
      <c r="EH746" s="1169"/>
      <c r="EI746" s="1169"/>
      <c r="EJ746" s="1169"/>
      <c r="EK746" s="1169"/>
      <c r="EL746" s="304"/>
      <c r="EM746" s="312"/>
      <c r="EN746" s="309"/>
      <c r="EO746" s="1170"/>
      <c r="EP746" s="1169"/>
      <c r="EQ746" s="1169"/>
      <c r="ER746" s="1169"/>
      <c r="ES746" s="1169"/>
      <c r="ET746" s="1171"/>
      <c r="EU746" s="1169"/>
      <c r="EV746" s="1169"/>
      <c r="EW746" s="1169"/>
      <c r="EX746" s="312"/>
      <c r="EY746" s="312"/>
      <c r="EZ746" s="1171"/>
      <c r="FA746" s="1169"/>
      <c r="FB746" s="1169"/>
      <c r="FC746" s="1169"/>
      <c r="FD746" s="1171"/>
      <c r="FE746" s="1169"/>
      <c r="FF746" s="1169"/>
      <c r="FG746" s="1169"/>
      <c r="FH746" s="312"/>
      <c r="FI746" s="312"/>
      <c r="FJ746" s="1170"/>
    </row>
    <row r="747" spans="1:166" ht="18" customHeight="1">
      <c r="A747" s="118" t="s">
        <v>968</v>
      </c>
      <c r="B747" s="616">
        <v>47</v>
      </c>
      <c r="C747" s="616"/>
      <c r="D747" s="616"/>
      <c r="E747" s="605" t="s">
        <v>2119</v>
      </c>
      <c r="F747" s="140" t="s">
        <v>2379</v>
      </c>
      <c r="G747" s="141">
        <v>2006</v>
      </c>
      <c r="H747" s="118">
        <v>17031709</v>
      </c>
      <c r="I747" s="118">
        <v>1</v>
      </c>
      <c r="J747" s="118">
        <v>1</v>
      </c>
      <c r="K747" s="118"/>
      <c r="L747" s="118">
        <v>1</v>
      </c>
      <c r="M747" s="118"/>
      <c r="N747" s="158">
        <v>1</v>
      </c>
      <c r="O747" s="142">
        <v>2</v>
      </c>
      <c r="P747" s="118" t="s">
        <v>1227</v>
      </c>
      <c r="Q747" s="118" t="s">
        <v>1216</v>
      </c>
      <c r="R747" s="118" t="s">
        <v>1127</v>
      </c>
      <c r="S747" s="118"/>
      <c r="T747" s="118" t="s">
        <v>1487</v>
      </c>
      <c r="U747" s="118" t="s">
        <v>803</v>
      </c>
      <c r="V747" s="118"/>
      <c r="W747" s="118" t="s">
        <v>1501</v>
      </c>
      <c r="X747" s="118"/>
      <c r="Y747" s="118" t="s">
        <v>1132</v>
      </c>
      <c r="Z747" s="118"/>
      <c r="AA747" s="118" t="s">
        <v>1590</v>
      </c>
      <c r="AB747" s="118"/>
      <c r="AC747" s="145"/>
      <c r="AD747" s="573">
        <v>1</v>
      </c>
      <c r="AE747" s="573">
        <v>2</v>
      </c>
      <c r="AF747" s="159">
        <v>1</v>
      </c>
      <c r="AG747" s="160"/>
      <c r="AH747" s="704"/>
      <c r="AI747" s="122">
        <v>4</v>
      </c>
      <c r="AJ747" s="485"/>
      <c r="AK747" s="202" t="s">
        <v>3601</v>
      </c>
      <c r="AL747" s="192">
        <v>2</v>
      </c>
      <c r="AM747" s="227">
        <v>1</v>
      </c>
      <c r="AN747" s="150">
        <f>Table66[[#This Row],[Data_Subjects_n_ptsd]]+Table66[[#This Row],[Data_Subjects_n_control]]</f>
        <v>18</v>
      </c>
      <c r="AO747" s="150">
        <v>9</v>
      </c>
      <c r="AP747" s="150">
        <v>9</v>
      </c>
      <c r="AQ747" s="150" t="s">
        <v>803</v>
      </c>
      <c r="AR747" s="150" t="s">
        <v>803</v>
      </c>
      <c r="AS747" s="150" t="s">
        <v>3595</v>
      </c>
      <c r="AT747" s="150" t="s">
        <v>24</v>
      </c>
      <c r="AU747" s="150" t="s">
        <v>3595</v>
      </c>
      <c r="AV747" s="150" t="s">
        <v>24</v>
      </c>
      <c r="AW747" s="150" t="s">
        <v>3596</v>
      </c>
      <c r="AX747" s="150"/>
      <c r="AY747" s="150"/>
      <c r="AZ747" s="753" t="s">
        <v>1487</v>
      </c>
      <c r="BA747" s="150">
        <v>1</v>
      </c>
      <c r="BB747" s="150">
        <v>1</v>
      </c>
      <c r="BC747" s="150" t="s">
        <v>3597</v>
      </c>
      <c r="BD747" s="753" t="s">
        <v>7523</v>
      </c>
      <c r="BE747" s="753"/>
      <c r="BF747" s="150" t="s">
        <v>1130</v>
      </c>
      <c r="BG747" s="150" t="s">
        <v>2798</v>
      </c>
      <c r="BH747" s="588"/>
      <c r="BI747" s="588"/>
      <c r="BJ747" s="161">
        <v>1</v>
      </c>
      <c r="BK747" s="161"/>
      <c r="BL747" s="161"/>
      <c r="BM747" s="161"/>
      <c r="BN747" s="161"/>
      <c r="BO747" s="161"/>
      <c r="BP747" s="161"/>
      <c r="BQ747" s="161"/>
      <c r="BR747" s="161"/>
      <c r="BS747" s="161"/>
      <c r="BT747" s="161"/>
      <c r="BU747" s="161"/>
      <c r="BV747" s="161"/>
      <c r="BW747" s="595" t="s">
        <v>3611</v>
      </c>
      <c r="BX747" s="157" t="s">
        <v>6595</v>
      </c>
      <c r="BY747" s="797" t="s">
        <v>7615</v>
      </c>
      <c r="BZ747" s="789" t="s">
        <v>803</v>
      </c>
      <c r="CA747" s="765">
        <v>4</v>
      </c>
      <c r="CB747" s="765" t="s">
        <v>7556</v>
      </c>
      <c r="CC747" s="765" t="s">
        <v>7384</v>
      </c>
      <c r="CD747" s="150" t="s">
        <v>1876</v>
      </c>
      <c r="CE747" s="150">
        <v>2</v>
      </c>
      <c r="CF747" s="400" t="s">
        <v>7597</v>
      </c>
      <c r="CG747" s="150" t="s">
        <v>3605</v>
      </c>
      <c r="CH747" s="753" t="s">
        <v>1488</v>
      </c>
      <c r="CI747" s="150" t="s">
        <v>3514</v>
      </c>
      <c r="CJ747" s="150"/>
      <c r="CK747" s="150" t="s">
        <v>3237</v>
      </c>
      <c r="CL747" s="134" t="s">
        <v>6640</v>
      </c>
      <c r="CM747" s="259" t="s">
        <v>3604</v>
      </c>
      <c r="CN747" s="454" t="s">
        <v>6627</v>
      </c>
      <c r="CO747" s="828">
        <v>73</v>
      </c>
      <c r="CP747" s="828">
        <v>2</v>
      </c>
      <c r="CQ747" s="828">
        <v>1</v>
      </c>
      <c r="CR747" s="828">
        <v>0</v>
      </c>
      <c r="CS747" s="828">
        <v>1</v>
      </c>
      <c r="CT747" s="967"/>
      <c r="CU747" s="1289" t="s">
        <v>8104</v>
      </c>
      <c r="CV747" s="1295">
        <v>123</v>
      </c>
      <c r="CW747" s="1295">
        <v>112</v>
      </c>
      <c r="CX747" s="151" t="s">
        <v>3598</v>
      </c>
      <c r="CY747" s="150">
        <v>107.661</v>
      </c>
      <c r="CZ747" s="150" t="s">
        <v>24</v>
      </c>
      <c r="DA747" s="150">
        <f>118.766-Table66[[#This Row],[Data_Outcome1_M]]</f>
        <v>11.105000000000004</v>
      </c>
      <c r="DB747" s="151" t="s">
        <v>3599</v>
      </c>
      <c r="DC747" s="150">
        <v>68.789199999999994</v>
      </c>
      <c r="DD747" s="150" t="s">
        <v>24</v>
      </c>
      <c r="DE747" s="150">
        <f>79.4352-Table66[[#This Row],[Data_Outcome2_M]]</f>
        <v>10.646000000000001</v>
      </c>
      <c r="DF747" s="549" t="s">
        <v>3603</v>
      </c>
      <c r="DG747" s="551" t="s">
        <v>2555</v>
      </c>
      <c r="DH747" s="1178"/>
      <c r="DI747" s="500"/>
      <c r="DJ747" s="1164"/>
      <c r="DK747" s="500"/>
      <c r="DL747" s="1166"/>
      <c r="DM747" s="1164"/>
      <c r="DN747" s="1164"/>
      <c r="DO747" s="1164"/>
      <c r="DP747" s="290"/>
      <c r="DQ747" s="291"/>
      <c r="DR747" s="1168"/>
      <c r="DS747" s="865"/>
      <c r="DT747" s="1166"/>
      <c r="DU747" s="1164"/>
      <c r="DV747" s="1164"/>
      <c r="DW747" s="1164"/>
      <c r="DX747" s="1164"/>
      <c r="DY747" s="1164"/>
      <c r="DZ747" s="1164"/>
      <c r="EA747" s="1164"/>
      <c r="EB747" s="311"/>
      <c r="EC747" s="313"/>
      <c r="ED747" s="1164"/>
      <c r="EE747" s="1164"/>
      <c r="EF747" s="1164"/>
      <c r="EG747" s="1164"/>
      <c r="EH747" s="1164"/>
      <c r="EI747" s="1164"/>
      <c r="EJ747" s="1164"/>
      <c r="EK747" s="1164"/>
      <c r="EL747" s="311"/>
      <c r="EM747" s="313"/>
      <c r="EN747" s="1167"/>
      <c r="EO747" s="1165"/>
      <c r="EP747" s="1164"/>
      <c r="EQ747" s="1164"/>
      <c r="ER747" s="1164"/>
      <c r="ES747" s="1164"/>
      <c r="ET747" s="1166"/>
      <c r="EU747" s="1164"/>
      <c r="EV747" s="1164"/>
      <c r="EW747" s="1164"/>
      <c r="EX747" s="313"/>
      <c r="EY747" s="313"/>
      <c r="EZ747" s="1166"/>
      <c r="FA747" s="1164"/>
      <c r="FB747" s="1164"/>
      <c r="FC747" s="1164"/>
      <c r="FD747" s="1166"/>
      <c r="FE747" s="1164"/>
      <c r="FF747" s="1164"/>
      <c r="FG747" s="1164"/>
      <c r="FH747" s="313"/>
      <c r="FI747" s="313"/>
      <c r="FJ747" s="1165"/>
    </row>
    <row r="748" spans="1:166" ht="18" hidden="1" customHeight="1">
      <c r="A748" s="153" t="s">
        <v>954</v>
      </c>
      <c r="B748" s="618">
        <v>248</v>
      </c>
      <c r="C748" s="618"/>
      <c r="D748" s="618">
        <v>103</v>
      </c>
      <c r="E748" s="610" t="s">
        <v>2126</v>
      </c>
      <c r="F748" s="368" t="s">
        <v>2390</v>
      </c>
      <c r="G748" s="369">
        <v>2015</v>
      </c>
      <c r="H748" s="153">
        <v>26277823</v>
      </c>
      <c r="I748" s="153">
        <v>1</v>
      </c>
      <c r="J748" s="370" t="s">
        <v>1863</v>
      </c>
      <c r="K748" s="371"/>
      <c r="L748" s="153">
        <v>0</v>
      </c>
      <c r="M748" s="153"/>
      <c r="N748" s="153">
        <v>0</v>
      </c>
      <c r="O748" s="153">
        <v>2</v>
      </c>
      <c r="P748" s="153" t="s">
        <v>1421</v>
      </c>
      <c r="Q748" s="153"/>
      <c r="R748" s="153" t="s">
        <v>1621</v>
      </c>
      <c r="S748" s="153"/>
      <c r="T748" s="153" t="s">
        <v>1545</v>
      </c>
      <c r="U748" s="153" t="s">
        <v>803</v>
      </c>
      <c r="V748" s="153" t="s">
        <v>23</v>
      </c>
      <c r="W748" s="153" t="s">
        <v>1670</v>
      </c>
      <c r="X748" s="153"/>
      <c r="Y748" s="153" t="s">
        <v>1622</v>
      </c>
      <c r="Z748" s="153"/>
      <c r="AA748" s="153" t="s">
        <v>1623</v>
      </c>
      <c r="AB748" s="153" t="s">
        <v>1279</v>
      </c>
      <c r="AC748" s="536" t="s">
        <v>6313</v>
      </c>
      <c r="AD748" s="536">
        <v>1</v>
      </c>
      <c r="AE748" s="536">
        <v>0</v>
      </c>
      <c r="AF748" s="165">
        <v>0</v>
      </c>
      <c r="AG748" s="166" t="s">
        <v>7305</v>
      </c>
      <c r="AH748" s="509">
        <v>0</v>
      </c>
      <c r="AI748" s="120">
        <v>5</v>
      </c>
      <c r="AJ748" s="120"/>
      <c r="AK748" s="206" t="s">
        <v>7304</v>
      </c>
      <c r="AL748" s="372"/>
      <c r="AM748" s="207"/>
      <c r="AN748" s="120"/>
      <c r="AO748" s="120"/>
      <c r="AP748" s="120"/>
      <c r="AQ748" s="120"/>
      <c r="AR748" s="120"/>
      <c r="AS748" s="120"/>
      <c r="AT748" s="120"/>
      <c r="AU748" s="120"/>
      <c r="AV748" s="120"/>
      <c r="AW748" s="120"/>
      <c r="AX748" s="120"/>
      <c r="AY748" s="120"/>
      <c r="AZ748" s="755"/>
      <c r="BA748" s="120"/>
      <c r="BB748" s="120"/>
      <c r="BC748" s="120"/>
      <c r="BD748" s="755"/>
      <c r="BE748" s="755"/>
      <c r="BF748" s="120"/>
      <c r="BG748" s="120"/>
      <c r="BH748" s="377" t="s">
        <v>5207</v>
      </c>
      <c r="BI748" s="377"/>
      <c r="BJ748" s="373"/>
      <c r="BK748" s="373"/>
      <c r="BL748" s="373"/>
      <c r="BM748" s="373"/>
      <c r="BN748" s="373"/>
      <c r="BO748" s="373"/>
      <c r="BP748" s="373"/>
      <c r="BQ748" s="373"/>
      <c r="BR748" s="373"/>
      <c r="BS748" s="373"/>
      <c r="BT748" s="373"/>
      <c r="BU748" s="373"/>
      <c r="BV748" s="373"/>
      <c r="BW748" s="599"/>
      <c r="BX748" s="374"/>
      <c r="BY748" s="374"/>
      <c r="BZ748" s="374"/>
      <c r="CA748" s="511"/>
      <c r="CB748" s="511"/>
      <c r="CC748" s="511"/>
      <c r="CD748" s="120"/>
      <c r="CE748" s="120"/>
      <c r="CF748" s="120"/>
      <c r="CG748" s="120"/>
      <c r="CH748" s="755"/>
      <c r="CI748" s="120"/>
      <c r="CJ748" s="120"/>
      <c r="CK748" s="120"/>
      <c r="CL748" s="120"/>
      <c r="CM748" s="375"/>
      <c r="CN748" s="380"/>
      <c r="CO748" s="380"/>
      <c r="CP748" s="380"/>
      <c r="CQ748" s="380"/>
      <c r="CR748" s="380"/>
      <c r="CS748" s="380"/>
      <c r="CT748" s="380"/>
      <c r="CU748" s="380"/>
      <c r="CV748" s="380"/>
      <c r="CW748" s="380"/>
      <c r="CX748" s="752"/>
      <c r="CY748" s="376"/>
      <c r="CZ748" s="120"/>
      <c r="DA748" s="120"/>
      <c r="DB748" s="376"/>
      <c r="DC748" s="120"/>
      <c r="DD748" s="120"/>
      <c r="DE748" s="120"/>
      <c r="DF748" s="621"/>
      <c r="DG748" s="509"/>
      <c r="DH748" s="727"/>
      <c r="DI748" s="384"/>
      <c r="DJ748" s="384"/>
      <c r="DK748" s="384"/>
      <c r="DL748" s="727"/>
      <c r="DM748" s="384"/>
      <c r="DN748" s="384"/>
      <c r="DO748" s="384"/>
      <c r="DP748" s="375"/>
      <c r="DQ748" s="377"/>
      <c r="DR748" s="1182"/>
      <c r="DS748" s="956"/>
      <c r="DT748" s="376"/>
      <c r="DU748" s="120"/>
      <c r="DV748" s="120"/>
      <c r="DW748" s="120"/>
      <c r="DX748" s="120"/>
      <c r="DY748" s="384"/>
      <c r="DZ748" s="384"/>
      <c r="EA748" s="384"/>
      <c r="EB748" s="1012"/>
      <c r="EC748" s="384"/>
      <c r="ED748" s="384"/>
      <c r="EE748" s="384"/>
      <c r="EF748" s="384"/>
      <c r="EG748" s="384"/>
      <c r="EH748" s="384"/>
      <c r="EI748" s="384"/>
      <c r="EJ748" s="384"/>
      <c r="EK748" s="384"/>
      <c r="EL748" s="1012"/>
      <c r="EM748" s="384"/>
      <c r="EN748" s="1012"/>
      <c r="EO748" s="384"/>
      <c r="EP748" s="120"/>
      <c r="EQ748" s="120"/>
      <c r="ER748" s="120"/>
      <c r="ES748" s="120"/>
      <c r="ET748" s="376"/>
      <c r="EU748" s="384"/>
      <c r="EV748" s="384"/>
      <c r="EW748" s="384"/>
      <c r="EX748" s="384"/>
      <c r="EY748" s="384"/>
      <c r="EZ748" s="727"/>
      <c r="FA748" s="384"/>
      <c r="FB748" s="384"/>
      <c r="FC748" s="384"/>
      <c r="FD748" s="727"/>
      <c r="FE748" s="384"/>
      <c r="FF748" s="384"/>
      <c r="FG748" s="384"/>
      <c r="FH748" s="384"/>
      <c r="FI748" s="384"/>
      <c r="FJ748" s="384"/>
    </row>
    <row r="749" spans="1:166" ht="18" hidden="1" customHeight="1">
      <c r="A749" s="153" t="s">
        <v>345</v>
      </c>
      <c r="B749" s="618">
        <v>249</v>
      </c>
      <c r="C749" s="618"/>
      <c r="D749" s="618">
        <v>104</v>
      </c>
      <c r="E749" s="610" t="s">
        <v>2038</v>
      </c>
      <c r="F749" s="368" t="s">
        <v>2277</v>
      </c>
      <c r="G749" s="369">
        <v>2015</v>
      </c>
      <c r="H749" s="153">
        <v>26522237</v>
      </c>
      <c r="I749" s="153">
        <v>1</v>
      </c>
      <c r="J749" s="370"/>
      <c r="K749" s="371"/>
      <c r="L749" s="153">
        <v>1</v>
      </c>
      <c r="M749" s="153"/>
      <c r="N749" s="153">
        <v>1</v>
      </c>
      <c r="O749" s="153">
        <v>1</v>
      </c>
      <c r="P749" s="153" t="s">
        <v>1179</v>
      </c>
      <c r="Q749" s="153" t="s">
        <v>1142</v>
      </c>
      <c r="R749" s="153" t="s">
        <v>591</v>
      </c>
      <c r="S749" s="153">
        <v>1</v>
      </c>
      <c r="T749" s="153"/>
      <c r="U749" s="153"/>
      <c r="V749" s="153"/>
      <c r="W749" s="153" t="s">
        <v>897</v>
      </c>
      <c r="X749" s="153" t="s">
        <v>24</v>
      </c>
      <c r="Y749" s="153" t="s">
        <v>898</v>
      </c>
      <c r="Z749" s="153"/>
      <c r="AA749" s="153"/>
      <c r="AB749" s="153" t="s">
        <v>899</v>
      </c>
      <c r="AC749" s="536" t="s">
        <v>6315</v>
      </c>
      <c r="AD749" s="536">
        <v>1</v>
      </c>
      <c r="AE749" s="536">
        <v>0</v>
      </c>
      <c r="AF749" s="165">
        <v>0</v>
      </c>
      <c r="AG749" s="166" t="s">
        <v>8108</v>
      </c>
      <c r="AH749" s="509" t="s">
        <v>7280</v>
      </c>
      <c r="AI749" s="120">
        <v>2</v>
      </c>
      <c r="AJ749" s="120"/>
      <c r="AK749" s="206"/>
      <c r="AL749" s="372"/>
      <c r="AM749" s="207">
        <v>0</v>
      </c>
      <c r="AN749" s="120"/>
      <c r="AO749" s="120"/>
      <c r="AP749" s="120"/>
      <c r="AQ749" s="120"/>
      <c r="AR749" s="120"/>
      <c r="AS749" s="120"/>
      <c r="AT749" s="120"/>
      <c r="AU749" s="120"/>
      <c r="AV749" s="120"/>
      <c r="AW749" s="120"/>
      <c r="AX749" s="120"/>
      <c r="AY749" s="120"/>
      <c r="AZ749" s="755"/>
      <c r="BA749" s="120"/>
      <c r="BB749" s="120"/>
      <c r="BC749" s="120"/>
      <c r="BD749" s="755"/>
      <c r="BE749" s="755"/>
      <c r="BF749" s="120"/>
      <c r="BG749" s="120"/>
      <c r="BH749" s="377"/>
      <c r="BI749" s="377" t="s">
        <v>6317</v>
      </c>
      <c r="BJ749" s="373"/>
      <c r="BK749" s="373"/>
      <c r="BL749" s="373"/>
      <c r="BM749" s="373"/>
      <c r="BN749" s="373"/>
      <c r="BO749" s="373"/>
      <c r="BP749" s="373"/>
      <c r="BQ749" s="373"/>
      <c r="BR749" s="373"/>
      <c r="BS749" s="373"/>
      <c r="BT749" s="373"/>
      <c r="BU749" s="373"/>
      <c r="BV749" s="377" t="s">
        <v>6317</v>
      </c>
      <c r="BW749" s="599"/>
      <c r="BX749" s="374"/>
      <c r="BY749" s="799"/>
      <c r="BZ749" s="374"/>
      <c r="CA749" s="510"/>
      <c r="CB749" s="510"/>
      <c r="CC749" s="510"/>
      <c r="CD749" s="120"/>
      <c r="CE749" s="120"/>
      <c r="CF749" s="786"/>
      <c r="CG749" s="120"/>
      <c r="CH749" s="755"/>
      <c r="CI749" s="120"/>
      <c r="CJ749" s="120"/>
      <c r="CK749" s="120"/>
      <c r="CL749" s="120"/>
      <c r="CM749" s="375"/>
      <c r="CN749" s="380"/>
      <c r="CO749" s="380"/>
      <c r="CP749" s="380"/>
      <c r="CQ749" s="380"/>
      <c r="CR749" s="380"/>
      <c r="CS749" s="380"/>
      <c r="CT749" s="380"/>
      <c r="CU749" s="380"/>
      <c r="CV749" s="515"/>
      <c r="CW749" s="515"/>
      <c r="CX749" s="752"/>
      <c r="CY749" s="120"/>
      <c r="CZ749" s="120"/>
      <c r="DA749" s="120"/>
      <c r="DB749" s="376"/>
      <c r="DC749" s="120"/>
      <c r="DD749" s="120"/>
      <c r="DE749" s="120"/>
      <c r="DF749" s="515"/>
      <c r="DG749" s="513"/>
      <c r="DH749" s="727"/>
      <c r="DI749" s="120"/>
      <c r="DJ749" s="384"/>
      <c r="DK749" s="384"/>
      <c r="DL749" s="727"/>
      <c r="DM749" s="384"/>
      <c r="DN749" s="384"/>
      <c r="DO749" s="384"/>
      <c r="DP749" s="375"/>
      <c r="DQ749" s="377"/>
      <c r="DR749" s="1182"/>
      <c r="DS749" s="956"/>
      <c r="DT749" s="727"/>
      <c r="DU749" s="384"/>
      <c r="DV749" s="384"/>
      <c r="DW749" s="384"/>
      <c r="DX749" s="384"/>
      <c r="DY749" s="384"/>
      <c r="DZ749" s="384"/>
      <c r="EA749" s="384"/>
      <c r="EB749" s="1012"/>
      <c r="EC749" s="384"/>
      <c r="ED749" s="384"/>
      <c r="EE749" s="384"/>
      <c r="EF749" s="384"/>
      <c r="EG749" s="384"/>
      <c r="EH749" s="384"/>
      <c r="EI749" s="384"/>
      <c r="EJ749" s="384"/>
      <c r="EK749" s="384"/>
      <c r="EL749" s="1012"/>
      <c r="EM749" s="384"/>
      <c r="EN749" s="1012"/>
      <c r="EO749" s="384"/>
      <c r="EP749" s="384"/>
      <c r="EQ749" s="384"/>
      <c r="ER749" s="384"/>
      <c r="ES749" s="384"/>
      <c r="ET749" s="727"/>
      <c r="EU749" s="384"/>
      <c r="EV749" s="384"/>
      <c r="EW749" s="384"/>
      <c r="EX749" s="384"/>
      <c r="EY749" s="384"/>
      <c r="EZ749" s="727"/>
      <c r="FA749" s="384"/>
      <c r="FB749" s="384"/>
      <c r="FC749" s="384"/>
      <c r="FD749" s="727"/>
      <c r="FE749" s="384"/>
      <c r="FF749" s="384"/>
      <c r="FG749" s="384"/>
      <c r="FH749" s="384"/>
      <c r="FI749" s="384"/>
      <c r="FJ749" s="384"/>
    </row>
    <row r="750" spans="1:166" ht="18" hidden="1" customHeight="1">
      <c r="A750" s="153" t="s">
        <v>952</v>
      </c>
      <c r="B750" s="618">
        <v>51</v>
      </c>
      <c r="C750" s="618"/>
      <c r="D750" s="618"/>
      <c r="E750" s="610" t="s">
        <v>2127</v>
      </c>
      <c r="F750" s="368" t="s">
        <v>2391</v>
      </c>
      <c r="G750" s="369">
        <v>2014</v>
      </c>
      <c r="H750" s="153">
        <v>24519098</v>
      </c>
      <c r="I750" s="153">
        <v>1</v>
      </c>
      <c r="J750" s="370">
        <v>1</v>
      </c>
      <c r="K750" s="371"/>
      <c r="L750" s="153">
        <v>1</v>
      </c>
      <c r="M750" s="153"/>
      <c r="N750" s="153">
        <v>1</v>
      </c>
      <c r="O750" s="153">
        <v>2</v>
      </c>
      <c r="P750" s="153" t="s">
        <v>1626</v>
      </c>
      <c r="Q750" s="153" t="s">
        <v>1251</v>
      </c>
      <c r="R750" s="153" t="s">
        <v>1229</v>
      </c>
      <c r="S750" s="153"/>
      <c r="T750" s="153" t="s">
        <v>1498</v>
      </c>
      <c r="U750" s="153"/>
      <c r="V750" s="153"/>
      <c r="W750" s="153" t="s">
        <v>1667</v>
      </c>
      <c r="X750" s="153" t="s">
        <v>436</v>
      </c>
      <c r="Y750" s="153" t="s">
        <v>1625</v>
      </c>
      <c r="Z750" s="153"/>
      <c r="AA750" s="153"/>
      <c r="AB750" s="153" t="s">
        <v>1279</v>
      </c>
      <c r="AC750" s="536"/>
      <c r="AD750" s="536">
        <v>1</v>
      </c>
      <c r="AE750" s="536">
        <v>2</v>
      </c>
      <c r="AF750" s="165">
        <v>0</v>
      </c>
      <c r="AG750" s="166" t="s">
        <v>7300</v>
      </c>
      <c r="AH750" s="509">
        <v>0</v>
      </c>
      <c r="AI750" s="120">
        <v>4</v>
      </c>
      <c r="AJ750" s="120"/>
      <c r="AK750" s="206" t="s">
        <v>3689</v>
      </c>
      <c r="AL750" s="372">
        <v>0</v>
      </c>
      <c r="AM750" s="207" t="s">
        <v>3688</v>
      </c>
      <c r="AN750" s="120">
        <v>7</v>
      </c>
      <c r="AO750" s="120" t="s">
        <v>3687</v>
      </c>
      <c r="AP750" s="120" t="s">
        <v>24</v>
      </c>
      <c r="AQ750" s="120" t="s">
        <v>23</v>
      </c>
      <c r="AR750" s="120" t="s">
        <v>24</v>
      </c>
      <c r="AS750" s="120" t="s">
        <v>3031</v>
      </c>
      <c r="AT750" s="120" t="s">
        <v>24</v>
      </c>
      <c r="AU750" s="509" t="s">
        <v>3031</v>
      </c>
      <c r="AV750" s="120" t="s">
        <v>24</v>
      </c>
      <c r="AW750" s="120" t="s">
        <v>3685</v>
      </c>
      <c r="AX750" s="120">
        <v>20</v>
      </c>
      <c r="AY750" s="120">
        <v>0.8</v>
      </c>
      <c r="AZ750" s="755" t="s">
        <v>1814</v>
      </c>
      <c r="BA750" s="120">
        <v>1</v>
      </c>
      <c r="BB750" s="120" t="s">
        <v>3683</v>
      </c>
      <c r="BC750" s="120" t="s">
        <v>24</v>
      </c>
      <c r="BD750" s="755"/>
      <c r="BE750" s="755"/>
      <c r="BF750" s="120" t="s">
        <v>2912</v>
      </c>
      <c r="BG750" s="120" t="s">
        <v>3466</v>
      </c>
      <c r="BH750" s="377"/>
      <c r="BI750" s="377"/>
      <c r="BJ750" s="373">
        <v>1</v>
      </c>
      <c r="BK750" s="373"/>
      <c r="BL750" s="373"/>
      <c r="BM750" s="373"/>
      <c r="BN750" s="373"/>
      <c r="BO750" s="373"/>
      <c r="BP750" s="373"/>
      <c r="BQ750" s="373"/>
      <c r="BR750" s="373"/>
      <c r="BS750" s="373"/>
      <c r="BT750" s="373"/>
      <c r="BU750" s="373"/>
      <c r="BV750" s="373"/>
      <c r="BW750" s="599" t="s">
        <v>2493</v>
      </c>
      <c r="BX750" s="374" t="s">
        <v>6595</v>
      </c>
      <c r="BY750" s="374"/>
      <c r="BZ750" s="374"/>
      <c r="CA750" s="511"/>
      <c r="CB750" s="511"/>
      <c r="CC750" s="511"/>
      <c r="CD750" s="120" t="s">
        <v>2789</v>
      </c>
      <c r="CE750" s="120" t="s">
        <v>3686</v>
      </c>
      <c r="CF750" s="120"/>
      <c r="CG750" s="120" t="s">
        <v>3684</v>
      </c>
      <c r="CH750" s="755"/>
      <c r="CI750" s="120" t="s">
        <v>2471</v>
      </c>
      <c r="CJ750" s="120"/>
      <c r="CK750" s="120" t="s">
        <v>3224</v>
      </c>
      <c r="CL750" s="120" t="s">
        <v>6640</v>
      </c>
      <c r="CM750" s="375" t="s">
        <v>3696</v>
      </c>
      <c r="CN750" s="380" t="s">
        <v>6627</v>
      </c>
      <c r="CO750" s="380"/>
      <c r="CP750" s="380"/>
      <c r="CQ750" s="380"/>
      <c r="CR750" s="380"/>
      <c r="CS750" s="380"/>
      <c r="CT750" s="380"/>
      <c r="CU750" s="380"/>
      <c r="CV750" s="380"/>
      <c r="CW750" s="380"/>
      <c r="CX750" s="376" t="s">
        <v>3692</v>
      </c>
      <c r="CY750" s="120">
        <v>0.149533</v>
      </c>
      <c r="CZ750" s="120" t="s">
        <v>24</v>
      </c>
      <c r="DA750" s="120">
        <f>0.224299-Table66[[#This Row],[Data_Outcome1_M]]</f>
        <v>7.4765999999999999E-2</v>
      </c>
      <c r="DB750" s="376" t="s">
        <v>3690</v>
      </c>
      <c r="DC750" s="120">
        <v>17.981300000000001</v>
      </c>
      <c r="DD750" s="120" t="s">
        <v>24</v>
      </c>
      <c r="DE750" s="120">
        <f>22.6916-Table66[[#This Row],[Data_Outcome2_M]]</f>
        <v>4.7103000000000002</v>
      </c>
      <c r="DF750" s="515" t="s">
        <v>3695</v>
      </c>
      <c r="DG750" s="513" t="s">
        <v>3060</v>
      </c>
      <c r="DH750" s="720" t="s">
        <v>3691</v>
      </c>
      <c r="DI750" s="120">
        <v>14.7563</v>
      </c>
      <c r="DJ750" s="384" t="s">
        <v>24</v>
      </c>
      <c r="DK750" s="120">
        <f>18.1919-Table66[[#This Row],[Data_Outcome3_M]]</f>
        <v>3.4356000000000009</v>
      </c>
      <c r="DL750" s="727" t="s">
        <v>24</v>
      </c>
      <c r="DM750" s="120" t="s">
        <v>24</v>
      </c>
      <c r="DN750" s="384" t="s">
        <v>24</v>
      </c>
      <c r="DO750" s="120" t="s">
        <v>24</v>
      </c>
      <c r="DP750" s="375" t="s">
        <v>3694</v>
      </c>
      <c r="DQ750" s="377" t="s">
        <v>2850</v>
      </c>
      <c r="DR750" s="1182" t="s">
        <v>3693</v>
      </c>
      <c r="DS750" s="956" t="s">
        <v>2785</v>
      </c>
      <c r="DT750" s="727"/>
      <c r="DU750" s="384"/>
      <c r="DV750" s="384"/>
      <c r="DW750" s="384"/>
      <c r="DX750" s="384"/>
      <c r="DY750" s="384"/>
      <c r="DZ750" s="384"/>
      <c r="EA750" s="384"/>
      <c r="EB750" s="1012"/>
      <c r="EC750" s="384"/>
      <c r="ED750" s="384"/>
      <c r="EE750" s="384"/>
      <c r="EF750" s="384"/>
      <c r="EG750" s="384"/>
      <c r="EH750" s="384"/>
      <c r="EI750" s="384"/>
      <c r="EJ750" s="384"/>
      <c r="EK750" s="384"/>
      <c r="EL750" s="1012"/>
      <c r="EM750" s="384"/>
      <c r="EN750" s="1012"/>
      <c r="EO750" s="384"/>
      <c r="EP750" s="384"/>
      <c r="EQ750" s="384"/>
      <c r="ER750" s="120"/>
      <c r="ES750" s="120"/>
      <c r="ET750" s="376"/>
      <c r="EU750" s="120"/>
      <c r="EV750" s="384"/>
      <c r="EW750" s="384"/>
      <c r="EX750" s="384"/>
      <c r="EY750" s="384"/>
      <c r="EZ750" s="376"/>
      <c r="FA750" s="120"/>
      <c r="FB750" s="120"/>
      <c r="FC750" s="120"/>
      <c r="FD750" s="376"/>
      <c r="FE750" s="120"/>
      <c r="FF750" s="384"/>
      <c r="FG750" s="384"/>
      <c r="FH750" s="384"/>
      <c r="FI750" s="384"/>
      <c r="FJ750" s="384"/>
    </row>
    <row r="751" spans="1:166" ht="18" hidden="1" customHeight="1">
      <c r="A751" s="79" t="s">
        <v>350</v>
      </c>
      <c r="B751" s="362">
        <v>250</v>
      </c>
      <c r="C751" s="362"/>
      <c r="D751" s="362">
        <v>105</v>
      </c>
      <c r="E751" s="604" t="s">
        <v>2039</v>
      </c>
      <c r="F751" s="124" t="s">
        <v>2278</v>
      </c>
      <c r="G751" s="125">
        <v>2013</v>
      </c>
      <c r="H751" s="79">
        <v>23517445</v>
      </c>
      <c r="I751" s="79">
        <v>1</v>
      </c>
      <c r="J751" s="126"/>
      <c r="K751" s="127"/>
      <c r="L751" s="79">
        <v>1</v>
      </c>
      <c r="M751" s="79"/>
      <c r="N751" s="79">
        <v>1</v>
      </c>
      <c r="O751" s="128">
        <v>1</v>
      </c>
      <c r="P751" s="79" t="s">
        <v>909</v>
      </c>
      <c r="Q751" s="79" t="s">
        <v>1157</v>
      </c>
      <c r="R751" s="79" t="s">
        <v>25</v>
      </c>
      <c r="S751" s="79">
        <v>1</v>
      </c>
      <c r="T751" s="79"/>
      <c r="U751" s="79"/>
      <c r="V751" s="79"/>
      <c r="W751" s="79" t="s">
        <v>908</v>
      </c>
      <c r="X751" s="79"/>
      <c r="Y751" s="79"/>
      <c r="Z751" s="79"/>
      <c r="AA751" s="79"/>
      <c r="AB751" s="79"/>
      <c r="AC751" s="506" t="s">
        <v>6319</v>
      </c>
      <c r="AD751" s="573">
        <v>1</v>
      </c>
      <c r="AE751" s="573">
        <v>0</v>
      </c>
      <c r="AF751" s="924">
        <v>2</v>
      </c>
      <c r="AG751" s="925"/>
      <c r="AH751" s="911"/>
      <c r="AI751" s="923">
        <v>2</v>
      </c>
      <c r="AJ751" s="923"/>
      <c r="AK751" s="926"/>
      <c r="AL751" s="588"/>
      <c r="AM751" s="927"/>
      <c r="AN751" s="923"/>
      <c r="AO751" s="923"/>
      <c r="AP751" s="923"/>
      <c r="AQ751" s="923"/>
      <c r="AR751" s="923"/>
      <c r="AS751" s="923"/>
      <c r="AT751" s="923"/>
      <c r="AU751" s="923"/>
      <c r="AV751" s="923"/>
      <c r="AW751" s="923"/>
      <c r="AX751" s="923"/>
      <c r="AY751" s="923"/>
      <c r="AZ751" s="915"/>
      <c r="BA751" s="923"/>
      <c r="BB751" s="923"/>
      <c r="BC751" s="923"/>
      <c r="BD751" s="915"/>
      <c r="BE751" s="915"/>
      <c r="BF751" s="923"/>
      <c r="BG751" s="923"/>
      <c r="BH751" s="594"/>
      <c r="BI751" s="594"/>
      <c r="BJ751" s="156"/>
      <c r="BK751" s="156"/>
      <c r="BL751" s="156" t="s">
        <v>5207</v>
      </c>
      <c r="BM751" s="156"/>
      <c r="BN751" s="156"/>
      <c r="BO751" s="156" t="s">
        <v>6320</v>
      </c>
      <c r="BP751" s="156"/>
      <c r="BQ751" s="156" t="s">
        <v>6318</v>
      </c>
      <c r="BR751" s="156"/>
      <c r="BS751" s="156"/>
      <c r="BT751" s="156"/>
      <c r="BU751" s="156"/>
      <c r="BV751" s="156"/>
      <c r="BW751" s="928"/>
      <c r="BX751" s="929"/>
      <c r="BY751" s="929"/>
      <c r="BZ751" s="929"/>
      <c r="CA751" s="917"/>
      <c r="CB751" s="917"/>
      <c r="CC751" s="917"/>
      <c r="CD751" s="923"/>
      <c r="CE751" s="923"/>
      <c r="CF751" s="923"/>
      <c r="CG751" s="923"/>
      <c r="CH751" s="915"/>
      <c r="CI751" s="923"/>
      <c r="CJ751" s="923"/>
      <c r="CK751" s="923"/>
      <c r="CL751" s="923"/>
      <c r="CM751" s="930"/>
      <c r="CN751" s="931"/>
      <c r="CO751" s="931"/>
      <c r="CP751" s="931"/>
      <c r="CQ751" s="931"/>
      <c r="CR751" s="931"/>
      <c r="CS751" s="931"/>
      <c r="CT751" s="967"/>
      <c r="CU751" s="967"/>
      <c r="CV751" s="967"/>
      <c r="CW751" s="967"/>
      <c r="CX751" s="955"/>
      <c r="CY751" s="923"/>
      <c r="CZ751" s="923"/>
      <c r="DA751" s="923"/>
      <c r="DB751" s="932"/>
      <c r="DC751" s="923"/>
      <c r="DD751" s="923"/>
      <c r="DE751" s="923"/>
      <c r="DF751" s="920"/>
      <c r="DG751" s="598"/>
      <c r="DH751" s="950"/>
      <c r="DI751" s="951"/>
      <c r="DJ751" s="951"/>
      <c r="DK751" s="951"/>
      <c r="DL751" s="950"/>
      <c r="DM751" s="951"/>
      <c r="DN751" s="951"/>
      <c r="DO751" s="951"/>
      <c r="DP751" s="930"/>
      <c r="DQ751" s="594"/>
      <c r="DR751" s="1187"/>
      <c r="DS751" s="1186"/>
      <c r="DT751" s="950"/>
      <c r="DU751" s="951"/>
      <c r="DV751" s="951"/>
      <c r="DW751" s="951"/>
      <c r="DX751" s="951"/>
      <c r="DY751" s="951"/>
      <c r="DZ751" s="951"/>
      <c r="EA751" s="951"/>
      <c r="EB751" s="1185"/>
      <c r="EC751" s="951"/>
      <c r="ED751" s="951"/>
      <c r="EE751" s="951"/>
      <c r="EF751" s="951"/>
      <c r="EG751" s="951"/>
      <c r="EH751" s="951"/>
      <c r="EI751" s="951"/>
      <c r="EJ751" s="951"/>
      <c r="EK751" s="951"/>
      <c r="EL751" s="1185"/>
      <c r="EM751" s="951"/>
      <c r="EN751" s="1185"/>
      <c r="EO751" s="951"/>
      <c r="EP751" s="951"/>
      <c r="EQ751" s="951"/>
      <c r="ER751" s="951"/>
      <c r="ES751" s="951"/>
      <c r="ET751" s="950"/>
      <c r="EU751" s="951"/>
      <c r="EV751" s="951"/>
      <c r="EW751" s="951"/>
      <c r="EX751" s="951"/>
      <c r="EY751" s="951"/>
      <c r="EZ751" s="950"/>
      <c r="FA751" s="951"/>
      <c r="FB751" s="951"/>
      <c r="FC751" s="951"/>
      <c r="FD751" s="950"/>
      <c r="FE751" s="951"/>
      <c r="FF751" s="951"/>
      <c r="FG751" s="951"/>
      <c r="FH751" s="951"/>
      <c r="FI751" s="951"/>
      <c r="FJ751" s="951"/>
    </row>
    <row r="752" spans="1:166" ht="18" hidden="1" customHeight="1">
      <c r="A752" s="153" t="s">
        <v>351</v>
      </c>
      <c r="B752" s="618">
        <v>251</v>
      </c>
      <c r="C752" s="618"/>
      <c r="D752" s="618">
        <v>106</v>
      </c>
      <c r="E752" s="610" t="s">
        <v>2040</v>
      </c>
      <c r="F752" s="368" t="s">
        <v>2279</v>
      </c>
      <c r="G752" s="369">
        <v>2014</v>
      </c>
      <c r="H752" s="153">
        <v>24354897</v>
      </c>
      <c r="I752" s="153">
        <v>1</v>
      </c>
      <c r="J752" s="370"/>
      <c r="K752" s="371"/>
      <c r="L752" s="153">
        <v>1</v>
      </c>
      <c r="M752" s="153"/>
      <c r="N752" s="153">
        <v>1</v>
      </c>
      <c r="O752" s="153">
        <v>1</v>
      </c>
      <c r="P752" s="153" t="s">
        <v>609</v>
      </c>
      <c r="Q752" s="153" t="s">
        <v>1158</v>
      </c>
      <c r="R752" s="153" t="s">
        <v>910</v>
      </c>
      <c r="S752" s="153">
        <v>1</v>
      </c>
      <c r="T752" s="153"/>
      <c r="U752" s="153"/>
      <c r="V752" s="153"/>
      <c r="W752" s="153" t="s">
        <v>610</v>
      </c>
      <c r="X752" s="153"/>
      <c r="Y752" s="153"/>
      <c r="Z752" s="153" t="s">
        <v>911</v>
      </c>
      <c r="AA752" s="153"/>
      <c r="AB752" s="153"/>
      <c r="AC752" s="536" t="s">
        <v>6958</v>
      </c>
      <c r="AD752" s="536">
        <v>1</v>
      </c>
      <c r="AE752" s="536">
        <v>1</v>
      </c>
      <c r="AF752" s="165">
        <v>0</v>
      </c>
      <c r="AG752" s="166" t="s">
        <v>7299</v>
      </c>
      <c r="AH752" s="509" t="s">
        <v>7273</v>
      </c>
      <c r="AI752" s="120">
        <v>2</v>
      </c>
      <c r="AJ752" s="120"/>
      <c r="AK752" s="206" t="s">
        <v>7136</v>
      </c>
      <c r="AL752" s="372">
        <v>0</v>
      </c>
      <c r="AM752" s="207" t="s">
        <v>24</v>
      </c>
      <c r="AN752" s="120">
        <f>Table66[[#This Row],[Data_Subjects_n_ptsd]]+Table66[[#This Row],[Data_Subjects_n_control]]</f>
        <v>134</v>
      </c>
      <c r="AO752" s="120">
        <f>30+68</f>
        <v>98</v>
      </c>
      <c r="AP752" s="120">
        <v>36</v>
      </c>
      <c r="AQ752" s="120" t="s">
        <v>7138</v>
      </c>
      <c r="AR752" s="120" t="s">
        <v>7139</v>
      </c>
      <c r="AS752" s="120">
        <f>AVERAGE(31.1, 33.2)</f>
        <v>32.150000000000006</v>
      </c>
      <c r="AT752" s="120">
        <f>AVERAGE(6.4, 7.7)</f>
        <v>7.0500000000000007</v>
      </c>
      <c r="AU752" s="120">
        <v>30.6</v>
      </c>
      <c r="AV752" s="120">
        <v>7.6</v>
      </c>
      <c r="AW752" s="120" t="s">
        <v>7140</v>
      </c>
      <c r="AX752" s="120"/>
      <c r="AY752" s="120"/>
      <c r="AZ752" s="755"/>
      <c r="BA752" s="120" t="s">
        <v>24</v>
      </c>
      <c r="BB752" s="120" t="s">
        <v>24</v>
      </c>
      <c r="BC752" s="120" t="s">
        <v>2423</v>
      </c>
      <c r="BD752" s="755"/>
      <c r="BE752" s="755"/>
      <c r="BF752" s="120" t="s">
        <v>7141</v>
      </c>
      <c r="BG752" s="120" t="s">
        <v>7142</v>
      </c>
      <c r="BH752" s="377"/>
      <c r="BI752" s="377"/>
      <c r="BJ752" s="373"/>
      <c r="BK752" s="373"/>
      <c r="BL752" s="373" t="s">
        <v>5207</v>
      </c>
      <c r="BM752" s="373" t="s">
        <v>5207</v>
      </c>
      <c r="BN752" s="373"/>
      <c r="BO752" s="373" t="s">
        <v>5207</v>
      </c>
      <c r="BP752" s="373">
        <v>1</v>
      </c>
      <c r="BQ752" s="373"/>
      <c r="BR752" s="373" t="s">
        <v>5207</v>
      </c>
      <c r="BS752" s="373"/>
      <c r="BT752" s="373" t="s">
        <v>5207</v>
      </c>
      <c r="BU752" s="373" t="s">
        <v>5207</v>
      </c>
      <c r="BV752" s="373"/>
      <c r="BW752" s="599" t="s">
        <v>4208</v>
      </c>
      <c r="BX752" s="374" t="s">
        <v>6611</v>
      </c>
      <c r="BY752" s="374"/>
      <c r="BZ752" s="374"/>
      <c r="CA752" s="510">
        <v>2</v>
      </c>
      <c r="CB752" s="510"/>
      <c r="CC752" s="510"/>
      <c r="CD752" s="120" t="s">
        <v>1876</v>
      </c>
      <c r="CE752" s="120" t="s">
        <v>7143</v>
      </c>
      <c r="CF752" s="120"/>
      <c r="CG752" s="120" t="s">
        <v>7135</v>
      </c>
      <c r="CH752" s="755"/>
      <c r="CI752" s="120" t="s">
        <v>24</v>
      </c>
      <c r="CJ752" s="120"/>
      <c r="CK752" s="120" t="s">
        <v>7144</v>
      </c>
      <c r="CL752" s="120"/>
      <c r="CM752" s="375" t="s">
        <v>7152</v>
      </c>
      <c r="CN752" s="380" t="s">
        <v>7153</v>
      </c>
      <c r="CO752" s="380"/>
      <c r="CP752" s="380"/>
      <c r="CQ752" s="380"/>
      <c r="CR752" s="380"/>
      <c r="CS752" s="380"/>
      <c r="CT752" s="380"/>
      <c r="CU752" s="380"/>
      <c r="CV752" s="380"/>
      <c r="CW752" s="380"/>
      <c r="CX752" s="748" t="s">
        <v>7146</v>
      </c>
      <c r="CY752" s="120">
        <f>AVERAGE(53.8,44.5)</f>
        <v>49.15</v>
      </c>
      <c r="CZ752" s="120">
        <f>AVERAGE(8, 12.5)</f>
        <v>10.25</v>
      </c>
      <c r="DA752" s="120" t="s">
        <v>24</v>
      </c>
      <c r="DB752" s="376" t="s">
        <v>7145</v>
      </c>
      <c r="DC752" s="120">
        <v>54.3</v>
      </c>
      <c r="DD752" s="120">
        <v>9.5</v>
      </c>
      <c r="DE752" s="120" t="s">
        <v>24</v>
      </c>
      <c r="DF752" s="515" t="s">
        <v>7151</v>
      </c>
      <c r="DG752" s="513"/>
      <c r="DH752" s="1268" t="s">
        <v>7147</v>
      </c>
      <c r="DI752" s="384">
        <f>AVERAGE(12.9,8.2)</f>
        <v>10.55</v>
      </c>
      <c r="DJ752" s="384">
        <f>AVERAGE(2.9,4)</f>
        <v>3.45</v>
      </c>
      <c r="DK752" s="384" t="s">
        <v>24</v>
      </c>
      <c r="DL752" s="727" t="s">
        <v>7148</v>
      </c>
      <c r="DM752" s="384">
        <v>12.4</v>
      </c>
      <c r="DN752" s="384">
        <v>2.9</v>
      </c>
      <c r="DO752" s="384" t="s">
        <v>24</v>
      </c>
      <c r="DP752" s="375" t="s">
        <v>7151</v>
      </c>
      <c r="DQ752" s="377"/>
      <c r="DR752" s="1182"/>
      <c r="DS752" s="956"/>
      <c r="DT752" s="1268" t="s">
        <v>7149</v>
      </c>
      <c r="DU752" s="120">
        <f>AVERAGE(15.2,12)</f>
        <v>13.6</v>
      </c>
      <c r="DV752" s="384">
        <f>AVERAGE(1.1,3.2)</f>
        <v>2.1500000000000004</v>
      </c>
      <c r="DW752" s="120" t="s">
        <v>24</v>
      </c>
      <c r="DX752" s="727" t="s">
        <v>7150</v>
      </c>
      <c r="DY752" s="384">
        <v>15.1</v>
      </c>
      <c r="DZ752" s="384">
        <v>1.2</v>
      </c>
      <c r="EA752" s="384" t="s">
        <v>24</v>
      </c>
      <c r="EB752" s="380" t="s">
        <v>7151</v>
      </c>
      <c r="EC752" s="120"/>
      <c r="ED752" s="384"/>
      <c r="EE752" s="384"/>
      <c r="EF752" s="384"/>
      <c r="EG752" s="384"/>
      <c r="EH752" s="384"/>
      <c r="EI752" s="384"/>
      <c r="EJ752" s="384"/>
      <c r="EK752" s="384"/>
      <c r="EL752" s="380"/>
      <c r="EM752" s="384"/>
      <c r="EN752" s="1012"/>
      <c r="EO752" s="384"/>
      <c r="EP752" s="384"/>
      <c r="EQ752" s="384"/>
      <c r="ER752" s="384"/>
      <c r="ES752" s="384"/>
      <c r="ET752" s="727"/>
      <c r="EU752" s="384"/>
      <c r="EV752" s="384"/>
      <c r="EW752" s="384"/>
      <c r="EX752" s="384"/>
      <c r="EY752" s="384"/>
      <c r="EZ752" s="727"/>
      <c r="FA752" s="120"/>
      <c r="FB752" s="120"/>
      <c r="FC752" s="120"/>
      <c r="FD752" s="376"/>
      <c r="FE752" s="384"/>
      <c r="FF752" s="384"/>
      <c r="FG752" s="384"/>
      <c r="FH752" s="384"/>
      <c r="FI752" s="384"/>
      <c r="FJ752" s="384"/>
    </row>
    <row r="753" spans="1:166" ht="18" hidden="1" customHeight="1">
      <c r="A753" s="79" t="s">
        <v>352</v>
      </c>
      <c r="B753" s="362">
        <v>252</v>
      </c>
      <c r="C753" s="362"/>
      <c r="D753" s="362">
        <v>107</v>
      </c>
      <c r="E753" s="604" t="s">
        <v>2041</v>
      </c>
      <c r="F753" s="124" t="s">
        <v>2280</v>
      </c>
      <c r="G753" s="125">
        <v>2015</v>
      </c>
      <c r="H753" s="79">
        <v>25244677</v>
      </c>
      <c r="I753" s="79">
        <v>1</v>
      </c>
      <c r="J753" s="126"/>
      <c r="K753" s="127"/>
      <c r="L753" s="79">
        <v>1</v>
      </c>
      <c r="M753" s="79"/>
      <c r="N753" s="79">
        <v>1</v>
      </c>
      <c r="O753" s="128">
        <v>1</v>
      </c>
      <c r="P753" s="79" t="s">
        <v>913</v>
      </c>
      <c r="Q753" s="79" t="s">
        <v>1164</v>
      </c>
      <c r="R753" s="79" t="s">
        <v>865</v>
      </c>
      <c r="S753" s="79">
        <v>0</v>
      </c>
      <c r="T753" s="79"/>
      <c r="U753" s="79"/>
      <c r="V753" s="79"/>
      <c r="W753" s="79" t="s">
        <v>30</v>
      </c>
      <c r="X753" s="79"/>
      <c r="Y753" s="79"/>
      <c r="Z753" s="79" t="s">
        <v>912</v>
      </c>
      <c r="AA753" s="79"/>
      <c r="AB753" s="79"/>
      <c r="AC753" s="506" t="s">
        <v>6322</v>
      </c>
      <c r="AD753" s="573">
        <v>1</v>
      </c>
      <c r="AE753" s="573">
        <v>0</v>
      </c>
      <c r="AF753" s="924">
        <v>2</v>
      </c>
      <c r="AG753" s="925"/>
      <c r="AH753" s="911"/>
      <c r="AI753" s="923"/>
      <c r="AJ753" s="923"/>
      <c r="AK753" s="926"/>
      <c r="AL753" s="588"/>
      <c r="AM753" s="927"/>
      <c r="AN753" s="923"/>
      <c r="AO753" s="923"/>
      <c r="AP753" s="923"/>
      <c r="AQ753" s="923"/>
      <c r="AR753" s="923"/>
      <c r="AS753" s="923"/>
      <c r="AT753" s="923"/>
      <c r="AU753" s="923"/>
      <c r="AV753" s="923"/>
      <c r="AW753" s="923"/>
      <c r="AX753" s="923"/>
      <c r="AY753" s="923"/>
      <c r="AZ753" s="915"/>
      <c r="BA753" s="923"/>
      <c r="BB753" s="923"/>
      <c r="BC753" s="923"/>
      <c r="BD753" s="915"/>
      <c r="BE753" s="915"/>
      <c r="BF753" s="923"/>
      <c r="BG753" s="923"/>
      <c r="BH753" s="594"/>
      <c r="BI753" s="594"/>
      <c r="BJ753" s="156"/>
      <c r="BK753" s="156"/>
      <c r="BL753" s="156" t="s">
        <v>5207</v>
      </c>
      <c r="BM753" s="156"/>
      <c r="BN753" s="156"/>
      <c r="BO753" s="156"/>
      <c r="BP753" s="156"/>
      <c r="BQ753" s="156"/>
      <c r="BR753" s="156"/>
      <c r="BS753" s="156"/>
      <c r="BT753" s="156"/>
      <c r="BU753" s="156"/>
      <c r="BV753" s="156"/>
      <c r="BW753" s="928"/>
      <c r="BX753" s="929"/>
      <c r="BY753" s="929"/>
      <c r="BZ753" s="929"/>
      <c r="CA753" s="917"/>
      <c r="CB753" s="917"/>
      <c r="CC753" s="917"/>
      <c r="CD753" s="923"/>
      <c r="CE753" s="923"/>
      <c r="CF753" s="923"/>
      <c r="CG753" s="923"/>
      <c r="CH753" s="915"/>
      <c r="CI753" s="923"/>
      <c r="CJ753" s="923"/>
      <c r="CK753" s="923"/>
      <c r="CL753" s="923"/>
      <c r="CM753" s="930"/>
      <c r="CN753" s="931"/>
      <c r="CO753" s="931"/>
      <c r="CP753" s="931"/>
      <c r="CQ753" s="931"/>
      <c r="CR753" s="931"/>
      <c r="CS753" s="931"/>
      <c r="CT753" s="967"/>
      <c r="CU753" s="967"/>
      <c r="CV753" s="967"/>
      <c r="CW753" s="967"/>
      <c r="CX753" s="955"/>
      <c r="CY753" s="923"/>
      <c r="CZ753" s="923"/>
      <c r="DA753" s="923"/>
      <c r="DB753" s="932"/>
      <c r="DC753" s="923"/>
      <c r="DD753" s="923"/>
      <c r="DE753" s="923"/>
      <c r="DF753" s="920"/>
      <c r="DG753" s="598"/>
      <c r="DH753" s="950"/>
      <c r="DI753" s="951"/>
      <c r="DJ753" s="951"/>
      <c r="DK753" s="951"/>
      <c r="DL753" s="950"/>
      <c r="DM753" s="951"/>
      <c r="DN753" s="951"/>
      <c r="DO753" s="951"/>
      <c r="DP753" s="930"/>
      <c r="DQ753" s="594"/>
      <c r="DR753" s="1187"/>
      <c r="DS753" s="1186"/>
      <c r="DT753" s="950"/>
      <c r="DU753" s="951"/>
      <c r="DV753" s="951"/>
      <c r="DW753" s="951"/>
      <c r="DX753" s="951"/>
      <c r="DY753" s="951"/>
      <c r="DZ753" s="951"/>
      <c r="EA753" s="951"/>
      <c r="EB753" s="1185"/>
      <c r="EC753" s="951"/>
      <c r="ED753" s="951"/>
      <c r="EE753" s="951"/>
      <c r="EF753" s="951"/>
      <c r="EG753" s="951"/>
      <c r="EH753" s="951"/>
      <c r="EI753" s="951"/>
      <c r="EJ753" s="951"/>
      <c r="EK753" s="951"/>
      <c r="EL753" s="1185"/>
      <c r="EM753" s="951"/>
      <c r="EN753" s="1185"/>
      <c r="EO753" s="951"/>
      <c r="EP753" s="951"/>
      <c r="EQ753" s="951"/>
      <c r="ER753" s="951"/>
      <c r="ES753" s="951"/>
      <c r="ET753" s="950"/>
      <c r="EU753" s="951"/>
      <c r="EV753" s="951"/>
      <c r="EW753" s="951"/>
      <c r="EX753" s="951"/>
      <c r="EY753" s="951"/>
      <c r="EZ753" s="950"/>
      <c r="FA753" s="951"/>
      <c r="FB753" s="951"/>
      <c r="FC753" s="951"/>
      <c r="FD753" s="950"/>
      <c r="FE753" s="951"/>
      <c r="FF753" s="951"/>
      <c r="FG753" s="951"/>
      <c r="FH753" s="951"/>
      <c r="FI753" s="951"/>
      <c r="FJ753" s="951"/>
    </row>
    <row r="754" spans="1:166" ht="18" hidden="1" customHeight="1">
      <c r="A754" s="79" t="s">
        <v>353</v>
      </c>
      <c r="B754" s="362">
        <v>253</v>
      </c>
      <c r="C754" s="362"/>
      <c r="D754" s="362">
        <v>108</v>
      </c>
      <c r="E754" s="604" t="s">
        <v>2042</v>
      </c>
      <c r="F754" s="124" t="s">
        <v>2281</v>
      </c>
      <c r="G754" s="125">
        <v>2016</v>
      </c>
      <c r="H754" s="79">
        <v>26447678</v>
      </c>
      <c r="I754" s="79">
        <v>1</v>
      </c>
      <c r="J754" s="126"/>
      <c r="K754" s="127"/>
      <c r="L754" s="79">
        <v>1</v>
      </c>
      <c r="M754" s="79"/>
      <c r="N754" s="79">
        <v>1</v>
      </c>
      <c r="O754" s="128">
        <v>1</v>
      </c>
      <c r="P754" s="79" t="s">
        <v>609</v>
      </c>
      <c r="Q754" s="79" t="s">
        <v>1158</v>
      </c>
      <c r="R754" s="79" t="s">
        <v>25</v>
      </c>
      <c r="S754" s="79">
        <v>1</v>
      </c>
      <c r="T754" s="79"/>
      <c r="U754" s="79"/>
      <c r="V754" s="79"/>
      <c r="W754" s="79" t="s">
        <v>610</v>
      </c>
      <c r="X754" s="79" t="s">
        <v>915</v>
      </c>
      <c r="Y754" s="79" t="s">
        <v>914</v>
      </c>
      <c r="Z754" s="79"/>
      <c r="AA754" s="79"/>
      <c r="AB754" s="79"/>
      <c r="AC754" s="506" t="s">
        <v>6323</v>
      </c>
      <c r="AD754" s="573">
        <v>1</v>
      </c>
      <c r="AE754" s="573">
        <v>0</v>
      </c>
      <c r="AF754" s="924">
        <v>2</v>
      </c>
      <c r="AG754" s="925"/>
      <c r="AH754" s="911"/>
      <c r="AI754" s="923">
        <v>2</v>
      </c>
      <c r="AJ754" s="923"/>
      <c r="AK754" s="926"/>
      <c r="AL754" s="588"/>
      <c r="AM754" s="927"/>
      <c r="AN754" s="923"/>
      <c r="AO754" s="923"/>
      <c r="AP754" s="923"/>
      <c r="AQ754" s="923"/>
      <c r="AR754" s="923"/>
      <c r="AS754" s="923"/>
      <c r="AT754" s="923"/>
      <c r="AU754" s="923"/>
      <c r="AV754" s="923"/>
      <c r="AW754" s="923"/>
      <c r="AX754" s="923"/>
      <c r="AY754" s="923"/>
      <c r="AZ754" s="915"/>
      <c r="BA754" s="923"/>
      <c r="BB754" s="923"/>
      <c r="BC754" s="923"/>
      <c r="BD754" s="915"/>
      <c r="BE754" s="915"/>
      <c r="BF754" s="923"/>
      <c r="BG754" s="923"/>
      <c r="BH754" s="594"/>
      <c r="BI754" s="594"/>
      <c r="BJ754" s="156"/>
      <c r="BK754" s="156"/>
      <c r="BL754" s="156"/>
      <c r="BM754" s="156"/>
      <c r="BN754" s="156"/>
      <c r="BO754" s="156"/>
      <c r="BP754" s="156"/>
      <c r="BQ754" s="156"/>
      <c r="BR754" s="156" t="s">
        <v>5207</v>
      </c>
      <c r="BS754" s="156"/>
      <c r="BT754" s="156"/>
      <c r="BU754" s="156"/>
      <c r="BV754" s="156"/>
      <c r="BW754" s="928"/>
      <c r="BX754" s="929"/>
      <c r="BY754" s="929"/>
      <c r="BZ754" s="929"/>
      <c r="CA754" s="917"/>
      <c r="CB754" s="917"/>
      <c r="CC754" s="917"/>
      <c r="CD754" s="923"/>
      <c r="CE754" s="923"/>
      <c r="CF754" s="923"/>
      <c r="CG754" s="923"/>
      <c r="CH754" s="915"/>
      <c r="CI754" s="923"/>
      <c r="CJ754" s="923"/>
      <c r="CK754" s="923"/>
      <c r="CL754" s="923"/>
      <c r="CM754" s="930"/>
      <c r="CN754" s="931"/>
      <c r="CO754" s="931"/>
      <c r="CP754" s="931"/>
      <c r="CQ754" s="931"/>
      <c r="CR754" s="931"/>
      <c r="CS754" s="931"/>
      <c r="CT754" s="967"/>
      <c r="CU754" s="967"/>
      <c r="CV754" s="967"/>
      <c r="CW754" s="967"/>
      <c r="CX754" s="955"/>
      <c r="CY754" s="923"/>
      <c r="CZ754" s="923"/>
      <c r="DA754" s="923"/>
      <c r="DB754" s="932"/>
      <c r="DC754" s="923"/>
      <c r="DD754" s="923"/>
      <c r="DE754" s="923"/>
      <c r="DF754" s="920"/>
      <c r="DG754" s="598"/>
      <c r="DH754" s="950"/>
      <c r="DI754" s="951"/>
      <c r="DJ754" s="951"/>
      <c r="DK754" s="951"/>
      <c r="DL754" s="950"/>
      <c r="DM754" s="951"/>
      <c r="DN754" s="951"/>
      <c r="DO754" s="951"/>
      <c r="DP754" s="930"/>
      <c r="DQ754" s="594"/>
      <c r="DR754" s="1187"/>
      <c r="DS754" s="1186"/>
      <c r="DT754" s="950"/>
      <c r="DU754" s="951"/>
      <c r="DV754" s="951"/>
      <c r="DW754" s="951"/>
      <c r="DX754" s="951"/>
      <c r="DY754" s="951"/>
      <c r="DZ754" s="951"/>
      <c r="EA754" s="951"/>
      <c r="EB754" s="1185"/>
      <c r="EC754" s="951"/>
      <c r="ED754" s="951"/>
      <c r="EE754" s="951"/>
      <c r="EF754" s="951"/>
      <c r="EG754" s="951"/>
      <c r="EH754" s="951"/>
      <c r="EI754" s="951"/>
      <c r="EJ754" s="951"/>
      <c r="EK754" s="951"/>
      <c r="EL754" s="1185"/>
      <c r="EM754" s="951"/>
      <c r="EN754" s="1185"/>
      <c r="EO754" s="951"/>
      <c r="EP754" s="951"/>
      <c r="EQ754" s="951"/>
      <c r="ER754" s="951"/>
      <c r="ES754" s="951"/>
      <c r="ET754" s="950"/>
      <c r="EU754" s="951"/>
      <c r="EV754" s="951"/>
      <c r="EW754" s="951"/>
      <c r="EX754" s="951"/>
      <c r="EY754" s="951"/>
      <c r="EZ754" s="950"/>
      <c r="FA754" s="951"/>
      <c r="FB754" s="951"/>
      <c r="FC754" s="951"/>
      <c r="FD754" s="950"/>
      <c r="FE754" s="951"/>
      <c r="FF754" s="951"/>
      <c r="FG754" s="951"/>
      <c r="FH754" s="951"/>
      <c r="FI754" s="951"/>
      <c r="FJ754" s="951"/>
    </row>
    <row r="755" spans="1:166" ht="18" hidden="1" customHeight="1">
      <c r="A755" s="153" t="s">
        <v>354</v>
      </c>
      <c r="B755" s="618">
        <v>254</v>
      </c>
      <c r="C755" s="618"/>
      <c r="D755" s="618">
        <v>109</v>
      </c>
      <c r="E755" s="610" t="s">
        <v>2043</v>
      </c>
      <c r="F755" s="368" t="s">
        <v>2282</v>
      </c>
      <c r="G755" s="369">
        <v>2015</v>
      </c>
      <c r="H755" s="153">
        <v>26042021</v>
      </c>
      <c r="I755" s="153">
        <v>1</v>
      </c>
      <c r="J755" s="370" t="s">
        <v>1745</v>
      </c>
      <c r="K755" s="371" t="s">
        <v>1769</v>
      </c>
      <c r="L755" s="153">
        <v>1</v>
      </c>
      <c r="M755" s="153" t="s">
        <v>1753</v>
      </c>
      <c r="N755" s="153">
        <v>0</v>
      </c>
      <c r="O755" s="153">
        <v>1</v>
      </c>
      <c r="P755" s="153"/>
      <c r="Q755" s="153"/>
      <c r="R755" s="153" t="s">
        <v>693</v>
      </c>
      <c r="S755" s="153"/>
      <c r="T755" s="153"/>
      <c r="U755" s="153"/>
      <c r="V755" s="153"/>
      <c r="W755" s="153"/>
      <c r="X755" s="153"/>
      <c r="Y755" s="153"/>
      <c r="Z755" s="153"/>
      <c r="AA755" s="153"/>
      <c r="AB755" s="153" t="s">
        <v>916</v>
      </c>
      <c r="AC755" s="536" t="s">
        <v>28</v>
      </c>
      <c r="AD755" s="536">
        <v>1</v>
      </c>
      <c r="AE755" s="536">
        <v>0</v>
      </c>
      <c r="AF755" s="165">
        <v>0</v>
      </c>
      <c r="AG755" s="166" t="s">
        <v>7281</v>
      </c>
      <c r="AH755" s="509" t="s">
        <v>7273</v>
      </c>
      <c r="AI755" s="120"/>
      <c r="AJ755" s="120"/>
      <c r="AK755" s="206"/>
      <c r="AL755" s="372"/>
      <c r="AM755" s="207"/>
      <c r="AN755" s="120"/>
      <c r="AO755" s="120"/>
      <c r="AP755" s="120"/>
      <c r="AQ755" s="120"/>
      <c r="AR755" s="120"/>
      <c r="AS755" s="120"/>
      <c r="AT755" s="120"/>
      <c r="AU755" s="120"/>
      <c r="AV755" s="120"/>
      <c r="AW755" s="120"/>
      <c r="AX755" s="120"/>
      <c r="AY755" s="120"/>
      <c r="AZ755" s="755"/>
      <c r="BA755" s="120"/>
      <c r="BB755" s="120"/>
      <c r="BC755" s="120"/>
      <c r="BD755" s="755"/>
      <c r="BE755" s="755"/>
      <c r="BF755" s="120"/>
      <c r="BG755" s="120"/>
      <c r="BH755" s="377"/>
      <c r="BI755" s="377"/>
      <c r="BJ755" s="373"/>
      <c r="BK755" s="373"/>
      <c r="BL755" s="373"/>
      <c r="BM755" s="373"/>
      <c r="BN755" s="373"/>
      <c r="BO755" s="373" t="s">
        <v>5207</v>
      </c>
      <c r="BP755" s="373"/>
      <c r="BQ755" s="373"/>
      <c r="BR755" s="373"/>
      <c r="BS755" s="373"/>
      <c r="BT755" s="373"/>
      <c r="BU755" s="373"/>
      <c r="BV755" s="373"/>
      <c r="BW755" s="599"/>
      <c r="BX755" s="374"/>
      <c r="BY755" s="374"/>
      <c r="BZ755" s="374"/>
      <c r="CA755" s="510"/>
      <c r="CB755" s="510"/>
      <c r="CC755" s="510"/>
      <c r="CD755" s="120"/>
      <c r="CE755" s="120"/>
      <c r="CF755" s="120"/>
      <c r="CG755" s="120"/>
      <c r="CH755" s="755"/>
      <c r="CI755" s="120"/>
      <c r="CJ755" s="120"/>
      <c r="CK755" s="120"/>
      <c r="CL755" s="120"/>
      <c r="CM755" s="375"/>
      <c r="CN755" s="380"/>
      <c r="CO755" s="380"/>
      <c r="CP755" s="380"/>
      <c r="CQ755" s="380"/>
      <c r="CR755" s="380"/>
      <c r="CS755" s="380"/>
      <c r="CT755" s="380"/>
      <c r="CU755" s="380"/>
      <c r="CV755" s="380"/>
      <c r="CW755" s="380"/>
      <c r="CX755" s="731"/>
      <c r="CY755" s="120"/>
      <c r="CZ755" s="120"/>
      <c r="DA755" s="120"/>
      <c r="DB755" s="376"/>
      <c r="DC755" s="120"/>
      <c r="DD755" s="120"/>
      <c r="DE755" s="120"/>
      <c r="DF755" s="515"/>
      <c r="DG755" s="513"/>
      <c r="DH755" s="727"/>
      <c r="DI755" s="384"/>
      <c r="DJ755" s="384"/>
      <c r="DK755" s="384"/>
      <c r="DL755" s="727"/>
      <c r="DM755" s="384"/>
      <c r="DN755" s="384"/>
      <c r="DO755" s="384"/>
      <c r="DP755" s="375"/>
      <c r="DQ755" s="377"/>
      <c r="DR755" s="1182"/>
      <c r="DS755" s="956"/>
      <c r="DT755" s="727"/>
      <c r="DU755" s="120"/>
      <c r="DV755" s="384"/>
      <c r="DW755" s="120"/>
      <c r="DX755" s="384"/>
      <c r="DY755" s="384"/>
      <c r="DZ755" s="384"/>
      <c r="EA755" s="384"/>
      <c r="EB755" s="380"/>
      <c r="EC755" s="120"/>
      <c r="ED755" s="384"/>
      <c r="EE755" s="384"/>
      <c r="EF755" s="384"/>
      <c r="EG755" s="384"/>
      <c r="EH755" s="384"/>
      <c r="EI755" s="384"/>
      <c r="EJ755" s="384"/>
      <c r="EK755" s="384"/>
      <c r="EL755" s="380"/>
      <c r="EM755" s="384"/>
      <c r="EN755" s="1012"/>
      <c r="EO755" s="384"/>
      <c r="EP755" s="384"/>
      <c r="EQ755" s="384"/>
      <c r="ER755" s="384"/>
      <c r="ES755" s="384"/>
      <c r="ET755" s="727"/>
      <c r="EU755" s="384"/>
      <c r="EV755" s="384"/>
      <c r="EW755" s="384"/>
      <c r="EX755" s="384"/>
      <c r="EY755" s="384"/>
      <c r="EZ755" s="727"/>
      <c r="FA755" s="120"/>
      <c r="FB755" s="120"/>
      <c r="FC755" s="120"/>
      <c r="FD755" s="376"/>
      <c r="FE755" s="384"/>
      <c r="FF755" s="384"/>
      <c r="FG755" s="384"/>
      <c r="FH755" s="384"/>
      <c r="FI755" s="384"/>
      <c r="FJ755" s="384"/>
    </row>
    <row r="756" spans="1:166" ht="18" hidden="1" customHeight="1">
      <c r="A756" s="118" t="s">
        <v>355</v>
      </c>
      <c r="B756" s="616">
        <v>255</v>
      </c>
      <c r="C756" s="616">
        <v>91</v>
      </c>
      <c r="D756" s="616"/>
      <c r="E756" s="605" t="s">
        <v>2044</v>
      </c>
      <c r="F756" s="140" t="s">
        <v>2283</v>
      </c>
      <c r="G756" s="141">
        <v>2009</v>
      </c>
      <c r="H756" s="118">
        <v>19703322</v>
      </c>
      <c r="I756" s="118">
        <v>1</v>
      </c>
      <c r="J756" s="118"/>
      <c r="K756" s="118"/>
      <c r="L756" s="118">
        <v>1</v>
      </c>
      <c r="M756" s="118"/>
      <c r="N756" s="118">
        <v>1</v>
      </c>
      <c r="O756" s="142">
        <v>1</v>
      </c>
      <c r="P756" s="118" t="s">
        <v>457</v>
      </c>
      <c r="Q756" s="118" t="s">
        <v>1147</v>
      </c>
      <c r="R756" s="118" t="s">
        <v>819</v>
      </c>
      <c r="S756" s="118">
        <v>1</v>
      </c>
      <c r="T756" s="118"/>
      <c r="U756" s="118"/>
      <c r="V756" s="118"/>
      <c r="W756" s="118"/>
      <c r="X756" s="118" t="s">
        <v>917</v>
      </c>
      <c r="Y756" s="118"/>
      <c r="Z756" s="118"/>
      <c r="AA756" s="118"/>
      <c r="AB756" s="118"/>
      <c r="AC756" s="145"/>
      <c r="AD756" s="573">
        <v>1</v>
      </c>
      <c r="AE756" s="573">
        <v>2</v>
      </c>
      <c r="AF756" s="159">
        <v>0</v>
      </c>
      <c r="AG756" s="160" t="s">
        <v>8215</v>
      </c>
      <c r="AH756" s="704"/>
      <c r="AI756" s="122">
        <v>2</v>
      </c>
      <c r="AJ756" s="485" t="s">
        <v>5915</v>
      </c>
      <c r="AK756" s="204" t="s">
        <v>5916</v>
      </c>
      <c r="AL756" s="192">
        <v>1</v>
      </c>
      <c r="AM756" s="205">
        <v>0</v>
      </c>
      <c r="AN756" s="122">
        <v>95</v>
      </c>
      <c r="AO756" s="122">
        <f>23+25</f>
        <v>48</v>
      </c>
      <c r="AP756" s="122">
        <f>19+28</f>
        <v>47</v>
      </c>
      <c r="AQ756" s="122" t="s">
        <v>5914</v>
      </c>
      <c r="AR756" s="122" t="s">
        <v>5914</v>
      </c>
      <c r="AS756" s="122">
        <f>AVERAGE(50.2,48.3)</f>
        <v>49.25</v>
      </c>
      <c r="AT756" s="122">
        <f>AVERAGE(7.3,9)</f>
        <v>8.15</v>
      </c>
      <c r="AU756" s="122">
        <f>AVERAGE(47.1,45.9)</f>
        <v>46.5</v>
      </c>
      <c r="AV756" s="122">
        <f>AVERAGE(11.1,9.5)</f>
        <v>10.3</v>
      </c>
      <c r="AW756" s="122" t="s">
        <v>5913</v>
      </c>
      <c r="AX756" s="122"/>
      <c r="AY756" s="122"/>
      <c r="AZ756" s="754" t="s">
        <v>1874</v>
      </c>
      <c r="BA756" s="122" t="s">
        <v>24</v>
      </c>
      <c r="BB756" s="122" t="s">
        <v>24</v>
      </c>
      <c r="BC756" s="122" t="s">
        <v>5912</v>
      </c>
      <c r="BD756" s="754" t="s">
        <v>7521</v>
      </c>
      <c r="BE756" s="187">
        <v>0</v>
      </c>
      <c r="BF756" s="122" t="s">
        <v>3835</v>
      </c>
      <c r="BG756" s="122" t="s">
        <v>5911</v>
      </c>
      <c r="BH756" s="588"/>
      <c r="BI756" s="588"/>
      <c r="BJ756" s="161"/>
      <c r="BK756" s="161"/>
      <c r="BL756" s="161"/>
      <c r="BM756" s="161"/>
      <c r="BN756" s="161"/>
      <c r="BO756" s="161"/>
      <c r="BP756" s="161">
        <v>1</v>
      </c>
      <c r="BQ756" s="161"/>
      <c r="BR756" s="161"/>
      <c r="BS756" s="161"/>
      <c r="BT756" s="161"/>
      <c r="BU756" s="161"/>
      <c r="BV756" s="161"/>
      <c r="BW756" s="596" t="s">
        <v>5918</v>
      </c>
      <c r="BX756" s="162" t="s">
        <v>6609</v>
      </c>
      <c r="BY756" s="797" t="s">
        <v>7616</v>
      </c>
      <c r="BZ756" s="789" t="s">
        <v>803</v>
      </c>
      <c r="CA756" s="660">
        <v>2</v>
      </c>
      <c r="CB756" s="660" t="s">
        <v>7556</v>
      </c>
      <c r="CC756" s="660" t="s">
        <v>24</v>
      </c>
      <c r="CD756" s="150" t="s">
        <v>1876</v>
      </c>
      <c r="CE756" s="150" t="s">
        <v>5917</v>
      </c>
      <c r="CF756" s="400"/>
      <c r="CG756" s="150" t="s">
        <v>7345</v>
      </c>
      <c r="CH756" s="753" t="s">
        <v>7347</v>
      </c>
      <c r="CI756" s="150" t="s">
        <v>24</v>
      </c>
      <c r="CJ756" s="150"/>
      <c r="CK756" s="150" t="s">
        <v>5927</v>
      </c>
      <c r="CL756" s="150"/>
      <c r="CM756" s="258" t="s">
        <v>5962</v>
      </c>
      <c r="CN756" s="257">
        <v>0</v>
      </c>
      <c r="CO756" s="829">
        <v>85</v>
      </c>
      <c r="CP756" s="829">
        <v>1</v>
      </c>
      <c r="CQ756" s="829">
        <v>1</v>
      </c>
      <c r="CR756" s="829">
        <v>1</v>
      </c>
      <c r="CS756" s="829">
        <v>-1</v>
      </c>
      <c r="CT756" s="968"/>
      <c r="CU756" s="1288" t="s">
        <v>8103</v>
      </c>
      <c r="CV756" s="1294">
        <v>41</v>
      </c>
      <c r="CW756" s="1294">
        <v>35</v>
      </c>
      <c r="CX756" s="151" t="s">
        <v>5944</v>
      </c>
      <c r="CY756" s="150">
        <v>0.6</v>
      </c>
      <c r="CZ756" s="150">
        <v>3.9</v>
      </c>
      <c r="DA756" s="150" t="s">
        <v>24</v>
      </c>
      <c r="DB756" s="151" t="s">
        <v>5945</v>
      </c>
      <c r="DC756" s="150">
        <v>-0.2</v>
      </c>
      <c r="DD756" s="150">
        <v>4.0999999999999996</v>
      </c>
      <c r="DE756" s="150" t="s">
        <v>24</v>
      </c>
      <c r="DF756" s="294" t="s">
        <v>5959</v>
      </c>
      <c r="DG756" s="295" t="s">
        <v>5953</v>
      </c>
      <c r="DH756" s="1166" t="s">
        <v>24</v>
      </c>
      <c r="DI756" s="1164"/>
      <c r="DJ756" s="1164"/>
      <c r="DK756" s="1164"/>
      <c r="DL756" s="1166"/>
      <c r="DM756" s="1164"/>
      <c r="DN756" s="1164"/>
      <c r="DO756" s="1164"/>
      <c r="DP756" s="290"/>
      <c r="DQ756" s="291"/>
      <c r="DR756" s="1168"/>
      <c r="DS756" s="865"/>
      <c r="DT756" s="1166"/>
      <c r="DU756" s="1164"/>
      <c r="DV756" s="1164"/>
      <c r="DW756" s="1164"/>
      <c r="DX756" s="1164"/>
      <c r="DY756" s="1164"/>
      <c r="DZ756" s="1164"/>
      <c r="EA756" s="1164"/>
      <c r="EB756" s="311"/>
      <c r="EC756" s="313"/>
      <c r="ED756" s="1164"/>
      <c r="EE756" s="1164"/>
      <c r="EF756" s="1164"/>
      <c r="EG756" s="1164"/>
      <c r="EH756" s="1164"/>
      <c r="EI756" s="1164"/>
      <c r="EJ756" s="1164"/>
      <c r="EK756" s="1164"/>
      <c r="EL756" s="311"/>
      <c r="EM756" s="313"/>
      <c r="EN756" s="1167"/>
      <c r="EO756" s="1165"/>
      <c r="EP756" s="1164"/>
      <c r="EQ756" s="1164"/>
      <c r="ER756" s="1164"/>
      <c r="ES756" s="1164"/>
      <c r="ET756" s="1166"/>
      <c r="EU756" s="1164"/>
      <c r="EV756" s="1164"/>
      <c r="EW756" s="1164"/>
      <c r="EX756" s="313"/>
      <c r="EY756" s="313"/>
      <c r="EZ756" s="1166"/>
      <c r="FA756" s="1164"/>
      <c r="FB756" s="1164"/>
      <c r="FC756" s="1164"/>
      <c r="FD756" s="1166"/>
      <c r="FE756" s="1164"/>
      <c r="FF756" s="1164"/>
      <c r="FG756" s="1164"/>
      <c r="FH756" s="313"/>
      <c r="FI756" s="313"/>
      <c r="FJ756" s="1165"/>
    </row>
    <row r="757" spans="1:166" ht="18" hidden="1" customHeight="1">
      <c r="A757" s="118" t="s">
        <v>355</v>
      </c>
      <c r="B757" s="616">
        <v>255</v>
      </c>
      <c r="C757" s="616">
        <v>91</v>
      </c>
      <c r="D757" s="616"/>
      <c r="E757" s="605" t="s">
        <v>2044</v>
      </c>
      <c r="F757" s="140" t="s">
        <v>2283</v>
      </c>
      <c r="G757" s="141">
        <v>2009</v>
      </c>
      <c r="H757" s="118">
        <v>19703322</v>
      </c>
      <c r="I757" s="118">
        <v>1</v>
      </c>
      <c r="J757" s="118"/>
      <c r="K757" s="118"/>
      <c r="L757" s="118">
        <v>1</v>
      </c>
      <c r="M757" s="118"/>
      <c r="N757" s="118">
        <v>1</v>
      </c>
      <c r="O757" s="142">
        <v>1</v>
      </c>
      <c r="P757" s="118" t="s">
        <v>457</v>
      </c>
      <c r="Q757" s="118" t="s">
        <v>1147</v>
      </c>
      <c r="R757" s="118" t="s">
        <v>819</v>
      </c>
      <c r="S757" s="118">
        <v>1</v>
      </c>
      <c r="T757" s="118"/>
      <c r="U757" s="118"/>
      <c r="V757" s="118"/>
      <c r="W757" s="118"/>
      <c r="X757" s="118" t="s">
        <v>917</v>
      </c>
      <c r="Y757" s="118"/>
      <c r="Z757" s="118"/>
      <c r="AA757" s="118"/>
      <c r="AB757" s="118"/>
      <c r="AC757" s="145"/>
      <c r="AD757" s="573">
        <v>1</v>
      </c>
      <c r="AE757" s="573">
        <v>2</v>
      </c>
      <c r="AF757" s="159">
        <v>0</v>
      </c>
      <c r="AG757" s="160" t="s">
        <v>8240</v>
      </c>
      <c r="AH757" s="704"/>
      <c r="AI757" s="122">
        <v>2</v>
      </c>
      <c r="AJ757" s="485" t="s">
        <v>5915</v>
      </c>
      <c r="AK757" s="204" t="s">
        <v>5916</v>
      </c>
      <c r="AL757" s="192">
        <v>1</v>
      </c>
      <c r="AM757" s="205">
        <v>0</v>
      </c>
      <c r="AN757" s="122">
        <v>95</v>
      </c>
      <c r="AO757" s="122">
        <f>23+25</f>
        <v>48</v>
      </c>
      <c r="AP757" s="122">
        <f>19+28</f>
        <v>47</v>
      </c>
      <c r="AQ757" s="122" t="s">
        <v>5914</v>
      </c>
      <c r="AR757" s="122" t="s">
        <v>5914</v>
      </c>
      <c r="AS757" s="122">
        <f>AVERAGE(50.2,48.3)</f>
        <v>49.25</v>
      </c>
      <c r="AT757" s="122">
        <f>AVERAGE(7.3,9)</f>
        <v>8.15</v>
      </c>
      <c r="AU757" s="122">
        <f>AVERAGE(47.1,45.9)</f>
        <v>46.5</v>
      </c>
      <c r="AV757" s="122">
        <f>AVERAGE(11.1,9.5)</f>
        <v>10.3</v>
      </c>
      <c r="AW757" s="122" t="s">
        <v>5913</v>
      </c>
      <c r="AX757" s="122"/>
      <c r="AY757" s="122"/>
      <c r="AZ757" s="754" t="s">
        <v>1874</v>
      </c>
      <c r="BA757" s="122" t="s">
        <v>24</v>
      </c>
      <c r="BB757" s="122" t="s">
        <v>24</v>
      </c>
      <c r="BC757" s="122" t="s">
        <v>5912</v>
      </c>
      <c r="BD757" s="754" t="s">
        <v>7521</v>
      </c>
      <c r="BE757" s="187">
        <v>0</v>
      </c>
      <c r="BF757" s="122" t="s">
        <v>3835</v>
      </c>
      <c r="BG757" s="122" t="s">
        <v>5911</v>
      </c>
      <c r="BH757" s="588"/>
      <c r="BI757" s="588"/>
      <c r="BJ757" s="161"/>
      <c r="BK757" s="161"/>
      <c r="BL757" s="161"/>
      <c r="BM757" s="161"/>
      <c r="BN757" s="161"/>
      <c r="BO757" s="161"/>
      <c r="BP757" s="161">
        <v>1</v>
      </c>
      <c r="BQ757" s="161"/>
      <c r="BR757" s="161"/>
      <c r="BS757" s="161"/>
      <c r="BT757" s="161"/>
      <c r="BU757" s="161"/>
      <c r="BV757" s="161"/>
      <c r="BW757" s="596" t="s">
        <v>5919</v>
      </c>
      <c r="BX757" s="162" t="s">
        <v>6609</v>
      </c>
      <c r="BY757" s="797" t="s">
        <v>7616</v>
      </c>
      <c r="BZ757" s="789" t="s">
        <v>803</v>
      </c>
      <c r="CA757" s="765">
        <v>2</v>
      </c>
      <c r="CB757" s="765" t="s">
        <v>7556</v>
      </c>
      <c r="CC757" s="765" t="s">
        <v>7380</v>
      </c>
      <c r="CD757" s="150" t="s">
        <v>1876</v>
      </c>
      <c r="CE757" s="150" t="s">
        <v>5917</v>
      </c>
      <c r="CF757" s="400"/>
      <c r="CG757" s="150" t="s">
        <v>5924</v>
      </c>
      <c r="CH757" s="753" t="s">
        <v>7349</v>
      </c>
      <c r="CI757" s="150" t="s">
        <v>24</v>
      </c>
      <c r="CJ757" s="150"/>
      <c r="CK757" s="150" t="s">
        <v>5928</v>
      </c>
      <c r="CL757" s="150"/>
      <c r="CM757" s="258" t="s">
        <v>5961</v>
      </c>
      <c r="CN757" s="257">
        <v>0</v>
      </c>
      <c r="CO757" s="829">
        <v>85</v>
      </c>
      <c r="CP757" s="829">
        <v>1</v>
      </c>
      <c r="CQ757" s="829">
        <v>5</v>
      </c>
      <c r="CR757" s="829">
        <v>1</v>
      </c>
      <c r="CS757" s="1115">
        <v>-1</v>
      </c>
      <c r="CT757" s="968"/>
      <c r="CU757" s="1288" t="s">
        <v>8103</v>
      </c>
      <c r="CV757" s="1294">
        <v>41</v>
      </c>
      <c r="CW757" s="1294">
        <v>35</v>
      </c>
      <c r="CX757" s="151" t="s">
        <v>5946</v>
      </c>
      <c r="CY757" s="150">
        <v>0.3</v>
      </c>
      <c r="CZ757" s="150">
        <v>3.8</v>
      </c>
      <c r="DA757" s="150" t="s">
        <v>24</v>
      </c>
      <c r="DB757" s="151" t="s">
        <v>5947</v>
      </c>
      <c r="DC757" s="150">
        <v>-0.3</v>
      </c>
      <c r="DD757" s="150">
        <v>3.7</v>
      </c>
      <c r="DE757" s="150" t="s">
        <v>24</v>
      </c>
      <c r="DF757" s="294" t="s">
        <v>5960</v>
      </c>
      <c r="DG757" s="295" t="s">
        <v>2480</v>
      </c>
      <c r="DH757" s="1166" t="s">
        <v>24</v>
      </c>
      <c r="DI757" s="1164"/>
      <c r="DJ757" s="1164"/>
      <c r="DK757" s="1164"/>
      <c r="DL757" s="1166"/>
      <c r="DM757" s="1164"/>
      <c r="DN757" s="1164"/>
      <c r="DO757" s="1164"/>
      <c r="DP757" s="290"/>
      <c r="DQ757" s="291"/>
      <c r="DR757" s="1168"/>
      <c r="DS757" s="865"/>
      <c r="DT757" s="1166"/>
      <c r="DU757" s="1164"/>
      <c r="DV757" s="1164"/>
      <c r="DW757" s="1164"/>
      <c r="DX757" s="1164"/>
      <c r="DY757" s="1164"/>
      <c r="DZ757" s="1164"/>
      <c r="EA757" s="1164"/>
      <c r="EB757" s="311"/>
      <c r="EC757" s="313"/>
      <c r="ED757" s="1164"/>
      <c r="EE757" s="1164"/>
      <c r="EF757" s="1164"/>
      <c r="EG757" s="1164"/>
      <c r="EH757" s="1164"/>
      <c r="EI757" s="1164"/>
      <c r="EJ757" s="1164"/>
      <c r="EK757" s="1164"/>
      <c r="EL757" s="311"/>
      <c r="EM757" s="313"/>
      <c r="EN757" s="1167"/>
      <c r="EO757" s="1165"/>
      <c r="EP757" s="1164"/>
      <c r="EQ757" s="1164"/>
      <c r="ER757" s="1164"/>
      <c r="ES757" s="1164"/>
      <c r="ET757" s="1166"/>
      <c r="EU757" s="1164"/>
      <c r="EV757" s="1164"/>
      <c r="EW757" s="1164"/>
      <c r="EX757" s="313"/>
      <c r="EY757" s="313"/>
      <c r="EZ757" s="1166"/>
      <c r="FA757" s="1164"/>
      <c r="FB757" s="1164"/>
      <c r="FC757" s="1164"/>
      <c r="FD757" s="1166"/>
      <c r="FE757" s="1164"/>
      <c r="FF757" s="1164"/>
      <c r="FG757" s="1164"/>
      <c r="FH757" s="313"/>
      <c r="FI757" s="313"/>
      <c r="FJ757" s="1165"/>
    </row>
    <row r="758" spans="1:166" ht="18" hidden="1" customHeight="1">
      <c r="A758" s="79" t="s">
        <v>355</v>
      </c>
      <c r="B758" s="362">
        <v>255</v>
      </c>
      <c r="C758" s="362">
        <v>91</v>
      </c>
      <c r="D758" s="362"/>
      <c r="E758" s="604" t="s">
        <v>2044</v>
      </c>
      <c r="F758" s="124" t="s">
        <v>2283</v>
      </c>
      <c r="G758" s="125">
        <v>2009</v>
      </c>
      <c r="H758" s="79">
        <v>19703322</v>
      </c>
      <c r="I758" s="79">
        <v>1</v>
      </c>
      <c r="J758" s="126"/>
      <c r="K758" s="127"/>
      <c r="L758" s="79">
        <v>1</v>
      </c>
      <c r="M758" s="79"/>
      <c r="N758" s="79">
        <v>1</v>
      </c>
      <c r="O758" s="128">
        <v>1</v>
      </c>
      <c r="P758" s="79" t="s">
        <v>457</v>
      </c>
      <c r="Q758" s="79" t="s">
        <v>1147</v>
      </c>
      <c r="R758" s="79" t="s">
        <v>819</v>
      </c>
      <c r="S758" s="79">
        <v>1</v>
      </c>
      <c r="T758" s="79"/>
      <c r="U758" s="79"/>
      <c r="V758" s="79"/>
      <c r="W758" s="79"/>
      <c r="X758" s="79" t="s">
        <v>917</v>
      </c>
      <c r="Y758" s="79"/>
      <c r="Z758" s="79"/>
      <c r="AA758" s="79"/>
      <c r="AB758" s="79"/>
      <c r="AC758" s="506"/>
      <c r="AD758" s="573">
        <v>1</v>
      </c>
      <c r="AE758" s="573">
        <v>2</v>
      </c>
      <c r="AF758" s="154">
        <v>1</v>
      </c>
      <c r="AG758" s="155"/>
      <c r="AH758" s="704"/>
      <c r="AI758" s="121">
        <v>2</v>
      </c>
      <c r="AJ758" s="484" t="s">
        <v>5915</v>
      </c>
      <c r="AK758" s="202" t="s">
        <v>5916</v>
      </c>
      <c r="AL758" s="192">
        <v>1</v>
      </c>
      <c r="AM758" s="203">
        <v>0</v>
      </c>
      <c r="AN758" s="121">
        <v>95</v>
      </c>
      <c r="AO758" s="121">
        <f>23+25</f>
        <v>48</v>
      </c>
      <c r="AP758" s="121">
        <f>19+28</f>
        <v>47</v>
      </c>
      <c r="AQ758" s="121" t="s">
        <v>5914</v>
      </c>
      <c r="AR758" s="121" t="s">
        <v>5914</v>
      </c>
      <c r="AS758" s="121">
        <f>AVERAGE(50.2,48.3)</f>
        <v>49.25</v>
      </c>
      <c r="AT758" s="121">
        <f>AVERAGE(7.3,9)</f>
        <v>8.15</v>
      </c>
      <c r="AU758" s="121">
        <f>AVERAGE(47.1,45.9)</f>
        <v>46.5</v>
      </c>
      <c r="AV758" s="121">
        <f>AVERAGE(11.1,9.5)</f>
        <v>10.3</v>
      </c>
      <c r="AW758" s="121" t="s">
        <v>5913</v>
      </c>
      <c r="AX758" s="121"/>
      <c r="AY758" s="121"/>
      <c r="AZ758" s="754" t="s">
        <v>1874</v>
      </c>
      <c r="BA758" s="121" t="s">
        <v>24</v>
      </c>
      <c r="BB758" s="121" t="s">
        <v>24</v>
      </c>
      <c r="BC758" s="121" t="s">
        <v>5912</v>
      </c>
      <c r="BD758" s="754" t="s">
        <v>7521</v>
      </c>
      <c r="BE758" s="187">
        <v>0</v>
      </c>
      <c r="BF758" s="121" t="s">
        <v>3835</v>
      </c>
      <c r="BG758" s="121" t="s">
        <v>5911</v>
      </c>
      <c r="BH758" s="594"/>
      <c r="BI758" s="594"/>
      <c r="BJ758" s="156"/>
      <c r="BK758" s="156"/>
      <c r="BL758" s="156"/>
      <c r="BM758" s="156"/>
      <c r="BN758" s="156"/>
      <c r="BO758" s="156"/>
      <c r="BP758" s="156">
        <v>1</v>
      </c>
      <c r="BQ758" s="156"/>
      <c r="BR758" s="156"/>
      <c r="BS758" s="156"/>
      <c r="BT758" s="156"/>
      <c r="BU758" s="156"/>
      <c r="BV758" s="156"/>
      <c r="BW758" s="595" t="s">
        <v>5923</v>
      </c>
      <c r="BX758" s="157" t="s">
        <v>6609</v>
      </c>
      <c r="BY758" s="797" t="s">
        <v>7616</v>
      </c>
      <c r="BZ758" s="789" t="s">
        <v>7610</v>
      </c>
      <c r="CA758" s="765">
        <v>2</v>
      </c>
      <c r="CB758" s="765" t="s">
        <v>7556</v>
      </c>
      <c r="CC758" s="765" t="s">
        <v>24</v>
      </c>
      <c r="CD758" s="134" t="s">
        <v>1876</v>
      </c>
      <c r="CE758" s="134" t="s">
        <v>5917</v>
      </c>
      <c r="CF758" s="400"/>
      <c r="CG758" s="134" t="s">
        <v>5920</v>
      </c>
      <c r="CH758" s="753" t="s">
        <v>7346</v>
      </c>
      <c r="CI758" s="134" t="s">
        <v>24</v>
      </c>
      <c r="CJ758" s="134"/>
      <c r="CK758" s="134" t="s">
        <v>5926</v>
      </c>
      <c r="CL758" s="134" t="s">
        <v>8223</v>
      </c>
      <c r="CM758" s="259" t="s">
        <v>5957</v>
      </c>
      <c r="CN758" s="454" t="s">
        <v>24</v>
      </c>
      <c r="CO758" s="828">
        <v>85</v>
      </c>
      <c r="CP758" s="828">
        <v>1</v>
      </c>
      <c r="CQ758" s="828">
        <v>6</v>
      </c>
      <c r="CR758" s="828">
        <v>1</v>
      </c>
      <c r="CS758" s="828">
        <v>1</v>
      </c>
      <c r="CT758" s="967"/>
      <c r="CU758" s="1288" t="s">
        <v>8103</v>
      </c>
      <c r="CV758" s="1294">
        <v>41</v>
      </c>
      <c r="CW758" s="1294">
        <v>35</v>
      </c>
      <c r="CX758" s="138" t="s">
        <v>5934</v>
      </c>
      <c r="CY758" s="134">
        <v>26.3</v>
      </c>
      <c r="CZ758" s="134">
        <v>4.0999999999999996</v>
      </c>
      <c r="DA758" s="134" t="s">
        <v>24</v>
      </c>
      <c r="DB758" s="138" t="s">
        <v>5935</v>
      </c>
      <c r="DC758" s="134">
        <v>28.6</v>
      </c>
      <c r="DD758" s="134">
        <v>3.7</v>
      </c>
      <c r="DE758" s="134" t="s">
        <v>24</v>
      </c>
      <c r="DF758" s="434" t="s">
        <v>5952</v>
      </c>
      <c r="DG758" s="436" t="s">
        <v>5950</v>
      </c>
      <c r="DH758" s="1276"/>
      <c r="DI758" s="121"/>
      <c r="DJ758" s="1169"/>
      <c r="DK758" s="121"/>
      <c r="DL758" s="1171"/>
      <c r="DM758" s="121"/>
      <c r="DN758" s="1169"/>
      <c r="DO758" s="121"/>
      <c r="DP758" s="288"/>
      <c r="DQ758" s="289"/>
      <c r="DR758" s="864"/>
      <c r="DS758" s="865"/>
      <c r="DT758" s="1171"/>
      <c r="DU758" s="417"/>
      <c r="DV758" s="1169"/>
      <c r="DW758" s="417"/>
      <c r="DX758" s="1171"/>
      <c r="DY758" s="417"/>
      <c r="DZ758" s="1169"/>
      <c r="EA758" s="417"/>
      <c r="EB758" s="304"/>
      <c r="EC758" s="312"/>
      <c r="ED758" s="1171"/>
      <c r="EE758" s="417"/>
      <c r="EF758" s="1169"/>
      <c r="EG758" s="417"/>
      <c r="EH758" s="1171"/>
      <c r="EI758" s="417"/>
      <c r="EJ758" s="1169"/>
      <c r="EK758" s="417"/>
      <c r="EL758" s="304"/>
      <c r="EM758" s="312"/>
      <c r="EN758" s="309"/>
      <c r="EO758" s="1170"/>
      <c r="EP758" s="1169"/>
      <c r="EQ758" s="1169"/>
      <c r="ER758" s="1169"/>
      <c r="ES758" s="1169"/>
      <c r="ET758" s="1171"/>
      <c r="EU758" s="1169"/>
      <c r="EV758" s="1169"/>
      <c r="EW758" s="1169"/>
      <c r="EX758" s="312"/>
      <c r="EY758" s="312"/>
      <c r="EZ758" s="1171"/>
      <c r="FA758" s="1169"/>
      <c r="FB758" s="1169"/>
      <c r="FC758" s="1169"/>
      <c r="FD758" s="1171"/>
      <c r="FE758" s="1169"/>
      <c r="FF758" s="1169"/>
      <c r="FG758" s="1169"/>
      <c r="FH758" s="312"/>
      <c r="FI758" s="312"/>
      <c r="FJ758" s="1170"/>
    </row>
    <row r="759" spans="1:166" ht="18" hidden="1" customHeight="1">
      <c r="A759" s="79" t="s">
        <v>355</v>
      </c>
      <c r="B759" s="362">
        <v>255</v>
      </c>
      <c r="C759" s="362">
        <v>91</v>
      </c>
      <c r="D759" s="362"/>
      <c r="E759" s="604" t="s">
        <v>2044</v>
      </c>
      <c r="F759" s="124" t="s">
        <v>2283</v>
      </c>
      <c r="G759" s="125">
        <v>2009</v>
      </c>
      <c r="H759" s="79">
        <v>19703322</v>
      </c>
      <c r="I759" s="79">
        <v>1</v>
      </c>
      <c r="J759" s="126"/>
      <c r="K759" s="127"/>
      <c r="L759" s="79">
        <v>1</v>
      </c>
      <c r="M759" s="79"/>
      <c r="N759" s="79">
        <v>1</v>
      </c>
      <c r="O759" s="128">
        <v>1</v>
      </c>
      <c r="P759" s="79" t="s">
        <v>457</v>
      </c>
      <c r="Q759" s="79" t="s">
        <v>1147</v>
      </c>
      <c r="R759" s="79" t="s">
        <v>819</v>
      </c>
      <c r="S759" s="79">
        <v>1</v>
      </c>
      <c r="T759" s="79"/>
      <c r="U759" s="79"/>
      <c r="V759" s="79"/>
      <c r="W759" s="79"/>
      <c r="X759" s="79" t="s">
        <v>917</v>
      </c>
      <c r="Y759" s="79"/>
      <c r="Z759" s="79"/>
      <c r="AA759" s="79"/>
      <c r="AB759" s="79"/>
      <c r="AC759" s="506"/>
      <c r="AD759" s="573">
        <v>1</v>
      </c>
      <c r="AE759" s="573">
        <v>2</v>
      </c>
      <c r="AF759" s="154">
        <v>1</v>
      </c>
      <c r="AG759" s="155"/>
      <c r="AH759" s="704"/>
      <c r="AI759" s="121">
        <v>2</v>
      </c>
      <c r="AJ759" s="484" t="s">
        <v>5915</v>
      </c>
      <c r="AK759" s="202" t="s">
        <v>5916</v>
      </c>
      <c r="AL759" s="192">
        <v>1</v>
      </c>
      <c r="AM759" s="203">
        <v>0</v>
      </c>
      <c r="AN759" s="121">
        <v>95</v>
      </c>
      <c r="AO759" s="121">
        <f>23+25</f>
        <v>48</v>
      </c>
      <c r="AP759" s="121">
        <f>19+28</f>
        <v>47</v>
      </c>
      <c r="AQ759" s="121" t="s">
        <v>5914</v>
      </c>
      <c r="AR759" s="121" t="s">
        <v>5914</v>
      </c>
      <c r="AS759" s="121">
        <f>AVERAGE(50.2,48.3)</f>
        <v>49.25</v>
      </c>
      <c r="AT759" s="121">
        <f>AVERAGE(7.3,9)</f>
        <v>8.15</v>
      </c>
      <c r="AU759" s="121">
        <f>AVERAGE(47.1,45.9)</f>
        <v>46.5</v>
      </c>
      <c r="AV759" s="121">
        <f>AVERAGE(11.1,9.5)</f>
        <v>10.3</v>
      </c>
      <c r="AW759" s="121" t="s">
        <v>5913</v>
      </c>
      <c r="AX759" s="121"/>
      <c r="AY759" s="121"/>
      <c r="AZ759" s="754" t="s">
        <v>1874</v>
      </c>
      <c r="BA759" s="121" t="s">
        <v>24</v>
      </c>
      <c r="BB759" s="121" t="s">
        <v>24</v>
      </c>
      <c r="BC759" s="121" t="s">
        <v>5912</v>
      </c>
      <c r="BD759" s="754" t="s">
        <v>7521</v>
      </c>
      <c r="BE759" s="187">
        <v>0</v>
      </c>
      <c r="BF759" s="121" t="s">
        <v>3835</v>
      </c>
      <c r="BG759" s="121" t="s">
        <v>5911</v>
      </c>
      <c r="BH759" s="594"/>
      <c r="BI759" s="594"/>
      <c r="BJ759" s="156"/>
      <c r="BK759" s="156"/>
      <c r="BL759" s="156"/>
      <c r="BM759" s="156"/>
      <c r="BN759" s="156"/>
      <c r="BO759" s="156"/>
      <c r="BP759" s="156">
        <v>1</v>
      </c>
      <c r="BQ759" s="156"/>
      <c r="BR759" s="156"/>
      <c r="BS759" s="156"/>
      <c r="BT759" s="156"/>
      <c r="BU759" s="156"/>
      <c r="BV759" s="156"/>
      <c r="BW759" s="595" t="s">
        <v>5923</v>
      </c>
      <c r="BX759" s="157" t="s">
        <v>6609</v>
      </c>
      <c r="BY759" s="797" t="s">
        <v>7616</v>
      </c>
      <c r="BZ759" s="789" t="s">
        <v>803</v>
      </c>
      <c r="CA759" s="765">
        <v>2</v>
      </c>
      <c r="CB759" s="765" t="s">
        <v>7556</v>
      </c>
      <c r="CC759" s="765" t="s">
        <v>24</v>
      </c>
      <c r="CD759" s="134" t="s">
        <v>1876</v>
      </c>
      <c r="CE759" s="134" t="s">
        <v>5917</v>
      </c>
      <c r="CF759" s="400"/>
      <c r="CG759" s="134" t="s">
        <v>5920</v>
      </c>
      <c r="CH759" s="753" t="s">
        <v>7346</v>
      </c>
      <c r="CI759" s="134" t="s">
        <v>24</v>
      </c>
      <c r="CJ759" s="134"/>
      <c r="CK759" s="134" t="s">
        <v>5926</v>
      </c>
      <c r="CL759" s="134" t="s">
        <v>8214</v>
      </c>
      <c r="CM759" s="259" t="s">
        <v>5957</v>
      </c>
      <c r="CN759" s="454" t="s">
        <v>24</v>
      </c>
      <c r="CO759" s="828">
        <v>85</v>
      </c>
      <c r="CP759" s="828">
        <v>1</v>
      </c>
      <c r="CQ759" s="828">
        <v>6</v>
      </c>
      <c r="CR759" s="828">
        <v>1</v>
      </c>
      <c r="CS759" s="828">
        <v>1</v>
      </c>
      <c r="CT759" s="967"/>
      <c r="CU759" s="1288" t="s">
        <v>8103</v>
      </c>
      <c r="CV759" s="1294">
        <v>41</v>
      </c>
      <c r="CW759" s="1294">
        <v>35</v>
      </c>
      <c r="CX759" s="138" t="s">
        <v>5936</v>
      </c>
      <c r="CY759" s="134">
        <v>0.92</v>
      </c>
      <c r="CZ759" s="134">
        <v>0.12</v>
      </c>
      <c r="DA759" s="134" t="s">
        <v>24</v>
      </c>
      <c r="DB759" s="138" t="s">
        <v>5937</v>
      </c>
      <c r="DC759" s="134">
        <v>0.93</v>
      </c>
      <c r="DD759" s="134">
        <v>0.13</v>
      </c>
      <c r="DE759" s="134" t="s">
        <v>24</v>
      </c>
      <c r="DF759" s="300" t="s">
        <v>5954</v>
      </c>
      <c r="DG759" s="436" t="s">
        <v>5955</v>
      </c>
      <c r="DH759" s="1175"/>
      <c r="DI759" s="417"/>
      <c r="DJ759" s="1169"/>
      <c r="DK759" s="417"/>
      <c r="DL759" s="1171"/>
      <c r="DM759" s="417"/>
      <c r="DN759" s="1169"/>
      <c r="DO759" s="1151"/>
      <c r="DP759" s="288"/>
      <c r="DQ759" s="441"/>
      <c r="DR759" s="1168"/>
      <c r="DS759" s="865"/>
      <c r="DT759" s="1171"/>
      <c r="DU759" s="1169"/>
      <c r="DV759" s="1169"/>
      <c r="DW759" s="1169"/>
      <c r="DX759" s="1171"/>
      <c r="DY759" s="1169"/>
      <c r="DZ759" s="1169"/>
      <c r="EA759" s="1169"/>
      <c r="EB759" s="304"/>
      <c r="EC759" s="312"/>
      <c r="ED759" s="1171"/>
      <c r="EE759" s="1169"/>
      <c r="EF759" s="1169"/>
      <c r="EG759" s="1169"/>
      <c r="EH759" s="1171"/>
      <c r="EI759" s="1169"/>
      <c r="EJ759" s="1169"/>
      <c r="EK759" s="1169"/>
      <c r="EL759" s="304"/>
      <c r="EM759" s="312"/>
      <c r="EN759" s="309"/>
      <c r="EO759" s="1170"/>
      <c r="EP759" s="1169"/>
      <c r="EQ759" s="1169"/>
      <c r="ER759" s="1169"/>
      <c r="ES759" s="1169"/>
      <c r="ET759" s="1171"/>
      <c r="EU759" s="1169"/>
      <c r="EV759" s="1169"/>
      <c r="EW759" s="1169"/>
      <c r="EX759" s="312"/>
      <c r="EY759" s="312"/>
      <c r="EZ759" s="1171"/>
      <c r="FA759" s="1169"/>
      <c r="FB759" s="1169"/>
      <c r="FC759" s="1169"/>
      <c r="FD759" s="1171"/>
      <c r="FE759" s="1169"/>
      <c r="FF759" s="1169"/>
      <c r="FG759" s="1169"/>
      <c r="FH759" s="312"/>
      <c r="FI759" s="312"/>
      <c r="FJ759" s="1170"/>
    </row>
    <row r="760" spans="1:166" ht="18" hidden="1" customHeight="1">
      <c r="A760" s="118" t="s">
        <v>355</v>
      </c>
      <c r="B760" s="616">
        <v>255</v>
      </c>
      <c r="C760" s="616">
        <v>91</v>
      </c>
      <c r="D760" s="616"/>
      <c r="E760" s="605" t="s">
        <v>2044</v>
      </c>
      <c r="F760" s="140" t="s">
        <v>2283</v>
      </c>
      <c r="G760" s="141">
        <v>2009</v>
      </c>
      <c r="H760" s="118">
        <v>19703322</v>
      </c>
      <c r="I760" s="118">
        <v>1</v>
      </c>
      <c r="J760" s="118"/>
      <c r="K760" s="118"/>
      <c r="L760" s="118">
        <v>1</v>
      </c>
      <c r="M760" s="118"/>
      <c r="N760" s="118">
        <v>1</v>
      </c>
      <c r="O760" s="142">
        <v>1</v>
      </c>
      <c r="P760" s="118" t="s">
        <v>457</v>
      </c>
      <c r="Q760" s="118" t="s">
        <v>1147</v>
      </c>
      <c r="R760" s="118" t="s">
        <v>819</v>
      </c>
      <c r="S760" s="118">
        <v>1</v>
      </c>
      <c r="T760" s="118"/>
      <c r="U760" s="118"/>
      <c r="V760" s="118"/>
      <c r="W760" s="118"/>
      <c r="X760" s="118" t="s">
        <v>917</v>
      </c>
      <c r="Y760" s="118"/>
      <c r="Z760" s="118"/>
      <c r="AA760" s="118"/>
      <c r="AB760" s="118"/>
      <c r="AC760" s="145"/>
      <c r="AD760" s="573">
        <v>1</v>
      </c>
      <c r="AE760" s="573">
        <v>2</v>
      </c>
      <c r="AF760" s="159">
        <v>1</v>
      </c>
      <c r="AG760" s="160"/>
      <c r="AH760" s="704"/>
      <c r="AI760" s="122">
        <v>2</v>
      </c>
      <c r="AJ760" s="485" t="s">
        <v>5915</v>
      </c>
      <c r="AK760" s="204" t="s">
        <v>5916</v>
      </c>
      <c r="AL760" s="192">
        <v>1</v>
      </c>
      <c r="AM760" s="205">
        <v>0</v>
      </c>
      <c r="AN760" s="122">
        <v>95</v>
      </c>
      <c r="AO760" s="122">
        <f>23+25</f>
        <v>48</v>
      </c>
      <c r="AP760" s="122">
        <f>19+28</f>
        <v>47</v>
      </c>
      <c r="AQ760" s="122" t="s">
        <v>5914</v>
      </c>
      <c r="AR760" s="122" t="s">
        <v>5914</v>
      </c>
      <c r="AS760" s="122">
        <f>AVERAGE(50.2,48.3)</f>
        <v>49.25</v>
      </c>
      <c r="AT760" s="122">
        <f>AVERAGE(7.3,9)</f>
        <v>8.15</v>
      </c>
      <c r="AU760" s="122">
        <f>AVERAGE(47.1,45.9)</f>
        <v>46.5</v>
      </c>
      <c r="AV760" s="122">
        <f>AVERAGE(11.1,9.5)</f>
        <v>10.3</v>
      </c>
      <c r="AW760" s="122" t="s">
        <v>5913</v>
      </c>
      <c r="AX760" s="122"/>
      <c r="AY760" s="122"/>
      <c r="AZ760" s="754" t="s">
        <v>1874</v>
      </c>
      <c r="BA760" s="122" t="s">
        <v>24</v>
      </c>
      <c r="BB760" s="122" t="s">
        <v>24</v>
      </c>
      <c r="BC760" s="122" t="s">
        <v>5912</v>
      </c>
      <c r="BD760" s="754" t="s">
        <v>7521</v>
      </c>
      <c r="BE760" s="187">
        <v>0</v>
      </c>
      <c r="BF760" s="122" t="s">
        <v>3835</v>
      </c>
      <c r="BG760" s="122" t="s">
        <v>5911</v>
      </c>
      <c r="BH760" s="588"/>
      <c r="BI760" s="588"/>
      <c r="BJ760" s="161"/>
      <c r="BK760" s="161"/>
      <c r="BL760" s="161"/>
      <c r="BM760" s="161"/>
      <c r="BN760" s="161"/>
      <c r="BO760" s="161"/>
      <c r="BP760" s="161">
        <v>1</v>
      </c>
      <c r="BQ760" s="161"/>
      <c r="BR760" s="161"/>
      <c r="BS760" s="161"/>
      <c r="BT760" s="161"/>
      <c r="BU760" s="161"/>
      <c r="BV760" s="161"/>
      <c r="BW760" s="596" t="s">
        <v>5922</v>
      </c>
      <c r="BX760" s="162" t="s">
        <v>6612</v>
      </c>
      <c r="BY760" s="797" t="s">
        <v>7617</v>
      </c>
      <c r="BZ760" s="790" t="s">
        <v>803</v>
      </c>
      <c r="CA760" s="765">
        <v>2</v>
      </c>
      <c r="CB760" s="765" t="s">
        <v>7556</v>
      </c>
      <c r="CC760" s="765" t="s">
        <v>7380</v>
      </c>
      <c r="CD760" s="150" t="s">
        <v>1876</v>
      </c>
      <c r="CE760" s="150" t="s">
        <v>5917</v>
      </c>
      <c r="CF760" s="400"/>
      <c r="CG760" s="150" t="s">
        <v>5925</v>
      </c>
      <c r="CH760" s="753" t="s">
        <v>7336</v>
      </c>
      <c r="CI760" s="150" t="s">
        <v>24</v>
      </c>
      <c r="CJ760" s="150"/>
      <c r="CK760" s="150" t="s">
        <v>5929</v>
      </c>
      <c r="CL760" s="150" t="s">
        <v>8237</v>
      </c>
      <c r="CM760" s="258" t="s">
        <v>5956</v>
      </c>
      <c r="CN760" s="257" t="s">
        <v>24</v>
      </c>
      <c r="CO760" s="829">
        <v>85</v>
      </c>
      <c r="CP760" s="829">
        <v>1</v>
      </c>
      <c r="CQ760" s="829">
        <v>2</v>
      </c>
      <c r="CR760" s="829">
        <v>1</v>
      </c>
      <c r="CS760" s="829">
        <v>1</v>
      </c>
      <c r="CT760" s="968"/>
      <c r="CU760" s="1288" t="s">
        <v>8103</v>
      </c>
      <c r="CV760" s="1294">
        <v>41</v>
      </c>
      <c r="CW760" s="1294">
        <v>35</v>
      </c>
      <c r="CX760" s="151" t="s">
        <v>5940</v>
      </c>
      <c r="CY760" s="150">
        <v>30.6</v>
      </c>
      <c r="CZ760" s="150">
        <v>13.3</v>
      </c>
      <c r="DA760" s="150" t="s">
        <v>24</v>
      </c>
      <c r="DB760" s="151" t="s">
        <v>5939</v>
      </c>
      <c r="DC760" s="150">
        <v>36.9</v>
      </c>
      <c r="DD760" s="150">
        <v>10.9</v>
      </c>
      <c r="DE760" s="150" t="s">
        <v>24</v>
      </c>
      <c r="DF760" s="280" t="s">
        <v>5951</v>
      </c>
      <c r="DG760" s="551"/>
      <c r="DH760" s="1179"/>
      <c r="DI760" s="417"/>
      <c r="DJ760" s="1169"/>
      <c r="DK760" s="417"/>
      <c r="DL760" s="1169"/>
      <c r="DM760" s="417"/>
      <c r="DN760" s="1169"/>
      <c r="DO760" s="1151"/>
      <c r="DP760" s="288"/>
      <c r="DQ760" s="441"/>
      <c r="DR760" s="1168"/>
      <c r="DS760" s="1168"/>
      <c r="DT760" s="1166"/>
      <c r="DU760" s="1164"/>
      <c r="DV760" s="1164"/>
      <c r="DW760" s="1164"/>
      <c r="DX760" s="1166"/>
      <c r="DY760" s="1164"/>
      <c r="DZ760" s="1164"/>
      <c r="EA760" s="1164"/>
      <c r="EB760" s="311"/>
      <c r="EC760" s="313"/>
      <c r="ED760" s="1164"/>
      <c r="EE760" s="1164"/>
      <c r="EF760" s="1164"/>
      <c r="EG760" s="1164"/>
      <c r="EH760" s="1164"/>
      <c r="EI760" s="1164"/>
      <c r="EJ760" s="1164"/>
      <c r="EK760" s="1164"/>
      <c r="EL760" s="311"/>
      <c r="EM760" s="313"/>
      <c r="EN760" s="1167"/>
      <c r="EO760" s="1165"/>
      <c r="EP760" s="122"/>
      <c r="EQ760" s="1164"/>
      <c r="ER760" s="1164"/>
      <c r="ES760" s="1164"/>
      <c r="ET760" s="526"/>
      <c r="EU760" s="1164"/>
      <c r="EV760" s="1164"/>
      <c r="EW760" s="1164"/>
      <c r="EX760" s="313"/>
      <c r="EY760" s="313"/>
      <c r="EZ760" s="1166"/>
      <c r="FA760" s="1164"/>
      <c r="FB760" s="1164"/>
      <c r="FC760" s="1164"/>
      <c r="FD760" s="1166"/>
      <c r="FE760" s="1164"/>
      <c r="FF760" s="1164"/>
      <c r="FG760" s="1164"/>
      <c r="FH760" s="313"/>
      <c r="FI760" s="313"/>
      <c r="FJ760" s="1165"/>
    </row>
    <row r="761" spans="1:166" ht="18" hidden="1" customHeight="1">
      <c r="A761" s="118" t="s">
        <v>355</v>
      </c>
      <c r="B761" s="616">
        <v>255</v>
      </c>
      <c r="C761" s="616">
        <v>91</v>
      </c>
      <c r="D761" s="616"/>
      <c r="E761" s="605" t="s">
        <v>2044</v>
      </c>
      <c r="F761" s="140" t="s">
        <v>2283</v>
      </c>
      <c r="G761" s="141">
        <v>2009</v>
      </c>
      <c r="H761" s="118">
        <v>19703322</v>
      </c>
      <c r="I761" s="118">
        <v>1</v>
      </c>
      <c r="J761" s="118"/>
      <c r="K761" s="118"/>
      <c r="L761" s="118">
        <v>1</v>
      </c>
      <c r="M761" s="118"/>
      <c r="N761" s="118">
        <v>1</v>
      </c>
      <c r="O761" s="142">
        <v>1</v>
      </c>
      <c r="P761" s="118" t="s">
        <v>457</v>
      </c>
      <c r="Q761" s="118" t="s">
        <v>1147</v>
      </c>
      <c r="R761" s="118" t="s">
        <v>819</v>
      </c>
      <c r="S761" s="118">
        <v>1</v>
      </c>
      <c r="T761" s="118"/>
      <c r="U761" s="118"/>
      <c r="V761" s="118"/>
      <c r="W761" s="118"/>
      <c r="X761" s="118" t="s">
        <v>917</v>
      </c>
      <c r="Y761" s="118"/>
      <c r="Z761" s="118"/>
      <c r="AA761" s="118"/>
      <c r="AB761" s="118"/>
      <c r="AC761" s="145"/>
      <c r="AD761" s="573">
        <v>1</v>
      </c>
      <c r="AE761" s="573">
        <v>2</v>
      </c>
      <c r="AF761" s="159">
        <v>1</v>
      </c>
      <c r="AG761" s="160"/>
      <c r="AH761" s="704"/>
      <c r="AI761" s="122">
        <v>2</v>
      </c>
      <c r="AJ761" s="485" t="s">
        <v>5915</v>
      </c>
      <c r="AK761" s="204" t="s">
        <v>5916</v>
      </c>
      <c r="AL761" s="192">
        <v>1</v>
      </c>
      <c r="AM761" s="205">
        <v>0</v>
      </c>
      <c r="AN761" s="122">
        <v>95</v>
      </c>
      <c r="AO761" s="122">
        <f>23+25</f>
        <v>48</v>
      </c>
      <c r="AP761" s="122">
        <f>19+28</f>
        <v>47</v>
      </c>
      <c r="AQ761" s="122" t="s">
        <v>5914</v>
      </c>
      <c r="AR761" s="122" t="s">
        <v>5914</v>
      </c>
      <c r="AS761" s="122">
        <f>AVERAGE(50.2,48.3)</f>
        <v>49.25</v>
      </c>
      <c r="AT761" s="122">
        <f>AVERAGE(7.3,9)</f>
        <v>8.15</v>
      </c>
      <c r="AU761" s="122">
        <f>AVERAGE(47.1,45.9)</f>
        <v>46.5</v>
      </c>
      <c r="AV761" s="122">
        <f>AVERAGE(11.1,9.5)</f>
        <v>10.3</v>
      </c>
      <c r="AW761" s="122" t="s">
        <v>5913</v>
      </c>
      <c r="AX761" s="122"/>
      <c r="AY761" s="122"/>
      <c r="AZ761" s="754" t="s">
        <v>1874</v>
      </c>
      <c r="BA761" s="122" t="s">
        <v>24</v>
      </c>
      <c r="BB761" s="122" t="s">
        <v>24</v>
      </c>
      <c r="BC761" s="122" t="s">
        <v>5912</v>
      </c>
      <c r="BD761" s="754" t="s">
        <v>7521</v>
      </c>
      <c r="BE761" s="187">
        <v>0</v>
      </c>
      <c r="BF761" s="122" t="s">
        <v>3835</v>
      </c>
      <c r="BG761" s="122" t="s">
        <v>5911</v>
      </c>
      <c r="BH761" s="588"/>
      <c r="BI761" s="588"/>
      <c r="BJ761" s="161"/>
      <c r="BK761" s="161"/>
      <c r="BL761" s="161"/>
      <c r="BM761" s="161"/>
      <c r="BN761" s="161"/>
      <c r="BO761" s="161"/>
      <c r="BP761" s="161">
        <v>1</v>
      </c>
      <c r="BQ761" s="161"/>
      <c r="BR761" s="161"/>
      <c r="BS761" s="161"/>
      <c r="BT761" s="161"/>
      <c r="BU761" s="161"/>
      <c r="BV761" s="161"/>
      <c r="BW761" s="596" t="s">
        <v>5922</v>
      </c>
      <c r="BX761" s="162" t="s">
        <v>6612</v>
      </c>
      <c r="BY761" s="797" t="s">
        <v>7617</v>
      </c>
      <c r="BZ761" s="790" t="s">
        <v>7610</v>
      </c>
      <c r="CA761" s="765">
        <v>2</v>
      </c>
      <c r="CB761" s="765" t="s">
        <v>7556</v>
      </c>
      <c r="CC761" s="765" t="s">
        <v>7380</v>
      </c>
      <c r="CD761" s="150" t="s">
        <v>1876</v>
      </c>
      <c r="CE761" s="150" t="s">
        <v>5917</v>
      </c>
      <c r="CF761" s="400"/>
      <c r="CG761" s="150" t="s">
        <v>5925</v>
      </c>
      <c r="CH761" s="753" t="s">
        <v>8080</v>
      </c>
      <c r="CI761" s="150" t="s">
        <v>24</v>
      </c>
      <c r="CJ761" s="150"/>
      <c r="CK761" s="150" t="s">
        <v>5929</v>
      </c>
      <c r="CL761" s="150" t="s">
        <v>8223</v>
      </c>
      <c r="CM761" s="258" t="s">
        <v>5956</v>
      </c>
      <c r="CN761" s="257" t="s">
        <v>24</v>
      </c>
      <c r="CO761" s="829">
        <v>85</v>
      </c>
      <c r="CP761" s="829">
        <v>1</v>
      </c>
      <c r="CQ761" s="829">
        <v>3</v>
      </c>
      <c r="CR761" s="829">
        <v>1</v>
      </c>
      <c r="CS761" s="829">
        <v>1</v>
      </c>
      <c r="CT761" s="968"/>
      <c r="CU761" s="1288" t="s">
        <v>8103</v>
      </c>
      <c r="CV761" s="1294">
        <v>41</v>
      </c>
      <c r="CW761" s="1294">
        <v>35</v>
      </c>
      <c r="CX761" s="151" t="s">
        <v>5938</v>
      </c>
      <c r="CY761" s="150">
        <v>9.4</v>
      </c>
      <c r="CZ761" s="150">
        <v>2.9</v>
      </c>
      <c r="DA761" s="150" t="s">
        <v>24</v>
      </c>
      <c r="DB761" s="151" t="s">
        <v>5941</v>
      </c>
      <c r="DC761" s="150">
        <v>10.6</v>
      </c>
      <c r="DD761" s="150">
        <v>2.7</v>
      </c>
      <c r="DE761" s="150" t="s">
        <v>24</v>
      </c>
      <c r="DF761" s="280" t="s">
        <v>5951</v>
      </c>
      <c r="DG761" s="303"/>
      <c r="DH761" s="1179"/>
      <c r="DI761" s="417"/>
      <c r="DJ761" s="1169"/>
      <c r="DK761" s="417"/>
      <c r="DL761" s="1169"/>
      <c r="DM761" s="417"/>
      <c r="DN761" s="1169"/>
      <c r="DO761" s="1151"/>
      <c r="DP761" s="288"/>
      <c r="DQ761" s="441"/>
      <c r="DR761" s="1168"/>
      <c r="DS761" s="1168"/>
      <c r="DT761" s="1166"/>
      <c r="DU761" s="122"/>
      <c r="DV761" s="1164"/>
      <c r="DW761" s="122"/>
      <c r="DX761" s="1166"/>
      <c r="DY761" s="122"/>
      <c r="DZ761" s="1164"/>
      <c r="EA761" s="122"/>
      <c r="EB761" s="311"/>
      <c r="EC761" s="313"/>
      <c r="ED761" s="1164"/>
      <c r="EE761" s="122"/>
      <c r="EF761" s="1164"/>
      <c r="EG761" s="122"/>
      <c r="EH761" s="1164"/>
      <c r="EI761" s="122"/>
      <c r="EJ761" s="1164"/>
      <c r="EK761" s="122"/>
      <c r="EL761" s="311"/>
      <c r="EM761" s="313"/>
      <c r="EN761" s="1167"/>
      <c r="EO761" s="1165"/>
      <c r="EP761" s="122"/>
      <c r="EQ761" s="122"/>
      <c r="ER761" s="122"/>
      <c r="ES761" s="122"/>
      <c r="ET761" s="526"/>
      <c r="EU761" s="122"/>
      <c r="EV761" s="122"/>
      <c r="EW761" s="122"/>
      <c r="EX761" s="303"/>
      <c r="EY761" s="303"/>
      <c r="EZ761" s="1166"/>
      <c r="FA761" s="122"/>
      <c r="FB761" s="122"/>
      <c r="FC761" s="122"/>
      <c r="FD761" s="526"/>
      <c r="FE761" s="1164"/>
      <c r="FF761" s="1164"/>
      <c r="FG761" s="1164"/>
      <c r="FH761" s="313"/>
      <c r="FI761" s="313"/>
      <c r="FJ761" s="1165"/>
    </row>
    <row r="762" spans="1:166" ht="18" hidden="1" customHeight="1">
      <c r="A762" s="118" t="s">
        <v>355</v>
      </c>
      <c r="B762" s="616">
        <v>255</v>
      </c>
      <c r="C762" s="616">
        <v>91</v>
      </c>
      <c r="D762" s="616"/>
      <c r="E762" s="605" t="s">
        <v>2044</v>
      </c>
      <c r="F762" s="140" t="s">
        <v>2283</v>
      </c>
      <c r="G762" s="141">
        <v>2009</v>
      </c>
      <c r="H762" s="118">
        <v>19703322</v>
      </c>
      <c r="I762" s="118">
        <v>1</v>
      </c>
      <c r="J762" s="118"/>
      <c r="K762" s="118"/>
      <c r="L762" s="118">
        <v>1</v>
      </c>
      <c r="M762" s="118"/>
      <c r="N762" s="118">
        <v>1</v>
      </c>
      <c r="O762" s="142">
        <v>1</v>
      </c>
      <c r="P762" s="118" t="s">
        <v>457</v>
      </c>
      <c r="Q762" s="118" t="s">
        <v>1147</v>
      </c>
      <c r="R762" s="118" t="s">
        <v>819</v>
      </c>
      <c r="S762" s="118">
        <v>1</v>
      </c>
      <c r="T762" s="118"/>
      <c r="U762" s="118"/>
      <c r="V762" s="118"/>
      <c r="W762" s="118"/>
      <c r="X762" s="118" t="s">
        <v>917</v>
      </c>
      <c r="Y762" s="118"/>
      <c r="Z762" s="118"/>
      <c r="AA762" s="118"/>
      <c r="AB762" s="118"/>
      <c r="AC762" s="145"/>
      <c r="AD762" s="573">
        <v>1</v>
      </c>
      <c r="AE762" s="573">
        <v>2</v>
      </c>
      <c r="AF762" s="159">
        <v>1</v>
      </c>
      <c r="AG762" s="160"/>
      <c r="AH762" s="704"/>
      <c r="AI762" s="122">
        <v>2</v>
      </c>
      <c r="AJ762" s="485" t="s">
        <v>5915</v>
      </c>
      <c r="AK762" s="204" t="s">
        <v>5916</v>
      </c>
      <c r="AL762" s="192">
        <v>1</v>
      </c>
      <c r="AM762" s="205">
        <v>0</v>
      </c>
      <c r="AN762" s="122">
        <v>95</v>
      </c>
      <c r="AO762" s="122">
        <f>23+25</f>
        <v>48</v>
      </c>
      <c r="AP762" s="122">
        <f>19+28</f>
        <v>47</v>
      </c>
      <c r="AQ762" s="122" t="s">
        <v>5914</v>
      </c>
      <c r="AR762" s="122" t="s">
        <v>5914</v>
      </c>
      <c r="AS762" s="122">
        <f>AVERAGE(50.2,48.3)</f>
        <v>49.25</v>
      </c>
      <c r="AT762" s="122">
        <f>AVERAGE(7.3,9)</f>
        <v>8.15</v>
      </c>
      <c r="AU762" s="122">
        <f>AVERAGE(47.1,45.9)</f>
        <v>46.5</v>
      </c>
      <c r="AV762" s="122">
        <f>AVERAGE(11.1,9.5)</f>
        <v>10.3</v>
      </c>
      <c r="AW762" s="122" t="s">
        <v>5913</v>
      </c>
      <c r="AX762" s="122"/>
      <c r="AY762" s="122"/>
      <c r="AZ762" s="754" t="s">
        <v>1874</v>
      </c>
      <c r="BA762" s="122" t="s">
        <v>24</v>
      </c>
      <c r="BB762" s="122" t="s">
        <v>24</v>
      </c>
      <c r="BC762" s="122" t="s">
        <v>5912</v>
      </c>
      <c r="BD762" s="754" t="s">
        <v>7521</v>
      </c>
      <c r="BE762" s="187">
        <v>0</v>
      </c>
      <c r="BF762" s="122" t="s">
        <v>3835</v>
      </c>
      <c r="BG762" s="122" t="s">
        <v>5911</v>
      </c>
      <c r="BH762" s="588"/>
      <c r="BI762" s="588"/>
      <c r="BJ762" s="161"/>
      <c r="BK762" s="161"/>
      <c r="BL762" s="161"/>
      <c r="BM762" s="161"/>
      <c r="BN762" s="161"/>
      <c r="BO762" s="161"/>
      <c r="BP762" s="161">
        <v>1</v>
      </c>
      <c r="BQ762" s="161"/>
      <c r="BR762" s="161"/>
      <c r="BS762" s="161"/>
      <c r="BT762" s="161"/>
      <c r="BU762" s="161"/>
      <c r="BV762" s="161"/>
      <c r="BW762" s="596" t="s">
        <v>5922</v>
      </c>
      <c r="BX762" s="162" t="s">
        <v>6612</v>
      </c>
      <c r="BY762" s="797" t="s">
        <v>7617</v>
      </c>
      <c r="BZ762" s="790" t="s">
        <v>803</v>
      </c>
      <c r="CA762" s="765">
        <v>2</v>
      </c>
      <c r="CB762" s="765" t="s">
        <v>7556</v>
      </c>
      <c r="CC762" s="765" t="s">
        <v>7380</v>
      </c>
      <c r="CD762" s="150" t="s">
        <v>1876</v>
      </c>
      <c r="CE762" s="150" t="s">
        <v>5917</v>
      </c>
      <c r="CF762" s="400"/>
      <c r="CG762" s="150" t="s">
        <v>5925</v>
      </c>
      <c r="CH762" s="753" t="s">
        <v>8080</v>
      </c>
      <c r="CI762" s="150" t="s">
        <v>24</v>
      </c>
      <c r="CJ762" s="150"/>
      <c r="CK762" s="150" t="s">
        <v>5929</v>
      </c>
      <c r="CL762" s="150" t="s">
        <v>8239</v>
      </c>
      <c r="CM762" s="258" t="s">
        <v>5956</v>
      </c>
      <c r="CN762" s="257" t="s">
        <v>24</v>
      </c>
      <c r="CO762" s="829">
        <v>85</v>
      </c>
      <c r="CP762" s="829">
        <v>1</v>
      </c>
      <c r="CQ762" s="829">
        <v>4</v>
      </c>
      <c r="CR762" s="829">
        <v>1</v>
      </c>
      <c r="CS762" s="829">
        <v>1</v>
      </c>
      <c r="CT762" s="968"/>
      <c r="CU762" s="1288" t="s">
        <v>8103</v>
      </c>
      <c r="CV762" s="1294">
        <v>41</v>
      </c>
      <c r="CW762" s="1294">
        <v>35</v>
      </c>
      <c r="CX762" s="150" t="s">
        <v>5942</v>
      </c>
      <c r="CY762" s="150">
        <v>0.89</v>
      </c>
      <c r="CZ762" s="150">
        <v>0.28999999999999998</v>
      </c>
      <c r="DA762" s="150" t="s">
        <v>24</v>
      </c>
      <c r="DB762" s="150" t="s">
        <v>5943</v>
      </c>
      <c r="DC762" s="150">
        <v>0.97</v>
      </c>
      <c r="DD762" s="150">
        <v>0.13</v>
      </c>
      <c r="DE762" s="150" t="s">
        <v>24</v>
      </c>
      <c r="DF762" s="543" t="s">
        <v>5958</v>
      </c>
      <c r="DG762" s="545" t="s">
        <v>2480</v>
      </c>
      <c r="DH762" s="1169"/>
      <c r="DI762" s="1169"/>
      <c r="DJ762" s="1169"/>
      <c r="DK762" s="1169"/>
      <c r="DL762" s="1169"/>
      <c r="DM762" s="1169"/>
      <c r="DN762" s="1169"/>
      <c r="DO762" s="1169"/>
      <c r="DP762" s="288"/>
      <c r="DQ762" s="289"/>
      <c r="DR762" s="1168"/>
      <c r="DS762" s="1168"/>
      <c r="DT762" s="1166"/>
      <c r="DU762" s="1164"/>
      <c r="DV762" s="1164"/>
      <c r="DW762" s="1164"/>
      <c r="DX762" s="1166"/>
      <c r="DY762" s="1164"/>
      <c r="DZ762" s="1164"/>
      <c r="EA762" s="1164"/>
      <c r="EB762" s="311"/>
      <c r="EC762" s="313"/>
      <c r="ED762" s="1164"/>
      <c r="EE762" s="122"/>
      <c r="EF762" s="1164"/>
      <c r="EG762" s="122"/>
      <c r="EH762" s="1164"/>
      <c r="EI762" s="1164"/>
      <c r="EJ762" s="1164"/>
      <c r="EK762" s="1164"/>
      <c r="EL762" s="311"/>
      <c r="EM762" s="313"/>
      <c r="EN762" s="1167"/>
      <c r="EO762" s="1165"/>
      <c r="EP762" s="122"/>
      <c r="EQ762" s="122"/>
      <c r="ER762" s="1164"/>
      <c r="ES762" s="122"/>
      <c r="ET762" s="526"/>
      <c r="EU762" s="1164"/>
      <c r="EV762" s="1164"/>
      <c r="EW762" s="1164"/>
      <c r="EX762" s="313"/>
      <c r="EY762" s="313"/>
      <c r="EZ762" s="1166"/>
      <c r="FA762" s="122"/>
      <c r="FB762" s="122"/>
      <c r="FC762" s="122"/>
      <c r="FD762" s="526"/>
      <c r="FE762" s="1164"/>
      <c r="FF762" s="1164"/>
      <c r="FG762" s="1164"/>
      <c r="FH762" s="313"/>
      <c r="FI762" s="313"/>
      <c r="FJ762" s="1165"/>
    </row>
    <row r="763" spans="1:166" ht="18" hidden="1" customHeight="1">
      <c r="A763" s="118" t="s">
        <v>145</v>
      </c>
      <c r="B763" s="616">
        <v>111</v>
      </c>
      <c r="C763" s="616">
        <v>24</v>
      </c>
      <c r="D763" s="616"/>
      <c r="E763" s="605" t="s">
        <v>1952</v>
      </c>
      <c r="F763" s="140" t="s">
        <v>2172</v>
      </c>
      <c r="G763" s="141">
        <v>2001</v>
      </c>
      <c r="H763" s="118">
        <v>11469166</v>
      </c>
      <c r="I763" s="118">
        <v>1</v>
      </c>
      <c r="J763" s="118"/>
      <c r="K763" s="118"/>
      <c r="L763" s="118">
        <v>1</v>
      </c>
      <c r="M763" s="118"/>
      <c r="N763" s="118">
        <v>1</v>
      </c>
      <c r="O763" s="142">
        <v>1</v>
      </c>
      <c r="P763" s="118" t="s">
        <v>452</v>
      </c>
      <c r="Q763" s="118"/>
      <c r="R763" s="118" t="s">
        <v>25</v>
      </c>
      <c r="S763" s="118">
        <v>1</v>
      </c>
      <c r="T763" s="118"/>
      <c r="U763" s="118"/>
      <c r="V763" s="118"/>
      <c r="W763" s="118" t="s">
        <v>24</v>
      </c>
      <c r="X763" s="118"/>
      <c r="Y763" s="118"/>
      <c r="Z763" s="118"/>
      <c r="AA763" s="118"/>
      <c r="AB763" s="118"/>
      <c r="AC763" s="145"/>
      <c r="AD763" s="573">
        <v>1</v>
      </c>
      <c r="AE763" s="573">
        <v>2</v>
      </c>
      <c r="AF763" s="154">
        <v>1</v>
      </c>
      <c r="AG763" s="160"/>
      <c r="AH763" s="704"/>
      <c r="AI763" s="122">
        <v>2</v>
      </c>
      <c r="AJ763" s="485"/>
      <c r="AK763" s="204" t="s">
        <v>4250</v>
      </c>
      <c r="AL763" s="192">
        <v>1</v>
      </c>
      <c r="AM763" s="205">
        <v>0</v>
      </c>
      <c r="AN763" s="122">
        <f>Table66[[#This Row],[Data_Subjects_n_ptsd]]+Table66[[#This Row],[Data_Subjects_n_control]]</f>
        <v>32</v>
      </c>
      <c r="AO763" s="122">
        <v>19</v>
      </c>
      <c r="AP763" s="122">
        <v>13</v>
      </c>
      <c r="AQ763" s="122" t="s">
        <v>803</v>
      </c>
      <c r="AR763" s="122" t="s">
        <v>803</v>
      </c>
      <c r="AS763" s="150" t="s">
        <v>4248</v>
      </c>
      <c r="AT763" s="150">
        <v>2.81</v>
      </c>
      <c r="AU763" s="150" t="s">
        <v>4247</v>
      </c>
      <c r="AV763" s="150">
        <v>3.09</v>
      </c>
      <c r="AW763" s="150" t="s">
        <v>4249</v>
      </c>
      <c r="AX763" s="122"/>
      <c r="AY763" s="122"/>
      <c r="AZ763" s="754" t="s">
        <v>1874</v>
      </c>
      <c r="BA763" s="122" t="s">
        <v>24</v>
      </c>
      <c r="BB763" s="122" t="s">
        <v>24</v>
      </c>
      <c r="BC763" s="122" t="s">
        <v>4161</v>
      </c>
      <c r="BD763" s="754" t="s">
        <v>7521</v>
      </c>
      <c r="BE763" s="187">
        <v>0</v>
      </c>
      <c r="BF763" s="122" t="s">
        <v>3835</v>
      </c>
      <c r="BG763" s="122" t="s">
        <v>4251</v>
      </c>
      <c r="BH763" s="588"/>
      <c r="BI763" s="588"/>
      <c r="BJ763" s="161"/>
      <c r="BK763" s="161"/>
      <c r="BL763" s="161"/>
      <c r="BM763" s="161"/>
      <c r="BN763" s="161"/>
      <c r="BO763" s="161"/>
      <c r="BP763" s="161">
        <v>1</v>
      </c>
      <c r="BQ763" s="161"/>
      <c r="BR763" s="161"/>
      <c r="BS763" s="161"/>
      <c r="BT763" s="161"/>
      <c r="BU763" s="161"/>
      <c r="BV763" s="161"/>
      <c r="BW763" s="596" t="s">
        <v>4269</v>
      </c>
      <c r="BX763" s="162" t="s">
        <v>6612</v>
      </c>
      <c r="BY763" s="797" t="s">
        <v>7617</v>
      </c>
      <c r="BZ763" s="790" t="s">
        <v>803</v>
      </c>
      <c r="CA763" s="765">
        <v>2</v>
      </c>
      <c r="CB763" s="765" t="s">
        <v>7556</v>
      </c>
      <c r="CC763" s="854" t="s">
        <v>7380</v>
      </c>
      <c r="CD763" s="150" t="s">
        <v>1876</v>
      </c>
      <c r="CE763" s="150">
        <v>2</v>
      </c>
      <c r="CF763" s="400"/>
      <c r="CG763" s="150" t="s">
        <v>4266</v>
      </c>
      <c r="CH763" s="855" t="s">
        <v>7308</v>
      </c>
      <c r="CI763" s="150" t="s">
        <v>24</v>
      </c>
      <c r="CJ763" s="150"/>
      <c r="CK763" s="150" t="s">
        <v>7788</v>
      </c>
      <c r="CL763" s="150" t="s">
        <v>4001</v>
      </c>
      <c r="CM763" s="258" t="s">
        <v>4301</v>
      </c>
      <c r="CN763" s="257" t="s">
        <v>24</v>
      </c>
      <c r="CO763" s="829">
        <v>22</v>
      </c>
      <c r="CP763" s="829">
        <v>1</v>
      </c>
      <c r="CQ763" s="829">
        <v>5</v>
      </c>
      <c r="CR763" s="829">
        <v>1</v>
      </c>
      <c r="CS763" s="829">
        <v>1</v>
      </c>
      <c r="CT763" s="968"/>
      <c r="CU763" s="1288" t="s">
        <v>8103</v>
      </c>
      <c r="CV763" s="1294">
        <v>12</v>
      </c>
      <c r="CW763" s="1294">
        <v>11</v>
      </c>
      <c r="CX763" s="151" t="s">
        <v>4274</v>
      </c>
      <c r="CY763" s="150">
        <v>98.48</v>
      </c>
      <c r="CZ763" s="150">
        <v>16.75</v>
      </c>
      <c r="DA763" s="150" t="s">
        <v>24</v>
      </c>
      <c r="DB763" s="151" t="s">
        <v>4283</v>
      </c>
      <c r="DC763" s="150">
        <v>113.31</v>
      </c>
      <c r="DD763" s="150">
        <v>8.0399999999999991</v>
      </c>
      <c r="DE763" s="150" t="s">
        <v>24</v>
      </c>
      <c r="DF763" s="549" t="s">
        <v>4297</v>
      </c>
      <c r="DG763" s="551" t="s">
        <v>4295</v>
      </c>
      <c r="DH763" s="1179"/>
      <c r="DI763" s="417"/>
      <c r="DJ763" s="1169"/>
      <c r="DK763" s="417"/>
      <c r="DL763" s="1169"/>
      <c r="DM763" s="417"/>
      <c r="DN763" s="1169"/>
      <c r="DO763" s="1151"/>
      <c r="DP763" s="288"/>
      <c r="DQ763" s="441"/>
      <c r="DR763" s="864"/>
      <c r="DS763" s="865"/>
      <c r="DT763" s="1166"/>
      <c r="DU763" s="500"/>
      <c r="DV763" s="1164"/>
      <c r="DW763" s="500"/>
      <c r="DX763" s="1164"/>
      <c r="DY763" s="500"/>
      <c r="DZ763" s="1164"/>
      <c r="EA763" s="500"/>
      <c r="EB763" s="302"/>
      <c r="EC763" s="303"/>
      <c r="ED763" s="1164"/>
      <c r="EE763" s="500"/>
      <c r="EF763" s="1164"/>
      <c r="EG763" s="500"/>
      <c r="EH763" s="1164"/>
      <c r="EI763" s="500"/>
      <c r="EJ763" s="1164"/>
      <c r="EK763" s="500"/>
      <c r="EL763" s="302"/>
      <c r="EM763" s="303"/>
      <c r="EN763" s="1167"/>
      <c r="EO763" s="1165"/>
      <c r="EP763" s="1164"/>
      <c r="EQ763" s="1164"/>
      <c r="ER763" s="1164"/>
      <c r="ES763" s="1164"/>
      <c r="ET763" s="1166"/>
      <c r="EU763" s="1164"/>
      <c r="EV763" s="1164"/>
      <c r="EW763" s="1164"/>
      <c r="EX763" s="313"/>
      <c r="EY763" s="313"/>
      <c r="EZ763" s="1166"/>
      <c r="FA763" s="1164"/>
      <c r="FB763" s="1164"/>
      <c r="FC763" s="1164"/>
      <c r="FD763" s="1166"/>
      <c r="FE763" s="1164"/>
      <c r="FF763" s="1164"/>
      <c r="FG763" s="1164"/>
      <c r="FH763" s="313"/>
      <c r="FI763" s="313"/>
      <c r="FJ763" s="1165"/>
    </row>
    <row r="764" spans="1:166" ht="18" hidden="1" customHeight="1">
      <c r="A764" s="118" t="s">
        <v>280</v>
      </c>
      <c r="B764" s="616">
        <v>200</v>
      </c>
      <c r="C764" s="616">
        <v>70</v>
      </c>
      <c r="D764" s="616"/>
      <c r="E764" s="605" t="s">
        <v>2009</v>
      </c>
      <c r="F764" s="140" t="s">
        <v>2241</v>
      </c>
      <c r="G764" s="141">
        <v>2006</v>
      </c>
      <c r="H764" s="118">
        <v>17100516</v>
      </c>
      <c r="I764" s="118">
        <v>1</v>
      </c>
      <c r="J764" s="118"/>
      <c r="K764" s="118"/>
      <c r="L764" s="118">
        <v>1</v>
      </c>
      <c r="M764" s="118"/>
      <c r="N764" s="118">
        <v>1</v>
      </c>
      <c r="O764" s="142">
        <v>1</v>
      </c>
      <c r="P764" s="118" t="s">
        <v>735</v>
      </c>
      <c r="Q764" s="118" t="s">
        <v>1154</v>
      </c>
      <c r="R764" s="118" t="s">
        <v>736</v>
      </c>
      <c r="S764" s="118">
        <v>1</v>
      </c>
      <c r="T764" s="118"/>
      <c r="U764" s="118"/>
      <c r="V764" s="118"/>
      <c r="W764" s="118" t="s">
        <v>492</v>
      </c>
      <c r="X764" s="118" t="s">
        <v>24</v>
      </c>
      <c r="Y764" s="118" t="s">
        <v>24</v>
      </c>
      <c r="Z764" s="118" t="s">
        <v>737</v>
      </c>
      <c r="AA764" s="118"/>
      <c r="AB764" s="118"/>
      <c r="AC764" s="145"/>
      <c r="AD764" s="573">
        <v>1</v>
      </c>
      <c r="AE764" s="573">
        <v>2</v>
      </c>
      <c r="AF764" s="159">
        <v>1</v>
      </c>
      <c r="AG764" s="160"/>
      <c r="AH764" s="704"/>
      <c r="AI764" s="122">
        <v>2</v>
      </c>
      <c r="AJ764" s="485" t="s">
        <v>5427</v>
      </c>
      <c r="AK764" s="204" t="s">
        <v>5394</v>
      </c>
      <c r="AL764" s="192">
        <v>1</v>
      </c>
      <c r="AM764" s="205">
        <v>0</v>
      </c>
      <c r="AN764" s="122">
        <f>Table66[[#This Row],[Data_Subjects_n_ptsd]]+Table66[[#This Row],[Data_Subjects_n_control]]</f>
        <v>68</v>
      </c>
      <c r="AO764" s="122">
        <v>37</v>
      </c>
      <c r="AP764" s="122">
        <v>31</v>
      </c>
      <c r="AQ764" s="122" t="s">
        <v>5395</v>
      </c>
      <c r="AR764" s="122" t="s">
        <v>5395</v>
      </c>
      <c r="AS764" s="122">
        <v>47.89</v>
      </c>
      <c r="AT764" s="122">
        <v>9.4</v>
      </c>
      <c r="AU764" s="122">
        <v>46.42</v>
      </c>
      <c r="AV764" s="122">
        <v>9.6</v>
      </c>
      <c r="AW764" s="122" t="s">
        <v>5414</v>
      </c>
      <c r="AX764" s="122"/>
      <c r="AY764" s="122"/>
      <c r="AZ764" s="754" t="s">
        <v>1874</v>
      </c>
      <c r="BA764" s="122" t="s">
        <v>24</v>
      </c>
      <c r="BB764" s="122" t="s">
        <v>24</v>
      </c>
      <c r="BC764" s="122" t="s">
        <v>2423</v>
      </c>
      <c r="BD764" s="754" t="s">
        <v>7521</v>
      </c>
      <c r="BE764" s="187">
        <v>0</v>
      </c>
      <c r="BF764" s="122" t="s">
        <v>3835</v>
      </c>
      <c r="BG764" s="122" t="s">
        <v>5209</v>
      </c>
      <c r="BH764" s="588"/>
      <c r="BI764" s="588"/>
      <c r="BJ764" s="161"/>
      <c r="BK764" s="161"/>
      <c r="BL764" s="161" t="s">
        <v>4727</v>
      </c>
      <c r="BM764" s="161"/>
      <c r="BN764" s="161"/>
      <c r="BO764" s="161" t="s">
        <v>4727</v>
      </c>
      <c r="BP764" s="161">
        <v>1</v>
      </c>
      <c r="BQ764" s="161"/>
      <c r="BR764" s="161" t="s">
        <v>4727</v>
      </c>
      <c r="BS764" s="161"/>
      <c r="BT764" s="161" t="s">
        <v>4727</v>
      </c>
      <c r="BU764" s="161"/>
      <c r="BV764" s="161"/>
      <c r="BW764" s="596" t="s">
        <v>5399</v>
      </c>
      <c r="BX764" s="162" t="s">
        <v>6621</v>
      </c>
      <c r="BY764" s="797" t="s">
        <v>7617</v>
      </c>
      <c r="BZ764" s="790" t="s">
        <v>803</v>
      </c>
      <c r="CA764" s="769">
        <v>2</v>
      </c>
      <c r="CB764" s="765" t="s">
        <v>7556</v>
      </c>
      <c r="CC764" s="854" t="s">
        <v>7380</v>
      </c>
      <c r="CD764" s="150" t="s">
        <v>1876</v>
      </c>
      <c r="CE764" s="150" t="s">
        <v>5396</v>
      </c>
      <c r="CF764" s="400"/>
      <c r="CG764" s="150" t="s">
        <v>5400</v>
      </c>
      <c r="CH764" s="855" t="s">
        <v>7308</v>
      </c>
      <c r="CI764" s="150" t="s">
        <v>24</v>
      </c>
      <c r="CJ764" s="150"/>
      <c r="CK764" s="150" t="s">
        <v>5431</v>
      </c>
      <c r="CL764" s="150" t="s">
        <v>8256</v>
      </c>
      <c r="CM764" s="258" t="s">
        <v>5441</v>
      </c>
      <c r="CN764" s="257">
        <v>0</v>
      </c>
      <c r="CO764" s="829">
        <v>64</v>
      </c>
      <c r="CP764" s="829">
        <v>1</v>
      </c>
      <c r="CQ764" s="829">
        <v>8</v>
      </c>
      <c r="CR764" s="829">
        <v>1</v>
      </c>
      <c r="CS764" s="829">
        <v>1</v>
      </c>
      <c r="CT764" s="968"/>
      <c r="CU764" s="1288" t="s">
        <v>8103</v>
      </c>
      <c r="CV764" s="1294">
        <v>33</v>
      </c>
      <c r="CW764" s="1294">
        <v>26</v>
      </c>
      <c r="CX764" s="151" t="s">
        <v>5434</v>
      </c>
      <c r="CY764" s="150">
        <v>20.59</v>
      </c>
      <c r="CZ764" s="150">
        <v>4.3</v>
      </c>
      <c r="DA764" s="150" t="s">
        <v>24</v>
      </c>
      <c r="DB764" s="151" t="s">
        <v>5435</v>
      </c>
      <c r="DC764" s="150">
        <v>20.77</v>
      </c>
      <c r="DD764" s="150">
        <v>4.7</v>
      </c>
      <c r="DE764" s="150" t="s">
        <v>24</v>
      </c>
      <c r="DF764" s="290" t="s">
        <v>5438</v>
      </c>
      <c r="DG764" s="291" t="s">
        <v>5439</v>
      </c>
      <c r="DH764" s="526"/>
      <c r="DI764" s="122"/>
      <c r="DJ764" s="1164"/>
      <c r="DK764" s="122"/>
      <c r="DL764" s="1166"/>
      <c r="DM764" s="122"/>
      <c r="DN764" s="1164"/>
      <c r="DO764" s="122"/>
      <c r="DP764" s="290"/>
      <c r="DQ764" s="291"/>
      <c r="DR764" s="280"/>
      <c r="DS764" s="865"/>
      <c r="DT764" s="1166"/>
      <c r="DU764" s="122"/>
      <c r="DV764" s="1164"/>
      <c r="DW764" s="122"/>
      <c r="DX764" s="1164"/>
      <c r="DY764" s="122"/>
      <c r="DZ764" s="1164"/>
      <c r="EA764" s="122"/>
      <c r="EB764" s="311"/>
      <c r="EC764" s="313"/>
      <c r="ED764" s="1164"/>
      <c r="EE764" s="122"/>
      <c r="EF764" s="1164"/>
      <c r="EG764" s="122"/>
      <c r="EH764" s="1164"/>
      <c r="EI764" s="122"/>
      <c r="EJ764" s="1164"/>
      <c r="EK764" s="122"/>
      <c r="EL764" s="311"/>
      <c r="EM764" s="313"/>
      <c r="EN764" s="1167"/>
      <c r="EO764" s="1165"/>
      <c r="EP764" s="1164"/>
      <c r="EQ764" s="1164"/>
      <c r="ER764" s="1164"/>
      <c r="ES764" s="1164"/>
      <c r="ET764" s="1166"/>
      <c r="EU764" s="1164"/>
      <c r="EV764" s="1164"/>
      <c r="EW764" s="1164"/>
      <c r="EX764" s="313"/>
      <c r="EY764" s="313"/>
      <c r="EZ764" s="1166"/>
      <c r="FA764" s="1164"/>
      <c r="FB764" s="1164"/>
      <c r="FC764" s="1164"/>
      <c r="FD764" s="1166"/>
      <c r="FE764" s="1164"/>
      <c r="FF764" s="1164"/>
      <c r="FG764" s="1164"/>
      <c r="FH764" s="313"/>
      <c r="FI764" s="313"/>
      <c r="FJ764" s="1165"/>
    </row>
    <row r="765" spans="1:166" ht="18" hidden="1" customHeight="1">
      <c r="A765" s="158" t="s">
        <v>355</v>
      </c>
      <c r="B765" s="1094">
        <v>255</v>
      </c>
      <c r="C765" s="1094">
        <v>91</v>
      </c>
      <c r="D765" s="1094"/>
      <c r="E765" s="1095" t="s">
        <v>2044</v>
      </c>
      <c r="F765" s="711" t="s">
        <v>2283</v>
      </c>
      <c r="G765" s="1096">
        <v>2009</v>
      </c>
      <c r="H765" s="158">
        <v>19703322</v>
      </c>
      <c r="I765" s="158">
        <v>1</v>
      </c>
      <c r="J765" s="158"/>
      <c r="K765" s="158"/>
      <c r="L765" s="158">
        <v>1</v>
      </c>
      <c r="M765" s="158"/>
      <c r="N765" s="158">
        <v>1</v>
      </c>
      <c r="O765" s="158">
        <v>1</v>
      </c>
      <c r="P765" s="158" t="s">
        <v>457</v>
      </c>
      <c r="Q765" s="158" t="s">
        <v>1147</v>
      </c>
      <c r="R765" s="158" t="s">
        <v>819</v>
      </c>
      <c r="S765" s="158">
        <v>1</v>
      </c>
      <c r="T765" s="158"/>
      <c r="U765" s="158"/>
      <c r="V765" s="158"/>
      <c r="W765" s="158"/>
      <c r="X765" s="158" t="s">
        <v>917</v>
      </c>
      <c r="Y765" s="158"/>
      <c r="Z765" s="158"/>
      <c r="AA765" s="158"/>
      <c r="AB765" s="158"/>
      <c r="AC765" s="800"/>
      <c r="AD765" s="536">
        <v>1</v>
      </c>
      <c r="AE765" s="536">
        <v>2</v>
      </c>
      <c r="AF765" s="743">
        <v>0</v>
      </c>
      <c r="AG765" s="744" t="s">
        <v>8109</v>
      </c>
      <c r="AH765" s="509"/>
      <c r="AI765" s="734">
        <v>2</v>
      </c>
      <c r="AJ765" s="734" t="s">
        <v>5915</v>
      </c>
      <c r="AK765" s="739" t="s">
        <v>5916</v>
      </c>
      <c r="AL765" s="372">
        <v>1</v>
      </c>
      <c r="AM765" s="724">
        <v>0</v>
      </c>
      <c r="AN765" s="734">
        <v>95</v>
      </c>
      <c r="AO765" s="734">
        <f>23+25</f>
        <v>48</v>
      </c>
      <c r="AP765" s="734">
        <f>19+28</f>
        <v>47</v>
      </c>
      <c r="AQ765" s="734" t="s">
        <v>5914</v>
      </c>
      <c r="AR765" s="734" t="s">
        <v>5914</v>
      </c>
      <c r="AS765" s="734">
        <f>AVERAGE(50.2,48.3)</f>
        <v>49.25</v>
      </c>
      <c r="AT765" s="734">
        <f>AVERAGE(7.3,9)</f>
        <v>8.15</v>
      </c>
      <c r="AU765" s="734">
        <f>AVERAGE(47.1,45.9)</f>
        <v>46.5</v>
      </c>
      <c r="AV765" s="734">
        <f>AVERAGE(11.1,9.5)</f>
        <v>10.3</v>
      </c>
      <c r="AW765" s="734" t="s">
        <v>5913</v>
      </c>
      <c r="AX765" s="734"/>
      <c r="AY765" s="734"/>
      <c r="AZ765" s="755" t="s">
        <v>1874</v>
      </c>
      <c r="BA765" s="734" t="s">
        <v>24</v>
      </c>
      <c r="BB765" s="734" t="s">
        <v>24</v>
      </c>
      <c r="BC765" s="734" t="s">
        <v>5912</v>
      </c>
      <c r="BD765" s="755" t="s">
        <v>7521</v>
      </c>
      <c r="BE765" s="755"/>
      <c r="BF765" s="734" t="s">
        <v>3835</v>
      </c>
      <c r="BG765" s="734" t="s">
        <v>5911</v>
      </c>
      <c r="BH765" s="372"/>
      <c r="BI765" s="372"/>
      <c r="BJ765" s="735"/>
      <c r="BK765" s="735"/>
      <c r="BL765" s="735"/>
      <c r="BM765" s="735"/>
      <c r="BN765" s="735"/>
      <c r="BO765" s="735"/>
      <c r="BP765" s="735">
        <v>1</v>
      </c>
      <c r="BQ765" s="735"/>
      <c r="BR765" s="735"/>
      <c r="BS765" s="735"/>
      <c r="BT765" s="735"/>
      <c r="BU765" s="735"/>
      <c r="BV765" s="735"/>
      <c r="BW765" s="735" t="s">
        <v>5922</v>
      </c>
      <c r="BX765" s="736" t="s">
        <v>6612</v>
      </c>
      <c r="BY765" s="799" t="s">
        <v>7617</v>
      </c>
      <c r="BZ765" s="736" t="s">
        <v>803</v>
      </c>
      <c r="CA765" s="511">
        <v>2</v>
      </c>
      <c r="CB765" s="511" t="s">
        <v>7556</v>
      </c>
      <c r="CC765" s="511" t="s">
        <v>24</v>
      </c>
      <c r="CD765" s="734" t="s">
        <v>1876</v>
      </c>
      <c r="CE765" s="734" t="s">
        <v>5917</v>
      </c>
      <c r="CF765" s="786"/>
      <c r="CG765" s="734" t="s">
        <v>5925</v>
      </c>
      <c r="CH765" s="755" t="s">
        <v>7348</v>
      </c>
      <c r="CI765" s="734" t="s">
        <v>24</v>
      </c>
      <c r="CJ765" s="734"/>
      <c r="CK765" s="734" t="s">
        <v>5929</v>
      </c>
      <c r="CL765" s="734"/>
      <c r="CM765" s="737" t="s">
        <v>5956</v>
      </c>
      <c r="CN765" s="738" t="s">
        <v>24</v>
      </c>
      <c r="CO765" s="738"/>
      <c r="CP765" s="738"/>
      <c r="CQ765" s="738"/>
      <c r="CR765" s="738"/>
      <c r="CS765" s="738"/>
      <c r="CT765" s="738"/>
      <c r="CU765" s="1537" t="s">
        <v>8103</v>
      </c>
      <c r="CV765" s="1101">
        <v>41</v>
      </c>
      <c r="CW765" s="1101">
        <v>35</v>
      </c>
      <c r="CX765" s="736" t="s">
        <v>5610</v>
      </c>
      <c r="CY765" s="734">
        <v>60</v>
      </c>
      <c r="CZ765" s="734">
        <v>7.3</v>
      </c>
      <c r="DA765" s="734" t="s">
        <v>24</v>
      </c>
      <c r="DB765" s="736" t="s">
        <v>5611</v>
      </c>
      <c r="DC765" s="734">
        <v>63.4</v>
      </c>
      <c r="DD765" s="734">
        <v>7.5</v>
      </c>
      <c r="DE765" s="734" t="s">
        <v>24</v>
      </c>
      <c r="DF765" s="621" t="s">
        <v>24</v>
      </c>
      <c r="DG765" s="509" t="s">
        <v>24</v>
      </c>
      <c r="DH765" s="1180"/>
      <c r="DI765" s="778"/>
      <c r="DJ765" s="778"/>
      <c r="DK765" s="778"/>
      <c r="DL765" s="1180"/>
      <c r="DM765" s="778"/>
      <c r="DN765" s="778"/>
      <c r="DO765" s="778"/>
      <c r="DP765" s="737"/>
      <c r="DQ765" s="372"/>
      <c r="DR765" s="1182"/>
      <c r="DS765" s="956"/>
      <c r="DT765" s="727"/>
      <c r="DU765" s="384"/>
      <c r="DV765" s="384"/>
      <c r="DW765" s="384"/>
      <c r="DX765" s="384"/>
      <c r="DY765" s="384"/>
      <c r="DZ765" s="384"/>
      <c r="EA765" s="384"/>
      <c r="EB765" s="1012"/>
      <c r="EC765" s="384"/>
      <c r="ED765" s="384"/>
      <c r="EE765" s="120"/>
      <c r="EF765" s="384"/>
      <c r="EG765" s="120"/>
      <c r="EH765" s="384"/>
      <c r="EI765" s="384"/>
      <c r="EJ765" s="384"/>
      <c r="EK765" s="384"/>
      <c r="EL765" s="1012"/>
      <c r="EM765" s="384"/>
      <c r="EN765" s="1181"/>
      <c r="EO765" s="778"/>
      <c r="EP765" s="734"/>
      <c r="EQ765" s="734"/>
      <c r="ER765" s="778"/>
      <c r="ES765" s="734"/>
      <c r="ET765" s="736"/>
      <c r="EU765" s="778"/>
      <c r="EV765" s="778"/>
      <c r="EW765" s="778"/>
      <c r="EX765" s="778"/>
      <c r="EY765" s="778"/>
      <c r="EZ765" s="1180"/>
      <c r="FA765" s="734"/>
      <c r="FB765" s="734"/>
      <c r="FC765" s="734"/>
      <c r="FD765" s="736"/>
      <c r="FE765" s="778"/>
      <c r="FF765" s="778"/>
      <c r="FG765" s="778"/>
      <c r="FH765" s="778"/>
      <c r="FI765" s="778"/>
      <c r="FJ765" s="778"/>
    </row>
    <row r="766" spans="1:166" ht="18" hidden="1" customHeight="1">
      <c r="A766" s="153" t="s">
        <v>356</v>
      </c>
      <c r="B766" s="618">
        <v>256</v>
      </c>
      <c r="C766" s="618"/>
      <c r="D766" s="618">
        <v>110</v>
      </c>
      <c r="E766" s="610" t="s">
        <v>2044</v>
      </c>
      <c r="F766" s="368" t="s">
        <v>2284</v>
      </c>
      <c r="G766" s="369">
        <v>2015</v>
      </c>
      <c r="H766" s="153">
        <v>25516381</v>
      </c>
      <c r="I766" s="153">
        <v>1</v>
      </c>
      <c r="J766" s="370"/>
      <c r="K766" s="371"/>
      <c r="L766" s="153">
        <v>1</v>
      </c>
      <c r="M766" s="153"/>
      <c r="N766" s="153">
        <v>1</v>
      </c>
      <c r="O766" s="153">
        <v>1</v>
      </c>
      <c r="P766" s="153" t="s">
        <v>919</v>
      </c>
      <c r="Q766" s="153" t="s">
        <v>1192</v>
      </c>
      <c r="R766" s="153" t="s">
        <v>819</v>
      </c>
      <c r="S766" s="153">
        <v>1</v>
      </c>
      <c r="T766" s="153"/>
      <c r="U766" s="153"/>
      <c r="V766" s="153"/>
      <c r="W766" s="153" t="s">
        <v>918</v>
      </c>
      <c r="X766" s="153" t="s">
        <v>24</v>
      </c>
      <c r="Y766" s="153" t="s">
        <v>921</v>
      </c>
      <c r="Z766" s="153"/>
      <c r="AA766" s="153"/>
      <c r="AB766" s="153"/>
      <c r="AC766" s="536" t="s">
        <v>6326</v>
      </c>
      <c r="AD766" s="536">
        <v>1</v>
      </c>
      <c r="AE766" s="536">
        <v>0</v>
      </c>
      <c r="AF766" s="165">
        <v>0</v>
      </c>
      <c r="AG766" s="166" t="s">
        <v>7298</v>
      </c>
      <c r="AH766" s="509" t="s">
        <v>7264</v>
      </c>
      <c r="AI766" s="120">
        <v>2</v>
      </c>
      <c r="AJ766" s="120"/>
      <c r="AK766" s="206"/>
      <c r="AL766" s="372"/>
      <c r="AM766" s="207"/>
      <c r="AN766" s="120"/>
      <c r="AO766" s="120"/>
      <c r="AP766" s="120"/>
      <c r="AQ766" s="120"/>
      <c r="AR766" s="120"/>
      <c r="AS766" s="120"/>
      <c r="AT766" s="120"/>
      <c r="AU766" s="120"/>
      <c r="AV766" s="120"/>
      <c r="AW766" s="120"/>
      <c r="AX766" s="120"/>
      <c r="AY766" s="120"/>
      <c r="AZ766" s="755"/>
      <c r="BA766" s="120"/>
      <c r="BB766" s="120"/>
      <c r="BC766" s="120"/>
      <c r="BD766" s="755"/>
      <c r="BE766" s="755"/>
      <c r="BF766" s="120"/>
      <c r="BG766" s="120"/>
      <c r="BH766" s="377"/>
      <c r="BI766" s="377" t="s">
        <v>6325</v>
      </c>
      <c r="BJ766" s="373"/>
      <c r="BK766" s="373"/>
      <c r="BL766" s="373"/>
      <c r="BM766" s="373" t="s">
        <v>6328</v>
      </c>
      <c r="BN766" s="373"/>
      <c r="BO766" s="373"/>
      <c r="BP766" s="373"/>
      <c r="BQ766" s="373" t="s">
        <v>6328</v>
      </c>
      <c r="BR766" s="373"/>
      <c r="BS766" s="373"/>
      <c r="BT766" s="373"/>
      <c r="BU766" s="373"/>
      <c r="BV766" s="373" t="s">
        <v>6328</v>
      </c>
      <c r="BW766" s="599"/>
      <c r="BX766" s="374"/>
      <c r="BY766" s="374"/>
      <c r="BZ766" s="374"/>
      <c r="CA766" s="511"/>
      <c r="CB766" s="511"/>
      <c r="CC766" s="511"/>
      <c r="CD766" s="120"/>
      <c r="CE766" s="120"/>
      <c r="CF766" s="120"/>
      <c r="CG766" s="120"/>
      <c r="CH766" s="755"/>
      <c r="CI766" s="120"/>
      <c r="CJ766" s="120"/>
      <c r="CK766" s="120"/>
      <c r="CL766" s="120"/>
      <c r="CM766" s="375"/>
      <c r="CN766" s="380"/>
      <c r="CO766" s="380"/>
      <c r="CP766" s="380"/>
      <c r="CQ766" s="380"/>
      <c r="CR766" s="380"/>
      <c r="CS766" s="380"/>
      <c r="CT766" s="380"/>
      <c r="CU766" s="380"/>
      <c r="CV766" s="380"/>
      <c r="CW766" s="380"/>
      <c r="CX766" s="376"/>
      <c r="CY766" s="120"/>
      <c r="CZ766" s="120"/>
      <c r="DA766" s="120"/>
      <c r="DB766" s="376"/>
      <c r="DC766" s="120"/>
      <c r="DD766" s="120"/>
      <c r="DE766" s="120"/>
      <c r="DF766" s="621"/>
      <c r="DG766" s="509"/>
      <c r="DH766" s="727"/>
      <c r="DI766" s="384"/>
      <c r="DJ766" s="384"/>
      <c r="DK766" s="384"/>
      <c r="DL766" s="727"/>
      <c r="DM766" s="384"/>
      <c r="DN766" s="384"/>
      <c r="DO766" s="384"/>
      <c r="DP766" s="375"/>
      <c r="DQ766" s="377"/>
      <c r="DR766" s="1182"/>
      <c r="DS766" s="956"/>
      <c r="DT766" s="727"/>
      <c r="DU766" s="384"/>
      <c r="DV766" s="384"/>
      <c r="DW766" s="384"/>
      <c r="DX766" s="384"/>
      <c r="DY766" s="384"/>
      <c r="DZ766" s="384"/>
      <c r="EA766" s="384"/>
      <c r="EB766" s="1012"/>
      <c r="EC766" s="384"/>
      <c r="ED766" s="384"/>
      <c r="EE766" s="384"/>
      <c r="EF766" s="384"/>
      <c r="EG766" s="384"/>
      <c r="EH766" s="384"/>
      <c r="EI766" s="384"/>
      <c r="EJ766" s="384"/>
      <c r="EK766" s="384"/>
      <c r="EL766" s="1012"/>
      <c r="EM766" s="384"/>
      <c r="EN766" s="1012"/>
      <c r="EO766" s="384"/>
      <c r="EP766" s="384"/>
      <c r="EQ766" s="384"/>
      <c r="ER766" s="384"/>
      <c r="ES766" s="384"/>
      <c r="ET766" s="727"/>
      <c r="EU766" s="384"/>
      <c r="EV766" s="384"/>
      <c r="EW766" s="384"/>
      <c r="EX766" s="384"/>
      <c r="EY766" s="384"/>
      <c r="EZ766" s="727"/>
      <c r="FA766" s="384"/>
      <c r="FB766" s="384"/>
      <c r="FC766" s="384"/>
      <c r="FD766" s="727"/>
      <c r="FE766" s="384"/>
      <c r="FF766" s="384"/>
      <c r="FG766" s="384"/>
      <c r="FH766" s="384"/>
      <c r="FI766" s="384"/>
      <c r="FJ766" s="384"/>
    </row>
    <row r="767" spans="1:166" ht="18" hidden="1" customHeight="1">
      <c r="A767" s="153" t="s">
        <v>357</v>
      </c>
      <c r="B767" s="618">
        <v>257</v>
      </c>
      <c r="C767" s="618"/>
      <c r="D767" s="618">
        <v>111</v>
      </c>
      <c r="E767" s="610" t="s">
        <v>2045</v>
      </c>
      <c r="F767" s="368" t="s">
        <v>2285</v>
      </c>
      <c r="G767" s="369">
        <v>2010</v>
      </c>
      <c r="H767" s="153">
        <v>21174249</v>
      </c>
      <c r="I767" s="153">
        <v>1</v>
      </c>
      <c r="J767" s="370"/>
      <c r="K767" s="371"/>
      <c r="L767" s="153">
        <v>1</v>
      </c>
      <c r="M767" s="153"/>
      <c r="N767" s="153">
        <v>1</v>
      </c>
      <c r="O767" s="153">
        <v>1</v>
      </c>
      <c r="P767" s="153" t="s">
        <v>28</v>
      </c>
      <c r="Q767" s="153" t="s">
        <v>28</v>
      </c>
      <c r="R767" s="153" t="s">
        <v>878</v>
      </c>
      <c r="S767" s="153">
        <v>1</v>
      </c>
      <c r="T767" s="153"/>
      <c r="U767" s="153"/>
      <c r="V767" s="153"/>
      <c r="W767" s="153" t="s">
        <v>922</v>
      </c>
      <c r="X767" s="153"/>
      <c r="Y767" s="153"/>
      <c r="Z767" s="153"/>
      <c r="AA767" s="153"/>
      <c r="AB767" s="153"/>
      <c r="AC767" s="536" t="s">
        <v>6330</v>
      </c>
      <c r="AD767" s="536">
        <v>1</v>
      </c>
      <c r="AE767" s="536">
        <v>1</v>
      </c>
      <c r="AF767" s="165">
        <v>0</v>
      </c>
      <c r="AG767" s="166" t="s">
        <v>7248</v>
      </c>
      <c r="AH767" s="509">
        <v>0</v>
      </c>
      <c r="AI767" s="120">
        <v>2</v>
      </c>
      <c r="AJ767" s="120"/>
      <c r="AK767" s="206"/>
      <c r="AL767" s="372"/>
      <c r="AM767" s="207"/>
      <c r="AN767" s="120"/>
      <c r="AO767" s="120"/>
      <c r="AP767" s="120"/>
      <c r="AQ767" s="120"/>
      <c r="AR767" s="120"/>
      <c r="AS767" s="120"/>
      <c r="AT767" s="120"/>
      <c r="AU767" s="120"/>
      <c r="AV767" s="120"/>
      <c r="AW767" s="120"/>
      <c r="AX767" s="120"/>
      <c r="AY767" s="120"/>
      <c r="AZ767" s="755"/>
      <c r="BA767" s="120"/>
      <c r="BB767" s="120"/>
      <c r="BC767" s="120"/>
      <c r="BD767" s="755"/>
      <c r="BE767" s="755"/>
      <c r="BF767" s="120"/>
      <c r="BG767" s="120"/>
      <c r="BH767" s="377"/>
      <c r="BI767" s="377"/>
      <c r="BJ767" s="373"/>
      <c r="BK767" s="373"/>
      <c r="BL767" s="373"/>
      <c r="BM767" s="373"/>
      <c r="BN767" s="373"/>
      <c r="BO767" s="373" t="s">
        <v>5207</v>
      </c>
      <c r="BP767" s="373" t="s">
        <v>6174</v>
      </c>
      <c r="BQ767" s="373"/>
      <c r="BR767" s="373"/>
      <c r="BS767" s="373"/>
      <c r="BT767" s="373"/>
      <c r="BU767" s="373"/>
      <c r="BV767" s="373"/>
      <c r="BW767" s="599"/>
      <c r="BX767" s="374"/>
      <c r="BY767" s="374"/>
      <c r="BZ767" s="374"/>
      <c r="CA767" s="510"/>
      <c r="CB767" s="510"/>
      <c r="CC767" s="510"/>
      <c r="CD767" s="120"/>
      <c r="CE767" s="120"/>
      <c r="CF767" s="120"/>
      <c r="CG767" s="120"/>
      <c r="CH767" s="755"/>
      <c r="CI767" s="120"/>
      <c r="CJ767" s="120"/>
      <c r="CK767" s="120"/>
      <c r="CL767" s="120"/>
      <c r="CM767" s="375"/>
      <c r="CN767" s="380"/>
      <c r="CO767" s="380"/>
      <c r="CP767" s="380"/>
      <c r="CQ767" s="380"/>
      <c r="CR767" s="380"/>
      <c r="CS767" s="380"/>
      <c r="CT767" s="380"/>
      <c r="CU767" s="380"/>
      <c r="CV767" s="380"/>
      <c r="CW767" s="380"/>
      <c r="CX767" s="376"/>
      <c r="CY767" s="120"/>
      <c r="CZ767" s="120"/>
      <c r="DA767" s="120"/>
      <c r="DB767" s="376"/>
      <c r="DC767" s="120"/>
      <c r="DD767" s="120"/>
      <c r="DE767" s="120"/>
      <c r="DF767" s="515"/>
      <c r="DG767" s="513"/>
      <c r="DH767" s="727"/>
      <c r="DI767" s="384"/>
      <c r="DJ767" s="384"/>
      <c r="DK767" s="384"/>
      <c r="DL767" s="727"/>
      <c r="DM767" s="384"/>
      <c r="DN767" s="384"/>
      <c r="DO767" s="384"/>
      <c r="DP767" s="375"/>
      <c r="DQ767" s="377"/>
      <c r="DR767" s="1182"/>
      <c r="DS767" s="956"/>
      <c r="DT767" s="727"/>
      <c r="DU767" s="384"/>
      <c r="DV767" s="384"/>
      <c r="DW767" s="384"/>
      <c r="DX767" s="384"/>
      <c r="DY767" s="384"/>
      <c r="DZ767" s="384"/>
      <c r="EA767" s="384"/>
      <c r="EB767" s="1012"/>
      <c r="EC767" s="384"/>
      <c r="ED767" s="384"/>
      <c r="EE767" s="384"/>
      <c r="EF767" s="384"/>
      <c r="EG767" s="384"/>
      <c r="EH767" s="384"/>
      <c r="EI767" s="384"/>
      <c r="EJ767" s="384"/>
      <c r="EK767" s="384"/>
      <c r="EL767" s="1012"/>
      <c r="EM767" s="384"/>
      <c r="EN767" s="1012"/>
      <c r="EO767" s="384"/>
      <c r="EP767" s="384"/>
      <c r="EQ767" s="384"/>
      <c r="ER767" s="120"/>
      <c r="ES767" s="120"/>
      <c r="ET767" s="376"/>
      <c r="EU767" s="120"/>
      <c r="EV767" s="384"/>
      <c r="EW767" s="384"/>
      <c r="EX767" s="384"/>
      <c r="EY767" s="384"/>
      <c r="EZ767" s="376"/>
      <c r="FA767" s="120"/>
      <c r="FB767" s="120"/>
      <c r="FC767" s="120"/>
      <c r="FD767" s="376"/>
      <c r="FE767" s="120"/>
      <c r="FF767" s="384"/>
      <c r="FG767" s="384"/>
      <c r="FH767" s="384"/>
      <c r="FI767" s="384"/>
      <c r="FJ767" s="384"/>
    </row>
    <row r="768" spans="1:166" ht="18" hidden="1" customHeight="1">
      <c r="A768" s="79" t="s">
        <v>336</v>
      </c>
      <c r="B768" s="362">
        <v>241</v>
      </c>
      <c r="C768" s="362"/>
      <c r="D768" s="362"/>
      <c r="E768" s="604" t="s">
        <v>2036</v>
      </c>
      <c r="F768" s="124" t="s">
        <v>2274</v>
      </c>
      <c r="G768" s="125">
        <v>1998</v>
      </c>
      <c r="H768" s="79">
        <v>9460740</v>
      </c>
      <c r="I768" s="79">
        <v>1</v>
      </c>
      <c r="J768" s="126"/>
      <c r="K768" s="127"/>
      <c r="L768" s="79">
        <v>1</v>
      </c>
      <c r="M768" s="79"/>
      <c r="N768" s="79">
        <v>1</v>
      </c>
      <c r="O768" s="128">
        <v>1</v>
      </c>
      <c r="P768" s="79" t="s">
        <v>31</v>
      </c>
      <c r="Q768" s="79" t="s">
        <v>1157</v>
      </c>
      <c r="R768" s="79" t="s">
        <v>819</v>
      </c>
      <c r="S768" s="79">
        <v>1</v>
      </c>
      <c r="T768" s="79"/>
      <c r="U768" s="79"/>
      <c r="V768" s="79"/>
      <c r="W768" s="79" t="s">
        <v>873</v>
      </c>
      <c r="X768" s="79" t="s">
        <v>24</v>
      </c>
      <c r="Y768" s="79" t="s">
        <v>24</v>
      </c>
      <c r="Z768" s="79"/>
      <c r="AA768" s="79"/>
      <c r="AB768" s="79"/>
      <c r="AC768" s="506"/>
      <c r="AD768" s="573">
        <v>1</v>
      </c>
      <c r="AE768" s="573">
        <v>2</v>
      </c>
      <c r="AF768" s="154">
        <v>1</v>
      </c>
      <c r="AG768" s="155"/>
      <c r="AH768" s="704"/>
      <c r="AI768" s="121">
        <v>2</v>
      </c>
      <c r="AJ768" s="484"/>
      <c r="AK768" s="202" t="s">
        <v>5804</v>
      </c>
      <c r="AL768" s="192">
        <v>1</v>
      </c>
      <c r="AM768" s="203">
        <v>0</v>
      </c>
      <c r="AN768" s="121">
        <f>Table66[[#This Row],[Data_Subjects_n_ptsd]]+Table66[[#This Row],[Data_Subjects_n_control]]</f>
        <v>43</v>
      </c>
      <c r="AO768" s="121">
        <v>24</v>
      </c>
      <c r="AP768" s="121">
        <v>19</v>
      </c>
      <c r="AQ768" s="134" t="s">
        <v>5744</v>
      </c>
      <c r="AR768" s="121" t="s">
        <v>5745</v>
      </c>
      <c r="AS768" s="121">
        <v>36.299999999999997</v>
      </c>
      <c r="AT768" s="121">
        <v>9.8000000000000007</v>
      </c>
      <c r="AU768" s="121">
        <v>35.299999999999997</v>
      </c>
      <c r="AV768" s="121">
        <v>8.6999999999999993</v>
      </c>
      <c r="AW768" s="121" t="s">
        <v>5746</v>
      </c>
      <c r="AX768" s="121"/>
      <c r="AY768" s="121"/>
      <c r="AZ768" s="754" t="s">
        <v>1874</v>
      </c>
      <c r="BA768" s="121" t="s">
        <v>24</v>
      </c>
      <c r="BB768" s="121" t="s">
        <v>24</v>
      </c>
      <c r="BC768" s="121" t="s">
        <v>5749</v>
      </c>
      <c r="BD768" s="754" t="s">
        <v>7521</v>
      </c>
      <c r="BE768" s="187">
        <v>0</v>
      </c>
      <c r="BF768" s="121" t="s">
        <v>5747</v>
      </c>
      <c r="BG768" s="121" t="s">
        <v>5748</v>
      </c>
      <c r="BH768" s="594"/>
      <c r="BI768" s="594"/>
      <c r="BJ768" s="156"/>
      <c r="BK768" s="156"/>
      <c r="BL768" s="156" t="s">
        <v>4727</v>
      </c>
      <c r="BM768" s="156"/>
      <c r="BN768" s="156"/>
      <c r="BO768" s="156"/>
      <c r="BP768" s="156">
        <v>1</v>
      </c>
      <c r="BQ768" s="156"/>
      <c r="BR768" s="156"/>
      <c r="BS768" s="156"/>
      <c r="BT768" s="156" t="s">
        <v>4727</v>
      </c>
      <c r="BU768" s="156"/>
      <c r="BV768" s="156"/>
      <c r="BW768" s="595" t="s">
        <v>3843</v>
      </c>
      <c r="BX768" s="157" t="s">
        <v>6610</v>
      </c>
      <c r="BY768" s="797" t="s">
        <v>7616</v>
      </c>
      <c r="BZ768" s="789" t="s">
        <v>803</v>
      </c>
      <c r="CA768" s="660">
        <v>2</v>
      </c>
      <c r="CB768" s="660" t="s">
        <v>7556</v>
      </c>
      <c r="CC768" s="660" t="s">
        <v>7380</v>
      </c>
      <c r="CD768" s="134" t="s">
        <v>1876</v>
      </c>
      <c r="CE768" s="134">
        <v>2</v>
      </c>
      <c r="CF768" s="400"/>
      <c r="CG768" s="134" t="s">
        <v>5750</v>
      </c>
      <c r="CH768" s="753" t="s">
        <v>7307</v>
      </c>
      <c r="CI768" s="134" t="s">
        <v>24</v>
      </c>
      <c r="CJ768" s="134"/>
      <c r="CK768" s="134" t="s">
        <v>5751</v>
      </c>
      <c r="CL768" s="134" t="s">
        <v>8201</v>
      </c>
      <c r="CM768" s="259" t="s">
        <v>5802</v>
      </c>
      <c r="CN768" s="454" t="s">
        <v>24</v>
      </c>
      <c r="CO768" s="828">
        <v>79</v>
      </c>
      <c r="CP768" s="828">
        <v>1</v>
      </c>
      <c r="CQ768" s="828">
        <v>5</v>
      </c>
      <c r="CR768" s="828">
        <v>1</v>
      </c>
      <c r="CS768" s="828">
        <v>1</v>
      </c>
      <c r="CT768" s="968"/>
      <c r="CU768" s="1288" t="s">
        <v>8103</v>
      </c>
      <c r="CV768" s="1294">
        <v>39</v>
      </c>
      <c r="CW768" s="1294">
        <v>33</v>
      </c>
      <c r="CX768" s="138" t="s">
        <v>5755</v>
      </c>
      <c r="CY768" s="134">
        <v>8.5</v>
      </c>
      <c r="CZ768" s="134">
        <v>2.7</v>
      </c>
      <c r="DA768" s="134" t="s">
        <v>24</v>
      </c>
      <c r="DB768" s="463" t="s">
        <v>5765</v>
      </c>
      <c r="DC768" s="134">
        <v>10.9</v>
      </c>
      <c r="DD768" s="134">
        <v>2.6</v>
      </c>
      <c r="DE768" s="134" t="s">
        <v>24</v>
      </c>
      <c r="DF768" s="288" t="s">
        <v>5775</v>
      </c>
      <c r="DG768" s="289" t="s">
        <v>5776</v>
      </c>
      <c r="DH768" s="1276"/>
      <c r="DI768" s="121"/>
      <c r="DJ768" s="1169"/>
      <c r="DK768" s="121"/>
      <c r="DL768" s="1171"/>
      <c r="DM768" s="121"/>
      <c r="DN768" s="1169"/>
      <c r="DO768" s="121"/>
      <c r="DP768" s="288"/>
      <c r="DQ768" s="289"/>
      <c r="DR768" s="1168"/>
      <c r="DS768" s="865"/>
      <c r="DT768" s="1169"/>
      <c r="DU768" s="163"/>
      <c r="DV768" s="1188"/>
      <c r="DW768" s="163"/>
      <c r="DX768" s="1169"/>
      <c r="DY768" s="121"/>
      <c r="DZ768" s="1169"/>
      <c r="EA768" s="121"/>
      <c r="EB768" s="304"/>
      <c r="EC768" s="312"/>
      <c r="ED768" s="1169"/>
      <c r="EE768" s="121"/>
      <c r="EF768" s="1169"/>
      <c r="EG768" s="121"/>
      <c r="EH768" s="1169"/>
      <c r="EI768" s="121"/>
      <c r="EJ768" s="1169"/>
      <c r="EK768" s="121"/>
      <c r="EL768" s="304"/>
      <c r="EM768" s="312"/>
      <c r="EN768" s="309"/>
      <c r="EO768" s="1170"/>
      <c r="EP768" s="121"/>
      <c r="EQ768" s="121"/>
      <c r="ER768" s="121"/>
      <c r="ES768" s="121"/>
      <c r="ET768" s="121"/>
      <c r="EU768" s="121"/>
      <c r="EV768" s="121"/>
      <c r="EW768" s="121"/>
      <c r="EX768" s="301"/>
      <c r="EY768" s="301"/>
      <c r="EZ768" s="1276"/>
      <c r="FA768" s="121"/>
      <c r="FB768" s="121"/>
      <c r="FC768" s="121"/>
      <c r="FD768" s="1276"/>
      <c r="FE768" s="121"/>
      <c r="FF768" s="121"/>
      <c r="FG768" s="121"/>
      <c r="FH768" s="301"/>
      <c r="FI768" s="301"/>
      <c r="FJ768" s="1170"/>
    </row>
    <row r="769" spans="1:166" ht="18" hidden="1" customHeight="1">
      <c r="A769" s="79" t="s">
        <v>336</v>
      </c>
      <c r="B769" s="362">
        <v>241</v>
      </c>
      <c r="C769" s="362"/>
      <c r="D769" s="362"/>
      <c r="E769" s="604" t="s">
        <v>2036</v>
      </c>
      <c r="F769" s="124" t="s">
        <v>2274</v>
      </c>
      <c r="G769" s="125">
        <v>1998</v>
      </c>
      <c r="H769" s="79">
        <v>9460740</v>
      </c>
      <c r="I769" s="79">
        <v>1</v>
      </c>
      <c r="J769" s="126"/>
      <c r="K769" s="127"/>
      <c r="L769" s="79">
        <v>1</v>
      </c>
      <c r="M769" s="79"/>
      <c r="N769" s="79">
        <v>1</v>
      </c>
      <c r="O769" s="128">
        <v>1</v>
      </c>
      <c r="P769" s="79" t="s">
        <v>31</v>
      </c>
      <c r="Q769" s="79" t="s">
        <v>1157</v>
      </c>
      <c r="R769" s="79" t="s">
        <v>819</v>
      </c>
      <c r="S769" s="79">
        <v>1</v>
      </c>
      <c r="T769" s="79"/>
      <c r="U769" s="79"/>
      <c r="V769" s="79"/>
      <c r="W769" s="79" t="s">
        <v>873</v>
      </c>
      <c r="X769" s="79" t="s">
        <v>24</v>
      </c>
      <c r="Y769" s="79" t="s">
        <v>24</v>
      </c>
      <c r="Z769" s="79"/>
      <c r="AA769" s="79"/>
      <c r="AB769" s="79"/>
      <c r="AC769" s="506"/>
      <c r="AD769" s="573">
        <v>1</v>
      </c>
      <c r="AE769" s="573">
        <v>2</v>
      </c>
      <c r="AF769" s="154">
        <v>1</v>
      </c>
      <c r="AG769" s="155"/>
      <c r="AH769" s="704"/>
      <c r="AI769" s="121">
        <v>2</v>
      </c>
      <c r="AJ769" s="484"/>
      <c r="AK769" s="202" t="s">
        <v>5804</v>
      </c>
      <c r="AL769" s="192">
        <v>1</v>
      </c>
      <c r="AM769" s="203">
        <v>0</v>
      </c>
      <c r="AN769" s="121">
        <f>Table66[[#This Row],[Data_Subjects_n_ptsd]]+Table66[[#This Row],[Data_Subjects_n_control]]</f>
        <v>43</v>
      </c>
      <c r="AO769" s="121">
        <v>24</v>
      </c>
      <c r="AP769" s="121">
        <v>19</v>
      </c>
      <c r="AQ769" s="134" t="s">
        <v>5744</v>
      </c>
      <c r="AR769" s="121" t="s">
        <v>5745</v>
      </c>
      <c r="AS769" s="121">
        <v>36.299999999999997</v>
      </c>
      <c r="AT769" s="121">
        <v>9.8000000000000007</v>
      </c>
      <c r="AU769" s="121">
        <v>35.299999999999997</v>
      </c>
      <c r="AV769" s="121">
        <v>8.6999999999999993</v>
      </c>
      <c r="AW769" s="121" t="s">
        <v>5746</v>
      </c>
      <c r="AX769" s="121"/>
      <c r="AY769" s="121"/>
      <c r="AZ769" s="754" t="s">
        <v>1874</v>
      </c>
      <c r="BA769" s="121" t="s">
        <v>24</v>
      </c>
      <c r="BB769" s="121" t="s">
        <v>24</v>
      </c>
      <c r="BC769" s="121" t="s">
        <v>5749</v>
      </c>
      <c r="BD769" s="754" t="s">
        <v>7521</v>
      </c>
      <c r="BE769" s="187">
        <v>0</v>
      </c>
      <c r="BF769" s="121" t="s">
        <v>5747</v>
      </c>
      <c r="BG769" s="121" t="s">
        <v>5748</v>
      </c>
      <c r="BH769" s="594"/>
      <c r="BI769" s="594"/>
      <c r="BJ769" s="156"/>
      <c r="BK769" s="156"/>
      <c r="BL769" s="156" t="s">
        <v>4727</v>
      </c>
      <c r="BM769" s="156"/>
      <c r="BN769" s="156"/>
      <c r="BO769" s="156"/>
      <c r="BP769" s="156">
        <v>1</v>
      </c>
      <c r="BQ769" s="156"/>
      <c r="BR769" s="156"/>
      <c r="BS769" s="156"/>
      <c r="BT769" s="156" t="s">
        <v>4727</v>
      </c>
      <c r="BU769" s="156"/>
      <c r="BV769" s="156"/>
      <c r="BW769" s="595" t="s">
        <v>3843</v>
      </c>
      <c r="BX769" s="157" t="s">
        <v>6610</v>
      </c>
      <c r="BY769" s="797" t="s">
        <v>7616</v>
      </c>
      <c r="BZ769" s="789" t="s">
        <v>803</v>
      </c>
      <c r="CA769" s="765">
        <v>2</v>
      </c>
      <c r="CB769" s="765" t="s">
        <v>7556</v>
      </c>
      <c r="CC769" s="660" t="s">
        <v>7380</v>
      </c>
      <c r="CD769" s="134" t="s">
        <v>1876</v>
      </c>
      <c r="CE769" s="134">
        <v>2</v>
      </c>
      <c r="CF769" s="400"/>
      <c r="CG769" s="134" t="s">
        <v>5750</v>
      </c>
      <c r="CH769" s="753" t="s">
        <v>7307</v>
      </c>
      <c r="CI769" s="134" t="s">
        <v>24</v>
      </c>
      <c r="CJ769" s="134"/>
      <c r="CK769" s="134" t="s">
        <v>5751</v>
      </c>
      <c r="CL769" s="134" t="s">
        <v>8220</v>
      </c>
      <c r="CM769" s="259" t="s">
        <v>5802</v>
      </c>
      <c r="CN769" s="454" t="s">
        <v>24</v>
      </c>
      <c r="CO769" s="828">
        <v>79</v>
      </c>
      <c r="CP769" s="828">
        <v>1</v>
      </c>
      <c r="CQ769" s="828">
        <v>6</v>
      </c>
      <c r="CR769" s="828">
        <v>1</v>
      </c>
      <c r="CS769" s="828">
        <v>1</v>
      </c>
      <c r="CT769" s="968"/>
      <c r="CU769" s="1288" t="s">
        <v>8103</v>
      </c>
      <c r="CV769" s="1294">
        <v>39</v>
      </c>
      <c r="CW769" s="1294">
        <v>33</v>
      </c>
      <c r="CX769" s="134" t="s">
        <v>5756</v>
      </c>
      <c r="CY769" s="400">
        <v>7.6</v>
      </c>
      <c r="CZ769" s="400">
        <v>3.3</v>
      </c>
      <c r="DA769" s="400" t="s">
        <v>24</v>
      </c>
      <c r="DB769" s="134" t="s">
        <v>5766</v>
      </c>
      <c r="DC769" s="134">
        <v>9.6999999999999993</v>
      </c>
      <c r="DD769" s="134">
        <v>2.8</v>
      </c>
      <c r="DE769" s="134" t="s">
        <v>24</v>
      </c>
      <c r="DF769" s="434" t="s">
        <v>5777</v>
      </c>
      <c r="DG769" s="436" t="s">
        <v>5778</v>
      </c>
      <c r="DH769" s="1175"/>
      <c r="DI769" s="417"/>
      <c r="DJ769" s="1169"/>
      <c r="DK769" s="417"/>
      <c r="DL769" s="1171"/>
      <c r="DM769" s="417"/>
      <c r="DN769" s="1169"/>
      <c r="DO769" s="1151"/>
      <c r="DP769" s="288"/>
      <c r="DQ769" s="441"/>
      <c r="DR769" s="1168"/>
      <c r="DS769" s="865"/>
      <c r="DT769" s="1169"/>
      <c r="DU769" s="1188"/>
      <c r="DV769" s="1188"/>
      <c r="DW769" s="1188"/>
      <c r="DX769" s="1169"/>
      <c r="DY769" s="1169"/>
      <c r="DZ769" s="1169"/>
      <c r="EA769" s="1169"/>
      <c r="EB769" s="304"/>
      <c r="EC769" s="312"/>
      <c r="ED769" s="1169"/>
      <c r="EE769" s="1169"/>
      <c r="EF769" s="1169"/>
      <c r="EG769" s="1169"/>
      <c r="EH769" s="1169"/>
      <c r="EI769" s="1169"/>
      <c r="EJ769" s="1169"/>
      <c r="EK769" s="1169"/>
      <c r="EL769" s="304"/>
      <c r="EM769" s="312"/>
      <c r="EN769" s="309"/>
      <c r="EO769" s="1170"/>
      <c r="EP769" s="1169"/>
      <c r="EQ769" s="1169"/>
      <c r="ER769" s="1169"/>
      <c r="ES769" s="1169"/>
      <c r="ET769" s="1169"/>
      <c r="EU769" s="1169"/>
      <c r="EV769" s="1169"/>
      <c r="EW769" s="1169"/>
      <c r="EX769" s="312"/>
      <c r="EY769" s="312"/>
      <c r="EZ769" s="1171"/>
      <c r="FA769" s="1169"/>
      <c r="FB769" s="1169"/>
      <c r="FC769" s="1169"/>
      <c r="FD769" s="1171"/>
      <c r="FE769" s="1169"/>
      <c r="FF769" s="1169"/>
      <c r="FG769" s="1169"/>
      <c r="FH769" s="312"/>
      <c r="FI769" s="312"/>
      <c r="FJ769" s="1170"/>
    </row>
    <row r="770" spans="1:166" ht="18" hidden="1" customHeight="1">
      <c r="A770" s="118" t="s">
        <v>358</v>
      </c>
      <c r="B770" s="616">
        <v>258</v>
      </c>
      <c r="C770" s="616"/>
      <c r="D770" s="616">
        <v>112</v>
      </c>
      <c r="E770" s="605" t="s">
        <v>2046</v>
      </c>
      <c r="F770" s="140" t="s">
        <v>2286</v>
      </c>
      <c r="G770" s="141">
        <v>2016</v>
      </c>
      <c r="H770" s="118">
        <v>26892753</v>
      </c>
      <c r="I770" s="118">
        <v>1</v>
      </c>
      <c r="J770" s="118"/>
      <c r="K770" s="118"/>
      <c r="L770" s="118">
        <v>1</v>
      </c>
      <c r="M770" s="118"/>
      <c r="N770" s="118">
        <v>1</v>
      </c>
      <c r="O770" s="142">
        <v>1</v>
      </c>
      <c r="P770" s="118" t="s">
        <v>924</v>
      </c>
      <c r="Q770" s="118" t="s">
        <v>1196</v>
      </c>
      <c r="R770" s="118" t="s">
        <v>819</v>
      </c>
      <c r="S770" s="118">
        <v>1</v>
      </c>
      <c r="T770" s="118"/>
      <c r="U770" s="118"/>
      <c r="V770" s="118"/>
      <c r="W770" s="118" t="s">
        <v>923</v>
      </c>
      <c r="X770" s="118" t="s">
        <v>24</v>
      </c>
      <c r="Y770" s="118" t="s">
        <v>24</v>
      </c>
      <c r="Z770" s="118" t="s">
        <v>925</v>
      </c>
      <c r="AA770" s="118"/>
      <c r="AB770" s="118"/>
      <c r="AC770" s="145" t="s">
        <v>6331</v>
      </c>
      <c r="AD770" s="653">
        <v>1</v>
      </c>
      <c r="AE770" s="653">
        <v>1</v>
      </c>
      <c r="AF770" s="159">
        <v>1</v>
      </c>
      <c r="AG770" s="160"/>
      <c r="AH770" s="704"/>
      <c r="AI770" s="122">
        <v>2</v>
      </c>
      <c r="AJ770" s="485"/>
      <c r="AK770" s="204"/>
      <c r="AL770" s="192">
        <v>1</v>
      </c>
      <c r="AM770" s="205">
        <v>0</v>
      </c>
      <c r="AN770" s="122">
        <f>Table66[[#This Row],[Data_Subjects_n_ptsd]]+Table66[[#This Row],[Data_Subjects_n_control]]</f>
        <v>80</v>
      </c>
      <c r="AO770" s="122">
        <v>40</v>
      </c>
      <c r="AP770" s="122">
        <v>40</v>
      </c>
      <c r="AQ770" s="122" t="s">
        <v>7156</v>
      </c>
      <c r="AR770" s="122" t="s">
        <v>7157</v>
      </c>
      <c r="AS770" s="122">
        <v>35.200000000000003</v>
      </c>
      <c r="AT770" s="122">
        <v>9.8000000000000007</v>
      </c>
      <c r="AU770" s="122">
        <v>32.9</v>
      </c>
      <c r="AV770" s="122">
        <v>8.6999999999999993</v>
      </c>
      <c r="AW770" s="122" t="s">
        <v>1874</v>
      </c>
      <c r="AX770" s="122"/>
      <c r="AY770" s="122"/>
      <c r="AZ770" s="754" t="s">
        <v>1874</v>
      </c>
      <c r="BA770" s="122" t="s">
        <v>24</v>
      </c>
      <c r="BB770" s="122" t="s">
        <v>24</v>
      </c>
      <c r="BC770" s="122" t="s">
        <v>2423</v>
      </c>
      <c r="BD770" s="754" t="s">
        <v>7521</v>
      </c>
      <c r="BE770" s="187">
        <v>0</v>
      </c>
      <c r="BF770" s="122" t="s">
        <v>3835</v>
      </c>
      <c r="BG770" s="122" t="s">
        <v>1875</v>
      </c>
      <c r="BH770" s="588"/>
      <c r="BI770" s="588" t="s">
        <v>6332</v>
      </c>
      <c r="BJ770" s="161"/>
      <c r="BK770" s="161"/>
      <c r="BL770" s="161" t="s">
        <v>5207</v>
      </c>
      <c r="BM770" s="161"/>
      <c r="BN770" s="161"/>
      <c r="BO770" s="161" t="s">
        <v>5207</v>
      </c>
      <c r="BP770" s="161" t="s">
        <v>6174</v>
      </c>
      <c r="BQ770" s="161"/>
      <c r="BR770" s="161" t="s">
        <v>5207</v>
      </c>
      <c r="BS770" s="161"/>
      <c r="BT770" s="161" t="s">
        <v>4727</v>
      </c>
      <c r="BU770" s="161" t="s">
        <v>5207</v>
      </c>
      <c r="BV770" s="161" t="s">
        <v>6293</v>
      </c>
      <c r="BW770" s="596" t="s">
        <v>4001</v>
      </c>
      <c r="BX770" s="162" t="s">
        <v>6612</v>
      </c>
      <c r="BY770" s="797" t="s">
        <v>7617</v>
      </c>
      <c r="BZ770" s="790" t="s">
        <v>803</v>
      </c>
      <c r="CA770" s="765">
        <v>2</v>
      </c>
      <c r="CB770" s="765" t="s">
        <v>7556</v>
      </c>
      <c r="CC770" s="765" t="s">
        <v>7380</v>
      </c>
      <c r="CD770" s="150" t="s">
        <v>1876</v>
      </c>
      <c r="CE770" s="150">
        <v>2</v>
      </c>
      <c r="CF770" s="400"/>
      <c r="CG770" s="150" t="s">
        <v>7160</v>
      </c>
      <c r="CH770" s="753" t="s">
        <v>7336</v>
      </c>
      <c r="CI770" s="150" t="s">
        <v>24</v>
      </c>
      <c r="CJ770" s="150"/>
      <c r="CK770" s="150" t="s">
        <v>7161</v>
      </c>
      <c r="CL770" s="150" t="s">
        <v>8237</v>
      </c>
      <c r="CM770" s="258" t="s">
        <v>7171</v>
      </c>
      <c r="CN770" s="257">
        <v>0</v>
      </c>
      <c r="CO770" s="829">
        <v>86</v>
      </c>
      <c r="CP770" s="829">
        <v>1</v>
      </c>
      <c r="CQ770" s="829">
        <v>3</v>
      </c>
      <c r="CR770" s="829">
        <v>1</v>
      </c>
      <c r="CS770" s="829">
        <v>1</v>
      </c>
      <c r="CT770" s="968"/>
      <c r="CU770" s="1288" t="s">
        <v>8103</v>
      </c>
      <c r="CV770" s="1294">
        <v>42</v>
      </c>
      <c r="CW770" s="1294">
        <v>36</v>
      </c>
      <c r="CX770" s="151" t="s">
        <v>7166</v>
      </c>
      <c r="CY770" s="150">
        <v>20.2</v>
      </c>
      <c r="CZ770" s="150">
        <v>5.4</v>
      </c>
      <c r="DA770" s="150" t="s">
        <v>24</v>
      </c>
      <c r="DB770" s="151" t="s">
        <v>7167</v>
      </c>
      <c r="DC770" s="150">
        <v>20.7</v>
      </c>
      <c r="DD770" s="150">
        <v>5.9</v>
      </c>
      <c r="DE770" s="150" t="s">
        <v>24</v>
      </c>
      <c r="DF770" s="294" t="s">
        <v>7168</v>
      </c>
      <c r="DG770" s="295" t="s">
        <v>3790</v>
      </c>
      <c r="DH770" s="526"/>
      <c r="DI770" s="526"/>
      <c r="DJ770" s="1164"/>
      <c r="DK770" s="122"/>
      <c r="DL770" s="1164"/>
      <c r="DM770" s="122"/>
      <c r="DN770" s="1164"/>
      <c r="DO770" s="122"/>
      <c r="DP770" s="290"/>
      <c r="DQ770" s="291"/>
      <c r="DR770" s="280"/>
      <c r="DS770" s="865"/>
      <c r="DT770" s="1166"/>
      <c r="DU770" s="122"/>
      <c r="DV770" s="1164"/>
      <c r="DW770" s="122"/>
      <c r="DX770" s="1164"/>
      <c r="DY770" s="122"/>
      <c r="DZ770" s="1164"/>
      <c r="EA770" s="122"/>
      <c r="EB770" s="311"/>
      <c r="EC770" s="313"/>
      <c r="ED770" s="1164"/>
      <c r="EE770" s="1164"/>
      <c r="EF770" s="1164"/>
      <c r="EG770" s="1164"/>
      <c r="EH770" s="1164"/>
      <c r="EI770" s="1164"/>
      <c r="EJ770" s="1164"/>
      <c r="EK770" s="1164"/>
      <c r="EL770" s="311"/>
      <c r="EM770" s="313"/>
      <c r="EN770" s="1167"/>
      <c r="EO770" s="1165"/>
      <c r="EP770" s="1164"/>
      <c r="EQ770" s="1164"/>
      <c r="ER770" s="1164"/>
      <c r="ES770" s="1164"/>
      <c r="ET770" s="1166"/>
      <c r="EU770" s="1164"/>
      <c r="EV770" s="1164"/>
      <c r="EW770" s="1164"/>
      <c r="EX770" s="313"/>
      <c r="EY770" s="313"/>
      <c r="EZ770" s="1166"/>
      <c r="FA770" s="1164"/>
      <c r="FB770" s="1164"/>
      <c r="FC770" s="1164"/>
      <c r="FD770" s="1166"/>
      <c r="FE770" s="1164"/>
      <c r="FF770" s="1164"/>
      <c r="FG770" s="1164"/>
      <c r="FH770" s="313"/>
      <c r="FI770" s="313"/>
      <c r="FJ770" s="1165"/>
    </row>
    <row r="771" spans="1:166" ht="18" customHeight="1">
      <c r="A771" s="118" t="s">
        <v>968</v>
      </c>
      <c r="B771" s="616">
        <v>47</v>
      </c>
      <c r="C771" s="616"/>
      <c r="D771" s="616"/>
      <c r="E771" s="605" t="s">
        <v>2119</v>
      </c>
      <c r="F771" s="140" t="s">
        <v>2379</v>
      </c>
      <c r="G771" s="141">
        <v>2006</v>
      </c>
      <c r="H771" s="118">
        <v>17031709</v>
      </c>
      <c r="I771" s="118">
        <v>1</v>
      </c>
      <c r="J771" s="118">
        <v>1</v>
      </c>
      <c r="K771" s="118"/>
      <c r="L771" s="118">
        <v>1</v>
      </c>
      <c r="M771" s="118"/>
      <c r="N771" s="158">
        <v>1</v>
      </c>
      <c r="O771" s="142">
        <v>2</v>
      </c>
      <c r="P771" s="118" t="s">
        <v>1227</v>
      </c>
      <c r="Q771" s="118" t="s">
        <v>1216</v>
      </c>
      <c r="R771" s="118" t="s">
        <v>1127</v>
      </c>
      <c r="S771" s="118"/>
      <c r="T771" s="118" t="s">
        <v>1487</v>
      </c>
      <c r="U771" s="118" t="s">
        <v>803</v>
      </c>
      <c r="V771" s="118"/>
      <c r="W771" s="118" t="s">
        <v>1501</v>
      </c>
      <c r="X771" s="118"/>
      <c r="Y771" s="118" t="s">
        <v>1132</v>
      </c>
      <c r="Z771" s="118"/>
      <c r="AA771" s="118" t="s">
        <v>1590</v>
      </c>
      <c r="AB771" s="118"/>
      <c r="AC771" s="145"/>
      <c r="AD771" s="573">
        <v>1</v>
      </c>
      <c r="AE771" s="573">
        <v>2</v>
      </c>
      <c r="AF771" s="159">
        <v>1</v>
      </c>
      <c r="AG771" s="160"/>
      <c r="AH771" s="704"/>
      <c r="AI771" s="122">
        <v>4</v>
      </c>
      <c r="AJ771" s="485"/>
      <c r="AK771" s="202" t="s">
        <v>3602</v>
      </c>
      <c r="AL771" s="192">
        <v>2</v>
      </c>
      <c r="AM771" s="227">
        <v>1</v>
      </c>
      <c r="AN771" s="150">
        <f>Table66[[#This Row],[Data_Subjects_n_ptsd]]+Table66[[#This Row],[Data_Subjects_n_control]]</f>
        <v>18</v>
      </c>
      <c r="AO771" s="150">
        <v>9</v>
      </c>
      <c r="AP771" s="266">
        <v>9</v>
      </c>
      <c r="AQ771" s="266" t="s">
        <v>803</v>
      </c>
      <c r="AR771" s="150" t="s">
        <v>803</v>
      </c>
      <c r="AS771" s="150" t="s">
        <v>3595</v>
      </c>
      <c r="AT771" s="150" t="s">
        <v>24</v>
      </c>
      <c r="AU771" s="150" t="s">
        <v>3595</v>
      </c>
      <c r="AV771" s="150" t="s">
        <v>24</v>
      </c>
      <c r="AW771" s="150" t="s">
        <v>3596</v>
      </c>
      <c r="AX771" s="150"/>
      <c r="AY771" s="150"/>
      <c r="AZ771" s="753" t="s">
        <v>1487</v>
      </c>
      <c r="BA771" s="150">
        <v>1</v>
      </c>
      <c r="BB771" s="150">
        <v>1</v>
      </c>
      <c r="BC771" s="150" t="s">
        <v>3597</v>
      </c>
      <c r="BD771" s="753" t="s">
        <v>7523</v>
      </c>
      <c r="BE771" s="753"/>
      <c r="BF771" s="150" t="s">
        <v>1130</v>
      </c>
      <c r="BG771" s="150" t="s">
        <v>2798</v>
      </c>
      <c r="BH771" s="588"/>
      <c r="BI771" s="588"/>
      <c r="BJ771" s="161">
        <v>1</v>
      </c>
      <c r="BK771" s="161"/>
      <c r="BL771" s="161"/>
      <c r="BM771" s="161"/>
      <c r="BN771" s="161"/>
      <c r="BO771" s="161"/>
      <c r="BP771" s="161"/>
      <c r="BQ771" s="161"/>
      <c r="BR771" s="161"/>
      <c r="BS771" s="161"/>
      <c r="BT771" s="161"/>
      <c r="BU771" s="161"/>
      <c r="BV771" s="161"/>
      <c r="BW771" s="595" t="s">
        <v>3611</v>
      </c>
      <c r="BX771" s="157" t="s">
        <v>6595</v>
      </c>
      <c r="BY771" s="797" t="s">
        <v>7615</v>
      </c>
      <c r="BZ771" s="789" t="s">
        <v>803</v>
      </c>
      <c r="CA771" s="765">
        <v>4</v>
      </c>
      <c r="CB771" s="765" t="s">
        <v>7556</v>
      </c>
      <c r="CC771" s="765" t="s">
        <v>7384</v>
      </c>
      <c r="CD771" s="150" t="s">
        <v>1876</v>
      </c>
      <c r="CE771" s="150">
        <v>2</v>
      </c>
      <c r="CF771" s="400" t="s">
        <v>7597</v>
      </c>
      <c r="CG771" s="150" t="s">
        <v>3605</v>
      </c>
      <c r="CH771" s="753" t="s">
        <v>1488</v>
      </c>
      <c r="CI771" s="150" t="s">
        <v>3514</v>
      </c>
      <c r="CJ771" s="150"/>
      <c r="CK771" s="150" t="s">
        <v>3237</v>
      </c>
      <c r="CL771" s="134" t="s">
        <v>6640</v>
      </c>
      <c r="CM771" s="259" t="s">
        <v>3604</v>
      </c>
      <c r="CN771" s="454" t="s">
        <v>6627</v>
      </c>
      <c r="CO771" s="828">
        <v>73</v>
      </c>
      <c r="CP771" s="828">
        <v>3</v>
      </c>
      <c r="CQ771" s="828">
        <v>1</v>
      </c>
      <c r="CR771" s="828">
        <v>0</v>
      </c>
      <c r="CS771" s="828">
        <v>1</v>
      </c>
      <c r="CT771" s="967"/>
      <c r="CU771" s="1289" t="s">
        <v>8104</v>
      </c>
      <c r="CV771" s="1295">
        <v>124</v>
      </c>
      <c r="CW771" s="1295">
        <v>113</v>
      </c>
      <c r="CX771" s="151" t="s">
        <v>3598</v>
      </c>
      <c r="CY771" s="266">
        <v>110.181</v>
      </c>
      <c r="CZ771" s="150" t="s">
        <v>24</v>
      </c>
      <c r="DA771" s="266">
        <f>125.143-Table66[[#This Row],[Data_Outcome1_M]]</f>
        <v>14.962000000000003</v>
      </c>
      <c r="DB771" s="151" t="s">
        <v>3599</v>
      </c>
      <c r="DC771" s="266">
        <v>64.597700000000003</v>
      </c>
      <c r="DD771" s="150" t="s">
        <v>24</v>
      </c>
      <c r="DE771" s="150">
        <f>75.3511-Table66[[#This Row],[Data_Outcome2_M]]</f>
        <v>10.753399999999999</v>
      </c>
      <c r="DF771" s="294" t="s">
        <v>3603</v>
      </c>
      <c r="DG771" s="295" t="s">
        <v>2555</v>
      </c>
      <c r="DH771" s="1166"/>
      <c r="DI771" s="1164"/>
      <c r="DJ771" s="1164"/>
      <c r="DK771" s="1164"/>
      <c r="DL771" s="1166"/>
      <c r="DM771" s="1164"/>
      <c r="DN771" s="1164"/>
      <c r="DO771" s="1164"/>
      <c r="DP771" s="290"/>
      <c r="DQ771" s="291"/>
      <c r="DR771" s="1168"/>
      <c r="DS771" s="865"/>
      <c r="DT771" s="1166"/>
      <c r="DU771" s="1164"/>
      <c r="DV771" s="1164"/>
      <c r="DW771" s="1164"/>
      <c r="DX771" s="1164"/>
      <c r="DY771" s="1164"/>
      <c r="DZ771" s="1164"/>
      <c r="EA771" s="1164"/>
      <c r="EB771" s="311"/>
      <c r="EC771" s="313"/>
      <c r="ED771" s="1164"/>
      <c r="EE771" s="1164"/>
      <c r="EF771" s="1164"/>
      <c r="EG771" s="1164"/>
      <c r="EH771" s="1164"/>
      <c r="EI771" s="1164"/>
      <c r="EJ771" s="1164"/>
      <c r="EK771" s="1164"/>
      <c r="EL771" s="311"/>
      <c r="EM771" s="313"/>
      <c r="EN771" s="1167"/>
      <c r="EO771" s="1165"/>
      <c r="EP771" s="1781"/>
      <c r="EQ771" s="1164"/>
      <c r="ER771" s="1164"/>
      <c r="ES771" s="1164"/>
      <c r="ET771" s="1184"/>
      <c r="EU771" s="1164"/>
      <c r="EV771" s="1164"/>
      <c r="EW771" s="1164"/>
      <c r="EX771" s="313"/>
      <c r="EY771" s="313"/>
      <c r="EZ771" s="1166"/>
      <c r="FA771" s="1164"/>
      <c r="FB771" s="1164"/>
      <c r="FC771" s="1164"/>
      <c r="FD771" s="1166"/>
      <c r="FE771" s="1164"/>
      <c r="FF771" s="1164"/>
      <c r="FG771" s="1164"/>
      <c r="FH771" s="313"/>
      <c r="FI771" s="313"/>
      <c r="FJ771" s="1165"/>
    </row>
    <row r="772" spans="1:166" ht="18" customHeight="1">
      <c r="A772" s="118" t="s">
        <v>955</v>
      </c>
      <c r="B772" s="616">
        <v>50</v>
      </c>
      <c r="C772" s="616"/>
      <c r="D772" s="616"/>
      <c r="E772" s="605" t="s">
        <v>2126</v>
      </c>
      <c r="F772" s="140" t="s">
        <v>2389</v>
      </c>
      <c r="G772" s="141">
        <v>2008</v>
      </c>
      <c r="H772" s="118">
        <v>18577419</v>
      </c>
      <c r="I772" s="118">
        <v>1</v>
      </c>
      <c r="J772" s="118"/>
      <c r="K772" s="118"/>
      <c r="L772" s="118">
        <v>1</v>
      </c>
      <c r="M772" s="118"/>
      <c r="N772" s="158">
        <v>1</v>
      </c>
      <c r="O772" s="142">
        <v>2</v>
      </c>
      <c r="P772" s="118" t="s">
        <v>22</v>
      </c>
      <c r="Q772" s="118" t="s">
        <v>24</v>
      </c>
      <c r="R772" s="118" t="s">
        <v>1130</v>
      </c>
      <c r="S772" s="118"/>
      <c r="T772" s="118" t="s">
        <v>1619</v>
      </c>
      <c r="U772" s="118" t="s">
        <v>803</v>
      </c>
      <c r="V772" s="118"/>
      <c r="W772" s="118" t="s">
        <v>1722</v>
      </c>
      <c r="X772" s="118"/>
      <c r="Y772" s="118"/>
      <c r="Z772" s="118"/>
      <c r="AA772" s="118" t="s">
        <v>1620</v>
      </c>
      <c r="AB772" s="118" t="s">
        <v>424</v>
      </c>
      <c r="AC772" s="145"/>
      <c r="AD772" s="573">
        <v>1</v>
      </c>
      <c r="AE772" s="573">
        <v>2</v>
      </c>
      <c r="AF772" s="159">
        <v>1</v>
      </c>
      <c r="AG772" s="155" t="s">
        <v>8163</v>
      </c>
      <c r="AH772" s="704" t="s">
        <v>7371</v>
      </c>
      <c r="AI772" s="122">
        <v>4</v>
      </c>
      <c r="AJ772" s="485"/>
      <c r="AK772" s="204" t="s">
        <v>8077</v>
      </c>
      <c r="AL772" s="192" t="s">
        <v>3565</v>
      </c>
      <c r="AM772" s="205">
        <v>1</v>
      </c>
      <c r="AN772" s="122">
        <f>Table66[[#This Row],[Data_Subjects_n_ptsd]]+Table66[[#This Row],[Data_Subjects_n_control]]</f>
        <v>23</v>
      </c>
      <c r="AO772" s="122">
        <f>14</f>
        <v>14</v>
      </c>
      <c r="AP772" s="500">
        <v>9</v>
      </c>
      <c r="AQ772" s="500" t="s">
        <v>803</v>
      </c>
      <c r="AR772" s="122" t="s">
        <v>803</v>
      </c>
      <c r="AS772" s="122" t="s">
        <v>2667</v>
      </c>
      <c r="AT772" s="122" t="s">
        <v>24</v>
      </c>
      <c r="AU772" s="122" t="s">
        <v>2667</v>
      </c>
      <c r="AV772" s="122" t="s">
        <v>24</v>
      </c>
      <c r="AW772" s="122" t="s">
        <v>7630</v>
      </c>
      <c r="AX772" s="122"/>
      <c r="AY772" s="122"/>
      <c r="AZ772" s="754" t="s">
        <v>7631</v>
      </c>
      <c r="BA772" s="122">
        <v>1</v>
      </c>
      <c r="BB772" s="122">
        <v>1</v>
      </c>
      <c r="BC772" s="122" t="s">
        <v>7531</v>
      </c>
      <c r="BD772" s="754" t="s">
        <v>7532</v>
      </c>
      <c r="BE772" s="754"/>
      <c r="BF772" s="122" t="s">
        <v>1130</v>
      </c>
      <c r="BG772" s="122" t="s">
        <v>2798</v>
      </c>
      <c r="BH772" s="588"/>
      <c r="BI772" s="588"/>
      <c r="BJ772" s="161">
        <v>1</v>
      </c>
      <c r="BK772" s="161"/>
      <c r="BL772" s="161"/>
      <c r="BM772" s="161"/>
      <c r="BN772" s="161"/>
      <c r="BO772" s="161"/>
      <c r="BP772" s="161"/>
      <c r="BQ772" s="161"/>
      <c r="BR772" s="161"/>
      <c r="BS772" s="161"/>
      <c r="BT772" s="161"/>
      <c r="BU772" s="161"/>
      <c r="BV772" s="161"/>
      <c r="BW772" s="596" t="s">
        <v>3680</v>
      </c>
      <c r="BX772" s="157" t="s">
        <v>6595</v>
      </c>
      <c r="BY772" s="797" t="s">
        <v>7615</v>
      </c>
      <c r="BZ772" s="789" t="s">
        <v>803</v>
      </c>
      <c r="CA772" s="765">
        <v>4</v>
      </c>
      <c r="CB772" s="765" t="s">
        <v>7556</v>
      </c>
      <c r="CC772" s="765" t="s">
        <v>7384</v>
      </c>
      <c r="CD772" s="150" t="s">
        <v>1876</v>
      </c>
      <c r="CE772" s="150" t="s">
        <v>3659</v>
      </c>
      <c r="CF772" s="400" t="s">
        <v>7706</v>
      </c>
      <c r="CG772" s="145" t="s">
        <v>3665</v>
      </c>
      <c r="CH772" s="761" t="s">
        <v>1488</v>
      </c>
      <c r="CI772" s="150" t="s">
        <v>3658</v>
      </c>
      <c r="CJ772" s="150"/>
      <c r="CK772" s="150" t="s">
        <v>3237</v>
      </c>
      <c r="CL772" s="134" t="s">
        <v>6640</v>
      </c>
      <c r="CM772" s="259" t="s">
        <v>3679</v>
      </c>
      <c r="CN772" s="454" t="s">
        <v>6627</v>
      </c>
      <c r="CO772" s="828">
        <v>84</v>
      </c>
      <c r="CP772" s="828">
        <v>1</v>
      </c>
      <c r="CQ772" s="828">
        <v>1</v>
      </c>
      <c r="CR772" s="828">
        <v>1</v>
      </c>
      <c r="CS772" s="828">
        <v>1</v>
      </c>
      <c r="CT772" s="967"/>
      <c r="CU772" s="1289" t="s">
        <v>8104</v>
      </c>
      <c r="CV772" s="1295">
        <v>135</v>
      </c>
      <c r="CW772" s="1295">
        <v>124</v>
      </c>
      <c r="CX772" s="151" t="s">
        <v>3669</v>
      </c>
      <c r="CY772" s="150">
        <v>106.499</v>
      </c>
      <c r="CZ772" s="150" t="s">
        <v>24</v>
      </c>
      <c r="DA772" s="150">
        <f>120.587-Table66[[#This Row],[Data_Outcome1_M]]</f>
        <v>14.088000000000008</v>
      </c>
      <c r="DB772" s="151" t="s">
        <v>8074</v>
      </c>
      <c r="DC772" s="150">
        <v>21.635200000000001</v>
      </c>
      <c r="DD772" s="150" t="s">
        <v>24</v>
      </c>
      <c r="DE772" s="150">
        <f>24.3187-Table66[[#This Row],[Data_Outcome2_M]]</f>
        <v>2.6834999999999987</v>
      </c>
      <c r="DF772" s="1113" t="s">
        <v>3677</v>
      </c>
      <c r="DG772" s="1123" t="s">
        <v>3678</v>
      </c>
      <c r="DH772" s="1179"/>
      <c r="DI772" s="417"/>
      <c r="DJ772" s="1169"/>
      <c r="DK772" s="417"/>
      <c r="DL772" s="1166"/>
      <c r="DM772" s="500"/>
      <c r="DN772" s="1164"/>
      <c r="DO772" s="1150"/>
      <c r="DP772" s="290"/>
      <c r="DQ772" s="388"/>
      <c r="DR772" s="1168"/>
      <c r="DS772" s="865"/>
      <c r="DT772" s="1166"/>
      <c r="DU772" s="500"/>
      <c r="DV772" s="1164"/>
      <c r="DW772" s="500"/>
      <c r="DX772" s="1164"/>
      <c r="DY772" s="500"/>
      <c r="DZ772" s="1164"/>
      <c r="EA772" s="500"/>
      <c r="EB772" s="311"/>
      <c r="EC772" s="313"/>
      <c r="ED772" s="1164"/>
      <c r="EE772" s="500"/>
      <c r="EF772" s="1164"/>
      <c r="EG772" s="500"/>
      <c r="EH772" s="1164"/>
      <c r="EI772" s="500"/>
      <c r="EJ772" s="1164"/>
      <c r="EK772" s="500"/>
      <c r="EL772" s="311"/>
      <c r="EM772" s="313"/>
      <c r="EN772" s="1167"/>
      <c r="EO772" s="1165"/>
      <c r="EP772" s="500"/>
      <c r="EQ772" s="500"/>
      <c r="ER772" s="500"/>
      <c r="ES772" s="500"/>
      <c r="ET772" s="1153"/>
      <c r="EU772" s="500"/>
      <c r="EV772" s="500"/>
      <c r="EW772" s="500"/>
      <c r="EX772" s="665"/>
      <c r="EY772" s="665"/>
      <c r="EZ772" s="526"/>
      <c r="FA772" s="500"/>
      <c r="FB772" s="500"/>
      <c r="FC772" s="500"/>
      <c r="FD772" s="1153"/>
      <c r="FE772" s="122"/>
      <c r="FF772" s="122"/>
      <c r="FG772" s="122"/>
      <c r="FH772" s="303"/>
      <c r="FI772" s="303"/>
      <c r="FJ772" s="1165"/>
    </row>
    <row r="773" spans="1:166" ht="18" customHeight="1">
      <c r="A773" s="118" t="s">
        <v>955</v>
      </c>
      <c r="B773" s="616">
        <v>50</v>
      </c>
      <c r="C773" s="616"/>
      <c r="D773" s="616"/>
      <c r="E773" s="605" t="s">
        <v>2126</v>
      </c>
      <c r="F773" s="140" t="s">
        <v>2389</v>
      </c>
      <c r="G773" s="141">
        <v>2008</v>
      </c>
      <c r="H773" s="118">
        <v>18577419</v>
      </c>
      <c r="I773" s="118">
        <v>1</v>
      </c>
      <c r="J773" s="118"/>
      <c r="K773" s="118"/>
      <c r="L773" s="118">
        <v>1</v>
      </c>
      <c r="M773" s="118"/>
      <c r="N773" s="158">
        <v>1</v>
      </c>
      <c r="O773" s="142">
        <v>2</v>
      </c>
      <c r="P773" s="118" t="s">
        <v>22</v>
      </c>
      <c r="Q773" s="118" t="s">
        <v>24</v>
      </c>
      <c r="R773" s="118" t="s">
        <v>1130</v>
      </c>
      <c r="S773" s="118"/>
      <c r="T773" s="118" t="s">
        <v>1619</v>
      </c>
      <c r="U773" s="118" t="s">
        <v>803</v>
      </c>
      <c r="V773" s="118"/>
      <c r="W773" s="118" t="s">
        <v>1722</v>
      </c>
      <c r="X773" s="118"/>
      <c r="Y773" s="118"/>
      <c r="Z773" s="118"/>
      <c r="AA773" s="118" t="s">
        <v>1620</v>
      </c>
      <c r="AB773" s="118" t="s">
        <v>424</v>
      </c>
      <c r="AC773" s="145"/>
      <c r="AD773" s="573">
        <v>1</v>
      </c>
      <c r="AE773" s="573">
        <v>2</v>
      </c>
      <c r="AF773" s="159">
        <v>1</v>
      </c>
      <c r="AG773" s="155" t="s">
        <v>8163</v>
      </c>
      <c r="AH773" s="704" t="s">
        <v>7371</v>
      </c>
      <c r="AI773" s="122">
        <v>4</v>
      </c>
      <c r="AJ773" s="485"/>
      <c r="AK773" s="204" t="s">
        <v>8077</v>
      </c>
      <c r="AL773" s="192" t="s">
        <v>3565</v>
      </c>
      <c r="AM773" s="205">
        <v>1</v>
      </c>
      <c r="AN773" s="122">
        <f>Table66[[#This Row],[Data_Subjects_n_ptsd]]+Table66[[#This Row],[Data_Subjects_n_control]]</f>
        <v>29</v>
      </c>
      <c r="AO773" s="122">
        <f>14</f>
        <v>14</v>
      </c>
      <c r="AP773" s="500">
        <v>15</v>
      </c>
      <c r="AQ773" s="500" t="s">
        <v>803</v>
      </c>
      <c r="AR773" s="122" t="s">
        <v>803</v>
      </c>
      <c r="AS773" s="122" t="s">
        <v>2667</v>
      </c>
      <c r="AT773" s="122" t="s">
        <v>24</v>
      </c>
      <c r="AU773" s="122" t="s">
        <v>2667</v>
      </c>
      <c r="AV773" s="122" t="s">
        <v>24</v>
      </c>
      <c r="AW773" s="122" t="s">
        <v>7630</v>
      </c>
      <c r="AX773" s="122"/>
      <c r="AY773" s="122"/>
      <c r="AZ773" s="754" t="s">
        <v>7631</v>
      </c>
      <c r="BA773" s="122">
        <v>1</v>
      </c>
      <c r="BB773" s="122">
        <v>1</v>
      </c>
      <c r="BC773" s="122" t="s">
        <v>7531</v>
      </c>
      <c r="BD773" s="754" t="s">
        <v>7532</v>
      </c>
      <c r="BE773" s="754"/>
      <c r="BF773" s="122" t="s">
        <v>1130</v>
      </c>
      <c r="BG773" s="122" t="s">
        <v>2798</v>
      </c>
      <c r="BH773" s="588"/>
      <c r="BI773" s="588"/>
      <c r="BJ773" s="161">
        <v>1</v>
      </c>
      <c r="BK773" s="161"/>
      <c r="BL773" s="161"/>
      <c r="BM773" s="161"/>
      <c r="BN773" s="161"/>
      <c r="BO773" s="161"/>
      <c r="BP773" s="161"/>
      <c r="BQ773" s="161"/>
      <c r="BR773" s="161"/>
      <c r="BS773" s="161"/>
      <c r="BT773" s="161"/>
      <c r="BU773" s="161"/>
      <c r="BV773" s="161"/>
      <c r="BW773" s="596" t="s">
        <v>3680</v>
      </c>
      <c r="BX773" s="157" t="s">
        <v>6595</v>
      </c>
      <c r="BY773" s="797" t="s">
        <v>7615</v>
      </c>
      <c r="BZ773" s="789" t="s">
        <v>803</v>
      </c>
      <c r="CA773" s="765">
        <v>4</v>
      </c>
      <c r="CB773" s="765" t="s">
        <v>7556</v>
      </c>
      <c r="CC773" s="765" t="s">
        <v>7384</v>
      </c>
      <c r="CD773" s="150" t="s">
        <v>1876</v>
      </c>
      <c r="CE773" s="150" t="s">
        <v>3659</v>
      </c>
      <c r="CF773" s="400" t="s">
        <v>7706</v>
      </c>
      <c r="CG773" s="145" t="s">
        <v>3665</v>
      </c>
      <c r="CH773" s="761" t="s">
        <v>1488</v>
      </c>
      <c r="CI773" s="150" t="s">
        <v>3658</v>
      </c>
      <c r="CJ773" s="150"/>
      <c r="CK773" s="150" t="s">
        <v>3237</v>
      </c>
      <c r="CL773" s="134" t="s">
        <v>6640</v>
      </c>
      <c r="CM773" s="259" t="s">
        <v>3679</v>
      </c>
      <c r="CN773" s="454" t="s">
        <v>6627</v>
      </c>
      <c r="CO773" s="828">
        <v>84</v>
      </c>
      <c r="CP773" s="828">
        <v>1</v>
      </c>
      <c r="CQ773" s="828">
        <v>2</v>
      </c>
      <c r="CR773" s="828">
        <v>1</v>
      </c>
      <c r="CS773" s="828">
        <v>1</v>
      </c>
      <c r="CT773" s="967"/>
      <c r="CU773" s="1289" t="s">
        <v>8104</v>
      </c>
      <c r="CV773" s="1295">
        <v>135</v>
      </c>
      <c r="CW773" s="1295">
        <v>125</v>
      </c>
      <c r="CX773" s="151" t="s">
        <v>3669</v>
      </c>
      <c r="CY773" s="150">
        <v>106.499</v>
      </c>
      <c r="CZ773" s="150" t="s">
        <v>24</v>
      </c>
      <c r="DA773" s="150">
        <f>120.587-Table66[[#This Row],[Data_Outcome1_M]]</f>
        <v>14.088000000000008</v>
      </c>
      <c r="DB773" s="151" t="s">
        <v>8073</v>
      </c>
      <c r="DC773" s="150">
        <v>12.2432</v>
      </c>
      <c r="DD773" s="150" t="s">
        <v>24</v>
      </c>
      <c r="DE773" s="150">
        <f>14.5912-Table66[[#This Row],[Data_Outcome2_M]]</f>
        <v>2.3480000000000008</v>
      </c>
      <c r="DF773" s="1113" t="s">
        <v>3677</v>
      </c>
      <c r="DG773" s="1123" t="s">
        <v>3678</v>
      </c>
      <c r="DH773" s="526"/>
      <c r="DI773" s="122"/>
      <c r="DJ773" s="1164"/>
      <c r="DK773" s="122"/>
      <c r="DL773" s="1166"/>
      <c r="DM773" s="1164"/>
      <c r="DN773" s="1164"/>
      <c r="DO773" s="1164"/>
      <c r="DP773" s="290"/>
      <c r="DQ773" s="291"/>
      <c r="DR773" s="280"/>
      <c r="DS773" s="865"/>
      <c r="DT773" s="1166"/>
      <c r="DU773" s="1164"/>
      <c r="DV773" s="1164"/>
      <c r="DW773" s="1164"/>
      <c r="DX773" s="1164"/>
      <c r="DY773" s="1164"/>
      <c r="DZ773" s="1164"/>
      <c r="EA773" s="1164"/>
      <c r="EB773" s="311"/>
      <c r="EC773" s="313"/>
      <c r="ED773" s="1164"/>
      <c r="EE773" s="500"/>
      <c r="EF773" s="1164"/>
      <c r="EG773" s="500"/>
      <c r="EH773" s="1164"/>
      <c r="EI773" s="1164"/>
      <c r="EJ773" s="1164"/>
      <c r="EK773" s="1164"/>
      <c r="EL773" s="311"/>
      <c r="EM773" s="313"/>
      <c r="EN773" s="1167"/>
      <c r="EO773" s="1165"/>
      <c r="EP773" s="1183"/>
      <c r="EQ773" s="500"/>
      <c r="ER773" s="1164"/>
      <c r="ES773" s="500"/>
      <c r="ET773" s="1153"/>
      <c r="EU773" s="1164"/>
      <c r="EV773" s="1164"/>
      <c r="EW773" s="1164"/>
      <c r="EX773" s="313"/>
      <c r="EY773" s="313"/>
      <c r="EZ773" s="1166"/>
      <c r="FA773" s="500"/>
      <c r="FB773" s="500"/>
      <c r="FC773" s="500"/>
      <c r="FD773" s="1153"/>
      <c r="FE773" s="1164"/>
      <c r="FF773" s="1164"/>
      <c r="FG773" s="1164"/>
      <c r="FH773" s="313"/>
      <c r="FI773" s="313"/>
      <c r="FJ773" s="1165"/>
    </row>
    <row r="774" spans="1:166" ht="18" customHeight="1">
      <c r="A774" s="118" t="s">
        <v>955</v>
      </c>
      <c r="B774" s="616">
        <v>50</v>
      </c>
      <c r="C774" s="616"/>
      <c r="D774" s="616"/>
      <c r="E774" s="605" t="s">
        <v>2126</v>
      </c>
      <c r="F774" s="140" t="s">
        <v>2389</v>
      </c>
      <c r="G774" s="141">
        <v>2008</v>
      </c>
      <c r="H774" s="118">
        <v>18577419</v>
      </c>
      <c r="I774" s="118">
        <v>1</v>
      </c>
      <c r="J774" s="118"/>
      <c r="K774" s="118"/>
      <c r="L774" s="118">
        <v>1</v>
      </c>
      <c r="M774" s="118"/>
      <c r="N774" s="158">
        <v>1</v>
      </c>
      <c r="O774" s="142">
        <v>2</v>
      </c>
      <c r="P774" s="118" t="s">
        <v>22</v>
      </c>
      <c r="Q774" s="118" t="s">
        <v>24</v>
      </c>
      <c r="R774" s="118" t="s">
        <v>1130</v>
      </c>
      <c r="S774" s="118"/>
      <c r="T774" s="118" t="s">
        <v>1619</v>
      </c>
      <c r="U774" s="118" t="s">
        <v>803</v>
      </c>
      <c r="V774" s="118"/>
      <c r="W774" s="118" t="s">
        <v>1722</v>
      </c>
      <c r="X774" s="118"/>
      <c r="Y774" s="118"/>
      <c r="Z774" s="118"/>
      <c r="AA774" s="118" t="s">
        <v>1620</v>
      </c>
      <c r="AB774" s="118" t="s">
        <v>424</v>
      </c>
      <c r="AC774" s="145"/>
      <c r="AD774" s="573">
        <v>1</v>
      </c>
      <c r="AE774" s="573">
        <v>2</v>
      </c>
      <c r="AF774" s="159">
        <v>1</v>
      </c>
      <c r="AG774" s="155" t="s">
        <v>8163</v>
      </c>
      <c r="AH774" s="704" t="s">
        <v>7371</v>
      </c>
      <c r="AI774" s="122">
        <v>4</v>
      </c>
      <c r="AJ774" s="485"/>
      <c r="AK774" s="204" t="s">
        <v>8077</v>
      </c>
      <c r="AL774" s="192" t="s">
        <v>3565</v>
      </c>
      <c r="AM774" s="205">
        <v>1</v>
      </c>
      <c r="AN774" s="122">
        <f>Table66[[#This Row],[Data_Subjects_n_ptsd]]+Table66[[#This Row],[Data_Subjects_n_control]]</f>
        <v>23</v>
      </c>
      <c r="AO774" s="122">
        <f>14</f>
        <v>14</v>
      </c>
      <c r="AP774" s="500">
        <v>9</v>
      </c>
      <c r="AQ774" s="500" t="s">
        <v>803</v>
      </c>
      <c r="AR774" s="122" t="s">
        <v>803</v>
      </c>
      <c r="AS774" s="122" t="s">
        <v>2667</v>
      </c>
      <c r="AT774" s="122" t="s">
        <v>24</v>
      </c>
      <c r="AU774" s="122" t="s">
        <v>2667</v>
      </c>
      <c r="AV774" s="122" t="s">
        <v>24</v>
      </c>
      <c r="AW774" s="122" t="s">
        <v>7630</v>
      </c>
      <c r="AX774" s="122"/>
      <c r="AY774" s="122"/>
      <c r="AZ774" s="754" t="s">
        <v>7631</v>
      </c>
      <c r="BA774" s="122">
        <v>1</v>
      </c>
      <c r="BB774" s="122">
        <v>1</v>
      </c>
      <c r="BC774" s="122" t="s">
        <v>7531</v>
      </c>
      <c r="BD774" s="754" t="s">
        <v>7532</v>
      </c>
      <c r="BE774" s="754"/>
      <c r="BF774" s="122" t="s">
        <v>1130</v>
      </c>
      <c r="BG774" s="122" t="s">
        <v>2798</v>
      </c>
      <c r="BH774" s="588"/>
      <c r="BI774" s="588"/>
      <c r="BJ774" s="161">
        <v>1</v>
      </c>
      <c r="BK774" s="161"/>
      <c r="BL774" s="161"/>
      <c r="BM774" s="161"/>
      <c r="BN774" s="161"/>
      <c r="BO774" s="161"/>
      <c r="BP774" s="161"/>
      <c r="BQ774" s="161"/>
      <c r="BR774" s="161"/>
      <c r="BS774" s="161"/>
      <c r="BT774" s="161"/>
      <c r="BU774" s="161"/>
      <c r="BV774" s="161"/>
      <c r="BW774" s="595" t="s">
        <v>3680</v>
      </c>
      <c r="BX774" s="157" t="s">
        <v>6595</v>
      </c>
      <c r="BY774" s="797" t="s">
        <v>7615</v>
      </c>
      <c r="BZ774" s="789" t="s">
        <v>803</v>
      </c>
      <c r="CA774" s="765">
        <v>4</v>
      </c>
      <c r="CB774" s="765" t="s">
        <v>7556</v>
      </c>
      <c r="CC774" s="765" t="s">
        <v>7384</v>
      </c>
      <c r="CD774" s="150" t="s">
        <v>1876</v>
      </c>
      <c r="CE774" s="150" t="s">
        <v>3659</v>
      </c>
      <c r="CF774" s="400" t="s">
        <v>7707</v>
      </c>
      <c r="CG774" s="150" t="s">
        <v>3664</v>
      </c>
      <c r="CH774" s="753" t="s">
        <v>1488</v>
      </c>
      <c r="CI774" s="150" t="s">
        <v>3658</v>
      </c>
      <c r="CJ774" s="150"/>
      <c r="CK774" s="150" t="s">
        <v>3237</v>
      </c>
      <c r="CL774" s="134" t="s">
        <v>6640</v>
      </c>
      <c r="CM774" s="259" t="s">
        <v>3679</v>
      </c>
      <c r="CN774" s="454" t="s">
        <v>6627</v>
      </c>
      <c r="CO774" s="828">
        <v>84</v>
      </c>
      <c r="CP774" s="828">
        <v>2</v>
      </c>
      <c r="CQ774" s="828">
        <v>1</v>
      </c>
      <c r="CR774" s="828">
        <v>1</v>
      </c>
      <c r="CS774" s="828">
        <v>1</v>
      </c>
      <c r="CT774" s="967"/>
      <c r="CU774" s="1289" t="s">
        <v>8104</v>
      </c>
      <c r="CV774" s="1295">
        <v>136</v>
      </c>
      <c r="CW774" s="1295">
        <v>126</v>
      </c>
      <c r="CX774" s="429" t="s">
        <v>3670</v>
      </c>
      <c r="CY774" s="150">
        <v>109.182</v>
      </c>
      <c r="CZ774" s="150" t="s">
        <v>24</v>
      </c>
      <c r="DA774" s="150">
        <f>125.618-Table66[[#This Row],[Data_Outcome1_M]]</f>
        <v>16.435999999999993</v>
      </c>
      <c r="DB774" s="151" t="s">
        <v>8075</v>
      </c>
      <c r="DC774" s="150">
        <v>28.679200000000002</v>
      </c>
      <c r="DD774" s="150" t="s">
        <v>24</v>
      </c>
      <c r="DE774" s="150">
        <f>32.7044-Table66[[#This Row],[Data_Outcome2_M]]</f>
        <v>4.0251999999999981</v>
      </c>
      <c r="DF774" s="280" t="s">
        <v>3677</v>
      </c>
      <c r="DG774" s="310" t="s">
        <v>3678</v>
      </c>
      <c r="DH774" s="121"/>
      <c r="DI774" s="121"/>
      <c r="DJ774" s="1169"/>
      <c r="DK774" s="121"/>
      <c r="DL774" s="1166"/>
      <c r="DM774" s="1164"/>
      <c r="DN774" s="1164"/>
      <c r="DO774" s="1164"/>
      <c r="DP774" s="290"/>
      <c r="DQ774" s="291"/>
      <c r="DR774" s="280"/>
      <c r="DS774" s="865"/>
      <c r="DT774" s="1166"/>
      <c r="DU774" s="1164"/>
      <c r="DV774" s="1164"/>
      <c r="DW774" s="1164"/>
      <c r="DX774" s="1164"/>
      <c r="DY774" s="1164"/>
      <c r="DZ774" s="1164"/>
      <c r="EA774" s="1164"/>
      <c r="EB774" s="311"/>
      <c r="EC774" s="313"/>
      <c r="ED774" s="1164"/>
      <c r="EE774" s="500"/>
      <c r="EF774" s="1164"/>
      <c r="EG774" s="500"/>
      <c r="EH774" s="1164"/>
      <c r="EI774" s="1164"/>
      <c r="EJ774" s="1164"/>
      <c r="EK774" s="1164"/>
      <c r="EL774" s="311"/>
      <c r="EM774" s="313"/>
      <c r="EN774" s="1167"/>
      <c r="EO774" s="1165"/>
      <c r="EP774" s="1183"/>
      <c r="EQ774" s="500"/>
      <c r="ER774" s="1164"/>
      <c r="ES774" s="500"/>
      <c r="ET774" s="1153"/>
      <c r="EU774" s="1164"/>
      <c r="EV774" s="1164"/>
      <c r="EW774" s="1164"/>
      <c r="EX774" s="313"/>
      <c r="EY774" s="313"/>
      <c r="EZ774" s="1166"/>
      <c r="FA774" s="500"/>
      <c r="FB774" s="500"/>
      <c r="FC774" s="500"/>
      <c r="FD774" s="1153"/>
      <c r="FE774" s="1164"/>
      <c r="FF774" s="1164"/>
      <c r="FG774" s="1164"/>
      <c r="FH774" s="313"/>
      <c r="FI774" s="313"/>
      <c r="FJ774" s="1165"/>
    </row>
    <row r="775" spans="1:166" ht="18" customHeight="1">
      <c r="A775" s="118" t="s">
        <v>955</v>
      </c>
      <c r="B775" s="616">
        <v>50</v>
      </c>
      <c r="C775" s="616"/>
      <c r="D775" s="616"/>
      <c r="E775" s="605" t="s">
        <v>2126</v>
      </c>
      <c r="F775" s="140" t="s">
        <v>2389</v>
      </c>
      <c r="G775" s="141">
        <v>2008</v>
      </c>
      <c r="H775" s="118">
        <v>18577419</v>
      </c>
      <c r="I775" s="118">
        <v>1</v>
      </c>
      <c r="J775" s="118"/>
      <c r="K775" s="118"/>
      <c r="L775" s="118">
        <v>1</v>
      </c>
      <c r="M775" s="118"/>
      <c r="N775" s="158">
        <v>1</v>
      </c>
      <c r="O775" s="142">
        <v>2</v>
      </c>
      <c r="P775" s="118" t="s">
        <v>22</v>
      </c>
      <c r="Q775" s="118" t="s">
        <v>24</v>
      </c>
      <c r="R775" s="118" t="s">
        <v>1130</v>
      </c>
      <c r="S775" s="118"/>
      <c r="T775" s="118" t="s">
        <v>1619</v>
      </c>
      <c r="U775" s="118" t="s">
        <v>803</v>
      </c>
      <c r="V775" s="118"/>
      <c r="W775" s="118" t="s">
        <v>1722</v>
      </c>
      <c r="X775" s="118"/>
      <c r="Y775" s="118"/>
      <c r="Z775" s="118"/>
      <c r="AA775" s="118" t="s">
        <v>1620</v>
      </c>
      <c r="AB775" s="118" t="s">
        <v>424</v>
      </c>
      <c r="AC775" s="145"/>
      <c r="AD775" s="573">
        <v>1</v>
      </c>
      <c r="AE775" s="573">
        <v>2</v>
      </c>
      <c r="AF775" s="159">
        <v>1</v>
      </c>
      <c r="AG775" s="155" t="s">
        <v>8163</v>
      </c>
      <c r="AH775" s="704" t="s">
        <v>7371</v>
      </c>
      <c r="AI775" s="122">
        <v>4</v>
      </c>
      <c r="AJ775" s="485"/>
      <c r="AK775" s="204" t="s">
        <v>8077</v>
      </c>
      <c r="AL775" s="192" t="s">
        <v>3565</v>
      </c>
      <c r="AM775" s="205">
        <v>1</v>
      </c>
      <c r="AN775" s="122">
        <f>Table66[[#This Row],[Data_Subjects_n_ptsd]]+Table66[[#This Row],[Data_Subjects_n_control]]</f>
        <v>29</v>
      </c>
      <c r="AO775" s="122">
        <f>14</f>
        <v>14</v>
      </c>
      <c r="AP775" s="500">
        <v>15</v>
      </c>
      <c r="AQ775" s="500" t="s">
        <v>803</v>
      </c>
      <c r="AR775" s="122" t="s">
        <v>803</v>
      </c>
      <c r="AS775" s="122" t="s">
        <v>2667</v>
      </c>
      <c r="AT775" s="122" t="s">
        <v>24</v>
      </c>
      <c r="AU775" s="122" t="s">
        <v>2667</v>
      </c>
      <c r="AV775" s="122" t="s">
        <v>24</v>
      </c>
      <c r="AW775" s="122" t="s">
        <v>7630</v>
      </c>
      <c r="AX775" s="122"/>
      <c r="AY775" s="122"/>
      <c r="AZ775" s="754" t="s">
        <v>7631</v>
      </c>
      <c r="BA775" s="122">
        <v>1</v>
      </c>
      <c r="BB775" s="122">
        <v>1</v>
      </c>
      <c r="BC775" s="122" t="s">
        <v>7531</v>
      </c>
      <c r="BD775" s="754" t="s">
        <v>7532</v>
      </c>
      <c r="BE775" s="754"/>
      <c r="BF775" s="122" t="s">
        <v>1130</v>
      </c>
      <c r="BG775" s="122" t="s">
        <v>2798</v>
      </c>
      <c r="BH775" s="588"/>
      <c r="BI775" s="588"/>
      <c r="BJ775" s="161">
        <v>1</v>
      </c>
      <c r="BK775" s="161"/>
      <c r="BL775" s="161"/>
      <c r="BM775" s="161"/>
      <c r="BN775" s="161"/>
      <c r="BO775" s="161"/>
      <c r="BP775" s="161"/>
      <c r="BQ775" s="161"/>
      <c r="BR775" s="161"/>
      <c r="BS775" s="161"/>
      <c r="BT775" s="161"/>
      <c r="BU775" s="161"/>
      <c r="BV775" s="161"/>
      <c r="BW775" s="595" t="s">
        <v>3680</v>
      </c>
      <c r="BX775" s="157" t="s">
        <v>6595</v>
      </c>
      <c r="BY775" s="797" t="s">
        <v>7615</v>
      </c>
      <c r="BZ775" s="789" t="s">
        <v>803</v>
      </c>
      <c r="CA775" s="765">
        <v>4</v>
      </c>
      <c r="CB775" s="765" t="s">
        <v>7556</v>
      </c>
      <c r="CC775" s="765" t="s">
        <v>7384</v>
      </c>
      <c r="CD775" s="150" t="s">
        <v>1876</v>
      </c>
      <c r="CE775" s="150" t="s">
        <v>3659</v>
      </c>
      <c r="CF775" s="400" t="s">
        <v>7707</v>
      </c>
      <c r="CG775" s="150" t="s">
        <v>3664</v>
      </c>
      <c r="CH775" s="753" t="s">
        <v>1488</v>
      </c>
      <c r="CI775" s="150" t="s">
        <v>3658</v>
      </c>
      <c r="CJ775" s="150"/>
      <c r="CK775" s="150" t="s">
        <v>3237</v>
      </c>
      <c r="CL775" s="134" t="s">
        <v>6640</v>
      </c>
      <c r="CM775" s="259" t="s">
        <v>3679</v>
      </c>
      <c r="CN775" s="454" t="s">
        <v>6627</v>
      </c>
      <c r="CO775" s="828">
        <v>84</v>
      </c>
      <c r="CP775" s="828">
        <v>2</v>
      </c>
      <c r="CQ775" s="828">
        <v>2</v>
      </c>
      <c r="CR775" s="828">
        <v>1</v>
      </c>
      <c r="CS775" s="828">
        <v>1</v>
      </c>
      <c r="CT775" s="967"/>
      <c r="CU775" s="1289" t="s">
        <v>8104</v>
      </c>
      <c r="CV775" s="1295">
        <v>136</v>
      </c>
      <c r="CW775" s="1295">
        <v>127</v>
      </c>
      <c r="CX775" s="429" t="s">
        <v>3670</v>
      </c>
      <c r="CY775" s="266">
        <v>109.182</v>
      </c>
      <c r="CZ775" s="150" t="s">
        <v>24</v>
      </c>
      <c r="DA775" s="266">
        <f>125.618-Table66[[#This Row],[Data_Outcome1_M]]</f>
        <v>16.435999999999993</v>
      </c>
      <c r="DB775" s="151" t="s">
        <v>8076</v>
      </c>
      <c r="DC775" s="150">
        <v>19.622599999999998</v>
      </c>
      <c r="DD775" s="150" t="s">
        <v>24</v>
      </c>
      <c r="DE775" s="150">
        <f>23.3124-Table66[[#This Row],[Data_Outcome2_M]]</f>
        <v>3.6898000000000017</v>
      </c>
      <c r="DF775" s="280" t="s">
        <v>3677</v>
      </c>
      <c r="DG775" s="310" t="s">
        <v>3678</v>
      </c>
      <c r="DH775" s="526"/>
      <c r="DI775" s="122"/>
      <c r="DJ775" s="1164"/>
      <c r="DK775" s="122"/>
      <c r="DL775" s="1166"/>
      <c r="DM775" s="1164"/>
      <c r="DN775" s="1164"/>
      <c r="DO775" s="1164"/>
      <c r="DP775" s="290"/>
      <c r="DQ775" s="291"/>
      <c r="DR775" s="1168"/>
      <c r="DS775" s="865"/>
      <c r="DT775" s="1166"/>
      <c r="DU775" s="1164"/>
      <c r="DV775" s="1164"/>
      <c r="DW775" s="1164"/>
      <c r="DX775" s="1164"/>
      <c r="DY775" s="1164"/>
      <c r="DZ775" s="1164"/>
      <c r="EA775" s="1164"/>
      <c r="EB775" s="311"/>
      <c r="EC775" s="313"/>
      <c r="ED775" s="1164"/>
      <c r="EE775" s="500"/>
      <c r="EF775" s="1164"/>
      <c r="EG775" s="500"/>
      <c r="EH775" s="1164"/>
      <c r="EI775" s="1164"/>
      <c r="EJ775" s="1164"/>
      <c r="EK775" s="1164"/>
      <c r="EL775" s="311"/>
      <c r="EM775" s="313"/>
      <c r="EN775" s="1167"/>
      <c r="EO775" s="1165"/>
      <c r="EP775" s="1183"/>
      <c r="EQ775" s="500"/>
      <c r="ER775" s="1164"/>
      <c r="ES775" s="500"/>
      <c r="ET775" s="1153"/>
      <c r="EU775" s="1164"/>
      <c r="EV775" s="1164"/>
      <c r="EW775" s="1164"/>
      <c r="EX775" s="313"/>
      <c r="EY775" s="313"/>
      <c r="EZ775" s="1166"/>
      <c r="FA775" s="500"/>
      <c r="FB775" s="500"/>
      <c r="FC775" s="500"/>
      <c r="FD775" s="1153"/>
      <c r="FE775" s="1164"/>
      <c r="FF775" s="1164"/>
      <c r="FG775" s="1164"/>
      <c r="FH775" s="313"/>
      <c r="FI775" s="313"/>
      <c r="FJ775" s="1165"/>
    </row>
    <row r="776" spans="1:166" ht="18" hidden="1" customHeight="1">
      <c r="A776" s="153" t="s">
        <v>363</v>
      </c>
      <c r="B776" s="618">
        <v>259</v>
      </c>
      <c r="C776" s="618">
        <v>92</v>
      </c>
      <c r="D776" s="618"/>
      <c r="E776" s="610" t="s">
        <v>2047</v>
      </c>
      <c r="F776" s="368" t="s">
        <v>2287</v>
      </c>
      <c r="G776" s="369">
        <v>2007</v>
      </c>
      <c r="H776" s="153">
        <v>16445942</v>
      </c>
      <c r="I776" s="153">
        <v>1</v>
      </c>
      <c r="J776" s="370"/>
      <c r="K776" s="371"/>
      <c r="L776" s="153">
        <v>1</v>
      </c>
      <c r="M776" s="153"/>
      <c r="N776" s="153">
        <v>1</v>
      </c>
      <c r="O776" s="153">
        <v>1</v>
      </c>
      <c r="P776" s="153" t="s">
        <v>73</v>
      </c>
      <c r="Q776" s="153" t="s">
        <v>1147</v>
      </c>
      <c r="R776" s="153" t="s">
        <v>25</v>
      </c>
      <c r="S776" s="153">
        <v>1</v>
      </c>
      <c r="T776" s="153"/>
      <c r="U776" s="153"/>
      <c r="V776" s="153"/>
      <c r="W776" s="153" t="s">
        <v>934</v>
      </c>
      <c r="X776" s="153"/>
      <c r="Y776" s="153"/>
      <c r="Z776" s="153"/>
      <c r="AA776" s="153"/>
      <c r="AB776" s="153" t="s">
        <v>937</v>
      </c>
      <c r="AC776" s="536"/>
      <c r="AD776" s="536">
        <v>1</v>
      </c>
      <c r="AE776" s="536">
        <v>2</v>
      </c>
      <c r="AF776" s="165">
        <v>0</v>
      </c>
      <c r="AG776" s="166" t="s">
        <v>7476</v>
      </c>
      <c r="AH776" s="509" t="s">
        <v>7264</v>
      </c>
      <c r="AI776" s="120">
        <v>2</v>
      </c>
      <c r="AJ776" s="120" t="s">
        <v>5973</v>
      </c>
      <c r="AK776" s="206" t="s">
        <v>5963</v>
      </c>
      <c r="AL776" s="372">
        <v>0</v>
      </c>
      <c r="AM776" s="207" t="s">
        <v>24</v>
      </c>
      <c r="AN776" s="120">
        <f>Table66[[#This Row],[Data_Subjects_n_ptsd]]+Table66[[#This Row],[Data_Subjects_n_control]]</f>
        <v>33</v>
      </c>
      <c r="AO776" s="120">
        <v>17</v>
      </c>
      <c r="AP776" s="683">
        <v>16</v>
      </c>
      <c r="AQ776" s="683" t="s">
        <v>803</v>
      </c>
      <c r="AR776" s="120" t="s">
        <v>803</v>
      </c>
      <c r="AS776" s="120">
        <v>60.6</v>
      </c>
      <c r="AT776" s="120">
        <v>7</v>
      </c>
      <c r="AU776" s="120">
        <v>65.099999999999994</v>
      </c>
      <c r="AV776" s="120">
        <v>9.9</v>
      </c>
      <c r="AW776" s="120" t="s">
        <v>1874</v>
      </c>
      <c r="AX776" s="120"/>
      <c r="AY776" s="120"/>
      <c r="AZ776" s="755" t="s">
        <v>1874</v>
      </c>
      <c r="BA776" s="120" t="s">
        <v>24</v>
      </c>
      <c r="BB776" s="120" t="s">
        <v>24</v>
      </c>
      <c r="BC776" s="120" t="s">
        <v>2423</v>
      </c>
      <c r="BD776" s="755"/>
      <c r="BE776" s="755"/>
      <c r="BF776" s="120" t="s">
        <v>3835</v>
      </c>
      <c r="BG776" s="120" t="s">
        <v>5964</v>
      </c>
      <c r="BH776" s="377"/>
      <c r="BI776" s="377"/>
      <c r="BJ776" s="373"/>
      <c r="BK776" s="373"/>
      <c r="BL776" s="373" t="s">
        <v>4727</v>
      </c>
      <c r="BM776" s="373"/>
      <c r="BN776" s="373"/>
      <c r="BO776" s="373"/>
      <c r="BP776" s="373">
        <v>1</v>
      </c>
      <c r="BQ776" s="373"/>
      <c r="BR776" s="373" t="s">
        <v>4727</v>
      </c>
      <c r="BS776" s="373"/>
      <c r="BT776" s="373" t="s">
        <v>4727</v>
      </c>
      <c r="BU776" s="373"/>
      <c r="BV776" s="373"/>
      <c r="BW776" s="599" t="s">
        <v>5968</v>
      </c>
      <c r="BX776" s="374" t="s">
        <v>6609</v>
      </c>
      <c r="BY776" s="374"/>
      <c r="BZ776" s="374"/>
      <c r="CA776" s="511"/>
      <c r="CB776" s="511"/>
      <c r="CC776" s="511"/>
      <c r="CD776" s="120" t="s">
        <v>1876</v>
      </c>
      <c r="CE776" s="120">
        <v>2</v>
      </c>
      <c r="CF776" s="120"/>
      <c r="CG776" s="120" t="s">
        <v>5965</v>
      </c>
      <c r="CH776" s="755"/>
      <c r="CI776" s="120" t="s">
        <v>24</v>
      </c>
      <c r="CJ776" s="120"/>
      <c r="CK776" s="120" t="s">
        <v>5970</v>
      </c>
      <c r="CL776" s="120"/>
      <c r="CM776" s="375" t="s">
        <v>5971</v>
      </c>
      <c r="CN776" s="380">
        <v>0</v>
      </c>
      <c r="CO776" s="380"/>
      <c r="CP776" s="380"/>
      <c r="CQ776" s="380"/>
      <c r="CR776" s="380"/>
      <c r="CS776" s="380"/>
      <c r="CT776" s="380"/>
      <c r="CU776" s="380"/>
      <c r="CV776" s="380"/>
      <c r="CW776" s="380"/>
      <c r="CX776" s="718" t="s">
        <v>5966</v>
      </c>
      <c r="CY776" s="683">
        <v>77.3</v>
      </c>
      <c r="CZ776" s="120">
        <v>4.0999999999999996</v>
      </c>
      <c r="DA776" s="683" t="s">
        <v>24</v>
      </c>
      <c r="DB776" s="719" t="s">
        <v>5967</v>
      </c>
      <c r="DC776" s="120">
        <v>92.1</v>
      </c>
      <c r="DD776" s="120">
        <v>4.3</v>
      </c>
      <c r="DE776" s="120" t="s">
        <v>24</v>
      </c>
      <c r="DF776" s="621" t="s">
        <v>5969</v>
      </c>
      <c r="DG776" s="509" t="s">
        <v>5972</v>
      </c>
      <c r="DH776" s="727" t="s">
        <v>24</v>
      </c>
      <c r="DI776" s="384" t="s">
        <v>24</v>
      </c>
      <c r="DJ776" s="384"/>
      <c r="DK776" s="384"/>
      <c r="DL776" s="727"/>
      <c r="DM776" s="384"/>
      <c r="DN776" s="384"/>
      <c r="DO776" s="384"/>
      <c r="DP776" s="375"/>
      <c r="DQ776" s="377"/>
      <c r="DR776" s="1182"/>
      <c r="DS776" s="956"/>
      <c r="DT776" s="727"/>
      <c r="DU776" s="384"/>
      <c r="DV776" s="384"/>
      <c r="DW776" s="384"/>
      <c r="DX776" s="384"/>
      <c r="DY776" s="384"/>
      <c r="DZ776" s="384"/>
      <c r="EA776" s="384"/>
      <c r="EB776" s="1012"/>
      <c r="EC776" s="384"/>
      <c r="ED776" s="384"/>
      <c r="EE776" s="683"/>
      <c r="EF776" s="384"/>
      <c r="EG776" s="683"/>
      <c r="EH776" s="384"/>
      <c r="EI776" s="384"/>
      <c r="EJ776" s="384"/>
      <c r="EK776" s="384"/>
      <c r="EL776" s="1012"/>
      <c r="EM776" s="384"/>
      <c r="EN776" s="1012"/>
      <c r="EO776" s="384"/>
      <c r="EP776" s="378"/>
      <c r="EQ776" s="683"/>
      <c r="ER776" s="384"/>
      <c r="ES776" s="683"/>
      <c r="ET776" s="719"/>
      <c r="EU776" s="384"/>
      <c r="EV776" s="384"/>
      <c r="EW776" s="384"/>
      <c r="EX776" s="384"/>
      <c r="EY776" s="384"/>
      <c r="EZ776" s="727"/>
      <c r="FA776" s="683"/>
      <c r="FB776" s="683"/>
      <c r="FC776" s="683"/>
      <c r="FD776" s="719"/>
      <c r="FE776" s="384"/>
      <c r="FF776" s="384"/>
      <c r="FG776" s="384"/>
      <c r="FH776" s="384"/>
      <c r="FI776" s="384"/>
      <c r="FJ776" s="384"/>
    </row>
    <row r="777" spans="1:166" ht="18" hidden="1" customHeight="1">
      <c r="A777" s="153" t="s">
        <v>364</v>
      </c>
      <c r="B777" s="618">
        <v>260</v>
      </c>
      <c r="C777" s="618">
        <v>93</v>
      </c>
      <c r="D777" s="618"/>
      <c r="E777" s="610" t="s">
        <v>2047</v>
      </c>
      <c r="F777" s="368" t="s">
        <v>2288</v>
      </c>
      <c r="G777" s="369">
        <v>2005</v>
      </c>
      <c r="H777" s="153">
        <v>15962694</v>
      </c>
      <c r="I777" s="153">
        <v>1</v>
      </c>
      <c r="J777" s="370"/>
      <c r="K777" s="371"/>
      <c r="L777" s="153">
        <v>1</v>
      </c>
      <c r="M777" s="153"/>
      <c r="N777" s="153">
        <v>1</v>
      </c>
      <c r="O777" s="153">
        <v>1</v>
      </c>
      <c r="P777" s="153" t="s">
        <v>936</v>
      </c>
      <c r="Q777" s="153" t="s">
        <v>1147</v>
      </c>
      <c r="R777" s="153" t="s">
        <v>25</v>
      </c>
      <c r="S777" s="153">
        <v>1</v>
      </c>
      <c r="T777" s="153"/>
      <c r="U777" s="153"/>
      <c r="V777" s="153"/>
      <c r="W777" s="153" t="s">
        <v>935</v>
      </c>
      <c r="X777" s="153"/>
      <c r="Y777" s="153"/>
      <c r="Z777" s="153"/>
      <c r="AA777" s="153"/>
      <c r="AB777" s="153" t="s">
        <v>937</v>
      </c>
      <c r="AC777" s="536"/>
      <c r="AD777" s="536">
        <v>1</v>
      </c>
      <c r="AE777" s="536">
        <v>2</v>
      </c>
      <c r="AF777" s="165">
        <v>0</v>
      </c>
      <c r="AG777" s="166" t="s">
        <v>7477</v>
      </c>
      <c r="AH777" s="509">
        <v>0</v>
      </c>
      <c r="AI777" s="120">
        <v>2</v>
      </c>
      <c r="AJ777" s="120" t="s">
        <v>6078</v>
      </c>
      <c r="AK777" s="206" t="s">
        <v>6103</v>
      </c>
      <c r="AL777" s="372" t="s">
        <v>6101</v>
      </c>
      <c r="AM777" s="207">
        <v>0</v>
      </c>
      <c r="AN777" s="120" t="s">
        <v>6079</v>
      </c>
      <c r="AO777" s="120">
        <v>30</v>
      </c>
      <c r="AP777" s="120" t="s">
        <v>4369</v>
      </c>
      <c r="AQ777" s="120" t="s">
        <v>803</v>
      </c>
      <c r="AR777" s="120" t="s">
        <v>803</v>
      </c>
      <c r="AS777" s="120">
        <v>65.599999999999994</v>
      </c>
      <c r="AT777" s="120">
        <v>9.6999999999999993</v>
      </c>
      <c r="AU777" s="120" t="s">
        <v>5980</v>
      </c>
      <c r="AV777" s="120" t="s">
        <v>5981</v>
      </c>
      <c r="AW777" s="120" t="s">
        <v>5975</v>
      </c>
      <c r="AX777" s="120"/>
      <c r="AY777" s="120"/>
      <c r="AZ777" s="755" t="s">
        <v>1874</v>
      </c>
      <c r="BA777" s="120" t="s">
        <v>24</v>
      </c>
      <c r="BB777" s="120" t="s">
        <v>24</v>
      </c>
      <c r="BC777" s="120" t="s">
        <v>5974</v>
      </c>
      <c r="BD777" s="755"/>
      <c r="BE777" s="755"/>
      <c r="BF777" s="120" t="s">
        <v>3835</v>
      </c>
      <c r="BG777" s="120" t="s">
        <v>5976</v>
      </c>
      <c r="BH777" s="377"/>
      <c r="BI777" s="377"/>
      <c r="BJ777" s="373"/>
      <c r="BK777" s="373"/>
      <c r="BL777" s="373">
        <v>1</v>
      </c>
      <c r="BM777" s="373"/>
      <c r="BN777" s="373"/>
      <c r="BO777" s="373"/>
      <c r="BP777" s="373">
        <v>1</v>
      </c>
      <c r="BQ777" s="373"/>
      <c r="BR777" s="373"/>
      <c r="BS777" s="373"/>
      <c r="BT777" s="373" t="s">
        <v>4727</v>
      </c>
      <c r="BU777" s="373"/>
      <c r="BV777" s="373"/>
      <c r="BW777" s="599" t="s">
        <v>6083</v>
      </c>
      <c r="BX777" s="374" t="s">
        <v>6611</v>
      </c>
      <c r="BY777" s="374"/>
      <c r="BZ777" s="374"/>
      <c r="CA777" s="510">
        <v>2</v>
      </c>
      <c r="CB777" s="510"/>
      <c r="CC777" s="510" t="s">
        <v>24</v>
      </c>
      <c r="CD777" s="120" t="s">
        <v>1876</v>
      </c>
      <c r="CE777" s="120" t="s">
        <v>5977</v>
      </c>
      <c r="CF777" s="120"/>
      <c r="CG777" s="120" t="s">
        <v>5978</v>
      </c>
      <c r="CH777" s="755" t="s">
        <v>7313</v>
      </c>
      <c r="CI777" s="120" t="s">
        <v>24</v>
      </c>
      <c r="CJ777" s="120"/>
      <c r="CK777" s="384" t="s">
        <v>5979</v>
      </c>
      <c r="CL777" s="384"/>
      <c r="CM777" s="375" t="s">
        <v>6102</v>
      </c>
      <c r="CN777" s="380" t="s">
        <v>24</v>
      </c>
      <c r="CO777" s="380"/>
      <c r="CP777" s="380"/>
      <c r="CQ777" s="380"/>
      <c r="CR777" s="380"/>
      <c r="CS777" s="380"/>
      <c r="CT777" s="380"/>
      <c r="CU777" s="380"/>
      <c r="CV777" s="380"/>
      <c r="CW777" s="380"/>
      <c r="CX777" s="376" t="s">
        <v>5982</v>
      </c>
      <c r="CY777" s="683">
        <v>5.2</v>
      </c>
      <c r="CZ777" s="120">
        <v>1.7</v>
      </c>
      <c r="DA777" s="683" t="s">
        <v>24</v>
      </c>
      <c r="DB777" s="373" t="s">
        <v>5984</v>
      </c>
      <c r="DC777" s="683">
        <v>5.5</v>
      </c>
      <c r="DD777" s="120">
        <v>1.8</v>
      </c>
      <c r="DE777" s="120" t="s">
        <v>24</v>
      </c>
      <c r="DF777" s="515" t="s">
        <v>6080</v>
      </c>
      <c r="DG777" s="513" t="s">
        <v>6081</v>
      </c>
      <c r="DH777" s="718" t="s">
        <v>5985</v>
      </c>
      <c r="DI777" s="683">
        <v>5.2</v>
      </c>
      <c r="DJ777" s="384">
        <v>1.3</v>
      </c>
      <c r="DK777" s="683" t="s">
        <v>24</v>
      </c>
      <c r="DL777" s="373" t="s">
        <v>5983</v>
      </c>
      <c r="DM777" s="120">
        <v>36.700000000000003</v>
      </c>
      <c r="DN777" s="384">
        <v>10.4</v>
      </c>
      <c r="DO777" s="120" t="s">
        <v>24</v>
      </c>
      <c r="DP777" s="375" t="s">
        <v>6084</v>
      </c>
      <c r="DQ777" s="377" t="s">
        <v>6085</v>
      </c>
      <c r="DR777" s="1182" t="s">
        <v>6082</v>
      </c>
      <c r="DS777" s="956" t="s">
        <v>24</v>
      </c>
      <c r="DT777" s="727" t="s">
        <v>5986</v>
      </c>
      <c r="DU777" s="683">
        <v>41.9</v>
      </c>
      <c r="DV777" s="384">
        <v>9.4</v>
      </c>
      <c r="DW777" s="683" t="s">
        <v>24</v>
      </c>
      <c r="DX777" s="727" t="s">
        <v>5987</v>
      </c>
      <c r="DY777" s="384">
        <v>47.1</v>
      </c>
      <c r="DZ777" s="384">
        <v>7.6</v>
      </c>
      <c r="EA777" s="384" t="s">
        <v>24</v>
      </c>
      <c r="EB777" s="1012" t="s">
        <v>24</v>
      </c>
      <c r="EC777" s="384" t="s">
        <v>24</v>
      </c>
      <c r="ED777" s="384" t="s">
        <v>5988</v>
      </c>
      <c r="EE777" s="683">
        <v>4.5</v>
      </c>
      <c r="EF777" s="384">
        <v>1.9</v>
      </c>
      <c r="EG777" s="683" t="s">
        <v>24</v>
      </c>
      <c r="EH777" s="384" t="s">
        <v>5989</v>
      </c>
      <c r="EI777" s="384">
        <v>4.7</v>
      </c>
      <c r="EJ777" s="384">
        <v>1.9</v>
      </c>
      <c r="EK777" s="384" t="s">
        <v>24</v>
      </c>
      <c r="EL777" s="1012" t="s">
        <v>6095</v>
      </c>
      <c r="EM777" s="384" t="s">
        <v>6086</v>
      </c>
      <c r="EN777" s="1012" t="s">
        <v>24</v>
      </c>
      <c r="EO777" s="384" t="s">
        <v>24</v>
      </c>
      <c r="EP777" s="683" t="s">
        <v>5990</v>
      </c>
      <c r="EQ777" s="683">
        <v>6.5</v>
      </c>
      <c r="ER777" s="683">
        <v>2.2000000000000002</v>
      </c>
      <c r="ES777" s="683" t="s">
        <v>24</v>
      </c>
      <c r="ET777" s="719" t="s">
        <v>5991</v>
      </c>
      <c r="EU777" s="120">
        <v>6.5</v>
      </c>
      <c r="EV777" s="384">
        <v>2.4</v>
      </c>
      <c r="EW777" s="384" t="s">
        <v>24</v>
      </c>
      <c r="EX777" s="384" t="s">
        <v>6087</v>
      </c>
      <c r="EY777" s="384" t="s">
        <v>6088</v>
      </c>
      <c r="EZ777" s="376" t="s">
        <v>5992</v>
      </c>
      <c r="FA777" s="120">
        <v>8.1999999999999993</v>
      </c>
      <c r="FB777" s="120">
        <v>3.1</v>
      </c>
      <c r="FC777" s="120" t="s">
        <v>24</v>
      </c>
      <c r="FD777" s="376" t="s">
        <v>5993</v>
      </c>
      <c r="FE777" s="120">
        <v>9.9</v>
      </c>
      <c r="FF777" s="384">
        <v>2.4</v>
      </c>
      <c r="FG777" s="384" t="s">
        <v>24</v>
      </c>
      <c r="FH777" s="384" t="s">
        <v>24</v>
      </c>
      <c r="FI777" s="384" t="s">
        <v>24</v>
      </c>
      <c r="FJ777" s="384" t="s">
        <v>24</v>
      </c>
    </row>
    <row r="778" spans="1:166" ht="18" hidden="1" customHeight="1">
      <c r="A778" s="835" t="s">
        <v>105</v>
      </c>
      <c r="B778" s="836">
        <v>78</v>
      </c>
      <c r="C778" s="836">
        <v>10</v>
      </c>
      <c r="D778" s="836"/>
      <c r="E778" s="837" t="s">
        <v>1933</v>
      </c>
      <c r="F778" s="838" t="s">
        <v>2151</v>
      </c>
      <c r="G778" s="839">
        <v>2008</v>
      </c>
      <c r="H778" s="835">
        <v>17352380</v>
      </c>
      <c r="I778" s="835">
        <v>1</v>
      </c>
      <c r="J778" s="835"/>
      <c r="K778" s="835"/>
      <c r="L778" s="835">
        <v>1</v>
      </c>
      <c r="M778" s="835"/>
      <c r="N778" s="835">
        <v>1</v>
      </c>
      <c r="O778" s="840">
        <v>1</v>
      </c>
      <c r="P778" s="835" t="s">
        <v>73</v>
      </c>
      <c r="Q778" s="835" t="s">
        <v>1147</v>
      </c>
      <c r="R778" s="835" t="s">
        <v>25</v>
      </c>
      <c r="S778" s="835"/>
      <c r="T778" s="835"/>
      <c r="U778" s="835"/>
      <c r="V778" s="835"/>
      <c r="W778" s="835" t="s">
        <v>371</v>
      </c>
      <c r="X778" s="835"/>
      <c r="Y778" s="835"/>
      <c r="Z778" s="835"/>
      <c r="AA778" s="835"/>
      <c r="AB778" s="835" t="s">
        <v>372</v>
      </c>
      <c r="AC778" s="841"/>
      <c r="AD778" s="842">
        <v>1</v>
      </c>
      <c r="AE778" s="842">
        <v>2</v>
      </c>
      <c r="AF778" s="843">
        <v>1</v>
      </c>
      <c r="AG778" s="844" t="s">
        <v>7723</v>
      </c>
      <c r="AH778" s="845" t="s">
        <v>7722</v>
      </c>
      <c r="AI778" s="841">
        <v>2</v>
      </c>
      <c r="AJ778" s="846"/>
      <c r="AK778" s="847" t="s">
        <v>3903</v>
      </c>
      <c r="AL778" s="848">
        <v>1</v>
      </c>
      <c r="AM778" s="1596">
        <v>0</v>
      </c>
      <c r="AN778" s="855">
        <f>Table66[[#This Row],[Data_Subjects_n_ptsd]]+Table66[[#This Row],[Data_Subjects_n_control]]</f>
        <v>78</v>
      </c>
      <c r="AO778" s="855">
        <f>47</f>
        <v>47</v>
      </c>
      <c r="AP778" s="855">
        <v>31</v>
      </c>
      <c r="AQ778" s="855" t="s">
        <v>3897</v>
      </c>
      <c r="AR778" s="855" t="s">
        <v>803</v>
      </c>
      <c r="AS778" s="855">
        <v>54.73</v>
      </c>
      <c r="AT778" s="855">
        <v>12.83</v>
      </c>
      <c r="AU778" s="855">
        <v>60.59</v>
      </c>
      <c r="AV778" s="855">
        <v>13.83</v>
      </c>
      <c r="AW778" s="855" t="s">
        <v>1874</v>
      </c>
      <c r="AX778" s="855"/>
      <c r="AY778" s="855"/>
      <c r="AZ778" s="855" t="s">
        <v>1874</v>
      </c>
      <c r="BA778" s="855" t="s">
        <v>24</v>
      </c>
      <c r="BB778" s="855" t="s">
        <v>24</v>
      </c>
      <c r="BC778" s="855" t="s">
        <v>2423</v>
      </c>
      <c r="BD778" s="855" t="s">
        <v>7521</v>
      </c>
      <c r="BE778" s="1624">
        <v>1</v>
      </c>
      <c r="BF778" s="855" t="s">
        <v>3835</v>
      </c>
      <c r="BG778" s="855" t="s">
        <v>3894</v>
      </c>
      <c r="BH778" s="850"/>
      <c r="BI778" s="850"/>
      <c r="BJ778" s="851"/>
      <c r="BK778" s="851"/>
      <c r="BL778" s="851"/>
      <c r="BM778" s="851"/>
      <c r="BN778" s="851"/>
      <c r="BO778" s="851"/>
      <c r="BP778" s="851">
        <v>1</v>
      </c>
      <c r="BQ778" s="851"/>
      <c r="BR778" s="851"/>
      <c r="BS778" s="851"/>
      <c r="BT778" s="851"/>
      <c r="BU778" s="851"/>
      <c r="BV778" s="851"/>
      <c r="BW778" s="852" t="s">
        <v>3908</v>
      </c>
      <c r="BX778" s="162" t="s">
        <v>6609</v>
      </c>
      <c r="BY778" s="797" t="s">
        <v>7616</v>
      </c>
      <c r="BZ778" s="853" t="s">
        <v>803</v>
      </c>
      <c r="CA778" s="854">
        <v>2</v>
      </c>
      <c r="CB778" s="854" t="s">
        <v>7556</v>
      </c>
      <c r="CC778" s="854" t="s">
        <v>7380</v>
      </c>
      <c r="CD778" s="855" t="s">
        <v>1876</v>
      </c>
      <c r="CE778" s="855" t="s">
        <v>3901</v>
      </c>
      <c r="CF778" s="855"/>
      <c r="CG778" s="855" t="s">
        <v>3906</v>
      </c>
      <c r="CH778" s="855" t="s">
        <v>7308</v>
      </c>
      <c r="CI778" s="855" t="s">
        <v>24</v>
      </c>
      <c r="CJ778" s="855">
        <v>0</v>
      </c>
      <c r="CK778" s="855" t="s">
        <v>7732</v>
      </c>
      <c r="CL778" s="1079" t="s">
        <v>8258</v>
      </c>
      <c r="CM778" s="856" t="s">
        <v>3923</v>
      </c>
      <c r="CN778" s="857" t="s">
        <v>24</v>
      </c>
      <c r="CO778" s="858">
        <v>5</v>
      </c>
      <c r="CP778" s="858">
        <v>1</v>
      </c>
      <c r="CQ778" s="858">
        <v>5</v>
      </c>
      <c r="CR778" s="858">
        <v>1</v>
      </c>
      <c r="CS778" s="858">
        <v>1</v>
      </c>
      <c r="CT778" s="970"/>
      <c r="CU778" s="1288" t="s">
        <v>8103</v>
      </c>
      <c r="CV778" s="1294">
        <v>8</v>
      </c>
      <c r="CW778" s="1294">
        <v>6</v>
      </c>
      <c r="CX778" s="859" t="s">
        <v>3912</v>
      </c>
      <c r="CY778" s="840">
        <v>7.4635699999999998</v>
      </c>
      <c r="CZ778" s="855" t="s">
        <v>24</v>
      </c>
      <c r="DA778" s="840">
        <f>8.01813-Table66[[#This Row],[Data_Outcome1_M]]</f>
        <v>0.5545599999999995</v>
      </c>
      <c r="DB778" s="1797" t="s">
        <v>3913</v>
      </c>
      <c r="DC778" s="840">
        <v>8.1663700000000006</v>
      </c>
      <c r="DD778" s="855" t="s">
        <v>24</v>
      </c>
      <c r="DE778" s="855">
        <f>8.70302-Table66[[#This Row],[Data_Outcome2_M]]</f>
        <v>0.53664999999999985</v>
      </c>
      <c r="DF778" s="1798" t="s">
        <v>3920</v>
      </c>
      <c r="DG778" s="1792" t="s">
        <v>3921</v>
      </c>
      <c r="DH778" s="121"/>
      <c r="DI778" s="121"/>
      <c r="DJ778" s="1169"/>
      <c r="DK778" s="121"/>
      <c r="DL778" s="841" t="s">
        <v>24</v>
      </c>
      <c r="DM778" s="1232" t="s">
        <v>24</v>
      </c>
      <c r="DN778" s="1232" t="s">
        <v>24</v>
      </c>
      <c r="DO778" s="1232" t="s">
        <v>24</v>
      </c>
      <c r="DP778" s="998" t="s">
        <v>24</v>
      </c>
      <c r="DQ778" s="1793" t="s">
        <v>24</v>
      </c>
      <c r="DR778" s="280"/>
      <c r="DS778" s="865"/>
      <c r="DT778" s="1235"/>
      <c r="DU778" s="835"/>
      <c r="DV778" s="1232"/>
      <c r="DW778" s="835"/>
      <c r="DX778" s="1235"/>
      <c r="DY778" s="1232"/>
      <c r="DZ778" s="1232"/>
      <c r="EA778" s="1232"/>
      <c r="EB778" s="1237"/>
      <c r="EC778" s="1233"/>
      <c r="ED778" s="1235"/>
      <c r="EE778" s="1232"/>
      <c r="EF778" s="1232"/>
      <c r="EG778" s="1232"/>
      <c r="EH778" s="1232"/>
      <c r="EI778" s="1232"/>
      <c r="EJ778" s="1232"/>
      <c r="EK778" s="1232"/>
      <c r="EL778" s="1237"/>
      <c r="EM778" s="1233"/>
      <c r="EN778" s="1236"/>
      <c r="EO778" s="1234"/>
      <c r="EP778" s="1235"/>
      <c r="EQ778" s="1232"/>
      <c r="ER778" s="1232"/>
      <c r="ES778" s="1232"/>
      <c r="ET778" s="1235"/>
      <c r="EU778" s="1232"/>
      <c r="EV778" s="1232"/>
      <c r="EW778" s="1232"/>
      <c r="EX778" s="1233"/>
      <c r="EY778" s="1233"/>
      <c r="EZ778" s="1235"/>
      <c r="FA778" s="1232"/>
      <c r="FB778" s="1232"/>
      <c r="FC778" s="1232"/>
      <c r="FD778" s="1235"/>
      <c r="FE778" s="1232"/>
      <c r="FF778" s="1232"/>
      <c r="FG778" s="1232"/>
      <c r="FH778" s="1233"/>
      <c r="FI778" s="1233"/>
      <c r="FJ778" s="1234"/>
    </row>
    <row r="779" spans="1:166" ht="18" hidden="1" customHeight="1">
      <c r="A779" s="835" t="s">
        <v>105</v>
      </c>
      <c r="B779" s="836">
        <v>78</v>
      </c>
      <c r="C779" s="836">
        <v>10</v>
      </c>
      <c r="D779" s="836"/>
      <c r="E779" s="837" t="s">
        <v>1933</v>
      </c>
      <c r="F779" s="838" t="s">
        <v>2151</v>
      </c>
      <c r="G779" s="839">
        <v>2008</v>
      </c>
      <c r="H779" s="835">
        <v>17352380</v>
      </c>
      <c r="I779" s="835">
        <v>1</v>
      </c>
      <c r="J779" s="835"/>
      <c r="K779" s="835"/>
      <c r="L779" s="835">
        <v>1</v>
      </c>
      <c r="M779" s="835"/>
      <c r="N779" s="835">
        <v>1</v>
      </c>
      <c r="O779" s="840">
        <v>1</v>
      </c>
      <c r="P779" s="835" t="s">
        <v>73</v>
      </c>
      <c r="Q779" s="835" t="s">
        <v>1147</v>
      </c>
      <c r="R779" s="835" t="s">
        <v>25</v>
      </c>
      <c r="S779" s="835"/>
      <c r="T779" s="835"/>
      <c r="U779" s="835"/>
      <c r="V779" s="835"/>
      <c r="W779" s="835" t="s">
        <v>371</v>
      </c>
      <c r="X779" s="835"/>
      <c r="Y779" s="835"/>
      <c r="Z779" s="835"/>
      <c r="AA779" s="835"/>
      <c r="AB779" s="835" t="s">
        <v>372</v>
      </c>
      <c r="AC779" s="841"/>
      <c r="AD779" s="842">
        <v>1</v>
      </c>
      <c r="AE779" s="842">
        <v>2</v>
      </c>
      <c r="AF779" s="843">
        <v>1</v>
      </c>
      <c r="AG779" s="844" t="s">
        <v>7724</v>
      </c>
      <c r="AH779" s="845" t="s">
        <v>7722</v>
      </c>
      <c r="AI779" s="841">
        <v>2</v>
      </c>
      <c r="AJ779" s="846"/>
      <c r="AK779" s="847" t="s">
        <v>3903</v>
      </c>
      <c r="AL779" s="848">
        <v>1</v>
      </c>
      <c r="AM779" s="1596">
        <v>0</v>
      </c>
      <c r="AN779" s="855">
        <f>Table66[[#This Row],[Data_Subjects_n_ptsd]]+Table66[[#This Row],[Data_Subjects_n_control]]</f>
        <v>117</v>
      </c>
      <c r="AO779" s="855">
        <f>47</f>
        <v>47</v>
      </c>
      <c r="AP779" s="855">
        <v>70</v>
      </c>
      <c r="AQ779" s="855" t="s">
        <v>3897</v>
      </c>
      <c r="AR779" s="855" t="s">
        <v>3898</v>
      </c>
      <c r="AS779" s="855">
        <v>54.73</v>
      </c>
      <c r="AT779" s="855">
        <v>12.83</v>
      </c>
      <c r="AU779" s="855">
        <v>56.91</v>
      </c>
      <c r="AV779" s="855">
        <v>14.77</v>
      </c>
      <c r="AW779" s="855" t="s">
        <v>1874</v>
      </c>
      <c r="AX779" s="855"/>
      <c r="AY779" s="855"/>
      <c r="AZ779" s="855" t="s">
        <v>1874</v>
      </c>
      <c r="BA779" s="855" t="s">
        <v>24</v>
      </c>
      <c r="BB779" s="855" t="s">
        <v>24</v>
      </c>
      <c r="BC779" s="855" t="s">
        <v>7726</v>
      </c>
      <c r="BD779" s="855" t="s">
        <v>7522</v>
      </c>
      <c r="BE779" s="1624">
        <v>1</v>
      </c>
      <c r="BF779" s="855" t="s">
        <v>3835</v>
      </c>
      <c r="BG779" s="855" t="s">
        <v>3894</v>
      </c>
      <c r="BH779" s="850"/>
      <c r="BI779" s="850"/>
      <c r="BJ779" s="851"/>
      <c r="BK779" s="851"/>
      <c r="BL779" s="851"/>
      <c r="BM779" s="851"/>
      <c r="BN779" s="851"/>
      <c r="BO779" s="851"/>
      <c r="BP779" s="851">
        <v>1</v>
      </c>
      <c r="BQ779" s="851"/>
      <c r="BR779" s="851"/>
      <c r="BS779" s="851"/>
      <c r="BT779" s="851"/>
      <c r="BU779" s="851"/>
      <c r="BV779" s="851"/>
      <c r="BW779" s="852" t="s">
        <v>3908</v>
      </c>
      <c r="BX779" s="162" t="s">
        <v>6609</v>
      </c>
      <c r="BY779" s="797" t="s">
        <v>7616</v>
      </c>
      <c r="BZ779" s="853" t="s">
        <v>803</v>
      </c>
      <c r="CA779" s="854">
        <v>2</v>
      </c>
      <c r="CB779" s="854" t="s">
        <v>7556</v>
      </c>
      <c r="CC779" s="854" t="s">
        <v>7380</v>
      </c>
      <c r="CD779" s="855" t="s">
        <v>1876</v>
      </c>
      <c r="CE779" s="855" t="s">
        <v>3901</v>
      </c>
      <c r="CF779" s="855"/>
      <c r="CG779" s="855" t="s">
        <v>3906</v>
      </c>
      <c r="CH779" s="855" t="s">
        <v>7308</v>
      </c>
      <c r="CI779" s="855" t="s">
        <v>24</v>
      </c>
      <c r="CJ779" s="855">
        <v>0</v>
      </c>
      <c r="CK779" s="855" t="s">
        <v>7732</v>
      </c>
      <c r="CL779" s="1079" t="s">
        <v>8258</v>
      </c>
      <c r="CM779" s="856" t="s">
        <v>3923</v>
      </c>
      <c r="CN779" s="857" t="s">
        <v>24</v>
      </c>
      <c r="CO779" s="858">
        <v>5</v>
      </c>
      <c r="CP779" s="858">
        <v>1</v>
      </c>
      <c r="CQ779" s="858">
        <v>6</v>
      </c>
      <c r="CR779" s="858">
        <v>1</v>
      </c>
      <c r="CS779" s="858">
        <v>1</v>
      </c>
      <c r="CT779" s="970"/>
      <c r="CU779" s="1288" t="s">
        <v>8102</v>
      </c>
      <c r="CV779" s="1294">
        <v>8</v>
      </c>
      <c r="CW779" s="1294">
        <v>7</v>
      </c>
      <c r="CX779" s="859" t="s">
        <v>3912</v>
      </c>
      <c r="CY779" s="855">
        <v>7.4635699999999998</v>
      </c>
      <c r="CZ779" s="855" t="s">
        <v>24</v>
      </c>
      <c r="DA779" s="855">
        <f>8.01813-Table66[[#This Row],[Data_Outcome1_M]]</f>
        <v>0.5545599999999995</v>
      </c>
      <c r="DB779" s="859" t="s">
        <v>3914</v>
      </c>
      <c r="DC779" s="855">
        <v>9.1553699999999996</v>
      </c>
      <c r="DD779" s="855" t="s">
        <v>24</v>
      </c>
      <c r="DE779" s="855">
        <f>9.53104-Table66[[#This Row],[Data_Outcome2_M]]</f>
        <v>0.37567000000000128</v>
      </c>
      <c r="DF779" s="866" t="s">
        <v>3920</v>
      </c>
      <c r="DG779" s="867" t="s">
        <v>3921</v>
      </c>
      <c r="DH779" s="1277" t="s">
        <v>24</v>
      </c>
      <c r="DI779" s="835" t="s">
        <v>24</v>
      </c>
      <c r="DJ779" s="841" t="s">
        <v>24</v>
      </c>
      <c r="DK779" s="835" t="s">
        <v>24</v>
      </c>
      <c r="DL779" s="841"/>
      <c r="DM779" s="835"/>
      <c r="DN779" s="1232"/>
      <c r="DO779" s="1159"/>
      <c r="DP779" s="860"/>
      <c r="DQ779" s="863"/>
      <c r="DR779" s="1794"/>
      <c r="DS779" s="1251"/>
      <c r="DT779" s="1281"/>
      <c r="DU779" s="835"/>
      <c r="DV779" s="1232"/>
      <c r="DW779" s="835"/>
      <c r="DX779" s="1281"/>
      <c r="DY779" s="835"/>
      <c r="DZ779" s="1232"/>
      <c r="EA779" s="835"/>
      <c r="EB779" s="1237"/>
      <c r="EC779" s="1233"/>
      <c r="ED779" s="1235"/>
      <c r="EE779" s="1232"/>
      <c r="EF779" s="1232"/>
      <c r="EG779" s="1232"/>
      <c r="EH779" s="1232"/>
      <c r="EI779" s="1232"/>
      <c r="EJ779" s="1232"/>
      <c r="EK779" s="1232"/>
      <c r="EL779" s="1237"/>
      <c r="EM779" s="1233"/>
      <c r="EN779" s="1236"/>
      <c r="EO779" s="1234"/>
      <c r="EP779" s="1235"/>
      <c r="EQ779" s="1232"/>
      <c r="ER779" s="1232"/>
      <c r="ES779" s="1232"/>
      <c r="ET779" s="1235"/>
      <c r="EU779" s="1232"/>
      <c r="EV779" s="1232"/>
      <c r="EW779" s="1232"/>
      <c r="EX779" s="1233"/>
      <c r="EY779" s="1233"/>
      <c r="EZ779" s="1235"/>
      <c r="FA779" s="1232"/>
      <c r="FB779" s="1232"/>
      <c r="FC779" s="1232"/>
      <c r="FD779" s="1235"/>
      <c r="FE779" s="1232"/>
      <c r="FF779" s="1232"/>
      <c r="FG779" s="1232"/>
      <c r="FH779" s="1233"/>
      <c r="FI779" s="1233"/>
      <c r="FJ779" s="1234"/>
    </row>
    <row r="780" spans="1:166" ht="18" hidden="1" customHeight="1">
      <c r="A780" s="1058" t="s">
        <v>105</v>
      </c>
      <c r="B780" s="1059">
        <v>78</v>
      </c>
      <c r="C780" s="1059">
        <v>10</v>
      </c>
      <c r="D780" s="1059"/>
      <c r="E780" s="1060" t="s">
        <v>1933</v>
      </c>
      <c r="F780" s="1061" t="s">
        <v>2151</v>
      </c>
      <c r="G780" s="1062">
        <v>2008</v>
      </c>
      <c r="H780" s="1058">
        <v>17352380</v>
      </c>
      <c r="I780" s="1058">
        <v>1</v>
      </c>
      <c r="J780" s="1058"/>
      <c r="K780" s="1058"/>
      <c r="L780" s="1058">
        <v>1</v>
      </c>
      <c r="M780" s="1058"/>
      <c r="N780" s="1058">
        <v>1</v>
      </c>
      <c r="O780" s="1063">
        <v>1</v>
      </c>
      <c r="P780" s="1058" t="s">
        <v>73</v>
      </c>
      <c r="Q780" s="1058" t="s">
        <v>1147</v>
      </c>
      <c r="R780" s="1058" t="s">
        <v>25</v>
      </c>
      <c r="S780" s="1058"/>
      <c r="T780" s="1058"/>
      <c r="U780" s="1058"/>
      <c r="V780" s="1058"/>
      <c r="W780" s="1058" t="s">
        <v>371</v>
      </c>
      <c r="X780" s="1058"/>
      <c r="Y780" s="1058"/>
      <c r="Z780" s="1058"/>
      <c r="AA780" s="1058"/>
      <c r="AB780" s="1058" t="s">
        <v>372</v>
      </c>
      <c r="AC780" s="1064"/>
      <c r="AD780" s="1065">
        <v>1</v>
      </c>
      <c r="AE780" s="1065">
        <v>2</v>
      </c>
      <c r="AF780" s="1066">
        <v>1</v>
      </c>
      <c r="AG780" s="1067" t="s">
        <v>8161</v>
      </c>
      <c r="AH780" s="1068"/>
      <c r="AI780" s="1064"/>
      <c r="AJ780" s="1069"/>
      <c r="AK780" s="1070"/>
      <c r="AL780" s="1071"/>
      <c r="AM780" s="1625"/>
      <c r="AN780" s="1079">
        <f>Table66[[#This Row],[Data_Subjects_n_ptsd]]+Table66[[#This Row],[Data_Subjects_n_ptsd]]</f>
        <v>62</v>
      </c>
      <c r="AO780" s="1079">
        <v>31</v>
      </c>
      <c r="AP780" s="1079">
        <v>70</v>
      </c>
      <c r="AQ780" s="1079" t="s">
        <v>803</v>
      </c>
      <c r="AR780" s="1079" t="s">
        <v>8157</v>
      </c>
      <c r="AS780" s="1079">
        <v>60.59</v>
      </c>
      <c r="AT780" s="1079">
        <v>13.83</v>
      </c>
      <c r="AU780" s="1079">
        <v>56.91</v>
      </c>
      <c r="AV780" s="1079">
        <v>14.77</v>
      </c>
      <c r="AW780" s="1079" t="s">
        <v>1874</v>
      </c>
      <c r="AX780" s="1079"/>
      <c r="AY780" s="1079"/>
      <c r="AZ780" s="1079" t="s">
        <v>1874</v>
      </c>
      <c r="BA780" s="1079" t="s">
        <v>24</v>
      </c>
      <c r="BB780" s="1079" t="s">
        <v>24</v>
      </c>
      <c r="BC780" s="1079" t="s">
        <v>7726</v>
      </c>
      <c r="BD780" s="1079" t="s">
        <v>7522</v>
      </c>
      <c r="BE780" s="1626">
        <v>1</v>
      </c>
      <c r="BF780" s="1079" t="s">
        <v>3835</v>
      </c>
      <c r="BG780" s="1645" t="s">
        <v>4508</v>
      </c>
      <c r="BH780" s="1073"/>
      <c r="BI780" s="1073"/>
      <c r="BJ780" s="1074"/>
      <c r="BK780" s="1074"/>
      <c r="BL780" s="1074"/>
      <c r="BM780" s="1074"/>
      <c r="BN780" s="1074"/>
      <c r="BO780" s="1074"/>
      <c r="BP780" s="1074">
        <v>1</v>
      </c>
      <c r="BQ780" s="1074"/>
      <c r="BR780" s="1074"/>
      <c r="BS780" s="1074"/>
      <c r="BT780" s="1074"/>
      <c r="BU780" s="1074"/>
      <c r="BV780" s="1074"/>
      <c r="BW780" s="1075" t="s">
        <v>3908</v>
      </c>
      <c r="BX780" s="1627" t="s">
        <v>6609</v>
      </c>
      <c r="BY780" s="1628" t="s">
        <v>7616</v>
      </c>
      <c r="BZ780" s="1078" t="s">
        <v>803</v>
      </c>
      <c r="CA780" s="1629">
        <v>2</v>
      </c>
      <c r="CB780" s="1629" t="s">
        <v>7556</v>
      </c>
      <c r="CC780" s="854" t="s">
        <v>7380</v>
      </c>
      <c r="CD780" s="1079" t="s">
        <v>1876</v>
      </c>
      <c r="CE780" s="1079" t="s">
        <v>3901</v>
      </c>
      <c r="CF780" s="1079"/>
      <c r="CG780" s="1079" t="s">
        <v>3906</v>
      </c>
      <c r="CH780" s="855" t="s">
        <v>7308</v>
      </c>
      <c r="CI780" s="1079" t="s">
        <v>24</v>
      </c>
      <c r="CJ780" s="1079">
        <v>0</v>
      </c>
      <c r="CK780" s="1079" t="s">
        <v>7732</v>
      </c>
      <c r="CL780" s="1079" t="s">
        <v>8258</v>
      </c>
      <c r="CM780" s="1080"/>
      <c r="CN780" s="1081"/>
      <c r="CO780" s="1082"/>
      <c r="CP780" s="1082"/>
      <c r="CQ780" s="1082"/>
      <c r="CR780" s="1082"/>
      <c r="CS780" s="1082"/>
      <c r="CT780" s="1083"/>
      <c r="CU780" s="1630" t="s">
        <v>8155</v>
      </c>
      <c r="CV780" s="1631" t="s">
        <v>8159</v>
      </c>
      <c r="CW780" s="1631">
        <v>7</v>
      </c>
      <c r="CX780" s="1632" t="s">
        <v>3913</v>
      </c>
      <c r="CY780" s="1079">
        <v>8.1663700000000006</v>
      </c>
      <c r="CZ780" s="1079" t="s">
        <v>24</v>
      </c>
      <c r="DA780" s="1079">
        <f>8.70302-Table66[[#This Row],[Data_Outcome1_M]]</f>
        <v>0.53664999999999985</v>
      </c>
      <c r="DB780" s="1632" t="s">
        <v>3914</v>
      </c>
      <c r="DC780" s="1079">
        <v>9.1553699999999996</v>
      </c>
      <c r="DD780" s="1079" t="s">
        <v>24</v>
      </c>
      <c r="DE780" s="1079">
        <f>9.53104-Table66[[#This Row],[Data_Outcome2_M]]</f>
        <v>0.37567000000000128</v>
      </c>
      <c r="DF780" s="1633"/>
      <c r="DG780" s="1088"/>
      <c r="DH780" s="1064" t="s">
        <v>24</v>
      </c>
      <c r="DI780" s="1064" t="s">
        <v>24</v>
      </c>
      <c r="DJ780" s="1064" t="s">
        <v>24</v>
      </c>
      <c r="DK780" s="1064" t="s">
        <v>24</v>
      </c>
      <c r="DL780" s="1064"/>
      <c r="DM780" s="1064"/>
      <c r="DN780" s="1093"/>
      <c r="DO780" s="1064"/>
      <c r="DP780" s="1085"/>
      <c r="DQ780" s="1084"/>
      <c r="DR780" s="1799"/>
      <c r="DS780" s="1196"/>
      <c r="DT780" s="1642"/>
      <c r="DU780" s="1093"/>
      <c r="DV780" s="1093"/>
      <c r="DW780" s="1093"/>
      <c r="DX780" s="1642"/>
      <c r="DY780" s="1093"/>
      <c r="DZ780" s="1093"/>
      <c r="EA780" s="1093"/>
      <c r="EB780" s="1086"/>
      <c r="EC780" s="1087"/>
      <c r="ED780" s="1197"/>
      <c r="EE780" s="1093"/>
      <c r="EF780" s="1093"/>
      <c r="EG780" s="1093"/>
      <c r="EH780" s="1093"/>
      <c r="EI780" s="1093"/>
      <c r="EJ780" s="1093"/>
      <c r="EK780" s="1093"/>
      <c r="EL780" s="1086"/>
      <c r="EM780" s="1087"/>
      <c r="EN780" s="1199"/>
      <c r="EO780" s="1196"/>
      <c r="EP780" s="1197"/>
      <c r="EQ780" s="1093"/>
      <c r="ER780" s="1093"/>
      <c r="ES780" s="1093"/>
      <c r="ET780" s="1197"/>
      <c r="EU780" s="1093"/>
      <c r="EV780" s="1093"/>
      <c r="EW780" s="1093"/>
      <c r="EX780" s="1087"/>
      <c r="EY780" s="1087"/>
      <c r="EZ780" s="1197"/>
      <c r="FA780" s="1093"/>
      <c r="FB780" s="1093"/>
      <c r="FC780" s="1093"/>
      <c r="FD780" s="1197"/>
      <c r="FE780" s="1093"/>
      <c r="FF780" s="1093"/>
      <c r="FG780" s="1093"/>
      <c r="FH780" s="1087"/>
      <c r="FI780" s="1087"/>
      <c r="FJ780" s="1196"/>
    </row>
    <row r="781" spans="1:166" ht="18" hidden="1" customHeight="1">
      <c r="A781" s="79" t="s">
        <v>336</v>
      </c>
      <c r="B781" s="362">
        <v>241</v>
      </c>
      <c r="C781" s="362"/>
      <c r="D781" s="362"/>
      <c r="E781" s="604" t="s">
        <v>2036</v>
      </c>
      <c r="F781" s="124" t="s">
        <v>2274</v>
      </c>
      <c r="G781" s="125">
        <v>1998</v>
      </c>
      <c r="H781" s="79">
        <v>9460740</v>
      </c>
      <c r="I781" s="79">
        <v>1</v>
      </c>
      <c r="J781" s="126"/>
      <c r="K781" s="127"/>
      <c r="L781" s="79">
        <v>1</v>
      </c>
      <c r="M781" s="79"/>
      <c r="N781" s="79">
        <v>1</v>
      </c>
      <c r="O781" s="128">
        <v>1</v>
      </c>
      <c r="P781" s="79" t="s">
        <v>31</v>
      </c>
      <c r="Q781" s="79" t="s">
        <v>1157</v>
      </c>
      <c r="R781" s="79" t="s">
        <v>819</v>
      </c>
      <c r="S781" s="79">
        <v>1</v>
      </c>
      <c r="T781" s="79"/>
      <c r="U781" s="79"/>
      <c r="V781" s="79"/>
      <c r="W781" s="79" t="s">
        <v>873</v>
      </c>
      <c r="X781" s="79" t="s">
        <v>24</v>
      </c>
      <c r="Y781" s="79" t="s">
        <v>24</v>
      </c>
      <c r="Z781" s="79"/>
      <c r="AA781" s="79"/>
      <c r="AB781" s="79"/>
      <c r="AC781" s="506"/>
      <c r="AD781" s="573">
        <v>1</v>
      </c>
      <c r="AE781" s="573">
        <v>2</v>
      </c>
      <c r="AF781" s="154">
        <v>1</v>
      </c>
      <c r="AG781" s="155"/>
      <c r="AH781" s="704"/>
      <c r="AI781" s="121">
        <v>2</v>
      </c>
      <c r="AJ781" s="484"/>
      <c r="AK781" s="202" t="s">
        <v>5804</v>
      </c>
      <c r="AL781" s="192">
        <v>1</v>
      </c>
      <c r="AM781" s="203">
        <v>0</v>
      </c>
      <c r="AN781" s="121">
        <f>Table66[[#This Row],[Data_Subjects_n_ptsd]]+Table66[[#This Row],[Data_Subjects_n_control]]</f>
        <v>43</v>
      </c>
      <c r="AO781" s="121">
        <v>24</v>
      </c>
      <c r="AP781" s="121">
        <v>19</v>
      </c>
      <c r="AQ781" s="134" t="s">
        <v>5744</v>
      </c>
      <c r="AR781" s="121" t="s">
        <v>5745</v>
      </c>
      <c r="AS781" s="121">
        <v>36.299999999999997</v>
      </c>
      <c r="AT781" s="121">
        <v>9.8000000000000007</v>
      </c>
      <c r="AU781" s="121">
        <v>35.299999999999997</v>
      </c>
      <c r="AV781" s="121">
        <v>8.6999999999999993</v>
      </c>
      <c r="AW781" s="121" t="s">
        <v>5746</v>
      </c>
      <c r="AX781" s="121"/>
      <c r="AY781" s="121"/>
      <c r="AZ781" s="754" t="s">
        <v>1874</v>
      </c>
      <c r="BA781" s="121" t="s">
        <v>24</v>
      </c>
      <c r="BB781" s="121" t="s">
        <v>24</v>
      </c>
      <c r="BC781" s="121" t="s">
        <v>5749</v>
      </c>
      <c r="BD781" s="754" t="s">
        <v>7521</v>
      </c>
      <c r="BE781" s="187">
        <v>0</v>
      </c>
      <c r="BF781" s="121" t="s">
        <v>5747</v>
      </c>
      <c r="BG781" s="121" t="s">
        <v>5748</v>
      </c>
      <c r="BH781" s="594"/>
      <c r="BI781" s="594"/>
      <c r="BJ781" s="156"/>
      <c r="BK781" s="156"/>
      <c r="BL781" s="156" t="s">
        <v>4727</v>
      </c>
      <c r="BM781" s="156"/>
      <c r="BN781" s="156"/>
      <c r="BO781" s="156"/>
      <c r="BP781" s="156">
        <v>1</v>
      </c>
      <c r="BQ781" s="156"/>
      <c r="BR781" s="156"/>
      <c r="BS781" s="156"/>
      <c r="BT781" s="156" t="s">
        <v>4727</v>
      </c>
      <c r="BU781" s="156"/>
      <c r="BV781" s="156"/>
      <c r="BW781" s="595" t="s">
        <v>3843</v>
      </c>
      <c r="BX781" s="157" t="s">
        <v>6610</v>
      </c>
      <c r="BY781" s="797" t="s">
        <v>7616</v>
      </c>
      <c r="BZ781" s="789" t="s">
        <v>803</v>
      </c>
      <c r="CA781" s="765">
        <v>2</v>
      </c>
      <c r="CB781" s="765" t="s">
        <v>7556</v>
      </c>
      <c r="CC781" s="660" t="s">
        <v>7380</v>
      </c>
      <c r="CD781" s="134" t="s">
        <v>1876</v>
      </c>
      <c r="CE781" s="134">
        <v>2</v>
      </c>
      <c r="CF781" s="400"/>
      <c r="CG781" s="134" t="s">
        <v>5750</v>
      </c>
      <c r="CH781" s="753" t="s">
        <v>7307</v>
      </c>
      <c r="CI781" s="134" t="s">
        <v>24</v>
      </c>
      <c r="CJ781" s="134"/>
      <c r="CK781" s="134" t="s">
        <v>5751</v>
      </c>
      <c r="CL781" s="134" t="s">
        <v>8229</v>
      </c>
      <c r="CM781" s="259" t="s">
        <v>5802</v>
      </c>
      <c r="CN781" s="454" t="s">
        <v>24</v>
      </c>
      <c r="CO781" s="828">
        <v>79</v>
      </c>
      <c r="CP781" s="828">
        <v>1</v>
      </c>
      <c r="CQ781" s="828">
        <v>7</v>
      </c>
      <c r="CR781" s="828">
        <v>1</v>
      </c>
      <c r="CS781" s="828">
        <v>1</v>
      </c>
      <c r="CT781" s="968"/>
      <c r="CU781" s="1288" t="s">
        <v>8103</v>
      </c>
      <c r="CV781" s="1294">
        <v>39</v>
      </c>
      <c r="CW781" s="1294">
        <v>33</v>
      </c>
      <c r="CX781" s="134" t="s">
        <v>5757</v>
      </c>
      <c r="CY781" s="134">
        <v>0.9</v>
      </c>
      <c r="CZ781" s="134">
        <v>0.2</v>
      </c>
      <c r="DA781" s="134" t="s">
        <v>24</v>
      </c>
      <c r="DB781" s="134" t="s">
        <v>5767</v>
      </c>
      <c r="DC781" s="134">
        <v>0.9</v>
      </c>
      <c r="DD781" s="134">
        <v>0.2</v>
      </c>
      <c r="DE781" s="134" t="s">
        <v>24</v>
      </c>
      <c r="DF781" s="300" t="s">
        <v>5379</v>
      </c>
      <c r="DG781" s="301" t="s">
        <v>5779</v>
      </c>
      <c r="DH781" s="1171"/>
      <c r="DI781" s="1169"/>
      <c r="DJ781" s="1169"/>
      <c r="DK781" s="1169"/>
      <c r="DL781" s="1171"/>
      <c r="DM781" s="1169"/>
      <c r="DN781" s="1169"/>
      <c r="DO781" s="1169"/>
      <c r="DP781" s="288"/>
      <c r="DQ781" s="289"/>
      <c r="DR781" s="864"/>
      <c r="DS781" s="865"/>
      <c r="DT781" s="1169"/>
      <c r="DU781" s="1188"/>
      <c r="DV781" s="1188"/>
      <c r="DW781" s="1188"/>
      <c r="DX781" s="1169"/>
      <c r="DY781" s="1169"/>
      <c r="DZ781" s="1169"/>
      <c r="EA781" s="1169"/>
      <c r="EB781" s="304"/>
      <c r="EC781" s="312"/>
      <c r="ED781" s="1169"/>
      <c r="EE781" s="1169"/>
      <c r="EF781" s="1169"/>
      <c r="EG781" s="1169"/>
      <c r="EH781" s="1169"/>
      <c r="EI781" s="1169"/>
      <c r="EJ781" s="1169"/>
      <c r="EK781" s="1169"/>
      <c r="EL781" s="304"/>
      <c r="EM781" s="312"/>
      <c r="EN781" s="309"/>
      <c r="EO781" s="1170"/>
      <c r="EP781" s="1169"/>
      <c r="EQ781" s="1169"/>
      <c r="ER781" s="1169"/>
      <c r="ES781" s="1169"/>
      <c r="ET781" s="1169"/>
      <c r="EU781" s="1169"/>
      <c r="EV781" s="1169"/>
      <c r="EW781" s="1169"/>
      <c r="EX781" s="312"/>
      <c r="EY781" s="312"/>
      <c r="EZ781" s="1171"/>
      <c r="FA781" s="1169"/>
      <c r="FB781" s="1169"/>
      <c r="FC781" s="1169"/>
      <c r="FD781" s="1171"/>
      <c r="FE781" s="1169"/>
      <c r="FF781" s="1169"/>
      <c r="FG781" s="1169"/>
      <c r="FH781" s="312"/>
      <c r="FI781" s="312"/>
      <c r="FJ781" s="1170"/>
    </row>
    <row r="782" spans="1:166" ht="18" hidden="1" customHeight="1">
      <c r="A782" s="79" t="s">
        <v>336</v>
      </c>
      <c r="B782" s="362">
        <v>241</v>
      </c>
      <c r="C782" s="362"/>
      <c r="D782" s="362"/>
      <c r="E782" s="604" t="s">
        <v>2036</v>
      </c>
      <c r="F782" s="124" t="s">
        <v>2274</v>
      </c>
      <c r="G782" s="125">
        <v>1998</v>
      </c>
      <c r="H782" s="79">
        <v>9460740</v>
      </c>
      <c r="I782" s="79">
        <v>1</v>
      </c>
      <c r="J782" s="126"/>
      <c r="K782" s="127"/>
      <c r="L782" s="79">
        <v>1</v>
      </c>
      <c r="M782" s="79"/>
      <c r="N782" s="79">
        <v>1</v>
      </c>
      <c r="O782" s="128">
        <v>1</v>
      </c>
      <c r="P782" s="79" t="s">
        <v>31</v>
      </c>
      <c r="Q782" s="79" t="s">
        <v>1157</v>
      </c>
      <c r="R782" s="79" t="s">
        <v>819</v>
      </c>
      <c r="S782" s="79">
        <v>1</v>
      </c>
      <c r="T782" s="79"/>
      <c r="U782" s="79"/>
      <c r="V782" s="79"/>
      <c r="W782" s="79" t="s">
        <v>873</v>
      </c>
      <c r="X782" s="79" t="s">
        <v>24</v>
      </c>
      <c r="Y782" s="79" t="s">
        <v>24</v>
      </c>
      <c r="Z782" s="79"/>
      <c r="AA782" s="79"/>
      <c r="AB782" s="79"/>
      <c r="AC782" s="506"/>
      <c r="AD782" s="573">
        <v>1</v>
      </c>
      <c r="AE782" s="573">
        <v>2</v>
      </c>
      <c r="AF782" s="154">
        <v>1</v>
      </c>
      <c r="AG782" s="155"/>
      <c r="AH782" s="704"/>
      <c r="AI782" s="121">
        <v>2</v>
      </c>
      <c r="AJ782" s="484"/>
      <c r="AK782" s="202" t="s">
        <v>5804</v>
      </c>
      <c r="AL782" s="192">
        <v>1</v>
      </c>
      <c r="AM782" s="203">
        <v>0</v>
      </c>
      <c r="AN782" s="121">
        <f>Table66[[#This Row],[Data_Subjects_n_ptsd]]+Table66[[#This Row],[Data_Subjects_n_control]]</f>
        <v>43</v>
      </c>
      <c r="AO782" s="121">
        <v>24</v>
      </c>
      <c r="AP782" s="121">
        <v>19</v>
      </c>
      <c r="AQ782" s="134" t="s">
        <v>5744</v>
      </c>
      <c r="AR782" s="121" t="s">
        <v>5745</v>
      </c>
      <c r="AS782" s="121">
        <v>36.299999999999997</v>
      </c>
      <c r="AT782" s="121">
        <v>9.8000000000000007</v>
      </c>
      <c r="AU782" s="121">
        <v>35.299999999999997</v>
      </c>
      <c r="AV782" s="121">
        <v>8.6999999999999993</v>
      </c>
      <c r="AW782" s="121" t="s">
        <v>5746</v>
      </c>
      <c r="AX782" s="121"/>
      <c r="AY782" s="121"/>
      <c r="AZ782" s="754" t="s">
        <v>1874</v>
      </c>
      <c r="BA782" s="121" t="s">
        <v>24</v>
      </c>
      <c r="BB782" s="121" t="s">
        <v>24</v>
      </c>
      <c r="BC782" s="121" t="s">
        <v>5749</v>
      </c>
      <c r="BD782" s="754" t="s">
        <v>7521</v>
      </c>
      <c r="BE782" s="187">
        <v>0</v>
      </c>
      <c r="BF782" s="121" t="s">
        <v>5747</v>
      </c>
      <c r="BG782" s="121" t="s">
        <v>5748</v>
      </c>
      <c r="BH782" s="594"/>
      <c r="BI782" s="594"/>
      <c r="BJ782" s="156"/>
      <c r="BK782" s="156"/>
      <c r="BL782" s="156" t="s">
        <v>4727</v>
      </c>
      <c r="BM782" s="156"/>
      <c r="BN782" s="156"/>
      <c r="BO782" s="156"/>
      <c r="BP782" s="156">
        <v>1</v>
      </c>
      <c r="BQ782" s="156"/>
      <c r="BR782" s="156"/>
      <c r="BS782" s="156"/>
      <c r="BT782" s="156" t="s">
        <v>4727</v>
      </c>
      <c r="BU782" s="156"/>
      <c r="BV782" s="156"/>
      <c r="BW782" s="595" t="s">
        <v>3843</v>
      </c>
      <c r="BX782" s="157" t="s">
        <v>6610</v>
      </c>
      <c r="BY782" s="797" t="s">
        <v>7616</v>
      </c>
      <c r="BZ782" s="789" t="s">
        <v>803</v>
      </c>
      <c r="CA782" s="765">
        <v>2</v>
      </c>
      <c r="CB782" s="765" t="s">
        <v>7556</v>
      </c>
      <c r="CC782" s="660" t="s">
        <v>7380</v>
      </c>
      <c r="CD782" s="134" t="s">
        <v>1876</v>
      </c>
      <c r="CE782" s="134">
        <v>2</v>
      </c>
      <c r="CF782" s="400"/>
      <c r="CG782" s="134" t="s">
        <v>5750</v>
      </c>
      <c r="CH782" s="753" t="s">
        <v>7307</v>
      </c>
      <c r="CI782" s="134" t="s">
        <v>24</v>
      </c>
      <c r="CJ782" s="134"/>
      <c r="CK782" s="134" t="s">
        <v>5751</v>
      </c>
      <c r="CL782" s="134" t="s">
        <v>8231</v>
      </c>
      <c r="CM782" s="259" t="s">
        <v>5802</v>
      </c>
      <c r="CN782" s="454" t="s">
        <v>24</v>
      </c>
      <c r="CO782" s="828">
        <v>79</v>
      </c>
      <c r="CP782" s="828">
        <v>1</v>
      </c>
      <c r="CQ782" s="828">
        <v>10</v>
      </c>
      <c r="CR782" s="828">
        <v>1</v>
      </c>
      <c r="CS782" s="828">
        <v>-1</v>
      </c>
      <c r="CT782" s="968"/>
      <c r="CU782" s="1288" t="s">
        <v>8103</v>
      </c>
      <c r="CV782" s="1294">
        <v>39</v>
      </c>
      <c r="CW782" s="1294">
        <v>33</v>
      </c>
      <c r="CX782" s="134" t="s">
        <v>5760</v>
      </c>
      <c r="CY782" s="134">
        <v>6.9</v>
      </c>
      <c r="CZ782" s="134">
        <v>5.4</v>
      </c>
      <c r="DA782" s="134" t="s">
        <v>24</v>
      </c>
      <c r="DB782" s="134" t="s">
        <v>5770</v>
      </c>
      <c r="DC782" s="134">
        <v>6.8</v>
      </c>
      <c r="DD782" s="134">
        <v>6.9</v>
      </c>
      <c r="DE782" s="134" t="s">
        <v>24</v>
      </c>
      <c r="DF782" s="436" t="s">
        <v>5379</v>
      </c>
      <c r="DG782" s="436" t="s">
        <v>5782</v>
      </c>
      <c r="DH782" s="1175"/>
      <c r="DI782" s="417"/>
      <c r="DJ782" s="1169"/>
      <c r="DK782" s="417"/>
      <c r="DL782" s="1171"/>
      <c r="DM782" s="417"/>
      <c r="DN782" s="1169"/>
      <c r="DO782" s="1151"/>
      <c r="DP782" s="288"/>
      <c r="DQ782" s="441"/>
      <c r="DR782" s="1168"/>
      <c r="DS782" s="865"/>
      <c r="DT782" s="1169"/>
      <c r="DU782" s="1286"/>
      <c r="DV782" s="1188"/>
      <c r="DW782" s="1286"/>
      <c r="DX782" s="1169"/>
      <c r="DY782" s="417"/>
      <c r="DZ782" s="1169"/>
      <c r="EA782" s="417"/>
      <c r="EB782" s="304"/>
      <c r="EC782" s="312"/>
      <c r="ED782" s="1169"/>
      <c r="EE782" s="417"/>
      <c r="EF782" s="1169"/>
      <c r="EG782" s="417"/>
      <c r="EH782" s="1169"/>
      <c r="EI782" s="417"/>
      <c r="EJ782" s="1169"/>
      <c r="EK782" s="417"/>
      <c r="EL782" s="304"/>
      <c r="EM782" s="312"/>
      <c r="EN782" s="309"/>
      <c r="EO782" s="1170"/>
      <c r="EP782" s="417"/>
      <c r="EQ782" s="417"/>
      <c r="ER782" s="417"/>
      <c r="ES782" s="417"/>
      <c r="ET782" s="417"/>
      <c r="EU782" s="417"/>
      <c r="EV782" s="417"/>
      <c r="EW782" s="417"/>
      <c r="EX782" s="469"/>
      <c r="EY782" s="469"/>
      <c r="EZ782" s="1155"/>
      <c r="FA782" s="417"/>
      <c r="FB782" s="417"/>
      <c r="FC782" s="417"/>
      <c r="FD782" s="1155"/>
      <c r="FE782" s="417"/>
      <c r="FF782" s="417"/>
      <c r="FG782" s="417"/>
      <c r="FH782" s="469"/>
      <c r="FI782" s="469"/>
      <c r="FJ782" s="1170"/>
    </row>
    <row r="783" spans="1:166" ht="18" hidden="1" customHeight="1">
      <c r="A783" s="79" t="s">
        <v>336</v>
      </c>
      <c r="B783" s="362">
        <v>241</v>
      </c>
      <c r="C783" s="362"/>
      <c r="D783" s="362"/>
      <c r="E783" s="604" t="s">
        <v>2036</v>
      </c>
      <c r="F783" s="124" t="s">
        <v>2274</v>
      </c>
      <c r="G783" s="125">
        <v>1998</v>
      </c>
      <c r="H783" s="79">
        <v>9460740</v>
      </c>
      <c r="I783" s="79">
        <v>1</v>
      </c>
      <c r="J783" s="126"/>
      <c r="K783" s="127"/>
      <c r="L783" s="79">
        <v>1</v>
      </c>
      <c r="M783" s="79"/>
      <c r="N783" s="79">
        <v>1</v>
      </c>
      <c r="O783" s="128">
        <v>1</v>
      </c>
      <c r="P783" s="79" t="s">
        <v>31</v>
      </c>
      <c r="Q783" s="79" t="s">
        <v>1157</v>
      </c>
      <c r="R783" s="79" t="s">
        <v>819</v>
      </c>
      <c r="S783" s="79">
        <v>1</v>
      </c>
      <c r="T783" s="79"/>
      <c r="U783" s="79"/>
      <c r="V783" s="79"/>
      <c r="W783" s="79" t="s">
        <v>873</v>
      </c>
      <c r="X783" s="79" t="s">
        <v>24</v>
      </c>
      <c r="Y783" s="79" t="s">
        <v>24</v>
      </c>
      <c r="Z783" s="79"/>
      <c r="AA783" s="79"/>
      <c r="AB783" s="79"/>
      <c r="AC783" s="506"/>
      <c r="AD783" s="573">
        <v>1</v>
      </c>
      <c r="AE783" s="573">
        <v>2</v>
      </c>
      <c r="AF783" s="154">
        <v>1</v>
      </c>
      <c r="AG783" s="155"/>
      <c r="AH783" s="704"/>
      <c r="AI783" s="121">
        <v>2</v>
      </c>
      <c r="AJ783" s="484"/>
      <c r="AK783" s="202" t="s">
        <v>5804</v>
      </c>
      <c r="AL783" s="192">
        <v>1</v>
      </c>
      <c r="AM783" s="203">
        <v>0</v>
      </c>
      <c r="AN783" s="121">
        <f>Table66[[#This Row],[Data_Subjects_n_ptsd]]+Table66[[#This Row],[Data_Subjects_n_control]]</f>
        <v>43</v>
      </c>
      <c r="AO783" s="121">
        <v>24</v>
      </c>
      <c r="AP783" s="121">
        <v>19</v>
      </c>
      <c r="AQ783" s="134" t="s">
        <v>5744</v>
      </c>
      <c r="AR783" s="121" t="s">
        <v>5745</v>
      </c>
      <c r="AS783" s="121">
        <v>36.299999999999997</v>
      </c>
      <c r="AT783" s="121">
        <v>9.8000000000000007</v>
      </c>
      <c r="AU783" s="121">
        <v>35.299999999999997</v>
      </c>
      <c r="AV783" s="121">
        <v>8.6999999999999993</v>
      </c>
      <c r="AW783" s="121" t="s">
        <v>5746</v>
      </c>
      <c r="AX783" s="121"/>
      <c r="AY783" s="121"/>
      <c r="AZ783" s="754" t="s">
        <v>1874</v>
      </c>
      <c r="BA783" s="121" t="s">
        <v>24</v>
      </c>
      <c r="BB783" s="121" t="s">
        <v>24</v>
      </c>
      <c r="BC783" s="121" t="s">
        <v>5749</v>
      </c>
      <c r="BD783" s="754" t="s">
        <v>7521</v>
      </c>
      <c r="BE783" s="187">
        <v>0</v>
      </c>
      <c r="BF783" s="121" t="s">
        <v>5747</v>
      </c>
      <c r="BG783" s="121" t="s">
        <v>5748</v>
      </c>
      <c r="BH783" s="594"/>
      <c r="BI783" s="594"/>
      <c r="BJ783" s="156"/>
      <c r="BK783" s="156"/>
      <c r="BL783" s="156" t="s">
        <v>4727</v>
      </c>
      <c r="BM783" s="156"/>
      <c r="BN783" s="156"/>
      <c r="BO783" s="156"/>
      <c r="BP783" s="156">
        <v>1</v>
      </c>
      <c r="BQ783" s="156"/>
      <c r="BR783" s="156"/>
      <c r="BS783" s="156"/>
      <c r="BT783" s="156" t="s">
        <v>4727</v>
      </c>
      <c r="BU783" s="156"/>
      <c r="BV783" s="156"/>
      <c r="BW783" s="595" t="s">
        <v>3843</v>
      </c>
      <c r="BX783" s="157" t="s">
        <v>6610</v>
      </c>
      <c r="BY783" s="797" t="s">
        <v>7616</v>
      </c>
      <c r="BZ783" s="789" t="s">
        <v>803</v>
      </c>
      <c r="CA783" s="765">
        <v>2</v>
      </c>
      <c r="CB783" s="765" t="s">
        <v>7556</v>
      </c>
      <c r="CC783" s="660" t="s">
        <v>7380</v>
      </c>
      <c r="CD783" s="134" t="s">
        <v>1876</v>
      </c>
      <c r="CE783" s="134">
        <v>2</v>
      </c>
      <c r="CF783" s="400"/>
      <c r="CG783" s="134" t="s">
        <v>5750</v>
      </c>
      <c r="CH783" s="753" t="s">
        <v>7307</v>
      </c>
      <c r="CI783" s="134" t="s">
        <v>24</v>
      </c>
      <c r="CJ783" s="134"/>
      <c r="CK783" s="134" t="s">
        <v>5751</v>
      </c>
      <c r="CL783" s="134" t="s">
        <v>8228</v>
      </c>
      <c r="CM783" s="259" t="s">
        <v>5802</v>
      </c>
      <c r="CN783" s="454" t="s">
        <v>24</v>
      </c>
      <c r="CO783" s="828">
        <v>79</v>
      </c>
      <c r="CP783" s="828">
        <v>1</v>
      </c>
      <c r="CQ783" s="828">
        <v>12</v>
      </c>
      <c r="CR783" s="828">
        <v>1</v>
      </c>
      <c r="CS783" s="828">
        <v>1</v>
      </c>
      <c r="CT783" s="968"/>
      <c r="CU783" s="1288" t="s">
        <v>8103</v>
      </c>
      <c r="CV783" s="1294">
        <v>39</v>
      </c>
      <c r="CW783" s="1294">
        <v>33</v>
      </c>
      <c r="CX783" s="134" t="s">
        <v>5762</v>
      </c>
      <c r="CY783" s="134">
        <v>13</v>
      </c>
      <c r="CZ783" s="134">
        <v>1.9</v>
      </c>
      <c r="DA783" s="134" t="s">
        <v>24</v>
      </c>
      <c r="DB783" s="134" t="s">
        <v>5772</v>
      </c>
      <c r="DC783" s="134">
        <v>13.3</v>
      </c>
      <c r="DD783" s="134">
        <v>1.8</v>
      </c>
      <c r="DE783" s="134" t="s">
        <v>24</v>
      </c>
      <c r="DF783" s="691" t="s">
        <v>5785</v>
      </c>
      <c r="DG783" s="691" t="s">
        <v>5786</v>
      </c>
      <c r="DH783" s="1171"/>
      <c r="DI783" s="1169"/>
      <c r="DJ783" s="1169"/>
      <c r="DK783" s="1169"/>
      <c r="DL783" s="1171"/>
      <c r="DM783" s="1169"/>
      <c r="DN783" s="1169"/>
      <c r="DO783" s="1169"/>
      <c r="DP783" s="288"/>
      <c r="DQ783" s="289"/>
      <c r="DR783" s="1168"/>
      <c r="DS783" s="865"/>
      <c r="DT783" s="1169"/>
      <c r="DU783" s="1188"/>
      <c r="DV783" s="1188"/>
      <c r="DW783" s="1188"/>
      <c r="DX783" s="1169"/>
      <c r="DY783" s="1169"/>
      <c r="DZ783" s="1169"/>
      <c r="EA783" s="1169"/>
      <c r="EB783" s="304"/>
      <c r="EC783" s="312"/>
      <c r="ED783" s="1169"/>
      <c r="EE783" s="1169"/>
      <c r="EF783" s="1169"/>
      <c r="EG783" s="1169"/>
      <c r="EH783" s="1169"/>
      <c r="EI783" s="1169"/>
      <c r="EJ783" s="1169"/>
      <c r="EK783" s="1169"/>
      <c r="EL783" s="304"/>
      <c r="EM783" s="312"/>
      <c r="EN783" s="309"/>
      <c r="EO783" s="1170"/>
      <c r="EP783" s="1169"/>
      <c r="EQ783" s="1169"/>
      <c r="ER783" s="1169"/>
      <c r="ES783" s="1169"/>
      <c r="ET783" s="1169"/>
      <c r="EU783" s="1169"/>
      <c r="EV783" s="1169"/>
      <c r="EW783" s="1169"/>
      <c r="EX783" s="312"/>
      <c r="EY783" s="312"/>
      <c r="EZ783" s="1171"/>
      <c r="FA783" s="1169"/>
      <c r="FB783" s="1169"/>
      <c r="FC783" s="1169"/>
      <c r="FD783" s="1171"/>
      <c r="FE783" s="1169"/>
      <c r="FF783" s="1169"/>
      <c r="FG783" s="1169"/>
      <c r="FH783" s="312"/>
      <c r="FI783" s="312"/>
      <c r="FJ783" s="1170"/>
    </row>
    <row r="784" spans="1:166" ht="18" hidden="1" customHeight="1">
      <c r="A784" s="79" t="s">
        <v>336</v>
      </c>
      <c r="B784" s="362">
        <v>241</v>
      </c>
      <c r="C784" s="362"/>
      <c r="D784" s="362"/>
      <c r="E784" s="604" t="s">
        <v>2036</v>
      </c>
      <c r="F784" s="124" t="s">
        <v>2274</v>
      </c>
      <c r="G784" s="125">
        <v>1998</v>
      </c>
      <c r="H784" s="79">
        <v>9460740</v>
      </c>
      <c r="I784" s="79">
        <v>1</v>
      </c>
      <c r="J784" s="126"/>
      <c r="K784" s="127"/>
      <c r="L784" s="79">
        <v>1</v>
      </c>
      <c r="M784" s="79"/>
      <c r="N784" s="79">
        <v>1</v>
      </c>
      <c r="O784" s="128">
        <v>1</v>
      </c>
      <c r="P784" s="79" t="s">
        <v>31</v>
      </c>
      <c r="Q784" s="79" t="s">
        <v>1157</v>
      </c>
      <c r="R784" s="79" t="s">
        <v>819</v>
      </c>
      <c r="S784" s="79">
        <v>1</v>
      </c>
      <c r="T784" s="79"/>
      <c r="U784" s="79"/>
      <c r="V784" s="79"/>
      <c r="W784" s="79" t="s">
        <v>873</v>
      </c>
      <c r="X784" s="79" t="s">
        <v>24</v>
      </c>
      <c r="Y784" s="79" t="s">
        <v>24</v>
      </c>
      <c r="Z784" s="79"/>
      <c r="AA784" s="79"/>
      <c r="AB784" s="79"/>
      <c r="AC784" s="506"/>
      <c r="AD784" s="573">
        <v>1</v>
      </c>
      <c r="AE784" s="573">
        <v>2</v>
      </c>
      <c r="AF784" s="154">
        <v>1</v>
      </c>
      <c r="AG784" s="155"/>
      <c r="AH784" s="704"/>
      <c r="AI784" s="121">
        <v>2</v>
      </c>
      <c r="AJ784" s="484"/>
      <c r="AK784" s="202" t="s">
        <v>5804</v>
      </c>
      <c r="AL784" s="192">
        <v>1</v>
      </c>
      <c r="AM784" s="203">
        <v>0</v>
      </c>
      <c r="AN784" s="121">
        <f>Table66[[#This Row],[Data_Subjects_n_ptsd]]+Table66[[#This Row],[Data_Subjects_n_control]]</f>
        <v>43</v>
      </c>
      <c r="AO784" s="121">
        <v>24</v>
      </c>
      <c r="AP784" s="121">
        <v>19</v>
      </c>
      <c r="AQ784" s="134" t="s">
        <v>5744</v>
      </c>
      <c r="AR784" s="121" t="s">
        <v>5745</v>
      </c>
      <c r="AS784" s="121">
        <v>36.299999999999997</v>
      </c>
      <c r="AT784" s="121">
        <v>9.8000000000000007</v>
      </c>
      <c r="AU784" s="121">
        <v>35.299999999999997</v>
      </c>
      <c r="AV784" s="121">
        <v>8.6999999999999993</v>
      </c>
      <c r="AW784" s="121" t="s">
        <v>5746</v>
      </c>
      <c r="AX784" s="121"/>
      <c r="AY784" s="121"/>
      <c r="AZ784" s="754" t="s">
        <v>1874</v>
      </c>
      <c r="BA784" s="121" t="s">
        <v>24</v>
      </c>
      <c r="BB784" s="121" t="s">
        <v>24</v>
      </c>
      <c r="BC784" s="121" t="s">
        <v>5749</v>
      </c>
      <c r="BD784" s="754" t="s">
        <v>7521</v>
      </c>
      <c r="BE784" s="187">
        <v>0</v>
      </c>
      <c r="BF784" s="121" t="s">
        <v>5747</v>
      </c>
      <c r="BG784" s="121" t="s">
        <v>5748</v>
      </c>
      <c r="BH784" s="594"/>
      <c r="BI784" s="594"/>
      <c r="BJ784" s="156"/>
      <c r="BK784" s="156"/>
      <c r="BL784" s="156" t="s">
        <v>4727</v>
      </c>
      <c r="BM784" s="156"/>
      <c r="BN784" s="156"/>
      <c r="BO784" s="156"/>
      <c r="BP784" s="156">
        <v>1</v>
      </c>
      <c r="BQ784" s="156"/>
      <c r="BR784" s="156"/>
      <c r="BS784" s="156"/>
      <c r="BT784" s="156" t="s">
        <v>4727</v>
      </c>
      <c r="BU784" s="156"/>
      <c r="BV784" s="156"/>
      <c r="BW784" s="595" t="s">
        <v>3843</v>
      </c>
      <c r="BX784" s="157" t="s">
        <v>6610</v>
      </c>
      <c r="BY784" s="797" t="s">
        <v>7616</v>
      </c>
      <c r="BZ784" s="789" t="s">
        <v>803</v>
      </c>
      <c r="CA784" s="765">
        <v>2</v>
      </c>
      <c r="CB784" s="765" t="s">
        <v>7556</v>
      </c>
      <c r="CC784" s="660" t="s">
        <v>7380</v>
      </c>
      <c r="CD784" s="134" t="s">
        <v>1876</v>
      </c>
      <c r="CE784" s="134">
        <v>2</v>
      </c>
      <c r="CF784" s="400"/>
      <c r="CG784" s="134" t="s">
        <v>5750</v>
      </c>
      <c r="CH784" s="753" t="s">
        <v>7307</v>
      </c>
      <c r="CI784" s="134" t="s">
        <v>24</v>
      </c>
      <c r="CJ784" s="134"/>
      <c r="CK784" s="134" t="s">
        <v>5751</v>
      </c>
      <c r="CL784" s="134" t="s">
        <v>8227</v>
      </c>
      <c r="CM784" s="259" t="s">
        <v>5802</v>
      </c>
      <c r="CN784" s="454" t="s">
        <v>24</v>
      </c>
      <c r="CO784" s="828">
        <v>79</v>
      </c>
      <c r="CP784" s="828">
        <v>1</v>
      </c>
      <c r="CQ784" s="828">
        <v>13</v>
      </c>
      <c r="CR784" s="828">
        <v>1</v>
      </c>
      <c r="CS784" s="828">
        <v>-1</v>
      </c>
      <c r="CT784" s="968"/>
      <c r="CU784" s="1288" t="s">
        <v>8103</v>
      </c>
      <c r="CV784" s="1294">
        <v>39</v>
      </c>
      <c r="CW784" s="1294">
        <v>33</v>
      </c>
      <c r="CX784" s="134" t="s">
        <v>5763</v>
      </c>
      <c r="CY784" s="134">
        <v>3.8</v>
      </c>
      <c r="CZ784" s="134">
        <v>3.6</v>
      </c>
      <c r="DA784" s="134" t="s">
        <v>24</v>
      </c>
      <c r="DB784" s="134" t="s">
        <v>5773</v>
      </c>
      <c r="DC784" s="134">
        <v>1.8</v>
      </c>
      <c r="DD784" s="134">
        <v>2.1</v>
      </c>
      <c r="DE784" s="134" t="s">
        <v>24</v>
      </c>
      <c r="DF784" s="135" t="s">
        <v>5787</v>
      </c>
      <c r="DG784" s="135" t="s">
        <v>5788</v>
      </c>
      <c r="DH784" s="1171"/>
      <c r="DI784" s="1169"/>
      <c r="DJ784" s="1169"/>
      <c r="DK784" s="1169"/>
      <c r="DL784" s="1171"/>
      <c r="DM784" s="1169"/>
      <c r="DN784" s="1169"/>
      <c r="DO784" s="1169"/>
      <c r="DP784" s="288"/>
      <c r="DQ784" s="289"/>
      <c r="DR784" s="1168"/>
      <c r="DS784" s="865"/>
      <c r="DT784" s="1169"/>
      <c r="DU784" s="1188"/>
      <c r="DV784" s="1188"/>
      <c r="DW784" s="1188"/>
      <c r="DX784" s="1169"/>
      <c r="DY784" s="1169"/>
      <c r="DZ784" s="1169"/>
      <c r="EA784" s="1169"/>
      <c r="EB784" s="304"/>
      <c r="EC784" s="312"/>
      <c r="ED784" s="1169"/>
      <c r="EE784" s="1169"/>
      <c r="EF784" s="1169"/>
      <c r="EG784" s="1169"/>
      <c r="EH784" s="1169"/>
      <c r="EI784" s="1169"/>
      <c r="EJ784" s="1169"/>
      <c r="EK784" s="1169"/>
      <c r="EL784" s="304"/>
      <c r="EM784" s="312"/>
      <c r="EN784" s="309"/>
      <c r="EO784" s="1170"/>
      <c r="EP784" s="1169"/>
      <c r="EQ784" s="1169"/>
      <c r="ER784" s="1169"/>
      <c r="ES784" s="1169"/>
      <c r="ET784" s="1169"/>
      <c r="EU784" s="1169"/>
      <c r="EV784" s="1169"/>
      <c r="EW784" s="1169"/>
      <c r="EX784" s="312"/>
      <c r="EY784" s="312"/>
      <c r="EZ784" s="1171"/>
      <c r="FA784" s="1169"/>
      <c r="FB784" s="1169"/>
      <c r="FC784" s="1169"/>
      <c r="FD784" s="1171"/>
      <c r="FE784" s="1169"/>
      <c r="FF784" s="1169"/>
      <c r="FG784" s="1169"/>
      <c r="FH784" s="312"/>
      <c r="FI784" s="312"/>
      <c r="FJ784" s="1170"/>
    </row>
    <row r="785" spans="1:166" ht="18" hidden="1" customHeight="1">
      <c r="A785" s="79" t="s">
        <v>337</v>
      </c>
      <c r="B785" s="362">
        <v>242</v>
      </c>
      <c r="C785" s="362">
        <v>88</v>
      </c>
      <c r="D785" s="362"/>
      <c r="E785" s="604" t="s">
        <v>2036</v>
      </c>
      <c r="F785" s="124" t="s">
        <v>2275</v>
      </c>
      <c r="G785" s="125">
        <v>2002</v>
      </c>
      <c r="H785" s="79">
        <v>11853357</v>
      </c>
      <c r="I785" s="79">
        <v>1</v>
      </c>
      <c r="J785" s="126"/>
      <c r="K785" s="127"/>
      <c r="L785" s="79">
        <v>1</v>
      </c>
      <c r="M785" s="79"/>
      <c r="N785" s="79">
        <v>1</v>
      </c>
      <c r="O785" s="128">
        <v>1</v>
      </c>
      <c r="P785" s="79" t="s">
        <v>874</v>
      </c>
      <c r="Q785" s="79" t="s">
        <v>1172</v>
      </c>
      <c r="R785" s="79" t="s">
        <v>25</v>
      </c>
      <c r="S785" s="79">
        <v>1</v>
      </c>
      <c r="T785" s="79"/>
      <c r="U785" s="79"/>
      <c r="V785" s="79"/>
      <c r="W785" s="79" t="s">
        <v>875</v>
      </c>
      <c r="X785" s="79" t="s">
        <v>24</v>
      </c>
      <c r="Y785" s="79" t="s">
        <v>24</v>
      </c>
      <c r="Z785" s="79"/>
      <c r="AA785" s="79"/>
      <c r="AB785" s="79"/>
      <c r="AC785" s="506"/>
      <c r="AD785" s="573">
        <v>1</v>
      </c>
      <c r="AE785" s="573">
        <v>2</v>
      </c>
      <c r="AF785" s="154">
        <v>1</v>
      </c>
      <c r="AG785" s="155"/>
      <c r="AH785" s="704"/>
      <c r="AI785" s="121">
        <v>2</v>
      </c>
      <c r="AJ785" s="524" t="s">
        <v>5806</v>
      </c>
      <c r="AK785" s="202"/>
      <c r="AL785" s="192">
        <v>1</v>
      </c>
      <c r="AM785" s="203">
        <v>0</v>
      </c>
      <c r="AN785" s="121">
        <f>Table66[[#This Row],[Data_Subjects_n_ptsd]]+Table66[[#This Row],[Data_Subjects_n_control]]</f>
        <v>47</v>
      </c>
      <c r="AO785" s="121">
        <v>26</v>
      </c>
      <c r="AP785" s="121">
        <v>21</v>
      </c>
      <c r="AQ785" s="121" t="s">
        <v>803</v>
      </c>
      <c r="AR785" s="121" t="s">
        <v>803</v>
      </c>
      <c r="AS785" s="121">
        <v>50.19</v>
      </c>
      <c r="AT785" s="121">
        <v>3.28</v>
      </c>
      <c r="AU785" s="121">
        <v>51.57</v>
      </c>
      <c r="AV785" s="121">
        <v>4.91</v>
      </c>
      <c r="AW785" s="121" t="s">
        <v>3206</v>
      </c>
      <c r="AX785" s="121"/>
      <c r="AY785" s="121"/>
      <c r="AZ785" s="754" t="s">
        <v>1874</v>
      </c>
      <c r="BA785" s="121" t="s">
        <v>24</v>
      </c>
      <c r="BB785" s="121" t="s">
        <v>24</v>
      </c>
      <c r="BC785" s="121" t="s">
        <v>5021</v>
      </c>
      <c r="BD785" s="754" t="s">
        <v>7521</v>
      </c>
      <c r="BE785" s="187">
        <v>0</v>
      </c>
      <c r="BF785" s="121" t="s">
        <v>3835</v>
      </c>
      <c r="BG785" s="121" t="s">
        <v>5805</v>
      </c>
      <c r="BH785" s="594"/>
      <c r="BI785" s="594"/>
      <c r="BJ785" s="156"/>
      <c r="BK785" s="156"/>
      <c r="BL785" s="156" t="s">
        <v>4727</v>
      </c>
      <c r="BM785" s="156"/>
      <c r="BN785" s="156"/>
      <c r="BO785" s="156"/>
      <c r="BP785" s="156">
        <v>1</v>
      </c>
      <c r="BQ785" s="156"/>
      <c r="BR785" s="156"/>
      <c r="BS785" s="156"/>
      <c r="BT785" s="156" t="s">
        <v>4727</v>
      </c>
      <c r="BU785" s="156"/>
      <c r="BV785" s="156"/>
      <c r="BW785" s="595" t="s">
        <v>5808</v>
      </c>
      <c r="BX785" s="157" t="s">
        <v>6611</v>
      </c>
      <c r="BY785" s="797" t="s">
        <v>7616</v>
      </c>
      <c r="BZ785" s="789" t="s">
        <v>803</v>
      </c>
      <c r="CA785" s="765">
        <v>2</v>
      </c>
      <c r="CB785" s="765" t="s">
        <v>7556</v>
      </c>
      <c r="CC785" s="660" t="s">
        <v>7380</v>
      </c>
      <c r="CD785" s="134" t="s">
        <v>1876</v>
      </c>
      <c r="CE785" s="134">
        <v>2</v>
      </c>
      <c r="CF785" s="400"/>
      <c r="CG785" s="134" t="s">
        <v>4178</v>
      </c>
      <c r="CH785" s="753" t="s">
        <v>7307</v>
      </c>
      <c r="CI785" s="134" t="s">
        <v>24</v>
      </c>
      <c r="CJ785" s="134"/>
      <c r="CK785" s="134" t="s">
        <v>5810</v>
      </c>
      <c r="CL785" s="134" t="s">
        <v>8219</v>
      </c>
      <c r="CM785" s="259" t="s">
        <v>5824</v>
      </c>
      <c r="CN785" s="454" t="s">
        <v>24</v>
      </c>
      <c r="CO785" s="828">
        <v>80</v>
      </c>
      <c r="CP785" s="828">
        <v>1</v>
      </c>
      <c r="CQ785" s="828">
        <v>4</v>
      </c>
      <c r="CR785" s="828">
        <v>1</v>
      </c>
      <c r="CS785" s="828">
        <v>1</v>
      </c>
      <c r="CT785" s="967"/>
      <c r="CU785" s="1288" t="s">
        <v>8103</v>
      </c>
      <c r="CV785" s="1294">
        <v>40</v>
      </c>
      <c r="CW785" s="1294">
        <v>34</v>
      </c>
      <c r="CX785" s="138" t="s">
        <v>5817</v>
      </c>
      <c r="CY785" s="134">
        <v>0.76</v>
      </c>
      <c r="CZ785" s="134">
        <v>0.21</v>
      </c>
      <c r="DA785" s="134" t="s">
        <v>24</v>
      </c>
      <c r="DB785" s="138" t="s">
        <v>5818</v>
      </c>
      <c r="DC785" s="134">
        <v>0.8</v>
      </c>
      <c r="DD785" s="134">
        <v>0.13</v>
      </c>
      <c r="DE785" s="134" t="s">
        <v>24</v>
      </c>
      <c r="DF785" s="435" t="s">
        <v>5821</v>
      </c>
      <c r="DG785" s="437" t="s">
        <v>5822</v>
      </c>
      <c r="DH785" s="1276"/>
      <c r="DI785" s="121"/>
      <c r="DJ785" s="1169"/>
      <c r="DK785" s="121"/>
      <c r="DL785" s="1171"/>
      <c r="DM785" s="121"/>
      <c r="DN785" s="1169"/>
      <c r="DO785" s="121"/>
      <c r="DP785" s="288"/>
      <c r="DQ785" s="289"/>
      <c r="DR785" s="1168"/>
      <c r="DS785" s="865"/>
      <c r="DT785" s="1171"/>
      <c r="DU785" s="121"/>
      <c r="DV785" s="1169"/>
      <c r="DW785" s="121"/>
      <c r="DX785" s="1171"/>
      <c r="DY785" s="121"/>
      <c r="DZ785" s="1169"/>
      <c r="EA785" s="121"/>
      <c r="EB785" s="304"/>
      <c r="EC785" s="312"/>
      <c r="ED785" s="1169"/>
      <c r="EE785" s="1169"/>
      <c r="EF785" s="1169"/>
      <c r="EG785" s="1169"/>
      <c r="EH785" s="1169"/>
      <c r="EI785" s="1169"/>
      <c r="EJ785" s="1169"/>
      <c r="EK785" s="1169"/>
      <c r="EL785" s="304"/>
      <c r="EM785" s="312"/>
      <c r="EN785" s="309"/>
      <c r="EO785" s="1170"/>
      <c r="EP785" s="1169"/>
      <c r="EQ785" s="1169"/>
      <c r="ER785" s="1169"/>
      <c r="ES785" s="1169"/>
      <c r="ET785" s="1171"/>
      <c r="EU785" s="1169"/>
      <c r="EV785" s="1169"/>
      <c r="EW785" s="1169"/>
      <c r="EX785" s="312"/>
      <c r="EY785" s="312"/>
      <c r="EZ785" s="1171"/>
      <c r="FA785" s="1169"/>
      <c r="FB785" s="1169"/>
      <c r="FC785" s="1169"/>
      <c r="FD785" s="1171"/>
      <c r="FE785" s="1169"/>
      <c r="FF785" s="1169"/>
      <c r="FG785" s="1169"/>
      <c r="FH785" s="312"/>
      <c r="FI785" s="312"/>
      <c r="FJ785" s="1170"/>
    </row>
    <row r="786" spans="1:166" ht="18" hidden="1" customHeight="1">
      <c r="A786" s="79" t="s">
        <v>337</v>
      </c>
      <c r="B786" s="362">
        <v>242</v>
      </c>
      <c r="C786" s="362">
        <v>88</v>
      </c>
      <c r="D786" s="362"/>
      <c r="E786" s="604" t="s">
        <v>2036</v>
      </c>
      <c r="F786" s="124" t="s">
        <v>2275</v>
      </c>
      <c r="G786" s="125">
        <v>2002</v>
      </c>
      <c r="H786" s="79">
        <v>11853357</v>
      </c>
      <c r="I786" s="79">
        <v>1</v>
      </c>
      <c r="J786" s="126"/>
      <c r="K786" s="127"/>
      <c r="L786" s="79">
        <v>1</v>
      </c>
      <c r="M786" s="79"/>
      <c r="N786" s="79">
        <v>1</v>
      </c>
      <c r="O786" s="128">
        <v>1</v>
      </c>
      <c r="P786" s="79" t="s">
        <v>874</v>
      </c>
      <c r="Q786" s="79" t="s">
        <v>1172</v>
      </c>
      <c r="R786" s="79" t="s">
        <v>25</v>
      </c>
      <c r="S786" s="79">
        <v>1</v>
      </c>
      <c r="T786" s="79"/>
      <c r="U786" s="79"/>
      <c r="V786" s="79"/>
      <c r="W786" s="79" t="s">
        <v>875</v>
      </c>
      <c r="X786" s="79" t="s">
        <v>24</v>
      </c>
      <c r="Y786" s="79" t="s">
        <v>24</v>
      </c>
      <c r="Z786" s="79"/>
      <c r="AA786" s="79"/>
      <c r="AB786" s="79"/>
      <c r="AC786" s="506"/>
      <c r="AD786" s="573">
        <v>1</v>
      </c>
      <c r="AE786" s="573">
        <v>2</v>
      </c>
      <c r="AF786" s="154">
        <v>1</v>
      </c>
      <c r="AG786" s="155"/>
      <c r="AH786" s="704"/>
      <c r="AI786" s="121">
        <v>2</v>
      </c>
      <c r="AJ786" s="524" t="s">
        <v>5806</v>
      </c>
      <c r="AK786" s="202"/>
      <c r="AL786" s="192">
        <v>1</v>
      </c>
      <c r="AM786" s="203">
        <v>0</v>
      </c>
      <c r="AN786" s="121">
        <f>Table66[[#This Row],[Data_Subjects_n_ptsd]]+Table66[[#This Row],[Data_Subjects_n_control]]</f>
        <v>47</v>
      </c>
      <c r="AO786" s="121">
        <v>26</v>
      </c>
      <c r="AP786" s="121">
        <v>21</v>
      </c>
      <c r="AQ786" s="121" t="s">
        <v>803</v>
      </c>
      <c r="AR786" s="121" t="s">
        <v>803</v>
      </c>
      <c r="AS786" s="121">
        <v>50.19</v>
      </c>
      <c r="AT786" s="121">
        <v>3.28</v>
      </c>
      <c r="AU786" s="121">
        <v>51.57</v>
      </c>
      <c r="AV786" s="121">
        <v>4.91</v>
      </c>
      <c r="AW786" s="121" t="s">
        <v>3206</v>
      </c>
      <c r="AX786" s="121"/>
      <c r="AY786" s="121"/>
      <c r="AZ786" s="754" t="s">
        <v>1874</v>
      </c>
      <c r="BA786" s="121" t="s">
        <v>24</v>
      </c>
      <c r="BB786" s="121" t="s">
        <v>24</v>
      </c>
      <c r="BC786" s="121" t="s">
        <v>5021</v>
      </c>
      <c r="BD786" s="754" t="s">
        <v>7521</v>
      </c>
      <c r="BE786" s="187">
        <v>0</v>
      </c>
      <c r="BF786" s="121" t="s">
        <v>3835</v>
      </c>
      <c r="BG786" s="121" t="s">
        <v>5805</v>
      </c>
      <c r="BH786" s="594"/>
      <c r="BI786" s="594"/>
      <c r="BJ786" s="156"/>
      <c r="BK786" s="156"/>
      <c r="BL786" s="156" t="s">
        <v>4727</v>
      </c>
      <c r="BM786" s="156"/>
      <c r="BN786" s="156"/>
      <c r="BO786" s="156"/>
      <c r="BP786" s="156">
        <v>1</v>
      </c>
      <c r="BQ786" s="156"/>
      <c r="BR786" s="156"/>
      <c r="BS786" s="156"/>
      <c r="BT786" s="156" t="s">
        <v>4727</v>
      </c>
      <c r="BU786" s="156"/>
      <c r="BV786" s="156"/>
      <c r="BW786" s="595" t="s">
        <v>5808</v>
      </c>
      <c r="BX786" s="157" t="s">
        <v>6611</v>
      </c>
      <c r="BY786" s="797" t="s">
        <v>7616</v>
      </c>
      <c r="BZ786" s="789" t="s">
        <v>803</v>
      </c>
      <c r="CA786" s="765">
        <v>2</v>
      </c>
      <c r="CB786" s="765" t="s">
        <v>7556</v>
      </c>
      <c r="CC786" s="660" t="s">
        <v>7380</v>
      </c>
      <c r="CD786" s="134" t="s">
        <v>1876</v>
      </c>
      <c r="CE786" s="134">
        <v>2</v>
      </c>
      <c r="CF786" s="400"/>
      <c r="CG786" s="134" t="s">
        <v>4178</v>
      </c>
      <c r="CH786" s="753" t="s">
        <v>7307</v>
      </c>
      <c r="CI786" s="134" t="s">
        <v>24</v>
      </c>
      <c r="CJ786" s="134"/>
      <c r="CK786" s="134" t="s">
        <v>5810</v>
      </c>
      <c r="CL786" s="134" t="s">
        <v>8229</v>
      </c>
      <c r="CM786" s="259" t="s">
        <v>5824</v>
      </c>
      <c r="CN786" s="454" t="s">
        <v>24</v>
      </c>
      <c r="CO786" s="828">
        <v>80</v>
      </c>
      <c r="CP786" s="828">
        <v>1</v>
      </c>
      <c r="CQ786" s="828">
        <v>4</v>
      </c>
      <c r="CR786" s="828">
        <v>1</v>
      </c>
      <c r="CS786" s="828">
        <v>1</v>
      </c>
      <c r="CT786" s="967"/>
      <c r="CU786" s="1288" t="s">
        <v>8103</v>
      </c>
      <c r="CV786" s="1294">
        <v>40</v>
      </c>
      <c r="CW786" s="1294">
        <v>34</v>
      </c>
      <c r="CX786" s="138" t="s">
        <v>5819</v>
      </c>
      <c r="CY786" s="134">
        <v>0.98</v>
      </c>
      <c r="CZ786" s="134">
        <v>0.28999999999999998</v>
      </c>
      <c r="DA786" s="134" t="s">
        <v>24</v>
      </c>
      <c r="DB786" s="138" t="s">
        <v>5820</v>
      </c>
      <c r="DC786" s="134">
        <v>0.98</v>
      </c>
      <c r="DD786" s="134">
        <v>0.16</v>
      </c>
      <c r="DE786" s="134" t="s">
        <v>24</v>
      </c>
      <c r="DF786" s="300" t="s">
        <v>5823</v>
      </c>
      <c r="DG786" s="301" t="s">
        <v>5827</v>
      </c>
      <c r="DH786" s="1276"/>
      <c r="DI786" s="121"/>
      <c r="DJ786" s="1169"/>
      <c r="DK786" s="121"/>
      <c r="DL786" s="1171"/>
      <c r="DM786" s="121"/>
      <c r="DN786" s="1169"/>
      <c r="DO786" s="121"/>
      <c r="DP786" s="288"/>
      <c r="DQ786" s="289"/>
      <c r="DR786" s="1168"/>
      <c r="DS786" s="865"/>
      <c r="DT786" s="1171"/>
      <c r="DU786" s="1169"/>
      <c r="DV786" s="1169"/>
      <c r="DW786" s="1169"/>
      <c r="DX786" s="1171"/>
      <c r="DY786" s="1169"/>
      <c r="DZ786" s="1169"/>
      <c r="EA786" s="1169"/>
      <c r="EB786" s="304"/>
      <c r="EC786" s="312"/>
      <c r="ED786" s="1169"/>
      <c r="EE786" s="1169"/>
      <c r="EF786" s="1169"/>
      <c r="EG786" s="1169"/>
      <c r="EH786" s="1169"/>
      <c r="EI786" s="1169"/>
      <c r="EJ786" s="1169"/>
      <c r="EK786" s="1169"/>
      <c r="EL786" s="304"/>
      <c r="EM786" s="312"/>
      <c r="EN786" s="309"/>
      <c r="EO786" s="1170"/>
      <c r="EP786" s="1169"/>
      <c r="EQ786" s="1169"/>
      <c r="ER786" s="1169"/>
      <c r="ES786" s="1169"/>
      <c r="ET786" s="1171"/>
      <c r="EU786" s="1169"/>
      <c r="EV786" s="1169"/>
      <c r="EW786" s="1169"/>
      <c r="EX786" s="312"/>
      <c r="EY786" s="312"/>
      <c r="EZ786" s="1171"/>
      <c r="FA786" s="1169"/>
      <c r="FB786" s="1169"/>
      <c r="FC786" s="1169"/>
      <c r="FD786" s="1171"/>
      <c r="FE786" s="1169"/>
      <c r="FF786" s="1169"/>
      <c r="FG786" s="1169"/>
      <c r="FH786" s="312"/>
      <c r="FI786" s="312"/>
      <c r="FJ786" s="1170"/>
    </row>
    <row r="787" spans="1:166" ht="18" hidden="1" customHeight="1">
      <c r="A787" s="158" t="s">
        <v>946</v>
      </c>
      <c r="B787" s="1094">
        <v>53</v>
      </c>
      <c r="C787" s="1094"/>
      <c r="D787" s="1094"/>
      <c r="E787" s="1095" t="s">
        <v>2129</v>
      </c>
      <c r="F787" s="711" t="s">
        <v>2393</v>
      </c>
      <c r="G787" s="1096">
        <v>2012</v>
      </c>
      <c r="H787" s="158">
        <v>22927935</v>
      </c>
      <c r="I787" s="158">
        <v>1</v>
      </c>
      <c r="J787" s="158">
        <v>1</v>
      </c>
      <c r="K787" s="158"/>
      <c r="L787" s="158">
        <v>1</v>
      </c>
      <c r="M787" s="158"/>
      <c r="N787" s="158">
        <v>1</v>
      </c>
      <c r="O787" s="158">
        <v>2</v>
      </c>
      <c r="P787" s="158" t="s">
        <v>1220</v>
      </c>
      <c r="Q787" s="158" t="s">
        <v>1216</v>
      </c>
      <c r="R787" s="158" t="s">
        <v>1138</v>
      </c>
      <c r="S787" s="158"/>
      <c r="T787" s="158" t="s">
        <v>1541</v>
      </c>
      <c r="U787" s="158" t="s">
        <v>1638</v>
      </c>
      <c r="V787" s="158"/>
      <c r="W787" s="158" t="s">
        <v>1501</v>
      </c>
      <c r="X787" s="158"/>
      <c r="Y787" s="158" t="s">
        <v>1637</v>
      </c>
      <c r="Z787" s="158"/>
      <c r="AA787" s="158"/>
      <c r="AB787" s="158"/>
      <c r="AC787" s="800"/>
      <c r="AD787" s="800">
        <v>1</v>
      </c>
      <c r="AE787" s="800">
        <v>2</v>
      </c>
      <c r="AF787" s="743">
        <v>0</v>
      </c>
      <c r="AG787" s="744" t="s">
        <v>7512</v>
      </c>
      <c r="AH787" s="734" t="s">
        <v>7266</v>
      </c>
      <c r="AI787" s="734">
        <v>5</v>
      </c>
      <c r="AJ787" s="734"/>
      <c r="AK787" s="739" t="s">
        <v>3755</v>
      </c>
      <c r="AL787" s="372">
        <v>2</v>
      </c>
      <c r="AM787" s="724" t="s">
        <v>3757</v>
      </c>
      <c r="AN787" s="734">
        <f>24+12</f>
        <v>36</v>
      </c>
      <c r="AO787" s="734" t="s">
        <v>3728</v>
      </c>
      <c r="AP787" s="734">
        <v>12</v>
      </c>
      <c r="AQ787" s="734" t="s">
        <v>1878</v>
      </c>
      <c r="AR787" s="734" t="s">
        <v>1878</v>
      </c>
      <c r="AS787" s="734" t="s">
        <v>3727</v>
      </c>
      <c r="AT787" s="734" t="s">
        <v>24</v>
      </c>
      <c r="AU787" s="734" t="s">
        <v>3727</v>
      </c>
      <c r="AV787" s="734" t="s">
        <v>24</v>
      </c>
      <c r="AW787" s="509" t="s">
        <v>3729</v>
      </c>
      <c r="AX787" s="734">
        <v>3</v>
      </c>
      <c r="AY787" s="734">
        <v>1.5</v>
      </c>
      <c r="AZ787" s="755" t="s">
        <v>1814</v>
      </c>
      <c r="BA787" s="734" t="s">
        <v>3730</v>
      </c>
      <c r="BB787" s="734" t="s">
        <v>3732</v>
      </c>
      <c r="BC787" s="734" t="s">
        <v>3515</v>
      </c>
      <c r="BD787" s="755"/>
      <c r="BE787" s="755"/>
      <c r="BF787" s="734" t="s">
        <v>3725</v>
      </c>
      <c r="BG787" s="734" t="s">
        <v>3279</v>
      </c>
      <c r="BH787" s="372"/>
      <c r="BI787" s="372"/>
      <c r="BJ787" s="735">
        <v>1</v>
      </c>
      <c r="BK787" s="735"/>
      <c r="BL787" s="735"/>
      <c r="BM787" s="735"/>
      <c r="BN787" s="735"/>
      <c r="BO787" s="735"/>
      <c r="BP787" s="735"/>
      <c r="BQ787" s="735"/>
      <c r="BR787" s="735"/>
      <c r="BS787" s="735"/>
      <c r="BT787" s="735"/>
      <c r="BU787" s="735"/>
      <c r="BV787" s="735"/>
      <c r="BW787" s="735" t="s">
        <v>3736</v>
      </c>
      <c r="BX787" s="736" t="s">
        <v>6595</v>
      </c>
      <c r="BY787" s="736"/>
      <c r="BZ787" s="736"/>
      <c r="CA787" s="735"/>
      <c r="CB787" s="735"/>
      <c r="CC787" s="735"/>
      <c r="CD787" s="734" t="s">
        <v>1876</v>
      </c>
      <c r="CE787" s="734" t="s">
        <v>3737</v>
      </c>
      <c r="CF787" s="734"/>
      <c r="CG787" s="734" t="s">
        <v>3734</v>
      </c>
      <c r="CH787" s="755"/>
      <c r="CI787" s="734" t="s">
        <v>3726</v>
      </c>
      <c r="CJ787" s="734"/>
      <c r="CK787" s="734" t="s">
        <v>3722</v>
      </c>
      <c r="CL787" s="734" t="s">
        <v>6640</v>
      </c>
      <c r="CM787" s="737" t="s">
        <v>3759</v>
      </c>
      <c r="CN787" s="738" t="s">
        <v>6627</v>
      </c>
      <c r="CO787" s="738"/>
      <c r="CP787" s="738"/>
      <c r="CQ787" s="738"/>
      <c r="CR787" s="738"/>
      <c r="CS787" s="738"/>
      <c r="CT787" s="738"/>
      <c r="CU787" s="738"/>
      <c r="CV787" s="738"/>
      <c r="CW787" s="738"/>
      <c r="CX787" s="736" t="s">
        <v>3747</v>
      </c>
      <c r="CY787" s="734">
        <v>6.88</v>
      </c>
      <c r="CZ787" s="734" t="s">
        <v>24</v>
      </c>
      <c r="DA787" s="734">
        <v>0.41</v>
      </c>
      <c r="DB787" s="736" t="s">
        <v>3748</v>
      </c>
      <c r="DC787" s="734">
        <v>1.29</v>
      </c>
      <c r="DD787" s="734" t="s">
        <v>24</v>
      </c>
      <c r="DE787" s="734">
        <v>0.23</v>
      </c>
      <c r="DF787" s="621" t="s">
        <v>3744</v>
      </c>
      <c r="DG787" s="509" t="s">
        <v>2588</v>
      </c>
      <c r="DH787" s="736" t="s">
        <v>3749</v>
      </c>
      <c r="DI787" s="734">
        <v>4.74</v>
      </c>
      <c r="DJ787" s="778" t="s">
        <v>24</v>
      </c>
      <c r="DK787" s="734">
        <v>0.46</v>
      </c>
      <c r="DL787" s="1180" t="s">
        <v>3750</v>
      </c>
      <c r="DM787" s="734">
        <v>1.29</v>
      </c>
      <c r="DN787" s="778" t="s">
        <v>24</v>
      </c>
      <c r="DO787" s="734">
        <v>0.23</v>
      </c>
      <c r="DP787" s="737" t="s">
        <v>3745</v>
      </c>
      <c r="DQ787" s="372" t="s">
        <v>2588</v>
      </c>
      <c r="DR787" s="1182" t="s">
        <v>24</v>
      </c>
      <c r="DS787" s="956" t="s">
        <v>24</v>
      </c>
      <c r="DT787" s="1272" t="s">
        <v>3751</v>
      </c>
      <c r="DU787" s="1272">
        <v>3.66</v>
      </c>
      <c r="DV787" s="1272" t="s">
        <v>24</v>
      </c>
      <c r="DW787" s="1272">
        <v>0.33</v>
      </c>
      <c r="DX787" s="1272" t="s">
        <v>3752</v>
      </c>
      <c r="DY787" s="778">
        <v>1.65</v>
      </c>
      <c r="DZ787" s="778" t="s">
        <v>24</v>
      </c>
      <c r="EA787" s="778">
        <v>0.4</v>
      </c>
      <c r="EB787" s="746" t="s">
        <v>3746</v>
      </c>
      <c r="EC787" s="747" t="s">
        <v>2588</v>
      </c>
      <c r="ED787" s="1272" t="s">
        <v>3753</v>
      </c>
      <c r="EE787" s="1272">
        <v>2.89</v>
      </c>
      <c r="EF787" s="1272" t="s">
        <v>24</v>
      </c>
      <c r="EG787" s="1272">
        <v>0.56999999999999995</v>
      </c>
      <c r="EH787" s="1272" t="s">
        <v>3754</v>
      </c>
      <c r="EI787" s="778">
        <v>1.24</v>
      </c>
      <c r="EJ787" s="778" t="s">
        <v>24</v>
      </c>
      <c r="EK787" s="778">
        <v>0.17</v>
      </c>
      <c r="EL787" s="746" t="s">
        <v>3746</v>
      </c>
      <c r="EM787" s="747" t="s">
        <v>2588</v>
      </c>
      <c r="EN787" s="1181"/>
      <c r="EO787" s="778"/>
      <c r="EP787" s="734"/>
      <c r="EQ787" s="734"/>
      <c r="ER787" s="734"/>
      <c r="ES787" s="734"/>
      <c r="ET787" s="736"/>
      <c r="EU787" s="778"/>
      <c r="EV787" s="778"/>
      <c r="EW787" s="778"/>
      <c r="EX787" s="734"/>
      <c r="EY787" s="734"/>
      <c r="EZ787" s="1180"/>
      <c r="FA787" s="778"/>
      <c r="FB787" s="778"/>
      <c r="FC787" s="778"/>
      <c r="FD787" s="1180"/>
      <c r="FE787" s="778"/>
      <c r="FF787" s="778"/>
      <c r="FG787" s="778"/>
      <c r="FH787" s="778"/>
      <c r="FI787" s="778"/>
      <c r="FJ787" s="778"/>
    </row>
    <row r="788" spans="1:166" ht="18" hidden="1" customHeight="1">
      <c r="A788" s="79" t="s">
        <v>965</v>
      </c>
      <c r="B788" s="617">
        <v>234</v>
      </c>
      <c r="C788" s="617">
        <v>85</v>
      </c>
      <c r="D788" s="617"/>
      <c r="E788" s="608" t="s">
        <v>2120</v>
      </c>
      <c r="F788" s="181" t="s">
        <v>2381</v>
      </c>
      <c r="G788" s="182">
        <v>2014</v>
      </c>
      <c r="H788" s="79">
        <v>24975424</v>
      </c>
      <c r="I788" s="79">
        <v>1</v>
      </c>
      <c r="J788" s="79" t="s">
        <v>1788</v>
      </c>
      <c r="K788" s="79" t="s">
        <v>23</v>
      </c>
      <c r="L788" s="79">
        <v>1</v>
      </c>
      <c r="M788" s="79"/>
      <c r="N788" s="79">
        <v>1</v>
      </c>
      <c r="O788" s="128">
        <v>2</v>
      </c>
      <c r="P788" s="79" t="s">
        <v>1398</v>
      </c>
      <c r="Q788" s="79" t="s">
        <v>1216</v>
      </c>
      <c r="R788" s="79" t="s">
        <v>1127</v>
      </c>
      <c r="S788" s="79"/>
      <c r="T788" s="79" t="s">
        <v>1487</v>
      </c>
      <c r="U788" s="79" t="s">
        <v>803</v>
      </c>
      <c r="V788" s="79"/>
      <c r="W788" s="79" t="s">
        <v>1599</v>
      </c>
      <c r="X788" s="79"/>
      <c r="Y788" s="79" t="s">
        <v>1132</v>
      </c>
      <c r="Z788" s="79"/>
      <c r="AA788" s="79" t="s">
        <v>1598</v>
      </c>
      <c r="AB788" s="79"/>
      <c r="AC788" s="506"/>
      <c r="AD788" s="573">
        <v>1</v>
      </c>
      <c r="AE788" s="573">
        <v>2</v>
      </c>
      <c r="AF788" s="352">
        <v>1</v>
      </c>
      <c r="AG788" s="353" t="s">
        <v>5861</v>
      </c>
      <c r="AH788" s="704"/>
      <c r="AI788" s="346">
        <v>4</v>
      </c>
      <c r="AJ788" s="487" t="s">
        <v>5875</v>
      </c>
      <c r="AK788" s="459"/>
      <c r="AL788" s="348" t="s">
        <v>5860</v>
      </c>
      <c r="AM788" s="349"/>
      <c r="AN788" s="346">
        <f>Table66[[#This Row],[Data_Subjects_n_ptsd]]+Table66[[#This Row],[Data_Subjects_n_control]]</f>
        <v>32</v>
      </c>
      <c r="AO788" s="346">
        <v>16</v>
      </c>
      <c r="AP788" s="346">
        <v>16</v>
      </c>
      <c r="AQ788" s="346" t="s">
        <v>803</v>
      </c>
      <c r="AR788" s="346" t="s">
        <v>803</v>
      </c>
      <c r="AS788" s="122" t="s">
        <v>7506</v>
      </c>
      <c r="AT788" s="346" t="s">
        <v>24</v>
      </c>
      <c r="AU788" s="122" t="s">
        <v>7506</v>
      </c>
      <c r="AV788" s="346" t="s">
        <v>24</v>
      </c>
      <c r="AW788" s="346" t="s">
        <v>5830</v>
      </c>
      <c r="AX788" s="346"/>
      <c r="AY788" s="346"/>
      <c r="AZ788" s="754" t="s">
        <v>1487</v>
      </c>
      <c r="BA788" s="346">
        <v>1</v>
      </c>
      <c r="BB788" s="346">
        <v>1</v>
      </c>
      <c r="BC788" s="346" t="s">
        <v>5831</v>
      </c>
      <c r="BD788" s="754" t="s">
        <v>7526</v>
      </c>
      <c r="BE788" s="754"/>
      <c r="BF788" s="346" t="s">
        <v>1130</v>
      </c>
      <c r="BG788" s="346" t="s">
        <v>4508</v>
      </c>
      <c r="BH788" s="598"/>
      <c r="BI788" s="598"/>
      <c r="BJ788" s="184"/>
      <c r="BK788" s="184"/>
      <c r="BL788" s="184"/>
      <c r="BM788" s="184"/>
      <c r="BN788" s="184"/>
      <c r="BO788" s="184"/>
      <c r="BP788" s="184">
        <v>1</v>
      </c>
      <c r="BQ788" s="184"/>
      <c r="BR788" s="184"/>
      <c r="BS788" s="184"/>
      <c r="BT788" s="184"/>
      <c r="BU788" s="184"/>
      <c r="BV788" s="184"/>
      <c r="BW788" s="600" t="s">
        <v>5832</v>
      </c>
      <c r="BX788" s="185" t="s">
        <v>6657</v>
      </c>
      <c r="BY788" s="797" t="s">
        <v>7613</v>
      </c>
      <c r="BZ788" s="791" t="s">
        <v>803</v>
      </c>
      <c r="CA788" s="660">
        <v>1</v>
      </c>
      <c r="CB788" s="660" t="s">
        <v>7556</v>
      </c>
      <c r="CC788" s="660" t="s">
        <v>7380</v>
      </c>
      <c r="CD788" s="186" t="s">
        <v>1876</v>
      </c>
      <c r="CE788" s="186" t="s">
        <v>5856</v>
      </c>
      <c r="CF788" s="400" t="s">
        <v>7589</v>
      </c>
      <c r="CG788" s="186" t="s">
        <v>5833</v>
      </c>
      <c r="CH788" s="753" t="s">
        <v>7310</v>
      </c>
      <c r="CI788" s="186" t="s">
        <v>5829</v>
      </c>
      <c r="CJ788" s="186"/>
      <c r="CK788" s="186" t="s">
        <v>5834</v>
      </c>
      <c r="CL788" s="134" t="s">
        <v>8286</v>
      </c>
      <c r="CM788" s="261" t="s">
        <v>5852</v>
      </c>
      <c r="CN788" s="620" t="s">
        <v>6627</v>
      </c>
      <c r="CO788" s="830">
        <v>75</v>
      </c>
      <c r="CP788" s="830">
        <v>2</v>
      </c>
      <c r="CQ788" s="830">
        <v>4</v>
      </c>
      <c r="CR788" s="830">
        <v>1</v>
      </c>
      <c r="CS788" s="830">
        <v>1</v>
      </c>
      <c r="CT788" s="969"/>
      <c r="CU788" s="1289" t="s">
        <v>8104</v>
      </c>
      <c r="CV788" s="1295">
        <v>126</v>
      </c>
      <c r="CW788" s="1295">
        <v>115</v>
      </c>
      <c r="CX788" s="267" t="s">
        <v>5846</v>
      </c>
      <c r="CY788" s="186">
        <v>13.3727</v>
      </c>
      <c r="CZ788" s="186" t="s">
        <v>24</v>
      </c>
      <c r="DA788" s="186">
        <f>16.7143-Table66[[#This Row],[Data_Outcome1_M]]</f>
        <v>3.3416000000000015</v>
      </c>
      <c r="DB788" s="267" t="s">
        <v>5847</v>
      </c>
      <c r="DC788" s="186">
        <v>4.4232100000000001</v>
      </c>
      <c r="DD788" s="186" t="s">
        <v>24</v>
      </c>
      <c r="DE788" s="186">
        <f>5.69302-Table66[[#This Row],[Data_Outcome2_M]]</f>
        <v>1.2698099999999997</v>
      </c>
      <c r="DF788" s="821" t="s">
        <v>5879</v>
      </c>
      <c r="DG788" s="821" t="s">
        <v>5878</v>
      </c>
      <c r="DH788" s="1195"/>
      <c r="DI788" s="676"/>
      <c r="DJ788" s="1189"/>
      <c r="DK788" s="676"/>
      <c r="DL788" s="1192"/>
      <c r="DM788" s="676"/>
      <c r="DN788" s="1189"/>
      <c r="DO788" s="1152"/>
      <c r="DP788" s="294"/>
      <c r="DQ788" s="1116"/>
      <c r="DR788" s="1168"/>
      <c r="DS788" s="865"/>
      <c r="DT788" s="1192"/>
      <c r="DU788" s="676"/>
      <c r="DV788" s="1189"/>
      <c r="DW788" s="676"/>
      <c r="DX788" s="1192"/>
      <c r="DY788" s="676"/>
      <c r="DZ788" s="1189"/>
      <c r="EA788" s="676"/>
      <c r="EB788" s="1193"/>
      <c r="EC788" s="1190"/>
      <c r="ED788" s="1192"/>
      <c r="EE788" s="1189"/>
      <c r="EF788" s="1189"/>
      <c r="EG788" s="1189"/>
      <c r="EH788" s="1192"/>
      <c r="EI788" s="1189"/>
      <c r="EJ788" s="1189"/>
      <c r="EK788" s="1189"/>
      <c r="EL788" s="1193"/>
      <c r="EM788" s="1190"/>
      <c r="EN788" s="1168"/>
      <c r="EO788" s="1191"/>
      <c r="EP788" s="1192"/>
      <c r="EQ788" s="1189"/>
      <c r="ER788" s="1189"/>
      <c r="ES788" s="1189"/>
      <c r="ET788" s="1192"/>
      <c r="EU788" s="1189"/>
      <c r="EV788" s="1189"/>
      <c r="EW788" s="1189"/>
      <c r="EX788" s="1190"/>
      <c r="EY788" s="1190"/>
      <c r="EZ788" s="1192"/>
      <c r="FA788" s="1189"/>
      <c r="FB788" s="1189"/>
      <c r="FC788" s="1189"/>
      <c r="FD788" s="1192"/>
      <c r="FE788" s="1189"/>
      <c r="FF788" s="1189"/>
      <c r="FG788" s="1189"/>
      <c r="FH788" s="1190"/>
      <c r="FI788" s="1190"/>
      <c r="FJ788" s="1191"/>
    </row>
    <row r="789" spans="1:166" ht="18" hidden="1" customHeight="1">
      <c r="A789" s="321" t="s">
        <v>1001</v>
      </c>
      <c r="B789" s="362">
        <v>37</v>
      </c>
      <c r="C789" s="362"/>
      <c r="D789" s="362"/>
      <c r="E789" s="609" t="s">
        <v>2103</v>
      </c>
      <c r="F789" s="323" t="s">
        <v>2360</v>
      </c>
      <c r="G789" s="324">
        <v>2011</v>
      </c>
      <c r="H789" s="321">
        <v>21377492</v>
      </c>
      <c r="I789" s="321">
        <v>1</v>
      </c>
      <c r="J789" s="321">
        <v>1</v>
      </c>
      <c r="K789" s="321"/>
      <c r="L789" s="321">
        <v>1</v>
      </c>
      <c r="M789" s="321"/>
      <c r="N789" s="321">
        <v>1</v>
      </c>
      <c r="O789" s="325">
        <v>2</v>
      </c>
      <c r="P789" s="321" t="s">
        <v>1303</v>
      </c>
      <c r="Q789" s="321" t="s">
        <v>1212</v>
      </c>
      <c r="R789" s="321" t="s">
        <v>1468</v>
      </c>
      <c r="S789" s="321"/>
      <c r="T789" s="321" t="s">
        <v>1498</v>
      </c>
      <c r="U789" s="321" t="s">
        <v>803</v>
      </c>
      <c r="V789" s="321"/>
      <c r="W789" s="321" t="s">
        <v>1469</v>
      </c>
      <c r="X789" s="321" t="s">
        <v>436</v>
      </c>
      <c r="Y789" s="321"/>
      <c r="Z789" s="321"/>
      <c r="AA789" s="321"/>
      <c r="AB789" s="321"/>
      <c r="AC789" s="574"/>
      <c r="AD789" s="573">
        <v>1</v>
      </c>
      <c r="AE789" s="573">
        <v>2</v>
      </c>
      <c r="AF789" s="154">
        <v>1</v>
      </c>
      <c r="AG789" s="155" t="s">
        <v>3365</v>
      </c>
      <c r="AH789" s="704" t="s">
        <v>8141</v>
      </c>
      <c r="AI789" s="326">
        <v>5</v>
      </c>
      <c r="AJ789" s="490"/>
      <c r="AK789" s="213" t="s">
        <v>3366</v>
      </c>
      <c r="AL789" s="214">
        <v>2</v>
      </c>
      <c r="AM789" s="215">
        <v>0</v>
      </c>
      <c r="AN789" s="134">
        <f>Table66[[#This Row],[Data_Subjects_n_ptsd]]+Table66[[#This Row],[Data_Subjects_n_control]]</f>
        <v>14</v>
      </c>
      <c r="AO789" s="326">
        <v>7</v>
      </c>
      <c r="AP789" s="326">
        <v>7</v>
      </c>
      <c r="AQ789" s="326" t="s">
        <v>803</v>
      </c>
      <c r="AR789" s="326" t="s">
        <v>803</v>
      </c>
      <c r="AS789" s="326" t="s">
        <v>7495</v>
      </c>
      <c r="AT789" s="326" t="s">
        <v>24</v>
      </c>
      <c r="AU789" s="326" t="s">
        <v>7495</v>
      </c>
      <c r="AV789" s="326" t="s">
        <v>24</v>
      </c>
      <c r="AW789" s="326" t="s">
        <v>3349</v>
      </c>
      <c r="AX789" s="134">
        <v>1</v>
      </c>
      <c r="AY789" s="134">
        <v>1.5</v>
      </c>
      <c r="AZ789" s="753" t="s">
        <v>1814</v>
      </c>
      <c r="BA789" s="326">
        <v>1</v>
      </c>
      <c r="BB789" s="326" t="s">
        <v>3347</v>
      </c>
      <c r="BC789" s="326" t="s">
        <v>2975</v>
      </c>
      <c r="BD789" s="753" t="s">
        <v>7523</v>
      </c>
      <c r="BE789" s="753"/>
      <c r="BF789" s="326" t="s">
        <v>1468</v>
      </c>
      <c r="BG789" s="326" t="s">
        <v>3279</v>
      </c>
      <c r="BH789" s="601"/>
      <c r="BI789" s="601"/>
      <c r="BJ789" s="328">
        <v>1</v>
      </c>
      <c r="BK789" s="156">
        <v>1</v>
      </c>
      <c r="BL789" s="328"/>
      <c r="BM789" s="328"/>
      <c r="BN789" s="328"/>
      <c r="BO789" s="328"/>
      <c r="BP789" s="156">
        <v>1</v>
      </c>
      <c r="BQ789" s="328"/>
      <c r="BR789" s="328"/>
      <c r="BS789" s="328"/>
      <c r="BT789" s="328"/>
      <c r="BU789" s="328"/>
      <c r="BV789" s="328"/>
      <c r="BW789" s="602" t="s">
        <v>7189</v>
      </c>
      <c r="BX789" s="157" t="s">
        <v>6657</v>
      </c>
      <c r="BY789" s="797" t="s">
        <v>7613</v>
      </c>
      <c r="BZ789" s="789" t="s">
        <v>803</v>
      </c>
      <c r="CA789" s="660">
        <v>1</v>
      </c>
      <c r="CB789" s="660" t="s">
        <v>7556</v>
      </c>
      <c r="CC789" s="660" t="s">
        <v>7380</v>
      </c>
      <c r="CD789" s="326" t="s">
        <v>1876</v>
      </c>
      <c r="CE789" s="326">
        <v>2</v>
      </c>
      <c r="CF789" s="400" t="s">
        <v>7580</v>
      </c>
      <c r="CG789" s="134" t="s">
        <v>8307</v>
      </c>
      <c r="CH789" s="753" t="s">
        <v>7310</v>
      </c>
      <c r="CI789" s="326" t="s">
        <v>2606</v>
      </c>
      <c r="CJ789" s="326"/>
      <c r="CK789" s="326" t="s">
        <v>3350</v>
      </c>
      <c r="CL789" s="134" t="s">
        <v>8308</v>
      </c>
      <c r="CM789" s="259" t="s">
        <v>3394</v>
      </c>
      <c r="CN789" s="454" t="s">
        <v>6627</v>
      </c>
      <c r="CO789" s="828">
        <v>59</v>
      </c>
      <c r="CP789" s="828">
        <v>7</v>
      </c>
      <c r="CQ789" s="828">
        <v>1</v>
      </c>
      <c r="CR789" s="828">
        <v>0</v>
      </c>
      <c r="CS789" s="828">
        <v>-1</v>
      </c>
      <c r="CT789" s="967"/>
      <c r="CU789" s="1289" t="s">
        <v>8104</v>
      </c>
      <c r="CV789" s="1295">
        <v>150</v>
      </c>
      <c r="CW789" s="1295">
        <v>141</v>
      </c>
      <c r="CX789" s="138" t="s">
        <v>3372</v>
      </c>
      <c r="CY789" s="326">
        <v>9.5406499999999994</v>
      </c>
      <c r="CZ789" s="326" t="s">
        <v>24</v>
      </c>
      <c r="DA789" s="326">
        <f>14.528-Table66[[#This Row],[Data_Outcome1_M]]</f>
        <v>4.9873500000000011</v>
      </c>
      <c r="DB789" s="138" t="s">
        <v>3380</v>
      </c>
      <c r="DC789" s="326">
        <v>38.823</v>
      </c>
      <c r="DD789" s="326" t="s">
        <v>24</v>
      </c>
      <c r="DE789" s="326">
        <f>53.3691-Table66[[#This Row],[Data_Outcome2_M]]</f>
        <v>14.546100000000003</v>
      </c>
      <c r="DF789" s="294" t="s">
        <v>3387</v>
      </c>
      <c r="DG789" s="295" t="s">
        <v>2643</v>
      </c>
      <c r="DH789" s="1263"/>
      <c r="DI789" s="1260"/>
      <c r="DJ789" s="1260"/>
      <c r="DK789" s="1260"/>
      <c r="DL789" s="1263"/>
      <c r="DM789" s="1260"/>
      <c r="DN789" s="1260"/>
      <c r="DO789" s="1260"/>
      <c r="DP789" s="331"/>
      <c r="DQ789" s="332"/>
      <c r="DR789" s="1168"/>
      <c r="DS789" s="865"/>
      <c r="DT789" s="1263"/>
      <c r="DU789" s="1260"/>
      <c r="DV789" s="1260"/>
      <c r="DW789" s="1260"/>
      <c r="DX789" s="1260"/>
      <c r="DY789" s="1260"/>
      <c r="DZ789" s="1260"/>
      <c r="EA789" s="1260"/>
      <c r="EB789" s="1265"/>
      <c r="EC789" s="1261"/>
      <c r="ED789" s="1260"/>
      <c r="EE789" s="1260"/>
      <c r="EF789" s="1260"/>
      <c r="EG789" s="1260"/>
      <c r="EH789" s="1260"/>
      <c r="EI789" s="1260"/>
      <c r="EJ789" s="1260"/>
      <c r="EK789" s="1260"/>
      <c r="EL789" s="1265"/>
      <c r="EM789" s="1261"/>
      <c r="EN789" s="1264"/>
      <c r="EO789" s="1262"/>
      <c r="EP789" s="1260"/>
      <c r="EQ789" s="1260"/>
      <c r="ER789" s="1260"/>
      <c r="ES789" s="1260"/>
      <c r="ET789" s="1263"/>
      <c r="EU789" s="1260"/>
      <c r="EV789" s="1260"/>
      <c r="EW789" s="1260"/>
      <c r="EX789" s="1261"/>
      <c r="EY789" s="1261"/>
      <c r="EZ789" s="1263"/>
      <c r="FA789" s="1260"/>
      <c r="FB789" s="1260"/>
      <c r="FC789" s="1260"/>
      <c r="FD789" s="1263"/>
      <c r="FE789" s="1260"/>
      <c r="FF789" s="1260"/>
      <c r="FG789" s="1260"/>
      <c r="FH789" s="1261"/>
      <c r="FI789" s="1261"/>
      <c r="FJ789" s="1262"/>
    </row>
    <row r="790" spans="1:166" ht="18" hidden="1" customHeight="1">
      <c r="A790" s="118" t="s">
        <v>982</v>
      </c>
      <c r="B790" s="616">
        <v>202</v>
      </c>
      <c r="C790" s="616"/>
      <c r="D790" s="616">
        <v>78</v>
      </c>
      <c r="E790" s="605" t="s">
        <v>2114</v>
      </c>
      <c r="F790" s="140" t="s">
        <v>2373</v>
      </c>
      <c r="G790" s="141">
        <v>2015</v>
      </c>
      <c r="H790" s="118">
        <v>26225843</v>
      </c>
      <c r="I790" s="118">
        <v>1</v>
      </c>
      <c r="J790" s="118">
        <v>1</v>
      </c>
      <c r="K790" s="118"/>
      <c r="L790" s="118">
        <v>1</v>
      </c>
      <c r="M790" s="118"/>
      <c r="N790" s="118">
        <v>1</v>
      </c>
      <c r="O790" s="142">
        <v>2</v>
      </c>
      <c r="P790" s="118" t="s">
        <v>1206</v>
      </c>
      <c r="Q790" s="118" t="s">
        <v>1552</v>
      </c>
      <c r="R790" s="118" t="s">
        <v>1127</v>
      </c>
      <c r="S790" s="118"/>
      <c r="T790" s="118" t="s">
        <v>1495</v>
      </c>
      <c r="U790" s="118" t="s">
        <v>803</v>
      </c>
      <c r="V790" s="118"/>
      <c r="W790" s="118" t="s">
        <v>1550</v>
      </c>
      <c r="X790" s="118" t="s">
        <v>1551</v>
      </c>
      <c r="Y790" s="118"/>
      <c r="Z790" s="118"/>
      <c r="AA790" s="118" t="s">
        <v>1549</v>
      </c>
      <c r="AB790" s="118" t="s">
        <v>1548</v>
      </c>
      <c r="AC790" s="145" t="s">
        <v>6277</v>
      </c>
      <c r="AD790" s="653">
        <v>1</v>
      </c>
      <c r="AE790" s="653">
        <v>1</v>
      </c>
      <c r="AF790" s="159">
        <v>1</v>
      </c>
      <c r="AG790" s="160" t="s">
        <v>8166</v>
      </c>
      <c r="AH790" s="704"/>
      <c r="AI790" s="122">
        <v>4</v>
      </c>
      <c r="AJ790" s="485"/>
      <c r="AK790" s="204" t="s">
        <v>7006</v>
      </c>
      <c r="AL790" s="192" t="s">
        <v>6991</v>
      </c>
      <c r="AM790" s="205">
        <v>1</v>
      </c>
      <c r="AN790" s="122">
        <f>Table66[[#This Row],[Data_Subjects_n_ptsd]]+Table66[[#This Row],[Data_Subjects_n_control]]</f>
        <v>12</v>
      </c>
      <c r="AO790" s="122">
        <v>6</v>
      </c>
      <c r="AP790" s="122">
        <f>6</f>
        <v>6</v>
      </c>
      <c r="AQ790" s="122" t="s">
        <v>6994</v>
      </c>
      <c r="AR790" s="122" t="s">
        <v>6994</v>
      </c>
      <c r="AS790" s="122" t="s">
        <v>2687</v>
      </c>
      <c r="AT790" s="122" t="s">
        <v>24</v>
      </c>
      <c r="AU790" s="122" t="s">
        <v>2687</v>
      </c>
      <c r="AV790" s="122" t="s">
        <v>24</v>
      </c>
      <c r="AW790" s="122" t="s">
        <v>7005</v>
      </c>
      <c r="AX790" s="122"/>
      <c r="AY790" s="122"/>
      <c r="AZ790" s="754" t="s">
        <v>7317</v>
      </c>
      <c r="BA790" s="122">
        <v>1</v>
      </c>
      <c r="BB790" s="122">
        <v>1</v>
      </c>
      <c r="BC790" s="122" t="s">
        <v>6986</v>
      </c>
      <c r="BD790" s="754" t="s">
        <v>7523</v>
      </c>
      <c r="BE790" s="754"/>
      <c r="BF790" s="122" t="s">
        <v>2912</v>
      </c>
      <c r="BG790" s="122" t="s">
        <v>6653</v>
      </c>
      <c r="BH790" s="588"/>
      <c r="BI790" s="588"/>
      <c r="BJ790" s="161">
        <v>1</v>
      </c>
      <c r="BK790" s="161">
        <v>1</v>
      </c>
      <c r="BL790" s="161"/>
      <c r="BM790" s="161"/>
      <c r="BN790" s="161"/>
      <c r="BO790" s="161"/>
      <c r="BP790" s="161">
        <v>1</v>
      </c>
      <c r="BQ790" s="161"/>
      <c r="BR790" s="161"/>
      <c r="BS790" s="161"/>
      <c r="BT790" s="161"/>
      <c r="BU790" s="161"/>
      <c r="BV790" s="161" t="s">
        <v>6276</v>
      </c>
      <c r="BW790" s="596" t="s">
        <v>6996</v>
      </c>
      <c r="BX790" s="162" t="s">
        <v>6657</v>
      </c>
      <c r="BY790" s="797" t="s">
        <v>7613</v>
      </c>
      <c r="BZ790" s="789" t="s">
        <v>803</v>
      </c>
      <c r="CA790" s="659">
        <v>1</v>
      </c>
      <c r="CB790" s="660" t="s">
        <v>7556</v>
      </c>
      <c r="CC790" s="659" t="s">
        <v>7380</v>
      </c>
      <c r="CD790" s="150" t="s">
        <v>1876</v>
      </c>
      <c r="CE790" s="150" t="s">
        <v>6987</v>
      </c>
      <c r="CF790" s="400" t="s">
        <v>7588</v>
      </c>
      <c r="CG790" s="150" t="s">
        <v>8008</v>
      </c>
      <c r="CH790" s="753" t="s">
        <v>7310</v>
      </c>
      <c r="CI790" s="150" t="s">
        <v>6985</v>
      </c>
      <c r="CJ790" s="150"/>
      <c r="CK790" s="150" t="s">
        <v>6990</v>
      </c>
      <c r="CL790" s="1079" t="s">
        <v>8285</v>
      </c>
      <c r="CM790" s="258" t="s">
        <v>7004</v>
      </c>
      <c r="CN790" s="257" t="s">
        <v>6627</v>
      </c>
      <c r="CO790" s="829">
        <v>65</v>
      </c>
      <c r="CP790" s="829">
        <v>1</v>
      </c>
      <c r="CQ790" s="829">
        <v>3</v>
      </c>
      <c r="CR790" s="829">
        <v>1</v>
      </c>
      <c r="CS790" s="829">
        <v>1</v>
      </c>
      <c r="CT790" s="968"/>
      <c r="CU790" s="1289" t="s">
        <v>8104</v>
      </c>
      <c r="CV790" s="1295">
        <v>116</v>
      </c>
      <c r="CW790" s="1296">
        <v>106</v>
      </c>
      <c r="CX790" s="151" t="s">
        <v>8009</v>
      </c>
      <c r="CY790" s="150">
        <v>288.339</v>
      </c>
      <c r="CZ790" s="150" t="s">
        <v>24</v>
      </c>
      <c r="DA790" s="150">
        <f>324.247-Table66[[#This Row],[Data_Outcome1_M]]</f>
        <v>35.908000000000015</v>
      </c>
      <c r="DB790" s="151" t="s">
        <v>8010</v>
      </c>
      <c r="DC790" s="150">
        <v>101.601</v>
      </c>
      <c r="DD790" s="150" t="s">
        <v>24</v>
      </c>
      <c r="DE790" s="150">
        <f>106.612-Table66[[#This Row],[Data_Outcome2_M]]</f>
        <v>5.0109999999999957</v>
      </c>
      <c r="DF790" s="303" t="s">
        <v>7001</v>
      </c>
      <c r="DG790" s="303" t="s">
        <v>3026</v>
      </c>
      <c r="DH790" s="1166"/>
      <c r="DI790" s="1164"/>
      <c r="DJ790" s="1164"/>
      <c r="DK790" s="1164"/>
      <c r="DL790" s="1166"/>
      <c r="DM790" s="1164"/>
      <c r="DN790" s="1164"/>
      <c r="DO790" s="1164"/>
      <c r="DP790" s="290"/>
      <c r="DQ790" s="291"/>
      <c r="DR790" s="1168"/>
      <c r="DS790" s="865"/>
      <c r="DT790" s="1166"/>
      <c r="DU790" s="1164"/>
      <c r="DV790" s="1164"/>
      <c r="DW790" s="1164"/>
      <c r="DX790" s="1164"/>
      <c r="DY790" s="1164"/>
      <c r="DZ790" s="1164"/>
      <c r="EA790" s="1164"/>
      <c r="EB790" s="1204"/>
      <c r="EC790" s="1203"/>
      <c r="ED790" s="1166"/>
      <c r="EE790" s="1164"/>
      <c r="EF790" s="1164"/>
      <c r="EG790" s="1164"/>
      <c r="EH790" s="1166"/>
      <c r="EI790" s="1164"/>
      <c r="EJ790" s="1164"/>
      <c r="EK790" s="1164"/>
      <c r="EL790" s="1202"/>
      <c r="EM790" s="313"/>
      <c r="EN790" s="1167"/>
      <c r="EO790" s="1165"/>
      <c r="EP790" s="1166"/>
      <c r="EQ790" s="1164"/>
      <c r="ER790" s="1164"/>
      <c r="ES790" s="1164"/>
      <c r="ET790" s="1166"/>
      <c r="EU790" s="1164"/>
      <c r="EV790" s="1164"/>
      <c r="EW790" s="1164"/>
      <c r="EX790" s="313"/>
      <c r="EY790" s="313"/>
      <c r="EZ790" s="1166"/>
      <c r="FA790" s="1164"/>
      <c r="FB790" s="1164"/>
      <c r="FC790" s="1164"/>
      <c r="FD790" s="1164"/>
      <c r="FE790" s="1164"/>
      <c r="FF790" s="1164"/>
      <c r="FG790" s="1164"/>
      <c r="FH790" s="313"/>
      <c r="FI790" s="313"/>
      <c r="FJ790" s="1165"/>
    </row>
    <row r="791" spans="1:166" ht="18" hidden="1" customHeight="1">
      <c r="A791" s="153" t="s">
        <v>945</v>
      </c>
      <c r="B791" s="618">
        <v>58</v>
      </c>
      <c r="C791" s="618"/>
      <c r="D791" s="618">
        <v>2</v>
      </c>
      <c r="E791" s="610" t="s">
        <v>2130</v>
      </c>
      <c r="F791" s="368" t="s">
        <v>2394</v>
      </c>
      <c r="G791" s="369">
        <v>2016</v>
      </c>
      <c r="H791" s="153">
        <v>26888649</v>
      </c>
      <c r="I791" s="153">
        <v>1</v>
      </c>
      <c r="J791" s="370" t="s">
        <v>1803</v>
      </c>
      <c r="K791" s="371"/>
      <c r="L791" s="153">
        <v>0</v>
      </c>
      <c r="M791" s="153"/>
      <c r="N791" s="153">
        <v>0</v>
      </c>
      <c r="O791" s="153">
        <v>2</v>
      </c>
      <c r="P791" s="153" t="s">
        <v>23</v>
      </c>
      <c r="Q791" s="153"/>
      <c r="R791" s="153" t="s">
        <v>1639</v>
      </c>
      <c r="S791" s="153"/>
      <c r="T791" s="153" t="s">
        <v>1319</v>
      </c>
      <c r="U791" s="153"/>
      <c r="V791" s="153"/>
      <c r="W791" s="153" t="s">
        <v>1669</v>
      </c>
      <c r="X791" s="153"/>
      <c r="Y791" s="153"/>
      <c r="Z791" s="153"/>
      <c r="AA791" s="153"/>
      <c r="AB791" s="153" t="s">
        <v>1640</v>
      </c>
      <c r="AC791" s="536"/>
      <c r="AD791" s="536">
        <v>1</v>
      </c>
      <c r="AE791" s="536">
        <v>0</v>
      </c>
      <c r="AF791" s="165">
        <v>0</v>
      </c>
      <c r="AG791" s="166" t="s">
        <v>7228</v>
      </c>
      <c r="AH791" s="509">
        <v>0</v>
      </c>
      <c r="AI791" s="120">
        <v>5</v>
      </c>
      <c r="AJ791" s="120"/>
      <c r="AK791" s="206"/>
      <c r="AL791" s="372"/>
      <c r="AM791" s="207"/>
      <c r="AN791" s="120"/>
      <c r="AO791" s="120"/>
      <c r="AP791" s="120"/>
      <c r="AQ791" s="120"/>
      <c r="AR791" s="120"/>
      <c r="AS791" s="120"/>
      <c r="AT791" s="120"/>
      <c r="AU791" s="120"/>
      <c r="AV791" s="120"/>
      <c r="AW791" s="120"/>
      <c r="AX791" s="120"/>
      <c r="AY791" s="120"/>
      <c r="AZ791" s="755"/>
      <c r="BA791" s="120"/>
      <c r="BB791" s="120"/>
      <c r="BC791" s="120"/>
      <c r="BD791" s="755"/>
      <c r="BE791" s="755"/>
      <c r="BF791" s="120"/>
      <c r="BG791" s="120"/>
      <c r="BH791" s="377"/>
      <c r="BI791" s="377"/>
      <c r="BJ791" s="373" t="s">
        <v>5207</v>
      </c>
      <c r="BK791" s="373"/>
      <c r="BL791" s="373"/>
      <c r="BM791" s="373"/>
      <c r="BN791" s="373"/>
      <c r="BO791" s="373"/>
      <c r="BP791" s="373" t="s">
        <v>6174</v>
      </c>
      <c r="BQ791" s="373"/>
      <c r="BR791" s="373"/>
      <c r="BS791" s="373"/>
      <c r="BT791" s="373"/>
      <c r="BU791" s="373"/>
      <c r="BV791" s="373"/>
      <c r="BW791" s="599"/>
      <c r="BX791" s="374"/>
      <c r="BY791" s="374"/>
      <c r="BZ791" s="374"/>
      <c r="CA791" s="511"/>
      <c r="CB791" s="511"/>
      <c r="CC791" s="511"/>
      <c r="CD791" s="120"/>
      <c r="CE791" s="120"/>
      <c r="CF791" s="120"/>
      <c r="CG791" s="120"/>
      <c r="CH791" s="755"/>
      <c r="CI791" s="120"/>
      <c r="CJ791" s="120"/>
      <c r="CK791" s="120"/>
      <c r="CL791" s="120"/>
      <c r="CM791" s="375" t="s">
        <v>24</v>
      </c>
      <c r="CN791" s="380"/>
      <c r="CO791" s="380"/>
      <c r="CP791" s="380"/>
      <c r="CQ791" s="380"/>
      <c r="CR791" s="380"/>
      <c r="CS791" s="380"/>
      <c r="CT791" s="380"/>
      <c r="CU791" s="380"/>
      <c r="CV791" s="380"/>
      <c r="CW791" s="380"/>
      <c r="CX791" s="376"/>
      <c r="CY791" s="120"/>
      <c r="CZ791" s="120"/>
      <c r="DA791" s="120"/>
      <c r="DB791" s="376"/>
      <c r="DC791" s="120"/>
      <c r="DD791" s="120"/>
      <c r="DE791" s="120"/>
      <c r="DF791" s="515"/>
      <c r="DG791" s="513"/>
      <c r="DH791" s="376"/>
      <c r="DI791" s="120"/>
      <c r="DJ791" s="384"/>
      <c r="DK791" s="120"/>
      <c r="DL791" s="376"/>
      <c r="DM791" s="384"/>
      <c r="DN791" s="384"/>
      <c r="DO791" s="384"/>
      <c r="DP791" s="375"/>
      <c r="DQ791" s="377"/>
      <c r="DR791" s="1182"/>
      <c r="DS791" s="956"/>
      <c r="DT791" s="727"/>
      <c r="DU791" s="120"/>
      <c r="DV791" s="384"/>
      <c r="DW791" s="120"/>
      <c r="DX791" s="384"/>
      <c r="DY791" s="384"/>
      <c r="DZ791" s="384"/>
      <c r="EA791" s="384"/>
      <c r="EB791" s="1012"/>
      <c r="EC791" s="384"/>
      <c r="ED791" s="384"/>
      <c r="EE791" s="384"/>
      <c r="EF791" s="384"/>
      <c r="EG791" s="384"/>
      <c r="EH791" s="384"/>
      <c r="EI791" s="384"/>
      <c r="EJ791" s="384"/>
      <c r="EK791" s="384"/>
      <c r="EL791" s="1012"/>
      <c r="EM791" s="384"/>
      <c r="EN791" s="1012"/>
      <c r="EO791" s="384"/>
      <c r="EP791" s="384"/>
      <c r="EQ791" s="120"/>
      <c r="ER791" s="120"/>
      <c r="ES791" s="120"/>
      <c r="ET791" s="376"/>
      <c r="EU791" s="120"/>
      <c r="EV791" s="384"/>
      <c r="EW791" s="384"/>
      <c r="EX791" s="384"/>
      <c r="EY791" s="384"/>
      <c r="EZ791" s="376"/>
      <c r="FA791" s="120"/>
      <c r="FB791" s="120"/>
      <c r="FC791" s="120"/>
      <c r="FD791" s="376"/>
      <c r="FE791" s="120"/>
      <c r="FF791" s="384"/>
      <c r="FG791" s="384"/>
      <c r="FH791" s="384"/>
      <c r="FI791" s="384"/>
      <c r="FJ791" s="384"/>
    </row>
    <row r="792" spans="1:166" ht="18" hidden="1" customHeight="1">
      <c r="A792" s="153" t="s">
        <v>366</v>
      </c>
      <c r="B792" s="618">
        <v>263</v>
      </c>
      <c r="C792" s="618">
        <v>96</v>
      </c>
      <c r="D792" s="618"/>
      <c r="E792" s="610" t="s">
        <v>2048</v>
      </c>
      <c r="F792" s="368" t="s">
        <v>2291</v>
      </c>
      <c r="G792" s="369">
        <v>1994</v>
      </c>
      <c r="H792" s="153">
        <v>9465143</v>
      </c>
      <c r="I792" s="153" t="s">
        <v>1796</v>
      </c>
      <c r="J792" s="370"/>
      <c r="K792" s="371"/>
      <c r="L792" s="153">
        <v>1</v>
      </c>
      <c r="M792" s="153"/>
      <c r="N792" s="153">
        <v>1</v>
      </c>
      <c r="O792" s="153">
        <v>1</v>
      </c>
      <c r="P792" s="153" t="s">
        <v>940</v>
      </c>
      <c r="Q792" s="153" t="s">
        <v>1147</v>
      </c>
      <c r="R792" s="153" t="s">
        <v>25</v>
      </c>
      <c r="S792" s="153">
        <v>1</v>
      </c>
      <c r="T792" s="153"/>
      <c r="U792" s="153"/>
      <c r="V792" s="153"/>
      <c r="W792" s="153" t="s">
        <v>939</v>
      </c>
      <c r="X792" s="153"/>
      <c r="Y792" s="153"/>
      <c r="Z792" s="153"/>
      <c r="AA792" s="153"/>
      <c r="AB792" s="153"/>
      <c r="AC792" s="536"/>
      <c r="AD792" s="536">
        <v>1</v>
      </c>
      <c r="AE792" s="536">
        <v>2</v>
      </c>
      <c r="AF792" s="165">
        <v>0</v>
      </c>
      <c r="AG792" s="166" t="s">
        <v>6153</v>
      </c>
      <c r="AH792" s="509" t="s">
        <v>7255</v>
      </c>
      <c r="AI792" s="120">
        <v>2</v>
      </c>
      <c r="AJ792" s="120"/>
      <c r="AK792" s="206"/>
      <c r="AL792" s="372"/>
      <c r="AM792" s="207">
        <v>0</v>
      </c>
      <c r="AN792" s="120"/>
      <c r="AO792" s="120"/>
      <c r="AP792" s="120"/>
      <c r="AQ792" s="120"/>
      <c r="AR792" s="120"/>
      <c r="AS792" s="120"/>
      <c r="AT792" s="120"/>
      <c r="AU792" s="120"/>
      <c r="AV792" s="120"/>
      <c r="AW792" s="120"/>
      <c r="AX792" s="120"/>
      <c r="AY792" s="120"/>
      <c r="AZ792" s="755"/>
      <c r="BA792" s="120"/>
      <c r="BB792" s="120"/>
      <c r="BC792" s="120"/>
      <c r="BD792" s="755"/>
      <c r="BE792" s="755"/>
      <c r="BF792" s="120"/>
      <c r="BG792" s="120"/>
      <c r="BH792" s="377"/>
      <c r="BI792" s="377"/>
      <c r="BJ792" s="373"/>
      <c r="BK792" s="373"/>
      <c r="BL792" s="373"/>
      <c r="BM792" s="373"/>
      <c r="BN792" s="373"/>
      <c r="BO792" s="373"/>
      <c r="BP792" s="373" t="s">
        <v>1917</v>
      </c>
      <c r="BQ792" s="373"/>
      <c r="BR792" s="373"/>
      <c r="BS792" s="373"/>
      <c r="BT792" s="373"/>
      <c r="BU792" s="373"/>
      <c r="BV792" s="373"/>
      <c r="BW792" s="599"/>
      <c r="BX792" s="374"/>
      <c r="BY792" s="799"/>
      <c r="BZ792" s="374"/>
      <c r="CA792" s="510"/>
      <c r="CB792" s="510"/>
      <c r="CC792" s="510"/>
      <c r="CD792" s="120"/>
      <c r="CE792" s="120"/>
      <c r="CF792" s="786"/>
      <c r="CG792" s="120"/>
      <c r="CH792" s="755"/>
      <c r="CI792" s="120"/>
      <c r="CJ792" s="120"/>
      <c r="CK792" s="120"/>
      <c r="CL792" s="120"/>
      <c r="CM792" s="375"/>
      <c r="CN792" s="380"/>
      <c r="CO792" s="380"/>
      <c r="CP792" s="380"/>
      <c r="CQ792" s="380"/>
      <c r="CR792" s="380"/>
      <c r="CS792" s="380"/>
      <c r="CT792" s="380"/>
      <c r="CU792" s="380"/>
      <c r="CV792" s="515"/>
      <c r="CW792" s="515"/>
      <c r="CX792" s="384"/>
      <c r="CY792" s="120"/>
      <c r="CZ792" s="384"/>
      <c r="DA792" s="120"/>
      <c r="DB792" s="120"/>
      <c r="DC792" s="120"/>
      <c r="DD792" s="120"/>
      <c r="DE792" s="120"/>
      <c r="DF792" s="515"/>
      <c r="DG792" s="513"/>
      <c r="DH792" s="727"/>
      <c r="DI792" s="120"/>
      <c r="DJ792" s="384"/>
      <c r="DK792" s="384"/>
      <c r="DL792" s="727"/>
      <c r="DM792" s="384"/>
      <c r="DN792" s="384"/>
      <c r="DO792" s="384"/>
      <c r="DP792" s="375"/>
      <c r="DQ792" s="377"/>
      <c r="DR792" s="1182"/>
      <c r="DS792" s="956"/>
      <c r="DT792" s="727"/>
      <c r="DU792" s="120"/>
      <c r="DV792" s="384"/>
      <c r="DW792" s="384"/>
      <c r="DX792" s="384"/>
      <c r="DY792" s="384"/>
      <c r="DZ792" s="384"/>
      <c r="EA792" s="384"/>
      <c r="EB792" s="380"/>
      <c r="EC792" s="384"/>
      <c r="ED792" s="120"/>
      <c r="EE792" s="120"/>
      <c r="EF792" s="120"/>
      <c r="EG792" s="120"/>
      <c r="EH792" s="120"/>
      <c r="EI792" s="384"/>
      <c r="EJ792" s="384"/>
      <c r="EK792" s="384"/>
      <c r="EL792" s="1012"/>
      <c r="EM792" s="384"/>
      <c r="EN792" s="1012"/>
      <c r="EO792" s="384"/>
      <c r="EP792" s="384"/>
      <c r="EQ792" s="384"/>
      <c r="ER792" s="384"/>
      <c r="ES792" s="384"/>
      <c r="ET792" s="727"/>
      <c r="EU792" s="384"/>
      <c r="EV792" s="384"/>
      <c r="EW792" s="384"/>
      <c r="EX792" s="384"/>
      <c r="EY792" s="384"/>
      <c r="EZ792" s="727"/>
      <c r="FA792" s="384"/>
      <c r="FB792" s="384"/>
      <c r="FC792" s="384"/>
      <c r="FD792" s="727"/>
      <c r="FE792" s="384"/>
      <c r="FF792" s="384"/>
      <c r="FG792" s="384"/>
      <c r="FH792" s="384"/>
      <c r="FI792" s="384"/>
      <c r="FJ792" s="384"/>
    </row>
    <row r="793" spans="1:166" ht="18" hidden="1" customHeight="1">
      <c r="A793" s="153" t="s">
        <v>944</v>
      </c>
      <c r="B793" s="618">
        <v>54</v>
      </c>
      <c r="C793" s="618"/>
      <c r="D793" s="618"/>
      <c r="E793" s="610" t="s">
        <v>2131</v>
      </c>
      <c r="F793" s="368" t="s">
        <v>2395</v>
      </c>
      <c r="G793" s="369">
        <v>2012</v>
      </c>
      <c r="H793" s="153">
        <v>22137886</v>
      </c>
      <c r="I793" s="153">
        <v>1</v>
      </c>
      <c r="J793" s="370" t="s">
        <v>1803</v>
      </c>
      <c r="K793" s="371"/>
      <c r="L793" s="153">
        <v>0</v>
      </c>
      <c r="M793" s="153"/>
      <c r="N793" s="153">
        <v>0</v>
      </c>
      <c r="O793" s="153">
        <v>2</v>
      </c>
      <c r="P793" s="153" t="s">
        <v>1220</v>
      </c>
      <c r="Q793" s="153" t="s">
        <v>1216</v>
      </c>
      <c r="R793" s="153" t="s">
        <v>1642</v>
      </c>
      <c r="S793" s="153"/>
      <c r="T793" s="153" t="s">
        <v>24</v>
      </c>
      <c r="U793" s="153"/>
      <c r="V793" s="153"/>
      <c r="W793" s="153" t="s">
        <v>1501</v>
      </c>
      <c r="X793" s="153" t="s">
        <v>1643</v>
      </c>
      <c r="Y793" s="153" t="s">
        <v>1381</v>
      </c>
      <c r="Z793" s="153"/>
      <c r="AA793" s="153" t="s">
        <v>1641</v>
      </c>
      <c r="AB793" s="153" t="s">
        <v>1644</v>
      </c>
      <c r="AC793" s="536"/>
      <c r="AD793" s="536">
        <v>1</v>
      </c>
      <c r="AE793" s="536">
        <v>2</v>
      </c>
      <c r="AF793" s="165">
        <v>0</v>
      </c>
      <c r="AG793" s="166" t="s">
        <v>8086</v>
      </c>
      <c r="AH793" s="509" t="s">
        <v>7259</v>
      </c>
      <c r="AI793" s="120">
        <v>5</v>
      </c>
      <c r="AJ793" s="120"/>
      <c r="AK793" s="206" t="s">
        <v>3760</v>
      </c>
      <c r="AL793" s="372">
        <v>0</v>
      </c>
      <c r="AM793" s="207" t="s">
        <v>3764</v>
      </c>
      <c r="AN793" s="728">
        <f>Table66[[#This Row],[Data_Subjects_n_ptsd]]</f>
        <v>8</v>
      </c>
      <c r="AO793" s="120">
        <v>8</v>
      </c>
      <c r="AP793" s="120" t="s">
        <v>3761</v>
      </c>
      <c r="AQ793" s="120" t="s">
        <v>803</v>
      </c>
      <c r="AR793" s="120" t="s">
        <v>24</v>
      </c>
      <c r="AS793" s="120" t="s">
        <v>2494</v>
      </c>
      <c r="AT793" s="120" t="s">
        <v>24</v>
      </c>
      <c r="AU793" s="120" t="s">
        <v>24</v>
      </c>
      <c r="AV793" s="120" t="s">
        <v>24</v>
      </c>
      <c r="AW793" s="120" t="s">
        <v>3762</v>
      </c>
      <c r="AX793" s="120">
        <v>1</v>
      </c>
      <c r="AY793" s="120">
        <v>1</v>
      </c>
      <c r="AZ793" s="755" t="s">
        <v>1814</v>
      </c>
      <c r="BA793" s="120">
        <v>1</v>
      </c>
      <c r="BB793" s="120" t="s">
        <v>3763</v>
      </c>
      <c r="BC793" s="120" t="s">
        <v>24</v>
      </c>
      <c r="BD793" s="755"/>
      <c r="BE793" s="755"/>
      <c r="BF793" s="120" t="s">
        <v>3725</v>
      </c>
      <c r="BG793" s="120" t="s">
        <v>3236</v>
      </c>
      <c r="BH793" s="377"/>
      <c r="BI793" s="377"/>
      <c r="BJ793" s="373">
        <v>1</v>
      </c>
      <c r="BK793" s="373"/>
      <c r="BL793" s="373"/>
      <c r="BM793" s="373"/>
      <c r="BN793" s="373"/>
      <c r="BO793" s="373"/>
      <c r="BP793" s="373"/>
      <c r="BQ793" s="373"/>
      <c r="BR793" s="373"/>
      <c r="BS793" s="373"/>
      <c r="BT793" s="373"/>
      <c r="BU793" s="373"/>
      <c r="BV793" s="373"/>
      <c r="BW793" s="599" t="s">
        <v>3735</v>
      </c>
      <c r="BX793" s="374" t="s">
        <v>6595</v>
      </c>
      <c r="BY793" s="799" t="s">
        <v>7615</v>
      </c>
      <c r="BZ793" s="374" t="s">
        <v>803</v>
      </c>
      <c r="CA793" s="511"/>
      <c r="CB793" s="511"/>
      <c r="CC793" s="511" t="s">
        <v>7384</v>
      </c>
      <c r="CD793" s="120" t="s">
        <v>2789</v>
      </c>
      <c r="CE793" s="120">
        <v>1</v>
      </c>
      <c r="CF793" s="786"/>
      <c r="CG793" s="120" t="s">
        <v>3765</v>
      </c>
      <c r="CH793" s="755" t="s">
        <v>1488</v>
      </c>
      <c r="CI793" s="120" t="s">
        <v>3769</v>
      </c>
      <c r="CJ793" s="120"/>
      <c r="CK793" s="120" t="s">
        <v>2659</v>
      </c>
      <c r="CL793" s="120" t="s">
        <v>2659</v>
      </c>
      <c r="CM793" s="375" t="s">
        <v>3773</v>
      </c>
      <c r="CN793" s="380" t="s">
        <v>23</v>
      </c>
      <c r="CO793" s="380"/>
      <c r="CP793" s="380"/>
      <c r="CQ793" s="380"/>
      <c r="CR793" s="380"/>
      <c r="CS793" s="380"/>
      <c r="CT793" s="380"/>
      <c r="CU793" s="380"/>
      <c r="CV793" s="380"/>
      <c r="CW793" s="380"/>
      <c r="CX793" s="376" t="s">
        <v>3766</v>
      </c>
      <c r="CY793" s="120">
        <v>38.945999999999998</v>
      </c>
      <c r="CZ793" s="120" t="s">
        <v>3770</v>
      </c>
      <c r="DA793" s="120">
        <f>48.2998-Table66[[#This Row],[Data_Outcome1_M]]</f>
        <v>9.3537999999999997</v>
      </c>
      <c r="DB793" s="376" t="s">
        <v>3767</v>
      </c>
      <c r="DC793" s="120">
        <v>47.750599999999999</v>
      </c>
      <c r="DD793" s="120" t="s">
        <v>24</v>
      </c>
      <c r="DE793" s="120">
        <f>55.9359-Table66[[#This Row],[Data_Outcome2_M]]</f>
        <v>8.185299999999998</v>
      </c>
      <c r="DF793" s="515" t="s">
        <v>3771</v>
      </c>
      <c r="DG793" s="513" t="s">
        <v>24</v>
      </c>
      <c r="DH793" s="376" t="s">
        <v>3768</v>
      </c>
      <c r="DI793" s="120">
        <v>68.247900000000001</v>
      </c>
      <c r="DJ793" s="384" t="s">
        <v>24</v>
      </c>
      <c r="DK793" s="120">
        <f>78.104-Table66[[#This Row],[Data_Outcome3_M]]</f>
        <v>9.8560999999999979</v>
      </c>
      <c r="DL793" s="727" t="s">
        <v>24</v>
      </c>
      <c r="DM793" s="384" t="s">
        <v>24</v>
      </c>
      <c r="DN793" s="384" t="s">
        <v>24</v>
      </c>
      <c r="DO793" s="384" t="s">
        <v>24</v>
      </c>
      <c r="DP793" s="375" t="s">
        <v>3772</v>
      </c>
      <c r="DQ793" s="377" t="s">
        <v>24</v>
      </c>
      <c r="DR793" s="1182"/>
      <c r="DS793" s="956"/>
      <c r="DT793" s="727"/>
      <c r="DU793" s="384"/>
      <c r="DV793" s="384"/>
      <c r="DW793" s="384"/>
      <c r="DX793" s="384"/>
      <c r="DY793" s="384"/>
      <c r="DZ793" s="384"/>
      <c r="EA793" s="384"/>
      <c r="EB793" s="1012"/>
      <c r="EC793" s="384"/>
      <c r="ED793" s="384"/>
      <c r="EE793" s="384"/>
      <c r="EF793" s="384"/>
      <c r="EG793" s="384"/>
      <c r="EH793" s="384"/>
      <c r="EI793" s="384"/>
      <c r="EJ793" s="384"/>
      <c r="EK793" s="384"/>
      <c r="EL793" s="1012"/>
      <c r="EM793" s="384"/>
      <c r="EN793" s="1012"/>
      <c r="EO793" s="384"/>
      <c r="EP793" s="384"/>
      <c r="EQ793" s="384"/>
      <c r="ER793" s="384"/>
      <c r="ES793" s="384"/>
      <c r="ET793" s="727"/>
      <c r="EU793" s="384"/>
      <c r="EV793" s="384"/>
      <c r="EW793" s="384"/>
      <c r="EX793" s="384"/>
      <c r="EY793" s="384"/>
      <c r="EZ793" s="727"/>
      <c r="FA793" s="384"/>
      <c r="FB793" s="384"/>
      <c r="FC793" s="384"/>
      <c r="FD793" s="727"/>
      <c r="FE793" s="384"/>
      <c r="FF793" s="384"/>
      <c r="FG793" s="384"/>
      <c r="FH793" s="384"/>
      <c r="FI793" s="384"/>
      <c r="FJ793" s="384"/>
    </row>
    <row r="794" spans="1:166" ht="18" hidden="1" customHeight="1">
      <c r="A794" s="118" t="s">
        <v>982</v>
      </c>
      <c r="B794" s="616">
        <v>202</v>
      </c>
      <c r="C794" s="616"/>
      <c r="D794" s="616">
        <v>78</v>
      </c>
      <c r="E794" s="605" t="s">
        <v>2114</v>
      </c>
      <c r="F794" s="140" t="s">
        <v>2373</v>
      </c>
      <c r="G794" s="141">
        <v>2015</v>
      </c>
      <c r="H794" s="118">
        <v>26225843</v>
      </c>
      <c r="I794" s="118">
        <v>1</v>
      </c>
      <c r="J794" s="118">
        <v>1</v>
      </c>
      <c r="K794" s="118"/>
      <c r="L794" s="118">
        <v>1</v>
      </c>
      <c r="M794" s="118"/>
      <c r="N794" s="118">
        <v>1</v>
      </c>
      <c r="O794" s="142">
        <v>2</v>
      </c>
      <c r="P794" s="118" t="s">
        <v>1206</v>
      </c>
      <c r="Q794" s="118" t="s">
        <v>1552</v>
      </c>
      <c r="R794" s="118" t="s">
        <v>1127</v>
      </c>
      <c r="S794" s="118"/>
      <c r="T794" s="118" t="s">
        <v>1495</v>
      </c>
      <c r="U794" s="118" t="s">
        <v>803</v>
      </c>
      <c r="V794" s="118"/>
      <c r="W794" s="118" t="s">
        <v>1550</v>
      </c>
      <c r="X794" s="118" t="s">
        <v>1551</v>
      </c>
      <c r="Y794" s="118"/>
      <c r="Z794" s="118"/>
      <c r="AA794" s="118" t="s">
        <v>1549</v>
      </c>
      <c r="AB794" s="118" t="s">
        <v>1548</v>
      </c>
      <c r="AC794" s="145" t="s">
        <v>6277</v>
      </c>
      <c r="AD794" s="653">
        <v>1</v>
      </c>
      <c r="AE794" s="653">
        <v>1</v>
      </c>
      <c r="AF794" s="159">
        <v>1</v>
      </c>
      <c r="AG794" s="160" t="s">
        <v>8166</v>
      </c>
      <c r="AH794" s="704"/>
      <c r="AI794" s="122">
        <v>4</v>
      </c>
      <c r="AJ794" s="485"/>
      <c r="AK794" s="204" t="s">
        <v>7006</v>
      </c>
      <c r="AL794" s="192" t="s">
        <v>6991</v>
      </c>
      <c r="AM794" s="205">
        <v>1</v>
      </c>
      <c r="AN794" s="122">
        <f>Table66[[#This Row],[Data_Subjects_n_ptsd]]+Table66[[#This Row],[Data_Subjects_n_control]]</f>
        <v>12</v>
      </c>
      <c r="AO794" s="122">
        <v>6</v>
      </c>
      <c r="AP794" s="122">
        <f>6</f>
        <v>6</v>
      </c>
      <c r="AQ794" s="122" t="s">
        <v>6994</v>
      </c>
      <c r="AR794" s="122" t="s">
        <v>6994</v>
      </c>
      <c r="AS794" s="122" t="s">
        <v>2687</v>
      </c>
      <c r="AT794" s="122" t="s">
        <v>24</v>
      </c>
      <c r="AU794" s="122" t="s">
        <v>2687</v>
      </c>
      <c r="AV794" s="122" t="s">
        <v>24</v>
      </c>
      <c r="AW794" s="122" t="s">
        <v>7005</v>
      </c>
      <c r="AX794" s="122"/>
      <c r="AY794" s="122"/>
      <c r="AZ794" s="754" t="s">
        <v>7317</v>
      </c>
      <c r="BA794" s="122">
        <v>1</v>
      </c>
      <c r="BB794" s="122">
        <v>1</v>
      </c>
      <c r="BC794" s="122" t="s">
        <v>6986</v>
      </c>
      <c r="BD794" s="754" t="s">
        <v>7523</v>
      </c>
      <c r="BE794" s="754"/>
      <c r="BF794" s="122" t="s">
        <v>2912</v>
      </c>
      <c r="BG794" s="122" t="s">
        <v>6653</v>
      </c>
      <c r="BH794" s="588"/>
      <c r="BI794" s="588"/>
      <c r="BJ794" s="161">
        <v>1</v>
      </c>
      <c r="BK794" s="161">
        <v>1</v>
      </c>
      <c r="BL794" s="161"/>
      <c r="BM794" s="161"/>
      <c r="BN794" s="161"/>
      <c r="BO794" s="161"/>
      <c r="BP794" s="161">
        <v>1</v>
      </c>
      <c r="BQ794" s="161"/>
      <c r="BR794" s="161"/>
      <c r="BS794" s="161"/>
      <c r="BT794" s="161"/>
      <c r="BU794" s="161"/>
      <c r="BV794" s="161" t="s">
        <v>6276</v>
      </c>
      <c r="BW794" s="596" t="s">
        <v>6996</v>
      </c>
      <c r="BX794" s="162" t="s">
        <v>6657</v>
      </c>
      <c r="BY794" s="797" t="s">
        <v>7613</v>
      </c>
      <c r="BZ794" s="789" t="s">
        <v>803</v>
      </c>
      <c r="CA794" s="766">
        <v>1</v>
      </c>
      <c r="CB794" s="765" t="s">
        <v>7556</v>
      </c>
      <c r="CC794" s="766" t="s">
        <v>7380</v>
      </c>
      <c r="CD794" s="150" t="s">
        <v>1876</v>
      </c>
      <c r="CE794" s="150" t="s">
        <v>6987</v>
      </c>
      <c r="CF794" s="400" t="s">
        <v>7588</v>
      </c>
      <c r="CG794" s="150" t="s">
        <v>8007</v>
      </c>
      <c r="CH794" s="753" t="s">
        <v>7310</v>
      </c>
      <c r="CI794" s="150" t="s">
        <v>6985</v>
      </c>
      <c r="CJ794" s="150"/>
      <c r="CK794" s="150" t="s">
        <v>6990</v>
      </c>
      <c r="CL794" s="134" t="s">
        <v>8308</v>
      </c>
      <c r="CM794" s="258" t="s">
        <v>7004</v>
      </c>
      <c r="CN794" s="257" t="s">
        <v>6627</v>
      </c>
      <c r="CO794" s="829">
        <v>65</v>
      </c>
      <c r="CP794" s="829">
        <v>1</v>
      </c>
      <c r="CQ794" s="829">
        <v>1</v>
      </c>
      <c r="CR794" s="829">
        <v>1</v>
      </c>
      <c r="CS794" s="829">
        <v>-1</v>
      </c>
      <c r="CT794" s="968"/>
      <c r="CU794" s="1289" t="s">
        <v>8104</v>
      </c>
      <c r="CV794" s="1295">
        <v>116</v>
      </c>
      <c r="CW794" s="1296">
        <v>106</v>
      </c>
      <c r="CX794" s="151" t="s">
        <v>7012</v>
      </c>
      <c r="CY794" s="150">
        <v>136.18</v>
      </c>
      <c r="CZ794" s="150" t="s">
        <v>24</v>
      </c>
      <c r="DA794" s="150">
        <f>162.192-Table66[[#This Row],[Data_Outcome1_M]]</f>
        <v>26.012</v>
      </c>
      <c r="DB794" s="151" t="s">
        <v>7014</v>
      </c>
      <c r="DC794" s="150">
        <v>345.05200000000002</v>
      </c>
      <c r="DD794" s="150" t="s">
        <v>24</v>
      </c>
      <c r="DE794" s="150">
        <f>415.381-Table66[[#This Row],[Data_Outcome2_M]]</f>
        <v>70.328999999999951</v>
      </c>
      <c r="DF794" s="290" t="s">
        <v>5379</v>
      </c>
      <c r="DG794" s="291" t="s">
        <v>3790</v>
      </c>
      <c r="DH794" s="526"/>
      <c r="DI794" s="122"/>
      <c r="DJ794" s="1164"/>
      <c r="DK794" s="122"/>
      <c r="DL794" s="1166"/>
      <c r="DM794" s="122"/>
      <c r="DN794" s="1164"/>
      <c r="DO794" s="122"/>
      <c r="DP794" s="290"/>
      <c r="DQ794" s="291"/>
      <c r="DR794" s="1168"/>
      <c r="DS794" s="865"/>
      <c r="DT794" s="1166"/>
      <c r="DU794" s="122"/>
      <c r="DV794" s="1164"/>
      <c r="DW794" s="122"/>
      <c r="DX794" s="1164"/>
      <c r="DY794" s="122"/>
      <c r="DZ794" s="1164"/>
      <c r="EA794" s="122"/>
      <c r="EB794" s="1204"/>
      <c r="EC794" s="1203"/>
      <c r="ED794" s="1166"/>
      <c r="EE794" s="122"/>
      <c r="EF794" s="1164"/>
      <c r="EG794" s="122"/>
      <c r="EH794" s="1166"/>
      <c r="EI794" s="122"/>
      <c r="EJ794" s="1164"/>
      <c r="EK794" s="122"/>
      <c r="EL794" s="1202"/>
      <c r="EM794" s="313"/>
      <c r="EN794" s="1167"/>
      <c r="EO794" s="1165"/>
      <c r="EP794" s="526"/>
      <c r="EQ794" s="122"/>
      <c r="ER794" s="122"/>
      <c r="ES794" s="122"/>
      <c r="ET794" s="526"/>
      <c r="EU794" s="122"/>
      <c r="EV794" s="122"/>
      <c r="EW794" s="122"/>
      <c r="EX794" s="303"/>
      <c r="EY794" s="303"/>
      <c r="EZ794" s="526"/>
      <c r="FA794" s="122"/>
      <c r="FB794" s="122"/>
      <c r="FC794" s="122"/>
      <c r="FD794" s="122"/>
      <c r="FE794" s="122"/>
      <c r="FF794" s="122"/>
      <c r="FG794" s="122"/>
      <c r="FH794" s="303"/>
      <c r="FI794" s="303"/>
      <c r="FJ794" s="1165"/>
    </row>
    <row r="795" spans="1:166" ht="18" hidden="1" customHeight="1">
      <c r="A795" s="79" t="s">
        <v>982</v>
      </c>
      <c r="B795" s="362">
        <v>202</v>
      </c>
      <c r="C795" s="362"/>
      <c r="D795" s="362">
        <v>78</v>
      </c>
      <c r="E795" s="604" t="s">
        <v>2114</v>
      </c>
      <c r="F795" s="124" t="s">
        <v>2373</v>
      </c>
      <c r="G795" s="125">
        <v>2015</v>
      </c>
      <c r="H795" s="79">
        <v>26225843</v>
      </c>
      <c r="I795" s="79">
        <v>1</v>
      </c>
      <c r="J795" s="126">
        <v>1</v>
      </c>
      <c r="K795" s="127"/>
      <c r="L795" s="79">
        <v>1</v>
      </c>
      <c r="M795" s="79"/>
      <c r="N795" s="79">
        <v>1</v>
      </c>
      <c r="O795" s="128">
        <v>2</v>
      </c>
      <c r="P795" s="79" t="s">
        <v>1206</v>
      </c>
      <c r="Q795" s="79" t="s">
        <v>1552</v>
      </c>
      <c r="R795" s="79" t="s">
        <v>1127</v>
      </c>
      <c r="S795" s="79"/>
      <c r="T795" s="79" t="s">
        <v>1495</v>
      </c>
      <c r="U795" s="79" t="s">
        <v>803</v>
      </c>
      <c r="V795" s="79"/>
      <c r="W795" s="79" t="s">
        <v>1550</v>
      </c>
      <c r="X795" s="79" t="s">
        <v>1551</v>
      </c>
      <c r="Y795" s="79"/>
      <c r="Z795" s="79"/>
      <c r="AA795" s="79" t="s">
        <v>1549</v>
      </c>
      <c r="AB795" s="79" t="s">
        <v>1548</v>
      </c>
      <c r="AC795" s="506" t="s">
        <v>6277</v>
      </c>
      <c r="AD795" s="573">
        <v>1</v>
      </c>
      <c r="AE795" s="573">
        <v>1</v>
      </c>
      <c r="AF795" s="154">
        <v>1</v>
      </c>
      <c r="AG795" s="160" t="s">
        <v>8166</v>
      </c>
      <c r="AH795" s="704"/>
      <c r="AI795" s="121">
        <v>4</v>
      </c>
      <c r="AJ795" s="484"/>
      <c r="AK795" s="202" t="s">
        <v>7006</v>
      </c>
      <c r="AL795" s="192" t="s">
        <v>6991</v>
      </c>
      <c r="AM795" s="203">
        <v>1</v>
      </c>
      <c r="AN795" s="122">
        <f>Table66[[#This Row],[Data_Subjects_n_ptsd]]+Table66[[#This Row],[Data_Subjects_n_control]]</f>
        <v>12</v>
      </c>
      <c r="AO795" s="121">
        <v>6</v>
      </c>
      <c r="AP795" s="121">
        <f>6</f>
        <v>6</v>
      </c>
      <c r="AQ795" s="121" t="s">
        <v>6994</v>
      </c>
      <c r="AR795" s="121" t="s">
        <v>6994</v>
      </c>
      <c r="AS795" s="121" t="s">
        <v>2687</v>
      </c>
      <c r="AT795" s="121" t="s">
        <v>24</v>
      </c>
      <c r="AU795" s="121" t="s">
        <v>2687</v>
      </c>
      <c r="AV795" s="121" t="s">
        <v>24</v>
      </c>
      <c r="AW795" s="121" t="s">
        <v>7005</v>
      </c>
      <c r="AX795" s="121"/>
      <c r="AY795" s="121"/>
      <c r="AZ795" s="754" t="s">
        <v>7317</v>
      </c>
      <c r="BA795" s="121">
        <v>1</v>
      </c>
      <c r="BB795" s="121">
        <v>1</v>
      </c>
      <c r="BC795" s="121" t="s">
        <v>6986</v>
      </c>
      <c r="BD795" s="754" t="s">
        <v>7523</v>
      </c>
      <c r="BE795" s="754"/>
      <c r="BF795" s="121" t="s">
        <v>2912</v>
      </c>
      <c r="BG795" s="121" t="s">
        <v>6653</v>
      </c>
      <c r="BH795" s="594"/>
      <c r="BI795" s="594"/>
      <c r="BJ795" s="156">
        <v>1</v>
      </c>
      <c r="BK795" s="156"/>
      <c r="BL795" s="156"/>
      <c r="BM795" s="156"/>
      <c r="BN795" s="156"/>
      <c r="BO795" s="156"/>
      <c r="BP795" s="156">
        <v>1</v>
      </c>
      <c r="BQ795" s="156"/>
      <c r="BR795" s="156"/>
      <c r="BS795" s="156"/>
      <c r="BT795" s="156"/>
      <c r="BU795" s="156"/>
      <c r="BV795" s="156" t="s">
        <v>6276</v>
      </c>
      <c r="BW795" s="595" t="s">
        <v>6995</v>
      </c>
      <c r="BX795" s="157" t="s">
        <v>6657</v>
      </c>
      <c r="BY795" s="797" t="s">
        <v>7613</v>
      </c>
      <c r="BZ795" s="789" t="s">
        <v>803</v>
      </c>
      <c r="CA795" s="765">
        <v>1</v>
      </c>
      <c r="CB795" s="765" t="s">
        <v>7556</v>
      </c>
      <c r="CC795" s="765" t="s">
        <v>7380</v>
      </c>
      <c r="CD795" s="134" t="s">
        <v>1876</v>
      </c>
      <c r="CE795" s="134" t="s">
        <v>6987</v>
      </c>
      <c r="CF795" s="400" t="s">
        <v>7588</v>
      </c>
      <c r="CG795" s="134" t="s">
        <v>8008</v>
      </c>
      <c r="CH795" s="753" t="s">
        <v>7310</v>
      </c>
      <c r="CI795" s="134" t="s">
        <v>6985</v>
      </c>
      <c r="CJ795" s="134"/>
      <c r="CK795" s="134" t="s">
        <v>6989</v>
      </c>
      <c r="CL795" s="134" t="s">
        <v>8286</v>
      </c>
      <c r="CM795" s="259" t="s">
        <v>7022</v>
      </c>
      <c r="CN795" s="454">
        <v>0</v>
      </c>
      <c r="CO795" s="828">
        <v>65</v>
      </c>
      <c r="CP795" s="828">
        <v>1</v>
      </c>
      <c r="CQ795" s="828">
        <v>5</v>
      </c>
      <c r="CR795" s="828">
        <v>1</v>
      </c>
      <c r="CS795" s="828">
        <v>1</v>
      </c>
      <c r="CT795" s="967"/>
      <c r="CU795" s="1289" t="s">
        <v>8104</v>
      </c>
      <c r="CV795" s="1295">
        <v>116</v>
      </c>
      <c r="CW795" s="1296">
        <v>106</v>
      </c>
      <c r="CX795" s="138" t="s">
        <v>7011</v>
      </c>
      <c r="CY795" s="134">
        <v>15.115399999999999</v>
      </c>
      <c r="CZ795" s="134" t="s">
        <v>24</v>
      </c>
      <c r="DA795" s="134">
        <f>20.7237-Table66[[#This Row],[Data_Outcome1_M]]</f>
        <v>5.6083000000000016</v>
      </c>
      <c r="DB795" s="138" t="s">
        <v>7013</v>
      </c>
      <c r="DC795" s="134">
        <v>18.130400000000002</v>
      </c>
      <c r="DD795" s="134" t="s">
        <v>24</v>
      </c>
      <c r="DE795" s="134">
        <f>24.4139-Table66[[#This Row],[Data_Outcome2_M]]</f>
        <v>6.2835000000000001</v>
      </c>
      <c r="DF795" s="288" t="s">
        <v>5379</v>
      </c>
      <c r="DG795" s="289" t="s">
        <v>3790</v>
      </c>
      <c r="DH795" s="1276"/>
      <c r="DI795" s="121"/>
      <c r="DJ795" s="1169"/>
      <c r="DK795" s="121"/>
      <c r="DL795" s="1171"/>
      <c r="DM795" s="121"/>
      <c r="DN795" s="1169"/>
      <c r="DO795" s="121"/>
      <c r="DP795" s="288"/>
      <c r="DQ795" s="289"/>
      <c r="DR795" s="1168"/>
      <c r="DS795" s="865"/>
      <c r="DT795" s="1192"/>
      <c r="DU795" s="121"/>
      <c r="DV795" s="1169"/>
      <c r="DW795" s="121"/>
      <c r="DX795" s="1169"/>
      <c r="DY795" s="121"/>
      <c r="DZ795" s="1169"/>
      <c r="EA795" s="121"/>
      <c r="EB795" s="1173"/>
      <c r="EC795" s="1172"/>
      <c r="ED795" s="1169"/>
      <c r="EE795" s="1169"/>
      <c r="EF795" s="1169"/>
      <c r="EG795" s="1169"/>
      <c r="EH795" s="1169"/>
      <c r="EI795" s="1169"/>
      <c r="EJ795" s="1169"/>
      <c r="EK795" s="1169"/>
      <c r="EL795" s="304"/>
      <c r="EM795" s="312"/>
      <c r="EN795" s="309"/>
      <c r="EO795" s="1170"/>
      <c r="EP795" s="1169"/>
      <c r="EQ795" s="1169"/>
      <c r="ER795" s="1169"/>
      <c r="ES795" s="1169"/>
      <c r="ET795" s="1169"/>
      <c r="EU795" s="1169"/>
      <c r="EV795" s="1169"/>
      <c r="EW795" s="1169"/>
      <c r="EX795" s="312"/>
      <c r="EY795" s="312"/>
      <c r="EZ795" s="1169"/>
      <c r="FA795" s="1169"/>
      <c r="FB795" s="1169"/>
      <c r="FC795" s="1169"/>
      <c r="FD795" s="1169"/>
      <c r="FE795" s="1169"/>
      <c r="FF795" s="1169"/>
      <c r="FG795" s="1169"/>
      <c r="FH795" s="312"/>
      <c r="FI795" s="312"/>
      <c r="FJ795" s="1170"/>
    </row>
    <row r="796" spans="1:166" ht="17" hidden="1" customHeight="1">
      <c r="A796" s="153" t="s">
        <v>941</v>
      </c>
      <c r="B796" s="618">
        <v>55</v>
      </c>
      <c r="C796" s="618"/>
      <c r="D796" s="618"/>
      <c r="E796" s="610" t="s">
        <v>2133</v>
      </c>
      <c r="F796" s="368" t="s">
        <v>2397</v>
      </c>
      <c r="G796" s="369">
        <v>2012</v>
      </c>
      <c r="H796" s="153">
        <v>22421563</v>
      </c>
      <c r="I796" s="153">
        <v>1</v>
      </c>
      <c r="J796" s="370" t="s">
        <v>1803</v>
      </c>
      <c r="K796" s="371"/>
      <c r="L796" s="153">
        <v>1</v>
      </c>
      <c r="M796" s="153"/>
      <c r="N796" s="153">
        <v>0</v>
      </c>
      <c r="O796" s="153">
        <v>2</v>
      </c>
      <c r="P796" s="153" t="s">
        <v>1726</v>
      </c>
      <c r="Q796" s="153" t="s">
        <v>1216</v>
      </c>
      <c r="R796" s="153" t="s">
        <v>1130</v>
      </c>
      <c r="S796" s="153"/>
      <c r="T796" s="153" t="s">
        <v>1495</v>
      </c>
      <c r="U796" s="153" t="s">
        <v>803</v>
      </c>
      <c r="V796" s="153"/>
      <c r="W796" s="153" t="s">
        <v>1723</v>
      </c>
      <c r="X796" s="153"/>
      <c r="Y796" s="153" t="s">
        <v>1649</v>
      </c>
      <c r="Z796" s="153"/>
      <c r="AA796" s="153"/>
      <c r="AB796" s="153" t="s">
        <v>1698</v>
      </c>
      <c r="AC796" s="536"/>
      <c r="AD796" s="536">
        <v>1</v>
      </c>
      <c r="AE796" s="536">
        <v>2</v>
      </c>
      <c r="AF796" s="165">
        <v>0</v>
      </c>
      <c r="AG796" s="729" t="s">
        <v>7294</v>
      </c>
      <c r="AH796" s="730" t="s">
        <v>7264</v>
      </c>
      <c r="AI796" s="120">
        <v>4</v>
      </c>
      <c r="AJ796" s="120"/>
      <c r="AK796" s="206" t="s">
        <v>3779</v>
      </c>
      <c r="AL796" s="377" t="s">
        <v>3797</v>
      </c>
      <c r="AM796" s="207">
        <v>0</v>
      </c>
      <c r="AN796" s="120">
        <v>20</v>
      </c>
      <c r="AO796" s="120">
        <v>10</v>
      </c>
      <c r="AP796" s="120">
        <v>10</v>
      </c>
      <c r="AQ796" s="120" t="s">
        <v>803</v>
      </c>
      <c r="AR796" s="120" t="s">
        <v>803</v>
      </c>
      <c r="AS796" s="734" t="s">
        <v>2687</v>
      </c>
      <c r="AT796" s="734" t="s">
        <v>24</v>
      </c>
      <c r="AU796" s="734" t="s">
        <v>2687</v>
      </c>
      <c r="AV796" s="120" t="s">
        <v>24</v>
      </c>
      <c r="AW796" s="120" t="s">
        <v>3775</v>
      </c>
      <c r="AX796" s="120"/>
      <c r="AY796" s="120"/>
      <c r="AZ796" s="755" t="s">
        <v>7333</v>
      </c>
      <c r="BA796" s="120">
        <v>1</v>
      </c>
      <c r="BB796" s="120" t="s">
        <v>3782</v>
      </c>
      <c r="BC796" s="120" t="s">
        <v>3776</v>
      </c>
      <c r="BD796" s="755"/>
      <c r="BE796" s="755"/>
      <c r="BF796" s="120" t="s">
        <v>1130</v>
      </c>
      <c r="BG796" s="120" t="s">
        <v>3279</v>
      </c>
      <c r="BH796" s="377"/>
      <c r="BI796" s="377"/>
      <c r="BJ796" s="373">
        <v>1</v>
      </c>
      <c r="BK796" s="373"/>
      <c r="BL796" s="373"/>
      <c r="BM796" s="373"/>
      <c r="BN796" s="373"/>
      <c r="BO796" s="373"/>
      <c r="BP796" s="373"/>
      <c r="BQ796" s="373"/>
      <c r="BR796" s="373"/>
      <c r="BS796" s="373"/>
      <c r="BT796" s="373"/>
      <c r="BU796" s="373"/>
      <c r="BV796" s="373"/>
      <c r="BW796" s="599" t="s">
        <v>3780</v>
      </c>
      <c r="BX796" s="374" t="s">
        <v>6601</v>
      </c>
      <c r="BY796" s="374"/>
      <c r="BZ796" s="374"/>
      <c r="CA796" s="511"/>
      <c r="CB796" s="511"/>
      <c r="CC796" s="511"/>
      <c r="CD796" s="120" t="s">
        <v>1876</v>
      </c>
      <c r="CE796" s="120">
        <v>2</v>
      </c>
      <c r="CF796" s="120"/>
      <c r="CG796" s="120" t="s">
        <v>3778</v>
      </c>
      <c r="CH796" s="755"/>
      <c r="CI796" s="120" t="s">
        <v>3777</v>
      </c>
      <c r="CJ796" s="120"/>
      <c r="CK796" s="120" t="s">
        <v>3808</v>
      </c>
      <c r="CL796" s="120" t="s">
        <v>2659</v>
      </c>
      <c r="CM796" s="375" t="s">
        <v>3794</v>
      </c>
      <c r="CN796" s="380" t="s">
        <v>6627</v>
      </c>
      <c r="CO796" s="380"/>
      <c r="CP796" s="380"/>
      <c r="CQ796" s="380"/>
      <c r="CR796" s="380"/>
      <c r="CS796" s="380"/>
      <c r="CT796" s="380"/>
      <c r="CU796" s="380"/>
      <c r="CV796" s="380"/>
      <c r="CW796" s="380"/>
      <c r="CX796" s="376" t="s">
        <v>3781</v>
      </c>
      <c r="CY796" s="120">
        <v>60.821899999999999</v>
      </c>
      <c r="CZ796" s="120" t="s">
        <v>24</v>
      </c>
      <c r="DA796" s="120">
        <f>70.3196-Table66[[#This Row],[Data_Outcome1_M]]</f>
        <v>9.4976999999999947</v>
      </c>
      <c r="DB796" s="376" t="s">
        <v>3783</v>
      </c>
      <c r="DC796" s="120">
        <v>8.5844699999999996</v>
      </c>
      <c r="DD796" s="120" t="s">
        <v>24</v>
      </c>
      <c r="DE796" s="120">
        <f>12.6027-Table66[[#This Row],[Data_Outcome2_M]]</f>
        <v>4.0182300000000009</v>
      </c>
      <c r="DF796" s="515" t="s">
        <v>3784</v>
      </c>
      <c r="DG796" s="513" t="s">
        <v>3793</v>
      </c>
      <c r="DH796" s="727" t="s">
        <v>3785</v>
      </c>
      <c r="DI796" s="384">
        <v>6.9387800000000004</v>
      </c>
      <c r="DJ796" s="384" t="s">
        <v>24</v>
      </c>
      <c r="DK796" s="384">
        <f>9.52381-Table66[[#This Row],[Data_Outcome3_M]]</f>
        <v>2.5850299999999988</v>
      </c>
      <c r="DL796" s="727" t="s">
        <v>3787</v>
      </c>
      <c r="DM796" s="384">
        <v>4.0816299999999996</v>
      </c>
      <c r="DN796" s="384" t="s">
        <v>24</v>
      </c>
      <c r="DO796" s="384">
        <f>6.39456-Table66[[#This Row],[Data_Outcome4_M]]</f>
        <v>2.3129300000000006</v>
      </c>
      <c r="DP796" s="375" t="s">
        <v>3789</v>
      </c>
      <c r="DQ796" s="377" t="s">
        <v>3790</v>
      </c>
      <c r="DR796" s="1182" t="s">
        <v>24</v>
      </c>
      <c r="DS796" s="956" t="s">
        <v>24</v>
      </c>
      <c r="DT796" s="727" t="s">
        <v>3786</v>
      </c>
      <c r="DU796" s="384">
        <v>42.176900000000003</v>
      </c>
      <c r="DV796" s="384" t="s">
        <v>24</v>
      </c>
      <c r="DW796" s="384">
        <f>52.381-Table66[[#This Row],[Data_Outcome5_M]]</f>
        <v>10.204099999999997</v>
      </c>
      <c r="DX796" s="727" t="s">
        <v>3788</v>
      </c>
      <c r="DY796" s="384">
        <v>8.4353700000000007</v>
      </c>
      <c r="DZ796" s="384" t="s">
        <v>24</v>
      </c>
      <c r="EA796" s="384">
        <f>21.517-Table66[[#This Row],[Data_Outcome6_M]]</f>
        <v>13.081629999999999</v>
      </c>
      <c r="EB796" s="1012" t="s">
        <v>3791</v>
      </c>
      <c r="EC796" s="384" t="s">
        <v>2555</v>
      </c>
      <c r="ED796" s="384" t="s">
        <v>24</v>
      </c>
      <c r="EE796" s="384" t="s">
        <v>24</v>
      </c>
      <c r="EF796" s="384"/>
      <c r="EG796" s="384"/>
      <c r="EH796" s="384"/>
      <c r="EI796" s="384"/>
      <c r="EJ796" s="384"/>
      <c r="EK796" s="384"/>
      <c r="EL796" s="1012"/>
      <c r="EM796" s="384" t="s">
        <v>24</v>
      </c>
      <c r="EN796" s="1012" t="s">
        <v>3796</v>
      </c>
      <c r="EO796" s="1012" t="s">
        <v>3795</v>
      </c>
      <c r="EP796" s="384"/>
      <c r="EQ796" s="384"/>
      <c r="ER796" s="384"/>
      <c r="ES796" s="384"/>
      <c r="ET796" s="727"/>
      <c r="EU796" s="384"/>
      <c r="EV796" s="384"/>
      <c r="EW796" s="384"/>
      <c r="EX796" s="384"/>
      <c r="EY796" s="384"/>
      <c r="EZ796" s="727"/>
      <c r="FA796" s="384"/>
      <c r="FB796" s="384"/>
      <c r="FC796" s="384"/>
      <c r="FD796" s="727"/>
      <c r="FE796" s="384"/>
      <c r="FF796" s="384"/>
      <c r="FG796" s="384"/>
      <c r="FH796" s="384"/>
      <c r="FI796" s="384"/>
      <c r="FJ796" s="384"/>
    </row>
    <row r="797" spans="1:166" hidden="1">
      <c r="A797" s="153" t="s">
        <v>942</v>
      </c>
      <c r="B797" s="618">
        <v>56</v>
      </c>
      <c r="C797" s="618"/>
      <c r="D797" s="618"/>
      <c r="E797" s="610" t="s">
        <v>2133</v>
      </c>
      <c r="F797" s="368" t="s">
        <v>2397</v>
      </c>
      <c r="G797" s="369">
        <v>2013</v>
      </c>
      <c r="H797" s="153">
        <v>23318688</v>
      </c>
      <c r="I797" s="153">
        <v>1</v>
      </c>
      <c r="J797" s="370" t="s">
        <v>1803</v>
      </c>
      <c r="K797" s="371"/>
      <c r="L797" s="153">
        <v>1</v>
      </c>
      <c r="M797" s="153"/>
      <c r="N797" s="153">
        <v>0</v>
      </c>
      <c r="O797" s="153">
        <v>2</v>
      </c>
      <c r="P797" s="153" t="s">
        <v>1725</v>
      </c>
      <c r="Q797" s="153" t="s">
        <v>1216</v>
      </c>
      <c r="R797" s="153" t="s">
        <v>1130</v>
      </c>
      <c r="S797" s="153"/>
      <c r="T797" s="153" t="s">
        <v>1495</v>
      </c>
      <c r="U797" s="153" t="s">
        <v>803</v>
      </c>
      <c r="V797" s="153"/>
      <c r="W797" s="153" t="s">
        <v>1724</v>
      </c>
      <c r="X797" s="153"/>
      <c r="Y797" s="153" t="s">
        <v>1648</v>
      </c>
      <c r="Z797" s="153"/>
      <c r="AA797" s="153" t="s">
        <v>1647</v>
      </c>
      <c r="AB797" s="153" t="s">
        <v>1698</v>
      </c>
      <c r="AC797" s="536"/>
      <c r="AD797" s="536">
        <v>1</v>
      </c>
      <c r="AE797" s="536">
        <v>2</v>
      </c>
      <c r="AF797" s="165">
        <v>0</v>
      </c>
      <c r="AG797" s="729" t="s">
        <v>7294</v>
      </c>
      <c r="AH797" s="730" t="s">
        <v>7264</v>
      </c>
      <c r="AI797" s="120">
        <v>4</v>
      </c>
      <c r="AJ797" s="120"/>
      <c r="AK797" s="206" t="s">
        <v>3803</v>
      </c>
      <c r="AL797" s="377" t="s">
        <v>3798</v>
      </c>
      <c r="AM797" s="207">
        <v>1</v>
      </c>
      <c r="AN797" s="120">
        <v>20</v>
      </c>
      <c r="AO797" s="120">
        <v>10</v>
      </c>
      <c r="AP797" s="120">
        <v>10</v>
      </c>
      <c r="AQ797" s="120" t="s">
        <v>803</v>
      </c>
      <c r="AR797" s="120" t="s">
        <v>803</v>
      </c>
      <c r="AS797" s="734" t="s">
        <v>2687</v>
      </c>
      <c r="AT797" s="734" t="s">
        <v>24</v>
      </c>
      <c r="AU797" s="734" t="s">
        <v>2687</v>
      </c>
      <c r="AV797" s="120" t="s">
        <v>24</v>
      </c>
      <c r="AW797" s="120" t="s">
        <v>3775</v>
      </c>
      <c r="AX797" s="120"/>
      <c r="AY797" s="120"/>
      <c r="AZ797" s="755" t="s">
        <v>7333</v>
      </c>
      <c r="BA797" s="120">
        <v>1</v>
      </c>
      <c r="BB797" s="120" t="s">
        <v>3782</v>
      </c>
      <c r="BC797" s="120" t="s">
        <v>3776</v>
      </c>
      <c r="BD797" s="755"/>
      <c r="BE797" s="755"/>
      <c r="BF797" s="120" t="s">
        <v>1130</v>
      </c>
      <c r="BG797" s="120" t="s">
        <v>3279</v>
      </c>
      <c r="BH797" s="377"/>
      <c r="BI797" s="377"/>
      <c r="BJ797" s="373">
        <v>1</v>
      </c>
      <c r="BK797" s="373"/>
      <c r="BL797" s="373"/>
      <c r="BM797" s="373"/>
      <c r="BN797" s="373"/>
      <c r="BO797" s="373"/>
      <c r="BP797" s="373"/>
      <c r="BQ797" s="373"/>
      <c r="BR797" s="373"/>
      <c r="BS797" s="373"/>
      <c r="BT797" s="373"/>
      <c r="BU797" s="373"/>
      <c r="BV797" s="373"/>
      <c r="BW797" s="599" t="s">
        <v>3780</v>
      </c>
      <c r="BX797" s="374" t="s">
        <v>6601</v>
      </c>
      <c r="BY797" s="374"/>
      <c r="BZ797" s="374"/>
      <c r="CA797" s="510"/>
      <c r="CB797" s="510"/>
      <c r="CC797" s="510"/>
      <c r="CD797" s="120" t="s">
        <v>1876</v>
      </c>
      <c r="CE797" s="120">
        <v>2</v>
      </c>
      <c r="CF797" s="120"/>
      <c r="CG797" s="120" t="s">
        <v>3778</v>
      </c>
      <c r="CH797" s="755"/>
      <c r="CI797" s="120" t="s">
        <v>3777</v>
      </c>
      <c r="CJ797" s="120"/>
      <c r="CK797" s="120" t="s">
        <v>3808</v>
      </c>
      <c r="CL797" s="120" t="s">
        <v>2659</v>
      </c>
      <c r="CM797" s="375" t="s">
        <v>3794</v>
      </c>
      <c r="CN797" s="380" t="s">
        <v>6627</v>
      </c>
      <c r="CO797" s="380"/>
      <c r="CP797" s="380"/>
      <c r="CQ797" s="380"/>
      <c r="CR797" s="380"/>
      <c r="CS797" s="380"/>
      <c r="CT797" s="380"/>
      <c r="CU797" s="380"/>
      <c r="CV797" s="380"/>
      <c r="CW797" s="380"/>
      <c r="CX797" s="376" t="s">
        <v>3801</v>
      </c>
      <c r="CY797" s="120">
        <v>60.578299999999999</v>
      </c>
      <c r="CZ797" s="120" t="s">
        <v>24</v>
      </c>
      <c r="DA797" s="120">
        <f>70.0311-Table66[[#This Row],[Data_Outcome1_M]]</f>
        <v>9.4527999999999963</v>
      </c>
      <c r="DB797" s="376" t="s">
        <v>3802</v>
      </c>
      <c r="DC797" s="120">
        <v>26.0871</v>
      </c>
      <c r="DD797" s="120" t="s">
        <v>24</v>
      </c>
      <c r="DE797" s="120">
        <f>37.4657-Table66[[#This Row],[Data_Outcome2_M]]</f>
        <v>11.378599999999999</v>
      </c>
      <c r="DF797" s="515" t="s">
        <v>3784</v>
      </c>
      <c r="DG797" s="513" t="s">
        <v>3814</v>
      </c>
      <c r="DH797" s="727" t="s">
        <v>3810</v>
      </c>
      <c r="DI797" s="384">
        <v>7.2820799999999997</v>
      </c>
      <c r="DJ797" s="384" t="s">
        <v>24</v>
      </c>
      <c r="DK797" s="384">
        <f>9.55779-Table66[[#This Row],[Data_Outcome3_M]]</f>
        <v>2.275710000000001</v>
      </c>
      <c r="DL797" s="727" t="s">
        <v>3811</v>
      </c>
      <c r="DM797" s="384">
        <v>3.9507500000000002</v>
      </c>
      <c r="DN797" s="384" t="s">
        <v>24</v>
      </c>
      <c r="DO797" s="384">
        <f>6.40152-Table66[[#This Row],[Data_Outcome4_M]]</f>
        <v>2.4507699999999994</v>
      </c>
      <c r="DP797" s="375" t="s">
        <v>3789</v>
      </c>
      <c r="DQ797" s="377" t="s">
        <v>3790</v>
      </c>
      <c r="DR797" s="1182" t="s">
        <v>24</v>
      </c>
      <c r="DS797" s="956" t="s">
        <v>24</v>
      </c>
      <c r="DT797" s="727" t="s">
        <v>3812</v>
      </c>
      <c r="DU797" s="384">
        <v>42.701799999999999</v>
      </c>
      <c r="DV797" s="384" t="s">
        <v>24</v>
      </c>
      <c r="DW797" s="384">
        <f>52.8708-Table66[[#This Row],[Data_Outcome5_M]]</f>
        <v>10.169000000000004</v>
      </c>
      <c r="DX797" s="727" t="s">
        <v>3813</v>
      </c>
      <c r="DY797" s="384">
        <v>8.5231300000000001</v>
      </c>
      <c r="DZ797" s="384" t="s">
        <v>24</v>
      </c>
      <c r="EA797" s="384">
        <f>12.9091-Table66[[#This Row],[Data_Outcome6_M]]</f>
        <v>4.3859700000000004</v>
      </c>
      <c r="EB797" s="1012" t="s">
        <v>3791</v>
      </c>
      <c r="EC797" s="384" t="s">
        <v>2555</v>
      </c>
      <c r="ED797" s="384"/>
      <c r="EE797" s="384"/>
      <c r="EF797" s="384"/>
      <c r="EG797" s="384"/>
      <c r="EH797" s="384"/>
      <c r="EI797" s="384"/>
      <c r="EJ797" s="384"/>
      <c r="EK797" s="384"/>
      <c r="EL797" s="1012"/>
      <c r="EM797" s="384"/>
      <c r="EN797" s="1012" t="s">
        <v>3796</v>
      </c>
      <c r="EO797" s="1012" t="s">
        <v>3815</v>
      </c>
      <c r="EP797" s="384"/>
      <c r="EQ797" s="384"/>
      <c r="ER797" s="384"/>
      <c r="ES797" s="384"/>
      <c r="ET797" s="727"/>
      <c r="EU797" s="384"/>
      <c r="EV797" s="384"/>
      <c r="EW797" s="384"/>
      <c r="EX797" s="384"/>
      <c r="EY797" s="384"/>
      <c r="EZ797" s="727"/>
      <c r="FA797" s="384"/>
      <c r="FB797" s="384"/>
      <c r="FC797" s="384"/>
      <c r="FD797" s="727"/>
      <c r="FE797" s="384"/>
      <c r="FF797" s="384"/>
      <c r="FG797" s="384"/>
      <c r="FH797" s="384"/>
      <c r="FI797" s="384"/>
      <c r="FJ797" s="384"/>
    </row>
    <row r="798" spans="1:166" ht="25" hidden="1" customHeight="1">
      <c r="A798" s="158" t="s">
        <v>942</v>
      </c>
      <c r="B798" s="1094">
        <v>56</v>
      </c>
      <c r="C798" s="1094">
        <v>4</v>
      </c>
      <c r="D798" s="1094"/>
      <c r="E798" s="1095" t="s">
        <v>2133</v>
      </c>
      <c r="F798" s="711" t="s">
        <v>2397</v>
      </c>
      <c r="G798" s="1096">
        <v>2013</v>
      </c>
      <c r="H798" s="158">
        <v>23318688</v>
      </c>
      <c r="I798" s="158">
        <v>1</v>
      </c>
      <c r="J798" s="158" t="s">
        <v>1803</v>
      </c>
      <c r="K798" s="158"/>
      <c r="L798" s="158">
        <v>1</v>
      </c>
      <c r="M798" s="158"/>
      <c r="N798" s="158">
        <v>0</v>
      </c>
      <c r="O798" s="158">
        <v>2</v>
      </c>
      <c r="P798" s="371" t="s">
        <v>1725</v>
      </c>
      <c r="Q798" s="371" t="s">
        <v>1216</v>
      </c>
      <c r="R798" s="371" t="s">
        <v>1130</v>
      </c>
      <c r="S798" s="371"/>
      <c r="T798" s="371" t="s">
        <v>1495</v>
      </c>
      <c r="U798" s="371" t="s">
        <v>803</v>
      </c>
      <c r="V798" s="371"/>
      <c r="W798" s="371" t="s">
        <v>1724</v>
      </c>
      <c r="X798" s="371"/>
      <c r="Y798" s="371" t="s">
        <v>1648</v>
      </c>
      <c r="Z798" s="371"/>
      <c r="AA798" s="371" t="s">
        <v>1647</v>
      </c>
      <c r="AB798" s="371" t="s">
        <v>1698</v>
      </c>
      <c r="AC798" s="800"/>
      <c r="AD798" s="800">
        <v>1</v>
      </c>
      <c r="AE798" s="800">
        <v>2</v>
      </c>
      <c r="AF798" s="743">
        <v>0</v>
      </c>
      <c r="AG798" s="1118" t="s">
        <v>7295</v>
      </c>
      <c r="AH798" s="733" t="s">
        <v>7264</v>
      </c>
      <c r="AI798" s="734">
        <v>4</v>
      </c>
      <c r="AJ798" s="734"/>
      <c r="AK798" s="739" t="s">
        <v>3804</v>
      </c>
      <c r="AL798" s="372" t="s">
        <v>3799</v>
      </c>
      <c r="AM798" s="724">
        <v>1</v>
      </c>
      <c r="AN798" s="734">
        <v>20</v>
      </c>
      <c r="AO798" s="734">
        <v>10</v>
      </c>
      <c r="AP798" s="734">
        <v>10</v>
      </c>
      <c r="AQ798" s="734" t="s">
        <v>803</v>
      </c>
      <c r="AR798" s="734" t="s">
        <v>803</v>
      </c>
      <c r="AS798" s="734" t="s">
        <v>2687</v>
      </c>
      <c r="AT798" s="734" t="s">
        <v>24</v>
      </c>
      <c r="AU798" s="734" t="s">
        <v>2687</v>
      </c>
      <c r="AV798" s="734" t="s">
        <v>24</v>
      </c>
      <c r="AW798" s="734" t="s">
        <v>3775</v>
      </c>
      <c r="AX798" s="734"/>
      <c r="AY798" s="734"/>
      <c r="AZ798" s="755" t="s">
        <v>7333</v>
      </c>
      <c r="BA798" s="734">
        <v>1</v>
      </c>
      <c r="BB798" s="734" t="s">
        <v>3782</v>
      </c>
      <c r="BC798" s="734" t="s">
        <v>3776</v>
      </c>
      <c r="BD798" s="755"/>
      <c r="BE798" s="755"/>
      <c r="BF798" s="734" t="s">
        <v>1130</v>
      </c>
      <c r="BG798" s="734" t="s">
        <v>3279</v>
      </c>
      <c r="BH798" s="372"/>
      <c r="BI798" s="372"/>
      <c r="BJ798" s="735"/>
      <c r="BK798" s="735"/>
      <c r="BL798" s="735"/>
      <c r="BM798" s="735"/>
      <c r="BN798" s="735"/>
      <c r="BO798" s="735"/>
      <c r="BP798" s="735">
        <v>1</v>
      </c>
      <c r="BQ798" s="735"/>
      <c r="BR798" s="735"/>
      <c r="BS798" s="735"/>
      <c r="BT798" s="735"/>
      <c r="BU798" s="735"/>
      <c r="BV798" s="735"/>
      <c r="BW798" s="735" t="s">
        <v>1893</v>
      </c>
      <c r="BX798" s="736" t="s">
        <v>6612</v>
      </c>
      <c r="BY798" s="736"/>
      <c r="BZ798" s="736"/>
      <c r="CA798" s="736"/>
      <c r="CB798" s="736"/>
      <c r="CC798" s="736"/>
      <c r="CD798" s="734" t="s">
        <v>1876</v>
      </c>
      <c r="CE798" s="734">
        <v>2</v>
      </c>
      <c r="CF798" s="734"/>
      <c r="CG798" s="734" t="s">
        <v>3800</v>
      </c>
      <c r="CH798" s="755"/>
      <c r="CI798" s="734" t="s">
        <v>3777</v>
      </c>
      <c r="CJ798" s="734"/>
      <c r="CK798" s="734" t="s">
        <v>3809</v>
      </c>
      <c r="CL798" s="134" t="s">
        <v>8216</v>
      </c>
      <c r="CM798" s="737" t="s">
        <v>3806</v>
      </c>
      <c r="CN798" s="738" t="s">
        <v>24</v>
      </c>
      <c r="CO798" s="738"/>
      <c r="CP798" s="738"/>
      <c r="CQ798" s="738"/>
      <c r="CR798" s="738"/>
      <c r="CS798" s="738"/>
      <c r="CT798" s="738"/>
      <c r="CU798" s="738"/>
      <c r="CV798" s="738"/>
      <c r="CW798" s="738"/>
      <c r="CX798" s="736" t="s">
        <v>3805</v>
      </c>
      <c r="CY798" s="734" t="s">
        <v>24</v>
      </c>
      <c r="CZ798" s="734" t="s">
        <v>24</v>
      </c>
      <c r="DA798" s="734" t="s">
        <v>24</v>
      </c>
      <c r="DB798" s="736" t="s">
        <v>24</v>
      </c>
      <c r="DC798" s="734"/>
      <c r="DD798" s="734"/>
      <c r="DE798" s="734"/>
      <c r="DF798" s="515" t="s">
        <v>3806</v>
      </c>
      <c r="DG798" s="513" t="s">
        <v>3807</v>
      </c>
      <c r="DH798" s="736"/>
      <c r="DI798" s="734"/>
      <c r="DJ798" s="778"/>
      <c r="DK798" s="734"/>
      <c r="DL798" s="1180"/>
      <c r="DM798" s="734"/>
      <c r="DN798" s="778"/>
      <c r="DO798" s="734"/>
      <c r="DP798" s="737"/>
      <c r="DQ798" s="372"/>
      <c r="DR798" s="1182"/>
      <c r="DS798" s="956"/>
      <c r="DT798" s="1180"/>
      <c r="DU798" s="778"/>
      <c r="DV798" s="778"/>
      <c r="DW798" s="778"/>
      <c r="DX798" s="778"/>
      <c r="DY798" s="778"/>
      <c r="DZ798" s="778"/>
      <c r="EA798" s="778"/>
      <c r="EB798" s="1181"/>
      <c r="EC798" s="778"/>
      <c r="ED798" s="778"/>
      <c r="EE798" s="778"/>
      <c r="EF798" s="778"/>
      <c r="EG798" s="778"/>
      <c r="EH798" s="778"/>
      <c r="EI798" s="778"/>
      <c r="EJ798" s="778"/>
      <c r="EK798" s="778"/>
      <c r="EL798" s="1181"/>
      <c r="EM798" s="778"/>
      <c r="EN798" s="1181"/>
      <c r="EO798" s="778"/>
      <c r="EP798" s="778"/>
      <c r="EQ798" s="778"/>
      <c r="ER798" s="778"/>
      <c r="ES798" s="778"/>
      <c r="ET798" s="1180"/>
      <c r="EU798" s="778"/>
      <c r="EV798" s="778"/>
      <c r="EW798" s="778"/>
      <c r="EX798" s="778"/>
      <c r="EY798" s="778"/>
      <c r="EZ798" s="1180"/>
      <c r="FA798" s="778"/>
      <c r="FB798" s="778"/>
      <c r="FC798" s="778"/>
      <c r="FD798" s="1180"/>
      <c r="FE798" s="778"/>
      <c r="FF798" s="778"/>
      <c r="FG798" s="778"/>
      <c r="FH798" s="778"/>
      <c r="FI798" s="778"/>
      <c r="FJ798" s="778"/>
    </row>
    <row r="807" spans="2:166">
      <c r="B807" s="3"/>
      <c r="C807" s="3"/>
      <c r="AF807" s="3"/>
      <c r="AH807" s="3"/>
      <c r="AK807" s="3"/>
      <c r="AL807" s="3"/>
      <c r="AM807" s="3"/>
      <c r="BB807" s="3"/>
      <c r="BC807" s="3"/>
      <c r="BL807" s="3"/>
      <c r="BS807" s="3"/>
      <c r="BT807" s="3"/>
      <c r="BU807" s="3"/>
      <c r="BV807" s="3"/>
      <c r="BW807" s="3"/>
      <c r="BX807" s="3"/>
      <c r="BZ807" s="3"/>
      <c r="CB807" s="3"/>
      <c r="CE807" s="3"/>
      <c r="CF807" s="3"/>
      <c r="CH807" s="3"/>
      <c r="CS807" s="3"/>
      <c r="DC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row>
    <row r="808" spans="2:166">
      <c r="B808" s="3"/>
      <c r="C808" s="3"/>
      <c r="AF808" s="3"/>
      <c r="AH808" s="3"/>
      <c r="AK808" s="3"/>
      <c r="AL808" s="3"/>
      <c r="AM808" s="3"/>
      <c r="BB808" s="3"/>
      <c r="BC808" s="3"/>
      <c r="BL808" s="3"/>
      <c r="BS808" s="3"/>
      <c r="BT808" s="3"/>
      <c r="BU808" s="3"/>
      <c r="BV808" s="3"/>
      <c r="BW808" s="3"/>
      <c r="BX808" s="3"/>
      <c r="BZ808" s="3"/>
      <c r="CB808" s="3"/>
      <c r="CE808" s="3"/>
      <c r="CF808" s="3"/>
      <c r="CH808" s="3"/>
      <c r="CS808" s="3"/>
      <c r="DC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row>
  </sheetData>
  <phoneticPr fontId="11" type="noConversion"/>
  <conditionalFormatting sqref="AF1:AF52 AF324:AF325 AF327:AF328 AF330:AF331 AF333:AF334 AF809:AF1048576 AF54:AF55 AF60:AF227 AF57:AF58 AF234:AF322 AF695:AF806 AF693 AF336:AF691">
    <cfRule type="cellIs" dxfId="280" priority="43" operator="equal">
      <formula>0</formula>
    </cfRule>
    <cfRule type="cellIs" dxfId="279" priority="44" operator="equal">
      <formula>2</formula>
    </cfRule>
    <cfRule type="cellIs" dxfId="278" priority="45" operator="equal">
      <formula>1</formula>
    </cfRule>
  </conditionalFormatting>
  <conditionalFormatting sqref="AF323">
    <cfRule type="cellIs" dxfId="277" priority="40" operator="equal">
      <formula>0</formula>
    </cfRule>
    <cfRule type="cellIs" dxfId="276" priority="41" operator="equal">
      <formula>2</formula>
    </cfRule>
    <cfRule type="cellIs" dxfId="275" priority="42" operator="equal">
      <formula>1</formula>
    </cfRule>
  </conditionalFormatting>
  <conditionalFormatting sqref="AF326">
    <cfRule type="cellIs" dxfId="274" priority="37" operator="equal">
      <formula>0</formula>
    </cfRule>
    <cfRule type="cellIs" dxfId="273" priority="38" operator="equal">
      <formula>2</formula>
    </cfRule>
    <cfRule type="cellIs" dxfId="272" priority="39" operator="equal">
      <formula>1</formula>
    </cfRule>
  </conditionalFormatting>
  <conditionalFormatting sqref="AF329">
    <cfRule type="cellIs" dxfId="271" priority="34" operator="equal">
      <formula>0</formula>
    </cfRule>
    <cfRule type="cellIs" dxfId="270" priority="35" operator="equal">
      <formula>2</formula>
    </cfRule>
    <cfRule type="cellIs" dxfId="269" priority="36" operator="equal">
      <formula>1</formula>
    </cfRule>
  </conditionalFormatting>
  <conditionalFormatting sqref="AF332">
    <cfRule type="cellIs" dxfId="268" priority="31" operator="equal">
      <formula>0</formula>
    </cfRule>
    <cfRule type="cellIs" dxfId="267" priority="32" operator="equal">
      <formula>2</formula>
    </cfRule>
    <cfRule type="cellIs" dxfId="266" priority="33" operator="equal">
      <formula>1</formula>
    </cfRule>
  </conditionalFormatting>
  <conditionalFormatting sqref="AF335">
    <cfRule type="cellIs" dxfId="265" priority="28" operator="equal">
      <formula>0</formula>
    </cfRule>
    <cfRule type="cellIs" dxfId="264" priority="29" operator="equal">
      <formula>2</formula>
    </cfRule>
    <cfRule type="cellIs" dxfId="263" priority="30" operator="equal">
      <formula>1</formula>
    </cfRule>
  </conditionalFormatting>
  <conditionalFormatting sqref="AF53">
    <cfRule type="cellIs" dxfId="262" priority="25" operator="equal">
      <formula>0</formula>
    </cfRule>
    <cfRule type="cellIs" dxfId="261" priority="26" operator="equal">
      <formula>2</formula>
    </cfRule>
    <cfRule type="cellIs" dxfId="260" priority="27" operator="equal">
      <formula>1</formula>
    </cfRule>
  </conditionalFormatting>
  <conditionalFormatting sqref="AF56">
    <cfRule type="cellIs" dxfId="259" priority="22" operator="equal">
      <formula>0</formula>
    </cfRule>
    <cfRule type="cellIs" dxfId="258" priority="23" operator="equal">
      <formula>2</formula>
    </cfRule>
    <cfRule type="cellIs" dxfId="257" priority="24" operator="equal">
      <formula>1</formula>
    </cfRule>
  </conditionalFormatting>
  <conditionalFormatting sqref="AF59">
    <cfRule type="cellIs" dxfId="256" priority="19" operator="equal">
      <formula>0</formula>
    </cfRule>
    <cfRule type="cellIs" dxfId="255" priority="20" operator="equal">
      <formula>2</formula>
    </cfRule>
    <cfRule type="cellIs" dxfId="254" priority="21" operator="equal">
      <formula>1</formula>
    </cfRule>
  </conditionalFormatting>
  <conditionalFormatting sqref="AF228:AF233">
    <cfRule type="cellIs" dxfId="253" priority="16" operator="equal">
      <formula>0</formula>
    </cfRule>
    <cfRule type="cellIs" dxfId="252" priority="17" operator="equal">
      <formula>2</formula>
    </cfRule>
    <cfRule type="cellIs" dxfId="251" priority="18" operator="equal">
      <formula>1</formula>
    </cfRule>
  </conditionalFormatting>
  <conditionalFormatting sqref="AF694">
    <cfRule type="cellIs" dxfId="250" priority="13" operator="equal">
      <formula>0</formula>
    </cfRule>
    <cfRule type="cellIs" dxfId="249" priority="14" operator="equal">
      <formula>2</formula>
    </cfRule>
    <cfRule type="cellIs" dxfId="248" priority="15" operator="equal">
      <formula>1</formula>
    </cfRule>
  </conditionalFormatting>
  <conditionalFormatting sqref="AF692">
    <cfRule type="cellIs" dxfId="247" priority="10" operator="equal">
      <formula>0</formula>
    </cfRule>
    <cfRule type="cellIs" dxfId="246" priority="11" operator="equal">
      <formula>2</formula>
    </cfRule>
    <cfRule type="cellIs" dxfId="245" priority="12" operator="equal">
      <formula>1</formula>
    </cfRule>
  </conditionalFormatting>
  <pageMargins left="0.7" right="0.7" top="0.75" bottom="0.75" header="0.3" footer="0.3"/>
  <pageSetup paperSize="9" scale="10" orientation="landscape"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260"/>
  <sheetViews>
    <sheetView workbookViewId="0">
      <selection activeCell="B184" sqref="B184"/>
    </sheetView>
  </sheetViews>
  <sheetFormatPr baseColWidth="10" defaultColWidth="11" defaultRowHeight="16"/>
  <cols>
    <col min="1" max="1" width="68.5" style="188" customWidth="1"/>
    <col min="2" max="2" width="143.6640625" customWidth="1"/>
  </cols>
  <sheetData>
    <row r="1" spans="1:2">
      <c r="A1" s="188" t="s">
        <v>367</v>
      </c>
      <c r="B1" t="s">
        <v>6593</v>
      </c>
    </row>
    <row r="2" spans="1:2">
      <c r="A2" s="188" t="s">
        <v>3817</v>
      </c>
      <c r="B2" t="s">
        <v>6590</v>
      </c>
    </row>
    <row r="3" spans="1:2">
      <c r="A3" s="188" t="s">
        <v>3818</v>
      </c>
      <c r="B3" t="s">
        <v>6591</v>
      </c>
    </row>
    <row r="4" spans="1:2">
      <c r="A4" s="188" t="s">
        <v>6155</v>
      </c>
      <c r="B4" t="s">
        <v>6592</v>
      </c>
    </row>
    <row r="5" spans="1:2">
      <c r="A5" s="188" t="s">
        <v>2134</v>
      </c>
      <c r="B5" t="s">
        <v>6334</v>
      </c>
    </row>
    <row r="6" spans="1:2">
      <c r="A6" s="188" t="s">
        <v>2135</v>
      </c>
      <c r="B6" t="s">
        <v>6335</v>
      </c>
    </row>
    <row r="7" spans="1:2">
      <c r="A7" s="188" t="s">
        <v>2398</v>
      </c>
      <c r="B7" t="s">
        <v>6336</v>
      </c>
    </row>
    <row r="8" spans="1:2">
      <c r="A8" s="188" t="s">
        <v>0</v>
      </c>
      <c r="B8" t="s">
        <v>6337</v>
      </c>
    </row>
    <row r="9" spans="1:2">
      <c r="A9" s="188" t="s">
        <v>1794</v>
      </c>
      <c r="B9" t="s">
        <v>6338</v>
      </c>
    </row>
    <row r="10" spans="1:2">
      <c r="A10" s="188" t="s">
        <v>1789</v>
      </c>
      <c r="B10" t="s">
        <v>6339</v>
      </c>
    </row>
    <row r="11" spans="1:2">
      <c r="A11" s="188" t="s">
        <v>1770</v>
      </c>
      <c r="B11" t="s">
        <v>6340</v>
      </c>
    </row>
    <row r="12" spans="1:2">
      <c r="A12" s="188" t="s">
        <v>1727</v>
      </c>
      <c r="B12" t="s">
        <v>6341</v>
      </c>
    </row>
    <row r="13" spans="1:2">
      <c r="A13" s="188" t="s">
        <v>1728</v>
      </c>
      <c r="B13" t="s">
        <v>6342</v>
      </c>
    </row>
    <row r="14" spans="1:2">
      <c r="A14" s="188" t="s">
        <v>1</v>
      </c>
      <c r="B14" t="s">
        <v>6343</v>
      </c>
    </row>
    <row r="15" spans="1:2">
      <c r="A15" s="188" t="s">
        <v>1906</v>
      </c>
      <c r="B15" t="s">
        <v>6344</v>
      </c>
    </row>
    <row r="16" spans="1:2">
      <c r="A16" s="188" t="s">
        <v>1237</v>
      </c>
      <c r="B16" t="s">
        <v>6345</v>
      </c>
    </row>
    <row r="17" spans="1:2">
      <c r="A17" s="188" t="s">
        <v>40</v>
      </c>
      <c r="B17" t="s">
        <v>6346</v>
      </c>
    </row>
    <row r="18" spans="1:2">
      <c r="A18" s="188" t="s">
        <v>1910</v>
      </c>
      <c r="B18" t="s">
        <v>6347</v>
      </c>
    </row>
    <row r="19" spans="1:2">
      <c r="A19" s="188" t="s">
        <v>1907</v>
      </c>
      <c r="B19" t="s">
        <v>6348</v>
      </c>
    </row>
    <row r="20" spans="1:2">
      <c r="A20" s="188" t="s">
        <v>6</v>
      </c>
      <c r="B20" t="s">
        <v>6349</v>
      </c>
    </row>
    <row r="21" spans="1:2">
      <c r="A21" s="188" t="s">
        <v>1122</v>
      </c>
      <c r="B21" t="s">
        <v>6350</v>
      </c>
    </row>
    <row r="22" spans="1:2">
      <c r="A22" s="188" t="s">
        <v>1120</v>
      </c>
      <c r="B22" t="s">
        <v>6351</v>
      </c>
    </row>
    <row r="23" spans="1:2">
      <c r="A23" s="188" t="s">
        <v>5</v>
      </c>
      <c r="B23" t="s">
        <v>6352</v>
      </c>
    </row>
    <row r="24" spans="1:2">
      <c r="A24" s="188" t="s">
        <v>3</v>
      </c>
      <c r="B24" t="s">
        <v>6353</v>
      </c>
    </row>
    <row r="25" spans="1:2">
      <c r="A25" s="188" t="s">
        <v>4</v>
      </c>
      <c r="B25" t="s">
        <v>6354</v>
      </c>
    </row>
    <row r="26" spans="1:2">
      <c r="A26" s="188" t="s">
        <v>507</v>
      </c>
      <c r="B26" t="s">
        <v>6355</v>
      </c>
    </row>
    <row r="27" spans="1:2">
      <c r="A27" s="188" t="s">
        <v>1650</v>
      </c>
      <c r="B27" t="s">
        <v>6356</v>
      </c>
    </row>
    <row r="28" spans="1:2">
      <c r="A28" s="188" t="s">
        <v>1909</v>
      </c>
      <c r="B28" t="s">
        <v>6357</v>
      </c>
    </row>
    <row r="29" spans="1:2">
      <c r="A29" s="188" t="s">
        <v>6167</v>
      </c>
      <c r="B29" t="s">
        <v>6580</v>
      </c>
    </row>
    <row r="30" spans="1:2">
      <c r="A30" s="188" t="s">
        <v>6156</v>
      </c>
      <c r="B30" t="s">
        <v>6581</v>
      </c>
    </row>
    <row r="31" spans="1:2">
      <c r="A31" s="188" t="s">
        <v>6329</v>
      </c>
      <c r="B31" t="s">
        <v>6582</v>
      </c>
    </row>
    <row r="32" spans="1:2">
      <c r="A32" s="188" t="s">
        <v>1879</v>
      </c>
      <c r="B32" t="s">
        <v>6589</v>
      </c>
    </row>
    <row r="33" spans="1:2">
      <c r="A33" s="188" t="s">
        <v>1880</v>
      </c>
      <c r="B33" t="s">
        <v>6583</v>
      </c>
    </row>
    <row r="34" spans="1:2">
      <c r="A34" s="188" t="s">
        <v>2686</v>
      </c>
      <c r="B34" t="s">
        <v>6358</v>
      </c>
    </row>
    <row r="35" spans="1:2">
      <c r="A35" s="188" t="s">
        <v>4704</v>
      </c>
      <c r="B35" t="s">
        <v>6584</v>
      </c>
    </row>
    <row r="36" spans="1:2">
      <c r="A36" s="188" t="s">
        <v>2472</v>
      </c>
      <c r="B36" t="s">
        <v>6585</v>
      </c>
    </row>
    <row r="37" spans="1:2">
      <c r="A37" s="188" t="s">
        <v>4368</v>
      </c>
      <c r="B37" t="s">
        <v>6586</v>
      </c>
    </row>
    <row r="38" spans="1:2">
      <c r="A38" s="188" t="s">
        <v>2692</v>
      </c>
      <c r="B38" t="s">
        <v>6587</v>
      </c>
    </row>
    <row r="39" spans="1:2">
      <c r="A39" s="188" t="s">
        <v>1868</v>
      </c>
      <c r="B39" t="s">
        <v>6359</v>
      </c>
    </row>
    <row r="40" spans="1:2">
      <c r="A40" s="188" t="s">
        <v>1869</v>
      </c>
      <c r="B40" t="s">
        <v>6360</v>
      </c>
    </row>
    <row r="41" spans="1:2">
      <c r="A41" s="188" t="s">
        <v>1870</v>
      </c>
      <c r="B41" t="s">
        <v>6361</v>
      </c>
    </row>
    <row r="42" spans="1:2">
      <c r="A42" s="188" t="s">
        <v>2935</v>
      </c>
      <c r="B42" t="s">
        <v>6362</v>
      </c>
    </row>
    <row r="43" spans="1:2">
      <c r="A43" s="188" t="s">
        <v>2936</v>
      </c>
      <c r="B43" t="s">
        <v>6363</v>
      </c>
    </row>
    <row r="44" spans="1:2">
      <c r="A44" s="188" t="s">
        <v>2937</v>
      </c>
      <c r="B44" t="s">
        <v>6364</v>
      </c>
    </row>
    <row r="45" spans="1:2">
      <c r="A45" s="188" t="s">
        <v>2938</v>
      </c>
      <c r="B45" t="s">
        <v>6365</v>
      </c>
    </row>
    <row r="46" spans="1:2">
      <c r="A46" s="188" t="s">
        <v>2939</v>
      </c>
      <c r="B46" t="s">
        <v>6366</v>
      </c>
    </row>
    <row r="47" spans="1:2">
      <c r="A47" s="188" t="s">
        <v>2940</v>
      </c>
      <c r="B47" t="s">
        <v>6367</v>
      </c>
    </row>
    <row r="48" spans="1:2">
      <c r="A48" s="188" t="s">
        <v>1871</v>
      </c>
      <c r="B48" t="s">
        <v>6368</v>
      </c>
    </row>
    <row r="49" spans="1:2">
      <c r="A49" s="188" t="s">
        <v>3315</v>
      </c>
      <c r="B49" t="s">
        <v>6563</v>
      </c>
    </row>
    <row r="50" spans="1:2">
      <c r="A50" s="188" t="s">
        <v>3314</v>
      </c>
      <c r="B50" t="s">
        <v>6564</v>
      </c>
    </row>
    <row r="51" spans="1:2">
      <c r="A51" s="188" t="s">
        <v>2422</v>
      </c>
      <c r="B51" t="s">
        <v>6369</v>
      </c>
    </row>
    <row r="52" spans="1:2">
      <c r="A52" s="188" t="s">
        <v>2604</v>
      </c>
      <c r="B52" t="s">
        <v>6370</v>
      </c>
    </row>
    <row r="53" spans="1:2">
      <c r="A53" s="188" t="s">
        <v>1872</v>
      </c>
      <c r="B53" t="s">
        <v>6371</v>
      </c>
    </row>
    <row r="54" spans="1:2">
      <c r="A54" s="188" t="s">
        <v>1421</v>
      </c>
      <c r="B54" t="s">
        <v>6565</v>
      </c>
    </row>
    <row r="55" spans="1:2">
      <c r="A55" s="188" t="s">
        <v>6172</v>
      </c>
      <c r="B55" t="s">
        <v>6566</v>
      </c>
    </row>
    <row r="56" spans="1:2">
      <c r="A56" s="188" t="s">
        <v>1911</v>
      </c>
      <c r="B56" t="s">
        <v>6567</v>
      </c>
    </row>
    <row r="57" spans="1:2">
      <c r="A57" s="188" t="s">
        <v>2543</v>
      </c>
      <c r="B57" t="s">
        <v>6568</v>
      </c>
    </row>
    <row r="58" spans="1:2">
      <c r="A58" s="188" t="s">
        <v>1912</v>
      </c>
      <c r="B58" t="s">
        <v>6569</v>
      </c>
    </row>
    <row r="59" spans="1:2">
      <c r="A59" s="188" t="s">
        <v>1918</v>
      </c>
      <c r="B59" t="s">
        <v>6570</v>
      </c>
    </row>
    <row r="60" spans="1:2">
      <c r="A60" s="188" t="s">
        <v>3864</v>
      </c>
      <c r="B60" t="s">
        <v>6571</v>
      </c>
    </row>
    <row r="61" spans="1:2">
      <c r="A61" s="188" t="s">
        <v>3944</v>
      </c>
      <c r="B61" t="s">
        <v>6572</v>
      </c>
    </row>
    <row r="62" spans="1:2">
      <c r="A62" s="188" t="s">
        <v>1913</v>
      </c>
      <c r="B62" t="s">
        <v>6562</v>
      </c>
    </row>
    <row r="63" spans="1:2">
      <c r="A63" s="188" t="s">
        <v>3865</v>
      </c>
      <c r="B63" t="s">
        <v>6573</v>
      </c>
    </row>
    <row r="64" spans="1:2">
      <c r="A64" s="188" t="s">
        <v>609</v>
      </c>
      <c r="B64" t="s">
        <v>6574</v>
      </c>
    </row>
    <row r="65" spans="1:2">
      <c r="A65" s="188" t="s">
        <v>1916</v>
      </c>
      <c r="B65" t="s">
        <v>6575</v>
      </c>
    </row>
    <row r="66" spans="1:2">
      <c r="A66" s="188" t="s">
        <v>3997</v>
      </c>
      <c r="B66" t="s">
        <v>6576</v>
      </c>
    </row>
    <row r="67" spans="1:2">
      <c r="A67" s="188" t="s">
        <v>3999</v>
      </c>
      <c r="B67" t="s">
        <v>6577</v>
      </c>
    </row>
    <row r="68" spans="1:2">
      <c r="A68" s="188" t="s">
        <v>1915</v>
      </c>
      <c r="B68" t="s">
        <v>6578</v>
      </c>
    </row>
    <row r="69" spans="1:2">
      <c r="A69" s="188" t="s">
        <v>2447</v>
      </c>
      <c r="B69" t="s">
        <v>6579</v>
      </c>
    </row>
    <row r="70" spans="1:2">
      <c r="A70" s="188" t="s">
        <v>1873</v>
      </c>
      <c r="B70" t="s">
        <v>6372</v>
      </c>
    </row>
    <row r="71" spans="1:2">
      <c r="A71" s="188" t="s">
        <v>2409</v>
      </c>
      <c r="B71" t="s">
        <v>6373</v>
      </c>
    </row>
    <row r="72" spans="1:2">
      <c r="A72" s="188" t="s">
        <v>2466</v>
      </c>
      <c r="B72" t="s">
        <v>6374</v>
      </c>
    </row>
    <row r="73" spans="1:2">
      <c r="A73" s="188" t="s">
        <v>2469</v>
      </c>
      <c r="B73" t="s">
        <v>6375</v>
      </c>
    </row>
    <row r="74" spans="1:2">
      <c r="A74" s="188" t="s">
        <v>2399</v>
      </c>
      <c r="B74" t="s">
        <v>6376</v>
      </c>
    </row>
    <row r="75" spans="1:2">
      <c r="A75" s="188" t="s">
        <v>2525</v>
      </c>
      <c r="B75" t="s">
        <v>6588</v>
      </c>
    </row>
    <row r="76" spans="1:2">
      <c r="A76" s="188" t="s">
        <v>2417</v>
      </c>
      <c r="B76" t="s">
        <v>6377</v>
      </c>
    </row>
    <row r="77" spans="1:2">
      <c r="A77" s="188" t="s">
        <v>2401</v>
      </c>
      <c r="B77" t="s">
        <v>6378</v>
      </c>
    </row>
    <row r="78" spans="1:2">
      <c r="A78" s="188" t="s">
        <v>2509</v>
      </c>
      <c r="B78" t="s">
        <v>6379</v>
      </c>
    </row>
    <row r="79" spans="1:2">
      <c r="A79" s="188" t="s">
        <v>2510</v>
      </c>
      <c r="B79" t="s">
        <v>6380</v>
      </c>
    </row>
    <row r="80" spans="1:2">
      <c r="A80" s="188" t="s">
        <v>2419</v>
      </c>
      <c r="B80" t="s">
        <v>6381</v>
      </c>
    </row>
    <row r="81" spans="1:2">
      <c r="A81" s="188" t="s">
        <v>2402</v>
      </c>
      <c r="B81" t="s">
        <v>6382</v>
      </c>
    </row>
    <row r="82" spans="1:2">
      <c r="A82" s="188" t="s">
        <v>2511</v>
      </c>
      <c r="B82" t="s">
        <v>6383</v>
      </c>
    </row>
    <row r="83" spans="1:2">
      <c r="A83" s="188" t="s">
        <v>2512</v>
      </c>
      <c r="B83" t="s">
        <v>6384</v>
      </c>
    </row>
    <row r="84" spans="1:2">
      <c r="A84" s="188" t="s">
        <v>2427</v>
      </c>
      <c r="B84" t="s">
        <v>6385</v>
      </c>
    </row>
    <row r="85" spans="1:2">
      <c r="A85" s="188" t="s">
        <v>2426</v>
      </c>
      <c r="B85" t="s">
        <v>6386</v>
      </c>
    </row>
    <row r="86" spans="1:2">
      <c r="A86" s="188" t="s">
        <v>2421</v>
      </c>
      <c r="B86" t="s">
        <v>6387</v>
      </c>
    </row>
    <row r="87" spans="1:2">
      <c r="A87" s="188" t="s">
        <v>2403</v>
      </c>
      <c r="B87" t="s">
        <v>6388</v>
      </c>
    </row>
    <row r="88" spans="1:2">
      <c r="A88" s="188" t="s">
        <v>2513</v>
      </c>
      <c r="B88" t="s">
        <v>6389</v>
      </c>
    </row>
    <row r="89" spans="1:2">
      <c r="A89" s="188" t="s">
        <v>2514</v>
      </c>
      <c r="B89" t="s">
        <v>6390</v>
      </c>
    </row>
    <row r="90" spans="1:2">
      <c r="A90" s="188" t="s">
        <v>2433</v>
      </c>
      <c r="B90" t="s">
        <v>6391</v>
      </c>
    </row>
    <row r="91" spans="1:2">
      <c r="A91" s="188" t="s">
        <v>2404</v>
      </c>
      <c r="B91" t="s">
        <v>6392</v>
      </c>
    </row>
    <row r="92" spans="1:2">
      <c r="A92" s="188" t="s">
        <v>2515</v>
      </c>
      <c r="B92" t="s">
        <v>6393</v>
      </c>
    </row>
    <row r="93" spans="1:2">
      <c r="A93" s="188" t="s">
        <v>2516</v>
      </c>
      <c r="B93" t="s">
        <v>6394</v>
      </c>
    </row>
    <row r="94" spans="1:2">
      <c r="A94" s="188" t="s">
        <v>2428</v>
      </c>
      <c r="B94" t="s">
        <v>6395</v>
      </c>
    </row>
    <row r="95" spans="1:2">
      <c r="A95" s="188" t="s">
        <v>2429</v>
      </c>
      <c r="B95" t="s">
        <v>6396</v>
      </c>
    </row>
    <row r="96" spans="1:2">
      <c r="A96" s="188" t="s">
        <v>2430</v>
      </c>
      <c r="B96" t="s">
        <v>6397</v>
      </c>
    </row>
    <row r="97" spans="1:2">
      <c r="A97" s="188" t="s">
        <v>2431</v>
      </c>
      <c r="B97" t="s">
        <v>6398</v>
      </c>
    </row>
    <row r="98" spans="1:2">
      <c r="A98" s="188" t="s">
        <v>2432</v>
      </c>
      <c r="B98" t="s">
        <v>6399</v>
      </c>
    </row>
    <row r="99" spans="1:2">
      <c r="A99" s="188" t="s">
        <v>2405</v>
      </c>
      <c r="B99" t="s">
        <v>6400</v>
      </c>
    </row>
    <row r="100" spans="1:2">
      <c r="A100" s="188" t="s">
        <v>2517</v>
      </c>
      <c r="B100" t="s">
        <v>6401</v>
      </c>
    </row>
    <row r="101" spans="1:2">
      <c r="A101" s="188" t="s">
        <v>2518</v>
      </c>
      <c r="B101" t="s">
        <v>6402</v>
      </c>
    </row>
    <row r="102" spans="1:2">
      <c r="A102" s="188" t="s">
        <v>2435</v>
      </c>
      <c r="B102" t="s">
        <v>6403</v>
      </c>
    </row>
    <row r="103" spans="1:2">
      <c r="A103" s="188" t="s">
        <v>2406</v>
      </c>
      <c r="B103" t="s">
        <v>6404</v>
      </c>
    </row>
    <row r="104" spans="1:2">
      <c r="A104" s="188" t="s">
        <v>2519</v>
      </c>
      <c r="B104" t="s">
        <v>6405</v>
      </c>
    </row>
    <row r="105" spans="1:2">
      <c r="A105" s="188" t="s">
        <v>2520</v>
      </c>
      <c r="B105" t="s">
        <v>6406</v>
      </c>
    </row>
    <row r="106" spans="1:2">
      <c r="A106" s="188" t="s">
        <v>2489</v>
      </c>
      <c r="B106" t="s">
        <v>6407</v>
      </c>
    </row>
    <row r="107" spans="1:2">
      <c r="A107" s="188" t="s">
        <v>2536</v>
      </c>
      <c r="B107" t="s">
        <v>6408</v>
      </c>
    </row>
    <row r="108" spans="1:2">
      <c r="A108" s="188" t="s">
        <v>2437</v>
      </c>
      <c r="B108" t="s">
        <v>6409</v>
      </c>
    </row>
    <row r="109" spans="1:2">
      <c r="A109" s="188" t="s">
        <v>2407</v>
      </c>
      <c r="B109" t="s">
        <v>6410</v>
      </c>
    </row>
    <row r="110" spans="1:2">
      <c r="A110" s="188" t="s">
        <v>2521</v>
      </c>
      <c r="B110" t="s">
        <v>6411</v>
      </c>
    </row>
    <row r="111" spans="1:2">
      <c r="A111" s="188" t="s">
        <v>2522</v>
      </c>
      <c r="B111" t="s">
        <v>6412</v>
      </c>
    </row>
    <row r="112" spans="1:2">
      <c r="A112" s="188" t="s">
        <v>2439</v>
      </c>
      <c r="B112" t="s">
        <v>6413</v>
      </c>
    </row>
    <row r="113" spans="1:2">
      <c r="A113" s="188" t="s">
        <v>2408</v>
      </c>
      <c r="B113" t="s">
        <v>6414</v>
      </c>
    </row>
    <row r="114" spans="1:2">
      <c r="A114" s="188" t="s">
        <v>2523</v>
      </c>
      <c r="B114" t="s">
        <v>6415</v>
      </c>
    </row>
    <row r="115" spans="1:2">
      <c r="A115" s="188" t="s">
        <v>2524</v>
      </c>
      <c r="B115" t="s">
        <v>6416</v>
      </c>
    </row>
    <row r="116" spans="1:2">
      <c r="A116" s="188" t="s">
        <v>2490</v>
      </c>
      <c r="B116" t="s">
        <v>6417</v>
      </c>
    </row>
    <row r="117" spans="1:2">
      <c r="A117" s="188" t="s">
        <v>2537</v>
      </c>
      <c r="B117" t="s">
        <v>6418</v>
      </c>
    </row>
    <row r="118" spans="1:2">
      <c r="A118" s="188" t="s">
        <v>2539</v>
      </c>
      <c r="B118" t="s">
        <v>6419</v>
      </c>
    </row>
    <row r="119" spans="1:2">
      <c r="A119" s="188" t="s">
        <v>2540</v>
      </c>
      <c r="B119" t="s">
        <v>6420</v>
      </c>
    </row>
    <row r="120" spans="1:2">
      <c r="A120" s="188" t="s">
        <v>2576</v>
      </c>
      <c r="B120" t="s">
        <v>6421</v>
      </c>
    </row>
    <row r="121" spans="1:2">
      <c r="A121" s="188" t="s">
        <v>2577</v>
      </c>
      <c r="B121" t="s">
        <v>6422</v>
      </c>
    </row>
    <row r="122" spans="1:2">
      <c r="A122" s="188" t="s">
        <v>2578</v>
      </c>
      <c r="B122" t="s">
        <v>6423</v>
      </c>
    </row>
    <row r="123" spans="1:2">
      <c r="A123" s="188" t="s">
        <v>2579</v>
      </c>
      <c r="B123" t="s">
        <v>6424</v>
      </c>
    </row>
    <row r="124" spans="1:2">
      <c r="A124" s="188" t="s">
        <v>2581</v>
      </c>
      <c r="B124" t="s">
        <v>6425</v>
      </c>
    </row>
    <row r="125" spans="1:2">
      <c r="A125" s="188" t="s">
        <v>2582</v>
      </c>
      <c r="B125" t="s">
        <v>6426</v>
      </c>
    </row>
    <row r="126" spans="1:2">
      <c r="A126" s="188" t="s">
        <v>2583</v>
      </c>
      <c r="B126" t="s">
        <v>6427</v>
      </c>
    </row>
    <row r="127" spans="1:2">
      <c r="A127" s="188" t="s">
        <v>2584</v>
      </c>
      <c r="B127" t="s">
        <v>6428</v>
      </c>
    </row>
    <row r="128" spans="1:2">
      <c r="A128" s="188" t="s">
        <v>2586</v>
      </c>
      <c r="B128" t="s">
        <v>6429</v>
      </c>
    </row>
    <row r="129" spans="1:2">
      <c r="A129" s="188" t="s">
        <v>2587</v>
      </c>
      <c r="B129" t="s">
        <v>6430</v>
      </c>
    </row>
    <row r="130" spans="1:2">
      <c r="A130" s="188" t="s">
        <v>2627</v>
      </c>
      <c r="B130" t="s">
        <v>6431</v>
      </c>
    </row>
    <row r="131" spans="1:2">
      <c r="A131" s="188" t="s">
        <v>2628</v>
      </c>
      <c r="B131" t="s">
        <v>6432</v>
      </c>
    </row>
    <row r="132" spans="1:2">
      <c r="A132" s="188" t="s">
        <v>2629</v>
      </c>
      <c r="B132" t="s">
        <v>6433</v>
      </c>
    </row>
    <row r="133" spans="1:2">
      <c r="A133" s="188" t="s">
        <v>2630</v>
      </c>
      <c r="B133" t="s">
        <v>6434</v>
      </c>
    </row>
    <row r="134" spans="1:2">
      <c r="A134" s="188" t="s">
        <v>2626</v>
      </c>
      <c r="B134" t="s">
        <v>6435</v>
      </c>
    </row>
    <row r="135" spans="1:2">
      <c r="A135" s="188" t="s">
        <v>2633</v>
      </c>
      <c r="B135" t="s">
        <v>6436</v>
      </c>
    </row>
    <row r="136" spans="1:2">
      <c r="A136" s="188" t="s">
        <v>2634</v>
      </c>
      <c r="B136" t="s">
        <v>6437</v>
      </c>
    </row>
    <row r="137" spans="1:2">
      <c r="A137" s="188" t="s">
        <v>2635</v>
      </c>
      <c r="B137" t="s">
        <v>6438</v>
      </c>
    </row>
    <row r="138" spans="1:2">
      <c r="A138" s="188" t="s">
        <v>2636</v>
      </c>
      <c r="B138" t="s">
        <v>6439</v>
      </c>
    </row>
    <row r="139" spans="1:2">
      <c r="A139" s="188" t="s">
        <v>2637</v>
      </c>
      <c r="B139" t="s">
        <v>6440</v>
      </c>
    </row>
    <row r="140" spans="1:2">
      <c r="A140" s="188" t="s">
        <v>2649</v>
      </c>
      <c r="B140" t="s">
        <v>6441</v>
      </c>
    </row>
    <row r="141" spans="1:2">
      <c r="A141" s="188" t="s">
        <v>2758</v>
      </c>
      <c r="B141" t="s">
        <v>6442</v>
      </c>
    </row>
    <row r="142" spans="1:2">
      <c r="A142" s="188" t="s">
        <v>2759</v>
      </c>
      <c r="B142" t="s">
        <v>6443</v>
      </c>
    </row>
    <row r="143" spans="1:2">
      <c r="A143" s="188" t="s">
        <v>2760</v>
      </c>
      <c r="B143" t="s">
        <v>6444</v>
      </c>
    </row>
    <row r="144" spans="1:2">
      <c r="A144" s="188" t="s">
        <v>2761</v>
      </c>
      <c r="B144" t="s">
        <v>6445</v>
      </c>
    </row>
    <row r="145" spans="1:2">
      <c r="A145" s="188" t="s">
        <v>2762</v>
      </c>
      <c r="B145" t="s">
        <v>6446</v>
      </c>
    </row>
    <row r="146" spans="1:2">
      <c r="A146" s="188" t="s">
        <v>2763</v>
      </c>
      <c r="B146" t="s">
        <v>6447</v>
      </c>
    </row>
    <row r="147" spans="1:2">
      <c r="A147" s="188" t="s">
        <v>2764</v>
      </c>
      <c r="B147" t="s">
        <v>6448</v>
      </c>
    </row>
    <row r="148" spans="1:2">
      <c r="A148" s="188" t="s">
        <v>2765</v>
      </c>
      <c r="B148" t="s">
        <v>6449</v>
      </c>
    </row>
    <row r="149" spans="1:2">
      <c r="A149" s="188" t="s">
        <v>2766</v>
      </c>
      <c r="B149" t="s">
        <v>6450</v>
      </c>
    </row>
    <row r="150" spans="1:2">
      <c r="A150" s="188" t="s">
        <v>2767</v>
      </c>
      <c r="B150" t="s">
        <v>6451</v>
      </c>
    </row>
    <row r="151" spans="1:2">
      <c r="A151" s="188" t="s">
        <v>2769</v>
      </c>
      <c r="B151" t="s">
        <v>6452</v>
      </c>
    </row>
    <row r="152" spans="1:2">
      <c r="A152" s="188" t="s">
        <v>2771</v>
      </c>
      <c r="B152" t="s">
        <v>6453</v>
      </c>
    </row>
    <row r="153" spans="1:2">
      <c r="A153" s="188" t="s">
        <v>2772</v>
      </c>
      <c r="B153" t="s">
        <v>6454</v>
      </c>
    </row>
    <row r="154" spans="1:2">
      <c r="A154" s="188" t="s">
        <v>2773</v>
      </c>
      <c r="B154" t="s">
        <v>6455</v>
      </c>
    </row>
    <row r="155" spans="1:2">
      <c r="A155" s="188" t="s">
        <v>4627</v>
      </c>
      <c r="B155" t="s">
        <v>6456</v>
      </c>
    </row>
    <row r="156" spans="1:2">
      <c r="A156" s="188" t="s">
        <v>4628</v>
      </c>
      <c r="B156" t="s">
        <v>6457</v>
      </c>
    </row>
    <row r="157" spans="1:2">
      <c r="A157" s="188" t="s">
        <v>4629</v>
      </c>
      <c r="B157" t="s">
        <v>6458</v>
      </c>
    </row>
    <row r="158" spans="1:2">
      <c r="A158" s="188" t="s">
        <v>4630</v>
      </c>
      <c r="B158" t="s">
        <v>6459</v>
      </c>
    </row>
    <row r="159" spans="1:2">
      <c r="A159" s="188" t="s">
        <v>4631</v>
      </c>
      <c r="B159" t="s">
        <v>6460</v>
      </c>
    </row>
    <row r="160" spans="1:2">
      <c r="A160" s="188" t="s">
        <v>4632</v>
      </c>
      <c r="B160" t="s">
        <v>6461</v>
      </c>
    </row>
    <row r="161" spans="1:2">
      <c r="A161" s="188" t="s">
        <v>4813</v>
      </c>
      <c r="B161" t="s">
        <v>6462</v>
      </c>
    </row>
    <row r="162" spans="1:2">
      <c r="A162" s="188" t="s">
        <v>4814</v>
      </c>
      <c r="B162" t="s">
        <v>6463</v>
      </c>
    </row>
    <row r="163" spans="1:2">
      <c r="A163" s="188" t="s">
        <v>4815</v>
      </c>
      <c r="B163" t="s">
        <v>6464</v>
      </c>
    </row>
    <row r="164" spans="1:2">
      <c r="A164" s="188" t="s">
        <v>4816</v>
      </c>
      <c r="B164" t="s">
        <v>6465</v>
      </c>
    </row>
    <row r="165" spans="1:2">
      <c r="A165" s="188" t="s">
        <v>4817</v>
      </c>
      <c r="B165" t="s">
        <v>6466</v>
      </c>
    </row>
    <row r="166" spans="1:2">
      <c r="A166" s="188" t="s">
        <v>4818</v>
      </c>
      <c r="B166" t="s">
        <v>6467</v>
      </c>
    </row>
    <row r="167" spans="1:2">
      <c r="A167" s="188" t="s">
        <v>4819</v>
      </c>
      <c r="B167" t="s">
        <v>6468</v>
      </c>
    </row>
    <row r="168" spans="1:2">
      <c r="A168" s="188" t="s">
        <v>4820</v>
      </c>
      <c r="B168" t="s">
        <v>6469</v>
      </c>
    </row>
    <row r="169" spans="1:2">
      <c r="A169" s="188" t="s">
        <v>4821</v>
      </c>
      <c r="B169" t="s">
        <v>6470</v>
      </c>
    </row>
    <row r="170" spans="1:2">
      <c r="A170" s="188" t="s">
        <v>4822</v>
      </c>
      <c r="B170" t="s">
        <v>6471</v>
      </c>
    </row>
    <row r="171" spans="1:2">
      <c r="A171" s="188" t="s">
        <v>4823</v>
      </c>
      <c r="B171" t="s">
        <v>6472</v>
      </c>
    </row>
    <row r="172" spans="1:2">
      <c r="A172" s="188" t="s">
        <v>4824</v>
      </c>
      <c r="B172" t="s">
        <v>6473</v>
      </c>
    </row>
    <row r="173" spans="1:2">
      <c r="A173" s="188" t="s">
        <v>4825</v>
      </c>
      <c r="B173" t="s">
        <v>6474</v>
      </c>
    </row>
    <row r="174" spans="1:2">
      <c r="A174" s="188" t="s">
        <v>4826</v>
      </c>
      <c r="B174" t="s">
        <v>6475</v>
      </c>
    </row>
    <row r="175" spans="1:2">
      <c r="A175" s="188" t="s">
        <v>4827</v>
      </c>
      <c r="B175" t="s">
        <v>6476</v>
      </c>
    </row>
    <row r="176" spans="1:2">
      <c r="A176" s="188" t="s">
        <v>4828</v>
      </c>
      <c r="B176" t="s">
        <v>6477</v>
      </c>
    </row>
    <row r="177" spans="1:2">
      <c r="A177" s="188" t="s">
        <v>4829</v>
      </c>
      <c r="B177" t="s">
        <v>6478</v>
      </c>
    </row>
    <row r="178" spans="1:2">
      <c r="A178" s="188" t="s">
        <v>4830</v>
      </c>
      <c r="B178" t="s">
        <v>6479</v>
      </c>
    </row>
    <row r="179" spans="1:2">
      <c r="A179" s="188" t="s">
        <v>4831</v>
      </c>
      <c r="B179" t="s">
        <v>6480</v>
      </c>
    </row>
    <row r="180" spans="1:2">
      <c r="A180" s="188" t="s">
        <v>4832</v>
      </c>
      <c r="B180" t="s">
        <v>6481</v>
      </c>
    </row>
    <row r="181" spans="1:2">
      <c r="A181" s="188" t="s">
        <v>4833</v>
      </c>
      <c r="B181" t="s">
        <v>6482</v>
      </c>
    </row>
    <row r="182" spans="1:2">
      <c r="A182" s="188" t="s">
        <v>4834</v>
      </c>
      <c r="B182" t="s">
        <v>6483</v>
      </c>
    </row>
    <row r="183" spans="1:2">
      <c r="A183" s="188" t="s">
        <v>4835</v>
      </c>
      <c r="B183" t="s">
        <v>6484</v>
      </c>
    </row>
    <row r="184" spans="1:2">
      <c r="A184" s="188" t="s">
        <v>4836</v>
      </c>
      <c r="B184" t="s">
        <v>6485</v>
      </c>
    </row>
    <row r="185" spans="1:2">
      <c r="A185" s="188" t="s">
        <v>4837</v>
      </c>
      <c r="B185" t="s">
        <v>6486</v>
      </c>
    </row>
    <row r="186" spans="1:2">
      <c r="A186" s="188" t="s">
        <v>4838</v>
      </c>
      <c r="B186" t="s">
        <v>6487</v>
      </c>
    </row>
    <row r="187" spans="1:2">
      <c r="A187" s="188" t="s">
        <v>4839</v>
      </c>
      <c r="B187" t="s">
        <v>6488</v>
      </c>
    </row>
    <row r="188" spans="1:2">
      <c r="A188" s="188" t="s">
        <v>4840</v>
      </c>
      <c r="B188" t="s">
        <v>6489</v>
      </c>
    </row>
    <row r="189" spans="1:2">
      <c r="A189" s="188" t="s">
        <v>4841</v>
      </c>
      <c r="B189" t="s">
        <v>6490</v>
      </c>
    </row>
    <row r="190" spans="1:2">
      <c r="A190" s="188" t="s">
        <v>4842</v>
      </c>
      <c r="B190" t="s">
        <v>6491</v>
      </c>
    </row>
    <row r="191" spans="1:2">
      <c r="A191" s="188" t="s">
        <v>4843</v>
      </c>
      <c r="B191" t="s">
        <v>6492</v>
      </c>
    </row>
    <row r="192" spans="1:2">
      <c r="A192" s="188" t="s">
        <v>4844</v>
      </c>
      <c r="B192" t="s">
        <v>6493</v>
      </c>
    </row>
    <row r="193" spans="1:2">
      <c r="A193" s="188" t="s">
        <v>4845</v>
      </c>
      <c r="B193" t="s">
        <v>6494</v>
      </c>
    </row>
    <row r="194" spans="1:2">
      <c r="A194" s="188" t="s">
        <v>4846</v>
      </c>
      <c r="B194" t="s">
        <v>6495</v>
      </c>
    </row>
    <row r="195" spans="1:2">
      <c r="A195" s="188" t="s">
        <v>4847</v>
      </c>
      <c r="B195" t="s">
        <v>6496</v>
      </c>
    </row>
    <row r="196" spans="1:2">
      <c r="A196" s="188" t="s">
        <v>4848</v>
      </c>
      <c r="B196" t="s">
        <v>6497</v>
      </c>
    </row>
    <row r="197" spans="1:2">
      <c r="A197" s="188" t="s">
        <v>4849</v>
      </c>
      <c r="B197" t="s">
        <v>6498</v>
      </c>
    </row>
    <row r="198" spans="1:2">
      <c r="A198" s="188" t="s">
        <v>4850</v>
      </c>
      <c r="B198" t="s">
        <v>6499</v>
      </c>
    </row>
    <row r="199" spans="1:2">
      <c r="A199" s="188" t="s">
        <v>4851</v>
      </c>
      <c r="B199" t="s">
        <v>6500</v>
      </c>
    </row>
    <row r="200" spans="1:2">
      <c r="A200" s="188" t="s">
        <v>4852</v>
      </c>
      <c r="B200" t="s">
        <v>6501</v>
      </c>
    </row>
    <row r="201" spans="1:2">
      <c r="A201" s="188" t="s">
        <v>6006</v>
      </c>
      <c r="B201" t="s">
        <v>6502</v>
      </c>
    </row>
    <row r="202" spans="1:2">
      <c r="A202" s="188" t="s">
        <v>6007</v>
      </c>
      <c r="B202" t="s">
        <v>6503</v>
      </c>
    </row>
    <row r="203" spans="1:2">
      <c r="A203" s="188" t="s">
        <v>6008</v>
      </c>
      <c r="B203" t="s">
        <v>6504</v>
      </c>
    </row>
    <row r="204" spans="1:2">
      <c r="A204" s="188" t="s">
        <v>6009</v>
      </c>
      <c r="B204" t="s">
        <v>6505</v>
      </c>
    </row>
    <row r="205" spans="1:2">
      <c r="A205" s="188" t="s">
        <v>6010</v>
      </c>
      <c r="B205" t="s">
        <v>6506</v>
      </c>
    </row>
    <row r="206" spans="1:2">
      <c r="A206" s="188" t="s">
        <v>6011</v>
      </c>
      <c r="B206" t="s">
        <v>6507</v>
      </c>
    </row>
    <row r="207" spans="1:2">
      <c r="A207" s="188" t="s">
        <v>6012</v>
      </c>
      <c r="B207" t="s">
        <v>6508</v>
      </c>
    </row>
    <row r="208" spans="1:2">
      <c r="A208" s="188" t="s">
        <v>6013</v>
      </c>
      <c r="B208" t="s">
        <v>6509</v>
      </c>
    </row>
    <row r="209" spans="1:2">
      <c r="A209" s="188" t="s">
        <v>6033</v>
      </c>
      <c r="B209" t="s">
        <v>6510</v>
      </c>
    </row>
    <row r="210" spans="1:2">
      <c r="A210" s="188" t="s">
        <v>6014</v>
      </c>
      <c r="B210" t="s">
        <v>6511</v>
      </c>
    </row>
    <row r="211" spans="1:2">
      <c r="A211" s="188" t="s">
        <v>6015</v>
      </c>
      <c r="B211" t="s">
        <v>6512</v>
      </c>
    </row>
    <row r="212" spans="1:2">
      <c r="A212" s="188" t="s">
        <v>6016</v>
      </c>
      <c r="B212" t="s">
        <v>6513</v>
      </c>
    </row>
    <row r="213" spans="1:2">
      <c r="A213" s="188" t="s">
        <v>6017</v>
      </c>
      <c r="B213" t="s">
        <v>6514</v>
      </c>
    </row>
    <row r="214" spans="1:2">
      <c r="A214" s="188" t="s">
        <v>6018</v>
      </c>
      <c r="B214" t="s">
        <v>6515</v>
      </c>
    </row>
    <row r="215" spans="1:2">
      <c r="A215" s="188" t="s">
        <v>6019</v>
      </c>
      <c r="B215" t="s">
        <v>6516</v>
      </c>
    </row>
    <row r="216" spans="1:2">
      <c r="A216" s="188" t="s">
        <v>6020</v>
      </c>
      <c r="B216" t="s">
        <v>6517</v>
      </c>
    </row>
    <row r="217" spans="1:2">
      <c r="A217" s="188" t="s">
        <v>6021</v>
      </c>
      <c r="B217" t="s">
        <v>6518</v>
      </c>
    </row>
    <row r="218" spans="1:2">
      <c r="A218" s="188" t="s">
        <v>6022</v>
      </c>
      <c r="B218" t="s">
        <v>6519</v>
      </c>
    </row>
    <row r="219" spans="1:2">
      <c r="A219" s="188" t="s">
        <v>6032</v>
      </c>
      <c r="B219" t="s">
        <v>6520</v>
      </c>
    </row>
    <row r="220" spans="1:2">
      <c r="A220" s="188" t="s">
        <v>6023</v>
      </c>
      <c r="B220" t="s">
        <v>6521</v>
      </c>
    </row>
    <row r="221" spans="1:2">
      <c r="A221" s="188" t="s">
        <v>6024</v>
      </c>
      <c r="B221" t="s">
        <v>6522</v>
      </c>
    </row>
    <row r="222" spans="1:2">
      <c r="A222" s="188" t="s">
        <v>6025</v>
      </c>
      <c r="B222" t="s">
        <v>6523</v>
      </c>
    </row>
    <row r="223" spans="1:2">
      <c r="A223" s="188" t="s">
        <v>6026</v>
      </c>
      <c r="B223" t="s">
        <v>6524</v>
      </c>
    </row>
    <row r="224" spans="1:2">
      <c r="A224" s="188" t="s">
        <v>6027</v>
      </c>
      <c r="B224" t="s">
        <v>6525</v>
      </c>
    </row>
    <row r="225" spans="1:2">
      <c r="A225" s="188" t="s">
        <v>6028</v>
      </c>
      <c r="B225" t="s">
        <v>6526</v>
      </c>
    </row>
    <row r="226" spans="1:2">
      <c r="A226" s="188" t="s">
        <v>6029</v>
      </c>
      <c r="B226" t="s">
        <v>6527</v>
      </c>
    </row>
    <row r="227" spans="1:2">
      <c r="A227" s="188" t="s">
        <v>6030</v>
      </c>
      <c r="B227" t="s">
        <v>6528</v>
      </c>
    </row>
    <row r="228" spans="1:2">
      <c r="A228" s="188" t="s">
        <v>6031</v>
      </c>
      <c r="B228" t="s">
        <v>6529</v>
      </c>
    </row>
    <row r="229" spans="1:2">
      <c r="A229" s="188" t="s">
        <v>6035</v>
      </c>
      <c r="B229" t="s">
        <v>6530</v>
      </c>
    </row>
    <row r="230" spans="1:2">
      <c r="A230" s="188" t="s">
        <v>6034</v>
      </c>
      <c r="B230" t="s">
        <v>6531</v>
      </c>
    </row>
    <row r="231" spans="1:2">
      <c r="A231" s="188" t="s">
        <v>6039</v>
      </c>
      <c r="B231" t="s">
        <v>6532</v>
      </c>
    </row>
    <row r="232" spans="1:2">
      <c r="A232" s="188" t="s">
        <v>6040</v>
      </c>
      <c r="B232" t="s">
        <v>6533</v>
      </c>
    </row>
    <row r="233" spans="1:2">
      <c r="A233" s="188" t="s">
        <v>6041</v>
      </c>
      <c r="B233" t="s">
        <v>6534</v>
      </c>
    </row>
    <row r="234" spans="1:2">
      <c r="A234" s="188" t="s">
        <v>6042</v>
      </c>
      <c r="B234" t="s">
        <v>6535</v>
      </c>
    </row>
    <row r="235" spans="1:2">
      <c r="A235" s="188" t="s">
        <v>6043</v>
      </c>
      <c r="B235" t="s">
        <v>6536</v>
      </c>
    </row>
    <row r="236" spans="1:2">
      <c r="A236" s="188" t="s">
        <v>6044</v>
      </c>
      <c r="B236" t="s">
        <v>6537</v>
      </c>
    </row>
    <row r="237" spans="1:2">
      <c r="A237" s="188" t="s">
        <v>6045</v>
      </c>
      <c r="B237" t="s">
        <v>6538</v>
      </c>
    </row>
    <row r="238" spans="1:2">
      <c r="A238" s="188" t="s">
        <v>6046</v>
      </c>
      <c r="B238" t="s">
        <v>6539</v>
      </c>
    </row>
    <row r="239" spans="1:2">
      <c r="A239" s="188" t="s">
        <v>6047</v>
      </c>
      <c r="B239" t="s">
        <v>6540</v>
      </c>
    </row>
    <row r="240" spans="1:2">
      <c r="A240" s="188" t="s">
        <v>6048</v>
      </c>
      <c r="B240" t="s">
        <v>6541</v>
      </c>
    </row>
    <row r="241" spans="1:2">
      <c r="A241" s="188" t="s">
        <v>6051</v>
      </c>
      <c r="B241" t="s">
        <v>6542</v>
      </c>
    </row>
    <row r="242" spans="1:2">
      <c r="A242" s="188" t="s">
        <v>6052</v>
      </c>
      <c r="B242" t="s">
        <v>6543</v>
      </c>
    </row>
    <row r="243" spans="1:2">
      <c r="A243" s="188" t="s">
        <v>6053</v>
      </c>
      <c r="B243" t="s">
        <v>6544</v>
      </c>
    </row>
    <row r="244" spans="1:2">
      <c r="A244" s="188" t="s">
        <v>6054</v>
      </c>
      <c r="B244" t="s">
        <v>6545</v>
      </c>
    </row>
    <row r="245" spans="1:2">
      <c r="A245" s="188" t="s">
        <v>6055</v>
      </c>
      <c r="B245" t="s">
        <v>6546</v>
      </c>
    </row>
    <row r="246" spans="1:2">
      <c r="A246" s="188" t="s">
        <v>6056</v>
      </c>
      <c r="B246" t="s">
        <v>6547</v>
      </c>
    </row>
    <row r="247" spans="1:2">
      <c r="A247" s="188" t="s">
        <v>6057</v>
      </c>
      <c r="B247" t="s">
        <v>6548</v>
      </c>
    </row>
    <row r="248" spans="1:2">
      <c r="A248" s="188" t="s">
        <v>6058</v>
      </c>
      <c r="B248" t="s">
        <v>6549</v>
      </c>
    </row>
    <row r="249" spans="1:2">
      <c r="A249" s="188" t="s">
        <v>6059</v>
      </c>
      <c r="B249" t="s">
        <v>6550</v>
      </c>
    </row>
    <row r="250" spans="1:2">
      <c r="A250" s="188" t="s">
        <v>6060</v>
      </c>
      <c r="B250" t="s">
        <v>6551</v>
      </c>
    </row>
    <row r="251" spans="1:2">
      <c r="A251" s="188" t="s">
        <v>6062</v>
      </c>
      <c r="B251" t="s">
        <v>6552</v>
      </c>
    </row>
    <row r="252" spans="1:2">
      <c r="A252" s="188" t="s">
        <v>6063</v>
      </c>
      <c r="B252" t="s">
        <v>6553</v>
      </c>
    </row>
    <row r="253" spans="1:2">
      <c r="A253" s="188" t="s">
        <v>6064</v>
      </c>
      <c r="B253" t="s">
        <v>6554</v>
      </c>
    </row>
    <row r="254" spans="1:2">
      <c r="A254" s="188" t="s">
        <v>6065</v>
      </c>
      <c r="B254" t="s">
        <v>6555</v>
      </c>
    </row>
    <row r="255" spans="1:2">
      <c r="A255" s="188" t="s">
        <v>6066</v>
      </c>
      <c r="B255" t="s">
        <v>6556</v>
      </c>
    </row>
    <row r="256" spans="1:2">
      <c r="A256" s="188" t="s">
        <v>6067</v>
      </c>
      <c r="B256" t="s">
        <v>6557</v>
      </c>
    </row>
    <row r="257" spans="1:2">
      <c r="A257" s="188" t="s">
        <v>6068</v>
      </c>
      <c r="B257" t="s">
        <v>6558</v>
      </c>
    </row>
    <row r="258" spans="1:2">
      <c r="A258" s="188" t="s">
        <v>6069</v>
      </c>
      <c r="B258" t="s">
        <v>6559</v>
      </c>
    </row>
    <row r="259" spans="1:2">
      <c r="A259" s="188" t="s">
        <v>6070</v>
      </c>
      <c r="B259" t="s">
        <v>6560</v>
      </c>
    </row>
    <row r="260" spans="1:2">
      <c r="A260" s="188" t="s">
        <v>6071</v>
      </c>
      <c r="B260" t="s">
        <v>6561</v>
      </c>
    </row>
  </sheetData>
  <phoneticPr fontId="11" type="noConversion"/>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25"/>
  <sheetViews>
    <sheetView zoomScale="75" zoomScaleNormal="75" zoomScalePageLayoutView="75" workbookViewId="0">
      <selection activeCell="D13" sqref="D13"/>
    </sheetView>
  </sheetViews>
  <sheetFormatPr baseColWidth="10" defaultColWidth="11" defaultRowHeight="16"/>
  <cols>
    <col min="1" max="1" width="70.5" customWidth="1"/>
  </cols>
  <sheetData>
    <row r="1" spans="1:5">
      <c r="A1" t="s">
        <v>1886</v>
      </c>
    </row>
    <row r="2" spans="1:5">
      <c r="B2" t="s">
        <v>1890</v>
      </c>
      <c r="D2" t="s">
        <v>1887</v>
      </c>
    </row>
    <row r="3" spans="1:5">
      <c r="A3" s="71" t="s">
        <v>1882</v>
      </c>
      <c r="D3" s="74" t="s">
        <v>1888</v>
      </c>
    </row>
    <row r="4" spans="1:5">
      <c r="A4" s="16" t="s">
        <v>23</v>
      </c>
      <c r="D4" s="2" t="s">
        <v>1889</v>
      </c>
      <c r="E4" t="s">
        <v>1892</v>
      </c>
    </row>
    <row r="5" spans="1:5">
      <c r="A5" s="73" t="s">
        <v>403</v>
      </c>
    </row>
    <row r="6" spans="1:5">
      <c r="A6" s="16" t="s">
        <v>465</v>
      </c>
      <c r="D6" t="s">
        <v>1895</v>
      </c>
    </row>
    <row r="7" spans="1:5">
      <c r="A7" s="70" t="s">
        <v>614</v>
      </c>
      <c r="D7" s="20" t="s">
        <v>1891</v>
      </c>
      <c r="E7" t="s">
        <v>1488</v>
      </c>
    </row>
    <row r="8" spans="1:5">
      <c r="A8" s="16" t="s">
        <v>570</v>
      </c>
      <c r="D8" s="4" t="s">
        <v>1893</v>
      </c>
      <c r="E8" t="s">
        <v>1894</v>
      </c>
    </row>
    <row r="9" spans="1:5">
      <c r="A9" s="73" t="s">
        <v>31</v>
      </c>
    </row>
    <row r="10" spans="1:5">
      <c r="A10" s="73" t="s">
        <v>429</v>
      </c>
      <c r="B10" s="4"/>
    </row>
    <row r="11" spans="1:5">
      <c r="A11" s="73" t="s">
        <v>874</v>
      </c>
      <c r="B11" s="4"/>
    </row>
    <row r="12" spans="1:5">
      <c r="A12" s="73" t="s">
        <v>414</v>
      </c>
      <c r="B12" s="4"/>
    </row>
    <row r="13" spans="1:5">
      <c r="A13" s="73" t="s">
        <v>383</v>
      </c>
    </row>
    <row r="14" spans="1:5">
      <c r="A14" s="73" t="s">
        <v>720</v>
      </c>
      <c r="B14" s="4"/>
    </row>
    <row r="15" spans="1:5">
      <c r="A15" s="73" t="s">
        <v>860</v>
      </c>
    </row>
    <row r="16" spans="1:5">
      <c r="A16" s="73" t="s">
        <v>931</v>
      </c>
    </row>
    <row r="17" spans="1:2">
      <c r="A17" s="73" t="s">
        <v>812</v>
      </c>
    </row>
    <row r="18" spans="1:2">
      <c r="A18" s="73" t="s">
        <v>695</v>
      </c>
      <c r="B18" s="4"/>
    </row>
    <row r="19" spans="1:2">
      <c r="A19" s="73" t="s">
        <v>421</v>
      </c>
      <c r="B19" s="4"/>
    </row>
    <row r="20" spans="1:2">
      <c r="A20" s="73" t="s">
        <v>566</v>
      </c>
      <c r="B20" s="4"/>
    </row>
    <row r="21" spans="1:2">
      <c r="A21" s="73" t="s">
        <v>662</v>
      </c>
      <c r="B21" s="4"/>
    </row>
    <row r="22" spans="1:2">
      <c r="A22" s="73" t="s">
        <v>909</v>
      </c>
    </row>
    <row r="23" spans="1:2">
      <c r="A23" s="73" t="s">
        <v>636</v>
      </c>
    </row>
    <row r="24" spans="1:2">
      <c r="A24" s="16" t="s">
        <v>741</v>
      </c>
    </row>
    <row r="25" spans="1:2">
      <c r="A25" s="16" t="s">
        <v>621</v>
      </c>
      <c r="B25" s="4"/>
    </row>
    <row r="26" spans="1:2">
      <c r="A26" s="16" t="s">
        <v>72</v>
      </c>
      <c r="B26" s="4"/>
    </row>
    <row r="27" spans="1:2">
      <c r="A27" s="16" t="s">
        <v>411</v>
      </c>
    </row>
    <row r="28" spans="1:2">
      <c r="A28" s="73" t="s">
        <v>851</v>
      </c>
    </row>
    <row r="29" spans="1:2">
      <c r="A29" s="16" t="s">
        <v>920</v>
      </c>
    </row>
    <row r="30" spans="1:2">
      <c r="A30" s="16" t="s">
        <v>554</v>
      </c>
    </row>
    <row r="31" spans="1:2">
      <c r="A31" s="16" t="s">
        <v>15</v>
      </c>
    </row>
    <row r="32" spans="1:2">
      <c r="A32" s="16" t="s">
        <v>21</v>
      </c>
    </row>
    <row r="33" spans="1:3">
      <c r="A33" s="16" t="s">
        <v>771</v>
      </c>
    </row>
    <row r="34" spans="1:3">
      <c r="A34" s="70" t="s">
        <v>468</v>
      </c>
    </row>
    <row r="35" spans="1:3">
      <c r="A35" s="16" t="s">
        <v>773</v>
      </c>
    </row>
    <row r="36" spans="1:3">
      <c r="A36" s="16" t="s">
        <v>457</v>
      </c>
      <c r="B36" s="4"/>
    </row>
    <row r="37" spans="1:3">
      <c r="A37" s="16" t="s">
        <v>430</v>
      </c>
    </row>
    <row r="38" spans="1:3">
      <c r="A38" s="16" t="s">
        <v>919</v>
      </c>
    </row>
    <row r="39" spans="1:3">
      <c r="A39" s="73" t="s">
        <v>676</v>
      </c>
    </row>
    <row r="40" spans="1:3">
      <c r="A40" s="16" t="s">
        <v>1179</v>
      </c>
    </row>
    <row r="41" spans="1:3">
      <c r="A41" s="16" t="s">
        <v>775</v>
      </c>
    </row>
    <row r="42" spans="1:3">
      <c r="A42" s="16" t="s">
        <v>938</v>
      </c>
      <c r="B42" s="4"/>
    </row>
    <row r="43" spans="1:3">
      <c r="A43" s="16" t="s">
        <v>682</v>
      </c>
      <c r="C43" s="4"/>
    </row>
    <row r="44" spans="1:3">
      <c r="A44" s="16" t="s">
        <v>703</v>
      </c>
    </row>
    <row r="45" spans="1:3">
      <c r="A45" s="16" t="s">
        <v>739</v>
      </c>
      <c r="B45" s="4"/>
    </row>
    <row r="46" spans="1:3">
      <c r="A46" s="16" t="s">
        <v>834</v>
      </c>
    </row>
    <row r="47" spans="1:3">
      <c r="A47" s="16" t="s">
        <v>28</v>
      </c>
    </row>
    <row r="48" spans="1:3">
      <c r="A48" s="16" t="s">
        <v>541</v>
      </c>
    </row>
    <row r="49" spans="1:2">
      <c r="A49" s="16" t="s">
        <v>733</v>
      </c>
    </row>
    <row r="50" spans="1:2">
      <c r="A50" s="70" t="s">
        <v>11</v>
      </c>
    </row>
    <row r="51" spans="1:2">
      <c r="A51" s="70" t="s">
        <v>627</v>
      </c>
    </row>
    <row r="52" spans="1:2">
      <c r="A52" s="70" t="s">
        <v>384</v>
      </c>
      <c r="B52" s="4"/>
    </row>
    <row r="53" spans="1:2">
      <c r="A53" s="16" t="s">
        <v>473</v>
      </c>
    </row>
    <row r="54" spans="1:2">
      <c r="A54" s="16" t="s">
        <v>74</v>
      </c>
      <c r="B54" s="4"/>
    </row>
    <row r="55" spans="1:2">
      <c r="A55" s="16" t="s">
        <v>66</v>
      </c>
    </row>
    <row r="56" spans="1:2">
      <c r="A56" s="16" t="s">
        <v>781</v>
      </c>
      <c r="B56" s="4"/>
    </row>
    <row r="57" spans="1:2">
      <c r="A57" s="16" t="s">
        <v>913</v>
      </c>
    </row>
    <row r="58" spans="1:2">
      <c r="A58" s="16" t="s">
        <v>924</v>
      </c>
      <c r="B58" s="4"/>
    </row>
    <row r="59" spans="1:2">
      <c r="A59" s="16" t="s">
        <v>730</v>
      </c>
    </row>
    <row r="60" spans="1:2">
      <c r="A60" s="73" t="s">
        <v>779</v>
      </c>
    </row>
    <row r="61" spans="1:2">
      <c r="A61" s="16" t="s">
        <v>870</v>
      </c>
    </row>
    <row r="62" spans="1:2">
      <c r="A62" s="16" t="s">
        <v>574</v>
      </c>
      <c r="B62" s="4"/>
    </row>
    <row r="63" spans="1:2">
      <c r="A63" s="73" t="s">
        <v>408</v>
      </c>
      <c r="B63" s="4"/>
    </row>
    <row r="64" spans="1:2">
      <c r="A64" s="16" t="s">
        <v>562</v>
      </c>
      <c r="B64" s="4"/>
    </row>
    <row r="65" spans="1:2">
      <c r="A65" s="16" t="s">
        <v>450</v>
      </c>
      <c r="B65" s="4"/>
    </row>
    <row r="66" spans="1:2">
      <c r="A66" s="73" t="s">
        <v>32</v>
      </c>
    </row>
    <row r="67" spans="1:2">
      <c r="A67" s="73" t="s">
        <v>35</v>
      </c>
    </row>
    <row r="68" spans="1:2">
      <c r="A68" s="16" t="s">
        <v>486</v>
      </c>
    </row>
    <row r="69" spans="1:2">
      <c r="A69" s="16" t="s">
        <v>528</v>
      </c>
    </row>
    <row r="70" spans="1:2">
      <c r="A70" s="16" t="s">
        <v>815</v>
      </c>
    </row>
    <row r="71" spans="1:2">
      <c r="A71" s="16" t="s">
        <v>394</v>
      </c>
      <c r="B71" s="4"/>
    </row>
    <row r="72" spans="1:2">
      <c r="A72" s="16" t="s">
        <v>652</v>
      </c>
    </row>
    <row r="73" spans="1:2">
      <c r="A73" s="16" t="s">
        <v>661</v>
      </c>
      <c r="B73" s="4"/>
    </row>
    <row r="74" spans="1:2">
      <c r="A74" s="16" t="s">
        <v>936</v>
      </c>
      <c r="B74" s="4"/>
    </row>
    <row r="75" spans="1:2">
      <c r="A75" s="16" t="s">
        <v>73</v>
      </c>
      <c r="B75" s="4"/>
    </row>
    <row r="76" spans="1:2">
      <c r="A76" s="16" t="s">
        <v>493</v>
      </c>
      <c r="B76" s="4"/>
    </row>
    <row r="77" spans="1:2">
      <c r="A77" s="16" t="s">
        <v>620</v>
      </c>
      <c r="B77" s="4"/>
    </row>
    <row r="78" spans="1:2">
      <c r="A78" s="16" t="s">
        <v>876</v>
      </c>
      <c r="B78" s="4"/>
    </row>
    <row r="79" spans="1:2">
      <c r="A79" s="16" t="s">
        <v>755</v>
      </c>
      <c r="B79" s="4"/>
    </row>
    <row r="80" spans="1:2">
      <c r="A80" s="73" t="s">
        <v>596</v>
      </c>
      <c r="B80" s="4"/>
    </row>
    <row r="81" spans="1:2">
      <c r="A81" s="16" t="s">
        <v>867</v>
      </c>
      <c r="B81" s="4"/>
    </row>
    <row r="82" spans="1:2">
      <c r="A82" s="16" t="s">
        <v>1178</v>
      </c>
      <c r="B82" s="4"/>
    </row>
    <row r="83" spans="1:2">
      <c r="A83" s="73" t="s">
        <v>735</v>
      </c>
      <c r="B83" s="4"/>
    </row>
    <row r="84" spans="1:2">
      <c r="A84" s="73" t="s">
        <v>452</v>
      </c>
      <c r="B84" s="4"/>
    </row>
    <row r="85" spans="1:2">
      <c r="A85" s="16" t="s">
        <v>551</v>
      </c>
      <c r="B85" s="4"/>
    </row>
    <row r="86" spans="1:2">
      <c r="A86" s="73" t="s">
        <v>825</v>
      </c>
      <c r="B86" s="4"/>
    </row>
    <row r="87" spans="1:2">
      <c r="A87" s="16" t="s">
        <v>940</v>
      </c>
      <c r="B87" s="4"/>
    </row>
    <row r="88" spans="1:2">
      <c r="A88" s="16" t="s">
        <v>581</v>
      </c>
      <c r="B88" s="4"/>
    </row>
    <row r="89" spans="1:2">
      <c r="A89" s="16" t="s">
        <v>685</v>
      </c>
    </row>
    <row r="90" spans="1:2">
      <c r="A90" s="16" t="s">
        <v>599</v>
      </c>
    </row>
    <row r="91" spans="1:2">
      <c r="A91" s="16" t="s">
        <v>792</v>
      </c>
    </row>
    <row r="92" spans="1:2">
      <c r="A92" s="16" t="s">
        <v>863</v>
      </c>
    </row>
    <row r="93" spans="1:2">
      <c r="A93" s="16" t="s">
        <v>64</v>
      </c>
    </row>
    <row r="94" spans="1:2">
      <c r="A94" s="73" t="s">
        <v>484</v>
      </c>
    </row>
    <row r="95" spans="1:2">
      <c r="A95" s="16" t="s">
        <v>538</v>
      </c>
    </row>
    <row r="96" spans="1:2">
      <c r="A96" s="16" t="s">
        <v>401</v>
      </c>
    </row>
    <row r="97" spans="1:2">
      <c r="A97" s="16" t="s">
        <v>612</v>
      </c>
      <c r="B97" s="4"/>
    </row>
    <row r="98" spans="1:2">
      <c r="A98" s="16" t="s">
        <v>742</v>
      </c>
    </row>
    <row r="99" spans="1:2">
      <c r="A99" s="16" t="s">
        <v>816</v>
      </c>
    </row>
    <row r="100" spans="1:2">
      <c r="A100" s="16" t="s">
        <v>418</v>
      </c>
    </row>
    <row r="101" spans="1:2">
      <c r="A101" s="16" t="s">
        <v>397</v>
      </c>
    </row>
    <row r="102" spans="1:2">
      <c r="A102" s="16" t="s">
        <v>726</v>
      </c>
    </row>
    <row r="103" spans="1:2">
      <c r="A103" s="16" t="s">
        <v>390</v>
      </c>
      <c r="B103" s="4"/>
    </row>
    <row r="104" spans="1:2">
      <c r="A104" s="16" t="s">
        <v>794</v>
      </c>
      <c r="B104" s="4"/>
    </row>
    <row r="105" spans="1:2">
      <c r="A105" s="16" t="s">
        <v>38</v>
      </c>
    </row>
    <row r="106" spans="1:2">
      <c r="A106" s="16" t="s">
        <v>453</v>
      </c>
    </row>
    <row r="107" spans="1:2">
      <c r="A107" s="16" t="s">
        <v>719</v>
      </c>
    </row>
    <row r="108" spans="1:2">
      <c r="A108" s="16" t="s">
        <v>647</v>
      </c>
    </row>
    <row r="109" spans="1:2">
      <c r="A109" s="16" t="s">
        <v>651</v>
      </c>
    </row>
    <row r="110" spans="1:2">
      <c r="A110" s="16" t="s">
        <v>442</v>
      </c>
    </row>
    <row r="111" spans="1:2">
      <c r="A111" s="16" t="s">
        <v>832</v>
      </c>
    </row>
    <row r="112" spans="1:2">
      <c r="A112" s="16" t="s">
        <v>505</v>
      </c>
      <c r="B112" s="4"/>
    </row>
    <row r="113" spans="1:2">
      <c r="A113" s="16" t="s">
        <v>370</v>
      </c>
    </row>
    <row r="114" spans="1:2">
      <c r="A114" s="16" t="s">
        <v>558</v>
      </c>
      <c r="B114" s="4"/>
    </row>
    <row r="115" spans="1:2">
      <c r="A115" s="16" t="s">
        <v>797</v>
      </c>
    </row>
    <row r="116" spans="1:2">
      <c r="A116" s="73" t="s">
        <v>46</v>
      </c>
    </row>
    <row r="117" spans="1:2">
      <c r="A117" s="73" t="s">
        <v>1182</v>
      </c>
    </row>
    <row r="118" spans="1:2">
      <c r="A118" s="16" t="s">
        <v>449</v>
      </c>
    </row>
    <row r="119" spans="1:2">
      <c r="A119" s="16" t="s">
        <v>609</v>
      </c>
    </row>
    <row r="120" spans="1:2">
      <c r="A120" s="16" t="s">
        <v>433</v>
      </c>
      <c r="B120" s="4"/>
    </row>
    <row r="121" spans="1:2">
      <c r="A121" s="16" t="s">
        <v>608</v>
      </c>
      <c r="B121" s="4"/>
    </row>
    <row r="122" spans="1:2">
      <c r="A122" s="16" t="s">
        <v>497</v>
      </c>
      <c r="B122" s="4"/>
    </row>
    <row r="123" spans="1:2">
      <c r="A123" s="16" t="s">
        <v>764</v>
      </c>
      <c r="B123" s="4"/>
    </row>
    <row r="124" spans="1:2">
      <c r="A124" s="16" t="s">
        <v>1883</v>
      </c>
    </row>
    <row r="125" spans="1:2">
      <c r="A125" s="16" t="s">
        <v>1884</v>
      </c>
    </row>
  </sheetData>
  <conditionalFormatting sqref="A1:A1048576">
    <cfRule type="colorScale" priority="1">
      <colorScale>
        <cfvo type="min"/>
        <cfvo type="max"/>
        <color rgb="FFFF7128"/>
        <color rgb="FFFFEF9C"/>
      </colorScale>
    </cfRule>
  </conditionalFormatting>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9"/>
  <sheetViews>
    <sheetView zoomScale="75" zoomScaleNormal="75" zoomScalePageLayoutView="75" workbookViewId="0">
      <selection activeCell="D14" sqref="D14"/>
    </sheetView>
  </sheetViews>
  <sheetFormatPr baseColWidth="10" defaultColWidth="11" defaultRowHeight="16"/>
  <cols>
    <col min="1" max="1" width="69.5" customWidth="1"/>
    <col min="2" max="2" width="13.1640625" customWidth="1"/>
    <col min="3" max="3" width="27.5" customWidth="1"/>
    <col min="4" max="4" width="33.83203125" customWidth="1"/>
    <col min="5" max="5" width="1.6640625" customWidth="1"/>
    <col min="6" max="6" width="2" customWidth="1"/>
    <col min="7" max="7" width="20.33203125" customWidth="1"/>
    <col min="8" max="8" width="11.5" customWidth="1"/>
    <col min="9" max="9" width="51.6640625" customWidth="1"/>
    <col min="10" max="10" width="25.83203125" customWidth="1"/>
    <col min="11" max="11" width="15.83203125" customWidth="1"/>
    <col min="12" max="12" width="28" customWidth="1"/>
    <col min="13" max="13" width="53.83203125" customWidth="1"/>
    <col min="14" max="14" width="52.1640625" customWidth="1"/>
    <col min="15" max="15" width="146.33203125" customWidth="1"/>
    <col min="16" max="16" width="23.5" customWidth="1"/>
    <col min="17" max="17" width="47.1640625" customWidth="1"/>
    <col min="18" max="18" width="31.83203125" customWidth="1"/>
    <col min="19" max="19" width="13" customWidth="1"/>
    <col min="20" max="20" width="31.6640625" customWidth="1"/>
    <col min="21" max="21" width="32.1640625" customWidth="1"/>
    <col min="22" max="22" width="110.83203125" customWidth="1"/>
    <col min="23" max="23" width="16.33203125" customWidth="1"/>
    <col min="24" max="24" width="13" customWidth="1"/>
    <col min="25" max="25" width="14.5" customWidth="1"/>
    <col min="26" max="26" width="25" customWidth="1"/>
    <col min="27" max="27" width="102.33203125" customWidth="1"/>
    <col min="28" max="28" width="26.33203125" customWidth="1"/>
    <col min="29" max="29" width="46.5" customWidth="1"/>
    <col min="30" max="30" width="16.6640625" customWidth="1"/>
    <col min="31" max="31" width="27.1640625" customWidth="1"/>
    <col min="32" max="32" width="21.33203125" customWidth="1"/>
    <col min="33" max="33" width="20.5" customWidth="1"/>
    <col min="34" max="34" width="21.1640625" customWidth="1"/>
    <col min="35" max="35" width="25.83203125" customWidth="1"/>
    <col min="36" max="36" width="15.1640625" customWidth="1"/>
    <col min="37" max="37" width="36.6640625" customWidth="1"/>
    <col min="38" max="38" width="25.6640625" customWidth="1"/>
    <col min="39" max="39" width="40.6640625" customWidth="1"/>
    <col min="40" max="40" width="21.6640625" customWidth="1"/>
    <col min="41" max="41" width="15" customWidth="1"/>
    <col min="42" max="42" width="19.5" customWidth="1"/>
    <col min="43" max="43" width="14" customWidth="1"/>
    <col min="44" max="44" width="10.1640625" customWidth="1"/>
    <col min="45" max="45" width="10.5" customWidth="1"/>
    <col min="46" max="46" width="93.83203125" customWidth="1"/>
    <col min="47" max="47" width="30.6640625" customWidth="1"/>
    <col min="48" max="48" width="37" bestFit="1" customWidth="1"/>
    <col min="49" max="49" width="8.5" customWidth="1"/>
    <col min="50" max="50" width="18.33203125" bestFit="1" customWidth="1"/>
    <col min="51" max="51" width="13.33203125" bestFit="1" customWidth="1"/>
    <col min="52" max="52" width="22.33203125" bestFit="1" customWidth="1"/>
    <col min="53" max="53" width="24" bestFit="1" customWidth="1"/>
    <col min="54" max="54" width="63.1640625" bestFit="1" customWidth="1"/>
    <col min="55" max="55" width="133.6640625" bestFit="1" customWidth="1"/>
    <col min="56" max="56" width="156.6640625" bestFit="1" customWidth="1"/>
    <col min="57" max="57" width="96" bestFit="1" customWidth="1"/>
    <col min="58" max="58" width="14.6640625" bestFit="1" customWidth="1"/>
    <col min="59" max="59" width="42" bestFit="1" customWidth="1"/>
    <col min="60" max="60" width="27.5" bestFit="1" customWidth="1"/>
    <col min="61" max="61" width="47.1640625" bestFit="1" customWidth="1"/>
    <col min="62" max="62" width="96" bestFit="1" customWidth="1"/>
    <col min="63" max="63" width="17.83203125" bestFit="1" customWidth="1"/>
    <col min="64" max="64" width="168.5" bestFit="1" customWidth="1"/>
    <col min="65" max="65" width="87.33203125" bestFit="1" customWidth="1"/>
    <col min="66" max="66" width="26.6640625" bestFit="1" customWidth="1"/>
    <col min="67" max="67" width="24.33203125" bestFit="1" customWidth="1"/>
    <col min="68" max="68" width="27.33203125" bestFit="1" customWidth="1"/>
    <col min="69" max="69" width="68.33203125" bestFit="1" customWidth="1"/>
    <col min="70" max="70" width="21.1640625" bestFit="1" customWidth="1"/>
    <col min="71" max="71" width="17.5" bestFit="1" customWidth="1"/>
    <col min="72" max="72" width="15.83203125" bestFit="1" customWidth="1"/>
    <col min="73" max="73" width="176.83203125" bestFit="1" customWidth="1"/>
    <col min="74" max="74" width="65.5" bestFit="1" customWidth="1"/>
    <col min="75" max="75" width="7.6640625" customWidth="1"/>
    <col min="76" max="76" width="13.6640625" bestFit="1" customWidth="1"/>
    <col min="77" max="77" width="83" bestFit="1" customWidth="1"/>
    <col min="78" max="78" width="88.1640625" bestFit="1" customWidth="1"/>
    <col min="79" max="79" width="35" bestFit="1" customWidth="1"/>
    <col min="80" max="80" width="48" bestFit="1" customWidth="1"/>
    <col min="81" max="81" width="69.33203125" bestFit="1" customWidth="1"/>
    <col min="82" max="82" width="122.6640625" bestFit="1" customWidth="1"/>
    <col min="83" max="83" width="37" bestFit="1" customWidth="1"/>
    <col min="84" max="84" width="9" customWidth="1"/>
    <col min="85" max="85" width="18.83203125" bestFit="1" customWidth="1"/>
    <col min="86" max="86" width="121.83203125" bestFit="1" customWidth="1"/>
    <col min="87" max="87" width="22.5" bestFit="1" customWidth="1"/>
    <col min="88" max="88" width="19.5" bestFit="1" customWidth="1"/>
    <col min="89" max="89" width="19.33203125" bestFit="1" customWidth="1"/>
    <col min="90" max="90" width="9.33203125" customWidth="1"/>
    <col min="91" max="91" width="29.5" bestFit="1" customWidth="1"/>
    <col min="92" max="92" width="24.33203125" bestFit="1" customWidth="1"/>
    <col min="93" max="93" width="4.5" customWidth="1"/>
    <col min="94" max="94" width="93" bestFit="1" customWidth="1"/>
    <col min="95" max="95" width="14.33203125" bestFit="1" customWidth="1"/>
    <col min="96" max="96" width="48" bestFit="1" customWidth="1"/>
    <col min="97" max="97" width="100.33203125" bestFit="1" customWidth="1"/>
    <col min="98" max="98" width="41.6640625" bestFit="1" customWidth="1"/>
    <col min="99" max="99" width="5.5" customWidth="1"/>
    <col min="100" max="100" width="17.33203125" bestFit="1" customWidth="1"/>
    <col min="101" max="101" width="40.33203125" bestFit="1" customWidth="1"/>
    <col min="102" max="102" width="13.6640625" bestFit="1" customWidth="1"/>
    <col min="103" max="103" width="122" bestFit="1" customWidth="1"/>
    <col min="104" max="104" width="18" bestFit="1" customWidth="1"/>
    <col min="105" max="105" width="16" bestFit="1" customWidth="1"/>
    <col min="106" max="106" width="23.83203125" bestFit="1" customWidth="1"/>
    <col min="107" max="107" width="28.83203125" bestFit="1" customWidth="1"/>
    <col min="108" max="108" width="13" bestFit="1" customWidth="1"/>
    <col min="109" max="109" width="8.33203125" customWidth="1"/>
    <col min="110" max="110" width="157.5" bestFit="1" customWidth="1"/>
    <col min="111" max="111" width="41.33203125" bestFit="1" customWidth="1"/>
    <col min="112" max="112" width="30.6640625" bestFit="1" customWidth="1"/>
    <col min="113" max="113" width="8.33203125" customWidth="1"/>
    <col min="114" max="114" width="40.1640625" bestFit="1" customWidth="1"/>
    <col min="115" max="115" width="6.6640625" customWidth="1"/>
    <col min="116" max="116" width="10.6640625" customWidth="1"/>
  </cols>
  <sheetData>
    <row r="1" spans="1:2">
      <c r="A1" t="s">
        <v>1896</v>
      </c>
    </row>
    <row r="3" spans="1:2">
      <c r="A3" s="71" t="s">
        <v>1882</v>
      </c>
      <c r="B3" t="s">
        <v>1885</v>
      </c>
    </row>
    <row r="4" spans="1:2">
      <c r="A4" s="16" t="s">
        <v>23</v>
      </c>
      <c r="B4" s="72">
        <v>1</v>
      </c>
    </row>
    <row r="5" spans="1:2">
      <c r="A5" s="16" t="s">
        <v>555</v>
      </c>
      <c r="B5" s="72">
        <v>1</v>
      </c>
    </row>
    <row r="6" spans="1:2">
      <c r="A6" s="16" t="s">
        <v>780</v>
      </c>
      <c r="B6" s="72">
        <v>1</v>
      </c>
    </row>
    <row r="7" spans="1:2">
      <c r="A7" s="16" t="s">
        <v>1157</v>
      </c>
      <c r="B7" s="72">
        <v>6</v>
      </c>
    </row>
    <row r="8" spans="1:2">
      <c r="A8" s="16" t="s">
        <v>1181</v>
      </c>
      <c r="B8" s="72">
        <v>1</v>
      </c>
    </row>
    <row r="9" spans="1:2">
      <c r="A9" s="16" t="s">
        <v>1166</v>
      </c>
      <c r="B9" s="72">
        <v>1</v>
      </c>
    </row>
    <row r="10" spans="1:2">
      <c r="A10" s="16" t="s">
        <v>1192</v>
      </c>
      <c r="B10" s="72">
        <v>11</v>
      </c>
    </row>
    <row r="11" spans="1:2">
      <c r="A11" s="16" t="s">
        <v>1163</v>
      </c>
      <c r="B11" s="72">
        <v>3</v>
      </c>
    </row>
    <row r="12" spans="1:2">
      <c r="A12" s="16" t="s">
        <v>1147</v>
      </c>
      <c r="B12" s="72">
        <v>26</v>
      </c>
    </row>
    <row r="13" spans="1:2">
      <c r="A13" s="16" t="s">
        <v>1191</v>
      </c>
      <c r="B13" s="72">
        <v>1</v>
      </c>
    </row>
    <row r="14" spans="1:2">
      <c r="A14" s="16" t="s">
        <v>1172</v>
      </c>
      <c r="B14" s="72">
        <v>5</v>
      </c>
    </row>
    <row r="15" spans="1:2">
      <c r="A15" s="16" t="s">
        <v>1154</v>
      </c>
      <c r="B15" s="72">
        <v>4</v>
      </c>
    </row>
    <row r="16" spans="1:2">
      <c r="A16" s="16" t="s">
        <v>1175</v>
      </c>
      <c r="B16" s="72">
        <v>1</v>
      </c>
    </row>
    <row r="17" spans="1:2">
      <c r="A17" s="16" t="s">
        <v>1176</v>
      </c>
      <c r="B17" s="72">
        <v>1</v>
      </c>
    </row>
    <row r="18" spans="1:2">
      <c r="A18" s="16" t="s">
        <v>1196</v>
      </c>
      <c r="B18" s="72">
        <v>1</v>
      </c>
    </row>
    <row r="19" spans="1:2">
      <c r="A19" s="16" t="s">
        <v>1173</v>
      </c>
      <c r="B19" s="72">
        <v>2</v>
      </c>
    </row>
    <row r="20" spans="1:2">
      <c r="A20" s="16" t="s">
        <v>1184</v>
      </c>
      <c r="B20" s="72">
        <v>1</v>
      </c>
    </row>
    <row r="21" spans="1:2">
      <c r="A21" s="16" t="s">
        <v>1148</v>
      </c>
      <c r="B21" s="72">
        <v>1</v>
      </c>
    </row>
    <row r="22" spans="1:2">
      <c r="A22" s="16" t="s">
        <v>1160</v>
      </c>
      <c r="B22" s="72">
        <v>1</v>
      </c>
    </row>
    <row r="23" spans="1:2">
      <c r="A23" s="16" t="s">
        <v>1180</v>
      </c>
      <c r="B23" s="72">
        <v>1</v>
      </c>
    </row>
    <row r="24" spans="1:2">
      <c r="A24" s="16" t="s">
        <v>1165</v>
      </c>
      <c r="B24" s="72">
        <v>2</v>
      </c>
    </row>
    <row r="25" spans="1:2">
      <c r="A25" s="16" t="s">
        <v>1188</v>
      </c>
      <c r="B25" s="72">
        <v>1</v>
      </c>
    </row>
    <row r="26" spans="1:2">
      <c r="A26" s="16" t="s">
        <v>1153</v>
      </c>
      <c r="B26" s="72">
        <v>2</v>
      </c>
    </row>
    <row r="27" spans="1:2">
      <c r="A27" s="16" t="s">
        <v>1168</v>
      </c>
      <c r="B27" s="72">
        <v>1</v>
      </c>
    </row>
    <row r="28" spans="1:2">
      <c r="A28" s="16" t="s">
        <v>1161</v>
      </c>
      <c r="B28" s="72">
        <v>1</v>
      </c>
    </row>
    <row r="29" spans="1:2">
      <c r="A29" s="16" t="s">
        <v>1158</v>
      </c>
      <c r="B29" s="72">
        <v>8</v>
      </c>
    </row>
    <row r="30" spans="1:2">
      <c r="A30" s="16" t="s">
        <v>1146</v>
      </c>
      <c r="B30" s="72">
        <v>2</v>
      </c>
    </row>
    <row r="31" spans="1:2">
      <c r="A31" s="16" t="s">
        <v>1167</v>
      </c>
      <c r="B31" s="72">
        <v>1</v>
      </c>
    </row>
    <row r="32" spans="1:2">
      <c r="A32" s="16" t="s">
        <v>1198</v>
      </c>
      <c r="B32" s="72">
        <v>1</v>
      </c>
    </row>
    <row r="33" spans="1:2">
      <c r="A33" s="16" t="s">
        <v>1143</v>
      </c>
      <c r="B33" s="72">
        <v>3</v>
      </c>
    </row>
    <row r="34" spans="1:2">
      <c r="A34" s="16" t="s">
        <v>1151</v>
      </c>
      <c r="B34" s="72">
        <v>1</v>
      </c>
    </row>
    <row r="35" spans="1:2">
      <c r="A35" s="16" t="s">
        <v>1149</v>
      </c>
      <c r="B35" s="72">
        <v>1</v>
      </c>
    </row>
    <row r="36" spans="1:2">
      <c r="A36" s="16" t="s">
        <v>1144</v>
      </c>
      <c r="B36" s="72"/>
    </row>
    <row r="37" spans="1:2">
      <c r="A37" s="16" t="s">
        <v>1189</v>
      </c>
      <c r="B37" s="72">
        <v>1</v>
      </c>
    </row>
    <row r="38" spans="1:2">
      <c r="A38" s="16" t="s">
        <v>1152</v>
      </c>
      <c r="B38" s="72">
        <v>1</v>
      </c>
    </row>
    <row r="39" spans="1:2">
      <c r="A39" s="16" t="s">
        <v>642</v>
      </c>
      <c r="B39" s="72">
        <v>1</v>
      </c>
    </row>
    <row r="40" spans="1:2">
      <c r="A40" s="16" t="s">
        <v>28</v>
      </c>
      <c r="B40" s="72">
        <v>1</v>
      </c>
    </row>
    <row r="41" spans="1:2">
      <c r="A41" s="16" t="s">
        <v>1142</v>
      </c>
      <c r="B41" s="72">
        <v>12</v>
      </c>
    </row>
    <row r="42" spans="1:2">
      <c r="A42" s="16" t="s">
        <v>1162</v>
      </c>
      <c r="B42" s="72">
        <v>2</v>
      </c>
    </row>
    <row r="43" spans="1:2">
      <c r="A43" s="16" t="s">
        <v>1183</v>
      </c>
      <c r="B43" s="72">
        <v>1</v>
      </c>
    </row>
    <row r="44" spans="1:2">
      <c r="A44" s="16" t="s">
        <v>1150</v>
      </c>
      <c r="B44" s="72">
        <v>1</v>
      </c>
    </row>
    <row r="45" spans="1:2">
      <c r="A45" s="16" t="s">
        <v>538</v>
      </c>
      <c r="B45" s="72">
        <v>1</v>
      </c>
    </row>
    <row r="46" spans="1:2">
      <c r="A46" s="16" t="s">
        <v>1164</v>
      </c>
      <c r="B46" s="72">
        <v>6</v>
      </c>
    </row>
    <row r="47" spans="1:2">
      <c r="A47" s="16" t="s">
        <v>569</v>
      </c>
      <c r="B47" s="72">
        <v>1</v>
      </c>
    </row>
    <row r="48" spans="1:2">
      <c r="A48" s="16" t="s">
        <v>1883</v>
      </c>
      <c r="B48" s="72">
        <v>16</v>
      </c>
    </row>
    <row r="49" spans="1:2">
      <c r="A49" s="16" t="s">
        <v>1884</v>
      </c>
      <c r="B49" s="72">
        <v>138</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Animal hits n=178 SSv18.10.2016</vt:lpstr>
      <vt:lpstr>Human Hits n=292 SSv12.10.2016</vt:lpstr>
      <vt:lpstr>Variabelen bij Abstract screeni</vt:lpstr>
      <vt:lpstr>ANIMAL INCL</vt:lpstr>
      <vt:lpstr>HUMAN INCL</vt:lpstr>
      <vt:lpstr>INCLUDED papers</vt:lpstr>
      <vt:lpstr>Review PTSD Cognition FC Data </vt:lpstr>
      <vt:lpstr>Review PTSD FC &amp; Memory Data</vt:lpstr>
      <vt:lpstr>Review PTSD 7.11.17 MeFcOv comp</vt:lpstr>
      <vt:lpstr>Review PTSD Cognition Data Extr</vt:lpstr>
      <vt:lpstr>REVIEW VARs 10.10.2017.txt</vt:lpstr>
      <vt:lpstr>Cognitive measures human incl</vt:lpstr>
      <vt:lpstr>Rdoc SUbcomponents</vt:lpstr>
      <vt:lpstr>'REVIEW VARs 10.10.2017.txt'!Print_Area</vt:lpstr>
      <vt:lpstr>'Variabelen bij Abstract screeni'!Print_Area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Sep, MSC</dc:creator>
  <cp:lastModifiedBy>M.S.C. Sep</cp:lastModifiedBy>
  <cp:lastPrinted>2017-10-10T15:05:58Z</cp:lastPrinted>
  <dcterms:created xsi:type="dcterms:W3CDTF">2016-10-12T10:29:55Z</dcterms:created>
  <dcterms:modified xsi:type="dcterms:W3CDTF">2019-02-28T19:27:01Z</dcterms:modified>
</cp:coreProperties>
</file>